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ФИН\2021\BUD 2021\"/>
    </mc:Choice>
  </mc:AlternateContent>
  <bookViews>
    <workbookView xWindow="0" yWindow="0" windowWidth="19200" windowHeight="6405" tabRatio="786" activeTab="7"/>
  </bookViews>
  <sheets>
    <sheet name="Comm. Policy" sheetId="37" r:id="rId1"/>
    <sheet name="Purchase old" sheetId="35" state="hidden" r:id="rId2"/>
    <sheet name="Title" sheetId="36" r:id="rId3"/>
    <sheet name="Mark Up Validation" sheetId="48" r:id="rId4"/>
    <sheet name="Terms and Turnovers" sheetId="49" r:id="rId5"/>
    <sheet name="Sales target" sheetId="50" r:id="rId6"/>
    <sheet name="MARKETING NET SALES" sheetId="75" r:id="rId7"/>
    <sheet name="For upload" sheetId="42" r:id="rId8"/>
    <sheet name="Balance" sheetId="72" r:id="rId9"/>
    <sheet name="клиентская база" sheetId="74" r:id="rId10"/>
    <sheet name="FC Bud21" sheetId="76" r:id="rId11"/>
    <sheet name="План 2020" sheetId="73" state="hidden" r:id="rId12"/>
    <sheet name="Лист2" sheetId="71" state="hidden" r:id="rId13"/>
    <sheet name="SDC Franchize &amp; Wholesale" sheetId="32" state="hidden" r:id="rId14"/>
    <sheet name="БНС Груп" sheetId="38" state="hidden" r:id="rId15"/>
    <sheet name="Fixed assets" sheetId="51" state="hidden" r:id="rId16"/>
    <sheet name="Comments" sheetId="61" state="hidden" r:id="rId17"/>
    <sheet name="New Stores" sheetId="57" state="hidden" r:id="rId18"/>
    <sheet name="Лист1" sheetId="70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34" localSheetId="6">[1]INT_AFF!#REF!</definedName>
    <definedName name="_34" localSheetId="9">[1]INT_AFF!#REF!</definedName>
    <definedName name="_34">[1]INT_AFF!#REF!</definedName>
    <definedName name="_xlnm._FilterDatabase" localSheetId="8" hidden="1">Balance!$A$1:$AN$32</definedName>
    <definedName name="_xlnm._FilterDatabase" localSheetId="3" hidden="1">'Mark Up Validation'!$K$1:$K$5</definedName>
    <definedName name="_xlnm._FilterDatabase" localSheetId="5" hidden="1">'Sales target'!$A$5:$AU$696</definedName>
    <definedName name="_xlnm._FilterDatabase" localSheetId="4" hidden="1">'Terms and Turnovers'!$A$15:$CE$116</definedName>
    <definedName name="_xlnm._FilterDatabase" localSheetId="9" hidden="1">'клиентская база'!$A$1:$A$350</definedName>
    <definedName name="Admin_no">1</definedName>
    <definedName name="Amounts_in">"1000"</definedName>
    <definedName name="balance_type">1</definedName>
    <definedName name="calc">1</definedName>
    <definedName name="CDate" localSheetId="6">[2]Data_SSR!$BW$1:$BW$123</definedName>
    <definedName name="CDate" localSheetId="9">[2]Data_SSR!$BW$1:$BW$123</definedName>
    <definedName name="CDate">[3]Data_SSR!$BW$1:$BW$123</definedName>
    <definedName name="CI">"HEAD"</definedName>
    <definedName name="cl_date" localSheetId="6">[4]fx!#REF!</definedName>
    <definedName name="cl_date" localSheetId="9">[4]fx!#REF!</definedName>
    <definedName name="cl_date">[5]fx!#REF!</definedName>
    <definedName name="co">601</definedName>
    <definedName name="Company_name">"SLOV - KAUFRING"</definedName>
    <definedName name="Corporate_tax_rate">0.4</definedName>
    <definedName name="COVER">#REF!</definedName>
    <definedName name="COVERFA">#REF!</definedName>
    <definedName name="COVINST">#REF!</definedName>
    <definedName name="Cur" localSheetId="6">[2]Data_SSR!$CA$1:$CA$123</definedName>
    <definedName name="Cur" localSheetId="9">[2]Data_SSR!$CA$1:$CA$123</definedName>
    <definedName name="Cur">[3]Data_SSR!$CA$1:$CA$123</definedName>
    <definedName name="DAYS_TM" localSheetId="6">[2]Data_SSR!$BX$1:$BX$123</definedName>
    <definedName name="DAYS_TM" localSheetId="9">[2]Data_SSR!$BX$1:$BX$123</definedName>
    <definedName name="DAYS_TM">[3]Data_SSR!$BX$1:$BX$123</definedName>
    <definedName name="fw_purch_rate" localSheetId="6">[6]Purchases!$I$4</definedName>
    <definedName name="fw_purch_rate" localSheetId="9">[6]Purchases!$I$4</definedName>
    <definedName name="fw_purch_rate">[7]Purchases!$I$4</definedName>
    <definedName name="FY">2002</definedName>
    <definedName name="inflation2012" localSheetId="6">'[8]A&amp;Q'!$E$8</definedName>
    <definedName name="inflation2012" localSheetId="9">'[8]A&amp;Q'!$E$8</definedName>
    <definedName name="inflation2012">'[9]A&amp;Q'!$E$8</definedName>
    <definedName name="July">"May"</definedName>
    <definedName name="L_ORÉAL">[10]Jan!#REF!</definedName>
    <definedName name="LOREAL">[10]Jan!#REF!</definedName>
    <definedName name="LW_D" localSheetId="6">[2]Data_SSR!$BS$1:$BS$123</definedName>
    <definedName name="LW_D" localSheetId="9">[2]Data_SSR!$BS$1:$BS$123</definedName>
    <definedName name="LW_D">[3]Data_SSR!$BS$1:$BS$123</definedName>
    <definedName name="LW_GS" localSheetId="6">[2]Data_SSR!$M$1:$M$123</definedName>
    <definedName name="LW_GS" localSheetId="9">[2]Data_SSR!$M$1:$M$123</definedName>
    <definedName name="LW_GS">[3]Data_SSR!$M$1:$M$123</definedName>
    <definedName name="LW_MG" localSheetId="6">[2]Data_SSR!$O$1:$O$123</definedName>
    <definedName name="LW_MG" localSheetId="9">[2]Data_SSR!$O$1:$O$123</definedName>
    <definedName name="LW_MG">[3]Data_SSR!$O$1:$O$123</definedName>
    <definedName name="LW_Q" localSheetId="6">[2]Data_SSR!$L$1:$L$123</definedName>
    <definedName name="LW_Q" localSheetId="9">[2]Data_SSR!$L$1:$L$123</definedName>
    <definedName name="LW_Q">[3]Data_SSR!$L$1:$L$123</definedName>
    <definedName name="LY_ST" localSheetId="6">[2]Data_SSR!$CE$1:$CE$123</definedName>
    <definedName name="LY_ST" localSheetId="9">[2]Data_SSR!$CE$1:$CE$123</definedName>
    <definedName name="LY_ST">[3]Data_SSR!$CE$1:$CE$123</definedName>
    <definedName name="LYM_Ch" localSheetId="6">[2]Data_SSR!$AX$1:$AX$123</definedName>
    <definedName name="LYM_Ch" localSheetId="9">[2]Data_SSR!$AX$1:$AX$123</definedName>
    <definedName name="LYM_Ch">[3]Data_SSR!$AX$1:$AX$123</definedName>
    <definedName name="LYM_GS" localSheetId="6">[2]Data_SSR!$AJ$1:$AJ$123</definedName>
    <definedName name="LYM_GS" localSheetId="9">[2]Data_SSR!$AJ$1:$AJ$123</definedName>
    <definedName name="LYM_GS">[3]Data_SSR!$AJ$1:$AJ$123</definedName>
    <definedName name="LYM_Vis" localSheetId="6">[2]Data_SSR!$BD$1:$BD$123</definedName>
    <definedName name="LYM_Vis" localSheetId="9">[2]Data_SSR!$BD$1:$BD$123</definedName>
    <definedName name="LYM_Vis">[3]Data_SSR!$BD$1:$BD$123</definedName>
    <definedName name="LYW_Ch" localSheetId="6">[2]Data_SSR!$AU$1:$AU$123</definedName>
    <definedName name="LYW_Ch" localSheetId="9">[2]Data_SSR!$AU$1:$AU$123</definedName>
    <definedName name="LYW_Ch">[3]Data_SSR!$AU$1:$AU$123</definedName>
    <definedName name="LYW_GS" localSheetId="6">[2]Data_SSR!$Y$1:$Y$123</definedName>
    <definedName name="LYW_GS" localSheetId="9">[2]Data_SSR!$Y$1:$Y$123</definedName>
    <definedName name="LYW_GS">[3]Data_SSR!$Y$1:$Y$123</definedName>
    <definedName name="LYW_Vis" localSheetId="6">[2]Data_SSR!$BA$1:$BA$123</definedName>
    <definedName name="LYW_Vis" localSheetId="9">[2]Data_SSR!$BA$1:$BA$123</definedName>
    <definedName name="LYW_Vis">[3]Data_SSR!$BA$1:$BA$123</definedName>
    <definedName name="Month">"JANUARY"</definedName>
    <definedName name="Obj" localSheetId="6">[2]Data_SSR!$B$1:$B$123</definedName>
    <definedName name="Obj" localSheetId="9">[2]Data_SSR!$B$1:$B$123</definedName>
    <definedName name="Obj">[3]Data_SSR!$B$1:$B$123</definedName>
    <definedName name="op_date" localSheetId="6">[4]fx!#REF!</definedName>
    <definedName name="op_date" localSheetId="9">[4]fx!#REF!</definedName>
    <definedName name="op_date">[5]fx!#REF!</definedName>
    <definedName name="Order1" localSheetId="16">#REF!</definedName>
    <definedName name="Order1" localSheetId="6">#REF!</definedName>
    <definedName name="Order1" localSheetId="9">#REF!</definedName>
    <definedName name="Order1">#REF!</definedName>
    <definedName name="Org_sub_division">""</definedName>
    <definedName name="Peacocks" localSheetId="6">[11]Base!$A$1</definedName>
    <definedName name="Peacocks" localSheetId="9">[11]Base!$A$1</definedName>
    <definedName name="Peacocks">[12]Base!$A$1</definedName>
    <definedName name="period">13</definedName>
    <definedName name="priority">[13]Capex_09!$L$9:$L$10</definedName>
    <definedName name="Product_gr_1">"CI"</definedName>
    <definedName name="Product_gr_10">"EMPIK"</definedName>
    <definedName name="Product_gr_11">"Services KES"</definedName>
    <definedName name="Product_gr_3">"KES"</definedName>
    <definedName name="Product_gr_4">""</definedName>
    <definedName name="Product_gr_5">"HID"</definedName>
    <definedName name="Product_gr_6">"Services MINILAB"</definedName>
    <definedName name="Product_gr_7">"OPTIC"</definedName>
    <definedName name="Product_gr_8">"PARFUMERY"</definedName>
    <definedName name="Product_gr_9">"L'ORÉAL"</definedName>
    <definedName name="round">1</definedName>
    <definedName name="Services_MINILAB">[10]Jan!#REF!</definedName>
    <definedName name="ss_purch_rate" localSheetId="6">[6]Purchases!$I$3</definedName>
    <definedName name="ss_purch_rate" localSheetId="9">[6]Purchases!$I$3</definedName>
    <definedName name="ss_purch_rate">[7]Purchases!$I$3</definedName>
    <definedName name="store" localSheetId="6">#REF!</definedName>
    <definedName name="store" localSheetId="9">#REF!</definedName>
    <definedName name="store">#REF!</definedName>
    <definedName name="TM" localSheetId="6">[2]Data_SSR!$A$1:$A$123</definedName>
    <definedName name="TM" localSheetId="9">[2]Data_SSR!$A$1:$A$123</definedName>
    <definedName name="TM">[3]Data_SSR!$A$1:$A$123</definedName>
    <definedName name="TM_BG" localSheetId="6">[2]Data_SSR!$AN$1:$AN$123</definedName>
    <definedName name="TM_BG" localSheetId="9">[2]Data_SSR!$AN$1:$AN$123</definedName>
    <definedName name="TM_BG">[3]Data_SSR!$AN$1:$AN$123</definedName>
    <definedName name="TM_BG_GP" localSheetId="6">[2]Data_SSR!$AO$1:$AO$123</definedName>
    <definedName name="TM_BG_GP" localSheetId="9">[2]Data_SSR!$AO$1:$AO$123</definedName>
    <definedName name="TM_BG_GP">[3]Data_SSR!$AO$1:$AO$123</definedName>
    <definedName name="TM_Ch" localSheetId="6">[2]Data_SSR!$AV$1:$AV$123</definedName>
    <definedName name="TM_Ch" localSheetId="9">[2]Data_SSR!$AV$1:$AV$123</definedName>
    <definedName name="TM_Ch">[3]Data_SSR!$AV$1:$AV$123</definedName>
    <definedName name="TM_D" localSheetId="6">[2]Data_SSR!$BV$1:$BV$123</definedName>
    <definedName name="TM_D" localSheetId="9">[2]Data_SSR!$BV$1:$BV$123</definedName>
    <definedName name="TM_D">[3]Data_SSR!$BV$1:$BV$123</definedName>
    <definedName name="TM_FC" localSheetId="6">[2]Data_SSR!$AQ$1:$AQ$123</definedName>
    <definedName name="TM_FC" localSheetId="9">[2]Data_SSR!$AQ$1:$AQ$123</definedName>
    <definedName name="TM_FC">[3]Data_SSR!$AQ$1:$AQ$123</definedName>
    <definedName name="TM_FC_GP" localSheetId="6">[2]Data_SSR!$AR$1:$AR$123</definedName>
    <definedName name="TM_FC_GP" localSheetId="9">[2]Data_SSR!$AR$1:$AR$123</definedName>
    <definedName name="TM_FC_GP">[3]Data_SSR!$AR$1:$AR$123</definedName>
    <definedName name="TM_GS" localSheetId="6">[2]Data_SSR!$AB$1:$AB$123</definedName>
    <definedName name="TM_GS" localSheetId="9">[2]Data_SSR!$AB$1:$AB$123</definedName>
    <definedName name="TM_GS">[3]Data_SSR!$AB$1:$AB$123</definedName>
    <definedName name="TM_MG" localSheetId="6">[2]Data_SSR!$AD$1:$AD$123</definedName>
    <definedName name="TM_MG" localSheetId="9">[2]Data_SSR!$AD$1:$AD$123</definedName>
    <definedName name="TM_MG">[3]Data_SSR!$AD$1:$AD$123</definedName>
    <definedName name="TM_Mix" localSheetId="6">[2]Data_SSR!$BO$1:$BO$123</definedName>
    <definedName name="TM_Mix" localSheetId="9">[2]Data_SSR!$BO$1:$BO$123</definedName>
    <definedName name="TM_Mix">[3]Data_SSR!$BO$1:$BO$123</definedName>
    <definedName name="TM_MixMG" localSheetId="6">[2]Data_SSR!$BQ$1:$BQ$123</definedName>
    <definedName name="TM_MixMG" localSheetId="9">[2]Data_SSR!$BQ$1:$BQ$123</definedName>
    <definedName name="TM_MixMG">[3]Data_SSR!$BQ$1:$BQ$123</definedName>
    <definedName name="TM_Q" localSheetId="6">[2]Data_SSR!$AA$1:$AA$123</definedName>
    <definedName name="TM_Q" localSheetId="9">[2]Data_SSR!$AA$1:$AA$123</definedName>
    <definedName name="TM_Q">[3]Data_SSR!$AA$1:$AA$123</definedName>
    <definedName name="TM_Vis" localSheetId="6">[2]Data_SSR!$BB$1:$BB$123</definedName>
    <definedName name="TM_Vis" localSheetId="9">[2]Data_SSR!$BB$1:$BB$123</definedName>
    <definedName name="TM_Vis">[3]Data_SSR!$BB$1:$BB$123</definedName>
    <definedName name="TMAT1" localSheetId="6">#REF!</definedName>
    <definedName name="TMAT1" localSheetId="9">#REF!</definedName>
    <definedName name="TMAT1">#REF!</definedName>
    <definedName name="TMAT2" localSheetId="6">#REF!</definedName>
    <definedName name="TMAT2" localSheetId="9">#REF!</definedName>
    <definedName name="TMAT2">#REF!</definedName>
    <definedName name="TMAT3" localSheetId="6">#REF!</definedName>
    <definedName name="TMAT3" localSheetId="9">#REF!</definedName>
    <definedName name="TMAT3">#REF!</definedName>
    <definedName name="TNG_cl">#REF!</definedName>
    <definedName name="TW_Ch" localSheetId="6">[2]Data_SSR!$AS$1:$AS$123</definedName>
    <definedName name="TW_Ch" localSheetId="9">[2]Data_SSR!$AS$1:$AS$123</definedName>
    <definedName name="TW_Ch">[3]Data_SSR!$AS$1:$AS$123</definedName>
    <definedName name="TW_D" localSheetId="6">[2]Data_SSR!$BR$1:$BR$123</definedName>
    <definedName name="TW_D" localSheetId="9">[2]Data_SSR!$BR$1:$BR$123</definedName>
    <definedName name="TW_D">[3]Data_SSR!$BR$1:$BR$123</definedName>
    <definedName name="TW_GS" localSheetId="6">[2]Data_SSR!$I$1:$I$123</definedName>
    <definedName name="TW_GS" localSheetId="9">[2]Data_SSR!$I$1:$I$123</definedName>
    <definedName name="TW_GS">[3]Data_SSR!$I$1:$I$123</definedName>
    <definedName name="TW_MG" localSheetId="6">[2]Data_SSR!$K$1:$K$123</definedName>
    <definedName name="TW_MG" localSheetId="9">[2]Data_SSR!$K$1:$K$123</definedName>
    <definedName name="TW_MG">[3]Data_SSR!$K$1:$K$123</definedName>
    <definedName name="TW_Q" localSheetId="6">[2]Data_SSR!$H$1:$H$123</definedName>
    <definedName name="TW_Q" localSheetId="9">[2]Data_SSR!$H$1:$H$123</definedName>
    <definedName name="TW_Q">[3]Data_SSR!$H$1:$H$123</definedName>
    <definedName name="TW_ST" localSheetId="6">[2]Data_SSR!$CB$1:$CB$123</definedName>
    <definedName name="TW_ST" localSheetId="9">[2]Data_SSR!$CB$1:$CB$123</definedName>
    <definedName name="TW_ST">[3]Data_SSR!$CB$1:$CB$123</definedName>
    <definedName name="TW_Vis" localSheetId="6">[2]Data_SSR!$AY$1:$AY$123</definedName>
    <definedName name="TW_Vis" localSheetId="9">[2]Data_SSR!$AY$1:$AY$123</definedName>
    <definedName name="TW_Vis">[3]Data_SSR!$AY$1:$AY$123</definedName>
    <definedName name="Types" localSheetId="16">#REF!</definedName>
    <definedName name="Types" localSheetId="6">#REF!</definedName>
    <definedName name="Types" localSheetId="9">#REF!</definedName>
    <definedName name="Types">#REF!</definedName>
    <definedName name="usd_rate" localSheetId="6">[14]Title!$I$28</definedName>
    <definedName name="usd_rate" localSheetId="9">[14]Title!$I$28</definedName>
    <definedName name="usd_rate">[15]Title!$I$28</definedName>
    <definedName name="value">3</definedName>
    <definedName name="VAT" localSheetId="6">[2]Data_SSR!$BZ$1:$BZ$123</definedName>
    <definedName name="VAT" localSheetId="9">[2]Data_SSR!$BZ$1:$BZ$123</definedName>
    <definedName name="VAT">[3]Data_SSR!$BZ$1:$BZ$123</definedName>
    <definedName name="versionno">"1.0"</definedName>
    <definedName name="w">#REF!</definedName>
    <definedName name="XLRPARAMS_Curr" localSheetId="16" hidden="1">#REF!</definedName>
    <definedName name="XLRPARAMS_Curr" localSheetId="5" hidden="1">#REF!</definedName>
    <definedName name="XLRPARAMS_Curr" localSheetId="4" hidden="1">#REF!</definedName>
    <definedName name="XLRPARAMS_Curr" localSheetId="2" hidden="1">#REF!</definedName>
    <definedName name="XLRPARAMS_Curr" hidden="1">#REF!</definedName>
    <definedName name="XLRPARAMS_Dt_Print" localSheetId="16" hidden="1">#REF!</definedName>
    <definedName name="XLRPARAMS_Dt_Print" localSheetId="5" hidden="1">#REF!</definedName>
    <definedName name="XLRPARAMS_Dt_Print" localSheetId="4" hidden="1">#REF!</definedName>
    <definedName name="XLRPARAMS_Dt_Print" localSheetId="2" hidden="1">#REF!</definedName>
    <definedName name="XLRPARAMS_Dt_Print" hidden="1">#REF!</definedName>
    <definedName name="XLRPARAMS_Pr1" localSheetId="16" hidden="1">#REF!</definedName>
    <definedName name="XLRPARAMS_Pr1" localSheetId="5" hidden="1">#REF!</definedName>
    <definedName name="XLRPARAMS_Pr1" localSheetId="4" hidden="1">#REF!</definedName>
    <definedName name="XLRPARAMS_Pr1" localSheetId="2" hidden="1">#REF!</definedName>
    <definedName name="XLRPARAMS_Pr1" hidden="1">#REF!</definedName>
    <definedName name="XLRPARAMS_Pr2" localSheetId="16" hidden="1">#REF!</definedName>
    <definedName name="XLRPARAMS_Pr2" localSheetId="5" hidden="1">#REF!</definedName>
    <definedName name="XLRPARAMS_Pr2" localSheetId="4" hidden="1">#REF!</definedName>
    <definedName name="XLRPARAMS_Pr2" localSheetId="2" hidden="1">#REF!</definedName>
    <definedName name="XLRPARAMS_Pr2" hidden="1">#REF!</definedName>
    <definedName name="XLRPARAMS_RepName" localSheetId="16" hidden="1">#REF!</definedName>
    <definedName name="XLRPARAMS_RepName" localSheetId="5" hidden="1">#REF!</definedName>
    <definedName name="XLRPARAMS_RepName" localSheetId="4" hidden="1">#REF!</definedName>
    <definedName name="XLRPARAMS_RepName" localSheetId="2" hidden="1">#REF!</definedName>
    <definedName name="XLRPARAMS_RepName" hidden="1">#REF!</definedName>
    <definedName name="XLRPARAMS_What" localSheetId="16" hidden="1">#REF!</definedName>
    <definedName name="XLRPARAMS_What" localSheetId="5" hidden="1">#REF!</definedName>
    <definedName name="XLRPARAMS_What" localSheetId="4" hidden="1">#REF!</definedName>
    <definedName name="XLRPARAMS_What" localSheetId="2" hidden="1">#REF!</definedName>
    <definedName name="XLRPARAMS_What" hidden="1">#REF!</definedName>
    <definedName name="XLRPARAMS_When" localSheetId="16" hidden="1">#REF!</definedName>
    <definedName name="XLRPARAMS_When" localSheetId="5" hidden="1">#REF!</definedName>
    <definedName name="XLRPARAMS_When" localSheetId="4" hidden="1">#REF!</definedName>
    <definedName name="XLRPARAMS_When" localSheetId="2" hidden="1">#REF!</definedName>
    <definedName name="XLRPARAMS_When" hidden="1">#REF!</definedName>
    <definedName name="Year_Actual_Prior">1999</definedName>
    <definedName name="Year_next_budget">1998</definedName>
    <definedName name="YearBudget">2000</definedName>
    <definedName name="орп" localSheetId="16" hidden="1">#REF!</definedName>
    <definedName name="орп" localSheetId="6" hidden="1">#REF!</definedName>
    <definedName name="орп" localSheetId="9" hidden="1">#REF!</definedName>
    <definedName name="орп" hidden="1">#REF!</definedName>
    <definedName name="_xlnm.Recorder" localSheetId="6">#REF!</definedName>
    <definedName name="_xlnm.Recorder" localSheetId="9">#REF!</definedName>
    <definedName name="_xlnm.Recorder">#REF!</definedName>
    <definedName name="рол" localSheetId="16" hidden="1">#REF!</definedName>
    <definedName name="рол" hidden="1">#REF!</definedName>
    <definedName name="Руководители">[16]справочники!$D$3:$D$100</definedName>
    <definedName name="спр_назн" localSheetId="16">#REF!</definedName>
    <definedName name="спр_назн" localSheetId="6">#REF!</definedName>
    <definedName name="спр_назн" localSheetId="9">#REF!</definedName>
    <definedName name="спр_назн">#REF!</definedName>
    <definedName name="спр_цфо" localSheetId="16">#REF!</definedName>
    <definedName name="спр_цфо">#REF!</definedName>
    <definedName name="справ_назначение" localSheetId="16">#REF!</definedName>
    <definedName name="справ_назначение">#REF!</definedName>
    <definedName name="справ_цфо" localSheetId="16">#REF!</definedName>
    <definedName name="справ_цфо">#REF!</definedName>
    <definedName name="Статьи_расходов">[16]справочники!$J$3:$J$73</definedName>
  </definedNames>
  <calcPr calcId="152511"/>
</workbook>
</file>

<file path=xl/calcChain.xml><?xml version="1.0" encoding="utf-8"?>
<calcChain xmlns="http://schemas.openxmlformats.org/spreadsheetml/2006/main">
  <c r="C32" i="72" l="1"/>
  <c r="C4" i="72"/>
  <c r="C5" i="72"/>
  <c r="C6" i="72"/>
  <c r="C7" i="72"/>
  <c r="C8" i="72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3" i="72"/>
  <c r="D74" i="50" l="1"/>
  <c r="D67" i="50"/>
  <c r="O13" i="42" l="1"/>
  <c r="O11" i="42"/>
  <c r="K17" i="49" l="1"/>
  <c r="P17" i="49"/>
  <c r="I30" i="76"/>
  <c r="M18" i="49"/>
  <c r="M16" i="49"/>
  <c r="R18" i="49"/>
  <c r="Q18" i="49"/>
  <c r="R16" i="49"/>
  <c r="Q16" i="49"/>
  <c r="L18" i="49"/>
  <c r="L16" i="49"/>
  <c r="H30" i="76"/>
  <c r="G30" i="76"/>
  <c r="F30" i="76"/>
  <c r="F29" i="76"/>
  <c r="H29" i="76" s="1"/>
  <c r="F28" i="76"/>
  <c r="H28" i="76" s="1"/>
  <c r="F27" i="76"/>
  <c r="F26" i="76"/>
  <c r="F25" i="76"/>
  <c r="H25" i="76" s="1"/>
  <c r="F24" i="76"/>
  <c r="H24" i="76" s="1"/>
  <c r="F23" i="76"/>
  <c r="H23" i="76" s="1"/>
  <c r="F22" i="76"/>
  <c r="F21" i="76"/>
  <c r="H21" i="76" s="1"/>
  <c r="F20" i="76"/>
  <c r="H20" i="76" s="1"/>
  <c r="H22" i="76"/>
  <c r="H32" i="76"/>
  <c r="H26" i="76"/>
  <c r="H27" i="76"/>
  <c r="P18" i="49" l="1"/>
  <c r="P104" i="49"/>
  <c r="P16" i="49"/>
  <c r="K20" i="49"/>
  <c r="K19" i="49"/>
  <c r="K18" i="49"/>
  <c r="K16" i="49"/>
  <c r="O12" i="76"/>
  <c r="O11" i="76"/>
  <c r="J13" i="76" s="1"/>
  <c r="H12" i="76"/>
  <c r="H11" i="76"/>
  <c r="G13" i="76" s="1"/>
  <c r="E5" i="76"/>
  <c r="E6" i="76"/>
  <c r="E4" i="76"/>
  <c r="E2" i="76"/>
  <c r="E3" i="76"/>
  <c r="E13" i="76" l="1"/>
  <c r="E7" i="76"/>
  <c r="L13" i="76"/>
  <c r="M13" i="76"/>
  <c r="F13" i="76"/>
  <c r="I13" i="76"/>
  <c r="K13" i="76"/>
  <c r="N13" i="76"/>
  <c r="H115" i="49"/>
  <c r="H114" i="49"/>
  <c r="N9" i="75" l="1"/>
  <c r="N8" i="75"/>
  <c r="N7" i="75"/>
  <c r="N6" i="75"/>
  <c r="N5" i="75"/>
  <c r="N4" i="75"/>
  <c r="N3" i="75"/>
  <c r="N2" i="75"/>
  <c r="N10" i="75" s="1"/>
  <c r="B115" i="49"/>
  <c r="B114" i="49"/>
  <c r="B113" i="49"/>
  <c r="B112" i="49"/>
  <c r="B111" i="49"/>
  <c r="B110" i="49"/>
  <c r="B109" i="49"/>
  <c r="B108" i="49"/>
  <c r="B107" i="49"/>
  <c r="B106" i="49"/>
  <c r="B105" i="49"/>
  <c r="B104" i="49"/>
  <c r="B103" i="49"/>
  <c r="B102" i="49"/>
  <c r="B101" i="49"/>
  <c r="B100" i="49"/>
  <c r="B99" i="49"/>
  <c r="B98" i="49"/>
  <c r="B97" i="49"/>
  <c r="B96" i="49"/>
  <c r="B95" i="49"/>
  <c r="B94" i="49"/>
  <c r="B93" i="49"/>
  <c r="B92" i="49"/>
  <c r="B91" i="49"/>
  <c r="B90" i="49"/>
  <c r="B89" i="49"/>
  <c r="B88" i="49"/>
  <c r="B87" i="49"/>
  <c r="B86" i="49"/>
  <c r="B85" i="49"/>
  <c r="B84" i="49"/>
  <c r="B83" i="49"/>
  <c r="B82" i="49"/>
  <c r="B81" i="49"/>
  <c r="B80" i="49"/>
  <c r="B79" i="49"/>
  <c r="B78" i="49"/>
  <c r="B77" i="49"/>
  <c r="B76" i="49"/>
  <c r="B75" i="49"/>
  <c r="B74" i="49"/>
  <c r="B73" i="49"/>
  <c r="B72" i="49"/>
  <c r="B71" i="49"/>
  <c r="B70" i="49"/>
  <c r="B69" i="49"/>
  <c r="B68" i="49"/>
  <c r="B67" i="49"/>
  <c r="B66" i="49"/>
  <c r="B65" i="49"/>
  <c r="B64" i="49"/>
  <c r="B63" i="49"/>
  <c r="B62" i="49"/>
  <c r="B61" i="49"/>
  <c r="B60" i="49"/>
  <c r="B59" i="49"/>
  <c r="B58" i="49"/>
  <c r="B57" i="49"/>
  <c r="B56" i="49"/>
  <c r="B55" i="49"/>
  <c r="B54" i="49"/>
  <c r="B53" i="49"/>
  <c r="B52" i="49"/>
  <c r="B51" i="49"/>
  <c r="B50" i="49"/>
  <c r="B49" i="49"/>
  <c r="B48" i="49"/>
  <c r="B47" i="49"/>
  <c r="B46" i="49"/>
  <c r="B45" i="49"/>
  <c r="B44" i="49"/>
  <c r="B43" i="49"/>
  <c r="B42" i="49"/>
  <c r="B41" i="49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B17" i="49"/>
  <c r="B18" i="49" s="1"/>
  <c r="B19" i="49" s="1"/>
  <c r="B20" i="49" s="1"/>
  <c r="B21" i="49" s="1"/>
  <c r="B22" i="49" s="1"/>
  <c r="B23" i="49" s="1"/>
  <c r="B24" i="49" s="1"/>
  <c r="B25" i="49" s="1"/>
  <c r="K38" i="48" l="1"/>
  <c r="J349" i="49" l="1"/>
  <c r="M247" i="49" l="1"/>
  <c r="BJ247" i="49" s="1"/>
  <c r="M248" i="49"/>
  <c r="M249" i="49"/>
  <c r="M250" i="49"/>
  <c r="M251" i="49"/>
  <c r="BJ251" i="49" s="1"/>
  <c r="M252" i="49"/>
  <c r="M253" i="49"/>
  <c r="BJ253" i="49" s="1"/>
  <c r="BA342" i="49"/>
  <c r="BF341" i="49"/>
  <c r="BF342" i="49" s="1"/>
  <c r="BE341" i="49"/>
  <c r="BA341" i="49"/>
  <c r="AZ341" i="49"/>
  <c r="AV341" i="49"/>
  <c r="AV342" i="49" s="1"/>
  <c r="AU341" i="49"/>
  <c r="AQ341" i="49"/>
  <c r="AQ342" i="49" s="1"/>
  <c r="AP341" i="49"/>
  <c r="AL341" i="49"/>
  <c r="AL342" i="49" s="1"/>
  <c r="AK341" i="49"/>
  <c r="AG341" i="49"/>
  <c r="AG342" i="49" s="1"/>
  <c r="AF341" i="49"/>
  <c r="AB341" i="49"/>
  <c r="AB342" i="49" s="1"/>
  <c r="AA341" i="49"/>
  <c r="W341" i="49"/>
  <c r="W342" i="49" s="1"/>
  <c r="V341" i="49"/>
  <c r="R341" i="49"/>
  <c r="R342" i="49" s="1"/>
  <c r="Q341" i="49"/>
  <c r="L341" i="49"/>
  <c r="BS340" i="49"/>
  <c r="BM340" i="49"/>
  <c r="BJ340" i="49"/>
  <c r="BI340" i="49"/>
  <c r="BQ340" i="49" s="1"/>
  <c r="BG340" i="49"/>
  <c r="BD340" i="49"/>
  <c r="BC340" i="49" s="1"/>
  <c r="BB340" i="49"/>
  <c r="AY340" i="49"/>
  <c r="AX340" i="49" s="1"/>
  <c r="AT340" i="49"/>
  <c r="AS340" i="49"/>
  <c r="AO340" i="49"/>
  <c r="AN340" i="49" s="1"/>
  <c r="AJ340" i="49"/>
  <c r="AI340" i="49" s="1"/>
  <c r="AE340" i="49"/>
  <c r="AD340" i="49" s="1"/>
  <c r="Z340" i="49"/>
  <c r="Y340" i="49" s="1"/>
  <c r="T340" i="49"/>
  <c r="P340" i="49"/>
  <c r="K340" i="49"/>
  <c r="BS339" i="49"/>
  <c r="BM339" i="49"/>
  <c r="BQ339" i="49" s="1"/>
  <c r="BJ339" i="49"/>
  <c r="BI339" i="49"/>
  <c r="BG339" i="49"/>
  <c r="BD339" i="49"/>
  <c r="BC339" i="49" s="1"/>
  <c r="BB339" i="49"/>
  <c r="AY339" i="49"/>
  <c r="AX339" i="49" s="1"/>
  <c r="AT339" i="49"/>
  <c r="AS339" i="49"/>
  <c r="AO339" i="49"/>
  <c r="AN339" i="49" s="1"/>
  <c r="AJ339" i="49"/>
  <c r="AI339" i="49" s="1"/>
  <c r="AE339" i="49"/>
  <c r="AD339" i="49" s="1"/>
  <c r="Z339" i="49"/>
  <c r="Y339" i="49" s="1"/>
  <c r="T339" i="49"/>
  <c r="P339" i="49"/>
  <c r="K339" i="49"/>
  <c r="J339" i="49" s="1"/>
  <c r="BS338" i="49"/>
  <c r="BM338" i="49"/>
  <c r="BJ338" i="49"/>
  <c r="BI338" i="49"/>
  <c r="BQ338" i="49" s="1"/>
  <c r="BG338" i="49"/>
  <c r="BD338" i="49"/>
  <c r="BC338" i="49" s="1"/>
  <c r="BB338" i="49"/>
  <c r="AY338" i="49"/>
  <c r="AX338" i="49" s="1"/>
  <c r="AT338" i="49"/>
  <c r="AS338" i="49" s="1"/>
  <c r="AO338" i="49"/>
  <c r="AN338" i="49" s="1"/>
  <c r="AJ338" i="49"/>
  <c r="AI338" i="49" s="1"/>
  <c r="AE338" i="49"/>
  <c r="AD338" i="49"/>
  <c r="Z338" i="49"/>
  <c r="T338" i="49"/>
  <c r="P338" i="49"/>
  <c r="O338" i="49"/>
  <c r="K338" i="49"/>
  <c r="J338" i="49" s="1"/>
  <c r="H338" i="49"/>
  <c r="BS337" i="49"/>
  <c r="BM337" i="49"/>
  <c r="BQ337" i="49" s="1"/>
  <c r="BJ337" i="49"/>
  <c r="BI337" i="49"/>
  <c r="BG337" i="49"/>
  <c r="BD337" i="49"/>
  <c r="BC337" i="49" s="1"/>
  <c r="BB337" i="49"/>
  <c r="AY337" i="49"/>
  <c r="AX337" i="49"/>
  <c r="AT337" i="49"/>
  <c r="AS337" i="49" s="1"/>
  <c r="AO337" i="49"/>
  <c r="AN337" i="49" s="1"/>
  <c r="AJ337" i="49"/>
  <c r="AI337" i="49" s="1"/>
  <c r="AE337" i="49"/>
  <c r="AD337" i="49" s="1"/>
  <c r="Z337" i="49"/>
  <c r="Y337" i="49" s="1"/>
  <c r="T337" i="49"/>
  <c r="P337" i="49"/>
  <c r="O337" i="49" s="1"/>
  <c r="K337" i="49"/>
  <c r="J337" i="49" s="1"/>
  <c r="H337" i="49"/>
  <c r="BS336" i="49"/>
  <c r="BM336" i="49"/>
  <c r="BJ336" i="49"/>
  <c r="BI336" i="49"/>
  <c r="BQ336" i="49" s="1"/>
  <c r="BG336" i="49"/>
  <c r="BD336" i="49"/>
  <c r="BC336" i="49" s="1"/>
  <c r="BB336" i="49"/>
  <c r="AY336" i="49"/>
  <c r="AX336" i="49" s="1"/>
  <c r="AT336" i="49"/>
  <c r="AS336" i="49" s="1"/>
  <c r="AO336" i="49"/>
  <c r="AN336" i="49" s="1"/>
  <c r="AJ336" i="49"/>
  <c r="AI336" i="49" s="1"/>
  <c r="AE336" i="49"/>
  <c r="AD336" i="49" s="1"/>
  <c r="Z336" i="49"/>
  <c r="Y336" i="49" s="1"/>
  <c r="T336" i="49"/>
  <c r="P336" i="49"/>
  <c r="O336" i="49" s="1"/>
  <c r="K336" i="49"/>
  <c r="J336" i="49"/>
  <c r="H336" i="49"/>
  <c r="BS335" i="49"/>
  <c r="BM335" i="49"/>
  <c r="BJ335" i="49"/>
  <c r="BI335" i="49"/>
  <c r="BG335" i="49"/>
  <c r="BD335" i="49"/>
  <c r="BC335" i="49" s="1"/>
  <c r="BB335" i="49"/>
  <c r="AY335" i="49"/>
  <c r="AX335" i="49" s="1"/>
  <c r="AT335" i="49"/>
  <c r="AS335" i="49" s="1"/>
  <c r="AO335" i="49"/>
  <c r="AN335" i="49"/>
  <c r="AJ335" i="49"/>
  <c r="AE335" i="49"/>
  <c r="AD335" i="49" s="1"/>
  <c r="Z335" i="49"/>
  <c r="Y335" i="49" s="1"/>
  <c r="T335" i="49"/>
  <c r="P335" i="49"/>
  <c r="O335" i="49" s="1"/>
  <c r="K335" i="49"/>
  <c r="J335" i="49" s="1"/>
  <c r="H335" i="49"/>
  <c r="BS334" i="49"/>
  <c r="BM334" i="49"/>
  <c r="BJ334" i="49"/>
  <c r="BI334" i="49"/>
  <c r="BQ334" i="49" s="1"/>
  <c r="BG334" i="49"/>
  <c r="BD334" i="49"/>
  <c r="BC334" i="49" s="1"/>
  <c r="BB334" i="49"/>
  <c r="AY334" i="49"/>
  <c r="AX334" i="49" s="1"/>
  <c r="AT334" i="49"/>
  <c r="AS334" i="49" s="1"/>
  <c r="AO334" i="49"/>
  <c r="AN334" i="49"/>
  <c r="AJ334" i="49"/>
  <c r="AI334" i="49" s="1"/>
  <c r="AE334" i="49"/>
  <c r="AD334" i="49" s="1"/>
  <c r="Z334" i="49"/>
  <c r="Y334" i="49" s="1"/>
  <c r="T334" i="49"/>
  <c r="P334" i="49"/>
  <c r="O334" i="49" s="1"/>
  <c r="K334" i="49"/>
  <c r="J334" i="49" s="1"/>
  <c r="H334" i="49"/>
  <c r="BS333" i="49"/>
  <c r="BM333" i="49"/>
  <c r="BQ333" i="49" s="1"/>
  <c r="BJ333" i="49"/>
  <c r="BI333" i="49"/>
  <c r="BG333" i="49"/>
  <c r="BD333" i="49"/>
  <c r="BC333" i="49" s="1"/>
  <c r="BB333" i="49"/>
  <c r="AY333" i="49"/>
  <c r="AX333" i="49" s="1"/>
  <c r="AT333" i="49"/>
  <c r="AS333" i="49" s="1"/>
  <c r="AO333" i="49"/>
  <c r="AN333" i="49" s="1"/>
  <c r="AJ333" i="49"/>
  <c r="AI333" i="49" s="1"/>
  <c r="AE333" i="49"/>
  <c r="AD333" i="49" s="1"/>
  <c r="Z333" i="49"/>
  <c r="T333" i="49"/>
  <c r="P333" i="49"/>
  <c r="O333" i="49" s="1"/>
  <c r="K333" i="49"/>
  <c r="H333" i="49"/>
  <c r="BS332" i="49"/>
  <c r="BM332" i="49"/>
  <c r="BJ332" i="49"/>
  <c r="BI332" i="49"/>
  <c r="BQ332" i="49" s="1"/>
  <c r="BG332" i="49"/>
  <c r="BD332" i="49"/>
  <c r="BC332" i="49" s="1"/>
  <c r="BB332" i="49"/>
  <c r="AY332" i="49"/>
  <c r="AX332" i="49" s="1"/>
  <c r="AT332" i="49"/>
  <c r="AS332" i="49" s="1"/>
  <c r="AO332" i="49"/>
  <c r="AN332" i="49"/>
  <c r="AJ332" i="49"/>
  <c r="AI332" i="49" s="1"/>
  <c r="AE332" i="49"/>
  <c r="AD332" i="49" s="1"/>
  <c r="Z332" i="49"/>
  <c r="Y332" i="49" s="1"/>
  <c r="T332" i="49"/>
  <c r="P332" i="49"/>
  <c r="K332" i="49"/>
  <c r="J332" i="49" s="1"/>
  <c r="H332" i="49"/>
  <c r="BS331" i="49"/>
  <c r="BM331" i="49"/>
  <c r="BJ331" i="49"/>
  <c r="BI331" i="49"/>
  <c r="BG331" i="49"/>
  <c r="BD331" i="49"/>
  <c r="BC331" i="49" s="1"/>
  <c r="BB331" i="49"/>
  <c r="AY331" i="49"/>
  <c r="AX331" i="49" s="1"/>
  <c r="AT331" i="49"/>
  <c r="AS331" i="49"/>
  <c r="AO331" i="49"/>
  <c r="AN331" i="49" s="1"/>
  <c r="AJ331" i="49"/>
  <c r="AI331" i="49" s="1"/>
  <c r="AE331" i="49"/>
  <c r="AD331" i="49"/>
  <c r="Z331" i="49"/>
  <c r="Y331" i="49" s="1"/>
  <c r="T331" i="49"/>
  <c r="P331" i="49"/>
  <c r="O331" i="49"/>
  <c r="K331" i="49"/>
  <c r="H331" i="49"/>
  <c r="BS330" i="49"/>
  <c r="BQ330" i="49"/>
  <c r="BM330" i="49"/>
  <c r="BJ330" i="49"/>
  <c r="BI330" i="49"/>
  <c r="BG330" i="49"/>
  <c r="BD330" i="49"/>
  <c r="BC330" i="49" s="1"/>
  <c r="BB330" i="49"/>
  <c r="AY330" i="49"/>
  <c r="AX330" i="49" s="1"/>
  <c r="AT330" i="49"/>
  <c r="AS330" i="49" s="1"/>
  <c r="AO330" i="49"/>
  <c r="AN330" i="49"/>
  <c r="AJ330" i="49"/>
  <c r="AI330" i="49" s="1"/>
  <c r="AE330" i="49"/>
  <c r="AD330" i="49" s="1"/>
  <c r="Z330" i="49"/>
  <c r="Y330" i="49"/>
  <c r="T330" i="49"/>
  <c r="P330" i="49"/>
  <c r="K330" i="49"/>
  <c r="J330" i="49"/>
  <c r="H330" i="49"/>
  <c r="BS329" i="49"/>
  <c r="BM329" i="49"/>
  <c r="BJ329" i="49"/>
  <c r="BI329" i="49"/>
  <c r="BG329" i="49"/>
  <c r="BD329" i="49"/>
  <c r="BC329" i="49" s="1"/>
  <c r="BB329" i="49"/>
  <c r="AY329" i="49"/>
  <c r="AX329" i="49" s="1"/>
  <c r="AT329" i="49"/>
  <c r="AO329" i="49"/>
  <c r="AN329" i="49" s="1"/>
  <c r="AJ329" i="49"/>
  <c r="AI329" i="49" s="1"/>
  <c r="AE329" i="49"/>
  <c r="AD329" i="49" s="1"/>
  <c r="Z329" i="49"/>
  <c r="Y329" i="49" s="1"/>
  <c r="T329" i="49"/>
  <c r="P329" i="49"/>
  <c r="O329" i="49" s="1"/>
  <c r="K329" i="49"/>
  <c r="H329" i="49"/>
  <c r="BS328" i="49"/>
  <c r="BM328" i="49"/>
  <c r="BJ328" i="49"/>
  <c r="BI328" i="49"/>
  <c r="BQ328" i="49" s="1"/>
  <c r="BG328" i="49"/>
  <c r="BD328" i="49"/>
  <c r="BC328" i="49" s="1"/>
  <c r="BB328" i="49"/>
  <c r="AY328" i="49"/>
  <c r="AX328" i="49" s="1"/>
  <c r="AT328" i="49"/>
  <c r="AS328" i="49" s="1"/>
  <c r="AO328" i="49"/>
  <c r="AN328" i="49"/>
  <c r="AJ328" i="49"/>
  <c r="AI328" i="49" s="1"/>
  <c r="AE328" i="49"/>
  <c r="AD328" i="49" s="1"/>
  <c r="Z328" i="49"/>
  <c r="T328" i="49"/>
  <c r="P328" i="49"/>
  <c r="O328" i="49"/>
  <c r="K328" i="49"/>
  <c r="J328" i="49" s="1"/>
  <c r="H328" i="49"/>
  <c r="BS327" i="49"/>
  <c r="BM327" i="49"/>
  <c r="BJ327" i="49"/>
  <c r="BI327" i="49"/>
  <c r="BG327" i="49"/>
  <c r="BD327" i="49"/>
  <c r="BC327" i="49" s="1"/>
  <c r="BB327" i="49"/>
  <c r="AY327" i="49"/>
  <c r="AX327" i="49" s="1"/>
  <c r="AT327" i="49"/>
  <c r="AS327" i="49" s="1"/>
  <c r="AO327" i="49"/>
  <c r="AN327" i="49" s="1"/>
  <c r="AJ327" i="49"/>
  <c r="AI327" i="49"/>
  <c r="AE327" i="49"/>
  <c r="AD327" i="49"/>
  <c r="Z327" i="49"/>
  <c r="Y327" i="49" s="1"/>
  <c r="T327" i="49"/>
  <c r="P327" i="49"/>
  <c r="O327" i="49"/>
  <c r="K327" i="49"/>
  <c r="J327" i="49" s="1"/>
  <c r="H327" i="49"/>
  <c r="BS326" i="49"/>
  <c r="BM326" i="49"/>
  <c r="BJ326" i="49"/>
  <c r="BI326" i="49"/>
  <c r="BG326" i="49"/>
  <c r="BD326" i="49"/>
  <c r="BC326" i="49" s="1"/>
  <c r="BB326" i="49"/>
  <c r="AY326" i="49"/>
  <c r="AX326" i="49"/>
  <c r="AT326" i="49"/>
  <c r="AS326" i="49" s="1"/>
  <c r="AO326" i="49"/>
  <c r="AJ326" i="49"/>
  <c r="AI326" i="49" s="1"/>
  <c r="AE326" i="49"/>
  <c r="AD326" i="49" s="1"/>
  <c r="Z326" i="49"/>
  <c r="T326" i="49"/>
  <c r="P326" i="49"/>
  <c r="O326" i="49" s="1"/>
  <c r="K326" i="49"/>
  <c r="J326" i="49" s="1"/>
  <c r="H326" i="49"/>
  <c r="BS325" i="49"/>
  <c r="BM325" i="49"/>
  <c r="BJ325" i="49"/>
  <c r="BI325" i="49"/>
  <c r="BG325" i="49"/>
  <c r="BD325" i="49"/>
  <c r="BC325" i="49" s="1"/>
  <c r="BB325" i="49"/>
  <c r="AY325" i="49"/>
  <c r="AX325" i="49" s="1"/>
  <c r="AT325" i="49"/>
  <c r="AS325" i="49" s="1"/>
  <c r="AO325" i="49"/>
  <c r="AN325" i="49" s="1"/>
  <c r="AJ325" i="49"/>
  <c r="AI325" i="49" s="1"/>
  <c r="AE325" i="49"/>
  <c r="AD325" i="49" s="1"/>
  <c r="Z325" i="49"/>
  <c r="T325" i="49"/>
  <c r="P325" i="49"/>
  <c r="O325" i="49" s="1"/>
  <c r="K325" i="49"/>
  <c r="J325" i="49" s="1"/>
  <c r="H325" i="49"/>
  <c r="BS324" i="49"/>
  <c r="BM324" i="49"/>
  <c r="BJ324" i="49"/>
  <c r="BI324" i="49"/>
  <c r="BG324" i="49"/>
  <c r="BD324" i="49"/>
  <c r="BC324" i="49" s="1"/>
  <c r="BB324" i="49"/>
  <c r="AY324" i="49"/>
  <c r="AX324" i="49"/>
  <c r="AT324" i="49"/>
  <c r="AS324" i="49" s="1"/>
  <c r="AO324" i="49"/>
  <c r="AN324" i="49"/>
  <c r="AJ324" i="49"/>
  <c r="AI324" i="49" s="1"/>
  <c r="AE324" i="49"/>
  <c r="AD324" i="49" s="1"/>
  <c r="Z324" i="49"/>
  <c r="T324" i="49"/>
  <c r="P324" i="49"/>
  <c r="O324" i="49" s="1"/>
  <c r="K324" i="49"/>
  <c r="H324" i="49"/>
  <c r="BS323" i="49"/>
  <c r="BM323" i="49"/>
  <c r="BJ323" i="49"/>
  <c r="BI323" i="49"/>
  <c r="BG323" i="49"/>
  <c r="BD323" i="49"/>
  <c r="BC323" i="49" s="1"/>
  <c r="BB323" i="49"/>
  <c r="AY323" i="49"/>
  <c r="AX323" i="49" s="1"/>
  <c r="AT323" i="49"/>
  <c r="AS323" i="49" s="1"/>
  <c r="AO323" i="49"/>
  <c r="AN323" i="49" s="1"/>
  <c r="AJ323" i="49"/>
  <c r="AI323" i="49" s="1"/>
  <c r="AE323" i="49"/>
  <c r="AD323" i="49" s="1"/>
  <c r="Z323" i="49"/>
  <c r="T323" i="49"/>
  <c r="P323" i="49"/>
  <c r="O323" i="49"/>
  <c r="K323" i="49"/>
  <c r="J323" i="49" s="1"/>
  <c r="H323" i="49"/>
  <c r="BS322" i="49"/>
  <c r="BM322" i="49"/>
  <c r="BJ322" i="49"/>
  <c r="BI322" i="49"/>
  <c r="BG322" i="49"/>
  <c r="BD322" i="49"/>
  <c r="BC322" i="49" s="1"/>
  <c r="BB322" i="49"/>
  <c r="AY322" i="49"/>
  <c r="AX322" i="49" s="1"/>
  <c r="AT322" i="49"/>
  <c r="AS322" i="49" s="1"/>
  <c r="AO322" i="49"/>
  <c r="AJ322" i="49"/>
  <c r="AI322" i="49" s="1"/>
  <c r="AE322" i="49"/>
  <c r="AD322" i="49"/>
  <c r="Z322" i="49"/>
  <c r="T322" i="49"/>
  <c r="P322" i="49"/>
  <c r="O322" i="49" s="1"/>
  <c r="K322" i="49"/>
  <c r="J322" i="49" s="1"/>
  <c r="H322" i="49"/>
  <c r="BS321" i="49"/>
  <c r="BM321" i="49"/>
  <c r="BJ321" i="49"/>
  <c r="BI321" i="49"/>
  <c r="BG321" i="49"/>
  <c r="BD321" i="49"/>
  <c r="BC321" i="49" s="1"/>
  <c r="BB321" i="49"/>
  <c r="AY321" i="49"/>
  <c r="AX321" i="49" s="1"/>
  <c r="AT321" i="49"/>
  <c r="AS321" i="49" s="1"/>
  <c r="AO321" i="49"/>
  <c r="AN321" i="49" s="1"/>
  <c r="AJ321" i="49"/>
  <c r="AI321" i="49" s="1"/>
  <c r="AE321" i="49"/>
  <c r="Z321" i="49"/>
  <c r="Y321" i="49" s="1"/>
  <c r="T321" i="49"/>
  <c r="P321" i="49"/>
  <c r="K321" i="49"/>
  <c r="J321" i="49" s="1"/>
  <c r="H321" i="49"/>
  <c r="BS320" i="49"/>
  <c r="BM320" i="49"/>
  <c r="BJ320" i="49"/>
  <c r="BI320" i="49"/>
  <c r="BG320" i="49"/>
  <c r="BD320" i="49"/>
  <c r="BC320" i="49" s="1"/>
  <c r="BB320" i="49"/>
  <c r="AY320" i="49"/>
  <c r="AX320" i="49" s="1"/>
  <c r="AT320" i="49"/>
  <c r="AS320" i="49"/>
  <c r="AO320" i="49"/>
  <c r="AN320" i="49" s="1"/>
  <c r="AJ320" i="49"/>
  <c r="AI320" i="49" s="1"/>
  <c r="AE320" i="49"/>
  <c r="AD320" i="49" s="1"/>
  <c r="Z320" i="49"/>
  <c r="Y320" i="49" s="1"/>
  <c r="T320" i="49"/>
  <c r="P320" i="49"/>
  <c r="O320" i="49" s="1"/>
  <c r="K320" i="49"/>
  <c r="J320" i="49"/>
  <c r="H320" i="49"/>
  <c r="BS319" i="49"/>
  <c r="BM319" i="49"/>
  <c r="BJ319" i="49"/>
  <c r="BI319" i="49"/>
  <c r="BQ319" i="49" s="1"/>
  <c r="BG319" i="49"/>
  <c r="BD319" i="49"/>
  <c r="BC319" i="49"/>
  <c r="BB319" i="49"/>
  <c r="AY319" i="49"/>
  <c r="AX319" i="49" s="1"/>
  <c r="AT319" i="49"/>
  <c r="AS319" i="49"/>
  <c r="AO319" i="49"/>
  <c r="AN319" i="49" s="1"/>
  <c r="AJ319" i="49"/>
  <c r="AI319" i="49" s="1"/>
  <c r="AE319" i="49"/>
  <c r="AD319" i="49"/>
  <c r="Z319" i="49"/>
  <c r="Y319" i="49" s="1"/>
  <c r="T319" i="49"/>
  <c r="P319" i="49"/>
  <c r="O319" i="49"/>
  <c r="K319" i="49"/>
  <c r="J319" i="49"/>
  <c r="H319" i="49"/>
  <c r="BS318" i="49"/>
  <c r="BM318" i="49"/>
  <c r="BJ318" i="49"/>
  <c r="BI318" i="49"/>
  <c r="BG318" i="49"/>
  <c r="BD318" i="49"/>
  <c r="BC318" i="49"/>
  <c r="BB318" i="49"/>
  <c r="AY318" i="49"/>
  <c r="AX318" i="49" s="1"/>
  <c r="AT318" i="49"/>
  <c r="AS318" i="49" s="1"/>
  <c r="AO318" i="49"/>
  <c r="AN318" i="49" s="1"/>
  <c r="AJ318" i="49"/>
  <c r="AI318" i="49" s="1"/>
  <c r="AE318" i="49"/>
  <c r="AD318" i="49" s="1"/>
  <c r="Z318" i="49"/>
  <c r="Y318" i="49" s="1"/>
  <c r="T318" i="49"/>
  <c r="P318" i="49"/>
  <c r="O318" i="49" s="1"/>
  <c r="K318" i="49"/>
  <c r="J318" i="49" s="1"/>
  <c r="H318" i="49"/>
  <c r="BS317" i="49"/>
  <c r="BM317" i="49"/>
  <c r="BJ317" i="49"/>
  <c r="BI317" i="49"/>
  <c r="BG317" i="49"/>
  <c r="BD317" i="49"/>
  <c r="BC317" i="49" s="1"/>
  <c r="BB317" i="49"/>
  <c r="AY317" i="49"/>
  <c r="AX317" i="49" s="1"/>
  <c r="AT317" i="49"/>
  <c r="AS317" i="49" s="1"/>
  <c r="AO317" i="49"/>
  <c r="AN317" i="49" s="1"/>
  <c r="AJ317" i="49"/>
  <c r="AI317" i="49" s="1"/>
  <c r="AE317" i="49"/>
  <c r="AD317" i="49" s="1"/>
  <c r="Z317" i="49"/>
  <c r="Y317" i="49" s="1"/>
  <c r="T317" i="49"/>
  <c r="P317" i="49"/>
  <c r="O317" i="49" s="1"/>
  <c r="K317" i="49"/>
  <c r="J317" i="49"/>
  <c r="H317" i="49"/>
  <c r="BS316" i="49"/>
  <c r="BM316" i="49"/>
  <c r="BJ316" i="49"/>
  <c r="BI316" i="49"/>
  <c r="BQ316" i="49" s="1"/>
  <c r="BG316" i="49"/>
  <c r="BD316" i="49"/>
  <c r="BC316" i="49"/>
  <c r="BB316" i="49"/>
  <c r="AY316" i="49"/>
  <c r="AX316" i="49" s="1"/>
  <c r="AT316" i="49"/>
  <c r="AS316" i="49" s="1"/>
  <c r="AO316" i="49"/>
  <c r="AN316" i="49" s="1"/>
  <c r="AJ316" i="49"/>
  <c r="AI316" i="49" s="1"/>
  <c r="AE316" i="49"/>
  <c r="AD316" i="49" s="1"/>
  <c r="Z316" i="49"/>
  <c r="Y316" i="49" s="1"/>
  <c r="T316" i="49"/>
  <c r="P316" i="49"/>
  <c r="O316" i="49" s="1"/>
  <c r="K316" i="49"/>
  <c r="J316" i="49"/>
  <c r="H316" i="49"/>
  <c r="BS315" i="49"/>
  <c r="BM315" i="49"/>
  <c r="BJ315" i="49"/>
  <c r="BI315" i="49"/>
  <c r="BQ315" i="49" s="1"/>
  <c r="BG315" i="49"/>
  <c r="BD315" i="49"/>
  <c r="BC315" i="49"/>
  <c r="BB315" i="49"/>
  <c r="AY315" i="49"/>
  <c r="AX315" i="49" s="1"/>
  <c r="AT315" i="49"/>
  <c r="AS315" i="49"/>
  <c r="AO315" i="49"/>
  <c r="AN315" i="49" s="1"/>
  <c r="AJ315" i="49"/>
  <c r="AI315" i="49" s="1"/>
  <c r="AE315" i="49"/>
  <c r="AD315" i="49"/>
  <c r="Z315" i="49"/>
  <c r="Y315" i="49" s="1"/>
  <c r="T315" i="49"/>
  <c r="P315" i="49"/>
  <c r="O315" i="49"/>
  <c r="K315" i="49"/>
  <c r="J315" i="49"/>
  <c r="H315" i="49"/>
  <c r="BS314" i="49"/>
  <c r="BM314" i="49"/>
  <c r="BJ314" i="49"/>
  <c r="BI314" i="49"/>
  <c r="BQ314" i="49" s="1"/>
  <c r="BG314" i="49"/>
  <c r="BD314" i="49"/>
  <c r="BC314" i="49"/>
  <c r="BB314" i="49"/>
  <c r="AY314" i="49"/>
  <c r="AX314" i="49" s="1"/>
  <c r="AT314" i="49"/>
  <c r="AS314" i="49" s="1"/>
  <c r="AO314" i="49"/>
  <c r="AN314" i="49" s="1"/>
  <c r="AJ314" i="49"/>
  <c r="AI314" i="49" s="1"/>
  <c r="AE314" i="49"/>
  <c r="AD314" i="49" s="1"/>
  <c r="Z314" i="49"/>
  <c r="Y314" i="49" s="1"/>
  <c r="T314" i="49"/>
  <c r="P314" i="49"/>
  <c r="O314" i="49" s="1"/>
  <c r="K314" i="49"/>
  <c r="J314" i="49" s="1"/>
  <c r="H314" i="49"/>
  <c r="BS313" i="49"/>
  <c r="BM313" i="49"/>
  <c r="BJ313" i="49"/>
  <c r="BI313" i="49"/>
  <c r="BQ313" i="49" s="1"/>
  <c r="BG313" i="49"/>
  <c r="BD313" i="49"/>
  <c r="BC313" i="49" s="1"/>
  <c r="BB313" i="49"/>
  <c r="AY313" i="49"/>
  <c r="AX313" i="49" s="1"/>
  <c r="AT313" i="49"/>
  <c r="AS313" i="49"/>
  <c r="AO313" i="49"/>
  <c r="AN313" i="49" s="1"/>
  <c r="AJ313" i="49"/>
  <c r="AI313" i="49" s="1"/>
  <c r="AE313" i="49"/>
  <c r="AD313" i="49" s="1"/>
  <c r="Z313" i="49"/>
  <c r="Y313" i="49" s="1"/>
  <c r="T313" i="49"/>
  <c r="P313" i="49"/>
  <c r="O313" i="49"/>
  <c r="K313" i="49"/>
  <c r="J313" i="49" s="1"/>
  <c r="H313" i="49"/>
  <c r="BS312" i="49"/>
  <c r="BM312" i="49"/>
  <c r="BJ312" i="49"/>
  <c r="BI312" i="49"/>
  <c r="BG312" i="49"/>
  <c r="BD312" i="49"/>
  <c r="BC312" i="49" s="1"/>
  <c r="BB312" i="49"/>
  <c r="AY312" i="49"/>
  <c r="AX312" i="49" s="1"/>
  <c r="AT312" i="49"/>
  <c r="AS312" i="49" s="1"/>
  <c r="AO312" i="49"/>
  <c r="AN312" i="49" s="1"/>
  <c r="AJ312" i="49"/>
  <c r="AI312" i="49" s="1"/>
  <c r="AE312" i="49"/>
  <c r="AD312" i="49" s="1"/>
  <c r="Z312" i="49"/>
  <c r="Y312" i="49" s="1"/>
  <c r="T312" i="49"/>
  <c r="P312" i="49"/>
  <c r="O312" i="49" s="1"/>
  <c r="K312" i="49"/>
  <c r="J312" i="49"/>
  <c r="H312" i="49"/>
  <c r="BS311" i="49"/>
  <c r="BM311" i="49"/>
  <c r="BJ311" i="49"/>
  <c r="BI311" i="49"/>
  <c r="BG311" i="49"/>
  <c r="BD311" i="49"/>
  <c r="BC311" i="49"/>
  <c r="BB311" i="49"/>
  <c r="AY311" i="49"/>
  <c r="AX311" i="49" s="1"/>
  <c r="AT311" i="49"/>
  <c r="AS311" i="49"/>
  <c r="AO311" i="49"/>
  <c r="AN311" i="49" s="1"/>
  <c r="AJ311" i="49"/>
  <c r="AI311" i="49" s="1"/>
  <c r="AE311" i="49"/>
  <c r="AD311" i="49"/>
  <c r="Z311" i="49"/>
  <c r="Y311" i="49" s="1"/>
  <c r="T311" i="49"/>
  <c r="P311" i="49"/>
  <c r="O311" i="49"/>
  <c r="K311" i="49"/>
  <c r="J311" i="49" s="1"/>
  <c r="H311" i="49"/>
  <c r="BS310" i="49"/>
  <c r="BM310" i="49"/>
  <c r="BJ310" i="49"/>
  <c r="BI310" i="49"/>
  <c r="BQ310" i="49" s="1"/>
  <c r="BG310" i="49"/>
  <c r="BD310" i="49"/>
  <c r="BC310" i="49" s="1"/>
  <c r="BB310" i="49"/>
  <c r="AY310" i="49"/>
  <c r="AX310" i="49" s="1"/>
  <c r="AT310" i="49"/>
  <c r="AS310" i="49" s="1"/>
  <c r="AO310" i="49"/>
  <c r="AN310" i="49" s="1"/>
  <c r="AJ310" i="49"/>
  <c r="AI310" i="49" s="1"/>
  <c r="AE310" i="49"/>
  <c r="AD310" i="49" s="1"/>
  <c r="Z310" i="49"/>
  <c r="Y310" i="49" s="1"/>
  <c r="T310" i="49"/>
  <c r="P310" i="49"/>
  <c r="O310" i="49" s="1"/>
  <c r="K310" i="49"/>
  <c r="J310" i="49" s="1"/>
  <c r="H310" i="49"/>
  <c r="BS309" i="49"/>
  <c r="BM309" i="49"/>
  <c r="BJ309" i="49"/>
  <c r="BI309" i="49"/>
  <c r="BG309" i="49"/>
  <c r="BD309" i="49"/>
  <c r="BC309" i="49" s="1"/>
  <c r="BB309" i="49"/>
  <c r="AY309" i="49"/>
  <c r="AX309" i="49" s="1"/>
  <c r="AT309" i="49"/>
  <c r="AS309" i="49" s="1"/>
  <c r="AO309" i="49"/>
  <c r="AN309" i="49" s="1"/>
  <c r="AJ309" i="49"/>
  <c r="AI309" i="49" s="1"/>
  <c r="AE309" i="49"/>
  <c r="AD309" i="49" s="1"/>
  <c r="Y309" i="49"/>
  <c r="T309" i="49"/>
  <c r="P309" i="49"/>
  <c r="O309" i="49" s="1"/>
  <c r="K309" i="49"/>
  <c r="H309" i="49"/>
  <c r="BS308" i="49"/>
  <c r="BM308" i="49"/>
  <c r="BJ308" i="49"/>
  <c r="BI308" i="49"/>
  <c r="BQ308" i="49" s="1"/>
  <c r="BG308" i="49"/>
  <c r="BD308" i="49"/>
  <c r="BC308" i="49" s="1"/>
  <c r="BB308" i="49"/>
  <c r="AY308" i="49"/>
  <c r="AX308" i="49" s="1"/>
  <c r="AT308" i="49"/>
  <c r="AS308" i="49" s="1"/>
  <c r="AO308" i="49"/>
  <c r="AN308" i="49" s="1"/>
  <c r="AJ308" i="49"/>
  <c r="AI308" i="49" s="1"/>
  <c r="AE308" i="49"/>
  <c r="AD308" i="49" s="1"/>
  <c r="Y308" i="49"/>
  <c r="T308" i="49"/>
  <c r="P308" i="49"/>
  <c r="K308" i="49"/>
  <c r="H308" i="49"/>
  <c r="BS307" i="49"/>
  <c r="BM307" i="49"/>
  <c r="BJ307" i="49"/>
  <c r="BI307" i="49"/>
  <c r="BG307" i="49"/>
  <c r="BD307" i="49"/>
  <c r="BC307" i="49" s="1"/>
  <c r="BB307" i="49"/>
  <c r="AY307" i="49"/>
  <c r="AX307" i="49" s="1"/>
  <c r="AT307" i="49"/>
  <c r="AS307" i="49" s="1"/>
  <c r="AO307" i="49"/>
  <c r="AN307" i="49" s="1"/>
  <c r="AJ307" i="49"/>
  <c r="AI307" i="49" s="1"/>
  <c r="AE307" i="49"/>
  <c r="AD307" i="49" s="1"/>
  <c r="Y307" i="49"/>
  <c r="T307" i="49"/>
  <c r="P307" i="49"/>
  <c r="O307" i="49" s="1"/>
  <c r="K307" i="49"/>
  <c r="J307" i="49"/>
  <c r="H307" i="49"/>
  <c r="BS306" i="49"/>
  <c r="BM306" i="49"/>
  <c r="BJ306" i="49"/>
  <c r="BI306" i="49"/>
  <c r="BG306" i="49"/>
  <c r="BD306" i="49"/>
  <c r="BC306" i="49" s="1"/>
  <c r="BB306" i="49"/>
  <c r="AY306" i="49"/>
  <c r="AX306" i="49" s="1"/>
  <c r="AT306" i="49"/>
  <c r="AS306" i="49" s="1"/>
  <c r="AO306" i="49"/>
  <c r="AN306" i="49" s="1"/>
  <c r="AJ306" i="49"/>
  <c r="AI306" i="49" s="1"/>
  <c r="AE306" i="49"/>
  <c r="AD306" i="49" s="1"/>
  <c r="Z306" i="49"/>
  <c r="Y306" i="49" s="1"/>
  <c r="T306" i="49"/>
  <c r="P306" i="49"/>
  <c r="O306" i="49"/>
  <c r="K306" i="49"/>
  <c r="H306" i="49"/>
  <c r="BS305" i="49"/>
  <c r="BQ305" i="49"/>
  <c r="BM305" i="49"/>
  <c r="BJ305" i="49"/>
  <c r="BI305" i="49"/>
  <c r="BG305" i="49"/>
  <c r="BD305" i="49"/>
  <c r="BC305" i="49" s="1"/>
  <c r="BB305" i="49"/>
  <c r="AY305" i="49"/>
  <c r="AX305" i="49"/>
  <c r="AT305" i="49"/>
  <c r="AS305" i="49" s="1"/>
  <c r="AO305" i="49"/>
  <c r="AN305" i="49" s="1"/>
  <c r="AJ305" i="49"/>
  <c r="AI305" i="49" s="1"/>
  <c r="AE305" i="49"/>
  <c r="AD305" i="49"/>
  <c r="Z305" i="49"/>
  <c r="Y305" i="49"/>
  <c r="T305" i="49"/>
  <c r="P305" i="49"/>
  <c r="K305" i="49"/>
  <c r="J305" i="49"/>
  <c r="H305" i="49"/>
  <c r="BS304" i="49"/>
  <c r="BM304" i="49"/>
  <c r="BJ304" i="49"/>
  <c r="BI304" i="49"/>
  <c r="BG304" i="49"/>
  <c r="BD304" i="49"/>
  <c r="BC304" i="49" s="1"/>
  <c r="BB304" i="49"/>
  <c r="AY304" i="49"/>
  <c r="AX304" i="49" s="1"/>
  <c r="AT304" i="49"/>
  <c r="AS304" i="49" s="1"/>
  <c r="AO304" i="49"/>
  <c r="AN304" i="49" s="1"/>
  <c r="AJ304" i="49"/>
  <c r="AI304" i="49" s="1"/>
  <c r="AE304" i="49"/>
  <c r="AD304" i="49" s="1"/>
  <c r="Z304" i="49"/>
  <c r="Y304" i="49" s="1"/>
  <c r="T304" i="49"/>
  <c r="P304" i="49"/>
  <c r="K304" i="49"/>
  <c r="J304" i="49"/>
  <c r="H304" i="49"/>
  <c r="BS303" i="49"/>
  <c r="BM303" i="49"/>
  <c r="BJ303" i="49"/>
  <c r="BI303" i="49"/>
  <c r="BG303" i="49"/>
  <c r="BD303" i="49"/>
  <c r="BC303" i="49" s="1"/>
  <c r="BB303" i="49"/>
  <c r="AY303" i="49"/>
  <c r="AX303" i="49" s="1"/>
  <c r="AT303" i="49"/>
  <c r="AS303" i="49" s="1"/>
  <c r="AO303" i="49"/>
  <c r="AN303" i="49" s="1"/>
  <c r="AJ303" i="49"/>
  <c r="AI303" i="49" s="1"/>
  <c r="AE303" i="49"/>
  <c r="AD303" i="49" s="1"/>
  <c r="Z303" i="49"/>
  <c r="Y303" i="49"/>
  <c r="T303" i="49"/>
  <c r="P303" i="49"/>
  <c r="O303" i="49" s="1"/>
  <c r="K303" i="49"/>
  <c r="J303" i="49" s="1"/>
  <c r="H303" i="49"/>
  <c r="BS302" i="49"/>
  <c r="BM302" i="49"/>
  <c r="BJ302" i="49"/>
  <c r="BI302" i="49"/>
  <c r="BQ302" i="49" s="1"/>
  <c r="BG302" i="49"/>
  <c r="BD302" i="49"/>
  <c r="BC302" i="49" s="1"/>
  <c r="BB302" i="49"/>
  <c r="AY302" i="49"/>
  <c r="AX302" i="49" s="1"/>
  <c r="AT302" i="49"/>
  <c r="AS302" i="49" s="1"/>
  <c r="AO302" i="49"/>
  <c r="AN302" i="49" s="1"/>
  <c r="AJ302" i="49"/>
  <c r="AI302" i="49" s="1"/>
  <c r="AE302" i="49"/>
  <c r="AD302" i="49" s="1"/>
  <c r="Z302" i="49"/>
  <c r="Y302" i="49" s="1"/>
  <c r="T302" i="49"/>
  <c r="P302" i="49"/>
  <c r="K302" i="49"/>
  <c r="J302" i="49" s="1"/>
  <c r="H302" i="49"/>
  <c r="BS301" i="49"/>
  <c r="BM301" i="49"/>
  <c r="BJ301" i="49"/>
  <c r="BI301" i="49"/>
  <c r="BG301" i="49"/>
  <c r="BD301" i="49"/>
  <c r="BC301" i="49" s="1"/>
  <c r="BB301" i="49"/>
  <c r="AY301" i="49"/>
  <c r="AX301" i="49" s="1"/>
  <c r="AT301" i="49"/>
  <c r="AS301" i="49" s="1"/>
  <c r="AO301" i="49"/>
  <c r="AN301" i="49" s="1"/>
  <c r="AJ301" i="49"/>
  <c r="AI301" i="49" s="1"/>
  <c r="AE301" i="49"/>
  <c r="AD301" i="49" s="1"/>
  <c r="Z301" i="49"/>
  <c r="Y301" i="49" s="1"/>
  <c r="T301" i="49"/>
  <c r="P301" i="49"/>
  <c r="K301" i="49"/>
  <c r="H301" i="49"/>
  <c r="BS300" i="49"/>
  <c r="BM300" i="49"/>
  <c r="BJ300" i="49"/>
  <c r="BI300" i="49"/>
  <c r="BQ300" i="49" s="1"/>
  <c r="BG300" i="49"/>
  <c r="BD300" i="49"/>
  <c r="BC300" i="49" s="1"/>
  <c r="BB300" i="49"/>
  <c r="AY300" i="49"/>
  <c r="AX300" i="49" s="1"/>
  <c r="AT300" i="49"/>
  <c r="AS300" i="49"/>
  <c r="AO300" i="49"/>
  <c r="AN300" i="49" s="1"/>
  <c r="AJ300" i="49"/>
  <c r="AI300" i="49" s="1"/>
  <c r="AE300" i="49"/>
  <c r="AD300" i="49" s="1"/>
  <c r="Z300" i="49"/>
  <c r="Y300" i="49"/>
  <c r="T300" i="49"/>
  <c r="P300" i="49"/>
  <c r="K300" i="49"/>
  <c r="J300" i="49"/>
  <c r="H300" i="49"/>
  <c r="BS299" i="49"/>
  <c r="BM299" i="49"/>
  <c r="BQ299" i="49" s="1"/>
  <c r="BJ299" i="49"/>
  <c r="BI299" i="49"/>
  <c r="BG299" i="49"/>
  <c r="BD299" i="49"/>
  <c r="BC299" i="49" s="1"/>
  <c r="BB299" i="49"/>
  <c r="AY299" i="49"/>
  <c r="AX299" i="49" s="1"/>
  <c r="AT299" i="49"/>
  <c r="AS299" i="49"/>
  <c r="AO299" i="49"/>
  <c r="AN299" i="49" s="1"/>
  <c r="AJ299" i="49"/>
  <c r="AI299" i="49" s="1"/>
  <c r="AE299" i="49"/>
  <c r="AD299" i="49" s="1"/>
  <c r="Z299" i="49"/>
  <c r="Y299" i="49" s="1"/>
  <c r="U299" i="49"/>
  <c r="T299" i="49" s="1"/>
  <c r="P299" i="49"/>
  <c r="K299" i="49"/>
  <c r="H299" i="49"/>
  <c r="BS298" i="49"/>
  <c r="BM298" i="49"/>
  <c r="BQ298" i="49" s="1"/>
  <c r="BJ298" i="49"/>
  <c r="BI298" i="49"/>
  <c r="BG298" i="49"/>
  <c r="BD298" i="49"/>
  <c r="BC298" i="49" s="1"/>
  <c r="BB298" i="49"/>
  <c r="AY298" i="49"/>
  <c r="AX298" i="49" s="1"/>
  <c r="AT298" i="49"/>
  <c r="AS298" i="49" s="1"/>
  <c r="AO298" i="49"/>
  <c r="AN298" i="49" s="1"/>
  <c r="AJ298" i="49"/>
  <c r="AI298" i="49" s="1"/>
  <c r="AE298" i="49"/>
  <c r="AD298" i="49" s="1"/>
  <c r="Z298" i="49"/>
  <c r="Y298" i="49" s="1"/>
  <c r="U298" i="49"/>
  <c r="T298" i="49"/>
  <c r="P298" i="49"/>
  <c r="O298" i="49" s="1"/>
  <c r="K298" i="49"/>
  <c r="J298" i="49" s="1"/>
  <c r="H298" i="49"/>
  <c r="BS297" i="49"/>
  <c r="BM297" i="49"/>
  <c r="BJ297" i="49"/>
  <c r="BI297" i="49"/>
  <c r="BG297" i="49"/>
  <c r="BD297" i="49"/>
  <c r="BC297" i="49" s="1"/>
  <c r="BB297" i="49"/>
  <c r="AY297" i="49"/>
  <c r="AX297" i="49" s="1"/>
  <c r="AT297" i="49"/>
  <c r="AS297" i="49" s="1"/>
  <c r="AO297" i="49"/>
  <c r="AN297" i="49"/>
  <c r="AJ297" i="49"/>
  <c r="AI297" i="49"/>
  <c r="AE297" i="49"/>
  <c r="AD297" i="49" s="1"/>
  <c r="Z297" i="49"/>
  <c r="Y297" i="49" s="1"/>
  <c r="U297" i="49"/>
  <c r="T297" i="49" s="1"/>
  <c r="P297" i="49"/>
  <c r="O297" i="49"/>
  <c r="K297" i="49"/>
  <c r="J297" i="49" s="1"/>
  <c r="H297" i="49"/>
  <c r="BS296" i="49"/>
  <c r="BM296" i="49"/>
  <c r="BJ296" i="49"/>
  <c r="BI296" i="49"/>
  <c r="BG296" i="49"/>
  <c r="BD296" i="49"/>
  <c r="BC296" i="49" s="1"/>
  <c r="BB296" i="49"/>
  <c r="AY296" i="49"/>
  <c r="AX296" i="49" s="1"/>
  <c r="AT296" i="49"/>
  <c r="AS296" i="49" s="1"/>
  <c r="AO296" i="49"/>
  <c r="AN296" i="49" s="1"/>
  <c r="AJ296" i="49"/>
  <c r="AI296" i="49" s="1"/>
  <c r="AE296" i="49"/>
  <c r="AD296" i="49"/>
  <c r="Z296" i="49"/>
  <c r="Y296" i="49" s="1"/>
  <c r="U296" i="49"/>
  <c r="P296" i="49"/>
  <c r="K296" i="49"/>
  <c r="J296" i="49" s="1"/>
  <c r="H296" i="49"/>
  <c r="BS295" i="49"/>
  <c r="BM295" i="49"/>
  <c r="BJ295" i="49"/>
  <c r="BI295" i="49"/>
  <c r="BQ295" i="49" s="1"/>
  <c r="BG295" i="49"/>
  <c r="BD295" i="49"/>
  <c r="BC295" i="49" s="1"/>
  <c r="BB295" i="49"/>
  <c r="AY295" i="49"/>
  <c r="AX295" i="49" s="1"/>
  <c r="AT295" i="49"/>
  <c r="AS295" i="49" s="1"/>
  <c r="AO295" i="49"/>
  <c r="AN295" i="49" s="1"/>
  <c r="AJ295" i="49"/>
  <c r="AI295" i="49" s="1"/>
  <c r="AE295" i="49"/>
  <c r="AD295" i="49" s="1"/>
  <c r="Z295" i="49"/>
  <c r="Y295" i="49" s="1"/>
  <c r="U295" i="49"/>
  <c r="T295" i="49" s="1"/>
  <c r="P295" i="49"/>
  <c r="K295" i="49"/>
  <c r="H295" i="49"/>
  <c r="BS294" i="49"/>
  <c r="BM294" i="49"/>
  <c r="BJ294" i="49"/>
  <c r="BI294" i="49"/>
  <c r="BQ294" i="49" s="1"/>
  <c r="BG294" i="49"/>
  <c r="BD294" i="49"/>
  <c r="BC294" i="49" s="1"/>
  <c r="BB294" i="49"/>
  <c r="AY294" i="49"/>
  <c r="AX294" i="49"/>
  <c r="AT294" i="49"/>
  <c r="AS294" i="49" s="1"/>
  <c r="AO294" i="49"/>
  <c r="AN294" i="49" s="1"/>
  <c r="AJ294" i="49"/>
  <c r="AI294" i="49" s="1"/>
  <c r="AE294" i="49"/>
  <c r="AD294" i="49" s="1"/>
  <c r="Z294" i="49"/>
  <c r="Y294" i="49" s="1"/>
  <c r="U294" i="49"/>
  <c r="T294" i="49" s="1"/>
  <c r="P294" i="49"/>
  <c r="K294" i="49"/>
  <c r="J294" i="49"/>
  <c r="H294" i="49"/>
  <c r="BS293" i="49"/>
  <c r="BM293" i="49"/>
  <c r="BJ293" i="49"/>
  <c r="BI293" i="49"/>
  <c r="BG293" i="49"/>
  <c r="BD293" i="49"/>
  <c r="BC293" i="49"/>
  <c r="BB293" i="49"/>
  <c r="AY293" i="49"/>
  <c r="AX293" i="49" s="1"/>
  <c r="AT293" i="49"/>
  <c r="AO293" i="49"/>
  <c r="AN293" i="49" s="1"/>
  <c r="AJ293" i="49"/>
  <c r="AI293" i="49" s="1"/>
  <c r="AE293" i="49"/>
  <c r="AD293" i="49" s="1"/>
  <c r="Z293" i="49"/>
  <c r="Y293" i="49"/>
  <c r="U293" i="49"/>
  <c r="P293" i="49"/>
  <c r="O293" i="49" s="1"/>
  <c r="K293" i="49"/>
  <c r="J293" i="49" s="1"/>
  <c r="H293" i="49"/>
  <c r="BS292" i="49"/>
  <c r="BM292" i="49"/>
  <c r="BJ292" i="49"/>
  <c r="BI292" i="49"/>
  <c r="BG292" i="49"/>
  <c r="BD292" i="49"/>
  <c r="BC292" i="49" s="1"/>
  <c r="BB292" i="49"/>
  <c r="AY292" i="49"/>
  <c r="AX292" i="49"/>
  <c r="AT292" i="49"/>
  <c r="AS292" i="49" s="1"/>
  <c r="AO292" i="49"/>
  <c r="AN292" i="49" s="1"/>
  <c r="AJ292" i="49"/>
  <c r="AI292" i="49"/>
  <c r="AE292" i="49"/>
  <c r="AD292" i="49" s="1"/>
  <c r="Z292" i="49"/>
  <c r="Y292" i="49" s="1"/>
  <c r="U292" i="49"/>
  <c r="T292" i="49" s="1"/>
  <c r="P292" i="49"/>
  <c r="O292" i="49"/>
  <c r="K292" i="49"/>
  <c r="J292" i="49"/>
  <c r="H292" i="49"/>
  <c r="BS291" i="49"/>
  <c r="BM291" i="49"/>
  <c r="BJ291" i="49"/>
  <c r="BI291" i="49"/>
  <c r="BG291" i="49"/>
  <c r="BD291" i="49"/>
  <c r="BC291" i="49" s="1"/>
  <c r="BB291" i="49"/>
  <c r="AY291" i="49"/>
  <c r="AX291" i="49" s="1"/>
  <c r="AT291" i="49"/>
  <c r="AS291" i="49" s="1"/>
  <c r="AO291" i="49"/>
  <c r="AN291" i="49" s="1"/>
  <c r="AJ291" i="49"/>
  <c r="AI291" i="49" s="1"/>
  <c r="AE291" i="49"/>
  <c r="AD291" i="49" s="1"/>
  <c r="Z291" i="49"/>
  <c r="Y291" i="49" s="1"/>
  <c r="U291" i="49"/>
  <c r="T291" i="49" s="1"/>
  <c r="P291" i="49"/>
  <c r="K291" i="49"/>
  <c r="H291" i="49"/>
  <c r="BS290" i="49"/>
  <c r="BM290" i="49"/>
  <c r="BJ290" i="49"/>
  <c r="BI290" i="49"/>
  <c r="BQ290" i="49" s="1"/>
  <c r="BG290" i="49"/>
  <c r="BD290" i="49"/>
  <c r="BC290" i="49" s="1"/>
  <c r="BB290" i="49"/>
  <c r="AY290" i="49"/>
  <c r="AX290" i="49" s="1"/>
  <c r="AT290" i="49"/>
  <c r="AS290" i="49" s="1"/>
  <c r="AO290" i="49"/>
  <c r="AN290" i="49" s="1"/>
  <c r="AJ290" i="49"/>
  <c r="AI290" i="49" s="1"/>
  <c r="AE290" i="49"/>
  <c r="AD290" i="49" s="1"/>
  <c r="Z290" i="49"/>
  <c r="Y290" i="49" s="1"/>
  <c r="U290" i="49"/>
  <c r="T290" i="49" s="1"/>
  <c r="P290" i="49"/>
  <c r="O290" i="49" s="1"/>
  <c r="K290" i="49"/>
  <c r="J290" i="49" s="1"/>
  <c r="H290" i="49"/>
  <c r="BS289" i="49"/>
  <c r="BM289" i="49"/>
  <c r="BJ289" i="49"/>
  <c r="BI289" i="49"/>
  <c r="BG289" i="49"/>
  <c r="BD289" i="49"/>
  <c r="BC289" i="49" s="1"/>
  <c r="BB289" i="49"/>
  <c r="AY289" i="49"/>
  <c r="AX289" i="49" s="1"/>
  <c r="AT289" i="49"/>
  <c r="AS289" i="49" s="1"/>
  <c r="AO289" i="49"/>
  <c r="AN289" i="49" s="1"/>
  <c r="AJ289" i="49"/>
  <c r="AI289" i="49" s="1"/>
  <c r="AE289" i="49"/>
  <c r="AD289" i="49" s="1"/>
  <c r="Z289" i="49"/>
  <c r="Y289" i="49" s="1"/>
  <c r="U289" i="49"/>
  <c r="T289" i="49" s="1"/>
  <c r="P289" i="49"/>
  <c r="O289" i="49" s="1"/>
  <c r="K289" i="49"/>
  <c r="J289" i="49" s="1"/>
  <c r="H289" i="49"/>
  <c r="BS288" i="49"/>
  <c r="BM288" i="49"/>
  <c r="BJ288" i="49"/>
  <c r="BI288" i="49"/>
  <c r="BG288" i="49"/>
  <c r="BD288" i="49"/>
  <c r="BC288" i="49" s="1"/>
  <c r="BB288" i="49"/>
  <c r="AY288" i="49"/>
  <c r="AX288" i="49"/>
  <c r="AT288" i="49"/>
  <c r="AS288" i="49" s="1"/>
  <c r="AO288" i="49"/>
  <c r="AN288" i="49" s="1"/>
  <c r="AJ288" i="49"/>
  <c r="AI288" i="49"/>
  <c r="AE288" i="49"/>
  <c r="AD288" i="49" s="1"/>
  <c r="Z288" i="49"/>
  <c r="Y288" i="49" s="1"/>
  <c r="U288" i="49"/>
  <c r="P288" i="49"/>
  <c r="K288" i="49"/>
  <c r="J288" i="49" s="1"/>
  <c r="H288" i="49"/>
  <c r="BS287" i="49"/>
  <c r="BM287" i="49"/>
  <c r="BJ287" i="49"/>
  <c r="BI287" i="49"/>
  <c r="BG287" i="49"/>
  <c r="BD287" i="49"/>
  <c r="BC287" i="49" s="1"/>
  <c r="BB287" i="49"/>
  <c r="AY287" i="49"/>
  <c r="AX287" i="49" s="1"/>
  <c r="AT287" i="49"/>
  <c r="AS287" i="49" s="1"/>
  <c r="AO287" i="49"/>
  <c r="AN287" i="49" s="1"/>
  <c r="AJ287" i="49"/>
  <c r="AI287" i="49" s="1"/>
  <c r="AE287" i="49"/>
  <c r="AD287" i="49" s="1"/>
  <c r="Z287" i="49"/>
  <c r="Y287" i="49" s="1"/>
  <c r="U287" i="49"/>
  <c r="T287" i="49" s="1"/>
  <c r="P287" i="49"/>
  <c r="K287" i="49"/>
  <c r="H287" i="49"/>
  <c r="BS286" i="49"/>
  <c r="BM286" i="49"/>
  <c r="BJ286" i="49"/>
  <c r="BI286" i="49"/>
  <c r="BG286" i="49"/>
  <c r="BD286" i="49"/>
  <c r="BC286" i="49" s="1"/>
  <c r="BB286" i="49"/>
  <c r="AY286" i="49"/>
  <c r="AX286" i="49" s="1"/>
  <c r="AT286" i="49"/>
  <c r="AS286" i="49" s="1"/>
  <c r="AO286" i="49"/>
  <c r="AN286" i="49" s="1"/>
  <c r="AJ286" i="49"/>
  <c r="AI286" i="49" s="1"/>
  <c r="AE286" i="49"/>
  <c r="AD286" i="49" s="1"/>
  <c r="Z286" i="49"/>
  <c r="Y286" i="49" s="1"/>
  <c r="U286" i="49"/>
  <c r="T286" i="49" s="1"/>
  <c r="P286" i="49"/>
  <c r="K286" i="49"/>
  <c r="J286" i="49" s="1"/>
  <c r="H286" i="49"/>
  <c r="BS285" i="49"/>
  <c r="BM285" i="49"/>
  <c r="BJ285" i="49"/>
  <c r="BI285" i="49"/>
  <c r="BG285" i="49"/>
  <c r="BD285" i="49"/>
  <c r="BC285" i="49"/>
  <c r="BB285" i="49"/>
  <c r="AY285" i="49"/>
  <c r="AX285" i="49" s="1"/>
  <c r="AT285" i="49"/>
  <c r="AS285" i="49" s="1"/>
  <c r="AO285" i="49"/>
  <c r="AN285" i="49" s="1"/>
  <c r="AJ285" i="49"/>
  <c r="AI285" i="49" s="1"/>
  <c r="AE285" i="49"/>
  <c r="AD285" i="49" s="1"/>
  <c r="Z285" i="49"/>
  <c r="Y285" i="49" s="1"/>
  <c r="U285" i="49"/>
  <c r="T285" i="49" s="1"/>
  <c r="P285" i="49"/>
  <c r="O285" i="49" s="1"/>
  <c r="K285" i="49"/>
  <c r="J285" i="49" s="1"/>
  <c r="H285" i="49"/>
  <c r="BS284" i="49"/>
  <c r="BM284" i="49"/>
  <c r="BJ284" i="49"/>
  <c r="BI284" i="49"/>
  <c r="BG284" i="49"/>
  <c r="BD284" i="49"/>
  <c r="BC284" i="49" s="1"/>
  <c r="BB284" i="49"/>
  <c r="AY284" i="49"/>
  <c r="AX284" i="49" s="1"/>
  <c r="AT284" i="49"/>
  <c r="AS284" i="49" s="1"/>
  <c r="AO284" i="49"/>
  <c r="AN284" i="49" s="1"/>
  <c r="AJ284" i="49"/>
  <c r="AI284" i="49" s="1"/>
  <c r="AE284" i="49"/>
  <c r="AD284" i="49"/>
  <c r="Z284" i="49"/>
  <c r="Y284" i="49" s="1"/>
  <c r="U284" i="49"/>
  <c r="P284" i="49"/>
  <c r="O284" i="49"/>
  <c r="K284" i="49"/>
  <c r="J284" i="49" s="1"/>
  <c r="H284" i="49"/>
  <c r="BS283" i="49"/>
  <c r="BM283" i="49"/>
  <c r="BJ283" i="49"/>
  <c r="BI283" i="49"/>
  <c r="BG283" i="49"/>
  <c r="BD283" i="49"/>
  <c r="BC283" i="49" s="1"/>
  <c r="BB283" i="49"/>
  <c r="AY283" i="49"/>
  <c r="AX283" i="49" s="1"/>
  <c r="AT283" i="49"/>
  <c r="AS283" i="49" s="1"/>
  <c r="AO283" i="49"/>
  <c r="AN283" i="49" s="1"/>
  <c r="AJ283" i="49"/>
  <c r="AI283" i="49" s="1"/>
  <c r="AE283" i="49"/>
  <c r="AD283" i="49" s="1"/>
  <c r="Z283" i="49"/>
  <c r="Y283" i="49"/>
  <c r="U283" i="49"/>
  <c r="T283" i="49" s="1"/>
  <c r="P283" i="49"/>
  <c r="O283" i="49" s="1"/>
  <c r="K283" i="49"/>
  <c r="H283" i="49"/>
  <c r="BS282" i="49"/>
  <c r="BM282" i="49"/>
  <c r="BJ282" i="49"/>
  <c r="BI282" i="49"/>
  <c r="BG282" i="49"/>
  <c r="BD282" i="49"/>
  <c r="BC282" i="49" s="1"/>
  <c r="BB282" i="49"/>
  <c r="AY282" i="49"/>
  <c r="AX282" i="49" s="1"/>
  <c r="AT282" i="49"/>
  <c r="AS282" i="49" s="1"/>
  <c r="AO282" i="49"/>
  <c r="AN282" i="49" s="1"/>
  <c r="AJ282" i="49"/>
  <c r="AI282" i="49" s="1"/>
  <c r="AE282" i="49"/>
  <c r="AD282" i="49" s="1"/>
  <c r="Z282" i="49"/>
  <c r="Y282" i="49" s="1"/>
  <c r="U282" i="49"/>
  <c r="T282" i="49"/>
  <c r="P282" i="49"/>
  <c r="O282" i="49" s="1"/>
  <c r="K282" i="49"/>
  <c r="H282" i="49"/>
  <c r="BS281" i="49"/>
  <c r="BM281" i="49"/>
  <c r="BJ281" i="49"/>
  <c r="BI281" i="49"/>
  <c r="BG281" i="49"/>
  <c r="BD281" i="49"/>
  <c r="BC281" i="49" s="1"/>
  <c r="BB281" i="49"/>
  <c r="AY281" i="49"/>
  <c r="AX281" i="49" s="1"/>
  <c r="AT281" i="49"/>
  <c r="AS281" i="49" s="1"/>
  <c r="AO281" i="49"/>
  <c r="AN281" i="49" s="1"/>
  <c r="AJ281" i="49"/>
  <c r="AI281" i="49" s="1"/>
  <c r="AE281" i="49"/>
  <c r="AD281" i="49" s="1"/>
  <c r="Z281" i="49"/>
  <c r="U281" i="49"/>
  <c r="T281" i="49" s="1"/>
  <c r="P281" i="49"/>
  <c r="O281" i="49" s="1"/>
  <c r="K281" i="49"/>
  <c r="J281" i="49" s="1"/>
  <c r="H281" i="49"/>
  <c r="BS280" i="49"/>
  <c r="BM280" i="49"/>
  <c r="BJ280" i="49"/>
  <c r="BI280" i="49"/>
  <c r="BG280" i="49"/>
  <c r="BD280" i="49"/>
  <c r="BC280" i="49" s="1"/>
  <c r="BB280" i="49"/>
  <c r="AY280" i="49"/>
  <c r="AX280" i="49" s="1"/>
  <c r="AT280" i="49"/>
  <c r="AS280" i="49" s="1"/>
  <c r="AO280" i="49"/>
  <c r="AN280" i="49"/>
  <c r="AJ280" i="49"/>
  <c r="AE280" i="49"/>
  <c r="AD280" i="49" s="1"/>
  <c r="Z280" i="49"/>
  <c r="Y280" i="49" s="1"/>
  <c r="U280" i="49"/>
  <c r="T280" i="49" s="1"/>
  <c r="P280" i="49"/>
  <c r="O280" i="49" s="1"/>
  <c r="K280" i="49"/>
  <c r="J280" i="49"/>
  <c r="H280" i="49"/>
  <c r="BS279" i="49"/>
  <c r="BM279" i="49"/>
  <c r="BJ279" i="49"/>
  <c r="BI279" i="49"/>
  <c r="BG279" i="49"/>
  <c r="BD279" i="49"/>
  <c r="BC279" i="49" s="1"/>
  <c r="BB279" i="49"/>
  <c r="AY279" i="49"/>
  <c r="AX279" i="49" s="1"/>
  <c r="AT279" i="49"/>
  <c r="AS279" i="49"/>
  <c r="AO279" i="49"/>
  <c r="AN279" i="49" s="1"/>
  <c r="AJ279" i="49"/>
  <c r="AI279" i="49" s="1"/>
  <c r="AE279" i="49"/>
  <c r="AD279" i="49"/>
  <c r="Z279" i="49"/>
  <c r="Y279" i="49" s="1"/>
  <c r="U279" i="49"/>
  <c r="T279" i="49" s="1"/>
  <c r="P279" i="49"/>
  <c r="O279" i="49"/>
  <c r="K279" i="49"/>
  <c r="H279" i="49"/>
  <c r="BS278" i="49"/>
  <c r="BM278" i="49"/>
  <c r="BQ278" i="49" s="1"/>
  <c r="BJ278" i="49"/>
  <c r="BI278" i="49"/>
  <c r="BG278" i="49"/>
  <c r="BD278" i="49"/>
  <c r="BC278" i="49" s="1"/>
  <c r="BB278" i="49"/>
  <c r="AY278" i="49"/>
  <c r="AX278" i="49"/>
  <c r="AT278" i="49"/>
  <c r="AS278" i="49" s="1"/>
  <c r="AO278" i="49"/>
  <c r="AN278" i="49" s="1"/>
  <c r="AJ278" i="49"/>
  <c r="AI278" i="49" s="1"/>
  <c r="AE278" i="49"/>
  <c r="AD278" i="49" s="1"/>
  <c r="Z278" i="49"/>
  <c r="Y278" i="49" s="1"/>
  <c r="U278" i="49"/>
  <c r="T278" i="49" s="1"/>
  <c r="P278" i="49"/>
  <c r="O278" i="49" s="1"/>
  <c r="K278" i="49"/>
  <c r="J278" i="49" s="1"/>
  <c r="H278" i="49"/>
  <c r="BS277" i="49"/>
  <c r="BM277" i="49"/>
  <c r="BJ277" i="49"/>
  <c r="BI277" i="49"/>
  <c r="BQ277" i="49" s="1"/>
  <c r="BG277" i="49"/>
  <c r="BD277" i="49"/>
  <c r="BC277" i="49" s="1"/>
  <c r="BB277" i="49"/>
  <c r="AY277" i="49"/>
  <c r="AX277" i="49" s="1"/>
  <c r="AT277" i="49"/>
  <c r="AS277" i="49" s="1"/>
  <c r="AO277" i="49"/>
  <c r="AN277" i="49" s="1"/>
  <c r="AJ277" i="49"/>
  <c r="AI277" i="49"/>
  <c r="AE277" i="49"/>
  <c r="AD277" i="49" s="1"/>
  <c r="Z277" i="49"/>
  <c r="Y277" i="49" s="1"/>
  <c r="U277" i="49"/>
  <c r="T277" i="49" s="1"/>
  <c r="P277" i="49"/>
  <c r="O277" i="49" s="1"/>
  <c r="K277" i="49"/>
  <c r="J277" i="49" s="1"/>
  <c r="H277" i="49"/>
  <c r="BS276" i="49"/>
  <c r="BM276" i="49"/>
  <c r="BJ276" i="49"/>
  <c r="BI276" i="49"/>
  <c r="BG276" i="49"/>
  <c r="BD276" i="49"/>
  <c r="BC276" i="49" s="1"/>
  <c r="BB276" i="49"/>
  <c r="AY276" i="49"/>
  <c r="AX276" i="49"/>
  <c r="AT276" i="49"/>
  <c r="AS276" i="49" s="1"/>
  <c r="AO276" i="49"/>
  <c r="AN276" i="49" s="1"/>
  <c r="AJ276" i="49"/>
  <c r="AE276" i="49"/>
  <c r="AD276" i="49" s="1"/>
  <c r="Z276" i="49"/>
  <c r="Y276" i="49" s="1"/>
  <c r="U276" i="49"/>
  <c r="P276" i="49"/>
  <c r="O276" i="49" s="1"/>
  <c r="K276" i="49"/>
  <c r="J276" i="49"/>
  <c r="H276" i="49"/>
  <c r="BS275" i="49"/>
  <c r="BM275" i="49"/>
  <c r="BJ275" i="49"/>
  <c r="BI275" i="49"/>
  <c r="BG275" i="49"/>
  <c r="BD275" i="49"/>
  <c r="BC275" i="49" s="1"/>
  <c r="BB275" i="49"/>
  <c r="AY275" i="49"/>
  <c r="AX275" i="49" s="1"/>
  <c r="AT275" i="49"/>
  <c r="AS275" i="49" s="1"/>
  <c r="AO275" i="49"/>
  <c r="AN275" i="49" s="1"/>
  <c r="AJ275" i="49"/>
  <c r="AI275" i="49" s="1"/>
  <c r="AE275" i="49"/>
  <c r="AD275" i="49" s="1"/>
  <c r="Z275" i="49"/>
  <c r="Y275" i="49" s="1"/>
  <c r="U275" i="49"/>
  <c r="T275" i="49" s="1"/>
  <c r="P275" i="49"/>
  <c r="K275" i="49"/>
  <c r="J275" i="49" s="1"/>
  <c r="H275" i="49"/>
  <c r="BS274" i="49"/>
  <c r="BM274" i="49"/>
  <c r="BJ274" i="49"/>
  <c r="BI274" i="49"/>
  <c r="BQ274" i="49" s="1"/>
  <c r="BG274" i="49"/>
  <c r="BD274" i="49"/>
  <c r="BC274" i="49" s="1"/>
  <c r="BB274" i="49"/>
  <c r="AY274" i="49"/>
  <c r="AX274" i="49" s="1"/>
  <c r="AT274" i="49"/>
  <c r="AS274" i="49" s="1"/>
  <c r="AO274" i="49"/>
  <c r="AN274" i="49" s="1"/>
  <c r="AJ274" i="49"/>
  <c r="AI274" i="49" s="1"/>
  <c r="AE274" i="49"/>
  <c r="AD274" i="49" s="1"/>
  <c r="Z274" i="49"/>
  <c r="Y274" i="49" s="1"/>
  <c r="U274" i="49"/>
  <c r="T274" i="49" s="1"/>
  <c r="P274" i="49"/>
  <c r="K274" i="49"/>
  <c r="H274" i="49"/>
  <c r="BS273" i="49"/>
  <c r="BM273" i="49"/>
  <c r="BJ273" i="49"/>
  <c r="BI273" i="49"/>
  <c r="BQ273" i="49" s="1"/>
  <c r="BG273" i="49"/>
  <c r="BD273" i="49"/>
  <c r="BC273" i="49" s="1"/>
  <c r="BB273" i="49"/>
  <c r="AY273" i="49"/>
  <c r="AX273" i="49" s="1"/>
  <c r="AT273" i="49"/>
  <c r="AS273" i="49" s="1"/>
  <c r="AO273" i="49"/>
  <c r="AN273" i="49" s="1"/>
  <c r="AJ273" i="49"/>
  <c r="AI273" i="49"/>
  <c r="AE273" i="49"/>
  <c r="Z273" i="49"/>
  <c r="Y273" i="49" s="1"/>
  <c r="U273" i="49"/>
  <c r="T273" i="49"/>
  <c r="P273" i="49"/>
  <c r="O273" i="49" s="1"/>
  <c r="K273" i="49"/>
  <c r="J273" i="49" s="1"/>
  <c r="H273" i="49"/>
  <c r="BS272" i="49"/>
  <c r="BM272" i="49"/>
  <c r="BJ272" i="49"/>
  <c r="BI272" i="49"/>
  <c r="BQ272" i="49" s="1"/>
  <c r="BG272" i="49"/>
  <c r="BD272" i="49"/>
  <c r="BC272" i="49" s="1"/>
  <c r="BB272" i="49"/>
  <c r="AY272" i="49"/>
  <c r="AX272" i="49" s="1"/>
  <c r="AT272" i="49"/>
  <c r="AS272" i="49" s="1"/>
  <c r="AO272" i="49"/>
  <c r="AN272" i="49" s="1"/>
  <c r="AJ272" i="49"/>
  <c r="AI272" i="49" s="1"/>
  <c r="AE272" i="49"/>
  <c r="AD272" i="49"/>
  <c r="Z272" i="49"/>
  <c r="U272" i="49"/>
  <c r="P272" i="49"/>
  <c r="O272" i="49"/>
  <c r="K272" i="49"/>
  <c r="J272" i="49" s="1"/>
  <c r="H272" i="49"/>
  <c r="BS271" i="49"/>
  <c r="BM271" i="49"/>
  <c r="BJ271" i="49"/>
  <c r="BI271" i="49"/>
  <c r="BG271" i="49"/>
  <c r="BD271" i="49"/>
  <c r="BC271" i="49" s="1"/>
  <c r="BB271" i="49"/>
  <c r="AY271" i="49"/>
  <c r="AX271" i="49" s="1"/>
  <c r="AT271" i="49"/>
  <c r="AS271" i="49" s="1"/>
  <c r="AO271" i="49"/>
  <c r="AN271" i="49" s="1"/>
  <c r="AJ271" i="49"/>
  <c r="AI271" i="49" s="1"/>
  <c r="AE271" i="49"/>
  <c r="AD271" i="49" s="1"/>
  <c r="Z271" i="49"/>
  <c r="Y271" i="49" s="1"/>
  <c r="U271" i="49"/>
  <c r="T271" i="49" s="1"/>
  <c r="P271" i="49"/>
  <c r="K271" i="49"/>
  <c r="J271" i="49" s="1"/>
  <c r="H271" i="49"/>
  <c r="BS270" i="49"/>
  <c r="BM270" i="49"/>
  <c r="BJ270" i="49"/>
  <c r="BI270" i="49"/>
  <c r="BG270" i="49"/>
  <c r="BD270" i="49"/>
  <c r="BC270" i="49" s="1"/>
  <c r="BB270" i="49"/>
  <c r="AY270" i="49"/>
  <c r="AX270" i="49" s="1"/>
  <c r="AT270" i="49"/>
  <c r="AS270" i="49"/>
  <c r="AO270" i="49"/>
  <c r="AN270" i="49" s="1"/>
  <c r="AJ270" i="49"/>
  <c r="AI270" i="49" s="1"/>
  <c r="AE270" i="49"/>
  <c r="AD270" i="49" s="1"/>
  <c r="Z270" i="49"/>
  <c r="Y270" i="49" s="1"/>
  <c r="U270" i="49"/>
  <c r="T270" i="49"/>
  <c r="P270" i="49"/>
  <c r="BL270" i="49" s="1"/>
  <c r="K270" i="49"/>
  <c r="H270" i="49"/>
  <c r="BS269" i="49"/>
  <c r="BM269" i="49"/>
  <c r="BJ269" i="49"/>
  <c r="BI269" i="49"/>
  <c r="BQ269" i="49" s="1"/>
  <c r="BG269" i="49"/>
  <c r="BD269" i="49"/>
  <c r="BC269" i="49" s="1"/>
  <c r="BB269" i="49"/>
  <c r="AY269" i="49"/>
  <c r="AX269" i="49" s="1"/>
  <c r="AT269" i="49"/>
  <c r="AS269" i="49" s="1"/>
  <c r="AO269" i="49"/>
  <c r="AN269" i="49"/>
  <c r="AJ269" i="49"/>
  <c r="AI269" i="49" s="1"/>
  <c r="AE269" i="49"/>
  <c r="AD269" i="49" s="1"/>
  <c r="Z269" i="49"/>
  <c r="Y269" i="49" s="1"/>
  <c r="U269" i="49"/>
  <c r="T269" i="49" s="1"/>
  <c r="P269" i="49"/>
  <c r="O269" i="49" s="1"/>
  <c r="K269" i="49"/>
  <c r="J269" i="49" s="1"/>
  <c r="H269" i="49"/>
  <c r="BS268" i="49"/>
  <c r="BM268" i="49"/>
  <c r="BJ268" i="49"/>
  <c r="BI268" i="49"/>
  <c r="BG268" i="49"/>
  <c r="BD268" i="49"/>
  <c r="BC268" i="49"/>
  <c r="BB268" i="49"/>
  <c r="AY268" i="49"/>
  <c r="AX268" i="49" s="1"/>
  <c r="AT268" i="49"/>
  <c r="AS268" i="49" s="1"/>
  <c r="AO268" i="49"/>
  <c r="AN268" i="49" s="1"/>
  <c r="AJ268" i="49"/>
  <c r="AI268" i="49" s="1"/>
  <c r="AE268" i="49"/>
  <c r="AD268" i="49" s="1"/>
  <c r="Z268" i="49"/>
  <c r="U268" i="49"/>
  <c r="P268" i="49"/>
  <c r="O268" i="49" s="1"/>
  <c r="K268" i="49"/>
  <c r="J268" i="49"/>
  <c r="H268" i="49"/>
  <c r="BS267" i="49"/>
  <c r="BM267" i="49"/>
  <c r="BJ267" i="49"/>
  <c r="BI267" i="49"/>
  <c r="BG267" i="49"/>
  <c r="BD267" i="49"/>
  <c r="BC267" i="49" s="1"/>
  <c r="BB267" i="49"/>
  <c r="AY267" i="49"/>
  <c r="AX267" i="49" s="1"/>
  <c r="AT267" i="49"/>
  <c r="AS267" i="49"/>
  <c r="AO267" i="49"/>
  <c r="AN267" i="49" s="1"/>
  <c r="AJ267" i="49"/>
  <c r="AI267" i="49" s="1"/>
  <c r="AE267" i="49"/>
  <c r="AD267" i="49"/>
  <c r="Z267" i="49"/>
  <c r="Y267" i="49" s="1"/>
  <c r="U267" i="49"/>
  <c r="T267" i="49" s="1"/>
  <c r="P267" i="49"/>
  <c r="K267" i="49"/>
  <c r="H267" i="49"/>
  <c r="BS266" i="49"/>
  <c r="BM266" i="49"/>
  <c r="BJ266" i="49"/>
  <c r="BI266" i="49"/>
  <c r="BQ266" i="49" s="1"/>
  <c r="BG266" i="49"/>
  <c r="BD266" i="49"/>
  <c r="BC266" i="49" s="1"/>
  <c r="BB266" i="49"/>
  <c r="AY266" i="49"/>
  <c r="AX266" i="49" s="1"/>
  <c r="AT266" i="49"/>
  <c r="AS266" i="49" s="1"/>
  <c r="AO266" i="49"/>
  <c r="AN266" i="49"/>
  <c r="AJ266" i="49"/>
  <c r="AI266" i="49" s="1"/>
  <c r="AE266" i="49"/>
  <c r="AD266" i="49" s="1"/>
  <c r="Z266" i="49"/>
  <c r="Y266" i="49"/>
  <c r="U266" i="49"/>
  <c r="T266" i="49" s="1"/>
  <c r="P266" i="49"/>
  <c r="K266" i="49"/>
  <c r="H266" i="49"/>
  <c r="BS265" i="49"/>
  <c r="BM265" i="49"/>
  <c r="BQ265" i="49" s="1"/>
  <c r="BJ265" i="49"/>
  <c r="BI265" i="49"/>
  <c r="BG265" i="49"/>
  <c r="BD265" i="49"/>
  <c r="BC265" i="49" s="1"/>
  <c r="BB265" i="49"/>
  <c r="AY265" i="49"/>
  <c r="AX265" i="49" s="1"/>
  <c r="AT265" i="49"/>
  <c r="AS265" i="49" s="1"/>
  <c r="AO265" i="49"/>
  <c r="AN265" i="49" s="1"/>
  <c r="AJ265" i="49"/>
  <c r="AI265" i="49" s="1"/>
  <c r="AE265" i="49"/>
  <c r="AD265" i="49" s="1"/>
  <c r="Z265" i="49"/>
  <c r="Y265" i="49" s="1"/>
  <c r="U265" i="49"/>
  <c r="T265" i="49"/>
  <c r="P265" i="49"/>
  <c r="O265" i="49" s="1"/>
  <c r="K265" i="49"/>
  <c r="J265" i="49" s="1"/>
  <c r="H265" i="49"/>
  <c r="BS264" i="49"/>
  <c r="BM264" i="49"/>
  <c r="BJ264" i="49"/>
  <c r="BI264" i="49"/>
  <c r="BG264" i="49"/>
  <c r="BD264" i="49"/>
  <c r="BC264" i="49" s="1"/>
  <c r="BB264" i="49"/>
  <c r="AY264" i="49"/>
  <c r="AX264" i="49"/>
  <c r="AT264" i="49"/>
  <c r="AS264" i="49" s="1"/>
  <c r="AO264" i="49"/>
  <c r="AN264" i="49" s="1"/>
  <c r="AJ264" i="49"/>
  <c r="AI264" i="49"/>
  <c r="AE264" i="49"/>
  <c r="AD264" i="49"/>
  <c r="Z264" i="49"/>
  <c r="U264" i="49"/>
  <c r="P264" i="49"/>
  <c r="O264" i="49"/>
  <c r="K264" i="49"/>
  <c r="J264" i="49"/>
  <c r="H264" i="49"/>
  <c r="BS263" i="49"/>
  <c r="BM263" i="49"/>
  <c r="BJ263" i="49"/>
  <c r="BI263" i="49"/>
  <c r="BQ263" i="49" s="1"/>
  <c r="BG263" i="49"/>
  <c r="BD263" i="49"/>
  <c r="BC263" i="49" s="1"/>
  <c r="BB263" i="49"/>
  <c r="AY263" i="49"/>
  <c r="AX263" i="49"/>
  <c r="AT263" i="49"/>
  <c r="AS263" i="49"/>
  <c r="AO263" i="49"/>
  <c r="AN263" i="49" s="1"/>
  <c r="AJ263" i="49"/>
  <c r="AI263" i="49" s="1"/>
  <c r="AE263" i="49"/>
  <c r="AD263" i="49"/>
  <c r="Z263" i="49"/>
  <c r="Y263" i="49" s="1"/>
  <c r="U263" i="49"/>
  <c r="T263" i="49" s="1"/>
  <c r="P263" i="49"/>
  <c r="K263" i="49"/>
  <c r="J263" i="49" s="1"/>
  <c r="H263" i="49"/>
  <c r="BS262" i="49"/>
  <c r="BM262" i="49"/>
  <c r="BQ262" i="49" s="1"/>
  <c r="BJ262" i="49"/>
  <c r="BI262" i="49"/>
  <c r="BG262" i="49"/>
  <c r="BD262" i="49"/>
  <c r="BC262" i="49" s="1"/>
  <c r="BB262" i="49"/>
  <c r="AY262" i="49"/>
  <c r="AX262" i="49"/>
  <c r="AT262" i="49"/>
  <c r="AS262" i="49" s="1"/>
  <c r="AO262" i="49"/>
  <c r="AN262" i="49" s="1"/>
  <c r="AJ262" i="49"/>
  <c r="AI262" i="49" s="1"/>
  <c r="AE262" i="49"/>
  <c r="AD262" i="49" s="1"/>
  <c r="Z262" i="49"/>
  <c r="Y262" i="49"/>
  <c r="U262" i="49"/>
  <c r="T262" i="49" s="1"/>
  <c r="P262" i="49"/>
  <c r="K262" i="49"/>
  <c r="J262" i="49" s="1"/>
  <c r="H262" i="49"/>
  <c r="BS261" i="49"/>
  <c r="BM261" i="49"/>
  <c r="BJ261" i="49"/>
  <c r="BI261" i="49"/>
  <c r="BG261" i="49"/>
  <c r="BD261" i="49"/>
  <c r="BC261" i="49" s="1"/>
  <c r="BB261" i="49"/>
  <c r="AY261" i="49"/>
  <c r="AX261" i="49" s="1"/>
  <c r="AT261" i="49"/>
  <c r="AS261" i="49" s="1"/>
  <c r="AO261" i="49"/>
  <c r="AN261" i="49" s="1"/>
  <c r="AJ261" i="49"/>
  <c r="AI261" i="49" s="1"/>
  <c r="AE261" i="49"/>
  <c r="AD261" i="49" s="1"/>
  <c r="Z261" i="49"/>
  <c r="U261" i="49"/>
  <c r="T261" i="49" s="1"/>
  <c r="P261" i="49"/>
  <c r="O261" i="49" s="1"/>
  <c r="K261" i="49"/>
  <c r="J261" i="49" s="1"/>
  <c r="H261" i="49"/>
  <c r="BS260" i="49"/>
  <c r="BM260" i="49"/>
  <c r="BL260" i="49"/>
  <c r="BJ260" i="49"/>
  <c r="BI260" i="49"/>
  <c r="BG260" i="49"/>
  <c r="BD260" i="49"/>
  <c r="BC260" i="49" s="1"/>
  <c r="BB260" i="49"/>
  <c r="AY260" i="49"/>
  <c r="AX260" i="49" s="1"/>
  <c r="AT260" i="49"/>
  <c r="AS260" i="49" s="1"/>
  <c r="AO260" i="49"/>
  <c r="AN260" i="49" s="1"/>
  <c r="AJ260" i="49"/>
  <c r="AI260" i="49"/>
  <c r="AE260" i="49"/>
  <c r="AD260" i="49" s="1"/>
  <c r="Z260" i="49"/>
  <c r="Y260" i="49" s="1"/>
  <c r="U260" i="49"/>
  <c r="T260" i="49"/>
  <c r="P260" i="49"/>
  <c r="O260" i="49" s="1"/>
  <c r="K260" i="49"/>
  <c r="J260" i="49" s="1"/>
  <c r="H260" i="49"/>
  <c r="BS259" i="49"/>
  <c r="BM259" i="49"/>
  <c r="BJ259" i="49"/>
  <c r="BI259" i="49"/>
  <c r="BQ259" i="49" s="1"/>
  <c r="BG259" i="49"/>
  <c r="BD259" i="49"/>
  <c r="BC259" i="49" s="1"/>
  <c r="BB259" i="49"/>
  <c r="AY259" i="49"/>
  <c r="AX259" i="49" s="1"/>
  <c r="AT259" i="49"/>
  <c r="AS259" i="49" s="1"/>
  <c r="AO259" i="49"/>
  <c r="AN259" i="49"/>
  <c r="AJ259" i="49"/>
  <c r="AI259" i="49" s="1"/>
  <c r="AE259" i="49"/>
  <c r="AD259" i="49"/>
  <c r="Z259" i="49"/>
  <c r="Y259" i="49" s="1"/>
  <c r="U259" i="49"/>
  <c r="T259" i="49"/>
  <c r="P259" i="49"/>
  <c r="O259" i="49"/>
  <c r="K259" i="49"/>
  <c r="J259" i="49"/>
  <c r="H259" i="49"/>
  <c r="BS258" i="49"/>
  <c r="BM258" i="49"/>
  <c r="BJ258" i="49"/>
  <c r="BI258" i="49"/>
  <c r="BG258" i="49"/>
  <c r="BD258" i="49"/>
  <c r="BC258" i="49" s="1"/>
  <c r="BB258" i="49"/>
  <c r="AY258" i="49"/>
  <c r="AX258" i="49"/>
  <c r="AT258" i="49"/>
  <c r="AS258" i="49"/>
  <c r="AO258" i="49"/>
  <c r="AN258" i="49" s="1"/>
  <c r="AJ258" i="49"/>
  <c r="AI258" i="49" s="1"/>
  <c r="AE258" i="49"/>
  <c r="AD258" i="49" s="1"/>
  <c r="Z258" i="49"/>
  <c r="Y258" i="49" s="1"/>
  <c r="U258" i="49"/>
  <c r="T258" i="49" s="1"/>
  <c r="P258" i="49"/>
  <c r="O258" i="49" s="1"/>
  <c r="K258" i="49"/>
  <c r="J258" i="49"/>
  <c r="H258" i="49"/>
  <c r="BS257" i="49"/>
  <c r="BM257" i="49"/>
  <c r="BJ257" i="49"/>
  <c r="BI257" i="49"/>
  <c r="BG257" i="49"/>
  <c r="BD257" i="49"/>
  <c r="BC257" i="49" s="1"/>
  <c r="BB257" i="49"/>
  <c r="AY257" i="49"/>
  <c r="AX257" i="49" s="1"/>
  <c r="AT257" i="49"/>
  <c r="AS257" i="49"/>
  <c r="AO257" i="49"/>
  <c r="AN257" i="49" s="1"/>
  <c r="AJ257" i="49"/>
  <c r="AI257" i="49" s="1"/>
  <c r="AE257" i="49"/>
  <c r="AD257" i="49" s="1"/>
  <c r="Z257" i="49"/>
  <c r="U257" i="49"/>
  <c r="T257" i="49" s="1"/>
  <c r="P257" i="49"/>
  <c r="O257" i="49"/>
  <c r="K257" i="49"/>
  <c r="H257" i="49"/>
  <c r="BS256" i="49"/>
  <c r="BM256" i="49"/>
  <c r="BJ256" i="49"/>
  <c r="BI256" i="49"/>
  <c r="BG256" i="49"/>
  <c r="BD256" i="49"/>
  <c r="BC256" i="49" s="1"/>
  <c r="BB256" i="49"/>
  <c r="AY256" i="49"/>
  <c r="AX256" i="49" s="1"/>
  <c r="AT256" i="49"/>
  <c r="AS256" i="49" s="1"/>
  <c r="AO256" i="49"/>
  <c r="AN256" i="49"/>
  <c r="AJ256" i="49"/>
  <c r="AI256" i="49" s="1"/>
  <c r="AE256" i="49"/>
  <c r="AD256" i="49" s="1"/>
  <c r="Z256" i="49"/>
  <c r="Y256" i="49" s="1"/>
  <c r="U256" i="49"/>
  <c r="T256" i="49" s="1"/>
  <c r="P256" i="49"/>
  <c r="O256" i="49" s="1"/>
  <c r="K256" i="49"/>
  <c r="J256" i="49" s="1"/>
  <c r="H256" i="49"/>
  <c r="BS255" i="49"/>
  <c r="BM255" i="49"/>
  <c r="BJ255" i="49"/>
  <c r="BI255" i="49"/>
  <c r="BG255" i="49"/>
  <c r="BD255" i="49"/>
  <c r="BC255" i="49" s="1"/>
  <c r="BB255" i="49"/>
  <c r="AY255" i="49"/>
  <c r="AX255" i="49" s="1"/>
  <c r="AT255" i="49"/>
  <c r="AS255" i="49"/>
  <c r="AO255" i="49"/>
  <c r="AN255" i="49" s="1"/>
  <c r="AJ255" i="49"/>
  <c r="AI255" i="49"/>
  <c r="AE255" i="49"/>
  <c r="AD255" i="49" s="1"/>
  <c r="Z255" i="49"/>
  <c r="Y255" i="49" s="1"/>
  <c r="U255" i="49"/>
  <c r="T255" i="49" s="1"/>
  <c r="P255" i="49"/>
  <c r="K255" i="49"/>
  <c r="J255" i="49" s="1"/>
  <c r="H255" i="49"/>
  <c r="BS254" i="49"/>
  <c r="BM254" i="49"/>
  <c r="BJ254" i="49"/>
  <c r="BI254" i="49"/>
  <c r="BG254" i="49"/>
  <c r="BD254" i="49"/>
  <c r="BC254" i="49" s="1"/>
  <c r="BB254" i="49"/>
  <c r="AY254" i="49"/>
  <c r="AX254" i="49" s="1"/>
  <c r="AT254" i="49"/>
  <c r="AS254" i="49" s="1"/>
  <c r="AO254" i="49"/>
  <c r="AN254" i="49" s="1"/>
  <c r="AJ254" i="49"/>
  <c r="AI254" i="49" s="1"/>
  <c r="AE254" i="49"/>
  <c r="AD254" i="49" s="1"/>
  <c r="Z254" i="49"/>
  <c r="Y254" i="49" s="1"/>
  <c r="U254" i="49"/>
  <c r="T254" i="49"/>
  <c r="P254" i="49"/>
  <c r="O254" i="49" s="1"/>
  <c r="K254" i="49"/>
  <c r="H254" i="49"/>
  <c r="BS253" i="49"/>
  <c r="BM253" i="49"/>
  <c r="BI253" i="49"/>
  <c r="BQ253" i="49" s="1"/>
  <c r="BG253" i="49"/>
  <c r="BD253" i="49"/>
  <c r="BC253" i="49" s="1"/>
  <c r="BB253" i="49"/>
  <c r="AY253" i="49"/>
  <c r="AX253" i="49" s="1"/>
  <c r="AT253" i="49"/>
  <c r="AS253" i="49" s="1"/>
  <c r="AO253" i="49"/>
  <c r="AN253" i="49" s="1"/>
  <c r="AJ253" i="49"/>
  <c r="AI253" i="49" s="1"/>
  <c r="AE253" i="49"/>
  <c r="AD253" i="49" s="1"/>
  <c r="Z253" i="49"/>
  <c r="Y253" i="49" s="1"/>
  <c r="U253" i="49"/>
  <c r="T253" i="49"/>
  <c r="P253" i="49"/>
  <c r="H253" i="49"/>
  <c r="BS252" i="49"/>
  <c r="BM252" i="49"/>
  <c r="BJ252" i="49"/>
  <c r="BI252" i="49"/>
  <c r="BG252" i="49"/>
  <c r="BD252" i="49"/>
  <c r="BC252" i="49" s="1"/>
  <c r="BB252" i="49"/>
  <c r="AY252" i="49"/>
  <c r="AX252" i="49" s="1"/>
  <c r="AT252" i="49"/>
  <c r="AS252" i="49" s="1"/>
  <c r="AO252" i="49"/>
  <c r="AN252" i="49"/>
  <c r="AJ252" i="49"/>
  <c r="AI252" i="49" s="1"/>
  <c r="AE252" i="49"/>
  <c r="AD252" i="49"/>
  <c r="Z252" i="49"/>
  <c r="Y252" i="49" s="1"/>
  <c r="U252" i="49"/>
  <c r="T252" i="49" s="1"/>
  <c r="P252" i="49"/>
  <c r="O252" i="49" s="1"/>
  <c r="H252" i="49"/>
  <c r="BS251" i="49"/>
  <c r="BM251" i="49"/>
  <c r="BI251" i="49"/>
  <c r="BG251" i="49"/>
  <c r="BD251" i="49"/>
  <c r="BC251" i="49" s="1"/>
  <c r="BB251" i="49"/>
  <c r="AY251" i="49"/>
  <c r="AX251" i="49"/>
  <c r="AT251" i="49"/>
  <c r="AS251" i="49" s="1"/>
  <c r="AO251" i="49"/>
  <c r="AN251" i="49" s="1"/>
  <c r="AJ251" i="49"/>
  <c r="AI251" i="49" s="1"/>
  <c r="AE251" i="49"/>
  <c r="AD251" i="49"/>
  <c r="Z251" i="49"/>
  <c r="Y251" i="49" s="1"/>
  <c r="U251" i="49"/>
  <c r="T251" i="49" s="1"/>
  <c r="P251" i="49"/>
  <c r="O251" i="49"/>
  <c r="H251" i="49"/>
  <c r="BS250" i="49"/>
  <c r="BM250" i="49"/>
  <c r="BJ250" i="49"/>
  <c r="BI250" i="49"/>
  <c r="BG250" i="49"/>
  <c r="BD250" i="49"/>
  <c r="BC250" i="49" s="1"/>
  <c r="BB250" i="49"/>
  <c r="AY250" i="49"/>
  <c r="AX250" i="49" s="1"/>
  <c r="AT250" i="49"/>
  <c r="AS250" i="49" s="1"/>
  <c r="AO250" i="49"/>
  <c r="AN250" i="49"/>
  <c r="AJ250" i="49"/>
  <c r="AI250" i="49" s="1"/>
  <c r="AE250" i="49"/>
  <c r="AD250" i="49"/>
  <c r="Z250" i="49"/>
  <c r="Y250" i="49" s="1"/>
  <c r="U250" i="49"/>
  <c r="T250" i="49"/>
  <c r="P250" i="49"/>
  <c r="O250" i="49" s="1"/>
  <c r="H250" i="49"/>
  <c r="BS249" i="49"/>
  <c r="BM249" i="49"/>
  <c r="BJ249" i="49"/>
  <c r="BI249" i="49"/>
  <c r="BQ249" i="49" s="1"/>
  <c r="BG249" i="49"/>
  <c r="BD249" i="49"/>
  <c r="BC249" i="49" s="1"/>
  <c r="BB249" i="49"/>
  <c r="AY249" i="49"/>
  <c r="AX249" i="49" s="1"/>
  <c r="AT249" i="49"/>
  <c r="AS249" i="49"/>
  <c r="AO249" i="49"/>
  <c r="AN249" i="49" s="1"/>
  <c r="AJ249" i="49"/>
  <c r="AI249" i="49" s="1"/>
  <c r="AE249" i="49"/>
  <c r="AD249" i="49"/>
  <c r="Z249" i="49"/>
  <c r="Y249" i="49" s="1"/>
  <c r="U249" i="49"/>
  <c r="T249" i="49" s="1"/>
  <c r="P249" i="49"/>
  <c r="H249" i="49"/>
  <c r="BS248" i="49"/>
  <c r="BQ248" i="49"/>
  <c r="BM248" i="49"/>
  <c r="BJ248" i="49"/>
  <c r="BI248" i="49"/>
  <c r="BG248" i="49"/>
  <c r="BD248" i="49"/>
  <c r="BC248" i="49" s="1"/>
  <c r="BB248" i="49"/>
  <c r="AY248" i="49"/>
  <c r="AX248" i="49"/>
  <c r="AT248" i="49"/>
  <c r="AS248" i="49"/>
  <c r="AO248" i="49"/>
  <c r="AN248" i="49"/>
  <c r="AJ248" i="49"/>
  <c r="AI248" i="49" s="1"/>
  <c r="AE248" i="49"/>
  <c r="AD248" i="49"/>
  <c r="Z248" i="49"/>
  <c r="Y248" i="49" s="1"/>
  <c r="U248" i="49"/>
  <c r="T248" i="49" s="1"/>
  <c r="P248" i="49"/>
  <c r="O248" i="49" s="1"/>
  <c r="H248" i="49"/>
  <c r="BS247" i="49"/>
  <c r="BM247" i="49"/>
  <c r="BI247" i="49"/>
  <c r="BQ247" i="49" s="1"/>
  <c r="BG247" i="49"/>
  <c r="BD247" i="49"/>
  <c r="BC247" i="49" s="1"/>
  <c r="BB247" i="49"/>
  <c r="AY247" i="49"/>
  <c r="AX247" i="49" s="1"/>
  <c r="AT247" i="49"/>
  <c r="AS247" i="49"/>
  <c r="AO247" i="49"/>
  <c r="AN247" i="49" s="1"/>
  <c r="AJ247" i="49"/>
  <c r="AI247" i="49" s="1"/>
  <c r="AE247" i="49"/>
  <c r="AD247" i="49" s="1"/>
  <c r="Z247" i="49"/>
  <c r="Y247" i="49"/>
  <c r="U247" i="49"/>
  <c r="T247" i="49"/>
  <c r="P247" i="49"/>
  <c r="O247" i="49"/>
  <c r="H247" i="49"/>
  <c r="BS246" i="49"/>
  <c r="BM246" i="49"/>
  <c r="BI246" i="49"/>
  <c r="BQ246" i="49" s="1"/>
  <c r="BG246" i="49"/>
  <c r="BD246" i="49"/>
  <c r="BC246" i="49" s="1"/>
  <c r="BB246" i="49"/>
  <c r="AY246" i="49"/>
  <c r="AX246" i="49" s="1"/>
  <c r="AT246" i="49"/>
  <c r="AS246" i="49" s="1"/>
  <c r="AO246" i="49"/>
  <c r="AN246" i="49"/>
  <c r="AJ246" i="49"/>
  <c r="AI246" i="49" s="1"/>
  <c r="AE246" i="49"/>
  <c r="AD246" i="49" s="1"/>
  <c r="Z246" i="49"/>
  <c r="Y246" i="49"/>
  <c r="U246" i="49"/>
  <c r="T246" i="49"/>
  <c r="P246" i="49"/>
  <c r="O246" i="49"/>
  <c r="H246" i="49"/>
  <c r="BS245" i="49"/>
  <c r="BM245" i="49"/>
  <c r="BI245" i="49"/>
  <c r="BQ245" i="49" s="1"/>
  <c r="BG245" i="49"/>
  <c r="BD245" i="49"/>
  <c r="BC245" i="49"/>
  <c r="BB245" i="49"/>
  <c r="AY245" i="49"/>
  <c r="AX245" i="49"/>
  <c r="AT245" i="49"/>
  <c r="AS245" i="49" s="1"/>
  <c r="AO245" i="49"/>
  <c r="AN245" i="49" s="1"/>
  <c r="AJ245" i="49"/>
  <c r="AI245" i="49"/>
  <c r="AE245" i="49"/>
  <c r="AD245" i="49" s="1"/>
  <c r="Z245" i="49"/>
  <c r="Y245" i="49" s="1"/>
  <c r="U245" i="49"/>
  <c r="T245" i="49"/>
  <c r="P245" i="49"/>
  <c r="O245" i="49"/>
  <c r="H245" i="49"/>
  <c r="BS244" i="49"/>
  <c r="BM244" i="49"/>
  <c r="BI244" i="49"/>
  <c r="BQ244" i="49" s="1"/>
  <c r="BG244" i="49"/>
  <c r="BD244" i="49"/>
  <c r="BC244" i="49" s="1"/>
  <c r="BB244" i="49"/>
  <c r="AY244" i="49"/>
  <c r="AX244" i="49"/>
  <c r="AT244" i="49"/>
  <c r="AS244" i="49" s="1"/>
  <c r="AO244" i="49"/>
  <c r="AN244" i="49" s="1"/>
  <c r="AJ244" i="49"/>
  <c r="AI244" i="49" s="1"/>
  <c r="AE244" i="49"/>
  <c r="AD244" i="49"/>
  <c r="Z244" i="49"/>
  <c r="Y244" i="49"/>
  <c r="U244" i="49"/>
  <c r="T244" i="49"/>
  <c r="P244" i="49"/>
  <c r="O244" i="49" s="1"/>
  <c r="H244" i="49"/>
  <c r="BS243" i="49"/>
  <c r="BM243" i="49"/>
  <c r="BI243" i="49"/>
  <c r="BQ243" i="49" s="1"/>
  <c r="BG243" i="49"/>
  <c r="BD243" i="49"/>
  <c r="BC243" i="49"/>
  <c r="BB243" i="49"/>
  <c r="AY243" i="49"/>
  <c r="AX243" i="49" s="1"/>
  <c r="AT243" i="49"/>
  <c r="AS243" i="49" s="1"/>
  <c r="AO243" i="49"/>
  <c r="AN243" i="49"/>
  <c r="AJ243" i="49"/>
  <c r="AI243" i="49"/>
  <c r="AE243" i="49"/>
  <c r="AD243" i="49"/>
  <c r="Z243" i="49"/>
  <c r="Y243" i="49" s="1"/>
  <c r="U243" i="49"/>
  <c r="T243" i="49"/>
  <c r="P243" i="49"/>
  <c r="O243" i="49" s="1"/>
  <c r="H243" i="49"/>
  <c r="BS242" i="49"/>
  <c r="BM242" i="49"/>
  <c r="BI242" i="49"/>
  <c r="BG242" i="49"/>
  <c r="BD242" i="49"/>
  <c r="BC242" i="49" s="1"/>
  <c r="BB242" i="49"/>
  <c r="AY242" i="49"/>
  <c r="AX242" i="49"/>
  <c r="AT242" i="49"/>
  <c r="AS242" i="49"/>
  <c r="AO242" i="49"/>
  <c r="AN242" i="49"/>
  <c r="AJ242" i="49"/>
  <c r="AI242" i="49" s="1"/>
  <c r="AE242" i="49"/>
  <c r="AD242" i="49" s="1"/>
  <c r="Z242" i="49"/>
  <c r="Y242" i="49" s="1"/>
  <c r="U242" i="49"/>
  <c r="T242" i="49" s="1"/>
  <c r="P242" i="49"/>
  <c r="O242" i="49" s="1"/>
  <c r="H242" i="49"/>
  <c r="BS241" i="49"/>
  <c r="BM241" i="49"/>
  <c r="BI241" i="49"/>
  <c r="BG241" i="49"/>
  <c r="BD241" i="49"/>
  <c r="BC241" i="49" s="1"/>
  <c r="BB241" i="49"/>
  <c r="AY241" i="49"/>
  <c r="AX241" i="49"/>
  <c r="AT241" i="49"/>
  <c r="AO241" i="49"/>
  <c r="AN241" i="49" s="1"/>
  <c r="AJ241" i="49"/>
  <c r="AI241" i="49" s="1"/>
  <c r="AE241" i="49"/>
  <c r="AD241" i="49"/>
  <c r="Z241" i="49"/>
  <c r="U241" i="49"/>
  <c r="T241" i="49"/>
  <c r="P241" i="49"/>
  <c r="O241" i="49"/>
  <c r="H241" i="49"/>
  <c r="AS238" i="49"/>
  <c r="AN238" i="49"/>
  <c r="AI238" i="49"/>
  <c r="AD238" i="49"/>
  <c r="Y238" i="49"/>
  <c r="T238" i="49"/>
  <c r="O238" i="49"/>
  <c r="J238" i="49"/>
  <c r="BL255" i="49" l="1"/>
  <c r="BQ281" i="49"/>
  <c r="BQ284" i="49"/>
  <c r="BQ312" i="49"/>
  <c r="BQ317" i="49"/>
  <c r="BQ331" i="49"/>
  <c r="BQ242" i="49"/>
  <c r="BL247" i="49"/>
  <c r="BL249" i="49"/>
  <c r="BL272" i="49"/>
  <c r="BH287" i="49"/>
  <c r="BL292" i="49"/>
  <c r="BQ306" i="49"/>
  <c r="BQ254" i="49"/>
  <c r="BL246" i="49"/>
  <c r="BL253" i="49"/>
  <c r="BQ258" i="49"/>
  <c r="BL268" i="49"/>
  <c r="BL302" i="49"/>
  <c r="BH305" i="49"/>
  <c r="BQ318" i="49"/>
  <c r="BQ260" i="49"/>
  <c r="BQ283" i="49"/>
  <c r="BQ286" i="49"/>
  <c r="BQ301" i="49"/>
  <c r="BQ309" i="49"/>
  <c r="BQ320" i="49"/>
  <c r="BH254" i="49"/>
  <c r="BH256" i="49"/>
  <c r="AT341" i="49"/>
  <c r="BL261" i="49"/>
  <c r="BQ311" i="49"/>
  <c r="BL281" i="49"/>
  <c r="Y281" i="49"/>
  <c r="O286" i="49"/>
  <c r="BL286" i="49"/>
  <c r="BH322" i="49"/>
  <c r="AN322" i="49"/>
  <c r="BH340" i="49"/>
  <c r="J340" i="49"/>
  <c r="BQ282" i="49"/>
  <c r="BH285" i="49"/>
  <c r="BH328" i="49"/>
  <c r="P341" i="49"/>
  <c r="BQ250" i="49"/>
  <c r="BQ251" i="49"/>
  <c r="BQ252" i="49"/>
  <c r="J254" i="49"/>
  <c r="BQ256" i="49"/>
  <c r="BQ261" i="49"/>
  <c r="BH265" i="49"/>
  <c r="BL266" i="49"/>
  <c r="J287" i="49"/>
  <c r="BL320" i="49"/>
  <c r="J324" i="49"/>
  <c r="BH324" i="49"/>
  <c r="BL332" i="49"/>
  <c r="O332" i="49"/>
  <c r="BH269" i="49"/>
  <c r="AD273" i="49"/>
  <c r="BH273" i="49"/>
  <c r="Z341" i="49"/>
  <c r="BL251" i="49"/>
  <c r="BH267" i="49"/>
  <c r="J267" i="49"/>
  <c r="T276" i="49"/>
  <c r="BH276" i="49"/>
  <c r="O249" i="49"/>
  <c r="O253" i="49"/>
  <c r="O255" i="49"/>
  <c r="BQ255" i="49"/>
  <c r="BH257" i="49"/>
  <c r="BP257" i="49" s="1"/>
  <c r="BU257" i="49" s="1"/>
  <c r="BL257" i="49"/>
  <c r="Y257" i="49"/>
  <c r="BQ257" i="49"/>
  <c r="BH263" i="49"/>
  <c r="BQ267" i="49"/>
  <c r="BQ270" i="49"/>
  <c r="BH278" i="49"/>
  <c r="BH291" i="49"/>
  <c r="BP291" i="49" s="1"/>
  <c r="BU291" i="49" s="1"/>
  <c r="J291" i="49"/>
  <c r="BL297" i="49"/>
  <c r="O302" i="49"/>
  <c r="BQ304" i="49"/>
  <c r="BH306" i="49"/>
  <c r="BP306" i="49" s="1"/>
  <c r="BU306" i="49" s="1"/>
  <c r="J306" i="49"/>
  <c r="BH331" i="49"/>
  <c r="J331" i="49"/>
  <c r="BL274" i="49"/>
  <c r="BH282" i="49"/>
  <c r="BL285" i="49"/>
  <c r="BQ287" i="49"/>
  <c r="BL288" i="49"/>
  <c r="BL289" i="49"/>
  <c r="BL290" i="49"/>
  <c r="BH301" i="49"/>
  <c r="J301" i="49"/>
  <c r="BQ303" i="49"/>
  <c r="BQ307" i="49"/>
  <c r="BQ324" i="49"/>
  <c r="BQ335" i="49"/>
  <c r="BH258" i="49"/>
  <c r="BH259" i="49"/>
  <c r="BH260" i="49"/>
  <c r="BP260" i="49" s="1"/>
  <c r="BU260" i="49" s="1"/>
  <c r="BH262" i="49"/>
  <c r="BL264" i="49"/>
  <c r="BQ268" i="49"/>
  <c r="BH271" i="49"/>
  <c r="BQ271" i="49"/>
  <c r="BL277" i="49"/>
  <c r="J282" i="49"/>
  <c r="O288" i="49"/>
  <c r="BQ288" i="49"/>
  <c r="BQ291" i="49"/>
  <c r="BH297" i="49"/>
  <c r="BQ297" i="49"/>
  <c r="BH300" i="49"/>
  <c r="BL304" i="49"/>
  <c r="BL306" i="49"/>
  <c r="BQ322" i="49"/>
  <c r="BQ326" i="49"/>
  <c r="BQ329" i="49"/>
  <c r="BH333" i="49"/>
  <c r="BL334" i="49"/>
  <c r="BH338" i="49"/>
  <c r="BQ293" i="49"/>
  <c r="BH294" i="49"/>
  <c r="BL300" i="49"/>
  <c r="BH302" i="49"/>
  <c r="BP302" i="49" s="1"/>
  <c r="BU302" i="49" s="1"/>
  <c r="BH304" i="49"/>
  <c r="BH310" i="49"/>
  <c r="BH311" i="49"/>
  <c r="BH312" i="49"/>
  <c r="BH313" i="49"/>
  <c r="BH314" i="49"/>
  <c r="BH316" i="49"/>
  <c r="BH317" i="49"/>
  <c r="BH318" i="49"/>
  <c r="BL327" i="49"/>
  <c r="BB341" i="49"/>
  <c r="BL241" i="49"/>
  <c r="BL243" i="49"/>
  <c r="BL250" i="49"/>
  <c r="BL256" i="49"/>
  <c r="BP256" i="49" s="1"/>
  <c r="BU256" i="49" s="1"/>
  <c r="BL262" i="49"/>
  <c r="O262" i="49"/>
  <c r="O263" i="49"/>
  <c r="BL263" i="49"/>
  <c r="BL275" i="49"/>
  <c r="O275" i="49"/>
  <c r="BH284" i="49"/>
  <c r="T284" i="49"/>
  <c r="AO341" i="49"/>
  <c r="BL242" i="49"/>
  <c r="BL244" i="49"/>
  <c r="BL254" i="49"/>
  <c r="BP254" i="49" s="1"/>
  <c r="BU254" i="49" s="1"/>
  <c r="BH264" i="49"/>
  <c r="BP264" i="49" s="1"/>
  <c r="BU264" i="49" s="1"/>
  <c r="T264" i="49"/>
  <c r="BQ264" i="49"/>
  <c r="BL265" i="49"/>
  <c r="BP265" i="49" s="1"/>
  <c r="BU265" i="49" s="1"/>
  <c r="O267" i="49"/>
  <c r="BL267" i="49"/>
  <c r="BH270" i="49"/>
  <c r="BP270" i="49" s="1"/>
  <c r="BU270" i="49" s="1"/>
  <c r="J270" i="49"/>
  <c r="BL276" i="49"/>
  <c r="BP276" i="49" s="1"/>
  <c r="BU276" i="49" s="1"/>
  <c r="AI276" i="49"/>
  <c r="BQ279" i="49"/>
  <c r="BH319" i="49"/>
  <c r="BL245" i="49"/>
  <c r="BL252" i="49"/>
  <c r="BH272" i="49"/>
  <c r="BP272" i="49" s="1"/>
  <c r="BU272" i="49" s="1"/>
  <c r="T272" i="49"/>
  <c r="BL273" i="49"/>
  <c r="BP273" i="49" s="1"/>
  <c r="BU273" i="49" s="1"/>
  <c r="BH283" i="49"/>
  <c r="J283" i="49"/>
  <c r="BH290" i="49"/>
  <c r="BP290" i="49" s="1"/>
  <c r="BU290" i="49" s="1"/>
  <c r="J329" i="49"/>
  <c r="BH329" i="49"/>
  <c r="U341" i="49"/>
  <c r="BI341" i="49"/>
  <c r="BM341" i="49"/>
  <c r="AJ341" i="49"/>
  <c r="BD341" i="49"/>
  <c r="BL248" i="49"/>
  <c r="Y241" i="49"/>
  <c r="AE341" i="49"/>
  <c r="AS241" i="49"/>
  <c r="AY341" i="49"/>
  <c r="BG341" i="49"/>
  <c r="BQ241" i="49"/>
  <c r="BH255" i="49"/>
  <c r="BP255" i="49" s="1"/>
  <c r="BU255" i="49" s="1"/>
  <c r="J257" i="49"/>
  <c r="BL258" i="49"/>
  <c r="BP258" i="49" s="1"/>
  <c r="BU258" i="49" s="1"/>
  <c r="BL259" i="49"/>
  <c r="BP259" i="49" s="1"/>
  <c r="BU259" i="49" s="1"/>
  <c r="Y261" i="49"/>
  <c r="BP262" i="49"/>
  <c r="BU262" i="49" s="1"/>
  <c r="BH266" i="49"/>
  <c r="J266" i="49"/>
  <c r="BQ275" i="49"/>
  <c r="BH280" i="49"/>
  <c r="BH289" i="49"/>
  <c r="BP289" i="49" s="1"/>
  <c r="BU289" i="49" s="1"/>
  <c r="BH299" i="49"/>
  <c r="J299" i="49"/>
  <c r="BH261" i="49"/>
  <c r="BP261" i="49" s="1"/>
  <c r="BU261" i="49" s="1"/>
  <c r="BH268" i="49"/>
  <c r="BP268" i="49" s="1"/>
  <c r="BU268" i="49" s="1"/>
  <c r="T268" i="49"/>
  <c r="BL269" i="49"/>
  <c r="BP269" i="49" s="1"/>
  <c r="BU269" i="49" s="1"/>
  <c r="O271" i="49"/>
  <c r="BL271" i="49"/>
  <c r="BH274" i="49"/>
  <c r="BP274" i="49" s="1"/>
  <c r="BU274" i="49" s="1"/>
  <c r="J274" i="49"/>
  <c r="BH279" i="49"/>
  <c r="J279" i="49"/>
  <c r="BL280" i="49"/>
  <c r="AI280" i="49"/>
  <c r="BH286" i="49"/>
  <c r="BL295" i="49"/>
  <c r="O295" i="49"/>
  <c r="O308" i="49"/>
  <c r="BL308" i="49"/>
  <c r="BH315" i="49"/>
  <c r="BL321" i="49"/>
  <c r="O321" i="49"/>
  <c r="Y264" i="49"/>
  <c r="O266" i="49"/>
  <c r="Y268" i="49"/>
  <c r="O270" i="49"/>
  <c r="Y272" i="49"/>
  <c r="O274" i="49"/>
  <c r="BH277" i="49"/>
  <c r="BP277" i="49" s="1"/>
  <c r="BU277" i="49" s="1"/>
  <c r="BL279" i="49"/>
  <c r="BH281" i="49"/>
  <c r="BP281" i="49" s="1"/>
  <c r="BU281" i="49" s="1"/>
  <c r="BL283" i="49"/>
  <c r="BL284" i="49"/>
  <c r="BH288" i="49"/>
  <c r="BP288" i="49" s="1"/>
  <c r="BU288" i="49" s="1"/>
  <c r="T288" i="49"/>
  <c r="BH292" i="49"/>
  <c r="O294" i="49"/>
  <c r="BL294" i="49"/>
  <c r="Y325" i="49"/>
  <c r="BL325" i="49"/>
  <c r="AS329" i="49"/>
  <c r="BL329" i="49"/>
  <c r="BL287" i="49"/>
  <c r="BP287" i="49" s="1"/>
  <c r="BU287" i="49" s="1"/>
  <c r="O287" i="49"/>
  <c r="BL291" i="49"/>
  <c r="O291" i="49"/>
  <c r="BL293" i="49"/>
  <c r="AS293" i="49"/>
  <c r="BH295" i="49"/>
  <c r="BP295" i="49" s="1"/>
  <c r="BU295" i="49" s="1"/>
  <c r="J295" i="49"/>
  <c r="BL301" i="49"/>
  <c r="O301" i="49"/>
  <c r="BH303" i="49"/>
  <c r="BL305" i="49"/>
  <c r="O305" i="49"/>
  <c r="BH308" i="49"/>
  <c r="BP308" i="49" s="1"/>
  <c r="BU308" i="49" s="1"/>
  <c r="J308" i="49"/>
  <c r="Y322" i="49"/>
  <c r="BL322" i="49"/>
  <c r="BP322" i="49" s="1"/>
  <c r="BU322" i="49" s="1"/>
  <c r="Y333" i="49"/>
  <c r="BL333" i="49"/>
  <c r="BP333" i="49" s="1"/>
  <c r="BU333" i="49" s="1"/>
  <c r="BH275" i="49"/>
  <c r="BP275" i="49" s="1"/>
  <c r="BU275" i="49" s="1"/>
  <c r="BQ276" i="49"/>
  <c r="BL278" i="49"/>
  <c r="BP278" i="49" s="1"/>
  <c r="BU278" i="49" s="1"/>
  <c r="BQ280" i="49"/>
  <c r="BL282" i="49"/>
  <c r="BP282" i="49" s="1"/>
  <c r="BU282" i="49" s="1"/>
  <c r="BQ285" i="49"/>
  <c r="BQ289" i="49"/>
  <c r="BH293" i="49"/>
  <c r="T293" i="49"/>
  <c r="BP294" i="49"/>
  <c r="BU294" i="49" s="1"/>
  <c r="BH296" i="49"/>
  <c r="T296" i="49"/>
  <c r="BL298" i="49"/>
  <c r="BL299" i="49"/>
  <c r="O299" i="49"/>
  <c r="BL307" i="49"/>
  <c r="BH326" i="49"/>
  <c r="AN326" i="49"/>
  <c r="BL296" i="49"/>
  <c r="BH309" i="49"/>
  <c r="J309" i="49"/>
  <c r="BL310" i="49"/>
  <c r="BP310" i="49" s="1"/>
  <c r="BU310" i="49" s="1"/>
  <c r="BL311" i="49"/>
  <c r="BL312" i="49"/>
  <c r="BP312" i="49" s="1"/>
  <c r="BU312" i="49" s="1"/>
  <c r="BL313" i="49"/>
  <c r="BP313" i="49" s="1"/>
  <c r="BU313" i="49" s="1"/>
  <c r="BL314" i="49"/>
  <c r="BP314" i="49" s="1"/>
  <c r="BU314" i="49" s="1"/>
  <c r="BL315" i="49"/>
  <c r="BL316" i="49"/>
  <c r="BL317" i="49"/>
  <c r="BP317" i="49" s="1"/>
  <c r="BU317" i="49" s="1"/>
  <c r="BL318" i="49"/>
  <c r="BP318" i="49" s="1"/>
  <c r="BU318" i="49" s="1"/>
  <c r="BL319" i="49"/>
  <c r="Y323" i="49"/>
  <c r="BL323" i="49"/>
  <c r="BH325" i="49"/>
  <c r="BP325" i="49" s="1"/>
  <c r="BU325" i="49" s="1"/>
  <c r="BL330" i="49"/>
  <c r="BL331" i="49"/>
  <c r="BP331" i="49" s="1"/>
  <c r="BU331" i="49" s="1"/>
  <c r="BH332" i="49"/>
  <c r="BH334" i="49"/>
  <c r="BP334" i="49" s="1"/>
  <c r="BU334" i="49" s="1"/>
  <c r="BL336" i="49"/>
  <c r="BL337" i="49"/>
  <c r="BQ292" i="49"/>
  <c r="O296" i="49"/>
  <c r="BQ296" i="49"/>
  <c r="BH298" i="49"/>
  <c r="O300" i="49"/>
  <c r="BL303" i="49"/>
  <c r="O304" i="49"/>
  <c r="BH307" i="49"/>
  <c r="BH320" i="49"/>
  <c r="BP320" i="49" s="1"/>
  <c r="BU320" i="49" s="1"/>
  <c r="BH321" i="49"/>
  <c r="AD321" i="49"/>
  <c r="Y324" i="49"/>
  <c r="BL324" i="49"/>
  <c r="Y328" i="49"/>
  <c r="BL328" i="49"/>
  <c r="BP328" i="49" s="1"/>
  <c r="BU328" i="49" s="1"/>
  <c r="O330" i="49"/>
  <c r="AI335" i="49"/>
  <c r="BL335" i="49"/>
  <c r="BL309" i="49"/>
  <c r="BH323" i="49"/>
  <c r="BP323" i="49" s="1"/>
  <c r="BU323" i="49" s="1"/>
  <c r="BH327" i="49"/>
  <c r="BP327" i="49" s="1"/>
  <c r="BU327" i="49" s="1"/>
  <c r="Y326" i="49"/>
  <c r="BL326" i="49"/>
  <c r="BH335" i="49"/>
  <c r="BH339" i="49"/>
  <c r="BQ321" i="49"/>
  <c r="BQ323" i="49"/>
  <c r="BQ325" i="49"/>
  <c r="BQ327" i="49"/>
  <c r="J333" i="49"/>
  <c r="BH336" i="49"/>
  <c r="BP336" i="49" s="1"/>
  <c r="BU336" i="49" s="1"/>
  <c r="BL340" i="49"/>
  <c r="BP340" i="49" s="1"/>
  <c r="O340" i="49"/>
  <c r="BH330" i="49"/>
  <c r="Y338" i="49"/>
  <c r="BL338" i="49"/>
  <c r="BP338" i="49" s="1"/>
  <c r="BU338" i="49" s="1"/>
  <c r="BH337" i="49"/>
  <c r="O339" i="49"/>
  <c r="BL339" i="49"/>
  <c r="BP324" i="49" l="1"/>
  <c r="BU324" i="49" s="1"/>
  <c r="BP292" i="49"/>
  <c r="BU292" i="49" s="1"/>
  <c r="BP316" i="49"/>
  <c r="BU316" i="49" s="1"/>
  <c r="BP266" i="49"/>
  <c r="BU266" i="49" s="1"/>
  <c r="BP305" i="49"/>
  <c r="BU305" i="49" s="1"/>
  <c r="BP293" i="49"/>
  <c r="BU293" i="49" s="1"/>
  <c r="BP267" i="49"/>
  <c r="BU267" i="49" s="1"/>
  <c r="BP304" i="49"/>
  <c r="BU304" i="49" s="1"/>
  <c r="BP263" i="49"/>
  <c r="BU263" i="49" s="1"/>
  <c r="BP311" i="49"/>
  <c r="BU311" i="49" s="1"/>
  <c r="BP286" i="49"/>
  <c r="BU286" i="49" s="1"/>
  <c r="BP280" i="49"/>
  <c r="BU280" i="49" s="1"/>
  <c r="BP300" i="49"/>
  <c r="BU300" i="49" s="1"/>
  <c r="BP337" i="49"/>
  <c r="BU337" i="49" s="1"/>
  <c r="BP339" i="49"/>
  <c r="BP332" i="49"/>
  <c r="BU332" i="49" s="1"/>
  <c r="BP301" i="49"/>
  <c r="BU301" i="49" s="1"/>
  <c r="BP271" i="49"/>
  <c r="BU271" i="49" s="1"/>
  <c r="BP297" i="49"/>
  <c r="BU297" i="49" s="1"/>
  <c r="BP285" i="49"/>
  <c r="BU285" i="49" s="1"/>
  <c r="BP283" i="49"/>
  <c r="BU283" i="49" s="1"/>
  <c r="BP319" i="49"/>
  <c r="BU319" i="49" s="1"/>
  <c r="BL341" i="49"/>
  <c r="BP309" i="49"/>
  <c r="BU309" i="49" s="1"/>
  <c r="BP330" i="49"/>
  <c r="BU330" i="49" s="1"/>
  <c r="BP321" i="49"/>
  <c r="BU321" i="49" s="1"/>
  <c r="BP279" i="49"/>
  <c r="BU279" i="49" s="1"/>
  <c r="BP299" i="49"/>
  <c r="BU299" i="49" s="1"/>
  <c r="BQ341" i="49"/>
  <c r="BP284" i="49"/>
  <c r="BU284" i="49" s="1"/>
  <c r="BP335" i="49"/>
  <c r="BU335" i="49" s="1"/>
  <c r="BP307" i="49"/>
  <c r="BU307" i="49" s="1"/>
  <c r="BP298" i="49"/>
  <c r="BU298" i="49" s="1"/>
  <c r="BP326" i="49"/>
  <c r="BU326" i="49" s="1"/>
  <c r="BP296" i="49"/>
  <c r="BU296" i="49" s="1"/>
  <c r="BP303" i="49"/>
  <c r="BU303" i="49" s="1"/>
  <c r="BP315" i="49"/>
  <c r="BU315" i="49" s="1"/>
  <c r="BP329" i="49"/>
  <c r="BU329" i="49" s="1"/>
  <c r="Q38" i="48" l="1"/>
  <c r="F1429" i="50" l="1"/>
  <c r="AH1429" i="50" s="1"/>
  <c r="N1429" i="50" l="1"/>
  <c r="V1429" i="50"/>
  <c r="AD1429" i="50"/>
  <c r="L1429" i="50"/>
  <c r="T1429" i="50"/>
  <c r="AB1429" i="50"/>
  <c r="H1429" i="50"/>
  <c r="P1429" i="50"/>
  <c r="X1429" i="50"/>
  <c r="AF1429" i="50"/>
  <c r="J1429" i="50"/>
  <c r="R1429" i="50"/>
  <c r="Z1429" i="50"/>
  <c r="K6" i="49" l="1"/>
  <c r="J6" i="49"/>
  <c r="BJ115" i="49" l="1"/>
  <c r="BJ114" i="49"/>
  <c r="BJ113" i="49"/>
  <c r="BJ112" i="49"/>
  <c r="BJ111" i="49"/>
  <c r="BJ110" i="49"/>
  <c r="BJ109" i="49"/>
  <c r="BJ108" i="49"/>
  <c r="BJ107" i="49"/>
  <c r="BJ106" i="49"/>
  <c r="BJ105" i="49"/>
  <c r="BJ104" i="49"/>
  <c r="BJ103" i="49"/>
  <c r="BJ102" i="49"/>
  <c r="BJ101" i="49"/>
  <c r="BJ100" i="49"/>
  <c r="BJ99" i="49"/>
  <c r="BJ98" i="49"/>
  <c r="BJ97" i="49"/>
  <c r="BJ96" i="49"/>
  <c r="BJ95" i="49"/>
  <c r="BJ94" i="49"/>
  <c r="BJ93" i="49"/>
  <c r="BJ92" i="49"/>
  <c r="BJ91" i="49"/>
  <c r="BJ90" i="49"/>
  <c r="BJ89" i="49"/>
  <c r="BJ88" i="49"/>
  <c r="BJ87" i="49"/>
  <c r="BJ86" i="49"/>
  <c r="BJ85" i="49"/>
  <c r="BJ84" i="49"/>
  <c r="BJ83" i="49"/>
  <c r="BJ82" i="49"/>
  <c r="BJ81" i="49"/>
  <c r="BJ80" i="49"/>
  <c r="BJ79" i="49"/>
  <c r="BJ78" i="49"/>
  <c r="BJ77" i="49"/>
  <c r="BJ76" i="49"/>
  <c r="BJ75" i="49"/>
  <c r="BJ74" i="49"/>
  <c r="BJ73" i="49"/>
  <c r="BJ72" i="49"/>
  <c r="BJ71" i="49"/>
  <c r="BJ70" i="49"/>
  <c r="BJ69" i="49"/>
  <c r="BJ68" i="49"/>
  <c r="BJ67" i="49"/>
  <c r="BJ66" i="49"/>
  <c r="BJ65" i="49"/>
  <c r="BJ64" i="49"/>
  <c r="BJ63" i="49"/>
  <c r="BJ62" i="49"/>
  <c r="BJ61" i="49"/>
  <c r="BJ60" i="49"/>
  <c r="BJ59" i="49"/>
  <c r="BJ58" i="49"/>
  <c r="BJ57" i="49"/>
  <c r="BJ56" i="49"/>
  <c r="BJ55" i="49"/>
  <c r="BJ54" i="49"/>
  <c r="BJ53" i="49"/>
  <c r="BJ52" i="49"/>
  <c r="BJ51" i="49"/>
  <c r="BJ50" i="49"/>
  <c r="BJ49" i="49"/>
  <c r="BJ48" i="49"/>
  <c r="BJ47" i="49"/>
  <c r="BJ46" i="49"/>
  <c r="BJ45" i="49"/>
  <c r="BJ44" i="49"/>
  <c r="BJ43" i="49"/>
  <c r="BJ42" i="49"/>
  <c r="BJ41" i="49"/>
  <c r="BJ40" i="49"/>
  <c r="BJ39" i="49"/>
  <c r="BJ38" i="49"/>
  <c r="BJ37" i="49"/>
  <c r="BJ36" i="49"/>
  <c r="BJ35" i="49"/>
  <c r="BJ34" i="49"/>
  <c r="BJ33" i="49"/>
  <c r="BJ32" i="49"/>
  <c r="BJ31" i="49"/>
  <c r="BJ30" i="49"/>
  <c r="BJ29" i="49"/>
  <c r="BJ28" i="49"/>
  <c r="BJ27" i="49"/>
  <c r="BJ26" i="49"/>
  <c r="BJ25" i="49"/>
  <c r="BJ24" i="49"/>
  <c r="BJ23" i="49"/>
  <c r="BJ22" i="49"/>
  <c r="BF116" i="49"/>
  <c r="BF117" i="49" s="1"/>
  <c r="BA116" i="49"/>
  <c r="BA117" i="49" s="1"/>
  <c r="AV116" i="49"/>
  <c r="AV117" i="49" s="1"/>
  <c r="S4" i="49" s="1"/>
  <c r="AQ116" i="49"/>
  <c r="AQ117" i="49" s="1"/>
  <c r="P4" i="49" s="1"/>
  <c r="AL116" i="49"/>
  <c r="AL117" i="49" s="1"/>
  <c r="S10" i="49" s="1"/>
  <c r="AG116" i="49"/>
  <c r="AG117" i="49" s="1"/>
  <c r="P10" i="49" s="1"/>
  <c r="AB116" i="49"/>
  <c r="AB117" i="49" s="1"/>
  <c r="S8" i="49" s="1"/>
  <c r="W116" i="49"/>
  <c r="W117" i="49" s="1"/>
  <c r="P8" i="49" s="1"/>
  <c r="R116" i="49"/>
  <c r="R117" i="49" s="1"/>
  <c r="Q10" i="49"/>
  <c r="L10" i="49"/>
  <c r="I10" i="49"/>
  <c r="L8" i="49"/>
  <c r="I8" i="49"/>
  <c r="I6" i="49"/>
  <c r="L6" i="49" s="1"/>
  <c r="J4" i="49"/>
  <c r="L4" i="49" s="1"/>
  <c r="I4" i="49"/>
  <c r="S6" i="49" l="1"/>
  <c r="T10" i="49"/>
  <c r="W10" i="49" s="1"/>
  <c r="V4" i="49"/>
  <c r="T4" i="49"/>
  <c r="Q4" i="49"/>
  <c r="V10" i="49"/>
  <c r="T8" i="49"/>
  <c r="V8" i="49"/>
  <c r="Q8" i="49"/>
  <c r="T6" i="49"/>
  <c r="W8" i="49" l="1"/>
  <c r="W4" i="49"/>
  <c r="D4" i="49" l="1"/>
  <c r="D6" i="49" s="1"/>
  <c r="K72" i="48"/>
  <c r="Q72" i="48" s="1"/>
  <c r="H3" i="48"/>
  <c r="H2" i="48"/>
  <c r="M39" i="48" s="1"/>
  <c r="S39" i="48" l="1"/>
  <c r="G2" i="73"/>
  <c r="H8" i="73" l="1"/>
  <c r="AC12" i="50"/>
  <c r="AC19" i="50"/>
  <c r="AC61" i="50"/>
  <c r="AC68" i="50"/>
  <c r="AC75" i="50"/>
  <c r="AC82" i="50"/>
  <c r="AC89" i="50"/>
  <c r="AC96" i="50"/>
  <c r="AC103" i="50"/>
  <c r="AC110" i="50"/>
  <c r="AC117" i="50"/>
  <c r="I8" i="73" l="1"/>
  <c r="H2" i="73"/>
  <c r="Q120" i="49"/>
  <c r="L120" i="49"/>
  <c r="Q137" i="49" l="1"/>
  <c r="M38" i="48" l="1"/>
  <c r="J13" i="49" s="1"/>
  <c r="Y82" i="49"/>
  <c r="Y83" i="49"/>
  <c r="Y84" i="49"/>
  <c r="T75" i="49"/>
  <c r="T76" i="49"/>
  <c r="T77" i="49"/>
  <c r="T78" i="49"/>
  <c r="T79" i="49"/>
  <c r="T80" i="49"/>
  <c r="T81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S314" i="50"/>
  <c r="S342" i="50"/>
  <c r="S349" i="50"/>
  <c r="S317" i="50"/>
  <c r="S345" i="50"/>
  <c r="S318" i="50"/>
  <c r="S346" i="50"/>
  <c r="T82" i="49"/>
  <c r="T83" i="49"/>
  <c r="T84" i="49"/>
  <c r="H16" i="49"/>
  <c r="AF6" i="50"/>
  <c r="U16" i="49"/>
  <c r="Z16" i="49"/>
  <c r="Y16" i="49" s="1"/>
  <c r="AE16" i="49"/>
  <c r="AD16" i="49" s="1"/>
  <c r="AJ16" i="49"/>
  <c r="AO16" i="49"/>
  <c r="AN16" i="49" s="1"/>
  <c r="AT16" i="49"/>
  <c r="AS16" i="49" s="1"/>
  <c r="AY16" i="49"/>
  <c r="AX16" i="49" s="1"/>
  <c r="BB16" i="49"/>
  <c r="BD16" i="49"/>
  <c r="BG16" i="49"/>
  <c r="BI16" i="49"/>
  <c r="BM16" i="49"/>
  <c r="BS16" i="49"/>
  <c r="H17" i="49"/>
  <c r="U17" i="49"/>
  <c r="Z17" i="49"/>
  <c r="AE17" i="49"/>
  <c r="AD17" i="49" s="1"/>
  <c r="AJ17" i="49"/>
  <c r="AI17" i="49" s="1"/>
  <c r="AO17" i="49"/>
  <c r="AN17" i="49" s="1"/>
  <c r="AT17" i="49"/>
  <c r="AS17" i="49" s="1"/>
  <c r="AY17" i="49"/>
  <c r="AX17" i="49" s="1"/>
  <c r="BB17" i="49"/>
  <c r="BD17" i="49"/>
  <c r="BG17" i="49"/>
  <c r="BI17" i="49"/>
  <c r="BM17" i="49"/>
  <c r="BS17" i="49"/>
  <c r="H18" i="49"/>
  <c r="U18" i="49"/>
  <c r="Z18" i="49"/>
  <c r="AE18" i="49"/>
  <c r="AD18" i="49" s="1"/>
  <c r="AJ18" i="49"/>
  <c r="AI18" i="49" s="1"/>
  <c r="AO18" i="49"/>
  <c r="AN18" i="49" s="1"/>
  <c r="AT18" i="49"/>
  <c r="AS18" i="49" s="1"/>
  <c r="AY18" i="49"/>
  <c r="AX18" i="49" s="1"/>
  <c r="BB18" i="49"/>
  <c r="BD18" i="49"/>
  <c r="BG18" i="49"/>
  <c r="BI18" i="49"/>
  <c r="BM18" i="49"/>
  <c r="BS18" i="49"/>
  <c r="H19" i="49"/>
  <c r="P19" i="49"/>
  <c r="U19" i="49"/>
  <c r="Z19" i="49"/>
  <c r="Y19" i="49" s="1"/>
  <c r="AE19" i="49"/>
  <c r="AD19" i="49" s="1"/>
  <c r="AJ19" i="49"/>
  <c r="AO19" i="49"/>
  <c r="AN19" i="49" s="1"/>
  <c r="AT19" i="49"/>
  <c r="AS19" i="49" s="1"/>
  <c r="AY19" i="49"/>
  <c r="AX19" i="49" s="1"/>
  <c r="BB19" i="49"/>
  <c r="BD19" i="49"/>
  <c r="BC19" i="49" s="1"/>
  <c r="BG19" i="49"/>
  <c r="BI19" i="49"/>
  <c r="BM19" i="49"/>
  <c r="BS19" i="49"/>
  <c r="H20" i="49"/>
  <c r="P20" i="49"/>
  <c r="AF34" i="50" s="1"/>
  <c r="U20" i="49"/>
  <c r="T20" i="49" s="1"/>
  <c r="Z20" i="49"/>
  <c r="Y20" i="49" s="1"/>
  <c r="AE20" i="49"/>
  <c r="AJ20" i="49"/>
  <c r="AI20" i="49" s="1"/>
  <c r="AO20" i="49"/>
  <c r="AN20" i="49" s="1"/>
  <c r="AT20" i="49"/>
  <c r="AS20" i="49" s="1"/>
  <c r="AY20" i="49"/>
  <c r="BB20" i="49"/>
  <c r="BD20" i="49"/>
  <c r="BC20" i="49" s="1"/>
  <c r="BG20" i="49"/>
  <c r="BI20" i="49"/>
  <c r="BM20" i="49"/>
  <c r="BS20" i="49"/>
  <c r="H21" i="49"/>
  <c r="K21" i="49"/>
  <c r="R41" i="50" s="1"/>
  <c r="AH41" i="50" s="1"/>
  <c r="P21" i="49"/>
  <c r="AF41" i="50" s="1"/>
  <c r="U21" i="49"/>
  <c r="T21" i="49" s="1"/>
  <c r="Z21" i="49"/>
  <c r="Y21" i="49" s="1"/>
  <c r="AE21" i="49"/>
  <c r="AD21" i="49" s="1"/>
  <c r="AJ21" i="49"/>
  <c r="AI21" i="49" s="1"/>
  <c r="AO21" i="49"/>
  <c r="AN21" i="49" s="1"/>
  <c r="AT21" i="49"/>
  <c r="AS21" i="49" s="1"/>
  <c r="AY21" i="49"/>
  <c r="BB21" i="49"/>
  <c r="BD21" i="49"/>
  <c r="BC21" i="49" s="1"/>
  <c r="BG21" i="49"/>
  <c r="BI21" i="49"/>
  <c r="BM21" i="49"/>
  <c r="BS21" i="49"/>
  <c r="H22" i="49"/>
  <c r="K22" i="49"/>
  <c r="R48" i="50" s="1"/>
  <c r="P22" i="49"/>
  <c r="O22" i="49" s="1"/>
  <c r="U22" i="49"/>
  <c r="Z22" i="49"/>
  <c r="AE22" i="49"/>
  <c r="AD22" i="49" s="1"/>
  <c r="AJ22" i="49"/>
  <c r="AI22" i="49" s="1"/>
  <c r="AO22" i="49"/>
  <c r="AN22" i="49" s="1"/>
  <c r="AT22" i="49"/>
  <c r="AS22" i="49" s="1"/>
  <c r="AY22" i="49"/>
  <c r="BB22" i="49"/>
  <c r="BD22" i="49"/>
  <c r="BC22" i="49" s="1"/>
  <c r="BG22" i="49"/>
  <c r="BI22" i="49"/>
  <c r="BM22" i="49"/>
  <c r="BS22" i="49"/>
  <c r="H23" i="49"/>
  <c r="K23" i="49"/>
  <c r="R55" i="50" s="1"/>
  <c r="P23" i="49"/>
  <c r="U23" i="49"/>
  <c r="T23" i="49" s="1"/>
  <c r="Z23" i="49"/>
  <c r="Y23" i="49" s="1"/>
  <c r="AE23" i="49"/>
  <c r="AD23" i="49" s="1"/>
  <c r="AJ23" i="49"/>
  <c r="AI23" i="49" s="1"/>
  <c r="AO23" i="49"/>
  <c r="AN23" i="49" s="1"/>
  <c r="AT23" i="49"/>
  <c r="AS23" i="49" s="1"/>
  <c r="AY23" i="49"/>
  <c r="BB23" i="49"/>
  <c r="BD23" i="49"/>
  <c r="BC23" i="49" s="1"/>
  <c r="BG23" i="49"/>
  <c r="BI23" i="49"/>
  <c r="BM23" i="49"/>
  <c r="BS23" i="49"/>
  <c r="H25" i="49"/>
  <c r="K25" i="49"/>
  <c r="R69" i="50" s="1"/>
  <c r="P25" i="49"/>
  <c r="AF69" i="50" s="1"/>
  <c r="U25" i="49"/>
  <c r="T25" i="49" s="1"/>
  <c r="Z25" i="49"/>
  <c r="Y25" i="49" s="1"/>
  <c r="AE25" i="49"/>
  <c r="AD25" i="49" s="1"/>
  <c r="AJ25" i="49"/>
  <c r="AI25" i="49" s="1"/>
  <c r="AO25" i="49"/>
  <c r="AN25" i="49" s="1"/>
  <c r="AT25" i="49"/>
  <c r="AS25" i="49" s="1"/>
  <c r="AY25" i="49"/>
  <c r="AX25" i="49" s="1"/>
  <c r="BB25" i="49"/>
  <c r="BD25" i="49"/>
  <c r="BC25" i="49" s="1"/>
  <c r="BG25" i="49"/>
  <c r="BI25" i="49"/>
  <c r="BM25" i="49"/>
  <c r="BS25" i="49"/>
  <c r="H26" i="49"/>
  <c r="K26" i="49"/>
  <c r="P26" i="49"/>
  <c r="AF76" i="50" s="1"/>
  <c r="U26" i="49"/>
  <c r="T26" i="49" s="1"/>
  <c r="Z26" i="49"/>
  <c r="AE26" i="49"/>
  <c r="AD26" i="49" s="1"/>
  <c r="AJ26" i="49"/>
  <c r="AI26" i="49" s="1"/>
  <c r="AO26" i="49"/>
  <c r="AN26" i="49" s="1"/>
  <c r="AT26" i="49"/>
  <c r="AS26" i="49" s="1"/>
  <c r="AY26" i="49"/>
  <c r="AX26" i="49" s="1"/>
  <c r="BB26" i="49"/>
  <c r="BD26" i="49"/>
  <c r="BC26" i="49" s="1"/>
  <c r="BG26" i="49"/>
  <c r="BI26" i="49"/>
  <c r="BM26" i="49"/>
  <c r="BS26" i="49"/>
  <c r="H27" i="49"/>
  <c r="K27" i="49"/>
  <c r="P27" i="49"/>
  <c r="O27" i="49" s="1"/>
  <c r="U27" i="49"/>
  <c r="T27" i="49" s="1"/>
  <c r="Z27" i="49"/>
  <c r="AE27" i="49"/>
  <c r="AD27" i="49" s="1"/>
  <c r="AJ27" i="49"/>
  <c r="AI27" i="49" s="1"/>
  <c r="AO27" i="49"/>
  <c r="AN27" i="49" s="1"/>
  <c r="AT27" i="49"/>
  <c r="AS27" i="49" s="1"/>
  <c r="AY27" i="49"/>
  <c r="AX27" i="49" s="1"/>
  <c r="BB27" i="49"/>
  <c r="BD27" i="49"/>
  <c r="BC27" i="49" s="1"/>
  <c r="BG27" i="49"/>
  <c r="BI27" i="49"/>
  <c r="BM27" i="49"/>
  <c r="BS27" i="49"/>
  <c r="H28" i="49"/>
  <c r="K28" i="49"/>
  <c r="P28" i="49"/>
  <c r="O28" i="49" s="1"/>
  <c r="U28" i="49"/>
  <c r="Z28" i="49"/>
  <c r="Y28" i="49" s="1"/>
  <c r="AE28" i="49"/>
  <c r="AD28" i="49" s="1"/>
  <c r="AJ28" i="49"/>
  <c r="AI28" i="49" s="1"/>
  <c r="AO28" i="49"/>
  <c r="AN28" i="49" s="1"/>
  <c r="AT28" i="49"/>
  <c r="AS28" i="49" s="1"/>
  <c r="AY28" i="49"/>
  <c r="BB28" i="49"/>
  <c r="BD28" i="49"/>
  <c r="BG28" i="49"/>
  <c r="BI28" i="49"/>
  <c r="BM28" i="49"/>
  <c r="BS28" i="49"/>
  <c r="V120" i="49"/>
  <c r="P24" i="49"/>
  <c r="R420" i="50"/>
  <c r="R427" i="50"/>
  <c r="R434" i="50"/>
  <c r="R441" i="50"/>
  <c r="R448" i="50"/>
  <c r="R455" i="50"/>
  <c r="R462" i="50"/>
  <c r="R469" i="50"/>
  <c r="R476" i="50"/>
  <c r="R483" i="50"/>
  <c r="R490" i="50"/>
  <c r="R497" i="50"/>
  <c r="R504" i="50"/>
  <c r="R511" i="50"/>
  <c r="R518" i="50"/>
  <c r="R525" i="50"/>
  <c r="R532" i="50"/>
  <c r="R539" i="50"/>
  <c r="R546" i="50"/>
  <c r="R553" i="50"/>
  <c r="R560" i="50"/>
  <c r="R567" i="50"/>
  <c r="R574" i="50"/>
  <c r="R581" i="50"/>
  <c r="R588" i="50"/>
  <c r="R595" i="50"/>
  <c r="R602" i="50"/>
  <c r="R609" i="50"/>
  <c r="R616" i="50"/>
  <c r="R623" i="50"/>
  <c r="R630" i="50"/>
  <c r="R637" i="50"/>
  <c r="R644" i="50"/>
  <c r="R651" i="50"/>
  <c r="R658" i="50"/>
  <c r="R665" i="50"/>
  <c r="R672" i="50"/>
  <c r="R679" i="50"/>
  <c r="R686" i="50"/>
  <c r="R693" i="50"/>
  <c r="R700" i="50"/>
  <c r="O1440" i="50"/>
  <c r="M1440" i="50"/>
  <c r="K1440" i="50"/>
  <c r="I1440" i="50"/>
  <c r="G1440" i="50"/>
  <c r="AF469" i="50"/>
  <c r="AF476" i="50"/>
  <c r="X476" i="50" s="1"/>
  <c r="X1191" i="50" s="1"/>
  <c r="AF483" i="50"/>
  <c r="AC1440" i="50"/>
  <c r="AA1440" i="50"/>
  <c r="Y1440" i="50"/>
  <c r="W1440" i="50"/>
  <c r="U1440" i="50"/>
  <c r="Q231" i="49"/>
  <c r="T230" i="49"/>
  <c r="T229" i="49"/>
  <c r="T228" i="49"/>
  <c r="T227" i="49"/>
  <c r="T226" i="49"/>
  <c r="T225" i="49"/>
  <c r="T224" i="49"/>
  <c r="T223" i="49"/>
  <c r="T222" i="49"/>
  <c r="T221" i="49"/>
  <c r="T220" i="49"/>
  <c r="T219" i="49"/>
  <c r="T218" i="49"/>
  <c r="T217" i="49"/>
  <c r="T216" i="49"/>
  <c r="T215" i="49"/>
  <c r="T214" i="49"/>
  <c r="T213" i="49"/>
  <c r="T212" i="49"/>
  <c r="T211" i="49"/>
  <c r="T210" i="49"/>
  <c r="T209" i="49"/>
  <c r="T208" i="49"/>
  <c r="T207" i="49"/>
  <c r="T206" i="49"/>
  <c r="T205" i="49"/>
  <c r="T204" i="49"/>
  <c r="T203" i="49"/>
  <c r="T202" i="49"/>
  <c r="T201" i="49"/>
  <c r="T200" i="49"/>
  <c r="T199" i="49"/>
  <c r="T198" i="49"/>
  <c r="T197" i="49"/>
  <c r="T196" i="49"/>
  <c r="T195" i="49"/>
  <c r="T194" i="49"/>
  <c r="T193" i="49"/>
  <c r="T192" i="49"/>
  <c r="T191" i="49"/>
  <c r="T190" i="49"/>
  <c r="T189" i="49"/>
  <c r="V167" i="49"/>
  <c r="BI167" i="49" s="1"/>
  <c r="Q128" i="48"/>
  <c r="S128" i="48" s="1"/>
  <c r="Q127" i="48"/>
  <c r="J127" i="48"/>
  <c r="H127" i="48"/>
  <c r="F127" i="48"/>
  <c r="M123" i="48"/>
  <c r="U123" i="48" s="1"/>
  <c r="W123" i="48"/>
  <c r="AC123" i="48" s="1"/>
  <c r="M120" i="48"/>
  <c r="U120" i="48" s="1"/>
  <c r="W120" i="48"/>
  <c r="AC120" i="48" s="1"/>
  <c r="M117" i="48"/>
  <c r="U117" i="48" s="1"/>
  <c r="M113" i="48"/>
  <c r="U113" i="48" s="1"/>
  <c r="O113" i="48" s="1"/>
  <c r="M110" i="48"/>
  <c r="U110" i="48" s="1"/>
  <c r="O110" i="48" s="1"/>
  <c r="S132" i="48"/>
  <c r="Q100" i="48"/>
  <c r="Q99" i="48"/>
  <c r="J99" i="48"/>
  <c r="H99" i="48"/>
  <c r="F99" i="48"/>
  <c r="M95" i="48"/>
  <c r="S95" i="48"/>
  <c r="W64" i="48"/>
  <c r="W95" i="48" s="1"/>
  <c r="AC95" i="48" s="1"/>
  <c r="M89" i="48"/>
  <c r="S89" i="48"/>
  <c r="W58" i="48"/>
  <c r="W89" i="48" s="1"/>
  <c r="M91" i="48"/>
  <c r="U91" i="48" s="1"/>
  <c r="W91" i="48"/>
  <c r="AC91" i="48" s="1"/>
  <c r="M85" i="48"/>
  <c r="U85" i="48" s="1"/>
  <c r="O85" i="48" s="1"/>
  <c r="W85" i="48"/>
  <c r="W113" i="48" s="1"/>
  <c r="M82" i="48"/>
  <c r="U82" i="48" s="1"/>
  <c r="O82" i="48" s="1"/>
  <c r="W55" i="48"/>
  <c r="W82" i="48" s="1"/>
  <c r="AC82" i="48" s="1"/>
  <c r="Q71" i="48"/>
  <c r="I71" i="48"/>
  <c r="J71" i="48" s="1"/>
  <c r="H71" i="48"/>
  <c r="F71" i="48"/>
  <c r="M67" i="48"/>
  <c r="U67" i="48" s="1"/>
  <c r="W67" i="48"/>
  <c r="AC67" i="48" s="1"/>
  <c r="E61" i="48"/>
  <c r="M61" i="48" s="1"/>
  <c r="U61" i="48" s="1"/>
  <c r="W61" i="48"/>
  <c r="AC61" i="48"/>
  <c r="M64" i="48"/>
  <c r="U64" i="48" s="1"/>
  <c r="E58" i="48"/>
  <c r="M58" i="48" s="1"/>
  <c r="U58" i="48" s="1"/>
  <c r="O58" i="48" s="1"/>
  <c r="E55" i="48"/>
  <c r="M55" i="48" s="1"/>
  <c r="U55" i="48" s="1"/>
  <c r="O55" i="48" s="1"/>
  <c r="J38" i="48"/>
  <c r="H38" i="48"/>
  <c r="F38" i="48"/>
  <c r="E34" i="48"/>
  <c r="M34" i="48" s="1"/>
  <c r="U34" i="48" s="1"/>
  <c r="Y34" i="48" s="1"/>
  <c r="AC34" i="48"/>
  <c r="E28" i="48"/>
  <c r="M28" i="48" s="1"/>
  <c r="U28" i="48" s="1"/>
  <c r="O28" i="48" s="1"/>
  <c r="Y31" i="48"/>
  <c r="AE31" i="48" s="1"/>
  <c r="AC31" i="48"/>
  <c r="AC28" i="48"/>
  <c r="M22" i="48"/>
  <c r="U22" i="48" s="1"/>
  <c r="Y22" i="48" s="1"/>
  <c r="M25" i="48"/>
  <c r="U25" i="48" s="1"/>
  <c r="AC25" i="48"/>
  <c r="AC22" i="48"/>
  <c r="AC18" i="48"/>
  <c r="AE18" i="48" s="1"/>
  <c r="AP712" i="50"/>
  <c r="AG2024" i="50"/>
  <c r="S2024" i="50"/>
  <c r="Q116" i="49"/>
  <c r="H83" i="49"/>
  <c r="H82" i="49"/>
  <c r="H84" i="49"/>
  <c r="L196" i="49"/>
  <c r="AF535" i="50"/>
  <c r="BS82" i="49"/>
  <c r="BM196" i="49"/>
  <c r="BI74" i="49"/>
  <c r="H74" i="49"/>
  <c r="BM74" i="49"/>
  <c r="AH3582" i="50"/>
  <c r="E2876" i="50"/>
  <c r="E2877" i="50"/>
  <c r="E2878" i="50"/>
  <c r="E2879" i="50"/>
  <c r="E2880" i="50"/>
  <c r="E3580" i="50"/>
  <c r="E3579" i="50"/>
  <c r="E3578" i="50"/>
  <c r="E3577" i="50"/>
  <c r="E3576" i="50"/>
  <c r="E3573" i="50"/>
  <c r="E3572" i="50"/>
  <c r="E3571" i="50"/>
  <c r="E3570" i="50"/>
  <c r="E3569" i="50"/>
  <c r="E3566" i="50"/>
  <c r="E3565" i="50"/>
  <c r="E3564" i="50"/>
  <c r="E3563" i="50"/>
  <c r="E3562" i="50"/>
  <c r="E3559" i="50"/>
  <c r="E3558" i="50"/>
  <c r="E3557" i="50"/>
  <c r="E3556" i="50"/>
  <c r="E3555" i="50"/>
  <c r="E3552" i="50"/>
  <c r="E3551" i="50"/>
  <c r="E3550" i="50"/>
  <c r="E3549" i="50"/>
  <c r="E3548" i="50"/>
  <c r="E3545" i="50"/>
  <c r="E3544" i="50"/>
  <c r="E3543" i="50"/>
  <c r="E3542" i="50"/>
  <c r="E3541" i="50"/>
  <c r="E3538" i="50"/>
  <c r="E3537" i="50"/>
  <c r="E3536" i="50"/>
  <c r="E3535" i="50"/>
  <c r="E3534" i="50"/>
  <c r="E3531" i="50"/>
  <c r="E3530" i="50"/>
  <c r="E3529" i="50"/>
  <c r="E3528" i="50"/>
  <c r="E3527" i="50"/>
  <c r="E3524" i="50"/>
  <c r="E3523" i="50"/>
  <c r="E3522" i="50"/>
  <c r="E3521" i="50"/>
  <c r="E3520" i="50"/>
  <c r="E3517" i="50"/>
  <c r="E3516" i="50"/>
  <c r="E3515" i="50"/>
  <c r="E3514" i="50"/>
  <c r="E3513" i="50"/>
  <c r="E3510" i="50"/>
  <c r="E3509" i="50"/>
  <c r="E3508" i="50"/>
  <c r="E3507" i="50"/>
  <c r="E3506" i="50"/>
  <c r="E3503" i="50"/>
  <c r="E3502" i="50"/>
  <c r="E3501" i="50"/>
  <c r="E3500" i="50"/>
  <c r="E3499" i="50"/>
  <c r="E3496" i="50"/>
  <c r="E3495" i="50"/>
  <c r="E3494" i="50"/>
  <c r="E3493" i="50"/>
  <c r="E3492" i="50"/>
  <c r="E3489" i="50"/>
  <c r="E3488" i="50"/>
  <c r="E3487" i="50"/>
  <c r="E3486" i="50"/>
  <c r="E3485" i="50"/>
  <c r="E3482" i="50"/>
  <c r="E3481" i="50"/>
  <c r="E3480" i="50"/>
  <c r="E3479" i="50"/>
  <c r="E3478" i="50"/>
  <c r="E3475" i="50"/>
  <c r="E3474" i="50"/>
  <c r="E3473" i="50"/>
  <c r="E3472" i="50"/>
  <c r="E3471" i="50"/>
  <c r="E3468" i="50"/>
  <c r="E3467" i="50"/>
  <c r="E3466" i="50"/>
  <c r="E3465" i="50"/>
  <c r="E3464" i="50"/>
  <c r="E3461" i="50"/>
  <c r="E3460" i="50"/>
  <c r="E3459" i="50"/>
  <c r="E3458" i="50"/>
  <c r="E3457" i="50"/>
  <c r="E3454" i="50"/>
  <c r="E3453" i="50"/>
  <c r="E3452" i="50"/>
  <c r="E3451" i="50"/>
  <c r="E3450" i="50"/>
  <c r="E3447" i="50"/>
  <c r="E3446" i="50"/>
  <c r="E3445" i="50"/>
  <c r="E3444" i="50"/>
  <c r="E3443" i="50"/>
  <c r="E3440" i="50"/>
  <c r="E3439" i="50"/>
  <c r="E3438" i="50"/>
  <c r="E3437" i="50"/>
  <c r="E3436" i="50"/>
  <c r="E3433" i="50"/>
  <c r="E3432" i="50"/>
  <c r="E3431" i="50"/>
  <c r="E3430" i="50"/>
  <c r="E3429" i="50"/>
  <c r="E3426" i="50"/>
  <c r="E3425" i="50"/>
  <c r="E3424" i="50"/>
  <c r="E3423" i="50"/>
  <c r="E3422" i="50"/>
  <c r="E3419" i="50"/>
  <c r="E3418" i="50"/>
  <c r="E3417" i="50"/>
  <c r="E3416" i="50"/>
  <c r="E3415" i="50"/>
  <c r="E3412" i="50"/>
  <c r="E3411" i="50"/>
  <c r="E3410" i="50"/>
  <c r="E3409" i="50"/>
  <c r="E3408" i="50"/>
  <c r="E3405" i="50"/>
  <c r="E3404" i="50"/>
  <c r="E3403" i="50"/>
  <c r="E3402" i="50"/>
  <c r="E3401" i="50"/>
  <c r="E3398" i="50"/>
  <c r="E3397" i="50"/>
  <c r="E3396" i="50"/>
  <c r="E3395" i="50"/>
  <c r="E3394" i="50"/>
  <c r="E3391" i="50"/>
  <c r="E3390" i="50"/>
  <c r="E3389" i="50"/>
  <c r="E3388" i="50"/>
  <c r="E3387" i="50"/>
  <c r="E3384" i="50"/>
  <c r="E3383" i="50"/>
  <c r="E3382" i="50"/>
  <c r="E3381" i="50"/>
  <c r="E3380" i="50"/>
  <c r="E3377" i="50"/>
  <c r="E3376" i="50"/>
  <c r="E3375" i="50"/>
  <c r="E3374" i="50"/>
  <c r="E3373" i="50"/>
  <c r="E3370" i="50"/>
  <c r="E3369" i="50"/>
  <c r="E3368" i="50"/>
  <c r="E3367" i="50"/>
  <c r="E3366" i="50"/>
  <c r="E3363" i="50"/>
  <c r="E3362" i="50"/>
  <c r="E3361" i="50"/>
  <c r="E3360" i="50"/>
  <c r="E3359" i="50"/>
  <c r="E3356" i="50"/>
  <c r="E3355" i="50"/>
  <c r="E3354" i="50"/>
  <c r="E3353" i="50"/>
  <c r="E3352" i="50"/>
  <c r="E3349" i="50"/>
  <c r="E3348" i="50"/>
  <c r="E3347" i="50"/>
  <c r="E3346" i="50"/>
  <c r="E3345" i="50"/>
  <c r="E3342" i="50"/>
  <c r="E3341" i="50"/>
  <c r="E3340" i="50"/>
  <c r="E3339" i="50"/>
  <c r="E3338" i="50"/>
  <c r="E3335" i="50"/>
  <c r="E3334" i="50"/>
  <c r="E3333" i="50"/>
  <c r="E3332" i="50"/>
  <c r="E3331" i="50"/>
  <c r="E3328" i="50"/>
  <c r="E3327" i="50"/>
  <c r="E3326" i="50"/>
  <c r="E3325" i="50"/>
  <c r="E3324" i="50"/>
  <c r="E3321" i="50"/>
  <c r="E3320" i="50"/>
  <c r="E3319" i="50"/>
  <c r="E3318" i="50"/>
  <c r="E3317" i="50"/>
  <c r="E3314" i="50"/>
  <c r="E3313" i="50"/>
  <c r="E3312" i="50"/>
  <c r="E3311" i="50"/>
  <c r="E3310" i="50"/>
  <c r="E3307" i="50"/>
  <c r="E3306" i="50"/>
  <c r="E3305" i="50"/>
  <c r="E3304" i="50"/>
  <c r="E3303" i="50"/>
  <c r="E3300" i="50"/>
  <c r="E3299" i="50"/>
  <c r="E3298" i="50"/>
  <c r="E3297" i="50"/>
  <c r="E3296" i="50"/>
  <c r="E3293" i="50"/>
  <c r="E3292" i="50"/>
  <c r="E3291" i="50"/>
  <c r="E3290" i="50"/>
  <c r="E3289" i="50"/>
  <c r="E3286" i="50"/>
  <c r="E3285" i="50"/>
  <c r="E3284" i="50"/>
  <c r="E3283" i="50"/>
  <c r="E3282" i="50"/>
  <c r="E3279" i="50"/>
  <c r="E3278" i="50"/>
  <c r="E3277" i="50"/>
  <c r="E3276" i="50"/>
  <c r="E3275" i="50"/>
  <c r="E3272" i="50"/>
  <c r="E3271" i="50"/>
  <c r="E3270" i="50"/>
  <c r="E3269" i="50"/>
  <c r="E3268" i="50"/>
  <c r="E3265" i="50"/>
  <c r="E3264" i="50"/>
  <c r="E3263" i="50"/>
  <c r="E3262" i="50"/>
  <c r="E3261" i="50"/>
  <c r="E3258" i="50"/>
  <c r="E3257" i="50"/>
  <c r="E3256" i="50"/>
  <c r="E3255" i="50"/>
  <c r="E3254" i="50"/>
  <c r="E3251" i="50"/>
  <c r="E3250" i="50"/>
  <c r="E3249" i="50"/>
  <c r="E3248" i="50"/>
  <c r="E3247" i="50"/>
  <c r="E3244" i="50"/>
  <c r="E3243" i="50"/>
  <c r="E3242" i="50"/>
  <c r="E3241" i="50"/>
  <c r="E3240" i="50"/>
  <c r="E3237" i="50"/>
  <c r="E3236" i="50"/>
  <c r="E3235" i="50"/>
  <c r="E3234" i="50"/>
  <c r="E3233" i="50"/>
  <c r="E3230" i="50"/>
  <c r="E3229" i="50"/>
  <c r="E3228" i="50"/>
  <c r="E3227" i="50"/>
  <c r="E3226" i="50"/>
  <c r="E3223" i="50"/>
  <c r="E3222" i="50"/>
  <c r="E3221" i="50"/>
  <c r="E3220" i="50"/>
  <c r="E3219" i="50"/>
  <c r="E3216" i="50"/>
  <c r="E3215" i="50"/>
  <c r="E3214" i="50"/>
  <c r="E3213" i="50"/>
  <c r="E3212" i="50"/>
  <c r="E3209" i="50"/>
  <c r="E3208" i="50"/>
  <c r="E3207" i="50"/>
  <c r="E3206" i="50"/>
  <c r="E3205" i="50"/>
  <c r="E3202" i="50"/>
  <c r="E3201" i="50"/>
  <c r="E3200" i="50"/>
  <c r="E3199" i="50"/>
  <c r="E3198" i="50"/>
  <c r="E3195" i="50"/>
  <c r="E3194" i="50"/>
  <c r="E3193" i="50"/>
  <c r="E3192" i="50"/>
  <c r="E3191" i="50"/>
  <c r="E3188" i="50"/>
  <c r="E3187" i="50"/>
  <c r="E3186" i="50"/>
  <c r="E3185" i="50"/>
  <c r="E3184" i="50"/>
  <c r="E3181" i="50"/>
  <c r="E3180" i="50"/>
  <c r="E3179" i="50"/>
  <c r="E3178" i="50"/>
  <c r="E3177" i="50"/>
  <c r="E3174" i="50"/>
  <c r="E3173" i="50"/>
  <c r="E3172" i="50"/>
  <c r="E3171" i="50"/>
  <c r="E3170" i="50"/>
  <c r="E3167" i="50"/>
  <c r="E3166" i="50"/>
  <c r="E3165" i="50"/>
  <c r="E3164" i="50"/>
  <c r="E3163" i="50"/>
  <c r="E3160" i="50"/>
  <c r="E3159" i="50"/>
  <c r="E3158" i="50"/>
  <c r="E3157" i="50"/>
  <c r="E3156" i="50"/>
  <c r="E3153" i="50"/>
  <c r="E3152" i="50"/>
  <c r="E3151" i="50"/>
  <c r="E3150" i="50"/>
  <c r="E3149" i="50"/>
  <c r="E3146" i="50"/>
  <c r="E3145" i="50"/>
  <c r="E3144" i="50"/>
  <c r="E3143" i="50"/>
  <c r="E3142" i="50"/>
  <c r="E3139" i="50"/>
  <c r="E3138" i="50"/>
  <c r="E3137" i="50"/>
  <c r="E3136" i="50"/>
  <c r="E3135" i="50"/>
  <c r="E3132" i="50"/>
  <c r="E3131" i="50"/>
  <c r="E3130" i="50"/>
  <c r="E3129" i="50"/>
  <c r="E3128" i="50"/>
  <c r="E3125" i="50"/>
  <c r="E3124" i="50"/>
  <c r="E3123" i="50"/>
  <c r="E3122" i="50"/>
  <c r="E3121" i="50"/>
  <c r="E3118" i="50"/>
  <c r="E3117" i="50"/>
  <c r="E3116" i="50"/>
  <c r="E3115" i="50"/>
  <c r="E3114" i="50"/>
  <c r="E3111" i="50"/>
  <c r="E3110" i="50"/>
  <c r="E3109" i="50"/>
  <c r="E3108" i="50"/>
  <c r="E3107" i="50"/>
  <c r="E3104" i="50"/>
  <c r="E3103" i="50"/>
  <c r="E3102" i="50"/>
  <c r="E3101" i="50"/>
  <c r="E3100" i="50"/>
  <c r="E3097" i="50"/>
  <c r="E3096" i="50"/>
  <c r="E3095" i="50"/>
  <c r="E3094" i="50"/>
  <c r="E3093" i="50"/>
  <c r="E3090" i="50"/>
  <c r="E3089" i="50"/>
  <c r="E3088" i="50"/>
  <c r="E3087" i="50"/>
  <c r="E3086" i="50"/>
  <c r="E3083" i="50"/>
  <c r="E3082" i="50"/>
  <c r="E3081" i="50"/>
  <c r="E3080" i="50"/>
  <c r="E3079" i="50"/>
  <c r="E3076" i="50"/>
  <c r="E3075" i="50"/>
  <c r="E3074" i="50"/>
  <c r="E3073" i="50"/>
  <c r="E3072" i="50"/>
  <c r="E3069" i="50"/>
  <c r="E3068" i="50"/>
  <c r="E3067" i="50"/>
  <c r="E3066" i="50"/>
  <c r="E3065" i="50"/>
  <c r="E3062" i="50"/>
  <c r="E3061" i="50"/>
  <c r="E3060" i="50"/>
  <c r="E3059" i="50"/>
  <c r="E3058" i="50"/>
  <c r="E3055" i="50"/>
  <c r="E3054" i="50"/>
  <c r="E3053" i="50"/>
  <c r="E3052" i="50"/>
  <c r="E3051" i="50"/>
  <c r="E3048" i="50"/>
  <c r="E3047" i="50"/>
  <c r="E3046" i="50"/>
  <c r="E3045" i="50"/>
  <c r="E3044" i="50"/>
  <c r="E3041" i="50"/>
  <c r="E3040" i="50"/>
  <c r="E3039" i="50"/>
  <c r="E3038" i="50"/>
  <c r="E3037" i="50"/>
  <c r="E3034" i="50"/>
  <c r="E3033" i="50"/>
  <c r="E3032" i="50"/>
  <c r="E3031" i="50"/>
  <c r="E3030" i="50"/>
  <c r="E3027" i="50"/>
  <c r="E3026" i="50"/>
  <c r="E3025" i="50"/>
  <c r="E3024" i="50"/>
  <c r="E3023" i="50"/>
  <c r="E3020" i="50"/>
  <c r="E3019" i="50"/>
  <c r="E3018" i="50"/>
  <c r="E3017" i="50"/>
  <c r="E3016" i="50"/>
  <c r="E3013" i="50"/>
  <c r="E3012" i="50"/>
  <c r="E3011" i="50"/>
  <c r="E3010" i="50"/>
  <c r="E3009" i="50"/>
  <c r="E3006" i="50"/>
  <c r="E3005" i="50"/>
  <c r="E3004" i="50"/>
  <c r="E3003" i="50"/>
  <c r="E3002" i="50"/>
  <c r="E2999" i="50"/>
  <c r="E2998" i="50"/>
  <c r="E2997" i="50"/>
  <c r="E2996" i="50"/>
  <c r="E2995" i="50"/>
  <c r="E2992" i="50"/>
  <c r="E2991" i="50"/>
  <c r="E2990" i="50"/>
  <c r="E2989" i="50"/>
  <c r="E2988" i="50"/>
  <c r="E2985" i="50"/>
  <c r="E2984" i="50"/>
  <c r="E2983" i="50"/>
  <c r="E2982" i="50"/>
  <c r="E2981" i="50"/>
  <c r="E2978" i="50"/>
  <c r="E2977" i="50"/>
  <c r="E2976" i="50"/>
  <c r="E2975" i="50"/>
  <c r="E2974" i="50"/>
  <c r="E2971" i="50"/>
  <c r="E2970" i="50"/>
  <c r="E2969" i="50"/>
  <c r="E2968" i="50"/>
  <c r="E2967" i="50"/>
  <c r="E2964" i="50"/>
  <c r="E2963" i="50"/>
  <c r="E2962" i="50"/>
  <c r="E2961" i="50"/>
  <c r="E2960" i="50"/>
  <c r="E2957" i="50"/>
  <c r="E2956" i="50"/>
  <c r="E2955" i="50"/>
  <c r="E2954" i="50"/>
  <c r="E2953" i="50"/>
  <c r="E2950" i="50"/>
  <c r="E2949" i="50"/>
  <c r="E2948" i="50"/>
  <c r="E2947" i="50"/>
  <c r="E2946" i="50"/>
  <c r="E2943" i="50"/>
  <c r="E2942" i="50"/>
  <c r="E2941" i="50"/>
  <c r="E2940" i="50"/>
  <c r="E2939" i="50"/>
  <c r="E2936" i="50"/>
  <c r="E2935" i="50"/>
  <c r="E2934" i="50"/>
  <c r="E2933" i="50"/>
  <c r="E2932" i="50"/>
  <c r="E2929" i="50"/>
  <c r="E2928" i="50"/>
  <c r="E2927" i="50"/>
  <c r="E2926" i="50"/>
  <c r="E2925" i="50"/>
  <c r="E2922" i="50"/>
  <c r="E2921" i="50"/>
  <c r="E2920" i="50"/>
  <c r="E2919" i="50"/>
  <c r="E2918" i="50"/>
  <c r="E2915" i="50"/>
  <c r="E2914" i="50"/>
  <c r="E2913" i="50"/>
  <c r="E2912" i="50"/>
  <c r="E2911" i="50"/>
  <c r="E2908" i="50"/>
  <c r="E2907" i="50"/>
  <c r="E2906" i="50"/>
  <c r="E2905" i="50"/>
  <c r="E2904" i="50"/>
  <c r="E2901" i="50"/>
  <c r="E2900" i="50"/>
  <c r="E2899" i="50"/>
  <c r="E2898" i="50"/>
  <c r="E2897" i="50"/>
  <c r="E2894" i="50"/>
  <c r="E2893" i="50"/>
  <c r="E2892" i="50"/>
  <c r="E2891" i="50"/>
  <c r="E2890" i="50"/>
  <c r="E2887" i="50"/>
  <c r="E2886" i="50"/>
  <c r="E2885" i="50"/>
  <c r="E2884" i="50"/>
  <c r="E2883" i="50"/>
  <c r="B2876" i="50"/>
  <c r="B2883" i="50" s="1"/>
  <c r="B2890" i="50" s="1"/>
  <c r="B2897" i="50" s="1"/>
  <c r="B2904" i="50" s="1"/>
  <c r="B2911" i="50" s="1"/>
  <c r="B2918" i="50" s="1"/>
  <c r="B2925" i="50" s="1"/>
  <c r="B2932" i="50" s="1"/>
  <c r="B2939" i="50" s="1"/>
  <c r="B2946" i="50" s="1"/>
  <c r="B2953" i="50" s="1"/>
  <c r="B2960" i="50" s="1"/>
  <c r="B2967" i="50" s="1"/>
  <c r="B2974" i="50" s="1"/>
  <c r="B2981" i="50" s="1"/>
  <c r="B2988" i="50" s="1"/>
  <c r="B2995" i="50" s="1"/>
  <c r="B3002" i="50" s="1"/>
  <c r="B3009" i="50" s="1"/>
  <c r="B3016" i="50" s="1"/>
  <c r="B3023" i="50" s="1"/>
  <c r="B3030" i="50" s="1"/>
  <c r="B3037" i="50" s="1"/>
  <c r="B3044" i="50" s="1"/>
  <c r="B3051" i="50" s="1"/>
  <c r="B3058" i="50" s="1"/>
  <c r="B3065" i="50" s="1"/>
  <c r="B3072" i="50" s="1"/>
  <c r="B3079" i="50" s="1"/>
  <c r="B3086" i="50" s="1"/>
  <c r="B3093" i="50" s="1"/>
  <c r="B3100" i="50" s="1"/>
  <c r="B3107" i="50" s="1"/>
  <c r="B3114" i="50" s="1"/>
  <c r="B3121" i="50" s="1"/>
  <c r="B3128" i="50" s="1"/>
  <c r="B3135" i="50" s="1"/>
  <c r="B3142" i="50" s="1"/>
  <c r="B3149" i="50" s="1"/>
  <c r="B3156" i="50" s="1"/>
  <c r="B3163" i="50" s="1"/>
  <c r="B3170" i="50" s="1"/>
  <c r="B3177" i="50" s="1"/>
  <c r="B3184" i="50" s="1"/>
  <c r="B3191" i="50" s="1"/>
  <c r="B3198" i="50" s="1"/>
  <c r="B3205" i="50" s="1"/>
  <c r="B3212" i="50" s="1"/>
  <c r="B3219" i="50" s="1"/>
  <c r="B3226" i="50" s="1"/>
  <c r="B3233" i="50" s="1"/>
  <c r="B3240" i="50" s="1"/>
  <c r="B3247" i="50" s="1"/>
  <c r="B3254" i="50" s="1"/>
  <c r="B3261" i="50" s="1"/>
  <c r="B3268" i="50" s="1"/>
  <c r="B3275" i="50" s="1"/>
  <c r="B3282" i="50" s="1"/>
  <c r="B3289" i="50" s="1"/>
  <c r="B3296" i="50" s="1"/>
  <c r="B3303" i="50" s="1"/>
  <c r="B3310" i="50" s="1"/>
  <c r="B3317" i="50" s="1"/>
  <c r="B3324" i="50" s="1"/>
  <c r="B3331" i="50" s="1"/>
  <c r="B3338" i="50" s="1"/>
  <c r="B3345" i="50" s="1"/>
  <c r="B3352" i="50" s="1"/>
  <c r="B3359" i="50" s="1"/>
  <c r="B3366" i="50" s="1"/>
  <c r="B3373" i="50" s="1"/>
  <c r="B3380" i="50" s="1"/>
  <c r="B3387" i="50" s="1"/>
  <c r="B3394" i="50" s="1"/>
  <c r="B3401" i="50" s="1"/>
  <c r="B3408" i="50" s="1"/>
  <c r="B3415" i="50" s="1"/>
  <c r="B3422" i="50" s="1"/>
  <c r="B3429" i="50" s="1"/>
  <c r="B3436" i="50" s="1"/>
  <c r="B3443" i="50" s="1"/>
  <c r="B3450" i="50" s="1"/>
  <c r="B3457" i="50" s="1"/>
  <c r="B3464" i="50" s="1"/>
  <c r="B3471" i="50" s="1"/>
  <c r="B3478" i="50" s="1"/>
  <c r="B3485" i="50" s="1"/>
  <c r="B3492" i="50" s="1"/>
  <c r="B3499" i="50" s="1"/>
  <c r="B3506" i="50" s="1"/>
  <c r="B3513" i="50" s="1"/>
  <c r="B3520" i="50" s="1"/>
  <c r="B3527" i="50" s="1"/>
  <c r="B3534" i="50" s="1"/>
  <c r="B3541" i="50" s="1"/>
  <c r="B3548" i="50" s="1"/>
  <c r="B3555" i="50" s="1"/>
  <c r="B3562" i="50" s="1"/>
  <c r="B3569" i="50" s="1"/>
  <c r="R2141" i="50"/>
  <c r="F2141" i="50" s="1"/>
  <c r="R2134" i="50"/>
  <c r="R2127" i="50"/>
  <c r="R2120" i="50"/>
  <c r="R2113" i="50"/>
  <c r="R2106" i="50"/>
  <c r="J2106" i="50" s="1"/>
  <c r="R2099" i="50"/>
  <c r="R2092" i="50"/>
  <c r="R2085" i="50"/>
  <c r="R2078" i="50"/>
  <c r="R2071" i="50"/>
  <c r="R2064" i="50"/>
  <c r="P2064" i="50" s="1"/>
  <c r="R2057" i="50"/>
  <c r="R2050" i="50"/>
  <c r="J2050" i="50" s="1"/>
  <c r="R2043" i="50"/>
  <c r="R2036" i="50"/>
  <c r="N2036" i="50" s="1"/>
  <c r="R2029" i="50"/>
  <c r="R2022" i="50"/>
  <c r="R2015" i="50"/>
  <c r="L2015" i="50" s="1"/>
  <c r="R2008" i="50"/>
  <c r="H2008" i="50" s="1"/>
  <c r="R2001" i="50"/>
  <c r="J2001" i="50" s="1"/>
  <c r="R1994" i="50"/>
  <c r="R1987" i="50"/>
  <c r="R1980" i="50"/>
  <c r="L1980" i="50" s="1"/>
  <c r="R1973" i="50"/>
  <c r="R1966" i="50"/>
  <c r="R1959" i="50"/>
  <c r="R1952" i="50"/>
  <c r="R1945" i="50"/>
  <c r="R1938" i="50"/>
  <c r="R1931" i="50"/>
  <c r="R1924" i="50"/>
  <c r="R1917" i="50"/>
  <c r="R1910" i="50"/>
  <c r="R1903" i="50"/>
  <c r="P1903" i="50" s="1"/>
  <c r="R1896" i="50"/>
  <c r="J1896" i="50" s="1"/>
  <c r="R1889" i="50"/>
  <c r="R1882" i="50"/>
  <c r="R1875" i="50"/>
  <c r="R1868" i="50"/>
  <c r="H1868" i="50" s="1"/>
  <c r="R1861" i="50"/>
  <c r="H1861" i="50" s="1"/>
  <c r="R1854" i="50"/>
  <c r="D2147" i="50"/>
  <c r="C2147" i="50"/>
  <c r="E2866" i="50"/>
  <c r="E2865" i="50"/>
  <c r="E2864" i="50"/>
  <c r="E2863" i="50"/>
  <c r="E2862" i="50"/>
  <c r="E2859" i="50"/>
  <c r="E2858" i="50"/>
  <c r="E2857" i="50"/>
  <c r="E2856" i="50"/>
  <c r="E2855" i="50"/>
  <c r="E2852" i="50"/>
  <c r="E2851" i="50"/>
  <c r="E2850" i="50"/>
  <c r="E2849" i="50"/>
  <c r="E2848" i="50"/>
  <c r="E2845" i="50"/>
  <c r="E2844" i="50"/>
  <c r="E2843" i="50"/>
  <c r="E2842" i="50"/>
  <c r="E2841" i="50"/>
  <c r="E2838" i="50"/>
  <c r="E2837" i="50"/>
  <c r="E2836" i="50"/>
  <c r="E2835" i="50"/>
  <c r="E2834" i="50"/>
  <c r="E2831" i="50"/>
  <c r="E2830" i="50"/>
  <c r="E2829" i="50"/>
  <c r="E2828" i="50"/>
  <c r="E2827" i="50"/>
  <c r="E2824" i="50"/>
  <c r="E2823" i="50"/>
  <c r="E2822" i="50"/>
  <c r="E2821" i="50"/>
  <c r="E2820" i="50"/>
  <c r="E2817" i="50"/>
  <c r="E2816" i="50"/>
  <c r="E2815" i="50"/>
  <c r="E2814" i="50"/>
  <c r="E2813" i="50"/>
  <c r="E2810" i="50"/>
  <c r="E2809" i="50"/>
  <c r="E2808" i="50"/>
  <c r="E2807" i="50"/>
  <c r="E2806" i="50"/>
  <c r="E2803" i="50"/>
  <c r="E2802" i="50"/>
  <c r="E2801" i="50"/>
  <c r="E2800" i="50"/>
  <c r="E2799" i="50"/>
  <c r="E2796" i="50"/>
  <c r="E2795" i="50"/>
  <c r="E2794" i="50"/>
  <c r="E2793" i="50"/>
  <c r="E2792" i="50"/>
  <c r="E2789" i="50"/>
  <c r="E2788" i="50"/>
  <c r="E2787" i="50"/>
  <c r="E2786" i="50"/>
  <c r="E2785" i="50"/>
  <c r="E2782" i="50"/>
  <c r="E2781" i="50"/>
  <c r="E2780" i="50"/>
  <c r="E2779" i="50"/>
  <c r="E2778" i="50"/>
  <c r="E2775" i="50"/>
  <c r="E2774" i="50"/>
  <c r="E2773" i="50"/>
  <c r="E2772" i="50"/>
  <c r="E2771" i="50"/>
  <c r="E2768" i="50"/>
  <c r="E2767" i="50"/>
  <c r="E2766" i="50"/>
  <c r="E2765" i="50"/>
  <c r="E2764" i="50"/>
  <c r="E2761" i="50"/>
  <c r="E2760" i="50"/>
  <c r="E2759" i="50"/>
  <c r="E2758" i="50"/>
  <c r="E2757" i="50"/>
  <c r="E2754" i="50"/>
  <c r="E2753" i="50"/>
  <c r="E2752" i="50"/>
  <c r="E2751" i="50"/>
  <c r="E2750" i="50"/>
  <c r="E2747" i="50"/>
  <c r="E2746" i="50"/>
  <c r="E2745" i="50"/>
  <c r="E2744" i="50"/>
  <c r="E2743" i="50"/>
  <c r="E2740" i="50"/>
  <c r="E2739" i="50"/>
  <c r="E2738" i="50"/>
  <c r="E2737" i="50"/>
  <c r="E2736" i="50"/>
  <c r="E2733" i="50"/>
  <c r="E2732" i="50"/>
  <c r="E2731" i="50"/>
  <c r="E2730" i="50"/>
  <c r="E2729" i="50"/>
  <c r="E2726" i="50"/>
  <c r="E2725" i="50"/>
  <c r="E2724" i="50"/>
  <c r="E2723" i="50"/>
  <c r="E2722" i="50"/>
  <c r="E2719" i="50"/>
  <c r="E2718" i="50"/>
  <c r="E2717" i="50"/>
  <c r="E2716" i="50"/>
  <c r="E2715" i="50"/>
  <c r="E2712" i="50"/>
  <c r="E2711" i="50"/>
  <c r="E2710" i="50"/>
  <c r="E2709" i="50"/>
  <c r="E2708" i="50"/>
  <c r="E2705" i="50"/>
  <c r="E2704" i="50"/>
  <c r="E2703" i="50"/>
  <c r="E2702" i="50"/>
  <c r="E2701" i="50"/>
  <c r="E2698" i="50"/>
  <c r="E2697" i="50"/>
  <c r="E2696" i="50"/>
  <c r="E2695" i="50"/>
  <c r="E2694" i="50"/>
  <c r="E2691" i="50"/>
  <c r="E2690" i="50"/>
  <c r="E2689" i="50"/>
  <c r="E2688" i="50"/>
  <c r="E2687" i="50"/>
  <c r="E2684" i="50"/>
  <c r="E2683" i="50"/>
  <c r="E2682" i="50"/>
  <c r="E2681" i="50"/>
  <c r="E2680" i="50"/>
  <c r="E2677" i="50"/>
  <c r="E2676" i="50"/>
  <c r="E2675" i="50"/>
  <c r="E2674" i="50"/>
  <c r="E2673" i="50"/>
  <c r="E2670" i="50"/>
  <c r="E2669" i="50"/>
  <c r="E2668" i="50"/>
  <c r="E2667" i="50"/>
  <c r="E2666" i="50"/>
  <c r="E2663" i="50"/>
  <c r="E2662" i="50"/>
  <c r="E2661" i="50"/>
  <c r="E2660" i="50"/>
  <c r="E2659" i="50"/>
  <c r="E2656" i="50"/>
  <c r="E2655" i="50"/>
  <c r="E2654" i="50"/>
  <c r="E2653" i="50"/>
  <c r="E2652" i="50"/>
  <c r="E2649" i="50"/>
  <c r="E2648" i="50"/>
  <c r="E2647" i="50"/>
  <c r="E2646" i="50"/>
  <c r="E2645" i="50"/>
  <c r="E2642" i="50"/>
  <c r="E2641" i="50"/>
  <c r="E2640" i="50"/>
  <c r="E2639" i="50"/>
  <c r="E2638" i="50"/>
  <c r="E2635" i="50"/>
  <c r="E2634" i="50"/>
  <c r="E2633" i="50"/>
  <c r="E2632" i="50"/>
  <c r="E2631" i="50"/>
  <c r="E2628" i="50"/>
  <c r="E2627" i="50"/>
  <c r="E2626" i="50"/>
  <c r="E2625" i="50"/>
  <c r="E2624" i="50"/>
  <c r="E2621" i="50"/>
  <c r="E2620" i="50"/>
  <c r="E2619" i="50"/>
  <c r="E2618" i="50"/>
  <c r="E2617" i="50"/>
  <c r="E2614" i="50"/>
  <c r="E2613" i="50"/>
  <c r="E2612" i="50"/>
  <c r="E2611" i="50"/>
  <c r="E2610" i="50"/>
  <c r="E2607" i="50"/>
  <c r="E2606" i="50"/>
  <c r="E2605" i="50"/>
  <c r="E2604" i="50"/>
  <c r="E2603" i="50"/>
  <c r="E2600" i="50"/>
  <c r="E2599" i="50"/>
  <c r="E2598" i="50"/>
  <c r="E2597" i="50"/>
  <c r="E2596" i="50"/>
  <c r="E2593" i="50"/>
  <c r="E2592" i="50"/>
  <c r="E2591" i="50"/>
  <c r="E2590" i="50"/>
  <c r="E2589" i="50"/>
  <c r="E2586" i="50"/>
  <c r="E2585" i="50"/>
  <c r="E2584" i="50"/>
  <c r="E2583" i="50"/>
  <c r="E2582" i="50"/>
  <c r="E2579" i="50"/>
  <c r="E2578" i="50"/>
  <c r="E2577" i="50"/>
  <c r="E2576" i="50"/>
  <c r="E2575" i="50"/>
  <c r="E2572" i="50"/>
  <c r="E2571" i="50"/>
  <c r="E2570" i="50"/>
  <c r="E2569" i="50"/>
  <c r="E2568" i="50"/>
  <c r="E2565" i="50"/>
  <c r="E2564" i="50"/>
  <c r="E2563" i="50"/>
  <c r="E2562" i="50"/>
  <c r="E2561" i="50"/>
  <c r="E2558" i="50"/>
  <c r="E2557" i="50"/>
  <c r="E2556" i="50"/>
  <c r="E2555" i="50"/>
  <c r="E2554" i="50"/>
  <c r="E2551" i="50"/>
  <c r="E2550" i="50"/>
  <c r="E2549" i="50"/>
  <c r="E2548" i="50"/>
  <c r="E2547" i="50"/>
  <c r="E2544" i="50"/>
  <c r="E2543" i="50"/>
  <c r="E2542" i="50"/>
  <c r="E2541" i="50"/>
  <c r="E2540" i="50"/>
  <c r="E2537" i="50"/>
  <c r="E2536" i="50"/>
  <c r="E2535" i="50"/>
  <c r="E2534" i="50"/>
  <c r="E2533" i="50"/>
  <c r="E2530" i="50"/>
  <c r="E2529" i="50"/>
  <c r="E2528" i="50"/>
  <c r="E2527" i="50"/>
  <c r="E2526" i="50"/>
  <c r="E2523" i="50"/>
  <c r="E2522" i="50"/>
  <c r="E2521" i="50"/>
  <c r="E2520" i="50"/>
  <c r="E2519" i="50"/>
  <c r="E2516" i="50"/>
  <c r="E2515" i="50"/>
  <c r="E2514" i="50"/>
  <c r="E2513" i="50"/>
  <c r="E2512" i="50"/>
  <c r="E2509" i="50"/>
  <c r="E2508" i="50"/>
  <c r="E2507" i="50"/>
  <c r="E2506" i="50"/>
  <c r="E2505" i="50"/>
  <c r="E2502" i="50"/>
  <c r="E2501" i="50"/>
  <c r="E2500" i="50"/>
  <c r="E2499" i="50"/>
  <c r="E2498" i="50"/>
  <c r="E2495" i="50"/>
  <c r="E2494" i="50"/>
  <c r="E2493" i="50"/>
  <c r="E2492" i="50"/>
  <c r="E2491" i="50"/>
  <c r="E2488" i="50"/>
  <c r="E2487" i="50"/>
  <c r="E2486" i="50"/>
  <c r="E2485" i="50"/>
  <c r="E2484" i="50"/>
  <c r="E2481" i="50"/>
  <c r="E2480" i="50"/>
  <c r="E2479" i="50"/>
  <c r="E2478" i="50"/>
  <c r="E2477" i="50"/>
  <c r="E2474" i="50"/>
  <c r="E2473" i="50"/>
  <c r="E2472" i="50"/>
  <c r="E2471" i="50"/>
  <c r="E2470" i="50"/>
  <c r="E2467" i="50"/>
  <c r="E2466" i="50"/>
  <c r="E2465" i="50"/>
  <c r="E2464" i="50"/>
  <c r="E2463" i="50"/>
  <c r="E2460" i="50"/>
  <c r="E2459" i="50"/>
  <c r="E2458" i="50"/>
  <c r="E2457" i="50"/>
  <c r="E2456" i="50"/>
  <c r="E2453" i="50"/>
  <c r="E2452" i="50"/>
  <c r="E2451" i="50"/>
  <c r="E2450" i="50"/>
  <c r="E2449" i="50"/>
  <c r="E2446" i="50"/>
  <c r="E2445" i="50"/>
  <c r="E2444" i="50"/>
  <c r="E2443" i="50"/>
  <c r="E2442" i="50"/>
  <c r="E2439" i="50"/>
  <c r="E2438" i="50"/>
  <c r="E2437" i="50"/>
  <c r="E2436" i="50"/>
  <c r="E2435" i="50"/>
  <c r="E2432" i="50"/>
  <c r="E2431" i="50"/>
  <c r="E2430" i="50"/>
  <c r="E2429" i="50"/>
  <c r="E2428" i="50"/>
  <c r="E2425" i="50"/>
  <c r="E2424" i="50"/>
  <c r="E2423" i="50"/>
  <c r="E2422" i="50"/>
  <c r="E2421" i="50"/>
  <c r="E2418" i="50"/>
  <c r="E2417" i="50"/>
  <c r="E2416" i="50"/>
  <c r="E2415" i="50"/>
  <c r="E2414" i="50"/>
  <c r="E2411" i="50"/>
  <c r="E2410" i="50"/>
  <c r="E2409" i="50"/>
  <c r="E2408" i="50"/>
  <c r="E2407" i="50"/>
  <c r="E2404" i="50"/>
  <c r="E2403" i="50"/>
  <c r="E2402" i="50"/>
  <c r="E2401" i="50"/>
  <c r="E2400" i="50"/>
  <c r="E2397" i="50"/>
  <c r="E2396" i="50"/>
  <c r="E2395" i="50"/>
  <c r="E2394" i="50"/>
  <c r="E2393" i="50"/>
  <c r="E2390" i="50"/>
  <c r="E2389" i="50"/>
  <c r="E2388" i="50"/>
  <c r="E2387" i="50"/>
  <c r="E2386" i="50"/>
  <c r="E2383" i="50"/>
  <c r="E2382" i="50"/>
  <c r="E2381" i="50"/>
  <c r="E2380" i="50"/>
  <c r="E2379" i="50"/>
  <c r="E2376" i="50"/>
  <c r="E2375" i="50"/>
  <c r="E2374" i="50"/>
  <c r="E2373" i="50"/>
  <c r="E2372" i="50"/>
  <c r="E2369" i="50"/>
  <c r="E2368" i="50"/>
  <c r="E2367" i="50"/>
  <c r="E2366" i="50"/>
  <c r="E2365" i="50"/>
  <c r="E2362" i="50"/>
  <c r="E2361" i="50"/>
  <c r="E2360" i="50"/>
  <c r="E2359" i="50"/>
  <c r="E2358" i="50"/>
  <c r="E2355" i="50"/>
  <c r="E2354" i="50"/>
  <c r="E2353" i="50"/>
  <c r="E2352" i="50"/>
  <c r="E2351" i="50"/>
  <c r="E2348" i="50"/>
  <c r="E2347" i="50"/>
  <c r="E2346" i="50"/>
  <c r="E2345" i="50"/>
  <c r="E2344" i="50"/>
  <c r="E2341" i="50"/>
  <c r="E2340" i="50"/>
  <c r="E2339" i="50"/>
  <c r="E2338" i="50"/>
  <c r="E2337" i="50"/>
  <c r="E2334" i="50"/>
  <c r="E2333" i="50"/>
  <c r="E2332" i="50"/>
  <c r="E2331" i="50"/>
  <c r="E2330" i="50"/>
  <c r="E2327" i="50"/>
  <c r="E2326" i="50"/>
  <c r="E2325" i="50"/>
  <c r="E2324" i="50"/>
  <c r="E2323" i="50"/>
  <c r="E2320" i="50"/>
  <c r="E2319" i="50"/>
  <c r="E2318" i="50"/>
  <c r="E2317" i="50"/>
  <c r="E2316" i="50"/>
  <c r="E2313" i="50"/>
  <c r="E2312" i="50"/>
  <c r="E2311" i="50"/>
  <c r="E2310" i="50"/>
  <c r="E2309" i="50"/>
  <c r="E2306" i="50"/>
  <c r="E2305" i="50"/>
  <c r="E2304" i="50"/>
  <c r="E2303" i="50"/>
  <c r="E2302" i="50"/>
  <c r="E2299" i="50"/>
  <c r="E2298" i="50"/>
  <c r="E2297" i="50"/>
  <c r="E2296" i="50"/>
  <c r="E2295" i="50"/>
  <c r="E2292" i="50"/>
  <c r="E2291" i="50"/>
  <c r="E2290" i="50"/>
  <c r="E2289" i="50"/>
  <c r="E2288" i="50"/>
  <c r="E2285" i="50"/>
  <c r="E2284" i="50"/>
  <c r="E2283" i="50"/>
  <c r="E2282" i="50"/>
  <c r="E2281" i="50"/>
  <c r="E2278" i="50"/>
  <c r="E2277" i="50"/>
  <c r="E2276" i="50"/>
  <c r="E2275" i="50"/>
  <c r="E2274" i="50"/>
  <c r="E2271" i="50"/>
  <c r="E2270" i="50"/>
  <c r="E2269" i="50"/>
  <c r="E2268" i="50"/>
  <c r="E2267" i="50"/>
  <c r="E2264" i="50"/>
  <c r="E2263" i="50"/>
  <c r="E2262" i="50"/>
  <c r="E2261" i="50"/>
  <c r="E2260" i="50"/>
  <c r="E2257" i="50"/>
  <c r="E2256" i="50"/>
  <c r="E2255" i="50"/>
  <c r="E2254" i="50"/>
  <c r="E2253" i="50"/>
  <c r="E2250" i="50"/>
  <c r="E2249" i="50"/>
  <c r="E2248" i="50"/>
  <c r="E2247" i="50"/>
  <c r="E2246" i="50"/>
  <c r="E2243" i="50"/>
  <c r="E2242" i="50"/>
  <c r="E2241" i="50"/>
  <c r="E2240" i="50"/>
  <c r="E2239" i="50"/>
  <c r="E2236" i="50"/>
  <c r="E2235" i="50"/>
  <c r="E2234" i="50"/>
  <c r="E2233" i="50"/>
  <c r="E2232" i="50"/>
  <c r="E2229" i="50"/>
  <c r="E2228" i="50"/>
  <c r="E2227" i="50"/>
  <c r="E2226" i="50"/>
  <c r="E2225" i="50"/>
  <c r="E2222" i="50"/>
  <c r="E2221" i="50"/>
  <c r="E2220" i="50"/>
  <c r="E2219" i="50"/>
  <c r="E2218" i="50"/>
  <c r="E2215" i="50"/>
  <c r="E2214" i="50"/>
  <c r="E2213" i="50"/>
  <c r="E2212" i="50"/>
  <c r="E2211" i="50"/>
  <c r="E2208" i="50"/>
  <c r="E2207" i="50"/>
  <c r="E2206" i="50"/>
  <c r="E2205" i="50"/>
  <c r="E2204" i="50"/>
  <c r="E2201" i="50"/>
  <c r="E2200" i="50"/>
  <c r="E2199" i="50"/>
  <c r="E2198" i="50"/>
  <c r="E2197" i="50"/>
  <c r="E2194" i="50"/>
  <c r="E2193" i="50"/>
  <c r="E2192" i="50"/>
  <c r="E2191" i="50"/>
  <c r="E2190" i="50"/>
  <c r="E2187" i="50"/>
  <c r="E2186" i="50"/>
  <c r="E2185" i="50"/>
  <c r="E2184" i="50"/>
  <c r="E2183" i="50"/>
  <c r="E2180" i="50"/>
  <c r="E2179" i="50"/>
  <c r="E2178" i="50"/>
  <c r="E2177" i="50"/>
  <c r="E2176" i="50"/>
  <c r="E2173" i="50"/>
  <c r="E2172" i="50"/>
  <c r="E2171" i="50"/>
  <c r="E2170" i="50"/>
  <c r="E2169" i="50"/>
  <c r="E2166" i="50"/>
  <c r="E2165" i="50"/>
  <c r="E2164" i="50"/>
  <c r="E2163" i="50"/>
  <c r="E2162" i="50"/>
  <c r="E2151" i="50"/>
  <c r="E2150" i="50"/>
  <c r="E2149" i="50"/>
  <c r="E2148" i="50"/>
  <c r="E2147" i="50"/>
  <c r="AG2144" i="50"/>
  <c r="S2144" i="50"/>
  <c r="E2144" i="50"/>
  <c r="AG2143" i="50"/>
  <c r="S2143" i="50"/>
  <c r="E2143" i="50"/>
  <c r="AG2142" i="50"/>
  <c r="S2142" i="50"/>
  <c r="E2142" i="50"/>
  <c r="AG2141" i="50"/>
  <c r="S2141" i="50"/>
  <c r="AI2141" i="50" s="1"/>
  <c r="E2141" i="50"/>
  <c r="AG2140" i="50"/>
  <c r="S2140" i="50"/>
  <c r="E2140" i="50"/>
  <c r="AG2137" i="50"/>
  <c r="S2137" i="50"/>
  <c r="E2137" i="50"/>
  <c r="AG2136" i="50"/>
  <c r="S2136" i="50"/>
  <c r="AI2136" i="50" s="1"/>
  <c r="E2136" i="50"/>
  <c r="AG2135" i="50"/>
  <c r="S2135" i="50"/>
  <c r="E2135" i="50"/>
  <c r="AG2134" i="50"/>
  <c r="S2134" i="50"/>
  <c r="AI2134" i="50" s="1"/>
  <c r="E2134" i="50"/>
  <c r="AG2133" i="50"/>
  <c r="S2133" i="50"/>
  <c r="E2133" i="50"/>
  <c r="AC2132" i="50"/>
  <c r="AA2132" i="50"/>
  <c r="Y2132" i="50"/>
  <c r="AG2130" i="50"/>
  <c r="S2130" i="50"/>
  <c r="AI2130" i="50" s="1"/>
  <c r="E2130" i="50"/>
  <c r="AG2129" i="50"/>
  <c r="S2129" i="50"/>
  <c r="E2129" i="50"/>
  <c r="AG2128" i="50"/>
  <c r="S2128" i="50"/>
  <c r="E2128" i="50"/>
  <c r="AG2127" i="50"/>
  <c r="S2127" i="50"/>
  <c r="AI2127" i="50" s="1"/>
  <c r="E2127" i="50"/>
  <c r="AG2126" i="50"/>
  <c r="S2126" i="50"/>
  <c r="E2126" i="50"/>
  <c r="AC2125" i="50"/>
  <c r="AA2125" i="50"/>
  <c r="Y2125" i="50"/>
  <c r="AG2123" i="50"/>
  <c r="S2123" i="50"/>
  <c r="E2123" i="50"/>
  <c r="AG2122" i="50"/>
  <c r="S2122" i="50"/>
  <c r="E2122" i="50"/>
  <c r="AG2121" i="50"/>
  <c r="S2121" i="50"/>
  <c r="E2121" i="50"/>
  <c r="AG2120" i="50"/>
  <c r="S2120" i="50"/>
  <c r="E2120" i="50"/>
  <c r="AG2119" i="50"/>
  <c r="S2119" i="50"/>
  <c r="E2119" i="50"/>
  <c r="AC2118" i="50"/>
  <c r="AA2118" i="50"/>
  <c r="Y2118" i="50"/>
  <c r="AG2116" i="50"/>
  <c r="S2116" i="50"/>
  <c r="E2116" i="50"/>
  <c r="AG2115" i="50"/>
  <c r="S2115" i="50"/>
  <c r="E2115" i="50"/>
  <c r="AG2114" i="50"/>
  <c r="S2114" i="50"/>
  <c r="E2114" i="50"/>
  <c r="AG2113" i="50"/>
  <c r="S2113" i="50"/>
  <c r="E2113" i="50"/>
  <c r="AG2112" i="50"/>
  <c r="S2112" i="50"/>
  <c r="E2112" i="50"/>
  <c r="AC2111" i="50"/>
  <c r="AA2111" i="50"/>
  <c r="Y2111" i="50"/>
  <c r="AG2109" i="50"/>
  <c r="S2109" i="50"/>
  <c r="AI2109" i="50" s="1"/>
  <c r="E2109" i="50"/>
  <c r="AG2108" i="50"/>
  <c r="S2108" i="50"/>
  <c r="AI2108" i="50" s="1"/>
  <c r="E2108" i="50"/>
  <c r="AG2107" i="50"/>
  <c r="S2107" i="50"/>
  <c r="E2107" i="50"/>
  <c r="AG2106" i="50"/>
  <c r="S2106" i="50"/>
  <c r="E2106" i="50"/>
  <c r="AG2105" i="50"/>
  <c r="S2105" i="50"/>
  <c r="E2105" i="50"/>
  <c r="AG2102" i="50"/>
  <c r="S2102" i="50"/>
  <c r="AI2102" i="50" s="1"/>
  <c r="E2102" i="50"/>
  <c r="AG2101" i="50"/>
  <c r="S2101" i="50"/>
  <c r="E2101" i="50"/>
  <c r="AG2100" i="50"/>
  <c r="S2100" i="50"/>
  <c r="E2100" i="50"/>
  <c r="AG2099" i="50"/>
  <c r="S2099" i="50"/>
  <c r="E2099" i="50"/>
  <c r="AG2098" i="50"/>
  <c r="S2098" i="50"/>
  <c r="E2098" i="50"/>
  <c r="AC2097" i="50"/>
  <c r="AA2097" i="50"/>
  <c r="Y2097" i="50"/>
  <c r="AG2095" i="50"/>
  <c r="S2095" i="50"/>
  <c r="E2095" i="50"/>
  <c r="AG2094" i="50"/>
  <c r="S2094" i="50"/>
  <c r="E2094" i="50"/>
  <c r="AG2093" i="50"/>
  <c r="S2093" i="50"/>
  <c r="AI2093" i="50" s="1"/>
  <c r="E2093" i="50"/>
  <c r="AG2092" i="50"/>
  <c r="S2092" i="50"/>
  <c r="E2092" i="50"/>
  <c r="AG2091" i="50"/>
  <c r="S2091" i="50"/>
  <c r="E2091" i="50"/>
  <c r="AC2090" i="50"/>
  <c r="AA2090" i="50"/>
  <c r="Y2090" i="50"/>
  <c r="AG2088" i="50"/>
  <c r="S2088" i="50"/>
  <c r="E2088" i="50"/>
  <c r="AG2087" i="50"/>
  <c r="S2087" i="50"/>
  <c r="E2087" i="50"/>
  <c r="AG2086" i="50"/>
  <c r="S2086" i="50"/>
  <c r="E2086" i="50"/>
  <c r="AG2085" i="50"/>
  <c r="S2085" i="50"/>
  <c r="E2085" i="50"/>
  <c r="AG2084" i="50"/>
  <c r="S2084" i="50"/>
  <c r="E2084" i="50"/>
  <c r="AC2083" i="50"/>
  <c r="AA2083" i="50"/>
  <c r="Y2083" i="50"/>
  <c r="AG2081" i="50"/>
  <c r="S2081" i="50"/>
  <c r="E2081" i="50"/>
  <c r="AG2080" i="50"/>
  <c r="S2080" i="50"/>
  <c r="E2080" i="50"/>
  <c r="AG2079" i="50"/>
  <c r="S2079" i="50"/>
  <c r="AI2079" i="50" s="1"/>
  <c r="E2079" i="50"/>
  <c r="AG2078" i="50"/>
  <c r="S2078" i="50"/>
  <c r="AI2078" i="50" s="1"/>
  <c r="E2078" i="50"/>
  <c r="AG2077" i="50"/>
  <c r="S2077" i="50"/>
  <c r="E2077" i="50"/>
  <c r="AC2076" i="50"/>
  <c r="AA2076" i="50"/>
  <c r="Y2076" i="50"/>
  <c r="AG2074" i="50"/>
  <c r="S2074" i="50"/>
  <c r="E2074" i="50"/>
  <c r="AG2073" i="50"/>
  <c r="S2073" i="50"/>
  <c r="E2073" i="50"/>
  <c r="AG2072" i="50"/>
  <c r="S2072" i="50"/>
  <c r="E2072" i="50"/>
  <c r="AG2071" i="50"/>
  <c r="AI2071" i="50" s="1"/>
  <c r="S2071" i="50"/>
  <c r="E2071" i="50"/>
  <c r="AG2070" i="50"/>
  <c r="S2070" i="50"/>
  <c r="E2070" i="50"/>
  <c r="AC2069" i="50"/>
  <c r="AA2069" i="50"/>
  <c r="Y2069" i="50"/>
  <c r="AG2067" i="50"/>
  <c r="S2067" i="50"/>
  <c r="E2067" i="50"/>
  <c r="AG2066" i="50"/>
  <c r="S2066" i="50"/>
  <c r="E2066" i="50"/>
  <c r="AG2065" i="50"/>
  <c r="S2065" i="50"/>
  <c r="E2065" i="50"/>
  <c r="AG2064" i="50"/>
  <c r="S2064" i="50"/>
  <c r="AI2064" i="50" s="1"/>
  <c r="E2064" i="50"/>
  <c r="AG2063" i="50"/>
  <c r="S2063" i="50"/>
  <c r="E2063" i="50"/>
  <c r="AC2062" i="50"/>
  <c r="AA2062" i="50"/>
  <c r="Y2062" i="50"/>
  <c r="AG2060" i="50"/>
  <c r="S2060" i="50"/>
  <c r="AI2060" i="50" s="1"/>
  <c r="E2060" i="50"/>
  <c r="AG2059" i="50"/>
  <c r="S2059" i="50"/>
  <c r="E2059" i="50"/>
  <c r="AG2058" i="50"/>
  <c r="S2058" i="50"/>
  <c r="E2058" i="50"/>
  <c r="AG2057" i="50"/>
  <c r="S2057" i="50"/>
  <c r="E2057" i="50"/>
  <c r="AG2056" i="50"/>
  <c r="S2056" i="50"/>
  <c r="E2056" i="50"/>
  <c r="AC2055" i="50"/>
  <c r="AA2055" i="50"/>
  <c r="Y2055" i="50"/>
  <c r="AG2053" i="50"/>
  <c r="S2053" i="50"/>
  <c r="E2053" i="50"/>
  <c r="AG2052" i="50"/>
  <c r="S2052" i="50"/>
  <c r="E2052" i="50"/>
  <c r="AG2051" i="50"/>
  <c r="S2051" i="50"/>
  <c r="E2051" i="50"/>
  <c r="AG2050" i="50"/>
  <c r="S2050" i="50"/>
  <c r="E2050" i="50"/>
  <c r="AG2049" i="50"/>
  <c r="S2049" i="50"/>
  <c r="E2049" i="50"/>
  <c r="AC2048" i="50"/>
  <c r="AA2048" i="50"/>
  <c r="Y2048" i="50"/>
  <c r="AG2046" i="50"/>
  <c r="S2046" i="50"/>
  <c r="AI2046" i="50" s="1"/>
  <c r="E2046" i="50"/>
  <c r="AG2045" i="50"/>
  <c r="S2045" i="50"/>
  <c r="AI2045" i="50" s="1"/>
  <c r="E2045" i="50"/>
  <c r="AG2044" i="50"/>
  <c r="S2044" i="50"/>
  <c r="E2044" i="50"/>
  <c r="AG2043" i="50"/>
  <c r="S2043" i="50"/>
  <c r="E2043" i="50"/>
  <c r="AG2042" i="50"/>
  <c r="S2042" i="50"/>
  <c r="AI2042" i="50" s="1"/>
  <c r="E2042" i="50"/>
  <c r="AC2041" i="50"/>
  <c r="AA2041" i="50"/>
  <c r="Y2041" i="50"/>
  <c r="AG2039" i="50"/>
  <c r="S2039" i="50"/>
  <c r="E2039" i="50"/>
  <c r="AG2038" i="50"/>
  <c r="S2038" i="50"/>
  <c r="E2038" i="50"/>
  <c r="AG2037" i="50"/>
  <c r="S2037" i="50"/>
  <c r="E2037" i="50"/>
  <c r="AG2036" i="50"/>
  <c r="S2036" i="50"/>
  <c r="AI2036" i="50" s="1"/>
  <c r="E2036" i="50"/>
  <c r="AG2035" i="50"/>
  <c r="S2035" i="50"/>
  <c r="AI2035" i="50" s="1"/>
  <c r="E2035" i="50"/>
  <c r="AC2034" i="50"/>
  <c r="AA2034" i="50"/>
  <c r="Y2034" i="50"/>
  <c r="AG2032" i="50"/>
  <c r="S2032" i="50"/>
  <c r="AI2032" i="50" s="1"/>
  <c r="E2032" i="50"/>
  <c r="AG2031" i="50"/>
  <c r="S2031" i="50"/>
  <c r="E2031" i="50"/>
  <c r="AG2030" i="50"/>
  <c r="S2030" i="50"/>
  <c r="E2030" i="50"/>
  <c r="AG2029" i="50"/>
  <c r="AI2029" i="50" s="1"/>
  <c r="S2029" i="50"/>
  <c r="E2029" i="50"/>
  <c r="AG2028" i="50"/>
  <c r="S2028" i="50"/>
  <c r="E2028" i="50"/>
  <c r="AC2027" i="50"/>
  <c r="AA2027" i="50"/>
  <c r="Y2027" i="50"/>
  <c r="AG2025" i="50"/>
  <c r="S2025" i="50"/>
  <c r="AI2024" i="50" s="1"/>
  <c r="E2025" i="50"/>
  <c r="E2024" i="50"/>
  <c r="AG2023" i="50"/>
  <c r="S2023" i="50"/>
  <c r="E2023" i="50"/>
  <c r="AG2022" i="50"/>
  <c r="S2022" i="50"/>
  <c r="E2022" i="50"/>
  <c r="AG2021" i="50"/>
  <c r="S2021" i="50"/>
  <c r="AI2021" i="50" s="1"/>
  <c r="E2021" i="50"/>
  <c r="AC2020" i="50"/>
  <c r="AA2020" i="50"/>
  <c r="Y2020" i="50"/>
  <c r="AG2018" i="50"/>
  <c r="S2018" i="50"/>
  <c r="E2018" i="50"/>
  <c r="AG2017" i="50"/>
  <c r="S2017" i="50"/>
  <c r="E2017" i="50"/>
  <c r="AG2016" i="50"/>
  <c r="S2016" i="50"/>
  <c r="AI2016" i="50" s="1"/>
  <c r="E2016" i="50"/>
  <c r="AG2015" i="50"/>
  <c r="S2015" i="50"/>
  <c r="AI2015" i="50" s="1"/>
  <c r="E2015" i="50"/>
  <c r="AG2014" i="50"/>
  <c r="S2014" i="50"/>
  <c r="AI2014" i="50" s="1"/>
  <c r="E2014" i="50"/>
  <c r="AC2013" i="50"/>
  <c r="AA2013" i="50"/>
  <c r="Y2013" i="50"/>
  <c r="AG2011" i="50"/>
  <c r="S2011" i="50"/>
  <c r="E2011" i="50"/>
  <c r="AG2010" i="50"/>
  <c r="S2010" i="50"/>
  <c r="E2010" i="50"/>
  <c r="AG2009" i="50"/>
  <c r="S2009" i="50"/>
  <c r="E2009" i="50"/>
  <c r="AG2008" i="50"/>
  <c r="AI2008" i="50" s="1"/>
  <c r="S2008" i="50"/>
  <c r="E2008" i="50"/>
  <c r="AG2007" i="50"/>
  <c r="S2007" i="50"/>
  <c r="E2007" i="50"/>
  <c r="AC2006" i="50"/>
  <c r="AA2006" i="50"/>
  <c r="Y2006" i="50"/>
  <c r="AG2004" i="50"/>
  <c r="S2004" i="50"/>
  <c r="E2004" i="50"/>
  <c r="AG2003" i="50"/>
  <c r="S2003" i="50"/>
  <c r="E2003" i="50"/>
  <c r="AG2002" i="50"/>
  <c r="S2002" i="50"/>
  <c r="AI2002" i="50" s="1"/>
  <c r="E2002" i="50"/>
  <c r="AG2001" i="50"/>
  <c r="S2001" i="50"/>
  <c r="E2001" i="50"/>
  <c r="AG2000" i="50"/>
  <c r="S2000" i="50"/>
  <c r="E2000" i="50"/>
  <c r="AC1999" i="50"/>
  <c r="AA1999" i="50"/>
  <c r="Y1999" i="50"/>
  <c r="AG1997" i="50"/>
  <c r="S1997" i="50"/>
  <c r="AI1997" i="50" s="1"/>
  <c r="E1997" i="50"/>
  <c r="AG1996" i="50"/>
  <c r="S1996" i="50"/>
  <c r="E1996" i="50"/>
  <c r="AG1995" i="50"/>
  <c r="S1995" i="50"/>
  <c r="E1995" i="50"/>
  <c r="AG1994" i="50"/>
  <c r="S1994" i="50"/>
  <c r="E1994" i="50"/>
  <c r="AG1993" i="50"/>
  <c r="S1993" i="50"/>
  <c r="E1993" i="50"/>
  <c r="AC1992" i="50"/>
  <c r="AA1992" i="50"/>
  <c r="Y1992" i="50"/>
  <c r="AG1990" i="50"/>
  <c r="S1990" i="50"/>
  <c r="AI1990" i="50" s="1"/>
  <c r="E1990" i="50"/>
  <c r="AG1989" i="50"/>
  <c r="S1989" i="50"/>
  <c r="AI1989" i="50" s="1"/>
  <c r="E1989" i="50"/>
  <c r="AG1988" i="50"/>
  <c r="S1988" i="50"/>
  <c r="E1988" i="50"/>
  <c r="AG1987" i="50"/>
  <c r="S1987" i="50"/>
  <c r="E1987" i="50"/>
  <c r="AG1986" i="50"/>
  <c r="S1986" i="50"/>
  <c r="E1986" i="50"/>
  <c r="AC1985" i="50"/>
  <c r="AA1985" i="50"/>
  <c r="Y1985" i="50"/>
  <c r="AG1983" i="50"/>
  <c r="S1983" i="50"/>
  <c r="AI1983" i="50" s="1"/>
  <c r="E1983" i="50"/>
  <c r="AG1982" i="50"/>
  <c r="S1982" i="50"/>
  <c r="E1982" i="50"/>
  <c r="AG1981" i="50"/>
  <c r="S1981" i="50"/>
  <c r="E1981" i="50"/>
  <c r="AG1980" i="50"/>
  <c r="S1980" i="50"/>
  <c r="E1980" i="50"/>
  <c r="AG1979" i="50"/>
  <c r="S1979" i="50"/>
  <c r="E1979" i="50"/>
  <c r="AG1976" i="50"/>
  <c r="AF1976" i="50"/>
  <c r="Z1976" i="50" s="1"/>
  <c r="S1976" i="50"/>
  <c r="AI1976" i="50" s="1"/>
  <c r="E1976" i="50"/>
  <c r="AG1975" i="50"/>
  <c r="S1975" i="50"/>
  <c r="E1975" i="50"/>
  <c r="AG1974" i="50"/>
  <c r="S1974" i="50"/>
  <c r="E1974" i="50"/>
  <c r="AG1973" i="50"/>
  <c r="S1973" i="50"/>
  <c r="AI1973" i="50" s="1"/>
  <c r="E1973" i="50"/>
  <c r="AG1972" i="50"/>
  <c r="S1972" i="50"/>
  <c r="E1972" i="50"/>
  <c r="AC1971" i="50"/>
  <c r="AA1971" i="50"/>
  <c r="Y1971" i="50"/>
  <c r="AG1969" i="50"/>
  <c r="S1969" i="50"/>
  <c r="E1969" i="50"/>
  <c r="AG1968" i="50"/>
  <c r="S1968" i="50"/>
  <c r="E1968" i="50"/>
  <c r="AG1967" i="50"/>
  <c r="S1967" i="50"/>
  <c r="AI1967" i="50" s="1"/>
  <c r="E1967" i="50"/>
  <c r="AG1966" i="50"/>
  <c r="S1966" i="50"/>
  <c r="E1966" i="50"/>
  <c r="AG1965" i="50"/>
  <c r="S1965" i="50"/>
  <c r="E1965" i="50"/>
  <c r="AC1964" i="50"/>
  <c r="AA1964" i="50"/>
  <c r="Y1964" i="50"/>
  <c r="AG1962" i="50"/>
  <c r="S1962" i="50"/>
  <c r="AI1962" i="50" s="1"/>
  <c r="E1962" i="50"/>
  <c r="AG1961" i="50"/>
  <c r="S1961" i="50"/>
  <c r="E1961" i="50"/>
  <c r="AG1960" i="50"/>
  <c r="S1960" i="50"/>
  <c r="E1960" i="50"/>
  <c r="AG1959" i="50"/>
  <c r="S1959" i="50"/>
  <c r="E1959" i="50"/>
  <c r="AG1958" i="50"/>
  <c r="S1958" i="50"/>
  <c r="E1958" i="50"/>
  <c r="AC1957" i="50"/>
  <c r="AA1957" i="50"/>
  <c r="Y1957" i="50"/>
  <c r="AG1955" i="50"/>
  <c r="S1955" i="50"/>
  <c r="E1955" i="50"/>
  <c r="AG1954" i="50"/>
  <c r="S1954" i="50"/>
  <c r="AI1954" i="50" s="1"/>
  <c r="E1954" i="50"/>
  <c r="AG1953" i="50"/>
  <c r="S1953" i="50"/>
  <c r="AI1953" i="50" s="1"/>
  <c r="E1953" i="50"/>
  <c r="AG1952" i="50"/>
  <c r="S1952" i="50"/>
  <c r="E1952" i="50"/>
  <c r="AG1951" i="50"/>
  <c r="S1951" i="50"/>
  <c r="AI1951" i="50" s="1"/>
  <c r="E1951" i="50"/>
  <c r="V1950" i="50"/>
  <c r="AG1948" i="50"/>
  <c r="S1948" i="50"/>
  <c r="E1948" i="50"/>
  <c r="AG1947" i="50"/>
  <c r="S1947" i="50"/>
  <c r="E1947" i="50"/>
  <c r="AG1946" i="50"/>
  <c r="S1946" i="50"/>
  <c r="E1946" i="50"/>
  <c r="AG1945" i="50"/>
  <c r="S1945" i="50"/>
  <c r="AI1945" i="50" s="1"/>
  <c r="E1945" i="50"/>
  <c r="AG1944" i="50"/>
  <c r="S1944" i="50"/>
  <c r="E1944" i="50"/>
  <c r="AG1941" i="50"/>
  <c r="S1941" i="50"/>
  <c r="AI1941" i="50" s="1"/>
  <c r="E1941" i="50"/>
  <c r="AG1940" i="50"/>
  <c r="S1940" i="50"/>
  <c r="AI1940" i="50" s="1"/>
  <c r="E1940" i="50"/>
  <c r="AG1939" i="50"/>
  <c r="S1939" i="50"/>
  <c r="AI1939" i="50" s="1"/>
  <c r="E1939" i="50"/>
  <c r="AG1938" i="50"/>
  <c r="S1938" i="50"/>
  <c r="E1938" i="50"/>
  <c r="AG1937" i="50"/>
  <c r="S1937" i="50"/>
  <c r="AI1937" i="50" s="1"/>
  <c r="E1937" i="50"/>
  <c r="AG1934" i="50"/>
  <c r="S1934" i="50"/>
  <c r="E1934" i="50"/>
  <c r="AG1933" i="50"/>
  <c r="S1933" i="50"/>
  <c r="AI1933" i="50" s="1"/>
  <c r="E1933" i="50"/>
  <c r="AG1932" i="50"/>
  <c r="S1932" i="50"/>
  <c r="E1932" i="50"/>
  <c r="AG1931" i="50"/>
  <c r="S1931" i="50"/>
  <c r="E1931" i="50"/>
  <c r="AG1930" i="50"/>
  <c r="S1930" i="50"/>
  <c r="E1930" i="50"/>
  <c r="AG1927" i="50"/>
  <c r="S1927" i="50"/>
  <c r="AI1927" i="50" s="1"/>
  <c r="E1927" i="50"/>
  <c r="AG1926" i="50"/>
  <c r="S1926" i="50"/>
  <c r="E1926" i="50"/>
  <c r="AG1925" i="50"/>
  <c r="S1925" i="50"/>
  <c r="E1925" i="50"/>
  <c r="AG1924" i="50"/>
  <c r="S1924" i="50"/>
  <c r="E1924" i="50"/>
  <c r="AG1923" i="50"/>
  <c r="S1923" i="50"/>
  <c r="AI1923" i="50" s="1"/>
  <c r="E1923" i="50"/>
  <c r="AG1920" i="50"/>
  <c r="S1920" i="50"/>
  <c r="E1920" i="50"/>
  <c r="AG1919" i="50"/>
  <c r="S1919" i="50"/>
  <c r="AI1919" i="50" s="1"/>
  <c r="E1919" i="50"/>
  <c r="AG1918" i="50"/>
  <c r="S1918" i="50"/>
  <c r="AI1918" i="50" s="1"/>
  <c r="E1918" i="50"/>
  <c r="AG1917" i="50"/>
  <c r="S1917" i="50"/>
  <c r="E1917" i="50"/>
  <c r="AG1916" i="50"/>
  <c r="S1916" i="50"/>
  <c r="E1916" i="50"/>
  <c r="AC1915" i="50"/>
  <c r="AA1915" i="50"/>
  <c r="Y1915" i="50"/>
  <c r="W1915" i="50"/>
  <c r="U1915" i="50"/>
  <c r="AG1913" i="50"/>
  <c r="S1913" i="50"/>
  <c r="E1913" i="50"/>
  <c r="AG1912" i="50"/>
  <c r="S1912" i="50"/>
  <c r="E1912" i="50"/>
  <c r="AG1911" i="50"/>
  <c r="S1911" i="50"/>
  <c r="E1911" i="50"/>
  <c r="AG1910" i="50"/>
  <c r="S1910" i="50"/>
  <c r="E1910" i="50"/>
  <c r="AG1909" i="50"/>
  <c r="S1909" i="50"/>
  <c r="E1909" i="50"/>
  <c r="AC1908" i="50"/>
  <c r="AA1908" i="50"/>
  <c r="Y1908" i="50"/>
  <c r="W1908" i="50"/>
  <c r="U1908" i="50"/>
  <c r="AG1906" i="50"/>
  <c r="S1906" i="50"/>
  <c r="E1906" i="50"/>
  <c r="AG1905" i="50"/>
  <c r="S1905" i="50"/>
  <c r="E1905" i="50"/>
  <c r="AG1904" i="50"/>
  <c r="S1904" i="50"/>
  <c r="AI1904" i="50" s="1"/>
  <c r="E1904" i="50"/>
  <c r="AG1903" i="50"/>
  <c r="S1903" i="50"/>
  <c r="AI1903" i="50" s="1"/>
  <c r="E1903" i="50"/>
  <c r="AG1902" i="50"/>
  <c r="S1902" i="50"/>
  <c r="E1902" i="50"/>
  <c r="AC1901" i="50"/>
  <c r="AA1901" i="50"/>
  <c r="Y1901" i="50"/>
  <c r="W1901" i="50"/>
  <c r="U1901" i="50"/>
  <c r="AG1899" i="50"/>
  <c r="S1899" i="50"/>
  <c r="E1899" i="50"/>
  <c r="AG1898" i="50"/>
  <c r="S1898" i="50"/>
  <c r="E1898" i="50"/>
  <c r="AG1897" i="50"/>
  <c r="S1897" i="50"/>
  <c r="E1897" i="50"/>
  <c r="AG1896" i="50"/>
  <c r="S1896" i="50"/>
  <c r="E1896" i="50"/>
  <c r="AG1895" i="50"/>
  <c r="S1895" i="50"/>
  <c r="E1895" i="50"/>
  <c r="AC1894" i="50"/>
  <c r="AA1894" i="50"/>
  <c r="Y1894" i="50"/>
  <c r="W1894" i="50"/>
  <c r="U1894" i="50"/>
  <c r="AG1892" i="50"/>
  <c r="S1892" i="50"/>
  <c r="E1892" i="50"/>
  <c r="AG1891" i="50"/>
  <c r="S1891" i="50"/>
  <c r="AI1891" i="50" s="1"/>
  <c r="E1891" i="50"/>
  <c r="AG1890" i="50"/>
  <c r="S1890" i="50"/>
  <c r="AI1890" i="50" s="1"/>
  <c r="E1890" i="50"/>
  <c r="AG1889" i="50"/>
  <c r="S1889" i="50"/>
  <c r="AI1889" i="50" s="1"/>
  <c r="E1889" i="50"/>
  <c r="AG1888" i="50"/>
  <c r="S1888" i="50"/>
  <c r="E1888" i="50"/>
  <c r="AC1887" i="50"/>
  <c r="AA1887" i="50"/>
  <c r="Y1887" i="50"/>
  <c r="W1887" i="50"/>
  <c r="U1887" i="50"/>
  <c r="AG1885" i="50"/>
  <c r="S1885" i="50"/>
  <c r="E1885" i="50"/>
  <c r="AG1884" i="50"/>
  <c r="S1884" i="50"/>
  <c r="E1884" i="50"/>
  <c r="AG1883" i="50"/>
  <c r="S1883" i="50"/>
  <c r="E1883" i="50"/>
  <c r="AG1882" i="50"/>
  <c r="S1882" i="50"/>
  <c r="E1882" i="50"/>
  <c r="AG1881" i="50"/>
  <c r="S1881" i="50"/>
  <c r="E1881" i="50"/>
  <c r="AC1880" i="50"/>
  <c r="AA1880" i="50"/>
  <c r="Y1880" i="50"/>
  <c r="W1880" i="50"/>
  <c r="U1880" i="50"/>
  <c r="AG1878" i="50"/>
  <c r="S1878" i="50"/>
  <c r="E1878" i="50"/>
  <c r="AG1877" i="50"/>
  <c r="S1877" i="50"/>
  <c r="AI1877" i="50" s="1"/>
  <c r="E1877" i="50"/>
  <c r="AG1876" i="50"/>
  <c r="S1876" i="50"/>
  <c r="AI1876" i="50" s="1"/>
  <c r="E1876" i="50"/>
  <c r="AG1875" i="50"/>
  <c r="S1875" i="50"/>
  <c r="AI1875" i="50" s="1"/>
  <c r="E1875" i="50"/>
  <c r="AG1874" i="50"/>
  <c r="S1874" i="50"/>
  <c r="E1874" i="50"/>
  <c r="AC1873" i="50"/>
  <c r="AA1873" i="50"/>
  <c r="Y1873" i="50"/>
  <c r="W1873" i="50"/>
  <c r="U1873" i="50"/>
  <c r="AG1871" i="50"/>
  <c r="S1871" i="50"/>
  <c r="E1871" i="50"/>
  <c r="AG1870" i="50"/>
  <c r="S1870" i="50"/>
  <c r="E1870" i="50"/>
  <c r="AG1869" i="50"/>
  <c r="S1869" i="50"/>
  <c r="E1869" i="50"/>
  <c r="AG1868" i="50"/>
  <c r="S1868" i="50"/>
  <c r="E1868" i="50"/>
  <c r="AG1867" i="50"/>
  <c r="S1867" i="50"/>
  <c r="E1867" i="50"/>
  <c r="AC1866" i="50"/>
  <c r="AA1866" i="50"/>
  <c r="Y1866" i="50"/>
  <c r="W1866" i="50"/>
  <c r="U1866" i="50"/>
  <c r="AG1864" i="50"/>
  <c r="S1864" i="50"/>
  <c r="AI1864" i="50"/>
  <c r="E1864" i="50"/>
  <c r="AG1863" i="50"/>
  <c r="S1863" i="50"/>
  <c r="AI1863" i="50" s="1"/>
  <c r="E1863" i="50"/>
  <c r="AG1862" i="50"/>
  <c r="S1862" i="50"/>
  <c r="E1862" i="50"/>
  <c r="AG1861" i="50"/>
  <c r="S1861" i="50"/>
  <c r="E1861" i="50"/>
  <c r="AG1860" i="50"/>
  <c r="S1860" i="50"/>
  <c r="E1860" i="50"/>
  <c r="AG1857" i="50"/>
  <c r="S1857" i="50"/>
  <c r="E1857" i="50"/>
  <c r="AG1856" i="50"/>
  <c r="AI1856" i="50" s="1"/>
  <c r="S1856" i="50"/>
  <c r="E1856" i="50"/>
  <c r="AG1855" i="50"/>
  <c r="S1855" i="50"/>
  <c r="E1855" i="50"/>
  <c r="AG1854" i="50"/>
  <c r="S1854" i="50"/>
  <c r="AI1854" i="50" s="1"/>
  <c r="E1854" i="50"/>
  <c r="AG1853" i="50"/>
  <c r="S1853" i="50"/>
  <c r="E1853" i="50"/>
  <c r="AC1852" i="50"/>
  <c r="AA1852" i="50"/>
  <c r="Y1852" i="50"/>
  <c r="W1852" i="50"/>
  <c r="U1852" i="50"/>
  <c r="AG1850" i="50"/>
  <c r="S1850" i="50"/>
  <c r="AI1850" i="50" s="1"/>
  <c r="E1850" i="50"/>
  <c r="AG1849" i="50"/>
  <c r="S1849" i="50"/>
  <c r="E1849" i="50"/>
  <c r="AG1848" i="50"/>
  <c r="S1848" i="50"/>
  <c r="E1848" i="50"/>
  <c r="AG1847" i="50"/>
  <c r="S1847" i="50"/>
  <c r="E1847" i="50"/>
  <c r="AG1846" i="50"/>
  <c r="S1846" i="50"/>
  <c r="E1846" i="50"/>
  <c r="AC1845" i="50"/>
  <c r="AA1845" i="50"/>
  <c r="Y1845" i="50"/>
  <c r="W1845" i="50"/>
  <c r="U1845" i="50"/>
  <c r="AG1843" i="50"/>
  <c r="S1843" i="50"/>
  <c r="E1843" i="50"/>
  <c r="AG1842" i="50"/>
  <c r="AI1842" i="50" s="1"/>
  <c r="S1842" i="50"/>
  <c r="E1842" i="50"/>
  <c r="AG1841" i="50"/>
  <c r="S1841" i="50"/>
  <c r="E1841" i="50"/>
  <c r="AG1840" i="50"/>
  <c r="S1840" i="50"/>
  <c r="AI1840" i="50" s="1"/>
  <c r="E1840" i="50"/>
  <c r="AG1839" i="50"/>
  <c r="S1839" i="50"/>
  <c r="E1839" i="50"/>
  <c r="AC1838" i="50"/>
  <c r="AA1838" i="50"/>
  <c r="Y1838" i="50"/>
  <c r="W1838" i="50"/>
  <c r="U1838" i="50"/>
  <c r="AG1836" i="50"/>
  <c r="S1836" i="50"/>
  <c r="AI1836" i="50" s="1"/>
  <c r="E1836" i="50"/>
  <c r="AG1835" i="50"/>
  <c r="S1835" i="50"/>
  <c r="E1835" i="50"/>
  <c r="AG1834" i="50"/>
  <c r="S1834" i="50"/>
  <c r="E1834" i="50"/>
  <c r="AG1833" i="50"/>
  <c r="S1833" i="50"/>
  <c r="AI1833" i="50" s="1"/>
  <c r="E1833" i="50"/>
  <c r="AG1832" i="50"/>
  <c r="S1832" i="50"/>
  <c r="E1832" i="50"/>
  <c r="AC1831" i="50"/>
  <c r="AA1831" i="50"/>
  <c r="Y1831" i="50"/>
  <c r="W1831" i="50"/>
  <c r="U1831" i="50"/>
  <c r="AG1829" i="50"/>
  <c r="S1829" i="50"/>
  <c r="E1829" i="50"/>
  <c r="AG1828" i="50"/>
  <c r="AI1828" i="50" s="1"/>
  <c r="S1828" i="50"/>
  <c r="E1828" i="50"/>
  <c r="AG1827" i="50"/>
  <c r="S1827" i="50"/>
  <c r="E1827" i="50"/>
  <c r="AG1826" i="50"/>
  <c r="S1826" i="50"/>
  <c r="AI1826" i="50" s="1"/>
  <c r="E1826" i="50"/>
  <c r="AG1825" i="50"/>
  <c r="S1825" i="50"/>
  <c r="AI1825" i="50" s="1"/>
  <c r="E1825" i="50"/>
  <c r="AC1824" i="50"/>
  <c r="AA1824" i="50"/>
  <c r="Y1824" i="50"/>
  <c r="W1824" i="50"/>
  <c r="U1824" i="50"/>
  <c r="AG1822" i="50"/>
  <c r="S1822" i="50"/>
  <c r="AI1822" i="50" s="1"/>
  <c r="E1822" i="50"/>
  <c r="AG1821" i="50"/>
  <c r="S1821" i="50"/>
  <c r="E1821" i="50"/>
  <c r="AG1820" i="50"/>
  <c r="S1820" i="50"/>
  <c r="E1820" i="50"/>
  <c r="AG1819" i="50"/>
  <c r="S1819" i="50"/>
  <c r="E1819" i="50"/>
  <c r="AG1818" i="50"/>
  <c r="S1818" i="50"/>
  <c r="E1818" i="50"/>
  <c r="AG1815" i="50"/>
  <c r="AI1815" i="50" s="1"/>
  <c r="S1815" i="50"/>
  <c r="E1815" i="50"/>
  <c r="AG1814" i="50"/>
  <c r="S1814" i="50"/>
  <c r="AI1814" i="50" s="1"/>
  <c r="E1814" i="50"/>
  <c r="AG1813" i="50"/>
  <c r="S1813" i="50"/>
  <c r="E1813" i="50"/>
  <c r="AG1812" i="50"/>
  <c r="S1812" i="50"/>
  <c r="E1812" i="50"/>
  <c r="AG1811" i="50"/>
  <c r="S1811" i="50"/>
  <c r="E1811" i="50"/>
  <c r="AC1810" i="50"/>
  <c r="AA1810" i="50"/>
  <c r="Y1810" i="50"/>
  <c r="W1810" i="50"/>
  <c r="U1810" i="50"/>
  <c r="AG1808" i="50"/>
  <c r="AI1808" i="50" s="1"/>
  <c r="S1808" i="50"/>
  <c r="E1808" i="50"/>
  <c r="AG1807" i="50"/>
  <c r="S1807" i="50"/>
  <c r="E1807" i="50"/>
  <c r="AG1806" i="50"/>
  <c r="S1806" i="50"/>
  <c r="E1806" i="50"/>
  <c r="AG1805" i="50"/>
  <c r="S1805" i="50"/>
  <c r="E1805" i="50"/>
  <c r="AG1804" i="50"/>
  <c r="S1804" i="50"/>
  <c r="E1804" i="50"/>
  <c r="AG1801" i="50"/>
  <c r="S1801" i="50"/>
  <c r="AI1801" i="50" s="1"/>
  <c r="E1801" i="50"/>
  <c r="AG1800" i="50"/>
  <c r="S1800" i="50"/>
  <c r="E1800" i="50"/>
  <c r="AG1799" i="50"/>
  <c r="S1799" i="50"/>
  <c r="AI1799" i="50" s="1"/>
  <c r="E1799" i="50"/>
  <c r="AG1798" i="50"/>
  <c r="S1798" i="50"/>
  <c r="AI1798" i="50" s="1"/>
  <c r="E1798" i="50"/>
  <c r="AG1797" i="50"/>
  <c r="S1797" i="50"/>
  <c r="AI1797" i="50" s="1"/>
  <c r="E1797" i="50"/>
  <c r="AC1796" i="50"/>
  <c r="AA1796" i="50"/>
  <c r="Y1796" i="50"/>
  <c r="W1796" i="50"/>
  <c r="U1796" i="50"/>
  <c r="AG1794" i="50"/>
  <c r="S1794" i="50"/>
  <c r="E1794" i="50"/>
  <c r="AG1793" i="50"/>
  <c r="S1793" i="50"/>
  <c r="E1793" i="50"/>
  <c r="AG1792" i="50"/>
  <c r="S1792" i="50"/>
  <c r="AI1792" i="50" s="1"/>
  <c r="E1792" i="50"/>
  <c r="AG1791" i="50"/>
  <c r="S1791" i="50"/>
  <c r="E1791" i="50"/>
  <c r="AG1790" i="50"/>
  <c r="S1790" i="50"/>
  <c r="AI1790" i="50" s="1"/>
  <c r="E1790" i="50"/>
  <c r="AC1789" i="50"/>
  <c r="AA1789" i="50"/>
  <c r="Y1789" i="50"/>
  <c r="W1789" i="50"/>
  <c r="U1789" i="50"/>
  <c r="S1787" i="50"/>
  <c r="E1787" i="50"/>
  <c r="S1786" i="50"/>
  <c r="T1786" i="50" s="1"/>
  <c r="E1786" i="50"/>
  <c r="AG1785" i="50"/>
  <c r="S1785" i="50"/>
  <c r="E1785" i="50"/>
  <c r="AG1784" i="50"/>
  <c r="S1784" i="50"/>
  <c r="E1784" i="50"/>
  <c r="S1783" i="50"/>
  <c r="T1783" i="50" s="1"/>
  <c r="E1783" i="50"/>
  <c r="AC1782" i="50"/>
  <c r="AA1782" i="50"/>
  <c r="Y1782" i="50"/>
  <c r="W1782" i="50"/>
  <c r="U1782" i="50"/>
  <c r="F1782" i="50"/>
  <c r="AG1780" i="50"/>
  <c r="S1780" i="50"/>
  <c r="E1780" i="50"/>
  <c r="AG1779" i="50"/>
  <c r="S1779" i="50"/>
  <c r="E1779" i="50"/>
  <c r="AG1778" i="50"/>
  <c r="S1778" i="50"/>
  <c r="AI1778" i="50" s="1"/>
  <c r="E1778" i="50"/>
  <c r="AG1777" i="50"/>
  <c r="S1777" i="50"/>
  <c r="E1777" i="50"/>
  <c r="AG1776" i="50"/>
  <c r="S1776" i="50"/>
  <c r="AI1776" i="50" s="1"/>
  <c r="E1776" i="50"/>
  <c r="AC1775" i="50"/>
  <c r="AA1775" i="50"/>
  <c r="Y1775" i="50"/>
  <c r="W1775" i="50"/>
  <c r="U1775" i="50"/>
  <c r="AG1773" i="50"/>
  <c r="S1773" i="50"/>
  <c r="AI1773" i="50" s="1"/>
  <c r="E1773" i="50"/>
  <c r="AG1772" i="50"/>
  <c r="S1772" i="50"/>
  <c r="AI1772" i="50" s="1"/>
  <c r="E1772" i="50"/>
  <c r="AG1771" i="50"/>
  <c r="S1771" i="50"/>
  <c r="E1771" i="50"/>
  <c r="AG1770" i="50"/>
  <c r="S1770" i="50"/>
  <c r="E1770" i="50"/>
  <c r="AG1769" i="50"/>
  <c r="S1769" i="50"/>
  <c r="E1769" i="50"/>
  <c r="AC1768" i="50"/>
  <c r="AA1768" i="50"/>
  <c r="Y1768" i="50"/>
  <c r="W1768" i="50"/>
  <c r="U1768" i="50"/>
  <c r="F1768" i="50"/>
  <c r="AG1766" i="50"/>
  <c r="S1766" i="50"/>
  <c r="E1766" i="50"/>
  <c r="AG1765" i="50"/>
  <c r="S1765" i="50"/>
  <c r="AI1765" i="50" s="1"/>
  <c r="E1765" i="50"/>
  <c r="AG1764" i="50"/>
  <c r="S1764" i="50"/>
  <c r="E1764" i="50"/>
  <c r="AG1763" i="50"/>
  <c r="S1763" i="50"/>
  <c r="E1763" i="50"/>
  <c r="AG1762" i="50"/>
  <c r="S1762" i="50"/>
  <c r="E1762" i="50"/>
  <c r="AC1761" i="50"/>
  <c r="AA1761" i="50"/>
  <c r="Y1761" i="50"/>
  <c r="W1761" i="50"/>
  <c r="U1761" i="50"/>
  <c r="F1761" i="50"/>
  <c r="S1759" i="50"/>
  <c r="E1759" i="50"/>
  <c r="S1758" i="50"/>
  <c r="E1758" i="50"/>
  <c r="AG1757" i="50"/>
  <c r="S1757" i="50"/>
  <c r="AI1757" i="50" s="1"/>
  <c r="E1757" i="50"/>
  <c r="AG1756" i="50"/>
  <c r="S1756" i="50"/>
  <c r="E1756" i="50"/>
  <c r="S1755" i="50"/>
  <c r="E1755" i="50"/>
  <c r="AC1754" i="50"/>
  <c r="AA1754" i="50"/>
  <c r="Y1754" i="50"/>
  <c r="W1754" i="50"/>
  <c r="U1754" i="50"/>
  <c r="AG1752" i="50"/>
  <c r="S1752" i="50"/>
  <c r="E1752" i="50"/>
  <c r="AG1751" i="50"/>
  <c r="S1751" i="50"/>
  <c r="E1751" i="50"/>
  <c r="AG1750" i="50"/>
  <c r="S1750" i="50"/>
  <c r="E1750" i="50"/>
  <c r="AG1749" i="50"/>
  <c r="S1749" i="50"/>
  <c r="E1749" i="50"/>
  <c r="AG1748" i="50"/>
  <c r="S1748" i="50"/>
  <c r="E1748" i="50"/>
  <c r="AC1747" i="50"/>
  <c r="AA1747" i="50"/>
  <c r="Y1747" i="50"/>
  <c r="W1747" i="50"/>
  <c r="U1747" i="50"/>
  <c r="AG1745" i="50"/>
  <c r="S1745" i="50"/>
  <c r="AI1745" i="50" s="1"/>
  <c r="E1745" i="50"/>
  <c r="AG1744" i="50"/>
  <c r="S1744" i="50"/>
  <c r="E1744" i="50"/>
  <c r="AG1743" i="50"/>
  <c r="S1743" i="50"/>
  <c r="E1743" i="50"/>
  <c r="AG1742" i="50"/>
  <c r="S1742" i="50"/>
  <c r="E1742" i="50"/>
  <c r="AG1741" i="50"/>
  <c r="S1741" i="50"/>
  <c r="AI1741" i="50" s="1"/>
  <c r="E1741" i="50"/>
  <c r="AC1740" i="50"/>
  <c r="AA1740" i="50"/>
  <c r="Y1740" i="50"/>
  <c r="AG1738" i="50"/>
  <c r="S1738" i="50"/>
  <c r="E1738" i="50"/>
  <c r="AG1737" i="50"/>
  <c r="S1737" i="50"/>
  <c r="E1737" i="50"/>
  <c r="AG1736" i="50"/>
  <c r="S1736" i="50"/>
  <c r="E1736" i="50"/>
  <c r="AG1735" i="50"/>
  <c r="S1735" i="50"/>
  <c r="E1735" i="50"/>
  <c r="AG1734" i="50"/>
  <c r="S1734" i="50"/>
  <c r="E1734" i="50"/>
  <c r="AC1733" i="50"/>
  <c r="AA1733" i="50"/>
  <c r="Y1733" i="50"/>
  <c r="W1733" i="50"/>
  <c r="U1733" i="50"/>
  <c r="AG1731" i="50"/>
  <c r="S1731" i="50"/>
  <c r="AI1731" i="50" s="1"/>
  <c r="E1731" i="50"/>
  <c r="AG1730" i="50"/>
  <c r="S1730" i="50"/>
  <c r="E1730" i="50"/>
  <c r="AG1729" i="50"/>
  <c r="S1729" i="50"/>
  <c r="AI1729" i="50" s="1"/>
  <c r="E1729" i="50"/>
  <c r="AG1728" i="50"/>
  <c r="S1728" i="50"/>
  <c r="E1728" i="50"/>
  <c r="AG1727" i="50"/>
  <c r="S1727" i="50"/>
  <c r="E1727" i="50"/>
  <c r="AC1726" i="50"/>
  <c r="AA1726" i="50"/>
  <c r="Y1726" i="50"/>
  <c r="W1726" i="50"/>
  <c r="AG1724" i="50"/>
  <c r="S1724" i="50"/>
  <c r="E1724" i="50"/>
  <c r="AG1723" i="50"/>
  <c r="S1723" i="50"/>
  <c r="E1723" i="50"/>
  <c r="AG1722" i="50"/>
  <c r="S1722" i="50"/>
  <c r="AI1722" i="50" s="1"/>
  <c r="E1722" i="50"/>
  <c r="AG1721" i="50"/>
  <c r="S1721" i="50"/>
  <c r="AI1721" i="50" s="1"/>
  <c r="E1721" i="50"/>
  <c r="AG1720" i="50"/>
  <c r="S1720" i="50"/>
  <c r="E1720" i="50"/>
  <c r="AC1719" i="50"/>
  <c r="AA1719" i="50"/>
  <c r="Y1719" i="50"/>
  <c r="W1719" i="50"/>
  <c r="U1719" i="50"/>
  <c r="F1719" i="50"/>
  <c r="AG1717" i="50"/>
  <c r="S1717" i="50"/>
  <c r="E1717" i="50"/>
  <c r="AG1716" i="50"/>
  <c r="S1716" i="50"/>
  <c r="E1716" i="50"/>
  <c r="AG1715" i="50"/>
  <c r="S1715" i="50"/>
  <c r="AI1715" i="50" s="1"/>
  <c r="E1715" i="50"/>
  <c r="AG1714" i="50"/>
  <c r="S1714" i="50"/>
  <c r="E1714" i="50"/>
  <c r="AG1713" i="50"/>
  <c r="S1713" i="50"/>
  <c r="E1713" i="50"/>
  <c r="AC1712" i="50"/>
  <c r="AA1712" i="50"/>
  <c r="Y1712" i="50"/>
  <c r="W1712" i="50"/>
  <c r="U1712" i="50"/>
  <c r="AG1710" i="50"/>
  <c r="S1710" i="50"/>
  <c r="E1710" i="50"/>
  <c r="AG1709" i="50"/>
  <c r="S1709" i="50"/>
  <c r="E1709" i="50"/>
  <c r="AG1708" i="50"/>
  <c r="S1708" i="50"/>
  <c r="AI1708" i="50" s="1"/>
  <c r="E1708" i="50"/>
  <c r="AG1707" i="50"/>
  <c r="S1707" i="50"/>
  <c r="AI1707" i="50" s="1"/>
  <c r="E1707" i="50"/>
  <c r="AG1706" i="50"/>
  <c r="S1706" i="50"/>
  <c r="E1706" i="50"/>
  <c r="AC1705" i="50"/>
  <c r="AA1705" i="50"/>
  <c r="Y1705" i="50"/>
  <c r="W1705" i="50"/>
  <c r="U1705" i="50"/>
  <c r="AG1703" i="50"/>
  <c r="S1703" i="50"/>
  <c r="AI1703" i="50" s="1"/>
  <c r="E1703" i="50"/>
  <c r="AG1702" i="50"/>
  <c r="S1702" i="50"/>
  <c r="AI1702" i="50" s="1"/>
  <c r="E1702" i="50"/>
  <c r="AG1701" i="50"/>
  <c r="S1701" i="50"/>
  <c r="AI1701" i="50" s="1"/>
  <c r="E1701" i="50"/>
  <c r="AG1700" i="50"/>
  <c r="S1700" i="50"/>
  <c r="AI1700" i="50" s="1"/>
  <c r="E1700" i="50"/>
  <c r="AG1699" i="50"/>
  <c r="S1699" i="50"/>
  <c r="E1699" i="50"/>
  <c r="AC1698" i="50"/>
  <c r="AA1698" i="50"/>
  <c r="Y1698" i="50"/>
  <c r="W1698" i="50"/>
  <c r="U1698" i="50"/>
  <c r="AG1696" i="50"/>
  <c r="S1696" i="50"/>
  <c r="E1696" i="50"/>
  <c r="AG1695" i="50"/>
  <c r="AI1695" i="50" s="1"/>
  <c r="S1695" i="50"/>
  <c r="E1695" i="50"/>
  <c r="AG1694" i="50"/>
  <c r="S1694" i="50"/>
  <c r="E1694" i="50"/>
  <c r="AG1693" i="50"/>
  <c r="S1693" i="50"/>
  <c r="AI1693" i="50" s="1"/>
  <c r="E1693" i="50"/>
  <c r="AG1692" i="50"/>
  <c r="S1692" i="50"/>
  <c r="E1692" i="50"/>
  <c r="AC1691" i="50"/>
  <c r="AA1691" i="50"/>
  <c r="Y1691" i="50"/>
  <c r="W1691" i="50"/>
  <c r="U1691" i="50"/>
  <c r="AG1689" i="50"/>
  <c r="S1689" i="50"/>
  <c r="AI1689" i="50" s="1"/>
  <c r="E1689" i="50"/>
  <c r="AG1688" i="50"/>
  <c r="S1688" i="50"/>
  <c r="AI1688" i="50" s="1"/>
  <c r="E1688" i="50"/>
  <c r="AG1687" i="50"/>
  <c r="S1687" i="50"/>
  <c r="E1687" i="50"/>
  <c r="AG1686" i="50"/>
  <c r="S1686" i="50"/>
  <c r="AI1686" i="50" s="1"/>
  <c r="E1686" i="50"/>
  <c r="AG1685" i="50"/>
  <c r="S1685" i="50"/>
  <c r="AI1685" i="50" s="1"/>
  <c r="E1685" i="50"/>
  <c r="AC1684" i="50"/>
  <c r="AA1684" i="50"/>
  <c r="Y1684" i="50"/>
  <c r="W1684" i="50"/>
  <c r="U1684" i="50"/>
  <c r="AG1682" i="50"/>
  <c r="S1682" i="50"/>
  <c r="E1682" i="50"/>
  <c r="AG1681" i="50"/>
  <c r="S1681" i="50"/>
  <c r="E1681" i="50"/>
  <c r="AG1680" i="50"/>
  <c r="S1680" i="50"/>
  <c r="E1680" i="50"/>
  <c r="AG1679" i="50"/>
  <c r="S1679" i="50"/>
  <c r="E1679" i="50"/>
  <c r="AG1678" i="50"/>
  <c r="S1678" i="50"/>
  <c r="AI1678" i="50" s="1"/>
  <c r="E1678" i="50"/>
  <c r="AC1677" i="50"/>
  <c r="AA1677" i="50"/>
  <c r="Y1677" i="50"/>
  <c r="W1677" i="50"/>
  <c r="U1677" i="50"/>
  <c r="AG1675" i="50"/>
  <c r="S1675" i="50"/>
  <c r="E1675" i="50"/>
  <c r="AG1674" i="50"/>
  <c r="S1674" i="50"/>
  <c r="AI1674" i="50" s="1"/>
  <c r="E1674" i="50"/>
  <c r="AG1673" i="50"/>
  <c r="S1673" i="50"/>
  <c r="AI1673" i="50" s="1"/>
  <c r="E1673" i="50"/>
  <c r="AG1672" i="50"/>
  <c r="S1672" i="50"/>
  <c r="E1672" i="50"/>
  <c r="AG1671" i="50"/>
  <c r="S1671" i="50"/>
  <c r="E1671" i="50"/>
  <c r="AC1670" i="50"/>
  <c r="AA1670" i="50"/>
  <c r="Y1670" i="50"/>
  <c r="W1670" i="50"/>
  <c r="U1670" i="50"/>
  <c r="AG1668" i="50"/>
  <c r="S1668" i="50"/>
  <c r="E1668" i="50"/>
  <c r="AG1667" i="50"/>
  <c r="S1667" i="50"/>
  <c r="E1667" i="50"/>
  <c r="AG1666" i="50"/>
  <c r="S1666" i="50"/>
  <c r="E1666" i="50"/>
  <c r="AG1665" i="50"/>
  <c r="S1665" i="50"/>
  <c r="AI1665" i="50" s="1"/>
  <c r="E1665" i="50"/>
  <c r="AG1664" i="50"/>
  <c r="S1664" i="50"/>
  <c r="E1664" i="50"/>
  <c r="AC1663" i="50"/>
  <c r="AA1663" i="50"/>
  <c r="Y1663" i="50"/>
  <c r="W1663" i="50"/>
  <c r="U1663" i="50"/>
  <c r="AG1661" i="50"/>
  <c r="S1661" i="50"/>
  <c r="E1661" i="50"/>
  <c r="AG1660" i="50"/>
  <c r="S1660" i="50"/>
  <c r="AI1660" i="50" s="1"/>
  <c r="E1660" i="50"/>
  <c r="AG1659" i="50"/>
  <c r="S1659" i="50"/>
  <c r="AI1659" i="50" s="1"/>
  <c r="E1659" i="50"/>
  <c r="AG1658" i="50"/>
  <c r="S1658" i="50"/>
  <c r="E1658" i="50"/>
  <c r="AG1657" i="50"/>
  <c r="S1657" i="50"/>
  <c r="E1657" i="50"/>
  <c r="AC1656" i="50"/>
  <c r="AA1656" i="50"/>
  <c r="Y1656" i="50"/>
  <c r="W1656" i="50"/>
  <c r="U1656" i="50"/>
  <c r="AG1654" i="50"/>
  <c r="S1654" i="50"/>
  <c r="E1654" i="50"/>
  <c r="AG1653" i="50"/>
  <c r="S1653" i="50"/>
  <c r="E1653" i="50"/>
  <c r="AG1652" i="50"/>
  <c r="S1652" i="50"/>
  <c r="E1652" i="50"/>
  <c r="AG1651" i="50"/>
  <c r="S1651" i="50"/>
  <c r="AI1651" i="50" s="1"/>
  <c r="E1651" i="50"/>
  <c r="AG1650" i="50"/>
  <c r="S1650" i="50"/>
  <c r="AI1650" i="50" s="1"/>
  <c r="E1650" i="50"/>
  <c r="AC1649" i="50"/>
  <c r="AA1649" i="50"/>
  <c r="Y1649" i="50"/>
  <c r="W1649" i="50"/>
  <c r="U1649" i="50"/>
  <c r="AG1647" i="50"/>
  <c r="S1647" i="50"/>
  <c r="E1647" i="50"/>
  <c r="AG1646" i="50"/>
  <c r="S1646" i="50"/>
  <c r="E1646" i="50"/>
  <c r="AG1645" i="50"/>
  <c r="S1645" i="50"/>
  <c r="AI1645" i="50" s="1"/>
  <c r="E1645" i="50"/>
  <c r="AG1644" i="50"/>
  <c r="S1644" i="50"/>
  <c r="AI1644" i="50" s="1"/>
  <c r="E1644" i="50"/>
  <c r="AG1643" i="50"/>
  <c r="S1643" i="50"/>
  <c r="AI1643" i="50" s="1"/>
  <c r="E1643" i="50"/>
  <c r="AC1642" i="50"/>
  <c r="AA1642" i="50"/>
  <c r="Y1642" i="50"/>
  <c r="W1642" i="50"/>
  <c r="U1642" i="50"/>
  <c r="AG1640" i="50"/>
  <c r="S1640" i="50"/>
  <c r="E1640" i="50"/>
  <c r="AG1639" i="50"/>
  <c r="S1639" i="50"/>
  <c r="E1639" i="50"/>
  <c r="AG1638" i="50"/>
  <c r="S1638" i="50"/>
  <c r="E1638" i="50"/>
  <c r="AG1637" i="50"/>
  <c r="S1637" i="50"/>
  <c r="E1637" i="50"/>
  <c r="AG1636" i="50"/>
  <c r="S1636" i="50"/>
  <c r="E1636" i="50"/>
  <c r="AC1635" i="50"/>
  <c r="AA1635" i="50"/>
  <c r="Y1635" i="50"/>
  <c r="W1635" i="50"/>
  <c r="U1635" i="50"/>
  <c r="AG1633" i="50"/>
  <c r="S1633" i="50"/>
  <c r="E1633" i="50"/>
  <c r="AG1632" i="50"/>
  <c r="S1632" i="50"/>
  <c r="AI1632" i="50" s="1"/>
  <c r="E1632" i="50"/>
  <c r="AG1631" i="50"/>
  <c r="S1631" i="50"/>
  <c r="AI1631" i="50" s="1"/>
  <c r="E1631" i="50"/>
  <c r="AG1630" i="50"/>
  <c r="S1630" i="50"/>
  <c r="AI1630" i="50" s="1"/>
  <c r="E1630" i="50"/>
  <c r="AG1629" i="50"/>
  <c r="S1629" i="50"/>
  <c r="E1629" i="50"/>
  <c r="AC1628" i="50"/>
  <c r="AA1628" i="50"/>
  <c r="Y1628" i="50"/>
  <c r="W1628" i="50"/>
  <c r="U1628" i="50"/>
  <c r="AG1626" i="50"/>
  <c r="S1626" i="50"/>
  <c r="E1626" i="50"/>
  <c r="AG1625" i="50"/>
  <c r="S1625" i="50"/>
  <c r="E1625" i="50"/>
  <c r="AG1624" i="50"/>
  <c r="S1624" i="50"/>
  <c r="E1624" i="50"/>
  <c r="AG1623" i="50"/>
  <c r="S1623" i="50"/>
  <c r="AI1623" i="50" s="1"/>
  <c r="E1623" i="50"/>
  <c r="AG1622" i="50"/>
  <c r="S1622" i="50"/>
  <c r="AI1622" i="50" s="1"/>
  <c r="E1622" i="50"/>
  <c r="AC1621" i="50"/>
  <c r="AA1621" i="50"/>
  <c r="Y1621" i="50"/>
  <c r="W1621" i="50"/>
  <c r="U1621" i="50"/>
  <c r="AG1619" i="50"/>
  <c r="S1619" i="50"/>
  <c r="AI1619" i="50" s="1"/>
  <c r="E1619" i="50"/>
  <c r="AG1618" i="50"/>
  <c r="S1618" i="50"/>
  <c r="E1618" i="50"/>
  <c r="AG1617" i="50"/>
  <c r="S1617" i="50"/>
  <c r="AI1617" i="50" s="1"/>
  <c r="E1617" i="50"/>
  <c r="AG1616" i="50"/>
  <c r="S1616" i="50"/>
  <c r="AI1616" i="50" s="1"/>
  <c r="E1616" i="50"/>
  <c r="AG1615" i="50"/>
  <c r="S1615" i="50"/>
  <c r="AI1615" i="50" s="1"/>
  <c r="E1615" i="50"/>
  <c r="AC1614" i="50"/>
  <c r="AA1614" i="50"/>
  <c r="Y1614" i="50"/>
  <c r="W1614" i="50"/>
  <c r="U1614" i="50"/>
  <c r="AG1612" i="50"/>
  <c r="S1612" i="50"/>
  <c r="E1612" i="50"/>
  <c r="AG1611" i="50"/>
  <c r="S1611" i="50"/>
  <c r="E1611" i="50"/>
  <c r="AG1610" i="50"/>
  <c r="S1610" i="50"/>
  <c r="AI1610" i="50" s="1"/>
  <c r="E1610" i="50"/>
  <c r="AG1609" i="50"/>
  <c r="S1609" i="50"/>
  <c r="E1609" i="50"/>
  <c r="AG1608" i="50"/>
  <c r="S1608" i="50"/>
  <c r="AI1608" i="50" s="1"/>
  <c r="E1608" i="50"/>
  <c r="AC1607" i="50"/>
  <c r="AA1607" i="50"/>
  <c r="Y1607" i="50"/>
  <c r="W1607" i="50"/>
  <c r="U1607" i="50"/>
  <c r="AG1605" i="50"/>
  <c r="S1605" i="50"/>
  <c r="AI1605" i="50" s="1"/>
  <c r="E1605" i="50"/>
  <c r="AG1604" i="50"/>
  <c r="S1604" i="50"/>
  <c r="E1604" i="50"/>
  <c r="AG1603" i="50"/>
  <c r="S1603" i="50"/>
  <c r="AI1603" i="50" s="1"/>
  <c r="E1603" i="50"/>
  <c r="AG1602" i="50"/>
  <c r="S1602" i="50"/>
  <c r="AI1602" i="50" s="1"/>
  <c r="E1602" i="50"/>
  <c r="AG1601" i="50"/>
  <c r="S1601" i="50"/>
  <c r="E1601" i="50"/>
  <c r="AC1600" i="50"/>
  <c r="AA1600" i="50"/>
  <c r="Y1600" i="50"/>
  <c r="W1600" i="50"/>
  <c r="U1600" i="50"/>
  <c r="AG1598" i="50"/>
  <c r="S1598" i="50"/>
  <c r="E1598" i="50"/>
  <c r="AG1597" i="50"/>
  <c r="S1597" i="50"/>
  <c r="E1597" i="50"/>
  <c r="AG1596" i="50"/>
  <c r="S1596" i="50"/>
  <c r="E1596" i="50"/>
  <c r="AG1595" i="50"/>
  <c r="S1595" i="50"/>
  <c r="E1595" i="50"/>
  <c r="AG1594" i="50"/>
  <c r="S1594" i="50"/>
  <c r="E1594" i="50"/>
  <c r="AC1593" i="50"/>
  <c r="AA1593" i="50"/>
  <c r="Y1593" i="50"/>
  <c r="W1593" i="50"/>
  <c r="U1593" i="50"/>
  <c r="AG1591" i="50"/>
  <c r="S1591" i="50"/>
  <c r="E1591" i="50"/>
  <c r="AG1590" i="50"/>
  <c r="S1590" i="50"/>
  <c r="E1590" i="50"/>
  <c r="AG1589" i="50"/>
  <c r="S1589" i="50"/>
  <c r="AI1589" i="50" s="1"/>
  <c r="E1589" i="50"/>
  <c r="AG1588" i="50"/>
  <c r="S1588" i="50"/>
  <c r="E1588" i="50"/>
  <c r="AG1587" i="50"/>
  <c r="S1587" i="50"/>
  <c r="E1587" i="50"/>
  <c r="AC1586" i="50"/>
  <c r="AA1586" i="50"/>
  <c r="Y1586" i="50"/>
  <c r="W1586" i="50"/>
  <c r="U1586" i="50"/>
  <c r="AG1584" i="50"/>
  <c r="S1584" i="50"/>
  <c r="E1584" i="50"/>
  <c r="AG1583" i="50"/>
  <c r="S1583" i="50"/>
  <c r="E1583" i="50"/>
  <c r="AG1582" i="50"/>
  <c r="S1582" i="50"/>
  <c r="AI1582" i="50" s="1"/>
  <c r="E1582" i="50"/>
  <c r="AG1581" i="50"/>
  <c r="S1581" i="50"/>
  <c r="AI1581" i="50" s="1"/>
  <c r="E1581" i="50"/>
  <c r="AG1580" i="50"/>
  <c r="S1580" i="50"/>
  <c r="E1580" i="50"/>
  <c r="AC1579" i="50"/>
  <c r="AA1579" i="50"/>
  <c r="Y1579" i="50"/>
  <c r="W1579" i="50"/>
  <c r="U1579" i="50"/>
  <c r="AG1577" i="50"/>
  <c r="S1577" i="50"/>
  <c r="E1577" i="50"/>
  <c r="AG1576" i="50"/>
  <c r="S1576" i="50"/>
  <c r="AI1576" i="50" s="1"/>
  <c r="E1576" i="50"/>
  <c r="AG1575" i="50"/>
  <c r="S1575" i="50"/>
  <c r="AI1575" i="50" s="1"/>
  <c r="E1575" i="50"/>
  <c r="AG1574" i="50"/>
  <c r="S1574" i="50"/>
  <c r="AI1574" i="50" s="1"/>
  <c r="E1574" i="50"/>
  <c r="AG1573" i="50"/>
  <c r="S1573" i="50"/>
  <c r="E1573" i="50"/>
  <c r="AC1572" i="50"/>
  <c r="AA1572" i="50"/>
  <c r="Y1572" i="50"/>
  <c r="W1572" i="50"/>
  <c r="U1572" i="50"/>
  <c r="AG1570" i="50"/>
  <c r="S1570" i="50"/>
  <c r="E1570" i="50"/>
  <c r="AG1569" i="50"/>
  <c r="S1569" i="50"/>
  <c r="E1569" i="50"/>
  <c r="AG1568" i="50"/>
  <c r="S1568" i="50"/>
  <c r="E1568" i="50"/>
  <c r="AG1567" i="50"/>
  <c r="S1567" i="50"/>
  <c r="E1567" i="50"/>
  <c r="AG1566" i="50"/>
  <c r="S1566" i="50"/>
  <c r="E1566" i="50"/>
  <c r="AC1565" i="50"/>
  <c r="AA1565" i="50"/>
  <c r="Y1565" i="50"/>
  <c r="W1565" i="50"/>
  <c r="U1565" i="50"/>
  <c r="AG1563" i="50"/>
  <c r="S1563" i="50"/>
  <c r="AI1563" i="50" s="1"/>
  <c r="E1563" i="50"/>
  <c r="AG1562" i="50"/>
  <c r="S1562" i="50"/>
  <c r="E1562" i="50"/>
  <c r="AG1561" i="50"/>
  <c r="S1561" i="50"/>
  <c r="AI1561" i="50" s="1"/>
  <c r="E1561" i="50"/>
  <c r="AG1560" i="50"/>
  <c r="S1560" i="50"/>
  <c r="E1560" i="50"/>
  <c r="AG1559" i="50"/>
  <c r="S1559" i="50"/>
  <c r="E1559" i="50"/>
  <c r="AC1558" i="50"/>
  <c r="AA1558" i="50"/>
  <c r="Y1558" i="50"/>
  <c r="W1558" i="50"/>
  <c r="U1558" i="50"/>
  <c r="AG1556" i="50"/>
  <c r="S1556" i="50"/>
  <c r="E1556" i="50"/>
  <c r="AG1555" i="50"/>
  <c r="S1555" i="50"/>
  <c r="E1555" i="50"/>
  <c r="AG1554" i="50"/>
  <c r="S1554" i="50"/>
  <c r="E1554" i="50"/>
  <c r="AG1553" i="50"/>
  <c r="S1553" i="50"/>
  <c r="E1553" i="50"/>
  <c r="AG1552" i="50"/>
  <c r="S1552" i="50"/>
  <c r="E1552" i="50"/>
  <c r="AC1551" i="50"/>
  <c r="AA1551" i="50"/>
  <c r="Y1551" i="50"/>
  <c r="W1551" i="50"/>
  <c r="U1551" i="50"/>
  <c r="AG1549" i="50"/>
  <c r="S1549" i="50"/>
  <c r="AI1549" i="50" s="1"/>
  <c r="E1549" i="50"/>
  <c r="AG1548" i="50"/>
  <c r="S1548" i="50"/>
  <c r="E1548" i="50"/>
  <c r="AG1547" i="50"/>
  <c r="S1547" i="50"/>
  <c r="AI1547" i="50" s="1"/>
  <c r="E1547" i="50"/>
  <c r="AG1546" i="50"/>
  <c r="S1546" i="50"/>
  <c r="AI1546" i="50" s="1"/>
  <c r="E1546" i="50"/>
  <c r="AG1545" i="50"/>
  <c r="S1545" i="50"/>
  <c r="E1545" i="50"/>
  <c r="AC1544" i="50"/>
  <c r="AA1544" i="50"/>
  <c r="Y1544" i="50"/>
  <c r="W1544" i="50"/>
  <c r="U1544" i="50"/>
  <c r="AG1542" i="50"/>
  <c r="S1542" i="50"/>
  <c r="E1542" i="50"/>
  <c r="AG1541" i="50"/>
  <c r="S1541" i="50"/>
  <c r="E1541" i="50"/>
  <c r="AG1540" i="50"/>
  <c r="S1540" i="50"/>
  <c r="AI1540" i="50" s="1"/>
  <c r="E1540" i="50"/>
  <c r="AG1539" i="50"/>
  <c r="S1539" i="50"/>
  <c r="E1539" i="50"/>
  <c r="AG1538" i="50"/>
  <c r="S1538" i="50"/>
  <c r="E1538" i="50"/>
  <c r="AC1537" i="50"/>
  <c r="AA1537" i="50"/>
  <c r="Y1537" i="50"/>
  <c r="W1537" i="50"/>
  <c r="U1537" i="50"/>
  <c r="AG1535" i="50"/>
  <c r="S1535" i="50"/>
  <c r="AI1535" i="50" s="1"/>
  <c r="E1535" i="50"/>
  <c r="AG1534" i="50"/>
  <c r="S1534" i="50"/>
  <c r="E1534" i="50"/>
  <c r="AG1533" i="50"/>
  <c r="S1533" i="50"/>
  <c r="AI1533" i="50" s="1"/>
  <c r="E1533" i="50"/>
  <c r="AG1532" i="50"/>
  <c r="S1532" i="50"/>
  <c r="E1532" i="50"/>
  <c r="AG1531" i="50"/>
  <c r="S1531" i="50"/>
  <c r="E1531" i="50"/>
  <c r="AC1530" i="50"/>
  <c r="AA1530" i="50"/>
  <c r="Y1530" i="50"/>
  <c r="W1530" i="50"/>
  <c r="U1530" i="50"/>
  <c r="AG1528" i="50"/>
  <c r="S1528" i="50"/>
  <c r="E1528" i="50"/>
  <c r="AG1527" i="50"/>
  <c r="S1527" i="50"/>
  <c r="E1527" i="50"/>
  <c r="AG1526" i="50"/>
  <c r="S1526" i="50"/>
  <c r="E1526" i="50"/>
  <c r="AG1525" i="50"/>
  <c r="S1525" i="50"/>
  <c r="E1525" i="50"/>
  <c r="AG1524" i="50"/>
  <c r="S1524" i="50"/>
  <c r="E1524" i="50"/>
  <c r="AC1523" i="50"/>
  <c r="AA1523" i="50"/>
  <c r="Y1523" i="50"/>
  <c r="W1523" i="50"/>
  <c r="U1523" i="50"/>
  <c r="AG1521" i="50"/>
  <c r="S1521" i="50"/>
  <c r="E1521" i="50"/>
  <c r="AG1520" i="50"/>
  <c r="S1520" i="50"/>
  <c r="E1520" i="50"/>
  <c r="AG1519" i="50"/>
  <c r="S1519" i="50"/>
  <c r="AI1519" i="50" s="1"/>
  <c r="E1519" i="50"/>
  <c r="AG1518" i="50"/>
  <c r="S1518" i="50"/>
  <c r="E1518" i="50"/>
  <c r="AG1517" i="50"/>
  <c r="S1517" i="50"/>
  <c r="AI1517" i="50" s="1"/>
  <c r="E1517" i="50"/>
  <c r="AC1516" i="50"/>
  <c r="AA1516" i="50"/>
  <c r="Y1516" i="50"/>
  <c r="W1516" i="50"/>
  <c r="U1516" i="50"/>
  <c r="AG1514" i="50"/>
  <c r="S1514" i="50"/>
  <c r="E1514" i="50"/>
  <c r="AG1513" i="50"/>
  <c r="S1513" i="50"/>
  <c r="E1513" i="50"/>
  <c r="AG1512" i="50"/>
  <c r="S1512" i="50"/>
  <c r="E1512" i="50"/>
  <c r="AG1511" i="50"/>
  <c r="S1511" i="50"/>
  <c r="E1511" i="50"/>
  <c r="AG1510" i="50"/>
  <c r="S1510" i="50"/>
  <c r="E1510" i="50"/>
  <c r="AC1509" i="50"/>
  <c r="AA1509" i="50"/>
  <c r="Y1509" i="50"/>
  <c r="W1509" i="50"/>
  <c r="U1509" i="50"/>
  <c r="AG1507" i="50"/>
  <c r="S1507" i="50"/>
  <c r="E1507" i="50"/>
  <c r="AG1506" i="50"/>
  <c r="S1506" i="50"/>
  <c r="E1506" i="50"/>
  <c r="AG1505" i="50"/>
  <c r="S1505" i="50"/>
  <c r="E1505" i="50"/>
  <c r="AG1504" i="50"/>
  <c r="S1504" i="50"/>
  <c r="E1504" i="50"/>
  <c r="AG1503" i="50"/>
  <c r="S1503" i="50"/>
  <c r="E1503" i="50"/>
  <c r="AC1502" i="50"/>
  <c r="AA1502" i="50"/>
  <c r="Y1502" i="50"/>
  <c r="W1502" i="50"/>
  <c r="U1502" i="50"/>
  <c r="AG1500" i="50"/>
  <c r="S1500" i="50"/>
  <c r="E1500" i="50"/>
  <c r="AG1499" i="50"/>
  <c r="S1499" i="50"/>
  <c r="E1499" i="50"/>
  <c r="AG1498" i="50"/>
  <c r="S1498" i="50"/>
  <c r="E1498" i="50"/>
  <c r="AG1497" i="50"/>
  <c r="S1497" i="50"/>
  <c r="E1497" i="50"/>
  <c r="AG1496" i="50"/>
  <c r="S1496" i="50"/>
  <c r="E1496" i="50"/>
  <c r="AC1495" i="50"/>
  <c r="AA1495" i="50"/>
  <c r="Y1495" i="50"/>
  <c r="W1495" i="50"/>
  <c r="U1495" i="50"/>
  <c r="F1495" i="50"/>
  <c r="AG1493" i="50"/>
  <c r="AI1493" i="50" s="1"/>
  <c r="S1493" i="50"/>
  <c r="E1493" i="50"/>
  <c r="AG1492" i="50"/>
  <c r="S1492" i="50"/>
  <c r="AI1492" i="50" s="1"/>
  <c r="E1492" i="50"/>
  <c r="AG1491" i="50"/>
  <c r="S1491" i="50"/>
  <c r="E1491" i="50"/>
  <c r="AG1490" i="50"/>
  <c r="AI1490" i="50" s="1"/>
  <c r="S1490" i="50"/>
  <c r="E1490" i="50"/>
  <c r="AG1489" i="50"/>
  <c r="S1489" i="50"/>
  <c r="AI1489" i="50" s="1"/>
  <c r="E1489" i="50"/>
  <c r="AC1488" i="50"/>
  <c r="AA1488" i="50"/>
  <c r="Y1488" i="50"/>
  <c r="W1488" i="50"/>
  <c r="U1488" i="50"/>
  <c r="AG1486" i="50"/>
  <c r="S1486" i="50"/>
  <c r="E1486" i="50"/>
  <c r="AG1485" i="50"/>
  <c r="S1485" i="50"/>
  <c r="E1485" i="50"/>
  <c r="AG1484" i="50"/>
  <c r="S1484" i="50"/>
  <c r="E1484" i="50"/>
  <c r="AG1483" i="50"/>
  <c r="S1483" i="50"/>
  <c r="E1483" i="50"/>
  <c r="AG1482" i="50"/>
  <c r="S1482" i="50"/>
  <c r="AI1482" i="50" s="1"/>
  <c r="E1482" i="50"/>
  <c r="AC1481" i="50"/>
  <c r="AA1481" i="50"/>
  <c r="Y1481" i="50"/>
  <c r="W1481" i="50"/>
  <c r="U1481" i="50"/>
  <c r="AG1479" i="50"/>
  <c r="S1479" i="50"/>
  <c r="E1479" i="50"/>
  <c r="AG1478" i="50"/>
  <c r="S1478" i="50"/>
  <c r="E1478" i="50"/>
  <c r="AG1477" i="50"/>
  <c r="S1477" i="50"/>
  <c r="E1477" i="50"/>
  <c r="AG1476" i="50"/>
  <c r="S1476" i="50"/>
  <c r="E1476" i="50"/>
  <c r="AG1475" i="50"/>
  <c r="S1475" i="50"/>
  <c r="E1475" i="50"/>
  <c r="AC1474" i="50"/>
  <c r="AA1474" i="50"/>
  <c r="Y1474" i="50"/>
  <c r="W1474" i="50"/>
  <c r="U1474" i="50"/>
  <c r="AG1472" i="50"/>
  <c r="S1472" i="50"/>
  <c r="E1472" i="50"/>
  <c r="AG1471" i="50"/>
  <c r="S1471" i="50"/>
  <c r="E1471" i="50"/>
  <c r="AG1470" i="50"/>
  <c r="S1470" i="50"/>
  <c r="E1470" i="50"/>
  <c r="AG1469" i="50"/>
  <c r="S1469" i="50"/>
  <c r="E1469" i="50"/>
  <c r="AG1468" i="50"/>
  <c r="S1468" i="50"/>
  <c r="AI1468" i="50" s="1"/>
  <c r="E1468" i="50"/>
  <c r="AC1467" i="50"/>
  <c r="AA1467" i="50"/>
  <c r="Y1467" i="50"/>
  <c r="W1467" i="50"/>
  <c r="U1467" i="50"/>
  <c r="AG1465" i="50"/>
  <c r="AI1465" i="50" s="1"/>
  <c r="S1465" i="50"/>
  <c r="E1465" i="50"/>
  <c r="AG1464" i="50"/>
  <c r="S1464" i="50"/>
  <c r="AI1464" i="50" s="1"/>
  <c r="E1464" i="50"/>
  <c r="AG1463" i="50"/>
  <c r="S1463" i="50"/>
  <c r="E1463" i="50"/>
  <c r="AG1462" i="50"/>
  <c r="S1462" i="50"/>
  <c r="E1462" i="50"/>
  <c r="AG1461" i="50"/>
  <c r="S1461" i="50"/>
  <c r="E1461" i="50"/>
  <c r="AC1460" i="50"/>
  <c r="AA1460" i="50"/>
  <c r="Y1460" i="50"/>
  <c r="W1460" i="50"/>
  <c r="U1460" i="50"/>
  <c r="AG1458" i="50"/>
  <c r="S1458" i="50"/>
  <c r="E1458" i="50"/>
  <c r="AG1457" i="50"/>
  <c r="S1457" i="50"/>
  <c r="E1457" i="50"/>
  <c r="AG1456" i="50"/>
  <c r="S1456" i="50"/>
  <c r="E1456" i="50"/>
  <c r="AG1455" i="50"/>
  <c r="S1455" i="50"/>
  <c r="E1455" i="50"/>
  <c r="AG1454" i="50"/>
  <c r="S1454" i="50"/>
  <c r="E1454" i="50"/>
  <c r="AC1453" i="50"/>
  <c r="AA1453" i="50"/>
  <c r="Y1453" i="50"/>
  <c r="W1453" i="50"/>
  <c r="U1453" i="50"/>
  <c r="AG1451" i="50"/>
  <c r="S1451" i="50"/>
  <c r="E1451" i="50"/>
  <c r="AG1450" i="50"/>
  <c r="S1450" i="50"/>
  <c r="E1450" i="50"/>
  <c r="AG1449" i="50"/>
  <c r="S1449" i="50"/>
  <c r="E1449" i="50"/>
  <c r="AG1448" i="50"/>
  <c r="S1448" i="50"/>
  <c r="E1448" i="50"/>
  <c r="AG1447" i="50"/>
  <c r="S1447" i="50"/>
  <c r="E1447" i="50"/>
  <c r="B1447" i="50"/>
  <c r="I132" i="49"/>
  <c r="BB132" i="49" s="1"/>
  <c r="I133" i="49"/>
  <c r="I134" i="49"/>
  <c r="I135" i="49"/>
  <c r="BG135" i="49" s="1"/>
  <c r="I136" i="49"/>
  <c r="I137" i="49"/>
  <c r="BG137" i="49" s="1"/>
  <c r="I138" i="49"/>
  <c r="I139" i="49"/>
  <c r="BB139" i="49" s="1"/>
  <c r="I140" i="49"/>
  <c r="I141" i="49"/>
  <c r="BB141" i="49" s="1"/>
  <c r="I142" i="49"/>
  <c r="BB142" i="49" s="1"/>
  <c r="I143" i="49"/>
  <c r="I144" i="49"/>
  <c r="BG144" i="49" s="1"/>
  <c r="I145" i="49"/>
  <c r="I146" i="49"/>
  <c r="I147" i="49"/>
  <c r="I148" i="49"/>
  <c r="I149" i="49"/>
  <c r="I150" i="49"/>
  <c r="I151" i="49"/>
  <c r="I152" i="49"/>
  <c r="BB152" i="49" s="1"/>
  <c r="I153" i="49"/>
  <c r="I154" i="49"/>
  <c r="I155" i="49"/>
  <c r="BS155" i="49" s="1"/>
  <c r="I156" i="49"/>
  <c r="I157" i="49"/>
  <c r="I158" i="49"/>
  <c r="I159" i="49"/>
  <c r="I160" i="49"/>
  <c r="BS160" i="49" s="1"/>
  <c r="I161" i="49"/>
  <c r="I162" i="49"/>
  <c r="I163" i="49"/>
  <c r="I164" i="49"/>
  <c r="I165" i="49"/>
  <c r="BB165" i="49" s="1"/>
  <c r="I166" i="49"/>
  <c r="I167" i="49"/>
  <c r="I168" i="49"/>
  <c r="H168" i="49" s="1"/>
  <c r="I169" i="49"/>
  <c r="I170" i="49"/>
  <c r="I171" i="49"/>
  <c r="I172" i="49"/>
  <c r="BG172" i="49" s="1"/>
  <c r="I173" i="49"/>
  <c r="BS173" i="49" s="1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BB191" i="49" s="1"/>
  <c r="I192" i="49"/>
  <c r="H192" i="49" s="1"/>
  <c r="I193" i="49"/>
  <c r="I194" i="49"/>
  <c r="I195" i="49"/>
  <c r="I196" i="49"/>
  <c r="I197" i="49"/>
  <c r="I198" i="49"/>
  <c r="I199" i="49"/>
  <c r="I200" i="49"/>
  <c r="I201" i="49"/>
  <c r="I202" i="49"/>
  <c r="I203" i="49"/>
  <c r="I204" i="49"/>
  <c r="I205" i="49"/>
  <c r="I206" i="49"/>
  <c r="I207" i="49"/>
  <c r="BG207" i="49" s="1"/>
  <c r="I208" i="49"/>
  <c r="I209" i="49"/>
  <c r="H209" i="49" s="1"/>
  <c r="I210" i="49"/>
  <c r="I211" i="49"/>
  <c r="I212" i="49"/>
  <c r="BB212" i="49" s="1"/>
  <c r="I213" i="49"/>
  <c r="I214" i="49"/>
  <c r="I215" i="49"/>
  <c r="I216" i="49"/>
  <c r="I217" i="49"/>
  <c r="I218" i="49"/>
  <c r="I219" i="49"/>
  <c r="BB219" i="49" s="1"/>
  <c r="I220" i="49"/>
  <c r="I221" i="49"/>
  <c r="I222" i="49"/>
  <c r="I223" i="49"/>
  <c r="I224" i="49"/>
  <c r="I225" i="49"/>
  <c r="I226" i="49"/>
  <c r="I227" i="49"/>
  <c r="BG227" i="49" s="1"/>
  <c r="I228" i="49"/>
  <c r="BG228" i="49" s="1"/>
  <c r="I229" i="49"/>
  <c r="I230" i="49"/>
  <c r="I131" i="49"/>
  <c r="BS131" i="49" s="1"/>
  <c r="F230" i="49"/>
  <c r="E230" i="49"/>
  <c r="D230" i="49"/>
  <c r="C230" i="49"/>
  <c r="F229" i="49"/>
  <c r="E229" i="49"/>
  <c r="D229" i="49"/>
  <c r="C229" i="49"/>
  <c r="F228" i="49"/>
  <c r="E228" i="49"/>
  <c r="D228" i="49"/>
  <c r="C228" i="49"/>
  <c r="F227" i="49"/>
  <c r="E227" i="49"/>
  <c r="D227" i="49"/>
  <c r="C227" i="49"/>
  <c r="F226" i="49"/>
  <c r="E226" i="49"/>
  <c r="D226" i="49"/>
  <c r="C226" i="49"/>
  <c r="F225" i="49"/>
  <c r="E225" i="49"/>
  <c r="D225" i="49"/>
  <c r="C225" i="49"/>
  <c r="F224" i="49"/>
  <c r="E224" i="49"/>
  <c r="D224" i="49"/>
  <c r="C224" i="49"/>
  <c r="F223" i="49"/>
  <c r="E223" i="49"/>
  <c r="D223" i="49"/>
  <c r="C223" i="49"/>
  <c r="F222" i="49"/>
  <c r="E222" i="49"/>
  <c r="D222" i="49"/>
  <c r="C222" i="49"/>
  <c r="F221" i="49"/>
  <c r="E221" i="49"/>
  <c r="D221" i="49"/>
  <c r="C221" i="49"/>
  <c r="F220" i="49"/>
  <c r="E220" i="49"/>
  <c r="D220" i="49"/>
  <c r="C220" i="49"/>
  <c r="F219" i="49"/>
  <c r="E219" i="49"/>
  <c r="D219" i="49"/>
  <c r="C219" i="49"/>
  <c r="F218" i="49"/>
  <c r="E218" i="49"/>
  <c r="D218" i="49"/>
  <c r="C218" i="49"/>
  <c r="F217" i="49"/>
  <c r="E217" i="49"/>
  <c r="D217" i="49"/>
  <c r="C217" i="49"/>
  <c r="F216" i="49"/>
  <c r="E216" i="49"/>
  <c r="D216" i="49"/>
  <c r="C216" i="49"/>
  <c r="F215" i="49"/>
  <c r="E215" i="49"/>
  <c r="D215" i="49"/>
  <c r="C215" i="49"/>
  <c r="F214" i="49"/>
  <c r="E214" i="49"/>
  <c r="D214" i="49"/>
  <c r="C214" i="49"/>
  <c r="F213" i="49"/>
  <c r="E213" i="49"/>
  <c r="D213" i="49"/>
  <c r="C213" i="49"/>
  <c r="F212" i="49"/>
  <c r="E212" i="49"/>
  <c r="D212" i="49"/>
  <c r="C212" i="49"/>
  <c r="F211" i="49"/>
  <c r="E211" i="49"/>
  <c r="D211" i="49"/>
  <c r="C211" i="49"/>
  <c r="F210" i="49"/>
  <c r="E210" i="49"/>
  <c r="D210" i="49"/>
  <c r="C210" i="49"/>
  <c r="F209" i="49"/>
  <c r="E209" i="49"/>
  <c r="D209" i="49"/>
  <c r="C209" i="49"/>
  <c r="F208" i="49"/>
  <c r="E208" i="49"/>
  <c r="D208" i="49"/>
  <c r="C208" i="49"/>
  <c r="F207" i="49"/>
  <c r="E207" i="49"/>
  <c r="D207" i="49"/>
  <c r="C207" i="49"/>
  <c r="F206" i="49"/>
  <c r="E206" i="49"/>
  <c r="D206" i="49"/>
  <c r="C206" i="49"/>
  <c r="F205" i="49"/>
  <c r="E205" i="49"/>
  <c r="D205" i="49"/>
  <c r="C205" i="49"/>
  <c r="F204" i="49"/>
  <c r="E204" i="49"/>
  <c r="D204" i="49"/>
  <c r="C204" i="49"/>
  <c r="F203" i="49"/>
  <c r="E203" i="49"/>
  <c r="D203" i="49"/>
  <c r="C203" i="49"/>
  <c r="F202" i="49"/>
  <c r="E202" i="49"/>
  <c r="D202" i="49"/>
  <c r="C202" i="49"/>
  <c r="F201" i="49"/>
  <c r="E201" i="49"/>
  <c r="D201" i="49"/>
  <c r="C201" i="49"/>
  <c r="F200" i="49"/>
  <c r="E200" i="49"/>
  <c r="D200" i="49"/>
  <c r="C200" i="49"/>
  <c r="F199" i="49"/>
  <c r="E199" i="49"/>
  <c r="D199" i="49"/>
  <c r="C199" i="49"/>
  <c r="F198" i="49"/>
  <c r="E198" i="49"/>
  <c r="D198" i="49"/>
  <c r="C198" i="49"/>
  <c r="F197" i="49"/>
  <c r="E197" i="49"/>
  <c r="D197" i="49"/>
  <c r="C197" i="49"/>
  <c r="F196" i="49"/>
  <c r="E196" i="49"/>
  <c r="D196" i="49"/>
  <c r="C196" i="49"/>
  <c r="F195" i="49"/>
  <c r="E195" i="49"/>
  <c r="D195" i="49"/>
  <c r="C195" i="49"/>
  <c r="F194" i="49"/>
  <c r="E194" i="49"/>
  <c r="D194" i="49"/>
  <c r="C194" i="49"/>
  <c r="F193" i="49"/>
  <c r="E193" i="49"/>
  <c r="D193" i="49"/>
  <c r="C193" i="49"/>
  <c r="F192" i="49"/>
  <c r="E192" i="49"/>
  <c r="D192" i="49"/>
  <c r="C192" i="49"/>
  <c r="F191" i="49"/>
  <c r="E191" i="49"/>
  <c r="D191" i="49"/>
  <c r="C191" i="49"/>
  <c r="F190" i="49"/>
  <c r="E190" i="49"/>
  <c r="D190" i="49"/>
  <c r="C190" i="49"/>
  <c r="F189" i="49"/>
  <c r="E189" i="49"/>
  <c r="D189" i="49"/>
  <c r="C189" i="49"/>
  <c r="F188" i="49"/>
  <c r="E188" i="49"/>
  <c r="D188" i="49"/>
  <c r="C188" i="49"/>
  <c r="F187" i="49"/>
  <c r="E187" i="49"/>
  <c r="D187" i="49"/>
  <c r="C187" i="49"/>
  <c r="F186" i="49"/>
  <c r="E186" i="49"/>
  <c r="D186" i="49"/>
  <c r="C186" i="49"/>
  <c r="F185" i="49"/>
  <c r="E185" i="49"/>
  <c r="D185" i="49"/>
  <c r="C185" i="49"/>
  <c r="F184" i="49"/>
  <c r="E184" i="49"/>
  <c r="D184" i="49"/>
  <c r="C184" i="49"/>
  <c r="F183" i="49"/>
  <c r="E183" i="49"/>
  <c r="D183" i="49"/>
  <c r="C183" i="49"/>
  <c r="F182" i="49"/>
  <c r="E182" i="49"/>
  <c r="D182" i="49"/>
  <c r="C182" i="49"/>
  <c r="F181" i="49"/>
  <c r="E181" i="49"/>
  <c r="D181" i="49"/>
  <c r="C181" i="49"/>
  <c r="F180" i="49"/>
  <c r="E180" i="49"/>
  <c r="D180" i="49"/>
  <c r="C180" i="49"/>
  <c r="F179" i="49"/>
  <c r="E179" i="49"/>
  <c r="D179" i="49"/>
  <c r="C179" i="49"/>
  <c r="F178" i="49"/>
  <c r="E178" i="49"/>
  <c r="D178" i="49"/>
  <c r="C178" i="49"/>
  <c r="F177" i="49"/>
  <c r="E177" i="49"/>
  <c r="D177" i="49"/>
  <c r="C177" i="49"/>
  <c r="F176" i="49"/>
  <c r="E176" i="49"/>
  <c r="D176" i="49"/>
  <c r="C176" i="49"/>
  <c r="F175" i="49"/>
  <c r="E175" i="49"/>
  <c r="D175" i="49"/>
  <c r="C175" i="49"/>
  <c r="F174" i="49"/>
  <c r="E174" i="49"/>
  <c r="D174" i="49"/>
  <c r="C174" i="49"/>
  <c r="F173" i="49"/>
  <c r="E173" i="49"/>
  <c r="D173" i="49"/>
  <c r="C173" i="49"/>
  <c r="F172" i="49"/>
  <c r="E172" i="49"/>
  <c r="D172" i="49"/>
  <c r="C172" i="49"/>
  <c r="F171" i="49"/>
  <c r="E171" i="49"/>
  <c r="D171" i="49"/>
  <c r="C171" i="49"/>
  <c r="F170" i="49"/>
  <c r="E170" i="49"/>
  <c r="D170" i="49"/>
  <c r="C170" i="49"/>
  <c r="F169" i="49"/>
  <c r="E169" i="49"/>
  <c r="D169" i="49"/>
  <c r="C169" i="49"/>
  <c r="F168" i="49"/>
  <c r="E168" i="49"/>
  <c r="D168" i="49"/>
  <c r="C168" i="49"/>
  <c r="F167" i="49"/>
  <c r="E167" i="49"/>
  <c r="D167" i="49"/>
  <c r="C167" i="49"/>
  <c r="F166" i="49"/>
  <c r="E166" i="49"/>
  <c r="D166" i="49"/>
  <c r="C166" i="49"/>
  <c r="F165" i="49"/>
  <c r="E165" i="49"/>
  <c r="D165" i="49"/>
  <c r="C165" i="49"/>
  <c r="F164" i="49"/>
  <c r="E164" i="49"/>
  <c r="D164" i="49"/>
  <c r="C164" i="49"/>
  <c r="F163" i="49"/>
  <c r="E163" i="49"/>
  <c r="D163" i="49"/>
  <c r="C163" i="49"/>
  <c r="F162" i="49"/>
  <c r="E162" i="49"/>
  <c r="D162" i="49"/>
  <c r="C162" i="49"/>
  <c r="F161" i="49"/>
  <c r="E161" i="49"/>
  <c r="D161" i="49"/>
  <c r="C161" i="49"/>
  <c r="F160" i="49"/>
  <c r="E160" i="49"/>
  <c r="D160" i="49"/>
  <c r="C160" i="49"/>
  <c r="F159" i="49"/>
  <c r="E159" i="49"/>
  <c r="D159" i="49"/>
  <c r="C159" i="49"/>
  <c r="F158" i="49"/>
  <c r="E158" i="49"/>
  <c r="D158" i="49"/>
  <c r="C158" i="49"/>
  <c r="F157" i="49"/>
  <c r="E157" i="49"/>
  <c r="D157" i="49"/>
  <c r="C157" i="49"/>
  <c r="F156" i="49"/>
  <c r="E156" i="49"/>
  <c r="D156" i="49"/>
  <c r="C156" i="49"/>
  <c r="F155" i="49"/>
  <c r="E155" i="49"/>
  <c r="D155" i="49"/>
  <c r="C155" i="49"/>
  <c r="F154" i="49"/>
  <c r="E154" i="49"/>
  <c r="D154" i="49"/>
  <c r="C154" i="49"/>
  <c r="F153" i="49"/>
  <c r="E153" i="49"/>
  <c r="D153" i="49"/>
  <c r="C153" i="49"/>
  <c r="F152" i="49"/>
  <c r="E152" i="49"/>
  <c r="D152" i="49"/>
  <c r="C152" i="49"/>
  <c r="F151" i="49"/>
  <c r="E151" i="49"/>
  <c r="D151" i="49"/>
  <c r="C151" i="49"/>
  <c r="F150" i="49"/>
  <c r="E150" i="49"/>
  <c r="D150" i="49"/>
  <c r="C150" i="49"/>
  <c r="F149" i="49"/>
  <c r="E149" i="49"/>
  <c r="D149" i="49"/>
  <c r="C149" i="49"/>
  <c r="F148" i="49"/>
  <c r="E148" i="49"/>
  <c r="D148" i="49"/>
  <c r="C148" i="49"/>
  <c r="F147" i="49"/>
  <c r="E147" i="49"/>
  <c r="D147" i="49"/>
  <c r="C147" i="49"/>
  <c r="F146" i="49"/>
  <c r="E146" i="49"/>
  <c r="D146" i="49"/>
  <c r="C146" i="49"/>
  <c r="F145" i="49"/>
  <c r="E145" i="49"/>
  <c r="D145" i="49"/>
  <c r="C145" i="49"/>
  <c r="F144" i="49"/>
  <c r="E144" i="49"/>
  <c r="D144" i="49"/>
  <c r="C144" i="49"/>
  <c r="F143" i="49"/>
  <c r="E143" i="49"/>
  <c r="D143" i="49"/>
  <c r="C143" i="49"/>
  <c r="F142" i="49"/>
  <c r="E142" i="49"/>
  <c r="D142" i="49"/>
  <c r="C142" i="49"/>
  <c r="F141" i="49"/>
  <c r="E141" i="49"/>
  <c r="D141" i="49"/>
  <c r="C141" i="49"/>
  <c r="F140" i="49"/>
  <c r="E140" i="49"/>
  <c r="D140" i="49"/>
  <c r="C140" i="49"/>
  <c r="F139" i="49"/>
  <c r="E139" i="49"/>
  <c r="D139" i="49"/>
  <c r="C139" i="49"/>
  <c r="F138" i="49"/>
  <c r="E138" i="49"/>
  <c r="D138" i="49"/>
  <c r="C138" i="49"/>
  <c r="F137" i="49"/>
  <c r="E137" i="49"/>
  <c r="D137" i="49"/>
  <c r="C137" i="49"/>
  <c r="F136" i="49"/>
  <c r="E136" i="49"/>
  <c r="D136" i="49"/>
  <c r="C136" i="49"/>
  <c r="F135" i="49"/>
  <c r="E135" i="49"/>
  <c r="D135" i="49"/>
  <c r="C135" i="49"/>
  <c r="F134" i="49"/>
  <c r="E134" i="49"/>
  <c r="D134" i="49"/>
  <c r="C134" i="49"/>
  <c r="F133" i="49"/>
  <c r="E133" i="49"/>
  <c r="D133" i="49"/>
  <c r="C133" i="49"/>
  <c r="F132" i="49"/>
  <c r="E132" i="49"/>
  <c r="D132" i="49"/>
  <c r="C132" i="49"/>
  <c r="F131" i="49"/>
  <c r="E131" i="49"/>
  <c r="D131" i="49"/>
  <c r="C131" i="49"/>
  <c r="AZ231" i="49"/>
  <c r="AP231" i="49"/>
  <c r="AK231" i="49"/>
  <c r="AF231" i="49"/>
  <c r="AA231" i="49"/>
  <c r="BI230" i="49"/>
  <c r="BI229" i="49"/>
  <c r="BM229" i="49"/>
  <c r="BI228" i="49"/>
  <c r="BM228" i="49"/>
  <c r="BI227" i="49"/>
  <c r="BI226" i="49"/>
  <c r="BM226" i="49"/>
  <c r="BQ226" i="49" s="1"/>
  <c r="BI225" i="49"/>
  <c r="BI224" i="49"/>
  <c r="BM224" i="49"/>
  <c r="BI223" i="49"/>
  <c r="BI222" i="49"/>
  <c r="BI221" i="49"/>
  <c r="BI220" i="49"/>
  <c r="BM220" i="49"/>
  <c r="BQ220" i="49" s="1"/>
  <c r="BI219" i="49"/>
  <c r="BM219" i="49"/>
  <c r="BI218" i="49"/>
  <c r="BM218" i="49"/>
  <c r="BI217" i="49"/>
  <c r="BI216" i="49"/>
  <c r="BM216" i="49"/>
  <c r="BI215" i="49"/>
  <c r="BI214" i="49"/>
  <c r="BI213" i="49"/>
  <c r="BI212" i="49"/>
  <c r="BI211" i="49"/>
  <c r="BI210" i="49"/>
  <c r="BI209" i="49"/>
  <c r="BI208" i="49"/>
  <c r="BI207" i="49"/>
  <c r="BI206" i="49"/>
  <c r="BI205" i="49"/>
  <c r="BI204" i="49"/>
  <c r="BI203" i="49"/>
  <c r="BI202" i="49"/>
  <c r="BI201" i="49"/>
  <c r="BI200" i="49"/>
  <c r="BI199" i="49"/>
  <c r="BI198" i="49"/>
  <c r="BI197" i="49"/>
  <c r="BI195" i="49"/>
  <c r="BI194" i="49"/>
  <c r="BI193" i="49"/>
  <c r="BI192" i="49"/>
  <c r="BI191" i="49"/>
  <c r="BI190" i="49"/>
  <c r="BI189" i="49"/>
  <c r="BM189" i="49"/>
  <c r="BM188" i="49"/>
  <c r="BI188" i="49"/>
  <c r="BM187" i="49"/>
  <c r="BI187" i="49"/>
  <c r="BM186" i="49"/>
  <c r="BI186" i="49"/>
  <c r="BM185" i="49"/>
  <c r="BI185" i="49"/>
  <c r="BM184" i="49"/>
  <c r="BI184" i="49"/>
  <c r="BM182" i="49"/>
  <c r="BI182" i="49"/>
  <c r="BM181" i="49"/>
  <c r="BI181" i="49"/>
  <c r="BQ181" i="49" s="1"/>
  <c r="BM180" i="49"/>
  <c r="BI180" i="49"/>
  <c r="BM179" i="49"/>
  <c r="BI179" i="49"/>
  <c r="BQ179" i="49" s="1"/>
  <c r="BM178" i="49"/>
  <c r="BI178" i="49"/>
  <c r="BM177" i="49"/>
  <c r="BI177" i="49"/>
  <c r="BQ177" i="49" s="1"/>
  <c r="BM176" i="49"/>
  <c r="BI176" i="49"/>
  <c r="BM175" i="49"/>
  <c r="BI175" i="49"/>
  <c r="BM174" i="49"/>
  <c r="BM173" i="49"/>
  <c r="BM172" i="49"/>
  <c r="BI172" i="49"/>
  <c r="BQ172" i="49" s="1"/>
  <c r="BM171" i="49"/>
  <c r="BI171" i="49"/>
  <c r="BM170" i="49"/>
  <c r="BI170" i="49"/>
  <c r="BQ170" i="49" s="1"/>
  <c r="BM169" i="49"/>
  <c r="BI169" i="49"/>
  <c r="BM168" i="49"/>
  <c r="BM167" i="49"/>
  <c r="BQ167" i="49" s="1"/>
  <c r="BM166" i="49"/>
  <c r="BM165" i="49"/>
  <c r="BM164" i="49"/>
  <c r="BM163" i="49"/>
  <c r="BI163" i="49"/>
  <c r="BM162" i="49"/>
  <c r="BM161" i="49"/>
  <c r="BM160" i="49"/>
  <c r="BI160" i="49"/>
  <c r="BM159" i="49"/>
  <c r="BI159" i="49"/>
  <c r="BM158" i="49"/>
  <c r="BI158" i="49"/>
  <c r="BM157" i="49"/>
  <c r="BI157" i="49"/>
  <c r="BM156" i="49"/>
  <c r="BQ156" i="49" s="1"/>
  <c r="BI156" i="49"/>
  <c r="BM155" i="49"/>
  <c r="BI155" i="49"/>
  <c r="BM154" i="49"/>
  <c r="BI154" i="49"/>
  <c r="BM153" i="49"/>
  <c r="BI153" i="49"/>
  <c r="BM152" i="49"/>
  <c r="BQ152" i="49" s="1"/>
  <c r="BI152" i="49"/>
  <c r="BM151" i="49"/>
  <c r="BI151" i="49"/>
  <c r="BM150" i="49"/>
  <c r="BI150" i="49"/>
  <c r="BM149" i="49"/>
  <c r="BI149" i="49"/>
  <c r="BM148" i="49"/>
  <c r="BI148" i="49"/>
  <c r="BM147" i="49"/>
  <c r="BI147" i="49"/>
  <c r="BM146" i="49"/>
  <c r="BI146" i="49"/>
  <c r="BM145" i="49"/>
  <c r="BI145" i="49"/>
  <c r="BM144" i="49"/>
  <c r="BQ144" i="49" s="1"/>
  <c r="BI144" i="49"/>
  <c r="BM143" i="49"/>
  <c r="BI143" i="49"/>
  <c r="BM142" i="49"/>
  <c r="BM141" i="49"/>
  <c r="BI141" i="49"/>
  <c r="BM140" i="49"/>
  <c r="BI140" i="49"/>
  <c r="BQ140" i="49" s="1"/>
  <c r="BM139" i="49"/>
  <c r="BI139" i="49"/>
  <c r="BM138" i="49"/>
  <c r="BI137" i="49"/>
  <c r="BI136" i="49"/>
  <c r="BM135" i="49"/>
  <c r="BI135" i="49"/>
  <c r="BM134" i="49"/>
  <c r="BQ134" i="49" s="1"/>
  <c r="BI134" i="49"/>
  <c r="BM133" i="49"/>
  <c r="BI133" i="49"/>
  <c r="BI132" i="49"/>
  <c r="BM131" i="49"/>
  <c r="BI131" i="49"/>
  <c r="F2036" i="50"/>
  <c r="BM206" i="49"/>
  <c r="BE231" i="49"/>
  <c r="BM204" i="49"/>
  <c r="BM215" i="49"/>
  <c r="BM212" i="49"/>
  <c r="BM210" i="49"/>
  <c r="BM136" i="49"/>
  <c r="BI142" i="49"/>
  <c r="BI174" i="49"/>
  <c r="BI183" i="49"/>
  <c r="BM191" i="49"/>
  <c r="BI164" i="49"/>
  <c r="BQ164" i="49" s="1"/>
  <c r="BI165" i="49"/>
  <c r="BM183" i="49"/>
  <c r="BQ183" i="49" s="1"/>
  <c r="BM205" i="49"/>
  <c r="BI161" i="49"/>
  <c r="BM209" i="49"/>
  <c r="AU231" i="49"/>
  <c r="BI162" i="49"/>
  <c r="BI173" i="49"/>
  <c r="BI166" i="49"/>
  <c r="BQ166" i="49" s="1"/>
  <c r="BM190" i="49"/>
  <c r="BM193" i="49"/>
  <c r="BM194" i="49"/>
  <c r="BM201" i="49"/>
  <c r="BI168" i="49"/>
  <c r="BQ168" i="49" s="1"/>
  <c r="BM197" i="49"/>
  <c r="BM198" i="49"/>
  <c r="BM202" i="49"/>
  <c r="BM207" i="49"/>
  <c r="BM208" i="49"/>
  <c r="BM211" i="49"/>
  <c r="BM214" i="49"/>
  <c r="BM217" i="49"/>
  <c r="BM227" i="49"/>
  <c r="BM195" i="49"/>
  <c r="BQ195" i="49" s="1"/>
  <c r="BM199" i="49"/>
  <c r="BM203" i="49"/>
  <c r="BM192" i="49"/>
  <c r="BM200" i="49"/>
  <c r="BM213" i="49"/>
  <c r="BM222" i="49"/>
  <c r="BM223" i="49"/>
  <c r="BM230" i="49"/>
  <c r="BM221" i="49"/>
  <c r="BM225" i="49"/>
  <c r="D412" i="50"/>
  <c r="D398" i="50"/>
  <c r="D404" i="50" s="1"/>
  <c r="D391" i="50"/>
  <c r="BL358" i="49"/>
  <c r="BI358" i="49"/>
  <c r="AJ228" i="49"/>
  <c r="AJ207" i="49"/>
  <c r="AJ200" i="49"/>
  <c r="AT193" i="49"/>
  <c r="AY187" i="49"/>
  <c r="R1843" i="50" s="1"/>
  <c r="K175" i="49"/>
  <c r="AE172" i="49"/>
  <c r="AT169" i="49"/>
  <c r="AE167" i="49"/>
  <c r="K166" i="49"/>
  <c r="AT164" i="49"/>
  <c r="AT163" i="49"/>
  <c r="AF1674" i="50" s="1"/>
  <c r="AT159" i="49"/>
  <c r="AS159" i="49" s="1"/>
  <c r="Z157" i="49"/>
  <c r="AJ156" i="49"/>
  <c r="P156" i="49"/>
  <c r="AF1622" i="50" s="1"/>
  <c r="AT153" i="49"/>
  <c r="Z153" i="49"/>
  <c r="P228" i="49"/>
  <c r="AY225" i="49"/>
  <c r="AX225" i="49" s="1"/>
  <c r="AO220" i="49"/>
  <c r="AN220" i="49" s="1"/>
  <c r="BD217" i="49"/>
  <c r="BD213" i="49"/>
  <c r="K213" i="49"/>
  <c r="AJ208" i="49"/>
  <c r="K207" i="49"/>
  <c r="AO204" i="49"/>
  <c r="K200" i="49"/>
  <c r="J200" i="49" s="1"/>
  <c r="AY197" i="49"/>
  <c r="AX197" i="49" s="1"/>
  <c r="BD196" i="49"/>
  <c r="P196" i="49"/>
  <c r="AF1902" i="50" s="1"/>
  <c r="AY191" i="49"/>
  <c r="R1871" i="50" s="1"/>
  <c r="AJ188" i="49"/>
  <c r="AE186" i="49"/>
  <c r="R1834" i="50" s="1"/>
  <c r="AT186" i="49"/>
  <c r="AT185" i="49"/>
  <c r="U184" i="49"/>
  <c r="Z183" i="49"/>
  <c r="AO181" i="49"/>
  <c r="Z179" i="49"/>
  <c r="Z177" i="49"/>
  <c r="Z176" i="49"/>
  <c r="AF1763" i="50" s="1"/>
  <c r="BD175" i="49"/>
  <c r="U172" i="49"/>
  <c r="BD172" i="49"/>
  <c r="BC172" i="49" s="1"/>
  <c r="BD169" i="49"/>
  <c r="AO168" i="49"/>
  <c r="AY165" i="49"/>
  <c r="AJ163" i="49"/>
  <c r="Z160" i="49"/>
  <c r="AE159" i="49"/>
  <c r="U156" i="49"/>
  <c r="Z154" i="49"/>
  <c r="AF1609" i="50" s="1"/>
  <c r="K154" i="49"/>
  <c r="BD152" i="49"/>
  <c r="P152" i="49"/>
  <c r="O152" i="49" s="1"/>
  <c r="BD151" i="49"/>
  <c r="AF1591" i="50" s="1"/>
  <c r="AJ149" i="49"/>
  <c r="K147" i="49"/>
  <c r="BD145" i="49"/>
  <c r="BC145" i="49" s="1"/>
  <c r="BD144" i="49"/>
  <c r="AF1542" i="50" s="1"/>
  <c r="BD143" i="49"/>
  <c r="U142" i="49"/>
  <c r="AO140" i="49"/>
  <c r="AO139" i="49"/>
  <c r="Z136" i="49"/>
  <c r="Z134" i="49"/>
  <c r="U131" i="49"/>
  <c r="AE230" i="49"/>
  <c r="P229" i="49"/>
  <c r="K228" i="49"/>
  <c r="J228" i="49" s="1"/>
  <c r="AE227" i="49"/>
  <c r="AE224" i="49"/>
  <c r="AD224" i="49" s="1"/>
  <c r="AJ223" i="49"/>
  <c r="Z222" i="49"/>
  <c r="P221" i="49"/>
  <c r="AO219" i="49"/>
  <c r="AN219" i="49" s="1"/>
  <c r="AO217" i="49"/>
  <c r="AJ215" i="49"/>
  <c r="K215" i="49"/>
  <c r="AE212" i="49"/>
  <c r="AD212" i="49" s="1"/>
  <c r="AO210" i="49"/>
  <c r="AN210" i="49" s="1"/>
  <c r="P210" i="49"/>
  <c r="AT207" i="49"/>
  <c r="AY206" i="49"/>
  <c r="R1976" i="50" s="1"/>
  <c r="BD201" i="49"/>
  <c r="AE198" i="49"/>
  <c r="BD193" i="49"/>
  <c r="P193" i="49"/>
  <c r="AJ190" i="49"/>
  <c r="U187" i="49"/>
  <c r="K185" i="49"/>
  <c r="J185" i="49" s="1"/>
  <c r="P184" i="49"/>
  <c r="U183" i="49"/>
  <c r="T183" i="49" s="1"/>
  <c r="Z180" i="49"/>
  <c r="AY175" i="49"/>
  <c r="AY174" i="49"/>
  <c r="AY169" i="49"/>
  <c r="P164" i="49"/>
  <c r="BD164" i="49"/>
  <c r="AE158" i="49"/>
  <c r="AT156" i="49"/>
  <c r="U154" i="49"/>
  <c r="AO151" i="49"/>
  <c r="P149" i="49"/>
  <c r="O149" i="49" s="1"/>
  <c r="AY148" i="49"/>
  <c r="AO147" i="49"/>
  <c r="BD146" i="49"/>
  <c r="BC146" i="49" s="1"/>
  <c r="AE145" i="49"/>
  <c r="AO144" i="49"/>
  <c r="AN144" i="49" s="1"/>
  <c r="AE143" i="49"/>
  <c r="P142" i="49"/>
  <c r="AT141" i="49"/>
  <c r="AS141" i="49" s="1"/>
  <c r="AJ140" i="49"/>
  <c r="AF1512" i="50" s="1"/>
  <c r="AD1512" i="50" s="1"/>
  <c r="AT138" i="49"/>
  <c r="U137" i="49"/>
  <c r="T137" i="49" s="1"/>
  <c r="BD135" i="49"/>
  <c r="AF1479" i="50" s="1"/>
  <c r="U134" i="49"/>
  <c r="T134" i="49" s="1"/>
  <c r="K132" i="49"/>
  <c r="AJ131" i="49"/>
  <c r="AY230" i="49"/>
  <c r="AY229" i="49"/>
  <c r="R2137" i="50" s="1"/>
  <c r="N2137" i="50" s="1"/>
  <c r="N2852" i="50" s="1"/>
  <c r="N3566" i="50" s="1"/>
  <c r="AY228" i="49"/>
  <c r="K224" i="49"/>
  <c r="AE221" i="49"/>
  <c r="Z220" i="49"/>
  <c r="AJ219" i="49"/>
  <c r="AF2065" i="50" s="1"/>
  <c r="V2065" i="50" s="1"/>
  <c r="AJ217" i="49"/>
  <c r="AF2051" i="50" s="1"/>
  <c r="AT216" i="49"/>
  <c r="AS216" i="49" s="1"/>
  <c r="P216" i="49"/>
  <c r="AF2042" i="50" s="1"/>
  <c r="T2042" i="50" s="1"/>
  <c r="BD215" i="49"/>
  <c r="AE211" i="49"/>
  <c r="AD211" i="49" s="1"/>
  <c r="P209" i="49"/>
  <c r="AO207" i="49"/>
  <c r="AN207" i="49" s="1"/>
  <c r="AO206" i="49"/>
  <c r="R1975" i="50" s="1"/>
  <c r="BD205" i="49"/>
  <c r="AF1969" i="50" s="1"/>
  <c r="BD204" i="49"/>
  <c r="K201" i="49"/>
  <c r="J201" i="49" s="1"/>
  <c r="AT197" i="49"/>
  <c r="AF1912" i="50" s="1"/>
  <c r="AY193" i="49"/>
  <c r="AT192" i="49"/>
  <c r="AJ191" i="49"/>
  <c r="Z188" i="49"/>
  <c r="P187" i="49"/>
  <c r="K184" i="49"/>
  <c r="J184" i="49" s="1"/>
  <c r="AE182" i="49"/>
  <c r="AD182" i="49" s="1"/>
  <c r="AJ178" i="49"/>
  <c r="AT171" i="49"/>
  <c r="AS171" i="49" s="1"/>
  <c r="AF1730" i="50"/>
  <c r="U170" i="49"/>
  <c r="T170" i="49" s="1"/>
  <c r="AE168" i="49"/>
  <c r="U163" i="49"/>
  <c r="AT162" i="49"/>
  <c r="AY158" i="49"/>
  <c r="R1640" i="50" s="1"/>
  <c r="U157" i="49"/>
  <c r="T157" i="49" s="1"/>
  <c r="AJ155" i="49"/>
  <c r="AO154" i="49"/>
  <c r="AN154" i="49" s="1"/>
  <c r="AY153" i="49"/>
  <c r="AY151" i="49"/>
  <c r="AX151" i="49" s="1"/>
  <c r="P151" i="49"/>
  <c r="P150" i="49"/>
  <c r="O150" i="49" s="1"/>
  <c r="Z149" i="49"/>
  <c r="AF1574" i="50" s="1"/>
  <c r="V1574" i="50" s="1"/>
  <c r="AY147" i="49"/>
  <c r="R1563" i="50" s="1"/>
  <c r="AT143" i="49"/>
  <c r="AF1534" i="50" s="1"/>
  <c r="AE140" i="49"/>
  <c r="P139" i="49"/>
  <c r="AO138" i="49"/>
  <c r="AN138" i="49" s="1"/>
  <c r="AJ136" i="49"/>
  <c r="AI136" i="49" s="1"/>
  <c r="AY135" i="49"/>
  <c r="BD134" i="49"/>
  <c r="AF1472" i="50" s="1"/>
  <c r="AD1472" i="50" s="1"/>
  <c r="AT133" i="49"/>
  <c r="AO132" i="49"/>
  <c r="AE131" i="49"/>
  <c r="K230" i="49"/>
  <c r="AT229" i="49"/>
  <c r="AF2136" i="50" s="1"/>
  <c r="Z229" i="49"/>
  <c r="AO228" i="49"/>
  <c r="AN228" i="49" s="1"/>
  <c r="K227" i="49"/>
  <c r="J227" i="49" s="1"/>
  <c r="K226" i="49"/>
  <c r="AO224" i="49"/>
  <c r="AY223" i="49"/>
  <c r="AX223" i="49" s="1"/>
  <c r="AY222" i="49"/>
  <c r="AJ222" i="49"/>
  <c r="AF2086" i="50" s="1"/>
  <c r="X2086" i="50" s="1"/>
  <c r="AY219" i="49"/>
  <c r="P219" i="49"/>
  <c r="Z218" i="49"/>
  <c r="AY215" i="49"/>
  <c r="AY214" i="49"/>
  <c r="AX214" i="49" s="1"/>
  <c r="AO214" i="49"/>
  <c r="AN214" i="49" s="1"/>
  <c r="AO212" i="49"/>
  <c r="AY211" i="49"/>
  <c r="R2011" i="50" s="1"/>
  <c r="BD210" i="49"/>
  <c r="AE210" i="49"/>
  <c r="K209" i="49"/>
  <c r="J209" i="49" s="1"/>
  <c r="P208" i="49"/>
  <c r="AY205" i="49"/>
  <c r="BD203" i="49"/>
  <c r="AF1955" i="50" s="1"/>
  <c r="AE203" i="49"/>
  <c r="AD203" i="49" s="1"/>
  <c r="BD202" i="49"/>
  <c r="BC202" i="49" s="1"/>
  <c r="AE202" i="49"/>
  <c r="AO200" i="49"/>
  <c r="AE199" i="49"/>
  <c r="P198" i="49"/>
  <c r="P197" i="49"/>
  <c r="AO195" i="49"/>
  <c r="AO192" i="49"/>
  <c r="BD191" i="49"/>
  <c r="Z190" i="49"/>
  <c r="P188" i="49"/>
  <c r="AJ187" i="49"/>
  <c r="AI187" i="49" s="1"/>
  <c r="AT184" i="49"/>
  <c r="AE183" i="49"/>
  <c r="R1813" i="50" s="1"/>
  <c r="Z182" i="49"/>
  <c r="Z181" i="49"/>
  <c r="AE178" i="49"/>
  <c r="AD178" i="49" s="1"/>
  <c r="K177" i="49"/>
  <c r="J177" i="49" s="1"/>
  <c r="AO175" i="49"/>
  <c r="P174" i="49"/>
  <c r="AE173" i="49"/>
  <c r="AD173" i="49" s="1"/>
  <c r="AO170" i="49"/>
  <c r="AY168" i="49"/>
  <c r="U168" i="49"/>
  <c r="T168" i="49" s="1"/>
  <c r="AO167" i="49"/>
  <c r="AN167" i="49" s="1"/>
  <c r="AT166" i="49"/>
  <c r="U166" i="49"/>
  <c r="T166" i="49" s="1"/>
  <c r="AJ165" i="49"/>
  <c r="AF1687" i="50" s="1"/>
  <c r="P165" i="49"/>
  <c r="O165" i="49" s="1"/>
  <c r="AE164" i="49"/>
  <c r="AD164" i="49" s="1"/>
  <c r="AO163" i="49"/>
  <c r="P163" i="49"/>
  <c r="AF1671" i="50" s="1"/>
  <c r="AE162" i="49"/>
  <c r="P162" i="49"/>
  <c r="BD161" i="49"/>
  <c r="AJ161" i="49"/>
  <c r="AF1659" i="50" s="1"/>
  <c r="K161" i="49"/>
  <c r="BD159" i="49"/>
  <c r="AJ159" i="49"/>
  <c r="AI159" i="49" s="1"/>
  <c r="P159" i="49"/>
  <c r="O159" i="49" s="1"/>
  <c r="AO158" i="49"/>
  <c r="R1639" i="50" s="1"/>
  <c r="P158" i="49"/>
  <c r="AJ157" i="49"/>
  <c r="P157" i="49"/>
  <c r="AF1629" i="50" s="1"/>
  <c r="AD1629" i="50" s="1"/>
  <c r="AE156" i="49"/>
  <c r="AD156" i="49" s="1"/>
  <c r="K156" i="49"/>
  <c r="AY155" i="49"/>
  <c r="AE155" i="49"/>
  <c r="AD155" i="49" s="1"/>
  <c r="BD154" i="49"/>
  <c r="AJ154" i="49"/>
  <c r="AO153" i="49"/>
  <c r="AN153" i="49" s="1"/>
  <c r="P153" i="49"/>
  <c r="O153" i="49" s="1"/>
  <c r="K152" i="49"/>
  <c r="AE151" i="49"/>
  <c r="AT150" i="49"/>
  <c r="Z150" i="49"/>
  <c r="AF1581" i="50" s="1"/>
  <c r="Z1581" i="50" s="1"/>
  <c r="AO149" i="49"/>
  <c r="U149" i="49"/>
  <c r="K149" i="49"/>
  <c r="J149" i="49" s="1"/>
  <c r="AO148" i="49"/>
  <c r="R1569" i="50" s="1"/>
  <c r="U148" i="49"/>
  <c r="AE147" i="49"/>
  <c r="AY146" i="49"/>
  <c r="AX146" i="49" s="1"/>
  <c r="AE146" i="49"/>
  <c r="AD146" i="49" s="1"/>
  <c r="K146" i="49"/>
  <c r="AO145" i="49"/>
  <c r="AN145" i="49" s="1"/>
  <c r="K145" i="49"/>
  <c r="AT144" i="49"/>
  <c r="AF1541" i="50" s="1"/>
  <c r="AE144" i="49"/>
  <c r="P144" i="49"/>
  <c r="AO143" i="49"/>
  <c r="U143" i="49"/>
  <c r="T143" i="49" s="1"/>
  <c r="AT142" i="49"/>
  <c r="AS142" i="49" s="1"/>
  <c r="Z142" i="49"/>
  <c r="BD141" i="49"/>
  <c r="AJ141" i="49"/>
  <c r="AF1519" i="50" s="1"/>
  <c r="U141" i="49"/>
  <c r="T141" i="49" s="1"/>
  <c r="AT140" i="49"/>
  <c r="AF1513" i="50" s="1"/>
  <c r="Z140" i="49"/>
  <c r="AT139" i="49"/>
  <c r="AF1506" i="50" s="1"/>
  <c r="Z139" i="49"/>
  <c r="AF1504" i="50" s="1"/>
  <c r="BD138" i="49"/>
  <c r="AJ138" i="49"/>
  <c r="AI138" i="49" s="1"/>
  <c r="P138" i="49"/>
  <c r="AY137" i="49"/>
  <c r="AE137" i="49"/>
  <c r="K137" i="49"/>
  <c r="BD136" i="49"/>
  <c r="AF1486" i="50" s="1"/>
  <c r="AE136" i="49"/>
  <c r="P136" i="49"/>
  <c r="AT135" i="49"/>
  <c r="AF1478" i="50" s="1"/>
  <c r="Z135" i="49"/>
  <c r="AY134" i="49"/>
  <c r="AE134" i="49"/>
  <c r="K134" i="49"/>
  <c r="AO133" i="49"/>
  <c r="AN133" i="49" s="1"/>
  <c r="Z133" i="49"/>
  <c r="K133" i="49"/>
  <c r="BD132" i="49"/>
  <c r="AJ132" i="49"/>
  <c r="AT131" i="49"/>
  <c r="AF1450" i="50" s="1"/>
  <c r="Z1450" i="50" s="1"/>
  <c r="Z131" i="49"/>
  <c r="AO222" i="49"/>
  <c r="R2087" i="50" s="1"/>
  <c r="N2087" i="50" s="1"/>
  <c r="AE220" i="49"/>
  <c r="K218" i="49"/>
  <c r="AE216" i="49"/>
  <c r="AY213" i="49"/>
  <c r="AY212" i="49"/>
  <c r="AX212" i="49" s="1"/>
  <c r="BD209" i="49"/>
  <c r="BC209" i="49" s="1"/>
  <c r="P205" i="49"/>
  <c r="AJ204" i="49"/>
  <c r="AT203" i="49"/>
  <c r="K203" i="49"/>
  <c r="J203" i="49" s="1"/>
  <c r="P202" i="49"/>
  <c r="AE200" i="49"/>
  <c r="AO199" i="49"/>
  <c r="AN199" i="49" s="1"/>
  <c r="AE196" i="49"/>
  <c r="AY195" i="49"/>
  <c r="K194" i="49"/>
  <c r="AJ193" i="49"/>
  <c r="BD190" i="49"/>
  <c r="K190" i="49"/>
  <c r="AJ189" i="49"/>
  <c r="AE188" i="49"/>
  <c r="AD188" i="49" s="1"/>
  <c r="AT187" i="49"/>
  <c r="AF1842" i="50" s="1"/>
  <c r="AD1842" i="50" s="1"/>
  <c r="AJ185" i="49"/>
  <c r="AO183" i="49"/>
  <c r="AJ182" i="49"/>
  <c r="AI182" i="49" s="1"/>
  <c r="BD181" i="49"/>
  <c r="BC181" i="49" s="1"/>
  <c r="P181" i="49"/>
  <c r="AY180" i="49"/>
  <c r="U179" i="49"/>
  <c r="AT178" i="49"/>
  <c r="AS178" i="49" s="1"/>
  <c r="P178" i="49"/>
  <c r="AY176" i="49"/>
  <c r="AE174" i="49"/>
  <c r="AD174" i="49" s="1"/>
  <c r="AT173" i="49"/>
  <c r="AS173" i="49" s="1"/>
  <c r="AY171" i="49"/>
  <c r="AY170" i="49"/>
  <c r="R1724" i="50" s="1"/>
  <c r="U169" i="49"/>
  <c r="T169" i="49" s="1"/>
  <c r="AJ168" i="49"/>
  <c r="K168" i="49"/>
  <c r="J168" i="49" s="1"/>
  <c r="Z167" i="49"/>
  <c r="AJ166" i="49"/>
  <c r="AT165" i="49"/>
  <c r="AO164" i="49"/>
  <c r="R1681" i="50" s="1"/>
  <c r="N1681" i="50" s="1"/>
  <c r="AE163" i="49"/>
  <c r="Z162" i="49"/>
  <c r="AT161" i="49"/>
  <c r="U160" i="49"/>
  <c r="AY159" i="49"/>
  <c r="R1647" i="50" s="1"/>
  <c r="U159" i="49"/>
  <c r="T159" i="49" s="1"/>
  <c r="BD158" i="49"/>
  <c r="AT157" i="49"/>
  <c r="AO155" i="49"/>
  <c r="AN155" i="49" s="1"/>
  <c r="AE153" i="49"/>
  <c r="AD153" i="49" s="1"/>
  <c r="U151" i="49"/>
  <c r="U150" i="49"/>
  <c r="AE149" i="49"/>
  <c r="AD149" i="49" s="1"/>
  <c r="AE148" i="49"/>
  <c r="R1568" i="50" s="1"/>
  <c r="F1568" i="50" s="1"/>
  <c r="BD147" i="49"/>
  <c r="U147" i="49"/>
  <c r="AO146" i="49"/>
  <c r="AN146" i="49" s="1"/>
  <c r="AY145" i="49"/>
  <c r="P145" i="49"/>
  <c r="O145" i="49" s="1"/>
  <c r="U144" i="49"/>
  <c r="T144" i="49" s="1"/>
  <c r="AY143" i="49"/>
  <c r="K143" i="49"/>
  <c r="J143" i="49" s="1"/>
  <c r="Z143" i="49"/>
  <c r="AJ142" i="49"/>
  <c r="BD140" i="49"/>
  <c r="BC140" i="49" s="1"/>
  <c r="P140" i="49"/>
  <c r="AF1510" i="50" s="1"/>
  <c r="Z1510" i="50" s="1"/>
  <c r="AJ139" i="49"/>
  <c r="Z138" i="49"/>
  <c r="AO136" i="49"/>
  <c r="AJ135" i="49"/>
  <c r="AY133" i="49"/>
  <c r="P133" i="49"/>
  <c r="AF1461" i="50" s="1"/>
  <c r="T1461" i="50" s="1"/>
  <c r="Z132" i="49"/>
  <c r="Y132" i="49" s="1"/>
  <c r="BD131" i="49"/>
  <c r="AJ225" i="49"/>
  <c r="AF2107" i="50" s="1"/>
  <c r="T2107" i="50" s="1"/>
  <c r="AE223" i="49"/>
  <c r="K223" i="49"/>
  <c r="J223" i="49" s="1"/>
  <c r="AY221" i="49"/>
  <c r="AX221" i="49" s="1"/>
  <c r="P217" i="49"/>
  <c r="AE215" i="49"/>
  <c r="AD215" i="49" s="1"/>
  <c r="BD211" i="49"/>
  <c r="AJ210" i="49"/>
  <c r="AI210" i="49" s="1"/>
  <c r="AO209" i="49"/>
  <c r="AN209" i="49" s="1"/>
  <c r="K205" i="49"/>
  <c r="AO203" i="49"/>
  <c r="AJ202" i="49"/>
  <c r="K202" i="49"/>
  <c r="J202" i="49" s="1"/>
  <c r="AT200" i="49"/>
  <c r="AY198" i="49"/>
  <c r="AT196" i="49"/>
  <c r="K191" i="49"/>
  <c r="P191" i="49"/>
  <c r="BD189" i="49"/>
  <c r="Z189" i="49"/>
  <c r="AY188" i="49"/>
  <c r="R1850" i="50" s="1"/>
  <c r="AO187" i="49"/>
  <c r="AE185" i="49"/>
  <c r="BD184" i="49"/>
  <c r="AJ183" i="49"/>
  <c r="BD182" i="49"/>
  <c r="K182" i="49"/>
  <c r="AT181" i="49"/>
  <c r="AT180" i="49"/>
  <c r="P180" i="49"/>
  <c r="O180" i="49" s="1"/>
  <c r="AO179" i="49"/>
  <c r="AN179" i="49" s="1"/>
  <c r="P179" i="49"/>
  <c r="AT175" i="49"/>
  <c r="Z175" i="49"/>
  <c r="AT174" i="49"/>
  <c r="P169" i="49"/>
  <c r="BD168" i="49"/>
  <c r="AT167" i="49"/>
  <c r="AS167" i="49" s="1"/>
  <c r="Z166" i="49"/>
  <c r="U165" i="49"/>
  <c r="T165" i="49" s="1"/>
  <c r="AY163" i="49"/>
  <c r="U162" i="49"/>
  <c r="T162" i="49" s="1"/>
  <c r="P161" i="49"/>
  <c r="O161" i="49" s="1"/>
  <c r="AO160" i="49"/>
  <c r="U158" i="49"/>
  <c r="T158" i="49" s="1"/>
  <c r="BD155" i="49"/>
  <c r="AY152" i="49"/>
  <c r="AE152" i="49"/>
  <c r="AD152" i="49" s="1"/>
  <c r="AY150" i="49"/>
  <c r="Z148" i="49"/>
  <c r="AJ147" i="49"/>
  <c r="AJ146" i="49"/>
  <c r="AF1554" i="50" s="1"/>
  <c r="AY144" i="49"/>
  <c r="AJ144" i="49"/>
  <c r="AI144" i="49" s="1"/>
  <c r="AE142" i="49"/>
  <c r="AO141" i="49"/>
  <c r="AN141" i="49" s="1"/>
  <c r="Z141" i="49"/>
  <c r="AF1518" i="50" s="1"/>
  <c r="AY140" i="49"/>
  <c r="R1514" i="50" s="1"/>
  <c r="AY139" i="49"/>
  <c r="BD137" i="49"/>
  <c r="AF1493" i="50" s="1"/>
  <c r="K135" i="49"/>
  <c r="J135" i="49" s="1"/>
  <c r="AJ134" i="49"/>
  <c r="AY131" i="49"/>
  <c r="P204" i="49"/>
  <c r="O204" i="49" s="1"/>
  <c r="AT136" i="49"/>
  <c r="K174" i="49"/>
  <c r="K183" i="49"/>
  <c r="R1811" i="50" s="1"/>
  <c r="P1811" i="50" s="1"/>
  <c r="AT205" i="49"/>
  <c r="K167" i="49"/>
  <c r="AT202" i="49"/>
  <c r="AT204" i="49"/>
  <c r="AS204" i="49" s="1"/>
  <c r="AT225" i="49"/>
  <c r="P222" i="49"/>
  <c r="AT228" i="49"/>
  <c r="P230" i="49"/>
  <c r="O230" i="49" s="1"/>
  <c r="AT230" i="49"/>
  <c r="AF2143" i="50" s="1"/>
  <c r="P212" i="49"/>
  <c r="AF2014" i="50" s="1"/>
  <c r="AT183" i="49"/>
  <c r="K165" i="49"/>
  <c r="R1685" i="50" s="1"/>
  <c r="AT199" i="49"/>
  <c r="BD200" i="49"/>
  <c r="BC200" i="49" s="1"/>
  <c r="AT194" i="49"/>
  <c r="BD198" i="49"/>
  <c r="BC198" i="49" s="1"/>
  <c r="BD218" i="49"/>
  <c r="BC218" i="49" s="1"/>
  <c r="AT213" i="49"/>
  <c r="P227" i="49"/>
  <c r="P218" i="49"/>
  <c r="K140" i="49"/>
  <c r="J140" i="49" s="1"/>
  <c r="K164" i="49"/>
  <c r="K169" i="49"/>
  <c r="K178" i="49"/>
  <c r="AT209" i="49"/>
  <c r="AF1996" i="50" s="1"/>
  <c r="AD1996" i="50" s="1"/>
  <c r="AT206" i="49"/>
  <c r="AT198" i="49"/>
  <c r="AS198" i="49" s="1"/>
  <c r="P207" i="49"/>
  <c r="P211" i="49"/>
  <c r="AF2007" i="50" s="1"/>
  <c r="AD2007" i="50" s="1"/>
  <c r="AT217" i="49"/>
  <c r="BD214" i="49"/>
  <c r="BD228" i="49"/>
  <c r="AT191" i="49"/>
  <c r="AF1870" i="50" s="1"/>
  <c r="BD194" i="49"/>
  <c r="AT227" i="49"/>
  <c r="BD220" i="49"/>
  <c r="BC220" i="49" s="1"/>
  <c r="P226" i="49"/>
  <c r="K173" i="49"/>
  <c r="BD226" i="49"/>
  <c r="K131" i="49"/>
  <c r="R1447" i="50" s="1"/>
  <c r="F1447" i="50" s="1"/>
  <c r="AT208" i="49"/>
  <c r="P214" i="49"/>
  <c r="BD229" i="49"/>
  <c r="BD224" i="49"/>
  <c r="C6" i="70"/>
  <c r="E1425" i="50"/>
  <c r="E1424" i="50"/>
  <c r="E1423" i="50"/>
  <c r="E1422" i="50"/>
  <c r="E1421" i="50"/>
  <c r="E1418" i="50"/>
  <c r="E1417" i="50"/>
  <c r="E1416" i="50"/>
  <c r="E1415" i="50"/>
  <c r="E1414" i="50"/>
  <c r="E1411" i="50"/>
  <c r="E1410" i="50"/>
  <c r="E1409" i="50"/>
  <c r="E1408" i="50"/>
  <c r="E1407" i="50"/>
  <c r="E1404" i="50"/>
  <c r="E1403" i="50"/>
  <c r="E1402" i="50"/>
  <c r="E1401" i="50"/>
  <c r="E1400" i="50"/>
  <c r="E1397" i="50"/>
  <c r="E1396" i="50"/>
  <c r="E1395" i="50"/>
  <c r="E1394" i="50"/>
  <c r="E1393" i="50"/>
  <c r="E1390" i="50"/>
  <c r="E1389" i="50"/>
  <c r="E1388" i="50"/>
  <c r="E1387" i="50"/>
  <c r="E1386" i="50"/>
  <c r="E1383" i="50"/>
  <c r="E1382" i="50"/>
  <c r="E1381" i="50"/>
  <c r="E1380" i="50"/>
  <c r="E1379" i="50"/>
  <c r="E1376" i="50"/>
  <c r="E1375" i="50"/>
  <c r="E1374" i="50"/>
  <c r="E1373" i="50"/>
  <c r="E1372" i="50"/>
  <c r="E1369" i="50"/>
  <c r="E1368" i="50"/>
  <c r="E1367" i="50"/>
  <c r="E1366" i="50"/>
  <c r="E1365" i="50"/>
  <c r="E1362" i="50"/>
  <c r="E1361" i="50"/>
  <c r="E1360" i="50"/>
  <c r="E1359" i="50"/>
  <c r="E1358" i="50"/>
  <c r="E1355" i="50"/>
  <c r="E1354" i="50"/>
  <c r="E1353" i="50"/>
  <c r="E1352" i="50"/>
  <c r="E1351" i="50"/>
  <c r="E1348" i="50"/>
  <c r="E1347" i="50"/>
  <c r="E1346" i="50"/>
  <c r="E1345" i="50"/>
  <c r="E1344" i="50"/>
  <c r="E1341" i="50"/>
  <c r="E1340" i="50"/>
  <c r="E1339" i="50"/>
  <c r="E1338" i="50"/>
  <c r="E1337" i="50"/>
  <c r="E1334" i="50"/>
  <c r="E1333" i="50"/>
  <c r="E1332" i="50"/>
  <c r="E1331" i="50"/>
  <c r="E1330" i="50"/>
  <c r="E1327" i="50"/>
  <c r="E1326" i="50"/>
  <c r="E1325" i="50"/>
  <c r="E1324" i="50"/>
  <c r="E1323" i="50"/>
  <c r="E1320" i="50"/>
  <c r="E1319" i="50"/>
  <c r="E1318" i="50"/>
  <c r="E1317" i="50"/>
  <c r="E1316" i="50"/>
  <c r="E1313" i="50"/>
  <c r="E1312" i="50"/>
  <c r="E1311" i="50"/>
  <c r="E1310" i="50"/>
  <c r="E1309" i="50"/>
  <c r="E1306" i="50"/>
  <c r="E1305" i="50"/>
  <c r="E1304" i="50"/>
  <c r="E1303" i="50"/>
  <c r="E1302" i="50"/>
  <c r="E1299" i="50"/>
  <c r="E1298" i="50"/>
  <c r="E1297" i="50"/>
  <c r="E1296" i="50"/>
  <c r="E1295" i="50"/>
  <c r="E1292" i="50"/>
  <c r="E1291" i="50"/>
  <c r="E1290" i="50"/>
  <c r="E1289" i="50"/>
  <c r="E1288" i="50"/>
  <c r="E1285" i="50"/>
  <c r="E1284" i="50"/>
  <c r="E1283" i="50"/>
  <c r="E1282" i="50"/>
  <c r="E1281" i="50"/>
  <c r="E1278" i="50"/>
  <c r="E1277" i="50"/>
  <c r="E1276" i="50"/>
  <c r="E1275" i="50"/>
  <c r="E1274" i="50"/>
  <c r="E1271" i="50"/>
  <c r="E1270" i="50"/>
  <c r="E1269" i="50"/>
  <c r="E1268" i="50"/>
  <c r="E1267" i="50"/>
  <c r="E1264" i="50"/>
  <c r="E1263" i="50"/>
  <c r="E1262" i="50"/>
  <c r="E1261" i="50"/>
  <c r="E1260" i="50"/>
  <c r="E1257" i="50"/>
  <c r="E1256" i="50"/>
  <c r="E1255" i="50"/>
  <c r="E1254" i="50"/>
  <c r="E1253" i="50"/>
  <c r="E1250" i="50"/>
  <c r="E1249" i="50"/>
  <c r="E1248" i="50"/>
  <c r="E1247" i="50"/>
  <c r="E1246" i="50"/>
  <c r="E1243" i="50"/>
  <c r="E1242" i="50"/>
  <c r="E1241" i="50"/>
  <c r="E1240" i="50"/>
  <c r="E1239" i="50"/>
  <c r="E1236" i="50"/>
  <c r="E1235" i="50"/>
  <c r="E1234" i="50"/>
  <c r="E1233" i="50"/>
  <c r="E1232" i="50"/>
  <c r="E1229" i="50"/>
  <c r="E1228" i="50"/>
  <c r="E1227" i="50"/>
  <c r="E1226" i="50"/>
  <c r="E1225" i="50"/>
  <c r="E1222" i="50"/>
  <c r="E1221" i="50"/>
  <c r="E1220" i="50"/>
  <c r="E1219" i="50"/>
  <c r="E1218" i="50"/>
  <c r="E1215" i="50"/>
  <c r="E1214" i="50"/>
  <c r="E1213" i="50"/>
  <c r="E1212" i="50"/>
  <c r="E1211" i="50"/>
  <c r="E1208" i="50"/>
  <c r="E1207" i="50"/>
  <c r="E1206" i="50"/>
  <c r="E1205" i="50"/>
  <c r="E1204" i="50"/>
  <c r="E1201" i="50"/>
  <c r="E1200" i="50"/>
  <c r="E1199" i="50"/>
  <c r="E1198" i="50"/>
  <c r="E1197" i="50"/>
  <c r="E1194" i="50"/>
  <c r="E1193" i="50"/>
  <c r="E1192" i="50"/>
  <c r="E1191" i="50"/>
  <c r="E1190" i="50"/>
  <c r="E1187" i="50"/>
  <c r="E1186" i="50"/>
  <c r="E1185" i="50"/>
  <c r="E1184" i="50"/>
  <c r="E1183" i="50"/>
  <c r="E1180" i="50"/>
  <c r="E1179" i="50"/>
  <c r="E1178" i="50"/>
  <c r="E1177" i="50"/>
  <c r="E1176" i="50"/>
  <c r="E1173" i="50"/>
  <c r="E1172" i="50"/>
  <c r="E1171" i="50"/>
  <c r="E1170" i="50"/>
  <c r="E1169" i="50"/>
  <c r="E1166" i="50"/>
  <c r="E1165" i="50"/>
  <c r="E1164" i="50"/>
  <c r="E1163" i="50"/>
  <c r="E1162" i="50"/>
  <c r="E1159" i="50"/>
  <c r="E1158" i="50"/>
  <c r="E1157" i="50"/>
  <c r="E1156" i="50"/>
  <c r="E1155" i="50"/>
  <c r="E1152" i="50"/>
  <c r="E1151" i="50"/>
  <c r="E1150" i="50"/>
  <c r="E1149" i="50"/>
  <c r="E1148" i="50"/>
  <c r="E1145" i="50"/>
  <c r="E1144" i="50"/>
  <c r="E1143" i="50"/>
  <c r="E1142" i="50"/>
  <c r="E1141" i="50"/>
  <c r="E1138" i="50"/>
  <c r="E1137" i="50"/>
  <c r="E1136" i="50"/>
  <c r="E1135" i="50"/>
  <c r="E1134" i="50"/>
  <c r="E1131" i="50"/>
  <c r="E1130" i="50"/>
  <c r="E1129" i="50"/>
  <c r="E1128" i="50"/>
  <c r="E1127" i="50"/>
  <c r="BM73" i="49"/>
  <c r="E1124" i="50"/>
  <c r="E1123" i="50"/>
  <c r="E1122" i="50"/>
  <c r="E1121" i="50"/>
  <c r="E1120" i="50"/>
  <c r="E1117" i="50"/>
  <c r="E1116" i="50"/>
  <c r="E1115" i="50"/>
  <c r="E1114" i="50"/>
  <c r="E1113" i="50"/>
  <c r="H71" i="49"/>
  <c r="E1110" i="50"/>
  <c r="E1109" i="50"/>
  <c r="E1108" i="50"/>
  <c r="E1107" i="50"/>
  <c r="E1106" i="50"/>
  <c r="H70" i="49"/>
  <c r="E1103" i="50"/>
  <c r="E1102" i="50"/>
  <c r="E1101" i="50"/>
  <c r="E1100" i="50"/>
  <c r="E1099" i="50"/>
  <c r="H69" i="49"/>
  <c r="E1096" i="50"/>
  <c r="E1095" i="50"/>
  <c r="E1094" i="50"/>
  <c r="E1093" i="50"/>
  <c r="E1092" i="50"/>
  <c r="BM68" i="49"/>
  <c r="H68" i="49"/>
  <c r="E1089" i="50"/>
  <c r="E1088" i="50"/>
  <c r="E1087" i="50"/>
  <c r="E1086" i="50"/>
  <c r="E1085" i="50"/>
  <c r="H67" i="49"/>
  <c r="E1082" i="50"/>
  <c r="E1081" i="50"/>
  <c r="E1080" i="50"/>
  <c r="E1079" i="50"/>
  <c r="E1078" i="50"/>
  <c r="H66" i="49"/>
  <c r="E1075" i="50"/>
  <c r="E1074" i="50"/>
  <c r="E1073" i="50"/>
  <c r="E1072" i="50"/>
  <c r="E1071" i="50"/>
  <c r="H65" i="49"/>
  <c r="E1068" i="50"/>
  <c r="E1067" i="50"/>
  <c r="E1066" i="50"/>
  <c r="E1065" i="50"/>
  <c r="E1064" i="50"/>
  <c r="H64" i="49"/>
  <c r="E1061" i="50"/>
  <c r="E1060" i="50"/>
  <c r="E1059" i="50"/>
  <c r="E1058" i="50"/>
  <c r="E1057" i="50"/>
  <c r="H63" i="49"/>
  <c r="E1054" i="50"/>
  <c r="E1053" i="50"/>
  <c r="E1052" i="50"/>
  <c r="E1051" i="50"/>
  <c r="E1050" i="50"/>
  <c r="H62" i="49"/>
  <c r="E1047" i="50"/>
  <c r="E1046" i="50"/>
  <c r="E1045" i="50"/>
  <c r="E1044" i="50"/>
  <c r="E1043" i="50"/>
  <c r="H61" i="49"/>
  <c r="E1040" i="50"/>
  <c r="E1039" i="50"/>
  <c r="E1038" i="50"/>
  <c r="E1037" i="50"/>
  <c r="E1036" i="50"/>
  <c r="E1033" i="50"/>
  <c r="E1032" i="50"/>
  <c r="E1031" i="50"/>
  <c r="E1030" i="50"/>
  <c r="E1029" i="50"/>
  <c r="H59" i="49"/>
  <c r="E1026" i="50"/>
  <c r="E1025" i="50"/>
  <c r="E1024" i="50"/>
  <c r="E1023" i="50"/>
  <c r="E1022" i="50"/>
  <c r="H58" i="49"/>
  <c r="E1019" i="50"/>
  <c r="E1018" i="50"/>
  <c r="E1017" i="50"/>
  <c r="E1016" i="50"/>
  <c r="E1015" i="50"/>
  <c r="H57" i="49"/>
  <c r="E1012" i="50"/>
  <c r="E1011" i="50"/>
  <c r="E1010" i="50"/>
  <c r="E1009" i="50"/>
  <c r="E1008" i="50"/>
  <c r="H56" i="49"/>
  <c r="E1005" i="50"/>
  <c r="E1004" i="50"/>
  <c r="E1003" i="50"/>
  <c r="E1002" i="50"/>
  <c r="E1001" i="50"/>
  <c r="H55" i="49"/>
  <c r="E998" i="50"/>
  <c r="E997" i="50"/>
  <c r="E996" i="50"/>
  <c r="E995" i="50"/>
  <c r="E994" i="50"/>
  <c r="H54" i="49"/>
  <c r="E991" i="50"/>
  <c r="E990" i="50"/>
  <c r="E989" i="50"/>
  <c r="E988" i="50"/>
  <c r="E987" i="50"/>
  <c r="H53" i="49"/>
  <c r="E984" i="50"/>
  <c r="E983" i="50"/>
  <c r="E982" i="50"/>
  <c r="E981" i="50"/>
  <c r="E980" i="50"/>
  <c r="H52" i="49"/>
  <c r="E977" i="50"/>
  <c r="E976" i="50"/>
  <c r="E975" i="50"/>
  <c r="E974" i="50"/>
  <c r="E973" i="50"/>
  <c r="H51" i="49"/>
  <c r="E970" i="50"/>
  <c r="E969" i="50"/>
  <c r="E968" i="50"/>
  <c r="E967" i="50"/>
  <c r="E966" i="50"/>
  <c r="H50" i="49"/>
  <c r="E963" i="50"/>
  <c r="E962" i="50"/>
  <c r="E961" i="50"/>
  <c r="E960" i="50"/>
  <c r="E959" i="50"/>
  <c r="H49" i="49"/>
  <c r="E956" i="50"/>
  <c r="E955" i="50"/>
  <c r="E954" i="50"/>
  <c r="E953" i="50"/>
  <c r="E952" i="50"/>
  <c r="H48" i="49"/>
  <c r="E949" i="50"/>
  <c r="E948" i="50"/>
  <c r="E947" i="50"/>
  <c r="E946" i="50"/>
  <c r="E945" i="50"/>
  <c r="H47" i="49"/>
  <c r="E942" i="50"/>
  <c r="E941" i="50"/>
  <c r="E940" i="50"/>
  <c r="E939" i="50"/>
  <c r="E938" i="50"/>
  <c r="H46" i="49"/>
  <c r="E935" i="50"/>
  <c r="E934" i="50"/>
  <c r="E933" i="50"/>
  <c r="E932" i="50"/>
  <c r="E931" i="50"/>
  <c r="H45" i="49"/>
  <c r="E928" i="50"/>
  <c r="E927" i="50"/>
  <c r="E926" i="50"/>
  <c r="E925" i="50"/>
  <c r="E924" i="50"/>
  <c r="H44" i="49"/>
  <c r="E921" i="50"/>
  <c r="E920" i="50"/>
  <c r="E919" i="50"/>
  <c r="E918" i="50"/>
  <c r="E917" i="50"/>
  <c r="H43" i="49"/>
  <c r="E914" i="50"/>
  <c r="E913" i="50"/>
  <c r="E912" i="50"/>
  <c r="E911" i="50"/>
  <c r="E910" i="50"/>
  <c r="H42" i="49"/>
  <c r="E907" i="50"/>
  <c r="E906" i="50"/>
  <c r="E905" i="50"/>
  <c r="E904" i="50"/>
  <c r="E903" i="50"/>
  <c r="H41" i="49"/>
  <c r="E900" i="50"/>
  <c r="E899" i="50"/>
  <c r="E898" i="50"/>
  <c r="E897" i="50"/>
  <c r="E896" i="50"/>
  <c r="H40" i="49"/>
  <c r="E893" i="50"/>
  <c r="E892" i="50"/>
  <c r="E891" i="50"/>
  <c r="E890" i="50"/>
  <c r="E889" i="50"/>
  <c r="H39" i="49"/>
  <c r="E886" i="50"/>
  <c r="E885" i="50"/>
  <c r="E884" i="50"/>
  <c r="E883" i="50"/>
  <c r="E882" i="50"/>
  <c r="H38" i="49"/>
  <c r="E879" i="50"/>
  <c r="E878" i="50"/>
  <c r="E877" i="50"/>
  <c r="E876" i="50"/>
  <c r="E875" i="50"/>
  <c r="H37" i="49"/>
  <c r="E872" i="50"/>
  <c r="E871" i="50"/>
  <c r="E870" i="50"/>
  <c r="E869" i="50"/>
  <c r="E868" i="50"/>
  <c r="H36" i="49"/>
  <c r="E865" i="50"/>
  <c r="E864" i="50"/>
  <c r="E863" i="50"/>
  <c r="E862" i="50"/>
  <c r="E861" i="50"/>
  <c r="H35" i="49"/>
  <c r="E858" i="50"/>
  <c r="E857" i="50"/>
  <c r="E856" i="50"/>
  <c r="E855" i="50"/>
  <c r="E854" i="50"/>
  <c r="H34" i="49"/>
  <c r="E851" i="50"/>
  <c r="E850" i="50"/>
  <c r="E849" i="50"/>
  <c r="E848" i="50"/>
  <c r="E847" i="50"/>
  <c r="H33" i="49"/>
  <c r="E844" i="50"/>
  <c r="E843" i="50"/>
  <c r="E842" i="50"/>
  <c r="E841" i="50"/>
  <c r="E840" i="50"/>
  <c r="H32" i="49"/>
  <c r="E837" i="50"/>
  <c r="E836" i="50"/>
  <c r="E835" i="50"/>
  <c r="E834" i="50"/>
  <c r="E833" i="50"/>
  <c r="H31" i="49"/>
  <c r="E830" i="50"/>
  <c r="E829" i="50"/>
  <c r="E828" i="50"/>
  <c r="E827" i="50"/>
  <c r="E826" i="50"/>
  <c r="H30" i="49"/>
  <c r="E823" i="50"/>
  <c r="E822" i="50"/>
  <c r="E821" i="50"/>
  <c r="E820" i="50"/>
  <c r="E819" i="50"/>
  <c r="E816" i="50"/>
  <c r="E815" i="50"/>
  <c r="E814" i="50"/>
  <c r="E813" i="50"/>
  <c r="E812" i="50"/>
  <c r="E809" i="50"/>
  <c r="E808" i="50"/>
  <c r="E807" i="50"/>
  <c r="E806" i="50"/>
  <c r="E805" i="50"/>
  <c r="E802" i="50"/>
  <c r="E801" i="50"/>
  <c r="E800" i="50"/>
  <c r="E799" i="50"/>
  <c r="E798" i="50"/>
  <c r="E795" i="50"/>
  <c r="E794" i="50"/>
  <c r="E793" i="50"/>
  <c r="E792" i="50"/>
  <c r="E791" i="50"/>
  <c r="E788" i="50"/>
  <c r="E787" i="50"/>
  <c r="E786" i="50"/>
  <c r="E785" i="50"/>
  <c r="E784" i="50"/>
  <c r="H24" i="49"/>
  <c r="E781" i="50"/>
  <c r="E780" i="50"/>
  <c r="E779" i="50"/>
  <c r="E778" i="50"/>
  <c r="E777" i="50"/>
  <c r="E774" i="50"/>
  <c r="E773" i="50"/>
  <c r="E772" i="50"/>
  <c r="E771" i="50"/>
  <c r="E770" i="50"/>
  <c r="E767" i="50"/>
  <c r="E766" i="50"/>
  <c r="E765" i="50"/>
  <c r="E764" i="50"/>
  <c r="E763" i="50"/>
  <c r="E760" i="50"/>
  <c r="E759" i="50"/>
  <c r="E758" i="50"/>
  <c r="E757" i="50"/>
  <c r="E756" i="50"/>
  <c r="E753" i="50"/>
  <c r="E752" i="50"/>
  <c r="E751" i="50"/>
  <c r="E750" i="50"/>
  <c r="E749" i="50"/>
  <c r="E746" i="50"/>
  <c r="E745" i="50"/>
  <c r="E744" i="50"/>
  <c r="E743" i="50"/>
  <c r="E742" i="50"/>
  <c r="E739" i="50"/>
  <c r="E738" i="50"/>
  <c r="E737" i="50"/>
  <c r="E736" i="50"/>
  <c r="E735" i="50"/>
  <c r="E732" i="50"/>
  <c r="E731" i="50"/>
  <c r="E730" i="50"/>
  <c r="E729" i="50"/>
  <c r="E728" i="50"/>
  <c r="E725" i="50"/>
  <c r="E724" i="50"/>
  <c r="E723" i="50"/>
  <c r="E722" i="50"/>
  <c r="E721" i="50"/>
  <c r="E710" i="50"/>
  <c r="E709" i="50"/>
  <c r="E708" i="50"/>
  <c r="E707" i="50"/>
  <c r="E706" i="50"/>
  <c r="E703" i="50"/>
  <c r="E702" i="50"/>
  <c r="E701" i="50"/>
  <c r="E700" i="50"/>
  <c r="E699" i="50"/>
  <c r="D699" i="50"/>
  <c r="D2140" i="50" s="1"/>
  <c r="D2855" i="50" s="1"/>
  <c r="C699" i="50"/>
  <c r="C2140" i="50" s="1"/>
  <c r="C2855" i="50" s="1"/>
  <c r="E696" i="50"/>
  <c r="E695" i="50"/>
  <c r="E694" i="50"/>
  <c r="E693" i="50"/>
  <c r="E692" i="50"/>
  <c r="D692" i="50"/>
  <c r="C692" i="50"/>
  <c r="C2133" i="50" s="1"/>
  <c r="C2848" i="50" s="1"/>
  <c r="E689" i="50"/>
  <c r="E688" i="50"/>
  <c r="E687" i="50"/>
  <c r="E686" i="50"/>
  <c r="E685" i="50"/>
  <c r="D685" i="50"/>
  <c r="C685" i="50"/>
  <c r="C2126" i="50" s="1"/>
  <c r="C2841" i="50" s="1"/>
  <c r="E682" i="50"/>
  <c r="E681" i="50"/>
  <c r="E680" i="50"/>
  <c r="E679" i="50"/>
  <c r="E678" i="50"/>
  <c r="D678" i="50"/>
  <c r="C678" i="50"/>
  <c r="C2119" i="50" s="1"/>
  <c r="C2834" i="50" s="1"/>
  <c r="E675" i="50"/>
  <c r="E674" i="50"/>
  <c r="E673" i="50"/>
  <c r="E672" i="50"/>
  <c r="E671" i="50"/>
  <c r="D671" i="50"/>
  <c r="C671" i="50"/>
  <c r="C3541" i="50" s="1"/>
  <c r="E668" i="50"/>
  <c r="E667" i="50"/>
  <c r="E666" i="50"/>
  <c r="E665" i="50"/>
  <c r="E664" i="50"/>
  <c r="D664" i="50"/>
  <c r="D1379" i="50" s="1"/>
  <c r="C664" i="50"/>
  <c r="E661" i="50"/>
  <c r="E660" i="50"/>
  <c r="E659" i="50"/>
  <c r="E658" i="50"/>
  <c r="E657" i="50"/>
  <c r="D657" i="50"/>
  <c r="D1372" i="50" s="1"/>
  <c r="C657" i="50"/>
  <c r="E654" i="50"/>
  <c r="E653" i="50"/>
  <c r="E652" i="50"/>
  <c r="E651" i="50"/>
  <c r="E650" i="50"/>
  <c r="D650" i="50"/>
  <c r="C650" i="50"/>
  <c r="E647" i="50"/>
  <c r="E646" i="50"/>
  <c r="E645" i="50"/>
  <c r="E644" i="50"/>
  <c r="E643" i="50"/>
  <c r="D643" i="50"/>
  <c r="D2084" i="50" s="1"/>
  <c r="D2799" i="50" s="1"/>
  <c r="C643" i="50"/>
  <c r="E640" i="50"/>
  <c r="E639" i="50"/>
  <c r="E638" i="50"/>
  <c r="E637" i="50"/>
  <c r="E636" i="50"/>
  <c r="D636" i="50"/>
  <c r="D3506" i="50" s="1"/>
  <c r="C636" i="50"/>
  <c r="E633" i="50"/>
  <c r="E632" i="50"/>
  <c r="E631" i="50"/>
  <c r="E630" i="50"/>
  <c r="E629" i="50"/>
  <c r="D629" i="50"/>
  <c r="D2070" i="50" s="1"/>
  <c r="D2785" i="50" s="1"/>
  <c r="C629" i="50"/>
  <c r="E626" i="50"/>
  <c r="E625" i="50"/>
  <c r="E624" i="50"/>
  <c r="E623" i="50"/>
  <c r="E622" i="50"/>
  <c r="D622" i="50"/>
  <c r="D3492" i="50" s="1"/>
  <c r="C622" i="50"/>
  <c r="E619" i="50"/>
  <c r="E618" i="50"/>
  <c r="E617" i="50"/>
  <c r="E616" i="50"/>
  <c r="E615" i="50"/>
  <c r="D615" i="50"/>
  <c r="C615" i="50"/>
  <c r="C2056" i="50" s="1"/>
  <c r="C2771" i="50" s="1"/>
  <c r="E612" i="50"/>
  <c r="E611" i="50"/>
  <c r="E610" i="50"/>
  <c r="E609" i="50"/>
  <c r="E608" i="50"/>
  <c r="D608" i="50"/>
  <c r="C608" i="50"/>
  <c r="C2049" i="50" s="1"/>
  <c r="C2764" i="50" s="1"/>
  <c r="E605" i="50"/>
  <c r="E604" i="50"/>
  <c r="E603" i="50"/>
  <c r="E602" i="50"/>
  <c r="E601" i="50"/>
  <c r="D601" i="50"/>
  <c r="D1316" i="50" s="1"/>
  <c r="C601" i="50"/>
  <c r="C1316" i="50" s="1"/>
  <c r="E598" i="50"/>
  <c r="E597" i="50"/>
  <c r="E596" i="50"/>
  <c r="E595" i="50"/>
  <c r="E594" i="50"/>
  <c r="D594" i="50"/>
  <c r="C594" i="50"/>
  <c r="E591" i="50"/>
  <c r="E590" i="50"/>
  <c r="E589" i="50"/>
  <c r="E588" i="50"/>
  <c r="E587" i="50"/>
  <c r="D587" i="50"/>
  <c r="D3457" i="50" s="1"/>
  <c r="C587" i="50"/>
  <c r="E584" i="50"/>
  <c r="E583" i="50"/>
  <c r="E582" i="50"/>
  <c r="E581" i="50"/>
  <c r="E580" i="50"/>
  <c r="D580" i="50"/>
  <c r="D1295" i="50" s="1"/>
  <c r="C580" i="50"/>
  <c r="C3450" i="50" s="1"/>
  <c r="E577" i="50"/>
  <c r="E576" i="50"/>
  <c r="E575" i="50"/>
  <c r="E574" i="50"/>
  <c r="E573" i="50"/>
  <c r="D573" i="50"/>
  <c r="C573" i="50"/>
  <c r="E570" i="50"/>
  <c r="E569" i="50"/>
  <c r="E568" i="50"/>
  <c r="E567" i="50"/>
  <c r="E566" i="50"/>
  <c r="D566" i="50"/>
  <c r="C566" i="50"/>
  <c r="C3436" i="50" s="1"/>
  <c r="E563" i="50"/>
  <c r="E562" i="50"/>
  <c r="E561" i="50"/>
  <c r="E560" i="50"/>
  <c r="E559" i="50"/>
  <c r="D559" i="50"/>
  <c r="D3429" i="50" s="1"/>
  <c r="C559" i="50"/>
  <c r="E556" i="50"/>
  <c r="E555" i="50"/>
  <c r="E554" i="50"/>
  <c r="E553" i="50"/>
  <c r="E552" i="50"/>
  <c r="D552" i="50"/>
  <c r="D1993" i="50" s="1"/>
  <c r="D2708" i="50" s="1"/>
  <c r="C552" i="50"/>
  <c r="C1267" i="50" s="1"/>
  <c r="E549" i="50"/>
  <c r="E548" i="50"/>
  <c r="E547" i="50"/>
  <c r="E546" i="50"/>
  <c r="E545" i="50"/>
  <c r="D545" i="50"/>
  <c r="C545" i="50"/>
  <c r="C3415" i="50" s="1"/>
  <c r="E542" i="50"/>
  <c r="E541" i="50"/>
  <c r="E540" i="50"/>
  <c r="E539" i="50"/>
  <c r="E538" i="50"/>
  <c r="D538" i="50"/>
  <c r="D3408" i="50" s="1"/>
  <c r="C538" i="50"/>
  <c r="E535" i="50"/>
  <c r="E534" i="50"/>
  <c r="E533" i="50"/>
  <c r="E532" i="50"/>
  <c r="E531" i="50"/>
  <c r="D531" i="50"/>
  <c r="D3401" i="50" s="1"/>
  <c r="C531" i="50"/>
  <c r="E528" i="50"/>
  <c r="E527" i="50"/>
  <c r="E526" i="50"/>
  <c r="E525" i="50"/>
  <c r="E524" i="50"/>
  <c r="D524" i="50"/>
  <c r="D1965" i="50" s="1"/>
  <c r="D2680" i="50" s="1"/>
  <c r="C524" i="50"/>
  <c r="C1239" i="50" s="1"/>
  <c r="E521" i="50"/>
  <c r="E520" i="50"/>
  <c r="E519" i="50"/>
  <c r="E518" i="50"/>
  <c r="E517" i="50"/>
  <c r="D517" i="50"/>
  <c r="C517" i="50"/>
  <c r="C1958" i="50" s="1"/>
  <c r="C2673" i="50" s="1"/>
  <c r="E514" i="50"/>
  <c r="E513" i="50"/>
  <c r="E512" i="50"/>
  <c r="E511" i="50"/>
  <c r="E510" i="50"/>
  <c r="D510" i="50"/>
  <c r="C510" i="50"/>
  <c r="C1225" i="50" s="1"/>
  <c r="E507" i="50"/>
  <c r="E506" i="50"/>
  <c r="E505" i="50"/>
  <c r="E504" i="50"/>
  <c r="E503" i="50"/>
  <c r="D503" i="50"/>
  <c r="C503" i="50"/>
  <c r="E500" i="50"/>
  <c r="E499" i="50"/>
  <c r="E498" i="50"/>
  <c r="E497" i="50"/>
  <c r="E496" i="50"/>
  <c r="D496" i="50"/>
  <c r="D1211" i="50" s="1"/>
  <c r="C496" i="50"/>
  <c r="C1937" i="50" s="1"/>
  <c r="C2652" i="50" s="1"/>
  <c r="E493" i="50"/>
  <c r="E492" i="50"/>
  <c r="E491" i="50"/>
  <c r="E490" i="50"/>
  <c r="E489" i="50"/>
  <c r="D489" i="50"/>
  <c r="D1930" i="50" s="1"/>
  <c r="D2645" i="50" s="1"/>
  <c r="C489" i="50"/>
  <c r="C1204" i="50" s="1"/>
  <c r="E486" i="50"/>
  <c r="E485" i="50"/>
  <c r="E484" i="50"/>
  <c r="E483" i="50"/>
  <c r="E482" i="50"/>
  <c r="D482" i="50"/>
  <c r="C482" i="50"/>
  <c r="E479" i="50"/>
  <c r="E478" i="50"/>
  <c r="E477" i="50"/>
  <c r="E476" i="50"/>
  <c r="E475" i="50"/>
  <c r="D475" i="50"/>
  <c r="D1916" i="50" s="1"/>
  <c r="D2631" i="50" s="1"/>
  <c r="C475" i="50"/>
  <c r="E472" i="50"/>
  <c r="E471" i="50"/>
  <c r="E470" i="50"/>
  <c r="E469" i="50"/>
  <c r="E468" i="50"/>
  <c r="D468" i="50"/>
  <c r="D3338" i="50" s="1"/>
  <c r="C468" i="50"/>
  <c r="E465" i="50"/>
  <c r="E464" i="50"/>
  <c r="E463" i="50"/>
  <c r="E462" i="50"/>
  <c r="E461" i="50"/>
  <c r="D461" i="50"/>
  <c r="C461" i="50"/>
  <c r="E458" i="50"/>
  <c r="E457" i="50"/>
  <c r="E456" i="50"/>
  <c r="E455" i="50"/>
  <c r="E454" i="50"/>
  <c r="D454" i="50"/>
  <c r="C454" i="50"/>
  <c r="E451" i="50"/>
  <c r="E450" i="50"/>
  <c r="E449" i="50"/>
  <c r="E448" i="50"/>
  <c r="E447" i="50"/>
  <c r="D447" i="50"/>
  <c r="D1162" i="50" s="1"/>
  <c r="C447" i="50"/>
  <c r="E444" i="50"/>
  <c r="E443" i="50"/>
  <c r="E442" i="50"/>
  <c r="E441" i="50"/>
  <c r="E440" i="50"/>
  <c r="D440" i="50"/>
  <c r="D3310" i="50" s="1"/>
  <c r="C440" i="50"/>
  <c r="E437" i="50"/>
  <c r="E436" i="50"/>
  <c r="E435" i="50"/>
  <c r="E434" i="50"/>
  <c r="E433" i="50"/>
  <c r="D433" i="50"/>
  <c r="C433" i="50"/>
  <c r="C1874" i="50" s="1"/>
  <c r="C2589" i="50" s="1"/>
  <c r="E430" i="50"/>
  <c r="E429" i="50"/>
  <c r="E428" i="50"/>
  <c r="E427" i="50"/>
  <c r="E426" i="50"/>
  <c r="D426" i="50"/>
  <c r="C426" i="50"/>
  <c r="C3296" i="50" s="1"/>
  <c r="E423" i="50"/>
  <c r="E422" i="50"/>
  <c r="E421" i="50"/>
  <c r="E420" i="50"/>
  <c r="E419" i="50"/>
  <c r="D419" i="50"/>
  <c r="C419" i="50"/>
  <c r="E416" i="50"/>
  <c r="E415" i="50"/>
  <c r="E414" i="50"/>
  <c r="E413" i="50"/>
  <c r="E412" i="50"/>
  <c r="C412" i="50"/>
  <c r="E409" i="50"/>
  <c r="E408" i="50"/>
  <c r="E407" i="50"/>
  <c r="E406" i="50"/>
  <c r="E405" i="50"/>
  <c r="D405" i="50"/>
  <c r="C405" i="50"/>
  <c r="C3275" i="50" s="1"/>
  <c r="E402" i="50"/>
  <c r="E401" i="50"/>
  <c r="E400" i="50"/>
  <c r="E399" i="50"/>
  <c r="E398" i="50"/>
  <c r="C398" i="50"/>
  <c r="E395" i="50"/>
  <c r="E394" i="50"/>
  <c r="E393" i="50"/>
  <c r="E392" i="50"/>
  <c r="E391" i="50"/>
  <c r="C391" i="50"/>
  <c r="C3261" i="50" s="1"/>
  <c r="E388" i="50"/>
  <c r="E387" i="50"/>
  <c r="E386" i="50"/>
  <c r="E385" i="50"/>
  <c r="E384" i="50"/>
  <c r="D384" i="50"/>
  <c r="C384" i="50"/>
  <c r="C1099" i="50" s="1"/>
  <c r="E381" i="50"/>
  <c r="E380" i="50"/>
  <c r="E379" i="50"/>
  <c r="E378" i="50"/>
  <c r="E377" i="50"/>
  <c r="D377" i="50"/>
  <c r="C377" i="50"/>
  <c r="E374" i="50"/>
  <c r="E373" i="50"/>
  <c r="E372" i="50"/>
  <c r="E371" i="50"/>
  <c r="E370" i="50"/>
  <c r="D370" i="50"/>
  <c r="C370" i="50"/>
  <c r="E367" i="50"/>
  <c r="E366" i="50"/>
  <c r="E365" i="50"/>
  <c r="E364" i="50"/>
  <c r="E363" i="50"/>
  <c r="D363" i="50"/>
  <c r="D3233" i="50" s="1"/>
  <c r="C363" i="50"/>
  <c r="C1078" i="50" s="1"/>
  <c r="E360" i="50"/>
  <c r="E359" i="50"/>
  <c r="E358" i="50"/>
  <c r="E357" i="50"/>
  <c r="E356" i="50"/>
  <c r="D356" i="50"/>
  <c r="C356" i="50"/>
  <c r="E353" i="50"/>
  <c r="E352" i="50"/>
  <c r="E351" i="50"/>
  <c r="E350" i="50"/>
  <c r="E349" i="50"/>
  <c r="D349" i="50"/>
  <c r="D3219" i="50" s="1"/>
  <c r="C349" i="50"/>
  <c r="E346" i="50"/>
  <c r="E345" i="50"/>
  <c r="E344" i="50"/>
  <c r="E343" i="50"/>
  <c r="E342" i="50"/>
  <c r="D342" i="50"/>
  <c r="D348" i="50" s="1"/>
  <c r="C342" i="50"/>
  <c r="C1783" i="50" s="1"/>
  <c r="C2498" i="50" s="1"/>
  <c r="E339" i="50"/>
  <c r="E338" i="50"/>
  <c r="E337" i="50"/>
  <c r="E336" i="50"/>
  <c r="E335" i="50"/>
  <c r="D335" i="50"/>
  <c r="C335" i="50"/>
  <c r="E332" i="50"/>
  <c r="E331" i="50"/>
  <c r="E330" i="50"/>
  <c r="E329" i="50"/>
  <c r="E328" i="50"/>
  <c r="D328" i="50"/>
  <c r="C328" i="50"/>
  <c r="C3198" i="50" s="1"/>
  <c r="E325" i="50"/>
  <c r="E324" i="50"/>
  <c r="E323" i="50"/>
  <c r="E322" i="50"/>
  <c r="E321" i="50"/>
  <c r="D321" i="50"/>
  <c r="D3191" i="50" s="1"/>
  <c r="C321" i="50"/>
  <c r="E318" i="50"/>
  <c r="E317" i="50"/>
  <c r="E316" i="50"/>
  <c r="E315" i="50"/>
  <c r="E314" i="50"/>
  <c r="D314" i="50"/>
  <c r="C314" i="50"/>
  <c r="C1029" i="50" s="1"/>
  <c r="E311" i="50"/>
  <c r="E310" i="50"/>
  <c r="E309" i="50"/>
  <c r="E308" i="50"/>
  <c r="E307" i="50"/>
  <c r="D307" i="50"/>
  <c r="D3177" i="50" s="1"/>
  <c r="C307" i="50"/>
  <c r="C3177" i="50" s="1"/>
  <c r="E304" i="50"/>
  <c r="E303" i="50"/>
  <c r="E302" i="50"/>
  <c r="E301" i="50"/>
  <c r="E300" i="50"/>
  <c r="D300" i="50"/>
  <c r="D1015" i="50" s="1"/>
  <c r="C300" i="50"/>
  <c r="C1741" i="50" s="1"/>
  <c r="C2456" i="50" s="1"/>
  <c r="E297" i="50"/>
  <c r="E296" i="50"/>
  <c r="E295" i="50"/>
  <c r="E294" i="50"/>
  <c r="E293" i="50"/>
  <c r="D293" i="50"/>
  <c r="D1734" i="50" s="1"/>
  <c r="D2449" i="50" s="1"/>
  <c r="C293" i="50"/>
  <c r="C3163" i="50" s="1"/>
  <c r="E290" i="50"/>
  <c r="E289" i="50"/>
  <c r="E288" i="50"/>
  <c r="E287" i="50"/>
  <c r="E286" i="50"/>
  <c r="D286" i="50"/>
  <c r="D292" i="50" s="1"/>
  <c r="C286" i="50"/>
  <c r="C1001" i="50" s="1"/>
  <c r="E283" i="50"/>
  <c r="E282" i="50"/>
  <c r="E281" i="50"/>
  <c r="E280" i="50"/>
  <c r="E279" i="50"/>
  <c r="D279" i="50"/>
  <c r="C279" i="50"/>
  <c r="C994" i="50" s="1"/>
  <c r="E276" i="50"/>
  <c r="E275" i="50"/>
  <c r="E274" i="50"/>
  <c r="E273" i="50"/>
  <c r="E272" i="50"/>
  <c r="D272" i="50"/>
  <c r="D278" i="50" s="1"/>
  <c r="C272" i="50"/>
  <c r="E269" i="50"/>
  <c r="E268" i="50"/>
  <c r="E267" i="50"/>
  <c r="E266" i="50"/>
  <c r="E265" i="50"/>
  <c r="D265" i="50"/>
  <c r="D3135" i="50" s="1"/>
  <c r="C265" i="50"/>
  <c r="C3135" i="50" s="1"/>
  <c r="E262" i="50"/>
  <c r="E261" i="50"/>
  <c r="E260" i="50"/>
  <c r="E259" i="50"/>
  <c r="E258" i="50"/>
  <c r="D258" i="50"/>
  <c r="C258" i="50"/>
  <c r="C973" i="50" s="1"/>
  <c r="E255" i="50"/>
  <c r="E254" i="50"/>
  <c r="E253" i="50"/>
  <c r="E252" i="50"/>
  <c r="E251" i="50"/>
  <c r="D251" i="50"/>
  <c r="C251" i="50"/>
  <c r="E248" i="50"/>
  <c r="E247" i="50"/>
  <c r="E246" i="50"/>
  <c r="E245" i="50"/>
  <c r="E244" i="50"/>
  <c r="D244" i="50"/>
  <c r="C244" i="50"/>
  <c r="C1685" i="50" s="1"/>
  <c r="C2400" i="50" s="1"/>
  <c r="E241" i="50"/>
  <c r="E240" i="50"/>
  <c r="E239" i="50"/>
  <c r="E238" i="50"/>
  <c r="E237" i="50"/>
  <c r="D237" i="50"/>
  <c r="C237" i="50"/>
  <c r="C3107" i="50" s="1"/>
  <c r="E234" i="50"/>
  <c r="E233" i="50"/>
  <c r="E232" i="50"/>
  <c r="E231" i="50"/>
  <c r="E230" i="50"/>
  <c r="D230" i="50"/>
  <c r="C230" i="50"/>
  <c r="E227" i="50"/>
  <c r="E226" i="50"/>
  <c r="E225" i="50"/>
  <c r="E224" i="50"/>
  <c r="E223" i="50"/>
  <c r="D223" i="50"/>
  <c r="C223" i="50"/>
  <c r="C3093" i="50" s="1"/>
  <c r="E220" i="50"/>
  <c r="E219" i="50"/>
  <c r="E218" i="50"/>
  <c r="E217" i="50"/>
  <c r="E216" i="50"/>
  <c r="D216" i="50"/>
  <c r="C216" i="50"/>
  <c r="C1657" i="50" s="1"/>
  <c r="C2372" i="50" s="1"/>
  <c r="E213" i="50"/>
  <c r="E212" i="50"/>
  <c r="E211" i="50"/>
  <c r="E210" i="50"/>
  <c r="E209" i="50"/>
  <c r="D209" i="50"/>
  <c r="D1650" i="50" s="1"/>
  <c r="D2365" i="50" s="1"/>
  <c r="C209" i="50"/>
  <c r="C1650" i="50" s="1"/>
  <c r="C2365" i="50" s="1"/>
  <c r="E206" i="50"/>
  <c r="E205" i="50"/>
  <c r="E204" i="50"/>
  <c r="E203" i="50"/>
  <c r="E202" i="50"/>
  <c r="D202" i="50"/>
  <c r="C202" i="50"/>
  <c r="C3072" i="50" s="1"/>
  <c r="E199" i="50"/>
  <c r="E198" i="50"/>
  <c r="E197" i="50"/>
  <c r="E196" i="50"/>
  <c r="E195" i="50"/>
  <c r="D195" i="50"/>
  <c r="C195" i="50"/>
  <c r="C910" i="50" s="1"/>
  <c r="E192" i="50"/>
  <c r="E191" i="50"/>
  <c r="E190" i="50"/>
  <c r="E189" i="50"/>
  <c r="E188" i="50"/>
  <c r="D188" i="50"/>
  <c r="C188" i="50"/>
  <c r="E185" i="50"/>
  <c r="E184" i="50"/>
  <c r="E183" i="50"/>
  <c r="E182" i="50"/>
  <c r="E181" i="50"/>
  <c r="D181" i="50"/>
  <c r="D187" i="50" s="1"/>
  <c r="C181" i="50"/>
  <c r="C896" i="50" s="1"/>
  <c r="E178" i="50"/>
  <c r="E177" i="50"/>
  <c r="E176" i="50"/>
  <c r="E175" i="50"/>
  <c r="E174" i="50"/>
  <c r="D174" i="50"/>
  <c r="C174" i="50"/>
  <c r="E171" i="50"/>
  <c r="E170" i="50"/>
  <c r="E169" i="50"/>
  <c r="E168" i="50"/>
  <c r="E167" i="50"/>
  <c r="D167" i="50"/>
  <c r="D1608" i="50" s="1"/>
  <c r="D2323" i="50" s="1"/>
  <c r="C167" i="50"/>
  <c r="E164" i="50"/>
  <c r="E163" i="50"/>
  <c r="E162" i="50"/>
  <c r="E161" i="50"/>
  <c r="E160" i="50"/>
  <c r="D160" i="50"/>
  <c r="C160" i="50"/>
  <c r="E157" i="50"/>
  <c r="E156" i="50"/>
  <c r="E155" i="50"/>
  <c r="E154" i="50"/>
  <c r="E153" i="50"/>
  <c r="D153" i="50"/>
  <c r="D159" i="50" s="1"/>
  <c r="C153" i="50"/>
  <c r="E150" i="50"/>
  <c r="E149" i="50"/>
  <c r="E148" i="50"/>
  <c r="E147" i="50"/>
  <c r="E146" i="50"/>
  <c r="D146" i="50"/>
  <c r="D861" i="50" s="1"/>
  <c r="C146" i="50"/>
  <c r="C861" i="50" s="1"/>
  <c r="E143" i="50"/>
  <c r="E142" i="50"/>
  <c r="E141" i="50"/>
  <c r="E140" i="50"/>
  <c r="E139" i="50"/>
  <c r="D139" i="50"/>
  <c r="D145" i="50" s="1"/>
  <c r="C139" i="50"/>
  <c r="C3009" i="50" s="1"/>
  <c r="E136" i="50"/>
  <c r="E135" i="50"/>
  <c r="E134" i="50"/>
  <c r="E133" i="50"/>
  <c r="E132" i="50"/>
  <c r="D132" i="50"/>
  <c r="D1573" i="50" s="1"/>
  <c r="D2288" i="50" s="1"/>
  <c r="C132" i="50"/>
  <c r="E129" i="50"/>
  <c r="E128" i="50"/>
  <c r="E127" i="50"/>
  <c r="E126" i="50"/>
  <c r="E125" i="50"/>
  <c r="D125" i="50"/>
  <c r="D840" i="50" s="1"/>
  <c r="C125" i="50"/>
  <c r="E122" i="50"/>
  <c r="E121" i="50"/>
  <c r="E120" i="50"/>
  <c r="E119" i="50"/>
  <c r="E118" i="50"/>
  <c r="D118" i="50"/>
  <c r="D124" i="50" s="1"/>
  <c r="C118" i="50"/>
  <c r="E115" i="50"/>
  <c r="E114" i="50"/>
  <c r="E113" i="50"/>
  <c r="E112" i="50"/>
  <c r="E111" i="50"/>
  <c r="D111" i="50"/>
  <c r="C111" i="50"/>
  <c r="C1552" i="50" s="1"/>
  <c r="C2267" i="50" s="1"/>
  <c r="E108" i="50"/>
  <c r="E107" i="50"/>
  <c r="E106" i="50"/>
  <c r="E105" i="50"/>
  <c r="E104" i="50"/>
  <c r="D104" i="50"/>
  <c r="C104" i="50"/>
  <c r="E101" i="50"/>
  <c r="E100" i="50"/>
  <c r="E99" i="50"/>
  <c r="E98" i="50"/>
  <c r="E97" i="50"/>
  <c r="D97" i="50"/>
  <c r="D2967" i="50" s="1"/>
  <c r="C97" i="50"/>
  <c r="E94" i="50"/>
  <c r="E93" i="50"/>
  <c r="E92" i="50"/>
  <c r="E91" i="50"/>
  <c r="E90" i="50"/>
  <c r="D90" i="50"/>
  <c r="C90" i="50"/>
  <c r="E87" i="50"/>
  <c r="E86" i="50"/>
  <c r="E85" i="50"/>
  <c r="E84" i="50"/>
  <c r="E83" i="50"/>
  <c r="D83" i="50"/>
  <c r="D89" i="50" s="1"/>
  <c r="C83" i="50"/>
  <c r="C798" i="50" s="1"/>
  <c r="E80" i="50"/>
  <c r="E79" i="50"/>
  <c r="E78" i="50"/>
  <c r="E77" i="50"/>
  <c r="E76" i="50"/>
  <c r="D76" i="50"/>
  <c r="C76" i="50"/>
  <c r="C1517" i="50" s="1"/>
  <c r="C2232" i="50" s="1"/>
  <c r="E73" i="50"/>
  <c r="E72" i="50"/>
  <c r="E71" i="50"/>
  <c r="E70" i="50"/>
  <c r="E69" i="50"/>
  <c r="D69" i="50"/>
  <c r="C69" i="50"/>
  <c r="C784" i="50" s="1"/>
  <c r="E66" i="50"/>
  <c r="E65" i="50"/>
  <c r="E64" i="50"/>
  <c r="E63" i="50"/>
  <c r="E62" i="50"/>
  <c r="D62" i="50"/>
  <c r="D68" i="50" s="1"/>
  <c r="C62" i="50"/>
  <c r="C2932" i="50" s="1"/>
  <c r="E59" i="50"/>
  <c r="E58" i="50"/>
  <c r="E57" i="50"/>
  <c r="E56" i="50"/>
  <c r="E55" i="50"/>
  <c r="D55" i="50"/>
  <c r="D60" i="50" s="1"/>
  <c r="C55" i="50"/>
  <c r="C2925" i="50" s="1"/>
  <c r="E52" i="50"/>
  <c r="E51" i="50"/>
  <c r="E50" i="50"/>
  <c r="E49" i="50"/>
  <c r="E48" i="50"/>
  <c r="D48" i="50"/>
  <c r="D2918" i="50" s="1"/>
  <c r="C48" i="50"/>
  <c r="E45" i="50"/>
  <c r="E44" i="50"/>
  <c r="E43" i="50"/>
  <c r="E42" i="50"/>
  <c r="E41" i="50"/>
  <c r="D41" i="50"/>
  <c r="D756" i="50" s="1"/>
  <c r="C41" i="50"/>
  <c r="E38" i="50"/>
  <c r="E37" i="50"/>
  <c r="E36" i="50"/>
  <c r="E35" i="50"/>
  <c r="E34" i="50"/>
  <c r="D34" i="50"/>
  <c r="D1475" i="50" s="1"/>
  <c r="D2190" i="50" s="1"/>
  <c r="C34" i="50"/>
  <c r="E31" i="50"/>
  <c r="E30" i="50"/>
  <c r="E29" i="50"/>
  <c r="E28" i="50"/>
  <c r="E27" i="50"/>
  <c r="D27" i="50"/>
  <c r="D33" i="50" s="1"/>
  <c r="C27" i="50"/>
  <c r="E24" i="50"/>
  <c r="E23" i="50"/>
  <c r="E22" i="50"/>
  <c r="E21" i="50"/>
  <c r="E20" i="50"/>
  <c r="D20" i="50"/>
  <c r="C20" i="50"/>
  <c r="C2890" i="50" s="1"/>
  <c r="E17" i="50"/>
  <c r="E16" i="50"/>
  <c r="E15" i="50"/>
  <c r="E14" i="50"/>
  <c r="E13" i="50"/>
  <c r="D13" i="50"/>
  <c r="D19" i="50" s="1"/>
  <c r="C13" i="50"/>
  <c r="C2883" i="50" s="1"/>
  <c r="E10" i="50"/>
  <c r="E9" i="50"/>
  <c r="E8" i="50"/>
  <c r="E7" i="50"/>
  <c r="E6" i="50"/>
  <c r="D6" i="50"/>
  <c r="D721" i="50" s="1"/>
  <c r="C6" i="50"/>
  <c r="B6" i="50"/>
  <c r="B13" i="50" s="1"/>
  <c r="B20" i="50" s="1"/>
  <c r="B27" i="50" s="1"/>
  <c r="B34" i="50" s="1"/>
  <c r="B41" i="50" s="1"/>
  <c r="B48" i="50" s="1"/>
  <c r="B55" i="50" s="1"/>
  <c r="B62" i="50" s="1"/>
  <c r="B69" i="50" s="1"/>
  <c r="B76" i="50" s="1"/>
  <c r="B83" i="50" s="1"/>
  <c r="B90" i="50" s="1"/>
  <c r="B97" i="50" s="1"/>
  <c r="B104" i="50" s="1"/>
  <c r="B111" i="50" s="1"/>
  <c r="B118" i="50" s="1"/>
  <c r="B125" i="50" s="1"/>
  <c r="B132" i="50" s="1"/>
  <c r="B139" i="50" s="1"/>
  <c r="B146" i="50" s="1"/>
  <c r="B153" i="50" s="1"/>
  <c r="B160" i="50" s="1"/>
  <c r="B167" i="50" s="1"/>
  <c r="B174" i="50" s="1"/>
  <c r="B181" i="50" s="1"/>
  <c r="B188" i="50" s="1"/>
  <c r="B195" i="50" s="1"/>
  <c r="B202" i="50" s="1"/>
  <c r="B209" i="50" s="1"/>
  <c r="B216" i="50" s="1"/>
  <c r="B223" i="50" s="1"/>
  <c r="B230" i="50" s="1"/>
  <c r="B237" i="50" s="1"/>
  <c r="B244" i="50" s="1"/>
  <c r="B251" i="50" s="1"/>
  <c r="B258" i="50" s="1"/>
  <c r="B265" i="50" s="1"/>
  <c r="B272" i="50" s="1"/>
  <c r="B279" i="50" s="1"/>
  <c r="B286" i="50" s="1"/>
  <c r="B293" i="50" s="1"/>
  <c r="B300" i="50" s="1"/>
  <c r="B307" i="50" s="1"/>
  <c r="B314" i="50" s="1"/>
  <c r="B321" i="50" s="1"/>
  <c r="B328" i="50" s="1"/>
  <c r="B335" i="50" s="1"/>
  <c r="B342" i="50" s="1"/>
  <c r="B349" i="50" s="1"/>
  <c r="B356" i="50" s="1"/>
  <c r="B363" i="50" s="1"/>
  <c r="B370" i="50" s="1"/>
  <c r="B377" i="50" s="1"/>
  <c r="B384" i="50" s="1"/>
  <c r="B391" i="50" s="1"/>
  <c r="B398" i="50" s="1"/>
  <c r="B405" i="50" s="1"/>
  <c r="B412" i="50" s="1"/>
  <c r="B419" i="50" s="1"/>
  <c r="B426" i="50" s="1"/>
  <c r="B433" i="50" s="1"/>
  <c r="B440" i="50" s="1"/>
  <c r="B447" i="50" s="1"/>
  <c r="B454" i="50" s="1"/>
  <c r="B461" i="50" s="1"/>
  <c r="B468" i="50" s="1"/>
  <c r="B475" i="50" s="1"/>
  <c r="B482" i="50" s="1"/>
  <c r="B489" i="50" s="1"/>
  <c r="B496" i="50" s="1"/>
  <c r="B503" i="50" s="1"/>
  <c r="B510" i="50" s="1"/>
  <c r="B517" i="50" s="1"/>
  <c r="B524" i="50" s="1"/>
  <c r="B531" i="50" s="1"/>
  <c r="B538" i="50" s="1"/>
  <c r="B545" i="50" s="1"/>
  <c r="B552" i="50" s="1"/>
  <c r="B559" i="50" s="1"/>
  <c r="B566" i="50" s="1"/>
  <c r="B573" i="50" s="1"/>
  <c r="B580" i="50" s="1"/>
  <c r="B587" i="50" s="1"/>
  <c r="B594" i="50" s="1"/>
  <c r="B601" i="50" s="1"/>
  <c r="B608" i="50" s="1"/>
  <c r="B615" i="50" s="1"/>
  <c r="B622" i="50" s="1"/>
  <c r="B629" i="50" s="1"/>
  <c r="B636" i="50" s="1"/>
  <c r="B643" i="50" s="1"/>
  <c r="B650" i="50" s="1"/>
  <c r="B657" i="50" s="1"/>
  <c r="B664" i="50" s="1"/>
  <c r="B671" i="50" s="1"/>
  <c r="B678" i="50" s="1"/>
  <c r="B685" i="50" s="1"/>
  <c r="B692" i="50" s="1"/>
  <c r="B699" i="50" s="1"/>
  <c r="Q1" i="50"/>
  <c r="S703" i="50"/>
  <c r="AG703" i="50"/>
  <c r="S702" i="50"/>
  <c r="AG702" i="50"/>
  <c r="S701" i="50"/>
  <c r="AG701" i="50"/>
  <c r="S700" i="50"/>
  <c r="AG700" i="50"/>
  <c r="S699" i="50"/>
  <c r="AG699" i="50"/>
  <c r="S696" i="50"/>
  <c r="AG696" i="50"/>
  <c r="S695" i="50"/>
  <c r="AG695" i="50"/>
  <c r="S694" i="50"/>
  <c r="AG694" i="50"/>
  <c r="S693" i="50"/>
  <c r="AG693" i="50"/>
  <c r="S692" i="50"/>
  <c r="AG692" i="50"/>
  <c r="AC691" i="50"/>
  <c r="AA691" i="50"/>
  <c r="Y691" i="50"/>
  <c r="S689" i="50"/>
  <c r="AG689" i="50"/>
  <c r="S688" i="50"/>
  <c r="AG688" i="50"/>
  <c r="S687" i="50"/>
  <c r="AG687" i="50"/>
  <c r="S686" i="50"/>
  <c r="AG686" i="50"/>
  <c r="S685" i="50"/>
  <c r="AG685" i="50"/>
  <c r="AC684" i="50"/>
  <c r="AA684" i="50"/>
  <c r="Y684" i="50"/>
  <c r="S682" i="50"/>
  <c r="AG682" i="50"/>
  <c r="S681" i="50"/>
  <c r="AG681" i="50"/>
  <c r="S680" i="50"/>
  <c r="AG680" i="50"/>
  <c r="S679" i="50"/>
  <c r="AG679" i="50"/>
  <c r="S678" i="50"/>
  <c r="AG678" i="50"/>
  <c r="AC677" i="50"/>
  <c r="AA677" i="50"/>
  <c r="Y677" i="50"/>
  <c r="S675" i="50"/>
  <c r="AG675" i="50"/>
  <c r="S674" i="50"/>
  <c r="AG674" i="50"/>
  <c r="S673" i="50"/>
  <c r="AG673" i="50"/>
  <c r="S672" i="50"/>
  <c r="AG672" i="50"/>
  <c r="S671" i="50"/>
  <c r="AG671" i="50"/>
  <c r="AC670" i="50"/>
  <c r="AA670" i="50"/>
  <c r="Y670" i="50"/>
  <c r="S668" i="50"/>
  <c r="AG668" i="50"/>
  <c r="S667" i="50"/>
  <c r="AG667" i="50"/>
  <c r="S666" i="50"/>
  <c r="AG666" i="50"/>
  <c r="S665" i="50"/>
  <c r="AG665" i="50"/>
  <c r="S664" i="50"/>
  <c r="AG664" i="50"/>
  <c r="S661" i="50"/>
  <c r="AG661" i="50"/>
  <c r="S660" i="50"/>
  <c r="AG660" i="50"/>
  <c r="S659" i="50"/>
  <c r="AG659" i="50"/>
  <c r="S658" i="50"/>
  <c r="AG658" i="50"/>
  <c r="S657" i="50"/>
  <c r="AG657" i="50"/>
  <c r="AC656" i="50"/>
  <c r="AA656" i="50"/>
  <c r="Y656" i="50"/>
  <c r="S654" i="50"/>
  <c r="AG654" i="50"/>
  <c r="S653" i="50"/>
  <c r="AG653" i="50"/>
  <c r="S652" i="50"/>
  <c r="AG652" i="50"/>
  <c r="S651" i="50"/>
  <c r="AG651" i="50"/>
  <c r="S650" i="50"/>
  <c r="AG650" i="50"/>
  <c r="AC649" i="50"/>
  <c r="AA649" i="50"/>
  <c r="Y649" i="50"/>
  <c r="S647" i="50"/>
  <c r="AG647" i="50"/>
  <c r="S646" i="50"/>
  <c r="AG646" i="50"/>
  <c r="S645" i="50"/>
  <c r="AG645" i="50"/>
  <c r="S644" i="50"/>
  <c r="AG644" i="50"/>
  <c r="S643" i="50"/>
  <c r="AG643" i="50"/>
  <c r="AC642" i="50"/>
  <c r="AA642" i="50"/>
  <c r="Y642" i="50"/>
  <c r="S640" i="50"/>
  <c r="AG640" i="50"/>
  <c r="S639" i="50"/>
  <c r="AG639" i="50"/>
  <c r="S638" i="50"/>
  <c r="AG638" i="50"/>
  <c r="S637" i="50"/>
  <c r="AG637" i="50"/>
  <c r="S636" i="50"/>
  <c r="AG636" i="50"/>
  <c r="AC635" i="50"/>
  <c r="AA635" i="50"/>
  <c r="Y635" i="50"/>
  <c r="S633" i="50"/>
  <c r="AG633" i="50"/>
  <c r="S632" i="50"/>
  <c r="AG632" i="50"/>
  <c r="S631" i="50"/>
  <c r="AG631" i="50"/>
  <c r="S630" i="50"/>
  <c r="AG630" i="50"/>
  <c r="S629" i="50"/>
  <c r="AG629" i="50"/>
  <c r="AC628" i="50"/>
  <c r="AA628" i="50"/>
  <c r="Y628" i="50"/>
  <c r="S626" i="50"/>
  <c r="AG626" i="50"/>
  <c r="S625" i="50"/>
  <c r="AG625" i="50"/>
  <c r="S624" i="50"/>
  <c r="AG624" i="50"/>
  <c r="S623" i="50"/>
  <c r="AG623" i="50"/>
  <c r="S622" i="50"/>
  <c r="AG622" i="50"/>
  <c r="AC621" i="50"/>
  <c r="AA621" i="50"/>
  <c r="Y621" i="50"/>
  <c r="S619" i="50"/>
  <c r="AG619" i="50"/>
  <c r="S618" i="50"/>
  <c r="AG618" i="50"/>
  <c r="S617" i="50"/>
  <c r="AG617" i="50"/>
  <c r="S616" i="50"/>
  <c r="AG616" i="50"/>
  <c r="S615" i="50"/>
  <c r="AG615" i="50"/>
  <c r="AC614" i="50"/>
  <c r="AA614" i="50"/>
  <c r="Y614" i="50"/>
  <c r="S612" i="50"/>
  <c r="AG612" i="50"/>
  <c r="S611" i="50"/>
  <c r="AG611" i="50"/>
  <c r="S610" i="50"/>
  <c r="AG610" i="50"/>
  <c r="S609" i="50"/>
  <c r="AG609" i="50"/>
  <c r="S608" i="50"/>
  <c r="AG608" i="50"/>
  <c r="AC607" i="50"/>
  <c r="AA607" i="50"/>
  <c r="Y607" i="50"/>
  <c r="S605" i="50"/>
  <c r="AG605" i="50"/>
  <c r="S604" i="50"/>
  <c r="AG604" i="50"/>
  <c r="S603" i="50"/>
  <c r="AG603" i="50"/>
  <c r="S602" i="50"/>
  <c r="AG602" i="50"/>
  <c r="S601" i="50"/>
  <c r="AG601" i="50"/>
  <c r="AC600" i="50"/>
  <c r="AA600" i="50"/>
  <c r="Y600" i="50"/>
  <c r="S598" i="50"/>
  <c r="AG598" i="50"/>
  <c r="S597" i="50"/>
  <c r="AG597" i="50"/>
  <c r="S596" i="50"/>
  <c r="AG596" i="50"/>
  <c r="S595" i="50"/>
  <c r="AG595" i="50"/>
  <c r="S594" i="50"/>
  <c r="AG594" i="50"/>
  <c r="AC593" i="50"/>
  <c r="AA593" i="50"/>
  <c r="Y593" i="50"/>
  <c r="S591" i="50"/>
  <c r="AG591" i="50"/>
  <c r="S590" i="50"/>
  <c r="AG590" i="50"/>
  <c r="S589" i="50"/>
  <c r="AG589" i="50"/>
  <c r="S588" i="50"/>
  <c r="AG588" i="50"/>
  <c r="S587" i="50"/>
  <c r="AG587" i="50"/>
  <c r="AC586" i="50"/>
  <c r="AA586" i="50"/>
  <c r="Y586" i="50"/>
  <c r="S584" i="50"/>
  <c r="AG584" i="50"/>
  <c r="S583" i="50"/>
  <c r="AG583" i="50"/>
  <c r="S582" i="50"/>
  <c r="AG582" i="50"/>
  <c r="S581" i="50"/>
  <c r="AG581" i="50"/>
  <c r="S580" i="50"/>
  <c r="AG580" i="50"/>
  <c r="AC579" i="50"/>
  <c r="AA579" i="50"/>
  <c r="Y579" i="50"/>
  <c r="S577" i="50"/>
  <c r="AG577" i="50"/>
  <c r="S576" i="50"/>
  <c r="AG576" i="50"/>
  <c r="S575" i="50"/>
  <c r="AG575" i="50"/>
  <c r="S574" i="50"/>
  <c r="AG574" i="50"/>
  <c r="S573" i="50"/>
  <c r="AG573" i="50"/>
  <c r="AC572" i="50"/>
  <c r="AA572" i="50"/>
  <c r="Y572" i="50"/>
  <c r="S570" i="50"/>
  <c r="AG570" i="50"/>
  <c r="S569" i="50"/>
  <c r="AG569" i="50"/>
  <c r="S568" i="50"/>
  <c r="AG568" i="50"/>
  <c r="S567" i="50"/>
  <c r="AG567" i="50"/>
  <c r="S566" i="50"/>
  <c r="AG566" i="50"/>
  <c r="AC565" i="50"/>
  <c r="AA565" i="50"/>
  <c r="Y565" i="50"/>
  <c r="S563" i="50"/>
  <c r="AG563" i="50"/>
  <c r="S562" i="50"/>
  <c r="AG562" i="50"/>
  <c r="S561" i="50"/>
  <c r="AG561" i="50"/>
  <c r="S560" i="50"/>
  <c r="AG560" i="50"/>
  <c r="S559" i="50"/>
  <c r="AG559" i="50"/>
  <c r="AC558" i="50"/>
  <c r="AA558" i="50"/>
  <c r="Y558" i="50"/>
  <c r="S556" i="50"/>
  <c r="AG556" i="50"/>
  <c r="S555" i="50"/>
  <c r="AG555" i="50"/>
  <c r="S554" i="50"/>
  <c r="AG554" i="50"/>
  <c r="S553" i="50"/>
  <c r="AG553" i="50"/>
  <c r="S552" i="50"/>
  <c r="AG552" i="50"/>
  <c r="AC551" i="50"/>
  <c r="AA551" i="50"/>
  <c r="Y551" i="50"/>
  <c r="S549" i="50"/>
  <c r="AG549" i="50"/>
  <c r="S548" i="50"/>
  <c r="AG548" i="50"/>
  <c r="S547" i="50"/>
  <c r="AG547" i="50"/>
  <c r="S546" i="50"/>
  <c r="AG546" i="50"/>
  <c r="S545" i="50"/>
  <c r="AG545" i="50"/>
  <c r="AC544" i="50"/>
  <c r="AA544" i="50"/>
  <c r="Y544" i="50"/>
  <c r="S542" i="50"/>
  <c r="AG542" i="50"/>
  <c r="S541" i="50"/>
  <c r="AG541" i="50"/>
  <c r="S540" i="50"/>
  <c r="AG540" i="50"/>
  <c r="S539" i="50"/>
  <c r="AG539" i="50"/>
  <c r="S538" i="50"/>
  <c r="AG538" i="50"/>
  <c r="S535" i="50"/>
  <c r="AG535" i="50"/>
  <c r="S534" i="50"/>
  <c r="AG534" i="50"/>
  <c r="S533" i="50"/>
  <c r="AG533" i="50"/>
  <c r="S532" i="50"/>
  <c r="AG532" i="50"/>
  <c r="S531" i="50"/>
  <c r="AG531" i="50"/>
  <c r="AC530" i="50"/>
  <c r="AA530" i="50"/>
  <c r="Y530" i="50"/>
  <c r="S528" i="50"/>
  <c r="AG528" i="50"/>
  <c r="S527" i="50"/>
  <c r="AG527" i="50"/>
  <c r="S526" i="50"/>
  <c r="AG526" i="50"/>
  <c r="S525" i="50"/>
  <c r="AG525" i="50"/>
  <c r="S524" i="50"/>
  <c r="AG524" i="50"/>
  <c r="AC523" i="50"/>
  <c r="AA523" i="50"/>
  <c r="Y523" i="50"/>
  <c r="S521" i="50"/>
  <c r="AG521" i="50"/>
  <c r="S520" i="50"/>
  <c r="AG520" i="50"/>
  <c r="S519" i="50"/>
  <c r="AG519" i="50"/>
  <c r="S518" i="50"/>
  <c r="AG518" i="50"/>
  <c r="S517" i="50"/>
  <c r="AG517" i="50"/>
  <c r="AC516" i="50"/>
  <c r="AA516" i="50"/>
  <c r="Y516" i="50"/>
  <c r="S514" i="50"/>
  <c r="AG514" i="50"/>
  <c r="S513" i="50"/>
  <c r="AG513" i="50"/>
  <c r="S512" i="50"/>
  <c r="AG512" i="50"/>
  <c r="S511" i="50"/>
  <c r="AG511" i="50"/>
  <c r="S510" i="50"/>
  <c r="AG510" i="50"/>
  <c r="S507" i="50"/>
  <c r="AG507" i="50"/>
  <c r="S506" i="50"/>
  <c r="AG506" i="50"/>
  <c r="S505" i="50"/>
  <c r="AG505" i="50"/>
  <c r="S504" i="50"/>
  <c r="AG504" i="50"/>
  <c r="S503" i="50"/>
  <c r="AG503" i="50"/>
  <c r="S500" i="50"/>
  <c r="AG500" i="50"/>
  <c r="S499" i="50"/>
  <c r="AG499" i="50"/>
  <c r="S498" i="50"/>
  <c r="AG498" i="50"/>
  <c r="S497" i="50"/>
  <c r="AG497" i="50"/>
  <c r="S496" i="50"/>
  <c r="AG496" i="50"/>
  <c r="S493" i="50"/>
  <c r="AG493" i="50"/>
  <c r="S492" i="50"/>
  <c r="AG492" i="50"/>
  <c r="S491" i="50"/>
  <c r="AG491" i="50"/>
  <c r="S490" i="50"/>
  <c r="AG490" i="50"/>
  <c r="S489" i="50"/>
  <c r="AG489" i="50"/>
  <c r="S486" i="50"/>
  <c r="AG486" i="50"/>
  <c r="S485" i="50"/>
  <c r="AG485" i="50"/>
  <c r="S484" i="50"/>
  <c r="AG484" i="50"/>
  <c r="S483" i="50"/>
  <c r="AG483" i="50"/>
  <c r="S482" i="50"/>
  <c r="AG482" i="50"/>
  <c r="S479" i="50"/>
  <c r="AG479" i="50"/>
  <c r="S478" i="50"/>
  <c r="AG478" i="50"/>
  <c r="S477" i="50"/>
  <c r="AG477" i="50"/>
  <c r="S476" i="50"/>
  <c r="AG476" i="50"/>
  <c r="S475" i="50"/>
  <c r="AG475" i="50"/>
  <c r="AC474" i="50"/>
  <c r="AA474" i="50"/>
  <c r="Y474" i="50"/>
  <c r="W474" i="50"/>
  <c r="U474" i="50"/>
  <c r="S472" i="50"/>
  <c r="AG472" i="50"/>
  <c r="S471" i="50"/>
  <c r="AG471" i="50"/>
  <c r="S470" i="50"/>
  <c r="AG470" i="50"/>
  <c r="S469" i="50"/>
  <c r="AG469" i="50"/>
  <c r="S468" i="50"/>
  <c r="AG468" i="50"/>
  <c r="AC467" i="50"/>
  <c r="AA467" i="50"/>
  <c r="Y467" i="50"/>
  <c r="W467" i="50"/>
  <c r="U467" i="50"/>
  <c r="S465" i="50"/>
  <c r="AG465" i="50"/>
  <c r="S464" i="50"/>
  <c r="AG464" i="50"/>
  <c r="S463" i="50"/>
  <c r="AG463" i="50"/>
  <c r="S462" i="50"/>
  <c r="AG462" i="50"/>
  <c r="S461" i="50"/>
  <c r="AG461" i="50"/>
  <c r="AC460" i="50"/>
  <c r="AA460" i="50"/>
  <c r="Y460" i="50"/>
  <c r="W460" i="50"/>
  <c r="U460" i="50"/>
  <c r="S458" i="50"/>
  <c r="AG458" i="50"/>
  <c r="S457" i="50"/>
  <c r="AG457" i="50"/>
  <c r="S456" i="50"/>
  <c r="AG456" i="50"/>
  <c r="S455" i="50"/>
  <c r="AG455" i="50"/>
  <c r="S454" i="50"/>
  <c r="AG454" i="50"/>
  <c r="AC453" i="50"/>
  <c r="AA453" i="50"/>
  <c r="Y453" i="50"/>
  <c r="W453" i="50"/>
  <c r="U453" i="50"/>
  <c r="S451" i="50"/>
  <c r="AG451" i="50"/>
  <c r="S450" i="50"/>
  <c r="AG450" i="50"/>
  <c r="S449" i="50"/>
  <c r="AG449" i="50"/>
  <c r="S448" i="50"/>
  <c r="AG448" i="50"/>
  <c r="S447" i="50"/>
  <c r="AG447" i="50"/>
  <c r="AC446" i="50"/>
  <c r="AA446" i="50"/>
  <c r="Y446" i="50"/>
  <c r="W446" i="50"/>
  <c r="U446" i="50"/>
  <c r="S444" i="50"/>
  <c r="AG444" i="50"/>
  <c r="S443" i="50"/>
  <c r="AG443" i="50"/>
  <c r="S442" i="50"/>
  <c r="AG442" i="50"/>
  <c r="S441" i="50"/>
  <c r="AG441" i="50"/>
  <c r="S440" i="50"/>
  <c r="AG440" i="50"/>
  <c r="AC439" i="50"/>
  <c r="AA439" i="50"/>
  <c r="Y439" i="50"/>
  <c r="W439" i="50"/>
  <c r="U439" i="50"/>
  <c r="S437" i="50"/>
  <c r="AG437" i="50"/>
  <c r="S436" i="50"/>
  <c r="AG436" i="50"/>
  <c r="S435" i="50"/>
  <c r="AG435" i="50"/>
  <c r="S434" i="50"/>
  <c r="AG434" i="50"/>
  <c r="S433" i="50"/>
  <c r="AG433" i="50"/>
  <c r="AC432" i="50"/>
  <c r="AA432" i="50"/>
  <c r="Y432" i="50"/>
  <c r="W432" i="50"/>
  <c r="U432" i="50"/>
  <c r="S430" i="50"/>
  <c r="AG430" i="50"/>
  <c r="S429" i="50"/>
  <c r="AG429" i="50"/>
  <c r="S428" i="50"/>
  <c r="AG428" i="50"/>
  <c r="S427" i="50"/>
  <c r="AG427" i="50"/>
  <c r="S426" i="50"/>
  <c r="AG426" i="50"/>
  <c r="AC425" i="50"/>
  <c r="AA425" i="50"/>
  <c r="Y425" i="50"/>
  <c r="W425" i="50"/>
  <c r="U425" i="50"/>
  <c r="S423" i="50"/>
  <c r="AG423" i="50"/>
  <c r="S422" i="50"/>
  <c r="AG422" i="50"/>
  <c r="S421" i="50"/>
  <c r="AG421" i="50"/>
  <c r="S420" i="50"/>
  <c r="AG420" i="50"/>
  <c r="S419" i="50"/>
  <c r="AG419" i="50"/>
  <c r="S416" i="50"/>
  <c r="AG416" i="50"/>
  <c r="S415" i="50"/>
  <c r="AG415" i="50"/>
  <c r="S414" i="50"/>
  <c r="AG414" i="50"/>
  <c r="S413" i="50"/>
  <c r="AG413" i="50"/>
  <c r="S412" i="50"/>
  <c r="AG412" i="50"/>
  <c r="AC411" i="50"/>
  <c r="AA411" i="50"/>
  <c r="Y411" i="50"/>
  <c r="W411" i="50"/>
  <c r="U411" i="50"/>
  <c r="S409" i="50"/>
  <c r="AG409" i="50"/>
  <c r="S408" i="50"/>
  <c r="AG408" i="50"/>
  <c r="S407" i="50"/>
  <c r="AG407" i="50"/>
  <c r="S406" i="50"/>
  <c r="AG406" i="50"/>
  <c r="S405" i="50"/>
  <c r="AG405" i="50"/>
  <c r="AC404" i="50"/>
  <c r="AA404" i="50"/>
  <c r="Y404" i="50"/>
  <c r="W404" i="50"/>
  <c r="U404" i="50"/>
  <c r="S402" i="50"/>
  <c r="AG402" i="50"/>
  <c r="S401" i="50"/>
  <c r="AG401" i="50"/>
  <c r="S400" i="50"/>
  <c r="AG400" i="50"/>
  <c r="S399" i="50"/>
  <c r="AG399" i="50"/>
  <c r="S398" i="50"/>
  <c r="AG398" i="50"/>
  <c r="AC397" i="50"/>
  <c r="AA397" i="50"/>
  <c r="Y397" i="50"/>
  <c r="W397" i="50"/>
  <c r="U397" i="50"/>
  <c r="S395" i="50"/>
  <c r="AG395" i="50"/>
  <c r="S394" i="50"/>
  <c r="AG394" i="50"/>
  <c r="S393" i="50"/>
  <c r="AG393" i="50"/>
  <c r="S392" i="50"/>
  <c r="AG392" i="50"/>
  <c r="S391" i="50"/>
  <c r="AG391" i="50"/>
  <c r="AC390" i="50"/>
  <c r="AA390" i="50"/>
  <c r="Y390" i="50"/>
  <c r="W390" i="50"/>
  <c r="U390" i="50"/>
  <c r="S388" i="50"/>
  <c r="AG388" i="50"/>
  <c r="S387" i="50"/>
  <c r="AG387" i="50"/>
  <c r="S386" i="50"/>
  <c r="AG386" i="50"/>
  <c r="S385" i="50"/>
  <c r="AG385" i="50"/>
  <c r="S384" i="50"/>
  <c r="AG384" i="50"/>
  <c r="AC383" i="50"/>
  <c r="AA383" i="50"/>
  <c r="Y383" i="50"/>
  <c r="W383" i="50"/>
  <c r="U383" i="50"/>
  <c r="S381" i="50"/>
  <c r="AG381" i="50"/>
  <c r="S380" i="50"/>
  <c r="AG380" i="50"/>
  <c r="S379" i="50"/>
  <c r="AG379" i="50"/>
  <c r="S378" i="50"/>
  <c r="AG378" i="50"/>
  <c r="S377" i="50"/>
  <c r="AG377" i="50"/>
  <c r="S374" i="50"/>
  <c r="AG374" i="50"/>
  <c r="S373" i="50"/>
  <c r="AG373" i="50"/>
  <c r="S372" i="50"/>
  <c r="AG372" i="50"/>
  <c r="S371" i="50"/>
  <c r="AG371" i="50"/>
  <c r="S370" i="50"/>
  <c r="AG370" i="50"/>
  <c r="AC369" i="50"/>
  <c r="AA369" i="50"/>
  <c r="Y369" i="50"/>
  <c r="W369" i="50"/>
  <c r="U369" i="50"/>
  <c r="S367" i="50"/>
  <c r="AG367" i="50"/>
  <c r="S366" i="50"/>
  <c r="AG366" i="50"/>
  <c r="S365" i="50"/>
  <c r="AG365" i="50"/>
  <c r="S364" i="50"/>
  <c r="AG364" i="50"/>
  <c r="S363" i="50"/>
  <c r="AG363" i="50"/>
  <c r="S360" i="50"/>
  <c r="AG360" i="50"/>
  <c r="S359" i="50"/>
  <c r="AG359" i="50"/>
  <c r="S358" i="50"/>
  <c r="AG358" i="50"/>
  <c r="S357" i="50"/>
  <c r="AG357" i="50"/>
  <c r="S356" i="50"/>
  <c r="AG356" i="50"/>
  <c r="AC355" i="50"/>
  <c r="AA355" i="50"/>
  <c r="Y355" i="50"/>
  <c r="W355" i="50"/>
  <c r="U355" i="50"/>
  <c r="S353" i="50"/>
  <c r="AG353" i="50"/>
  <c r="S352" i="50"/>
  <c r="AG352" i="50"/>
  <c r="S351" i="50"/>
  <c r="AG351" i="50"/>
  <c r="S350" i="50"/>
  <c r="AG350" i="50"/>
  <c r="AG349" i="50"/>
  <c r="AC348" i="50"/>
  <c r="AA348" i="50"/>
  <c r="Y348" i="50"/>
  <c r="W348" i="50"/>
  <c r="U348" i="50"/>
  <c r="S344" i="50"/>
  <c r="AG344" i="50"/>
  <c r="S343" i="50"/>
  <c r="AG343" i="50"/>
  <c r="AC341" i="50"/>
  <c r="AA341" i="50"/>
  <c r="Y341" i="50"/>
  <c r="W341" i="50"/>
  <c r="U341" i="50"/>
  <c r="S339" i="50"/>
  <c r="AG339" i="50"/>
  <c r="S338" i="50"/>
  <c r="AG338" i="50"/>
  <c r="S337" i="50"/>
  <c r="AG337" i="50"/>
  <c r="S336" i="50"/>
  <c r="AG336" i="50"/>
  <c r="S335" i="50"/>
  <c r="AG335" i="50"/>
  <c r="AC334" i="50"/>
  <c r="AA334" i="50"/>
  <c r="Y334" i="50"/>
  <c r="W334" i="50"/>
  <c r="U334" i="50"/>
  <c r="S332" i="50"/>
  <c r="AG332" i="50"/>
  <c r="S331" i="50"/>
  <c r="AG331" i="50"/>
  <c r="S330" i="50"/>
  <c r="AG330" i="50"/>
  <c r="S329" i="50"/>
  <c r="AG329" i="50"/>
  <c r="S328" i="50"/>
  <c r="AG328" i="50"/>
  <c r="AC327" i="50"/>
  <c r="AA327" i="50"/>
  <c r="Y327" i="50"/>
  <c r="W327" i="50"/>
  <c r="U327" i="50"/>
  <c r="S325" i="50"/>
  <c r="AG325" i="50"/>
  <c r="S324" i="50"/>
  <c r="AG324" i="50"/>
  <c r="S323" i="50"/>
  <c r="AG323" i="50"/>
  <c r="S322" i="50"/>
  <c r="AG322" i="50"/>
  <c r="S321" i="50"/>
  <c r="AG321" i="50"/>
  <c r="AC320" i="50"/>
  <c r="AA320" i="50"/>
  <c r="Y320" i="50"/>
  <c r="W320" i="50"/>
  <c r="U320" i="50"/>
  <c r="S316" i="50"/>
  <c r="AG316" i="50"/>
  <c r="S315" i="50"/>
  <c r="AG315" i="50"/>
  <c r="AC313" i="50"/>
  <c r="AA313" i="50"/>
  <c r="Y313" i="50"/>
  <c r="W313" i="50"/>
  <c r="U313" i="50"/>
  <c r="S311" i="50"/>
  <c r="AG311" i="50"/>
  <c r="S310" i="50"/>
  <c r="AG310" i="50"/>
  <c r="S309" i="50"/>
  <c r="AG309" i="50"/>
  <c r="S308" i="50"/>
  <c r="AG308" i="50"/>
  <c r="S307" i="50"/>
  <c r="AG307" i="50"/>
  <c r="AC306" i="50"/>
  <c r="AA306" i="50"/>
  <c r="Y306" i="50"/>
  <c r="W306" i="50"/>
  <c r="U306" i="50"/>
  <c r="S304" i="50"/>
  <c r="AG304" i="50"/>
  <c r="S303" i="50"/>
  <c r="AG303" i="50"/>
  <c r="S302" i="50"/>
  <c r="AG302" i="50"/>
  <c r="S301" i="50"/>
  <c r="AG301" i="50"/>
  <c r="S300" i="50"/>
  <c r="AG300" i="50"/>
  <c r="AC299" i="50"/>
  <c r="AA299" i="50"/>
  <c r="Y299" i="50"/>
  <c r="S297" i="50"/>
  <c r="AG297" i="50"/>
  <c r="S296" i="50"/>
  <c r="AG296" i="50"/>
  <c r="S295" i="50"/>
  <c r="AG295" i="50"/>
  <c r="S294" i="50"/>
  <c r="AG294" i="50"/>
  <c r="S293" i="50"/>
  <c r="AG293" i="50"/>
  <c r="AC292" i="50"/>
  <c r="AA292" i="50"/>
  <c r="Y292" i="50"/>
  <c r="W292" i="50"/>
  <c r="U292" i="50"/>
  <c r="S290" i="50"/>
  <c r="AG290" i="50"/>
  <c r="S289" i="50"/>
  <c r="AG289" i="50"/>
  <c r="S288" i="50"/>
  <c r="AG288" i="50"/>
  <c r="S287" i="50"/>
  <c r="AG287" i="50"/>
  <c r="S286" i="50"/>
  <c r="AG286" i="50"/>
  <c r="AC285" i="50"/>
  <c r="AA285" i="50"/>
  <c r="Y285" i="50"/>
  <c r="W285" i="50"/>
  <c r="S283" i="50"/>
  <c r="AG283" i="50"/>
  <c r="S282" i="50"/>
  <c r="AG282" i="50"/>
  <c r="S281" i="50"/>
  <c r="AG281" i="50"/>
  <c r="S280" i="50"/>
  <c r="AG280" i="50"/>
  <c r="S279" i="50"/>
  <c r="AG279" i="50"/>
  <c r="AC278" i="50"/>
  <c r="AA278" i="50"/>
  <c r="Y278" i="50"/>
  <c r="W278" i="50"/>
  <c r="U278" i="50"/>
  <c r="S276" i="50"/>
  <c r="AG276" i="50"/>
  <c r="S275" i="50"/>
  <c r="AG275" i="50"/>
  <c r="S274" i="50"/>
  <c r="AG274" i="50"/>
  <c r="S273" i="50"/>
  <c r="AG273" i="50"/>
  <c r="S272" i="50"/>
  <c r="AG272" i="50"/>
  <c r="AC271" i="50"/>
  <c r="AA271" i="50"/>
  <c r="Y271" i="50"/>
  <c r="W271" i="50"/>
  <c r="U271" i="50"/>
  <c r="S269" i="50"/>
  <c r="AG269" i="50"/>
  <c r="S268" i="50"/>
  <c r="AG268" i="50"/>
  <c r="S267" i="50"/>
  <c r="AG267" i="50"/>
  <c r="S266" i="50"/>
  <c r="AG266" i="50"/>
  <c r="S265" i="50"/>
  <c r="AG265" i="50"/>
  <c r="S262" i="50"/>
  <c r="AG262" i="50"/>
  <c r="S261" i="50"/>
  <c r="AG261" i="50"/>
  <c r="S260" i="50"/>
  <c r="AG260" i="50"/>
  <c r="S259" i="50"/>
  <c r="AG259" i="50"/>
  <c r="S258" i="50"/>
  <c r="AG258" i="50"/>
  <c r="AC257" i="50"/>
  <c r="AA257" i="50"/>
  <c r="Y257" i="50"/>
  <c r="W257" i="50"/>
  <c r="U257" i="50"/>
  <c r="S255" i="50"/>
  <c r="AG255" i="50"/>
  <c r="S254" i="50"/>
  <c r="AG254" i="50"/>
  <c r="S253" i="50"/>
  <c r="AG253" i="50"/>
  <c r="S252" i="50"/>
  <c r="AG252" i="50"/>
  <c r="S251" i="50"/>
  <c r="AG251" i="50"/>
  <c r="AC250" i="50"/>
  <c r="AA250" i="50"/>
  <c r="Y250" i="50"/>
  <c r="W250" i="50"/>
  <c r="U250" i="50"/>
  <c r="S248" i="50"/>
  <c r="AG248" i="50"/>
  <c r="S247" i="50"/>
  <c r="AG247" i="50"/>
  <c r="S246" i="50"/>
  <c r="AG246" i="50"/>
  <c r="S245" i="50"/>
  <c r="AG245" i="50"/>
  <c r="S244" i="50"/>
  <c r="AG244" i="50"/>
  <c r="S241" i="50"/>
  <c r="AG241" i="50"/>
  <c r="S240" i="50"/>
  <c r="AG240" i="50"/>
  <c r="S239" i="50"/>
  <c r="AG239" i="50"/>
  <c r="S238" i="50"/>
  <c r="AG238" i="50"/>
  <c r="S237" i="50"/>
  <c r="AG237" i="50"/>
  <c r="AC236" i="50"/>
  <c r="AA236" i="50"/>
  <c r="Y236" i="50"/>
  <c r="W236" i="50"/>
  <c r="U236" i="50"/>
  <c r="S234" i="50"/>
  <c r="AG234" i="50"/>
  <c r="S233" i="50"/>
  <c r="AG233" i="50"/>
  <c r="S232" i="50"/>
  <c r="AG232" i="50"/>
  <c r="S231" i="50"/>
  <c r="AG231" i="50"/>
  <c r="S230" i="50"/>
  <c r="AG230" i="50"/>
  <c r="AC229" i="50"/>
  <c r="AA229" i="50"/>
  <c r="Y229" i="50"/>
  <c r="W229" i="50"/>
  <c r="U229" i="50"/>
  <c r="S227" i="50"/>
  <c r="AG227" i="50"/>
  <c r="S226" i="50"/>
  <c r="AG226" i="50"/>
  <c r="S225" i="50"/>
  <c r="AG225" i="50"/>
  <c r="S224" i="50"/>
  <c r="AG224" i="50"/>
  <c r="S223" i="50"/>
  <c r="AG223" i="50"/>
  <c r="AC222" i="50"/>
  <c r="AA222" i="50"/>
  <c r="Y222" i="50"/>
  <c r="W222" i="50"/>
  <c r="U222" i="50"/>
  <c r="S220" i="50"/>
  <c r="AG220" i="50"/>
  <c r="S219" i="50"/>
  <c r="AG219" i="50"/>
  <c r="S218" i="50"/>
  <c r="AG218" i="50"/>
  <c r="S217" i="50"/>
  <c r="AG217" i="50"/>
  <c r="S216" i="50"/>
  <c r="AG216" i="50"/>
  <c r="S213" i="50"/>
  <c r="AG213" i="50"/>
  <c r="S212" i="50"/>
  <c r="AG212" i="50"/>
  <c r="S211" i="50"/>
  <c r="AG211" i="50"/>
  <c r="S210" i="50"/>
  <c r="AG210" i="50"/>
  <c r="S209" i="50"/>
  <c r="AG209" i="50"/>
  <c r="S206" i="50"/>
  <c r="AG206" i="50"/>
  <c r="S205" i="50"/>
  <c r="AG205" i="50"/>
  <c r="S204" i="50"/>
  <c r="AG204" i="50"/>
  <c r="S203" i="50"/>
  <c r="AG203" i="50"/>
  <c r="S202" i="50"/>
  <c r="AG202" i="50"/>
  <c r="AC201" i="50"/>
  <c r="AA201" i="50"/>
  <c r="Y201" i="50"/>
  <c r="W201" i="50"/>
  <c r="U201" i="50"/>
  <c r="S199" i="50"/>
  <c r="AG199" i="50"/>
  <c r="S198" i="50"/>
  <c r="AG198" i="50"/>
  <c r="S197" i="50"/>
  <c r="AG197" i="50"/>
  <c r="S196" i="50"/>
  <c r="AG196" i="50"/>
  <c r="S195" i="50"/>
  <c r="AG195" i="50"/>
  <c r="U194" i="50"/>
  <c r="S192" i="50"/>
  <c r="AG192" i="50"/>
  <c r="S191" i="50"/>
  <c r="AG191" i="50"/>
  <c r="S190" i="50"/>
  <c r="AG190" i="50"/>
  <c r="S189" i="50"/>
  <c r="AG189" i="50"/>
  <c r="S188" i="50"/>
  <c r="AG188" i="50"/>
  <c r="AC187" i="50"/>
  <c r="AA187" i="50"/>
  <c r="Y187" i="50"/>
  <c r="W187" i="50"/>
  <c r="U187" i="50"/>
  <c r="S185" i="50"/>
  <c r="AG185" i="50"/>
  <c r="S184" i="50"/>
  <c r="AG184" i="50"/>
  <c r="S183" i="50"/>
  <c r="AG183" i="50"/>
  <c r="S182" i="50"/>
  <c r="AG182" i="50"/>
  <c r="S181" i="50"/>
  <c r="AG181" i="50"/>
  <c r="AC180" i="50"/>
  <c r="AA180" i="50"/>
  <c r="Y180" i="50"/>
  <c r="W180" i="50"/>
  <c r="U180" i="50"/>
  <c r="S178" i="50"/>
  <c r="AG178" i="50"/>
  <c r="S177" i="50"/>
  <c r="AG177" i="50"/>
  <c r="S176" i="50"/>
  <c r="AG176" i="50"/>
  <c r="S175" i="50"/>
  <c r="AG175" i="50"/>
  <c r="S174" i="50"/>
  <c r="AG174" i="50"/>
  <c r="S171" i="50"/>
  <c r="AG171" i="50"/>
  <c r="S170" i="50"/>
  <c r="AG170" i="50"/>
  <c r="S169" i="50"/>
  <c r="AG169" i="50"/>
  <c r="S168" i="50"/>
  <c r="AG168" i="50"/>
  <c r="S167" i="50"/>
  <c r="AG167" i="50"/>
  <c r="AC166" i="50"/>
  <c r="AA166" i="50"/>
  <c r="Y166" i="50"/>
  <c r="W166" i="50"/>
  <c r="U166" i="50"/>
  <c r="S164" i="50"/>
  <c r="AG164" i="50"/>
  <c r="S163" i="50"/>
  <c r="AG163" i="50"/>
  <c r="S162" i="50"/>
  <c r="AG162" i="50"/>
  <c r="S161" i="50"/>
  <c r="AG161" i="50"/>
  <c r="S160" i="50"/>
  <c r="AG160" i="50"/>
  <c r="AC159" i="50"/>
  <c r="AA159" i="50"/>
  <c r="Y159" i="50"/>
  <c r="W159" i="50"/>
  <c r="U159" i="50"/>
  <c r="S157" i="50"/>
  <c r="AG157" i="50"/>
  <c r="S156" i="50"/>
  <c r="AG156" i="50"/>
  <c r="S155" i="50"/>
  <c r="AG155" i="50"/>
  <c r="S154" i="50"/>
  <c r="AG154" i="50"/>
  <c r="S153" i="50"/>
  <c r="AG153" i="50"/>
  <c r="AC152" i="50"/>
  <c r="AA152" i="50"/>
  <c r="Y152" i="50"/>
  <c r="W152" i="50"/>
  <c r="U152" i="50"/>
  <c r="S150" i="50"/>
  <c r="AG150" i="50"/>
  <c r="S149" i="50"/>
  <c r="AG149" i="50"/>
  <c r="S148" i="50"/>
  <c r="AG148" i="50"/>
  <c r="S147" i="50"/>
  <c r="AG147" i="50"/>
  <c r="S146" i="50"/>
  <c r="AG146" i="50"/>
  <c r="AC145" i="50"/>
  <c r="AA145" i="50"/>
  <c r="Y145" i="50"/>
  <c r="W145" i="50"/>
  <c r="U145" i="50"/>
  <c r="S143" i="50"/>
  <c r="AG143" i="50"/>
  <c r="S142" i="50"/>
  <c r="AG142" i="50"/>
  <c r="S141" i="50"/>
  <c r="AG141" i="50"/>
  <c r="S140" i="50"/>
  <c r="AG140" i="50"/>
  <c r="S139" i="50"/>
  <c r="AG139" i="50"/>
  <c r="AC138" i="50"/>
  <c r="AA138" i="50"/>
  <c r="Y138" i="50"/>
  <c r="W138" i="50"/>
  <c r="U138" i="50"/>
  <c r="S136" i="50"/>
  <c r="AG136" i="50"/>
  <c r="S135" i="50"/>
  <c r="AG135" i="50"/>
  <c r="S134" i="50"/>
  <c r="AG134" i="50"/>
  <c r="S133" i="50"/>
  <c r="AG133" i="50"/>
  <c r="S132" i="50"/>
  <c r="AG132" i="50"/>
  <c r="AC131" i="50"/>
  <c r="AA131" i="50"/>
  <c r="Y131" i="50"/>
  <c r="W131" i="50"/>
  <c r="U131" i="50"/>
  <c r="S129" i="50"/>
  <c r="AG129" i="50"/>
  <c r="S128" i="50"/>
  <c r="AG128" i="50"/>
  <c r="S127" i="50"/>
  <c r="AG127" i="50"/>
  <c r="S126" i="50"/>
  <c r="AG126" i="50"/>
  <c r="S125" i="50"/>
  <c r="AG125" i="50"/>
  <c r="AC124" i="50"/>
  <c r="AA124" i="50"/>
  <c r="Y124" i="50"/>
  <c r="W124" i="50"/>
  <c r="U124" i="50"/>
  <c r="S122" i="50"/>
  <c r="AG122" i="50"/>
  <c r="S121" i="50"/>
  <c r="AG121" i="50"/>
  <c r="S120" i="50"/>
  <c r="AG120" i="50"/>
  <c r="S119" i="50"/>
  <c r="AG119" i="50"/>
  <c r="S118" i="50"/>
  <c r="AG118" i="50"/>
  <c r="AA117" i="50"/>
  <c r="Y117" i="50"/>
  <c r="W117" i="50"/>
  <c r="U117" i="50"/>
  <c r="S115" i="50"/>
  <c r="AG115" i="50"/>
  <c r="S114" i="50"/>
  <c r="AG114" i="50"/>
  <c r="S113" i="50"/>
  <c r="AG113" i="50"/>
  <c r="S112" i="50"/>
  <c r="AG112" i="50"/>
  <c r="S111" i="50"/>
  <c r="AG111" i="50"/>
  <c r="AA110" i="50"/>
  <c r="Y110" i="50"/>
  <c r="W110" i="50"/>
  <c r="U110" i="50"/>
  <c r="S108" i="50"/>
  <c r="AG108" i="50"/>
  <c r="S107" i="50"/>
  <c r="AG107" i="50"/>
  <c r="S106" i="50"/>
  <c r="AG106" i="50"/>
  <c r="S105" i="50"/>
  <c r="AG105" i="50"/>
  <c r="S104" i="50"/>
  <c r="AG104" i="50"/>
  <c r="AA103" i="50"/>
  <c r="Y103" i="50"/>
  <c r="W103" i="50"/>
  <c r="U103" i="50"/>
  <c r="S101" i="50"/>
  <c r="AG101" i="50"/>
  <c r="S100" i="50"/>
  <c r="AG100" i="50"/>
  <c r="S99" i="50"/>
  <c r="AG99" i="50"/>
  <c r="S98" i="50"/>
  <c r="AG98" i="50"/>
  <c r="S97" i="50"/>
  <c r="AG97" i="50"/>
  <c r="AA96" i="50"/>
  <c r="Y96" i="50"/>
  <c r="W96" i="50"/>
  <c r="U96" i="50"/>
  <c r="S94" i="50"/>
  <c r="AG94" i="50"/>
  <c r="S93" i="50"/>
  <c r="AG93" i="50"/>
  <c r="S92" i="50"/>
  <c r="AG92" i="50"/>
  <c r="S91" i="50"/>
  <c r="AG91" i="50"/>
  <c r="S90" i="50"/>
  <c r="AG90" i="50"/>
  <c r="AA89" i="50"/>
  <c r="Y89" i="50"/>
  <c r="W89" i="50"/>
  <c r="U89" i="50"/>
  <c r="S87" i="50"/>
  <c r="AG87" i="50"/>
  <c r="S86" i="50"/>
  <c r="AG86" i="50"/>
  <c r="S85" i="50"/>
  <c r="AG85" i="50"/>
  <c r="S84" i="50"/>
  <c r="AG84" i="50"/>
  <c r="S83" i="50"/>
  <c r="AG83" i="50"/>
  <c r="AA82" i="50"/>
  <c r="Y82" i="50"/>
  <c r="W82" i="50"/>
  <c r="U82" i="50"/>
  <c r="S80" i="50"/>
  <c r="AG80" i="50"/>
  <c r="S79" i="50"/>
  <c r="AG79" i="50"/>
  <c r="S78" i="50"/>
  <c r="AG78" i="50"/>
  <c r="S77" i="50"/>
  <c r="AG77" i="50"/>
  <c r="S76" i="50"/>
  <c r="AG76" i="50"/>
  <c r="AA75" i="50"/>
  <c r="Y75" i="50"/>
  <c r="W75" i="50"/>
  <c r="U75" i="50"/>
  <c r="S73" i="50"/>
  <c r="AG73" i="50"/>
  <c r="S72" i="50"/>
  <c r="AG72" i="50"/>
  <c r="S71" i="50"/>
  <c r="AG71" i="50"/>
  <c r="S70" i="50"/>
  <c r="AG70" i="50"/>
  <c r="S69" i="50"/>
  <c r="AG69" i="50"/>
  <c r="AA68" i="50"/>
  <c r="Y68" i="50"/>
  <c r="W68" i="50"/>
  <c r="U68" i="50"/>
  <c r="S66" i="50"/>
  <c r="AG66" i="50"/>
  <c r="S65" i="50"/>
  <c r="AG65" i="50"/>
  <c r="S64" i="50"/>
  <c r="AG64" i="50"/>
  <c r="S63" i="50"/>
  <c r="AG63" i="50"/>
  <c r="S62" i="50"/>
  <c r="AG62" i="50"/>
  <c r="AA61" i="50"/>
  <c r="Y61" i="50"/>
  <c r="W61" i="50"/>
  <c r="U61" i="50"/>
  <c r="S59" i="50"/>
  <c r="AG59" i="50"/>
  <c r="S58" i="50"/>
  <c r="AG58" i="50"/>
  <c r="S57" i="50"/>
  <c r="AG57" i="50"/>
  <c r="S56" i="50"/>
  <c r="AG56" i="50"/>
  <c r="S55" i="50"/>
  <c r="AG55" i="50"/>
  <c r="S52" i="50"/>
  <c r="AG52" i="50"/>
  <c r="S51" i="50"/>
  <c r="AG51" i="50"/>
  <c r="S50" i="50"/>
  <c r="AG50" i="50"/>
  <c r="S49" i="50"/>
  <c r="AG49" i="50"/>
  <c r="S48" i="50"/>
  <c r="AG48" i="50"/>
  <c r="W47" i="50"/>
  <c r="U47" i="50"/>
  <c r="S45" i="50"/>
  <c r="AG45" i="50"/>
  <c r="S44" i="50"/>
  <c r="AG44" i="50"/>
  <c r="S43" i="50"/>
  <c r="AG43" i="50"/>
  <c r="S42" i="50"/>
  <c r="AG42" i="50"/>
  <c r="S41" i="50"/>
  <c r="AG41" i="50"/>
  <c r="S38" i="50"/>
  <c r="AG38" i="50"/>
  <c r="S37" i="50"/>
  <c r="AG37" i="50"/>
  <c r="S36" i="50"/>
  <c r="AG36" i="50"/>
  <c r="S35" i="50"/>
  <c r="AG35" i="50"/>
  <c r="S34" i="50"/>
  <c r="AG34" i="50"/>
  <c r="S31" i="50"/>
  <c r="AG31" i="50"/>
  <c r="S30" i="50"/>
  <c r="AG30" i="50"/>
  <c r="S29" i="50"/>
  <c r="AG29" i="50"/>
  <c r="S28" i="50"/>
  <c r="AG28" i="50"/>
  <c r="S27" i="50"/>
  <c r="AG27" i="50"/>
  <c r="S24" i="50"/>
  <c r="AG24" i="50"/>
  <c r="S23" i="50"/>
  <c r="AG23" i="50"/>
  <c r="S22" i="50"/>
  <c r="AG22" i="50"/>
  <c r="S21" i="50"/>
  <c r="AG21" i="50"/>
  <c r="S20" i="50"/>
  <c r="AG20" i="50"/>
  <c r="AA19" i="50"/>
  <c r="Y19" i="50"/>
  <c r="W19" i="50"/>
  <c r="U19" i="50"/>
  <c r="S17" i="50"/>
  <c r="AG17" i="50"/>
  <c r="S16" i="50"/>
  <c r="AG16" i="50"/>
  <c r="S15" i="50"/>
  <c r="AG15" i="50"/>
  <c r="S14" i="50"/>
  <c r="AG14" i="50"/>
  <c r="S13" i="50"/>
  <c r="AG13" i="50"/>
  <c r="AA12" i="50"/>
  <c r="Y12" i="50"/>
  <c r="W12" i="50"/>
  <c r="U12" i="50"/>
  <c r="S10" i="50"/>
  <c r="AG10" i="50"/>
  <c r="S9" i="50"/>
  <c r="AG9" i="50"/>
  <c r="S8" i="50"/>
  <c r="AG8" i="50"/>
  <c r="S7" i="50"/>
  <c r="AG7" i="50"/>
  <c r="S6" i="50"/>
  <c r="AG6" i="50"/>
  <c r="J7" i="70"/>
  <c r="J4" i="70"/>
  <c r="T47" i="57"/>
  <c r="F11" i="70"/>
  <c r="F13" i="70" s="1"/>
  <c r="G25" i="70"/>
  <c r="G27" i="70" s="1"/>
  <c r="G30" i="70" s="1"/>
  <c r="F9" i="70"/>
  <c r="E8" i="70"/>
  <c r="F8" i="70" s="1"/>
  <c r="B19" i="70"/>
  <c r="B12" i="70"/>
  <c r="B14" i="70" s="1"/>
  <c r="F23" i="61"/>
  <c r="H23" i="61"/>
  <c r="BI47" i="49"/>
  <c r="I23" i="61"/>
  <c r="AP358" i="49"/>
  <c r="AP359" i="49" s="1"/>
  <c r="AP116" i="49"/>
  <c r="BS115" i="49"/>
  <c r="BS114" i="49"/>
  <c r="BS113" i="49"/>
  <c r="H113" i="49"/>
  <c r="BS112" i="49"/>
  <c r="H112" i="49"/>
  <c r="BS111" i="49"/>
  <c r="H111" i="49"/>
  <c r="BS110" i="49"/>
  <c r="H110" i="49"/>
  <c r="BS109" i="49"/>
  <c r="H109" i="49"/>
  <c r="BS108" i="49"/>
  <c r="H108" i="49"/>
  <c r="BS107" i="49"/>
  <c r="H107" i="49"/>
  <c r="BS106" i="49"/>
  <c r="H106" i="49"/>
  <c r="BS105" i="49"/>
  <c r="H105" i="49"/>
  <c r="BS104" i="49"/>
  <c r="H104" i="49"/>
  <c r="BS103" i="49"/>
  <c r="H103" i="49"/>
  <c r="BS102" i="49"/>
  <c r="H102" i="49"/>
  <c r="BS101" i="49"/>
  <c r="H101" i="49"/>
  <c r="BS100" i="49"/>
  <c r="H100" i="49"/>
  <c r="BS99" i="49"/>
  <c r="H99" i="49"/>
  <c r="BS98" i="49"/>
  <c r="H98" i="49"/>
  <c r="BS97" i="49"/>
  <c r="H97" i="49"/>
  <c r="BS96" i="49"/>
  <c r="H96" i="49"/>
  <c r="BS95" i="49"/>
  <c r="H95" i="49"/>
  <c r="BS94" i="49"/>
  <c r="H94" i="49"/>
  <c r="BS93" i="49"/>
  <c r="H93" i="49"/>
  <c r="BS92" i="49"/>
  <c r="H92" i="49"/>
  <c r="BS91" i="49"/>
  <c r="H91" i="49"/>
  <c r="BS90" i="49"/>
  <c r="H90" i="49"/>
  <c r="BS89" i="49"/>
  <c r="H89" i="49"/>
  <c r="BS88" i="49"/>
  <c r="H88" i="49"/>
  <c r="BS87" i="49"/>
  <c r="H87" i="49"/>
  <c r="BS86" i="49"/>
  <c r="H86" i="49"/>
  <c r="BS85" i="49"/>
  <c r="H85" i="49"/>
  <c r="BS84" i="49"/>
  <c r="BS83" i="49"/>
  <c r="BS81" i="49"/>
  <c r="H81" i="49"/>
  <c r="BS80" i="49"/>
  <c r="H80" i="49"/>
  <c r="BS79" i="49"/>
  <c r="H79" i="49"/>
  <c r="BS78" i="49"/>
  <c r="H78" i="49"/>
  <c r="BS77" i="49"/>
  <c r="H77" i="49"/>
  <c r="BS76" i="49"/>
  <c r="H76" i="49"/>
  <c r="BS75" i="49"/>
  <c r="H75" i="49"/>
  <c r="BS74" i="49"/>
  <c r="BS73" i="49"/>
  <c r="BI73" i="49"/>
  <c r="BQ73" i="49" s="1"/>
  <c r="H73" i="49"/>
  <c r="BS72" i="49"/>
  <c r="BM72" i="49"/>
  <c r="BI72" i="49"/>
  <c r="H72" i="49"/>
  <c r="BS71" i="49"/>
  <c r="BM71" i="49"/>
  <c r="BI71" i="49"/>
  <c r="BS70" i="49"/>
  <c r="BM70" i="49"/>
  <c r="BI70" i="49"/>
  <c r="BS69" i="49"/>
  <c r="BM69" i="49"/>
  <c r="BI69" i="49"/>
  <c r="BS68" i="49"/>
  <c r="BI68" i="49"/>
  <c r="BQ68" i="49" s="1"/>
  <c r="BS67" i="49"/>
  <c r="BM67" i="49"/>
  <c r="BI67" i="49"/>
  <c r="BS66" i="49"/>
  <c r="BM66" i="49"/>
  <c r="BI66" i="49"/>
  <c r="BS65" i="49"/>
  <c r="BM65" i="49"/>
  <c r="BI65" i="49"/>
  <c r="BS64" i="49"/>
  <c r="BI64" i="49"/>
  <c r="BS63" i="49"/>
  <c r="BM63" i="49"/>
  <c r="BI63" i="49"/>
  <c r="BS62" i="49"/>
  <c r="BM62" i="49"/>
  <c r="BI62" i="49"/>
  <c r="BS61" i="49"/>
  <c r="BM61" i="49"/>
  <c r="BI61" i="49"/>
  <c r="BS60" i="49"/>
  <c r="BI60" i="49"/>
  <c r="BM60" i="49"/>
  <c r="H60" i="49"/>
  <c r="BS59" i="49"/>
  <c r="BM59" i="49"/>
  <c r="BI59" i="49"/>
  <c r="BS58" i="49"/>
  <c r="BM58" i="49"/>
  <c r="BI58" i="49"/>
  <c r="BS57" i="49"/>
  <c r="BM57" i="49"/>
  <c r="BI57" i="49"/>
  <c r="BS56" i="49"/>
  <c r="BM56" i="49"/>
  <c r="BI56" i="49"/>
  <c r="BS55" i="49"/>
  <c r="BM55" i="49"/>
  <c r="BI55" i="49"/>
  <c r="BS54" i="49"/>
  <c r="BM54" i="49"/>
  <c r="BQ54" i="49" s="1"/>
  <c r="BI54" i="49"/>
  <c r="BS53" i="49"/>
  <c r="BM53" i="49"/>
  <c r="BI53" i="49"/>
  <c r="BS52" i="49"/>
  <c r="BM52" i="49"/>
  <c r="BI52" i="49"/>
  <c r="BS51" i="49"/>
  <c r="BM51" i="49"/>
  <c r="BI51" i="49"/>
  <c r="BS50" i="49"/>
  <c r="BM50" i="49"/>
  <c r="BI50" i="49"/>
  <c r="BS49" i="49"/>
  <c r="BM49" i="49"/>
  <c r="BI49" i="49"/>
  <c r="BS48" i="49"/>
  <c r="BM48" i="49"/>
  <c r="BI48" i="49"/>
  <c r="BS47" i="49"/>
  <c r="BM47" i="49"/>
  <c r="BS46" i="49"/>
  <c r="BM46" i="49"/>
  <c r="BI46" i="49"/>
  <c r="BS45" i="49"/>
  <c r="BM45" i="49"/>
  <c r="BI45" i="49"/>
  <c r="BS44" i="49"/>
  <c r="BM44" i="49"/>
  <c r="BI44" i="49"/>
  <c r="BS43" i="49"/>
  <c r="BM43" i="49"/>
  <c r="BI43" i="49"/>
  <c r="BS42" i="49"/>
  <c r="BM42" i="49"/>
  <c r="BI42" i="49"/>
  <c r="BS41" i="49"/>
  <c r="BM41" i="49"/>
  <c r="BI41" i="49"/>
  <c r="BS40" i="49"/>
  <c r="BM40" i="49"/>
  <c r="BI40" i="49"/>
  <c r="BS39" i="49"/>
  <c r="BM39" i="49"/>
  <c r="BI39" i="49"/>
  <c r="BS38" i="49"/>
  <c r="BM38" i="49"/>
  <c r="BI38" i="49"/>
  <c r="BS37" i="49"/>
  <c r="BM37" i="49"/>
  <c r="BI37" i="49"/>
  <c r="BS36" i="49"/>
  <c r="BM36" i="49"/>
  <c r="BI36" i="49"/>
  <c r="BS35" i="49"/>
  <c r="BM35" i="49"/>
  <c r="BI35" i="49"/>
  <c r="BS34" i="49"/>
  <c r="BM34" i="49"/>
  <c r="BI34" i="49"/>
  <c r="BS33" i="49"/>
  <c r="BM33" i="49"/>
  <c r="BI33" i="49"/>
  <c r="BS32" i="49"/>
  <c r="BM32" i="49"/>
  <c r="BI32" i="49"/>
  <c r="BS31" i="49"/>
  <c r="BM31" i="49"/>
  <c r="BI31" i="49"/>
  <c r="BS30" i="49"/>
  <c r="BM30" i="49"/>
  <c r="BI30" i="49"/>
  <c r="BS29" i="49"/>
  <c r="BM29" i="49"/>
  <c r="BI29" i="49"/>
  <c r="H29" i="49"/>
  <c r="BS24" i="49"/>
  <c r="BM24" i="49"/>
  <c r="BI24" i="49"/>
  <c r="AV21" i="61"/>
  <c r="AD20" i="61"/>
  <c r="O26" i="61"/>
  <c r="O24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B19" i="61"/>
  <c r="N16" i="61"/>
  <c r="M16" i="61"/>
  <c r="L16" i="61"/>
  <c r="K16" i="61"/>
  <c r="J16" i="61"/>
  <c r="I16" i="61"/>
  <c r="H16" i="61"/>
  <c r="G16" i="61"/>
  <c r="F16" i="61"/>
  <c r="E16" i="61"/>
  <c r="D16" i="61"/>
  <c r="C16" i="61"/>
  <c r="B16" i="61"/>
  <c r="N14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B12" i="61"/>
  <c r="O7" i="61"/>
  <c r="AV23" i="61"/>
  <c r="AV22" i="61"/>
  <c r="AD25" i="61"/>
  <c r="AD22" i="61"/>
  <c r="AD18" i="61"/>
  <c r="AD17" i="61"/>
  <c r="AD15" i="61"/>
  <c r="AD13" i="61"/>
  <c r="AD11" i="61"/>
  <c r="AD10" i="61"/>
  <c r="AD9" i="61"/>
  <c r="AD8" i="61"/>
  <c r="M24" i="61"/>
  <c r="L24" i="61"/>
  <c r="K24" i="61"/>
  <c r="J24" i="61"/>
  <c r="I24" i="61"/>
  <c r="H24" i="61"/>
  <c r="G24" i="61"/>
  <c r="F24" i="61"/>
  <c r="D11" i="51"/>
  <c r="E11" i="51" s="1"/>
  <c r="F11" i="51" s="1"/>
  <c r="G11" i="51" s="1"/>
  <c r="H11" i="51" s="1"/>
  <c r="I11" i="51" s="1"/>
  <c r="J11" i="51" s="1"/>
  <c r="K11" i="51" s="1"/>
  <c r="L11" i="51" s="1"/>
  <c r="M11" i="51" s="1"/>
  <c r="N11" i="51" s="1"/>
  <c r="D9" i="51"/>
  <c r="E9" i="51" s="1"/>
  <c r="F9" i="51" s="1"/>
  <c r="D10" i="51"/>
  <c r="E10" i="51" s="1"/>
  <c r="F10" i="51" s="1"/>
  <c r="G10" i="51" s="1"/>
  <c r="H10" i="51" s="1"/>
  <c r="I10" i="51" s="1"/>
  <c r="J10" i="51" s="1"/>
  <c r="K10" i="51" s="1"/>
  <c r="L10" i="51" s="1"/>
  <c r="M10" i="51" s="1"/>
  <c r="N10" i="51" s="1"/>
  <c r="C6" i="51"/>
  <c r="D6" i="51" s="1"/>
  <c r="E6" i="51" s="1"/>
  <c r="F6" i="51" s="1"/>
  <c r="G6" i="51" s="1"/>
  <c r="H6" i="51" s="1"/>
  <c r="I6" i="51" s="1"/>
  <c r="J6" i="51" s="1"/>
  <c r="K6" i="51" s="1"/>
  <c r="L6" i="51" s="1"/>
  <c r="M6" i="51" s="1"/>
  <c r="N6" i="51" s="1"/>
  <c r="F27" i="51"/>
  <c r="G27" i="51" s="1"/>
  <c r="H27" i="51" s="1"/>
  <c r="E26" i="51"/>
  <c r="F26" i="51" s="1"/>
  <c r="G26" i="51" s="1"/>
  <c r="H26" i="51" s="1"/>
  <c r="I26" i="51" s="1"/>
  <c r="J26" i="51" s="1"/>
  <c r="K26" i="51" s="1"/>
  <c r="L26" i="51" s="1"/>
  <c r="M26" i="51" s="1"/>
  <c r="N26" i="51" s="1"/>
  <c r="J23" i="51"/>
  <c r="K23" i="51" s="1"/>
  <c r="L23" i="51" s="1"/>
  <c r="M23" i="51" s="1"/>
  <c r="N23" i="51" s="1"/>
  <c r="D22" i="51"/>
  <c r="E21" i="51"/>
  <c r="D18" i="51"/>
  <c r="I16" i="51"/>
  <c r="G16" i="51" s="1"/>
  <c r="H16" i="51" s="1"/>
  <c r="D15" i="51"/>
  <c r="F14" i="51"/>
  <c r="G14" i="51" s="1"/>
  <c r="H14" i="51" s="1"/>
  <c r="I14" i="51" s="1"/>
  <c r="J14" i="51" s="1"/>
  <c r="K14" i="51" s="1"/>
  <c r="L14" i="51" s="1"/>
  <c r="M14" i="51" s="1"/>
  <c r="N14" i="51" s="1"/>
  <c r="D7" i="32"/>
  <c r="D11" i="32" s="1"/>
  <c r="L7" i="32"/>
  <c r="T7" i="32"/>
  <c r="AB7" i="32"/>
  <c r="AB16" i="32"/>
  <c r="AJ7" i="32"/>
  <c r="E19" i="35"/>
  <c r="D19" i="35"/>
  <c r="D22" i="35" s="1"/>
  <c r="F19" i="35"/>
  <c r="G19" i="35"/>
  <c r="G41" i="35" s="1"/>
  <c r="G43" i="35" s="1"/>
  <c r="AS39" i="32"/>
  <c r="D79" i="32" s="1"/>
  <c r="G82" i="35"/>
  <c r="K100" i="35" s="1"/>
  <c r="J90" i="32"/>
  <c r="J69" i="32"/>
  <c r="AB40" i="32"/>
  <c r="AF39" i="32"/>
  <c r="T40" i="32"/>
  <c r="T30" i="32"/>
  <c r="T27" i="32"/>
  <c r="W40" i="32"/>
  <c r="W30" i="32"/>
  <c r="W41" i="32" s="1"/>
  <c r="W27" i="32"/>
  <c r="X39" i="32"/>
  <c r="L40" i="32"/>
  <c r="P39" i="32"/>
  <c r="AV32" i="32"/>
  <c r="AV33" i="32"/>
  <c r="AV34" i="32"/>
  <c r="AV35" i="32"/>
  <c r="AV36" i="32"/>
  <c r="AV37" i="32"/>
  <c r="AV38" i="32"/>
  <c r="AV39" i="32"/>
  <c r="AW39" i="32" s="1"/>
  <c r="AV28" i="32"/>
  <c r="AV30" i="32" s="1"/>
  <c r="AV25" i="32"/>
  <c r="AV26" i="32"/>
  <c r="AV24" i="32"/>
  <c r="AV18" i="32"/>
  <c r="AV17" i="32"/>
  <c r="AV16" i="32"/>
  <c r="AV15" i="32"/>
  <c r="AV13" i="32"/>
  <c r="AV12" i="32"/>
  <c r="AV11" i="32"/>
  <c r="AE10" i="32"/>
  <c r="AE19" i="32"/>
  <c r="AE40" i="32"/>
  <c r="AE30" i="32"/>
  <c r="AE27" i="32"/>
  <c r="AE31" i="32"/>
  <c r="W10" i="32"/>
  <c r="W14" i="32" s="1"/>
  <c r="W19" i="32"/>
  <c r="W31" i="32"/>
  <c r="O10" i="32"/>
  <c r="O6" i="32" s="1"/>
  <c r="O19" i="32"/>
  <c r="O40" i="32"/>
  <c r="P40" i="32" s="1"/>
  <c r="O30" i="32"/>
  <c r="O27" i="32"/>
  <c r="O31" i="32"/>
  <c r="D40" i="32"/>
  <c r="H39" i="32"/>
  <c r="G10" i="32"/>
  <c r="G14" i="32" s="1"/>
  <c r="G19" i="32"/>
  <c r="G23" i="32" s="1"/>
  <c r="G40" i="32"/>
  <c r="G30" i="32"/>
  <c r="G27" i="32"/>
  <c r="G31" i="32"/>
  <c r="I80" i="32"/>
  <c r="I81" i="32" s="1"/>
  <c r="I53" i="32"/>
  <c r="I50" i="32" s="1"/>
  <c r="I92" i="32"/>
  <c r="G63" i="32"/>
  <c r="G80" i="32"/>
  <c r="G81" i="32" s="1"/>
  <c r="G92" i="32"/>
  <c r="AS32" i="32"/>
  <c r="D72" i="32" s="1"/>
  <c r="AS33" i="32"/>
  <c r="D73" i="32" s="1"/>
  <c r="AS35" i="32"/>
  <c r="D76" i="32" s="1"/>
  <c r="AS36" i="32"/>
  <c r="D77" i="32" s="1"/>
  <c r="AS37" i="32"/>
  <c r="D78" i="32" s="1"/>
  <c r="AS28" i="32"/>
  <c r="G46" i="32"/>
  <c r="G45" i="32"/>
  <c r="AS34" i="32"/>
  <c r="D75" i="32" s="1"/>
  <c r="J75" i="32" s="1"/>
  <c r="AS38" i="32"/>
  <c r="AS25" i="32"/>
  <c r="AS26" i="32"/>
  <c r="D66" i="32" s="1"/>
  <c r="AS24" i="32"/>
  <c r="D31" i="32"/>
  <c r="L31" i="32"/>
  <c r="T31" i="32"/>
  <c r="AB31" i="32"/>
  <c r="AJ31" i="32"/>
  <c r="AJ40" i="32"/>
  <c r="AJ30" i="32"/>
  <c r="AJ27" i="32"/>
  <c r="AB30" i="32"/>
  <c r="AB27" i="32"/>
  <c r="L30" i="32"/>
  <c r="L41" i="32" s="1"/>
  <c r="L27" i="32"/>
  <c r="D30" i="32"/>
  <c r="D27" i="32"/>
  <c r="H19" i="35"/>
  <c r="H22" i="35" s="1"/>
  <c r="I19" i="35"/>
  <c r="I51" i="35" s="1"/>
  <c r="I53" i="35" s="1"/>
  <c r="J19" i="35"/>
  <c r="K19" i="35"/>
  <c r="K31" i="35" s="1"/>
  <c r="K33" i="35" s="1"/>
  <c r="L19" i="35"/>
  <c r="M19" i="35"/>
  <c r="I91" i="32"/>
  <c r="G91" i="32"/>
  <c r="C9" i="35"/>
  <c r="C7" i="35" s="1"/>
  <c r="AA23" i="32"/>
  <c r="B62" i="32"/>
  <c r="B61" i="32"/>
  <c r="B60" i="32"/>
  <c r="L125" i="35"/>
  <c r="M52" i="38" s="1"/>
  <c r="J125" i="35"/>
  <c r="K52" i="38" s="1"/>
  <c r="I125" i="35"/>
  <c r="J52" i="38" s="1"/>
  <c r="F125" i="35"/>
  <c r="E52" i="38" s="1"/>
  <c r="E125" i="35"/>
  <c r="D52" i="38" s="1"/>
  <c r="M124" i="35"/>
  <c r="N53" i="38" s="1"/>
  <c r="L124" i="35"/>
  <c r="M53" i="38" s="1"/>
  <c r="K124" i="35"/>
  <c r="L53" i="38" s="1"/>
  <c r="J124" i="35"/>
  <c r="I124" i="35"/>
  <c r="J53" i="38" s="1"/>
  <c r="H124" i="35"/>
  <c r="I53" i="38" s="1"/>
  <c r="G124" i="35"/>
  <c r="F53" i="38" s="1"/>
  <c r="F124" i="35"/>
  <c r="E53" i="38" s="1"/>
  <c r="E124" i="35"/>
  <c r="D53" i="38" s="1"/>
  <c r="L123" i="35"/>
  <c r="M54" i="38" s="1"/>
  <c r="J123" i="35"/>
  <c r="K54" i="38" s="1"/>
  <c r="I123" i="35"/>
  <c r="J54" i="38" s="1"/>
  <c r="F123" i="35"/>
  <c r="E54" i="38" s="1"/>
  <c r="E123" i="35"/>
  <c r="D54" i="38" s="1"/>
  <c r="M122" i="35"/>
  <c r="N56" i="38" s="1"/>
  <c r="L122" i="35"/>
  <c r="M56" i="38" s="1"/>
  <c r="K122" i="35"/>
  <c r="L56" i="38" s="1"/>
  <c r="J122" i="35"/>
  <c r="K56" i="38" s="1"/>
  <c r="I122" i="35"/>
  <c r="J56" i="38" s="1"/>
  <c r="H122" i="35"/>
  <c r="I56" i="38" s="1"/>
  <c r="G122" i="35"/>
  <c r="F56" i="38" s="1"/>
  <c r="F122" i="35"/>
  <c r="E56" i="38" s="1"/>
  <c r="D122" i="35"/>
  <c r="C56" i="38" s="1"/>
  <c r="E122" i="35"/>
  <c r="D56" i="38" s="1"/>
  <c r="M121" i="35"/>
  <c r="N55" i="38" s="1"/>
  <c r="L121" i="35"/>
  <c r="M55" i="38" s="1"/>
  <c r="K121" i="35"/>
  <c r="L55" i="38" s="1"/>
  <c r="J121" i="35"/>
  <c r="K55" i="38" s="1"/>
  <c r="I121" i="35"/>
  <c r="J55" i="38" s="1"/>
  <c r="H121" i="35"/>
  <c r="I55" i="38" s="1"/>
  <c r="G121" i="35"/>
  <c r="F55" i="38" s="1"/>
  <c r="F121" i="35"/>
  <c r="E55" i="38" s="1"/>
  <c r="E121" i="35"/>
  <c r="D55" i="38" s="1"/>
  <c r="L120" i="35"/>
  <c r="J120" i="35"/>
  <c r="I120" i="35"/>
  <c r="F120" i="35"/>
  <c r="E51" i="38" s="1"/>
  <c r="E120" i="35"/>
  <c r="D51" i="38" s="1"/>
  <c r="D125" i="35"/>
  <c r="C52" i="38" s="1"/>
  <c r="D124" i="35"/>
  <c r="D123" i="35"/>
  <c r="D121" i="35"/>
  <c r="C55" i="38" s="1"/>
  <c r="D120" i="35"/>
  <c r="C51" i="38" s="1"/>
  <c r="M94" i="32"/>
  <c r="D73" i="35"/>
  <c r="F73" i="35"/>
  <c r="H73" i="35"/>
  <c r="J73" i="35"/>
  <c r="L73" i="35"/>
  <c r="B3" i="32"/>
  <c r="B2" i="32"/>
  <c r="AS13" i="32"/>
  <c r="D53" i="32" s="1"/>
  <c r="AS12" i="32"/>
  <c r="D52" i="32" s="1"/>
  <c r="L13" i="35"/>
  <c r="L28" i="35" s="1"/>
  <c r="J13" i="35"/>
  <c r="D13" i="35"/>
  <c r="D68" i="35" s="1"/>
  <c r="G2" i="35"/>
  <c r="M118" i="35"/>
  <c r="L118" i="35"/>
  <c r="K118" i="35"/>
  <c r="J118" i="35"/>
  <c r="I118" i="35"/>
  <c r="H118" i="35"/>
  <c r="G118" i="35"/>
  <c r="F118" i="35"/>
  <c r="E118" i="35"/>
  <c r="D118" i="35"/>
  <c r="L110" i="35"/>
  <c r="J110" i="35"/>
  <c r="I110" i="35"/>
  <c r="F110" i="35"/>
  <c r="E110" i="35"/>
  <c r="D110" i="35"/>
  <c r="L101" i="35"/>
  <c r="J101" i="35"/>
  <c r="I101" i="35"/>
  <c r="F101" i="35"/>
  <c r="E101" i="35"/>
  <c r="D101" i="35"/>
  <c r="L93" i="35"/>
  <c r="J93" i="35"/>
  <c r="I93" i="35"/>
  <c r="F93" i="35"/>
  <c r="E93" i="35"/>
  <c r="D93" i="35"/>
  <c r="G53" i="38"/>
  <c r="H53" i="38"/>
  <c r="G54" i="38"/>
  <c r="H54" i="38"/>
  <c r="G55" i="38"/>
  <c r="H55" i="38"/>
  <c r="G56" i="38"/>
  <c r="H56" i="38"/>
  <c r="G51" i="38"/>
  <c r="H51" i="38"/>
  <c r="H13" i="35"/>
  <c r="H48" i="35" s="1"/>
  <c r="M82" i="35"/>
  <c r="L82" i="35"/>
  <c r="K82" i="35"/>
  <c r="E82" i="35"/>
  <c r="M92" i="35" s="1"/>
  <c r="I82" i="35"/>
  <c r="M109" i="35" s="1"/>
  <c r="H82" i="35"/>
  <c r="G109" i="35" s="1"/>
  <c r="H81" i="35"/>
  <c r="F82" i="35"/>
  <c r="F81" i="35"/>
  <c r="F13" i="35"/>
  <c r="L81" i="35"/>
  <c r="D81" i="35"/>
  <c r="D82" i="35"/>
  <c r="J82" i="35"/>
  <c r="J81" i="35"/>
  <c r="J61" i="32"/>
  <c r="H86" i="32"/>
  <c r="J86" i="32"/>
  <c r="H61" i="32"/>
  <c r="G95" i="35"/>
  <c r="D70" i="32"/>
  <c r="J70" i="32" s="1"/>
  <c r="D74" i="32"/>
  <c r="I37" i="38"/>
  <c r="N37" i="38"/>
  <c r="G37" i="38"/>
  <c r="J37" i="38"/>
  <c r="K37" i="38"/>
  <c r="D37" i="38"/>
  <c r="E37" i="38"/>
  <c r="L37" i="38"/>
  <c r="F37" i="38"/>
  <c r="C37" i="38"/>
  <c r="M37" i="38"/>
  <c r="H37" i="38"/>
  <c r="H95" i="35"/>
  <c r="H101" i="35" s="1"/>
  <c r="G87" i="35"/>
  <c r="H87" i="35"/>
  <c r="H104" i="35"/>
  <c r="H110" i="35" s="1"/>
  <c r="G104" i="35"/>
  <c r="E45" i="38"/>
  <c r="F45" i="38"/>
  <c r="C45" i="38"/>
  <c r="H45" i="38"/>
  <c r="D45" i="38"/>
  <c r="G45" i="38"/>
  <c r="H52" i="38"/>
  <c r="G52" i="38"/>
  <c r="D89" i="32"/>
  <c r="K104" i="35"/>
  <c r="K110" i="35" s="1"/>
  <c r="M104" i="35"/>
  <c r="M110" i="35" s="1"/>
  <c r="M95" i="35"/>
  <c r="M101" i="35" s="1"/>
  <c r="K95" i="35"/>
  <c r="K101" i="35" s="1"/>
  <c r="K87" i="35"/>
  <c r="K93" i="35" s="1"/>
  <c r="M87" i="35"/>
  <c r="M93" i="35" s="1"/>
  <c r="N45" i="38"/>
  <c r="J45" i="38"/>
  <c r="M45" i="38"/>
  <c r="K45" i="38"/>
  <c r="L45" i="38"/>
  <c r="I45" i="38"/>
  <c r="D21" i="38"/>
  <c r="C21" i="38"/>
  <c r="E21" i="38"/>
  <c r="F21" i="38"/>
  <c r="F12" i="38"/>
  <c r="F14" i="38" s="1"/>
  <c r="G12" i="38"/>
  <c r="G13" i="38" s="1"/>
  <c r="D12" i="38"/>
  <c r="C10" i="38"/>
  <c r="C11" i="38" s="1"/>
  <c r="E12" i="38"/>
  <c r="D10" i="38"/>
  <c r="D11" i="38" s="1"/>
  <c r="E10" i="38"/>
  <c r="E11" i="38"/>
  <c r="G21" i="38"/>
  <c r="H12" i="38"/>
  <c r="H14" i="38" s="1"/>
  <c r="C12" i="38"/>
  <c r="H10" i="38"/>
  <c r="H11" i="38" s="1"/>
  <c r="G10" i="38"/>
  <c r="G11" i="38" s="1"/>
  <c r="F10" i="38"/>
  <c r="F11" i="38" s="1"/>
  <c r="I21" i="38"/>
  <c r="H21" i="38"/>
  <c r="L12" i="38"/>
  <c r="L14" i="38" s="1"/>
  <c r="N12" i="38"/>
  <c r="K12" i="38"/>
  <c r="M12" i="38"/>
  <c r="J12" i="38"/>
  <c r="J21" i="38"/>
  <c r="K10" i="38"/>
  <c r="K11" i="38" s="1"/>
  <c r="J10" i="38"/>
  <c r="J11" i="38" s="1"/>
  <c r="N10" i="38"/>
  <c r="N11" i="38" s="1"/>
  <c r="M10" i="38"/>
  <c r="M11" i="38" s="1"/>
  <c r="I12" i="38"/>
  <c r="I13" i="38" s="1"/>
  <c r="L10" i="38"/>
  <c r="L11" i="38" s="1"/>
  <c r="I10" i="38"/>
  <c r="I11" i="38" s="1"/>
  <c r="K21" i="38"/>
  <c r="L21" i="38"/>
  <c r="M21" i="38"/>
  <c r="N21" i="38"/>
  <c r="D23" i="38"/>
  <c r="E23" i="38"/>
  <c r="N23" i="38"/>
  <c r="C23" i="38"/>
  <c r="F23" i="38"/>
  <c r="G23" i="38"/>
  <c r="L23" i="38"/>
  <c r="J23" i="38"/>
  <c r="H23" i="38"/>
  <c r="M23" i="38"/>
  <c r="K23" i="38"/>
  <c r="I23" i="38"/>
  <c r="J10" i="61"/>
  <c r="AN10" i="61" s="1"/>
  <c r="K10" i="61"/>
  <c r="AO10" i="61" s="1"/>
  <c r="G10" i="61"/>
  <c r="AK10" i="61" s="1"/>
  <c r="L10" i="61"/>
  <c r="AP10" i="61" s="1"/>
  <c r="H10" i="61"/>
  <c r="AL10" i="61" s="1"/>
  <c r="M10" i="61"/>
  <c r="AQ10" i="61" s="1"/>
  <c r="I10" i="61"/>
  <c r="AM10" i="61" s="1"/>
  <c r="E10" i="61"/>
  <c r="AI10" i="61" s="1"/>
  <c r="C48" i="38"/>
  <c r="K48" i="38"/>
  <c r="N48" i="38"/>
  <c r="E48" i="38"/>
  <c r="H48" i="38"/>
  <c r="F48" i="38"/>
  <c r="G48" i="38"/>
  <c r="L48" i="38"/>
  <c r="I48" i="38"/>
  <c r="J48" i="38"/>
  <c r="M48" i="38"/>
  <c r="AV11" i="61"/>
  <c r="K47" i="38"/>
  <c r="N47" i="38"/>
  <c r="M47" i="38"/>
  <c r="I47" i="38"/>
  <c r="D47" i="38"/>
  <c r="C47" i="38"/>
  <c r="D48" i="38"/>
  <c r="J47" i="38"/>
  <c r="G47" i="38"/>
  <c r="H47" i="38"/>
  <c r="L47" i="38"/>
  <c r="F47" i="38"/>
  <c r="E47" i="38"/>
  <c r="D85" i="32"/>
  <c r="J85" i="32" s="1"/>
  <c r="D83" i="32"/>
  <c r="C24" i="61"/>
  <c r="D24" i="61"/>
  <c r="B24" i="61"/>
  <c r="N24" i="61"/>
  <c r="E24" i="61"/>
  <c r="AV28" i="61"/>
  <c r="AV29" i="61"/>
  <c r="H118" i="57"/>
  <c r="AV14" i="61"/>
  <c r="AV15" i="61"/>
  <c r="AV19" i="61"/>
  <c r="O19" i="61"/>
  <c r="D10" i="61"/>
  <c r="AH10" i="61" s="1"/>
  <c r="B10" i="61"/>
  <c r="AF10" i="61" s="1"/>
  <c r="F10" i="61"/>
  <c r="AJ10" i="61" s="1"/>
  <c r="C10" i="61"/>
  <c r="AG10" i="61" s="1"/>
  <c r="K53" i="38"/>
  <c r="N10" i="61"/>
  <c r="AR10" i="61" s="1"/>
  <c r="AS10" i="61" s="1"/>
  <c r="G23" i="61"/>
  <c r="L23" i="61"/>
  <c r="D23" i="61"/>
  <c r="B23" i="61"/>
  <c r="J23" i="61"/>
  <c r="K23" i="61"/>
  <c r="C23" i="61"/>
  <c r="E23" i="61"/>
  <c r="M23" i="61"/>
  <c r="O16" i="61"/>
  <c r="T51" i="57"/>
  <c r="BB74" i="49"/>
  <c r="Q118" i="57"/>
  <c r="S55" i="57"/>
  <c r="R118" i="57"/>
  <c r="R98" i="57"/>
  <c r="AX187" i="49"/>
  <c r="AX170" i="49"/>
  <c r="AX188" i="49"/>
  <c r="BC137" i="49"/>
  <c r="O140" i="49"/>
  <c r="O142" i="49"/>
  <c r="O163" i="49"/>
  <c r="AS135" i="49"/>
  <c r="T20" i="57"/>
  <c r="F118" i="57"/>
  <c r="J118" i="57"/>
  <c r="N118" i="57"/>
  <c r="N98" i="57"/>
  <c r="N119" i="57" s="1"/>
  <c r="G118" i="57"/>
  <c r="K118" i="57"/>
  <c r="O118" i="57"/>
  <c r="T77" i="57"/>
  <c r="J101" i="57"/>
  <c r="M106" i="57"/>
  <c r="F98" i="57"/>
  <c r="K101" i="57"/>
  <c r="Q103" i="57"/>
  <c r="G105" i="57"/>
  <c r="N106" i="57"/>
  <c r="H108" i="57"/>
  <c r="K113" i="57"/>
  <c r="F114" i="57"/>
  <c r="P116" i="57"/>
  <c r="T52" i="57"/>
  <c r="T83" i="57"/>
  <c r="S25" i="57"/>
  <c r="M100" i="35"/>
  <c r="M104" i="57"/>
  <c r="T18" i="57"/>
  <c r="L118" i="57"/>
  <c r="P118" i="57"/>
  <c r="I118" i="57"/>
  <c r="M118" i="57"/>
  <c r="S15" i="57"/>
  <c r="T46" i="57"/>
  <c r="T15" i="57"/>
  <c r="S46" i="57"/>
  <c r="T75" i="57"/>
  <c r="BM64" i="49"/>
  <c r="AU358" i="49"/>
  <c r="AU359" i="49" s="1"/>
  <c r="BB50" i="49"/>
  <c r="BB53" i="49"/>
  <c r="BB32" i="49"/>
  <c r="BB73" i="49"/>
  <c r="R112" i="57"/>
  <c r="R117" i="57"/>
  <c r="S18" i="57"/>
  <c r="S16" i="57"/>
  <c r="M99" i="57"/>
  <c r="N102" i="57"/>
  <c r="L104" i="57"/>
  <c r="T17" i="57"/>
  <c r="M107" i="57"/>
  <c r="F110" i="57"/>
  <c r="T21" i="57"/>
  <c r="M111" i="57"/>
  <c r="L112" i="57"/>
  <c r="M115" i="57"/>
  <c r="P97" i="57"/>
  <c r="F99" i="57"/>
  <c r="T48" i="57"/>
  <c r="R111" i="57"/>
  <c r="J14" i="38"/>
  <c r="H61" i="35"/>
  <c r="H63" i="35" s="1"/>
  <c r="H64" i="35" s="1"/>
  <c r="T16" i="57"/>
  <c r="H97" i="57"/>
  <c r="L97" i="57"/>
  <c r="G98" i="57"/>
  <c r="K98" i="57"/>
  <c r="K119" i="57" s="1"/>
  <c r="O98" i="57"/>
  <c r="J99" i="57"/>
  <c r="N99" i="57"/>
  <c r="T10" i="57"/>
  <c r="I100" i="57"/>
  <c r="M100" i="57"/>
  <c r="Q100" i="57"/>
  <c r="H101" i="57"/>
  <c r="L101" i="57"/>
  <c r="P101" i="57"/>
  <c r="G102" i="57"/>
  <c r="K102" i="57"/>
  <c r="O102" i="57"/>
  <c r="F103" i="57"/>
  <c r="J103" i="57"/>
  <c r="N103" i="57"/>
  <c r="R103" i="57"/>
  <c r="I104" i="57"/>
  <c r="Q104" i="57"/>
  <c r="H105" i="57"/>
  <c r="L105" i="57"/>
  <c r="P105" i="57"/>
  <c r="G106" i="57"/>
  <c r="K106" i="57"/>
  <c r="O106" i="57"/>
  <c r="F107" i="57"/>
  <c r="J107" i="57"/>
  <c r="N107" i="57"/>
  <c r="R107" i="57"/>
  <c r="I108" i="57"/>
  <c r="M108" i="57"/>
  <c r="Q108" i="57"/>
  <c r="H109" i="57"/>
  <c r="L109" i="57"/>
  <c r="P109" i="57"/>
  <c r="G110" i="57"/>
  <c r="K110" i="57"/>
  <c r="O110" i="57"/>
  <c r="F111" i="57"/>
  <c r="J111" i="57"/>
  <c r="N111" i="57"/>
  <c r="T22" i="57"/>
  <c r="I112" i="57"/>
  <c r="M112" i="57"/>
  <c r="Q112" i="57"/>
  <c r="H113" i="57"/>
  <c r="L113" i="57"/>
  <c r="P113" i="57"/>
  <c r="G114" i="57"/>
  <c r="K114" i="57"/>
  <c r="O114" i="57"/>
  <c r="F115" i="57"/>
  <c r="J115" i="57"/>
  <c r="N115" i="57"/>
  <c r="R115" i="57"/>
  <c r="I116" i="57"/>
  <c r="M116" i="57"/>
  <c r="Q116" i="57"/>
  <c r="H117" i="57"/>
  <c r="L117" i="57"/>
  <c r="P117" i="57"/>
  <c r="G99" i="57"/>
  <c r="O99" i="57"/>
  <c r="M101" i="57"/>
  <c r="H102" i="57"/>
  <c r="P102" i="57"/>
  <c r="F104" i="57"/>
  <c r="N104" i="57"/>
  <c r="T45" i="57"/>
  <c r="L106" i="57"/>
  <c r="F108" i="57"/>
  <c r="J108" i="57"/>
  <c r="T49" i="57"/>
  <c r="Q109" i="57"/>
  <c r="F112" i="57"/>
  <c r="T53" i="57"/>
  <c r="I113" i="57"/>
  <c r="G115" i="57"/>
  <c r="J116" i="57"/>
  <c r="I117" i="57"/>
  <c r="J97" i="57"/>
  <c r="R97" i="57"/>
  <c r="H99" i="57"/>
  <c r="F101" i="57"/>
  <c r="H103" i="57"/>
  <c r="G104" i="57"/>
  <c r="J105" i="57"/>
  <c r="S76" i="57"/>
  <c r="K108" i="57"/>
  <c r="Q110" i="57"/>
  <c r="H111" i="57"/>
  <c r="K112" i="57"/>
  <c r="I114" i="57"/>
  <c r="P115" i="57"/>
  <c r="F117" i="57"/>
  <c r="R99" i="57"/>
  <c r="T19" i="57"/>
  <c r="T23" i="57"/>
  <c r="S45" i="57"/>
  <c r="I97" i="57"/>
  <c r="M97" i="57"/>
  <c r="Q97" i="57"/>
  <c r="H98" i="57"/>
  <c r="H119" i="57" s="1"/>
  <c r="L98" i="57"/>
  <c r="P98" i="57"/>
  <c r="K99" i="57"/>
  <c r="F100" i="57"/>
  <c r="J100" i="57"/>
  <c r="N100" i="57"/>
  <c r="R100" i="57"/>
  <c r="T100" i="57" s="1"/>
  <c r="I101" i="57"/>
  <c r="Q101" i="57"/>
  <c r="L102" i="57"/>
  <c r="G103" i="57"/>
  <c r="K103" i="57"/>
  <c r="O103" i="57"/>
  <c r="J104" i="57"/>
  <c r="R104" i="57"/>
  <c r="I105" i="57"/>
  <c r="M105" i="57"/>
  <c r="Q105" i="57"/>
  <c r="H106" i="57"/>
  <c r="P106" i="57"/>
  <c r="G107" i="57"/>
  <c r="K107" i="57"/>
  <c r="O107" i="57"/>
  <c r="N108" i="57"/>
  <c r="I109" i="57"/>
  <c r="M109" i="57"/>
  <c r="H110" i="57"/>
  <c r="L110" i="57"/>
  <c r="P110" i="57"/>
  <c r="G111" i="57"/>
  <c r="K111" i="57"/>
  <c r="O111" i="57"/>
  <c r="J112" i="57"/>
  <c r="N112" i="57"/>
  <c r="M113" i="57"/>
  <c r="Q113" i="57"/>
  <c r="H114" i="57"/>
  <c r="L114" i="57"/>
  <c r="P114" i="57"/>
  <c r="K115" i="57"/>
  <c r="O115" i="57"/>
  <c r="F116" i="57"/>
  <c r="N116" i="57"/>
  <c r="R116" i="57"/>
  <c r="M117" i="57"/>
  <c r="Q117" i="57"/>
  <c r="R34" i="57"/>
  <c r="N97" i="57"/>
  <c r="I98" i="57"/>
  <c r="M98" i="57"/>
  <c r="Q98" i="57"/>
  <c r="L99" i="57"/>
  <c r="P99" i="57"/>
  <c r="G100" i="57"/>
  <c r="K100" i="57"/>
  <c r="O100" i="57"/>
  <c r="N101" i="57"/>
  <c r="R101" i="57"/>
  <c r="I102" i="57"/>
  <c r="M102" i="57"/>
  <c r="Q102" i="57"/>
  <c r="L103" i="57"/>
  <c r="P103" i="57"/>
  <c r="K104" i="57"/>
  <c r="O104" i="57"/>
  <c r="F105" i="57"/>
  <c r="N105" i="57"/>
  <c r="R105" i="57"/>
  <c r="T105" i="57" s="1"/>
  <c r="I106" i="57"/>
  <c r="Q106" i="57"/>
  <c r="H107" i="57"/>
  <c r="L107" i="57"/>
  <c r="P107" i="57"/>
  <c r="G108" i="57"/>
  <c r="O108" i="57"/>
  <c r="F109" i="57"/>
  <c r="J109" i="57"/>
  <c r="N109" i="57"/>
  <c r="R109" i="57"/>
  <c r="I110" i="57"/>
  <c r="M110" i="57"/>
  <c r="L111" i="57"/>
  <c r="P111" i="57"/>
  <c r="G112" i="57"/>
  <c r="O112" i="57"/>
  <c r="F113" i="57"/>
  <c r="J113" i="57"/>
  <c r="N113" i="57"/>
  <c r="R113" i="57"/>
  <c r="M114" i="57"/>
  <c r="Q114" i="57"/>
  <c r="H115" i="57"/>
  <c r="L115" i="57"/>
  <c r="G116" i="57"/>
  <c r="K116" i="57"/>
  <c r="O116" i="57"/>
  <c r="J117" i="57"/>
  <c r="N117" i="57"/>
  <c r="R64" i="57"/>
  <c r="K97" i="57"/>
  <c r="O97" i="57"/>
  <c r="J98" i="57"/>
  <c r="I99" i="57"/>
  <c r="Q99" i="57"/>
  <c r="H100" i="57"/>
  <c r="L100" i="57"/>
  <c r="P100" i="57"/>
  <c r="G101" i="57"/>
  <c r="O101" i="57"/>
  <c r="F102" i="57"/>
  <c r="J102" i="57"/>
  <c r="R102" i="57"/>
  <c r="T102" i="57" s="1"/>
  <c r="I103" i="57"/>
  <c r="M103" i="57"/>
  <c r="H104" i="57"/>
  <c r="P104" i="57"/>
  <c r="K105" i="57"/>
  <c r="O105" i="57"/>
  <c r="F106" i="57"/>
  <c r="J106" i="57"/>
  <c r="R106" i="57"/>
  <c r="I107" i="57"/>
  <c r="Q107" i="57"/>
  <c r="L108" i="57"/>
  <c r="P108" i="57"/>
  <c r="G109" i="57"/>
  <c r="K109" i="57"/>
  <c r="O109" i="57"/>
  <c r="J110" i="57"/>
  <c r="N110" i="57"/>
  <c r="R110" i="57"/>
  <c r="T110" i="57" s="1"/>
  <c r="I111" i="57"/>
  <c r="Q111" i="57"/>
  <c r="H112" i="57"/>
  <c r="P112" i="57"/>
  <c r="G113" i="57"/>
  <c r="O113" i="57"/>
  <c r="J114" i="57"/>
  <c r="N114" i="57"/>
  <c r="R114" i="57"/>
  <c r="I115" i="57"/>
  <c r="Q115" i="57"/>
  <c r="H116" i="57"/>
  <c r="L116" i="57"/>
  <c r="G117" i="57"/>
  <c r="K117" i="57"/>
  <c r="O117" i="57"/>
  <c r="R108" i="57"/>
  <c r="S75" i="57"/>
  <c r="T82" i="57"/>
  <c r="T81" i="57"/>
  <c r="G97" i="57"/>
  <c r="T79" i="57"/>
  <c r="T50" i="57"/>
  <c r="T80" i="57"/>
  <c r="R4" i="57"/>
  <c r="F97" i="57"/>
  <c r="S85" i="57"/>
  <c r="T78" i="57"/>
  <c r="T70" i="57"/>
  <c r="T76" i="57"/>
  <c r="BB46" i="49"/>
  <c r="BB69" i="49"/>
  <c r="BB51" i="49"/>
  <c r="BB48" i="49"/>
  <c r="BB57" i="49"/>
  <c r="BB31" i="49"/>
  <c r="BB37" i="49"/>
  <c r="BB58" i="49"/>
  <c r="BB39" i="49"/>
  <c r="BB40" i="49"/>
  <c r="BB67" i="49"/>
  <c r="BB59" i="49"/>
  <c r="BB71" i="49"/>
  <c r="BG73" i="49"/>
  <c r="BG67" i="49"/>
  <c r="BG43" i="49"/>
  <c r="BG61" i="49"/>
  <c r="BG70" i="49"/>
  <c r="BG53" i="49"/>
  <c r="BG33" i="49"/>
  <c r="N23" i="61"/>
  <c r="AB11" i="32"/>
  <c r="AF11" i="32" s="1"/>
  <c r="F51" i="35"/>
  <c r="M41" i="35"/>
  <c r="AX17" i="61"/>
  <c r="C4" i="70"/>
  <c r="C12" i="70" s="1"/>
  <c r="C27" i="70" s="1"/>
  <c r="D4" i="70"/>
  <c r="D12" i="70" s="1"/>
  <c r="D14" i="70" s="1"/>
  <c r="D19" i="70" s="1"/>
  <c r="D20" i="70" s="1"/>
  <c r="C8" i="70"/>
  <c r="C11" i="70"/>
  <c r="J13" i="70"/>
  <c r="D8" i="70"/>
  <c r="AV24" i="61"/>
  <c r="AV7" i="61"/>
  <c r="AW7" i="61"/>
  <c r="AG346" i="50"/>
  <c r="AI346" i="50" s="1"/>
  <c r="U21" i="61"/>
  <c r="Z21" i="61"/>
  <c r="AV17" i="61"/>
  <c r="Q21" i="61"/>
  <c r="AV20" i="61"/>
  <c r="AV10" i="61"/>
  <c r="C17" i="70"/>
  <c r="C16" i="70"/>
  <c r="C5" i="70"/>
  <c r="C7" i="70" s="1"/>
  <c r="Y21" i="61"/>
  <c r="W21" i="61"/>
  <c r="V21" i="61"/>
  <c r="R21" i="61"/>
  <c r="AB21" i="61"/>
  <c r="AA21" i="61"/>
  <c r="T21" i="61"/>
  <c r="X21" i="61"/>
  <c r="S21" i="61"/>
  <c r="AC21" i="61"/>
  <c r="AD21" i="61" s="1"/>
  <c r="J8" i="61"/>
  <c r="AN8" i="61" s="1"/>
  <c r="I8" i="61"/>
  <c r="AM8" i="61" s="1"/>
  <c r="K7" i="61"/>
  <c r="AO7" i="61" s="1"/>
  <c r="F8" i="61"/>
  <c r="AJ8" i="61" s="1"/>
  <c r="E8" i="61"/>
  <c r="AI8" i="61" s="1"/>
  <c r="K8" i="61"/>
  <c r="AO8" i="61" s="1"/>
  <c r="B8" i="61"/>
  <c r="AF8" i="61" s="1"/>
  <c r="D8" i="61"/>
  <c r="AH8" i="61" s="1"/>
  <c r="M8" i="61"/>
  <c r="AQ8" i="61" s="1"/>
  <c r="G8" i="61"/>
  <c r="AK8" i="61"/>
  <c r="H8" i="61"/>
  <c r="AL8" i="61" s="1"/>
  <c r="M18" i="61"/>
  <c r="AQ18" i="61" s="1"/>
  <c r="F18" i="61"/>
  <c r="AJ18" i="61" s="1"/>
  <c r="AV30" i="61"/>
  <c r="L8" i="61"/>
  <c r="AP8" i="61" s="1"/>
  <c r="L7" i="61"/>
  <c r="AP7" i="61" s="1"/>
  <c r="G7" i="61"/>
  <c r="AK7" i="61" s="1"/>
  <c r="K9" i="61"/>
  <c r="AO9" i="61" s="1"/>
  <c r="B7" i="61"/>
  <c r="AF7" i="61" s="1"/>
  <c r="C7" i="61"/>
  <c r="AG7" i="61" s="1"/>
  <c r="G9" i="61"/>
  <c r="AK9" i="61" s="1"/>
  <c r="D9" i="61"/>
  <c r="AH9" i="61" s="1"/>
  <c r="I7" i="61"/>
  <c r="AM7" i="61" s="1"/>
  <c r="J9" i="61"/>
  <c r="AN9" i="61" s="1"/>
  <c r="E9" i="61"/>
  <c r="AI9" i="61" s="1"/>
  <c r="B9" i="61"/>
  <c r="AF9" i="61" s="1"/>
  <c r="J7" i="61"/>
  <c r="AN7" i="61" s="1"/>
  <c r="E7" i="61"/>
  <c r="AI7" i="61" s="1"/>
  <c r="D7" i="61"/>
  <c r="AH7" i="61" s="1"/>
  <c r="C8" i="61"/>
  <c r="AG8" i="61" s="1"/>
  <c r="F7" i="61"/>
  <c r="AJ7" i="61" s="1"/>
  <c r="M9" i="61"/>
  <c r="AQ9" i="61" s="1"/>
  <c r="I9" i="61"/>
  <c r="AM9" i="61" s="1"/>
  <c r="M7" i="61"/>
  <c r="AQ7" i="61" s="1"/>
  <c r="H7" i="61"/>
  <c r="AL7" i="61" s="1"/>
  <c r="H9" i="61"/>
  <c r="AL9" i="61" s="1"/>
  <c r="F9" i="61"/>
  <c r="AJ9" i="61" s="1"/>
  <c r="L9" i="61"/>
  <c r="AP9" i="61" s="1"/>
  <c r="G18" i="61"/>
  <c r="AK18" i="61" s="1"/>
  <c r="K18" i="61"/>
  <c r="AO18" i="61" s="1"/>
  <c r="B18" i="61"/>
  <c r="AF18" i="61" s="1"/>
  <c r="I18" i="61"/>
  <c r="AM18" i="61" s="1"/>
  <c r="L18" i="61"/>
  <c r="AP18" i="61" s="1"/>
  <c r="H18" i="61"/>
  <c r="AL18" i="61" s="1"/>
  <c r="J18" i="61"/>
  <c r="AN18" i="61" s="1"/>
  <c r="O8" i="61"/>
  <c r="N8" i="61"/>
  <c r="AR8" i="61" s="1"/>
  <c r="AS8" i="61" s="1"/>
  <c r="N7" i="61"/>
  <c r="AR7" i="61" s="1"/>
  <c r="AS7" i="61" s="1"/>
  <c r="AW8" i="61" s="1"/>
  <c r="O10" i="61"/>
  <c r="C9" i="61"/>
  <c r="AG9" i="61" s="1"/>
  <c r="E18" i="61"/>
  <c r="AI18" i="61" s="1"/>
  <c r="D18" i="61"/>
  <c r="AH18" i="61" s="1"/>
  <c r="C18" i="61"/>
  <c r="AG18" i="61" s="1"/>
  <c r="D11" i="70"/>
  <c r="O9" i="61"/>
  <c r="N9" i="61"/>
  <c r="AR9" i="61" s="1"/>
  <c r="AS9" i="61" s="1"/>
  <c r="O23" i="61"/>
  <c r="N18" i="61"/>
  <c r="AR18" i="61" s="1"/>
  <c r="AS18" i="61" s="1"/>
  <c r="O18" i="61"/>
  <c r="B11" i="61"/>
  <c r="AF11" i="61" s="1"/>
  <c r="AV18" i="61"/>
  <c r="B13" i="61"/>
  <c r="AF13" i="61" s="1"/>
  <c r="B14" i="61"/>
  <c r="D5" i="70"/>
  <c r="D7" i="70" s="1"/>
  <c r="J9" i="70" s="1"/>
  <c r="B15" i="61"/>
  <c r="AF15" i="61" s="1"/>
  <c r="C11" i="61"/>
  <c r="AG11" i="61" s="1"/>
  <c r="M17" i="61"/>
  <c r="AQ17" i="61" s="1"/>
  <c r="D6" i="70"/>
  <c r="C13" i="61"/>
  <c r="AG13" i="61" s="1"/>
  <c r="C14" i="61"/>
  <c r="F17" i="61"/>
  <c r="AJ17" i="61" s="1"/>
  <c r="E17" i="61"/>
  <c r="AI17" i="61" s="1"/>
  <c r="C17" i="61"/>
  <c r="AG17" i="61" s="1"/>
  <c r="H17" i="61"/>
  <c r="AL17" i="61" s="1"/>
  <c r="B17" i="61"/>
  <c r="AF17" i="61" s="1"/>
  <c r="K17" i="61"/>
  <c r="AO17" i="61" s="1"/>
  <c r="N17" i="61"/>
  <c r="AR17" i="61" s="1"/>
  <c r="G17" i="61"/>
  <c r="AK17" i="61" s="1"/>
  <c r="J17" i="61"/>
  <c r="AN17" i="61" s="1"/>
  <c r="L17" i="61"/>
  <c r="AP17" i="61" s="1"/>
  <c r="I17" i="61"/>
  <c r="AM17" i="61" s="1"/>
  <c r="D17" i="61"/>
  <c r="AH17" i="61" s="1"/>
  <c r="D11" i="61"/>
  <c r="AH11" i="61" s="1"/>
  <c r="C21" i="61"/>
  <c r="AG21" i="61" s="1"/>
  <c r="C15" i="61"/>
  <c r="AG15" i="61" s="1"/>
  <c r="B21" i="61"/>
  <c r="D14" i="61"/>
  <c r="D13" i="61"/>
  <c r="AH13" i="61" s="1"/>
  <c r="C20" i="61"/>
  <c r="AG20" i="61" s="1"/>
  <c r="O17" i="61"/>
  <c r="B20" i="61"/>
  <c r="AF20" i="61" s="1"/>
  <c r="D21" i="61"/>
  <c r="E11" i="61"/>
  <c r="AI11" i="61" s="1"/>
  <c r="D15" i="61"/>
  <c r="AH15" i="61" s="1"/>
  <c r="B25" i="61"/>
  <c r="AF25" i="61" s="1"/>
  <c r="B26" i="61"/>
  <c r="B22" i="61"/>
  <c r="AF22" i="61" s="1"/>
  <c r="E13" i="61"/>
  <c r="AI13" i="61" s="1"/>
  <c r="E14" i="61"/>
  <c r="C22" i="61"/>
  <c r="AG22" i="61" s="1"/>
  <c r="D20" i="61"/>
  <c r="AH20" i="61" s="1"/>
  <c r="E21" i="61"/>
  <c r="E15" i="61"/>
  <c r="AI15" i="61" s="1"/>
  <c r="C26" i="61"/>
  <c r="C25" i="61"/>
  <c r="AG25" i="61" s="1"/>
  <c r="D22" i="61"/>
  <c r="AH22" i="61" s="1"/>
  <c r="F11" i="61"/>
  <c r="AJ11" i="61" s="1"/>
  <c r="E20" i="61"/>
  <c r="AI20" i="61" s="1"/>
  <c r="F13" i="61"/>
  <c r="AJ13" i="61"/>
  <c r="F14" i="61"/>
  <c r="D25" i="61"/>
  <c r="AH25" i="61" s="1"/>
  <c r="D26" i="61"/>
  <c r="E22" i="61"/>
  <c r="AI22" i="61" s="1"/>
  <c r="F21" i="61"/>
  <c r="AJ21" i="61" s="1"/>
  <c r="F15" i="61"/>
  <c r="AJ15" i="61" s="1"/>
  <c r="F20" i="61"/>
  <c r="AJ20" i="61" s="1"/>
  <c r="E25" i="61"/>
  <c r="AI25" i="61" s="1"/>
  <c r="E26" i="61"/>
  <c r="G11" i="61"/>
  <c r="AK11" i="61" s="1"/>
  <c r="H11" i="61"/>
  <c r="AL11" i="61" s="1"/>
  <c r="G13" i="61"/>
  <c r="AK13" i="61" s="1"/>
  <c r="G14" i="61"/>
  <c r="G15" i="61"/>
  <c r="AK15" i="61" s="1"/>
  <c r="G21" i="61"/>
  <c r="H14" i="61"/>
  <c r="H13" i="61"/>
  <c r="AL13" i="61" s="1"/>
  <c r="F22" i="61"/>
  <c r="AJ22" i="61" s="1"/>
  <c r="H15" i="61"/>
  <c r="AL15" i="61" s="1"/>
  <c r="G20" i="61"/>
  <c r="AK20" i="61" s="1"/>
  <c r="H21" i="61"/>
  <c r="F25" i="61"/>
  <c r="AJ25" i="61" s="1"/>
  <c r="F26" i="61"/>
  <c r="I11" i="61"/>
  <c r="AM11" i="61" s="1"/>
  <c r="H20" i="61"/>
  <c r="AL20" i="61" s="1"/>
  <c r="I14" i="61"/>
  <c r="I13" i="61"/>
  <c r="AM13" i="61" s="1"/>
  <c r="H25" i="61"/>
  <c r="AL25" i="61" s="1"/>
  <c r="I21" i="61"/>
  <c r="AM21" i="61" s="1"/>
  <c r="G22" i="61"/>
  <c r="AK22" i="61" s="1"/>
  <c r="I15" i="61"/>
  <c r="AM15" i="61" s="1"/>
  <c r="H26" i="61"/>
  <c r="H22" i="61"/>
  <c r="AL22" i="61"/>
  <c r="J11" i="61"/>
  <c r="AN11" i="61" s="1"/>
  <c r="G25" i="61"/>
  <c r="AK25" i="61" s="1"/>
  <c r="G26" i="61"/>
  <c r="I20" i="61"/>
  <c r="AM20" i="61" s="1"/>
  <c r="J13" i="61"/>
  <c r="AN13" i="61" s="1"/>
  <c r="J14" i="61"/>
  <c r="I22" i="61"/>
  <c r="AM22" i="61"/>
  <c r="J21" i="61"/>
  <c r="J15" i="61"/>
  <c r="AN15" i="61" s="1"/>
  <c r="K11" i="61"/>
  <c r="AO11" i="61" s="1"/>
  <c r="I25" i="61"/>
  <c r="AM25" i="61" s="1"/>
  <c r="I26" i="61"/>
  <c r="K14" i="61"/>
  <c r="K13" i="61"/>
  <c r="AO13" i="61" s="1"/>
  <c r="J20" i="61"/>
  <c r="AN20" i="61" s="1"/>
  <c r="K15" i="61"/>
  <c r="AO15" i="61" s="1"/>
  <c r="K21" i="61"/>
  <c r="K20" i="61"/>
  <c r="AO20" i="61" s="1"/>
  <c r="L11" i="61"/>
  <c r="AP11" i="61" s="1"/>
  <c r="J22" i="61"/>
  <c r="AN22" i="61" s="1"/>
  <c r="M11" i="61"/>
  <c r="AQ11" i="61" s="1"/>
  <c r="L14" i="61"/>
  <c r="L13" i="61"/>
  <c r="AP13" i="61" s="1"/>
  <c r="J26" i="61"/>
  <c r="J25" i="61"/>
  <c r="AN25" i="61" s="1"/>
  <c r="K22" i="61"/>
  <c r="AO22" i="61" s="1"/>
  <c r="N13" i="61"/>
  <c r="AR13" i="61" s="1"/>
  <c r="AS13" i="61" s="1"/>
  <c r="AW13" i="61" s="1"/>
  <c r="M13" i="61"/>
  <c r="AQ13" i="61" s="1"/>
  <c r="M14" i="61"/>
  <c r="L21" i="61"/>
  <c r="L15" i="61"/>
  <c r="AP15" i="61" s="1"/>
  <c r="N11" i="61"/>
  <c r="AR11" i="61" s="1"/>
  <c r="AS11" i="61" s="1"/>
  <c r="O11" i="61"/>
  <c r="M15" i="61"/>
  <c r="AQ15" i="61" s="1"/>
  <c r="AV12" i="61"/>
  <c r="L20" i="61"/>
  <c r="AP20" i="61" s="1"/>
  <c r="N21" i="61"/>
  <c r="N15" i="61"/>
  <c r="AR15" i="61" s="1"/>
  <c r="AS15" i="61" s="1"/>
  <c r="M21" i="61"/>
  <c r="O13" i="61"/>
  <c r="K26" i="61"/>
  <c r="K25" i="61"/>
  <c r="AO25" i="61" s="1"/>
  <c r="O21" i="61"/>
  <c r="M20" i="61"/>
  <c r="AQ20" i="61" s="1"/>
  <c r="O15" i="61"/>
  <c r="N20" i="61"/>
  <c r="AR20" i="61"/>
  <c r="AS20" i="61" s="1"/>
  <c r="AW31" i="61" s="1"/>
  <c r="M25" i="61"/>
  <c r="AQ25" i="61" s="1"/>
  <c r="O20" i="61"/>
  <c r="L22" i="61"/>
  <c r="AP22" i="61" s="1"/>
  <c r="M22" i="61"/>
  <c r="AQ22" i="61" s="1"/>
  <c r="M26" i="61"/>
  <c r="L26" i="61"/>
  <c r="L25" i="61"/>
  <c r="AP25" i="61" s="1"/>
  <c r="N22" i="61"/>
  <c r="AR22" i="61" s="1"/>
  <c r="AV32" i="61" s="1"/>
  <c r="O22" i="61"/>
  <c r="N25" i="61"/>
  <c r="AR25" i="61" s="1"/>
  <c r="AS25" i="61" s="1"/>
  <c r="AW33" i="61" s="1"/>
  <c r="O25" i="61"/>
  <c r="BB78" i="49"/>
  <c r="BB100" i="49"/>
  <c r="BB89" i="49"/>
  <c r="BI99" i="49"/>
  <c r="BI115" i="49"/>
  <c r="BI89" i="49"/>
  <c r="BI102" i="49"/>
  <c r="BB92" i="49"/>
  <c r="BB77" i="49"/>
  <c r="BB76" i="49"/>
  <c r="BB91" i="49"/>
  <c r="BI111" i="49"/>
  <c r="BB79" i="49"/>
  <c r="BI79" i="49"/>
  <c r="BI81" i="49"/>
  <c r="BB88" i="49"/>
  <c r="BI114" i="49"/>
  <c r="BI98" i="49"/>
  <c r="BI85" i="49"/>
  <c r="BI113" i="49"/>
  <c r="BI101" i="49"/>
  <c r="BI92" i="49"/>
  <c r="BI90" i="49"/>
  <c r="BI78" i="49"/>
  <c r="BI77" i="49"/>
  <c r="BI106" i="49"/>
  <c r="BI108" i="49"/>
  <c r="BI76" i="49"/>
  <c r="BI91" i="49"/>
  <c r="BI103" i="49"/>
  <c r="BB87" i="49"/>
  <c r="BI87" i="49"/>
  <c r="BI104" i="49"/>
  <c r="BB96" i="49"/>
  <c r="BI96" i="49"/>
  <c r="BI86" i="49"/>
  <c r="BI97" i="49"/>
  <c r="BI110" i="49"/>
  <c r="BI93" i="49"/>
  <c r="BI80" i="49"/>
  <c r="BI94" i="49"/>
  <c r="BI107" i="49"/>
  <c r="BB107" i="49"/>
  <c r="BI112" i="49"/>
  <c r="BI95" i="49"/>
  <c r="BI88" i="49"/>
  <c r="BI109" i="49"/>
  <c r="BI100" i="49"/>
  <c r="AZ116" i="49"/>
  <c r="BI105" i="49"/>
  <c r="BD91" i="49"/>
  <c r="BC91" i="49" s="1"/>
  <c r="BD114" i="49"/>
  <c r="BD115" i="49"/>
  <c r="BD111" i="49"/>
  <c r="AF675" i="50" s="1"/>
  <c r="BI75" i="49"/>
  <c r="BD83" i="49"/>
  <c r="AF479" i="50" s="1"/>
  <c r="Z479" i="50" s="1"/>
  <c r="BD95" i="49"/>
  <c r="BD113" i="49"/>
  <c r="BD108" i="49"/>
  <c r="BD100" i="49"/>
  <c r="BD84" i="49"/>
  <c r="BD105" i="49"/>
  <c r="AF633" i="50" s="1"/>
  <c r="BD94" i="49"/>
  <c r="BD97" i="49"/>
  <c r="AF577" i="50" s="1"/>
  <c r="X577" i="50" s="1"/>
  <c r="BD106" i="49"/>
  <c r="BD81" i="49"/>
  <c r="BD98" i="49"/>
  <c r="AF584" i="50" s="1"/>
  <c r="AY115" i="49"/>
  <c r="BD99" i="49"/>
  <c r="BD89" i="49"/>
  <c r="BD101" i="49"/>
  <c r="BD107" i="49"/>
  <c r="BC107" i="49" s="1"/>
  <c r="BD92" i="49"/>
  <c r="BD93" i="49"/>
  <c r="BD103" i="49"/>
  <c r="BD112" i="49"/>
  <c r="BD86" i="49"/>
  <c r="AY114" i="49"/>
  <c r="BM75" i="49"/>
  <c r="BM78" i="49"/>
  <c r="BM76" i="49"/>
  <c r="BM79" i="49"/>
  <c r="BM77" i="49"/>
  <c r="BD96" i="49"/>
  <c r="BG96" i="49"/>
  <c r="BM102" i="49"/>
  <c r="BD102" i="49"/>
  <c r="AF612" i="50" s="1"/>
  <c r="BD109" i="49"/>
  <c r="BD110" i="49"/>
  <c r="BD85" i="49"/>
  <c r="BM85" i="49"/>
  <c r="BM110" i="49"/>
  <c r="BD82" i="49"/>
  <c r="BC82" i="49" s="1"/>
  <c r="BM104" i="49"/>
  <c r="BD90" i="49"/>
  <c r="BG90" i="49"/>
  <c r="BD88" i="49"/>
  <c r="AU116" i="49"/>
  <c r="BM109" i="49"/>
  <c r="BM111" i="49"/>
  <c r="BD87" i="49"/>
  <c r="BD104" i="49"/>
  <c r="BM91" i="49"/>
  <c r="BM80" i="49"/>
  <c r="BM90" i="49"/>
  <c r="BQ90" i="49" s="1"/>
  <c r="BM113" i="49"/>
  <c r="BQ113" i="49" s="1"/>
  <c r="BM106" i="49"/>
  <c r="BG85" i="49"/>
  <c r="BM112" i="49"/>
  <c r="BM107" i="49"/>
  <c r="BM93" i="49"/>
  <c r="BM97" i="49"/>
  <c r="BE116" i="49"/>
  <c r="BM87" i="49"/>
  <c r="BQ87" i="49" s="1"/>
  <c r="BM88" i="49"/>
  <c r="BM100" i="49"/>
  <c r="BM96" i="49"/>
  <c r="BG95" i="49"/>
  <c r="BM89" i="49"/>
  <c r="BG106" i="49"/>
  <c r="BM103" i="49"/>
  <c r="BM115" i="49"/>
  <c r="AB10" i="32"/>
  <c r="BG100" i="49"/>
  <c r="BM94" i="49"/>
  <c r="BM101" i="49"/>
  <c r="BM92" i="49"/>
  <c r="BG103" i="49"/>
  <c r="BM98" i="49"/>
  <c r="BM105" i="49"/>
  <c r="BG89" i="49"/>
  <c r="BM86" i="49"/>
  <c r="BM99" i="49"/>
  <c r="BG115" i="49"/>
  <c r="BM114" i="49"/>
  <c r="BM81" i="49"/>
  <c r="BM108" i="49"/>
  <c r="BM95" i="49"/>
  <c r="K41" i="35"/>
  <c r="K43" i="35" s="1"/>
  <c r="K22" i="35"/>
  <c r="K61" i="35"/>
  <c r="K63" i="35" s="1"/>
  <c r="J16" i="51"/>
  <c r="K16" i="51" s="1"/>
  <c r="L16" i="51" s="1"/>
  <c r="M16" i="51" s="1"/>
  <c r="N16" i="51" s="1"/>
  <c r="D13" i="38"/>
  <c r="D14" i="38"/>
  <c r="M22" i="35"/>
  <c r="M51" i="35"/>
  <c r="M53" i="35" s="1"/>
  <c r="J83" i="32"/>
  <c r="D92" i="32"/>
  <c r="H83" i="32"/>
  <c r="K109" i="35"/>
  <c r="H100" i="35"/>
  <c r="D31" i="35"/>
  <c r="D33" i="35" s="1"/>
  <c r="D34" i="35" s="1"/>
  <c r="D61" i="35"/>
  <c r="H23" i="51"/>
  <c r="I23" i="51" s="1"/>
  <c r="F13" i="38"/>
  <c r="I31" i="35"/>
  <c r="W6" i="32"/>
  <c r="E61" i="35"/>
  <c r="E63" i="35" s="1"/>
  <c r="AF1514" i="50"/>
  <c r="R1554" i="50"/>
  <c r="H1554" i="50" s="1"/>
  <c r="AF1601" i="50"/>
  <c r="AD1601" i="50" s="1"/>
  <c r="R1570" i="50"/>
  <c r="L1570" i="50" s="1"/>
  <c r="L2285" i="50" s="1"/>
  <c r="L2999" i="50" s="1"/>
  <c r="AX148" i="49"/>
  <c r="O196" i="49"/>
  <c r="R1930" i="50"/>
  <c r="G6" i="32"/>
  <c r="L77" i="35"/>
  <c r="J2071" i="50"/>
  <c r="AF1948" i="50"/>
  <c r="T1948" i="50" s="1"/>
  <c r="R2119" i="50"/>
  <c r="AX147" i="49"/>
  <c r="R1937" i="50"/>
  <c r="BQ227" i="49"/>
  <c r="AF1549" i="50"/>
  <c r="X1549" i="50" s="1"/>
  <c r="AF1524" i="50"/>
  <c r="BQ165" i="49"/>
  <c r="J2057" i="50"/>
  <c r="AF1545" i="50"/>
  <c r="AB1545" i="50" s="1"/>
  <c r="K91" i="49"/>
  <c r="K95" i="49"/>
  <c r="J95" i="49" s="1"/>
  <c r="K99" i="49"/>
  <c r="J99" i="49" s="1"/>
  <c r="K103" i="49"/>
  <c r="J103" i="49" s="1"/>
  <c r="K107" i="49"/>
  <c r="K111" i="49"/>
  <c r="J111" i="49" s="1"/>
  <c r="K115" i="49"/>
  <c r="J115" i="49" s="1"/>
  <c r="AG318" i="50"/>
  <c r="AG317" i="50"/>
  <c r="AG314" i="50"/>
  <c r="K90" i="49"/>
  <c r="J90" i="49" s="1"/>
  <c r="K98" i="49"/>
  <c r="J98" i="49" s="1"/>
  <c r="K104" i="49"/>
  <c r="J104" i="49" s="1"/>
  <c r="K113" i="49"/>
  <c r="J113" i="49" s="1"/>
  <c r="K100" i="49"/>
  <c r="J100" i="49" s="1"/>
  <c r="K105" i="49"/>
  <c r="J105" i="49" s="1"/>
  <c r="K109" i="49"/>
  <c r="J109" i="49" s="1"/>
  <c r="K94" i="49"/>
  <c r="J94" i="49" s="1"/>
  <c r="K101" i="49"/>
  <c r="J101" i="49" s="1"/>
  <c r="K106" i="49"/>
  <c r="J106" i="49" s="1"/>
  <c r="K110" i="49"/>
  <c r="J110" i="49" s="1"/>
  <c r="K114" i="49"/>
  <c r="J114" i="49" s="1"/>
  <c r="L13" i="38"/>
  <c r="L50" i="38" s="1"/>
  <c r="AF2060" i="50"/>
  <c r="T2060" i="50" s="1"/>
  <c r="T2062" i="50" s="1"/>
  <c r="O157" i="49"/>
  <c r="AI161" i="49"/>
  <c r="AF1685" i="50"/>
  <c r="BC228" i="49"/>
  <c r="AF2130" i="50"/>
  <c r="AB2130" i="50" s="1"/>
  <c r="AF2056" i="50"/>
  <c r="O218" i="49"/>
  <c r="Y139" i="49"/>
  <c r="AI225" i="49"/>
  <c r="AF1997" i="50"/>
  <c r="BC203" i="49"/>
  <c r="AX206" i="49"/>
  <c r="AF1520" i="50"/>
  <c r="AF2074" i="50"/>
  <c r="BQ197" i="49"/>
  <c r="BQ133" i="49"/>
  <c r="BQ146" i="49"/>
  <c r="BQ159" i="49"/>
  <c r="BQ175" i="49"/>
  <c r="BQ187" i="49"/>
  <c r="BQ212" i="49"/>
  <c r="BQ208" i="49"/>
  <c r="L2085" i="50"/>
  <c r="BQ202" i="49"/>
  <c r="BQ174" i="49"/>
  <c r="BQ176" i="49"/>
  <c r="BQ178" i="49"/>
  <c r="BQ189" i="49"/>
  <c r="F2085" i="50"/>
  <c r="K93" i="49"/>
  <c r="J93" i="49" s="1"/>
  <c r="K89" i="49"/>
  <c r="J89" i="49" s="1"/>
  <c r="K96" i="49"/>
  <c r="J96" i="49" s="1"/>
  <c r="K92" i="49"/>
  <c r="J92" i="49" s="1"/>
  <c r="K88" i="49"/>
  <c r="J88" i="49" s="1"/>
  <c r="AF1934" i="50"/>
  <c r="N1889" i="50"/>
  <c r="F1889" i="50"/>
  <c r="P1889" i="50"/>
  <c r="H1889" i="50"/>
  <c r="BD74" i="49"/>
  <c r="BC74" i="49" s="1"/>
  <c r="BM83" i="49"/>
  <c r="BD80" i="49"/>
  <c r="BD76" i="49"/>
  <c r="BD75" i="49"/>
  <c r="BC128" i="49"/>
  <c r="BG49" i="49"/>
  <c r="BG58" i="49"/>
  <c r="BG34" i="49"/>
  <c r="BG24" i="49"/>
  <c r="BG37" i="49"/>
  <c r="BG40" i="49"/>
  <c r="BG47" i="49"/>
  <c r="BG59" i="49"/>
  <c r="BG31" i="49"/>
  <c r="BG52" i="49"/>
  <c r="BG35" i="49"/>
  <c r="BG76" i="49"/>
  <c r="BG77" i="49"/>
  <c r="BG102" i="49"/>
  <c r="BG110" i="49"/>
  <c r="BG68" i="49"/>
  <c r="BG72" i="49"/>
  <c r="BG50" i="49"/>
  <c r="BG71" i="49"/>
  <c r="BG45" i="49"/>
  <c r="BG29" i="49"/>
  <c r="BG30" i="49"/>
  <c r="BG75" i="49"/>
  <c r="BG79" i="49"/>
  <c r="BG108" i="49"/>
  <c r="BG91" i="49"/>
  <c r="BG93" i="49"/>
  <c r="BG94" i="49"/>
  <c r="BG83" i="49"/>
  <c r="BG98" i="49"/>
  <c r="BG74" i="49"/>
  <c r="BG32" i="49"/>
  <c r="BG55" i="49"/>
  <c r="BG41" i="49"/>
  <c r="BG57" i="49"/>
  <c r="BG46" i="49"/>
  <c r="BG60" i="49"/>
  <c r="BG62" i="49"/>
  <c r="BG39" i="49"/>
  <c r="BG51" i="49"/>
  <c r="BG54" i="49"/>
  <c r="BG80" i="49"/>
  <c r="BG88" i="49"/>
  <c r="BG111" i="49"/>
  <c r="BG84" i="49"/>
  <c r="BG114" i="49"/>
  <c r="BG92" i="49"/>
  <c r="BG105" i="49"/>
  <c r="BG56" i="49"/>
  <c r="BG64" i="49"/>
  <c r="BG66" i="49"/>
  <c r="BG42" i="49"/>
  <c r="BG38" i="49"/>
  <c r="BG69" i="49"/>
  <c r="BG78" i="49"/>
  <c r="BG109" i="49"/>
  <c r="BG82" i="49"/>
  <c r="BG87" i="49"/>
  <c r="BG113" i="49"/>
  <c r="BG112" i="49"/>
  <c r="BG107" i="49"/>
  <c r="BG81" i="49"/>
  <c r="BG86" i="49"/>
  <c r="BG48" i="49"/>
  <c r="BG63" i="49"/>
  <c r="BG65" i="49"/>
  <c r="BG104" i="49"/>
  <c r="BG97" i="49"/>
  <c r="BG101" i="49"/>
  <c r="BG99" i="49"/>
  <c r="BB82" i="49"/>
  <c r="BB44" i="49"/>
  <c r="BB68" i="49"/>
  <c r="BB66" i="49"/>
  <c r="BB45" i="49"/>
  <c r="BB65" i="49"/>
  <c r="BB52" i="49"/>
  <c r="BB35" i="49"/>
  <c r="BB30" i="49"/>
  <c r="BB55" i="49"/>
  <c r="BB60" i="49"/>
  <c r="BB63" i="49"/>
  <c r="BB47" i="49"/>
  <c r="BB99" i="49"/>
  <c r="BB109" i="49"/>
  <c r="BB102" i="49"/>
  <c r="BB101" i="49"/>
  <c r="BB84" i="49"/>
  <c r="BB111" i="49"/>
  <c r="BB114" i="49"/>
  <c r="BB103" i="49"/>
  <c r="BB105" i="49"/>
  <c r="BB97" i="49"/>
  <c r="BB93" i="49"/>
  <c r="BB94" i="49"/>
  <c r="BB112" i="49"/>
  <c r="AX128" i="49"/>
  <c r="BB33" i="49"/>
  <c r="BB29" i="49"/>
  <c r="BB43" i="49"/>
  <c r="BB54" i="49"/>
  <c r="BB62" i="49"/>
  <c r="BB34" i="49"/>
  <c r="BB56" i="49"/>
  <c r="BB24" i="49"/>
  <c r="BB72" i="49"/>
  <c r="BB83" i="49"/>
  <c r="BB75" i="49"/>
  <c r="BB113" i="49"/>
  <c r="BB108" i="49"/>
  <c r="BB95" i="49"/>
  <c r="BB104" i="49"/>
  <c r="BB86" i="49"/>
  <c r="BB110" i="49"/>
  <c r="BB38" i="49"/>
  <c r="BB64" i="49"/>
  <c r="BB61" i="49"/>
  <c r="BB42" i="49"/>
  <c r="BB36" i="49"/>
  <c r="BB70" i="49"/>
  <c r="BB49" i="49"/>
  <c r="BB41" i="49"/>
  <c r="BB115" i="49"/>
  <c r="BB90" i="49"/>
  <c r="BB85" i="49"/>
  <c r="BB106" i="49"/>
  <c r="BB81" i="49"/>
  <c r="BB98" i="49"/>
  <c r="BB80" i="49"/>
  <c r="AK116" i="49"/>
  <c r="BI83" i="49"/>
  <c r="V116" i="49"/>
  <c r="BI82" i="49"/>
  <c r="BI84" i="49"/>
  <c r="AA116" i="49"/>
  <c r="AF116" i="49"/>
  <c r="D1622" i="50"/>
  <c r="D2337" i="50" s="1"/>
  <c r="O211" i="49"/>
  <c r="R1520" i="50"/>
  <c r="N1520" i="50" s="1"/>
  <c r="AF1710" i="50"/>
  <c r="X1710" i="50" s="1"/>
  <c r="BC168" i="49"/>
  <c r="AS175" i="49"/>
  <c r="AF1758" i="50"/>
  <c r="O216" i="49"/>
  <c r="BC135" i="49"/>
  <c r="AF1556" i="50"/>
  <c r="AF1573" i="50"/>
  <c r="Z1573" i="50" s="1"/>
  <c r="AF1941" i="50"/>
  <c r="BC201" i="49"/>
  <c r="AS191" i="49"/>
  <c r="O212" i="49"/>
  <c r="AF1790" i="50"/>
  <c r="AD1790" i="50" s="1"/>
  <c r="R1510" i="50"/>
  <c r="J1510" i="50" s="1"/>
  <c r="AI140" i="49"/>
  <c r="R2109" i="50"/>
  <c r="AS230" i="49"/>
  <c r="R2091" i="50"/>
  <c r="R1573" i="50"/>
  <c r="R2073" i="50"/>
  <c r="AF1563" i="50"/>
  <c r="AD1563" i="50" s="1"/>
  <c r="AD2278" i="50" s="1"/>
  <c r="AD2992" i="50" s="1"/>
  <c r="BC147" i="49"/>
  <c r="AS161" i="49"/>
  <c r="AF1660" i="50"/>
  <c r="AF1708" i="50"/>
  <c r="AI168" i="49"/>
  <c r="AX176" i="49"/>
  <c r="R1766" i="50"/>
  <c r="J1766" i="50" s="1"/>
  <c r="BC136" i="49"/>
  <c r="AI165" i="49"/>
  <c r="R1702" i="50"/>
  <c r="BC205" i="49"/>
  <c r="AF1625" i="50"/>
  <c r="Z1625" i="50" s="1"/>
  <c r="AS156" i="49"/>
  <c r="AF1818" i="50"/>
  <c r="V1818" i="50" s="1"/>
  <c r="O184" i="49"/>
  <c r="AF1884" i="50"/>
  <c r="V1884" i="50" s="1"/>
  <c r="AS193" i="49"/>
  <c r="R1806" i="50"/>
  <c r="R1535" i="50"/>
  <c r="AX143" i="49"/>
  <c r="R1555" i="50"/>
  <c r="AX159" i="49"/>
  <c r="AF1779" i="50"/>
  <c r="AB1779" i="50" s="1"/>
  <c r="R1951" i="50"/>
  <c r="AS131" i="49"/>
  <c r="R1518" i="50"/>
  <c r="R1604" i="50"/>
  <c r="AF1643" i="50"/>
  <c r="V1643" i="50" s="1"/>
  <c r="R1721" i="50"/>
  <c r="R1717" i="50"/>
  <c r="AX169" i="49"/>
  <c r="R2066" i="50"/>
  <c r="J2066" i="50" s="1"/>
  <c r="Y154" i="49"/>
  <c r="R2016" i="50"/>
  <c r="AF2140" i="50"/>
  <c r="T2140" i="50" s="1"/>
  <c r="Y181" i="49"/>
  <c r="AF1798" i="50"/>
  <c r="V1798" i="50" s="1"/>
  <c r="BB160" i="49"/>
  <c r="BS156" i="49"/>
  <c r="BB149" i="49"/>
  <c r="H156" i="49"/>
  <c r="BB156" i="49"/>
  <c r="BG160" i="49"/>
  <c r="BG146" i="49"/>
  <c r="BG149" i="49"/>
  <c r="BB221" i="49"/>
  <c r="BG221" i="49"/>
  <c r="D222" i="50"/>
  <c r="D1414" i="50"/>
  <c r="D3569" i="50"/>
  <c r="C1008" i="50"/>
  <c r="BG173" i="49"/>
  <c r="BB173" i="49"/>
  <c r="BG156" i="49"/>
  <c r="BS146" i="49"/>
  <c r="BB190" i="49"/>
  <c r="D3009" i="50"/>
  <c r="D1580" i="50"/>
  <c r="D2295" i="50" s="1"/>
  <c r="D854" i="50"/>
  <c r="C1358" i="50"/>
  <c r="BB228" i="49"/>
  <c r="H228" i="49"/>
  <c r="BS224" i="49"/>
  <c r="BS212" i="49"/>
  <c r="BB204" i="49"/>
  <c r="H204" i="49"/>
  <c r="BG204" i="49"/>
  <c r="BS204" i="49"/>
  <c r="D1239" i="50"/>
  <c r="D3394" i="50"/>
  <c r="BS198" i="49"/>
  <c r="H194" i="49"/>
  <c r="BB194" i="49"/>
  <c r="BG194" i="49"/>
  <c r="BG186" i="49"/>
  <c r="BG166" i="49"/>
  <c r="BS166" i="49"/>
  <c r="BB198" i="49"/>
  <c r="BB166" i="49"/>
  <c r="H166" i="49"/>
  <c r="BG178" i="49"/>
  <c r="C763" i="50"/>
  <c r="C1888" i="50"/>
  <c r="C2603" i="50" s="1"/>
  <c r="D1113" i="50"/>
  <c r="BS228" i="49"/>
  <c r="BB224" i="49"/>
  <c r="BG220" i="49"/>
  <c r="BG150" i="49"/>
  <c r="BB178" i="49"/>
  <c r="BG190" i="49"/>
  <c r="BG212" i="49"/>
  <c r="BG201" i="49"/>
  <c r="BG224" i="49"/>
  <c r="H224" i="49"/>
  <c r="D1958" i="50"/>
  <c r="D2673" i="50" s="1"/>
  <c r="H225" i="49"/>
  <c r="BG225" i="49"/>
  <c r="BG217" i="49"/>
  <c r="BB217" i="49"/>
  <c r="BS213" i="49"/>
  <c r="BB209" i="49"/>
  <c r="BS201" i="49"/>
  <c r="BG197" i="49"/>
  <c r="BS169" i="49"/>
  <c r="BG198" i="49"/>
  <c r="H198" i="49"/>
  <c r="D1706" i="50"/>
  <c r="D2421" i="50" s="1"/>
  <c r="BS162" i="49"/>
  <c r="BB162" i="49"/>
  <c r="H155" i="49"/>
  <c r="BS145" i="49"/>
  <c r="H145" i="49"/>
  <c r="BB134" i="49"/>
  <c r="H134" i="49"/>
  <c r="BG148" i="49"/>
  <c r="BS134" i="49"/>
  <c r="BS197" i="49"/>
  <c r="BB193" i="49"/>
  <c r="BS185" i="49"/>
  <c r="H181" i="49"/>
  <c r="BS181" i="49"/>
  <c r="BG177" i="49"/>
  <c r="H173" i="49"/>
  <c r="BG169" i="49"/>
  <c r="H165" i="49"/>
  <c r="BS165" i="49"/>
  <c r="BB169" i="49"/>
  <c r="BB177" i="49"/>
  <c r="BB155" i="49"/>
  <c r="BB148" i="49"/>
  <c r="BG165" i="49"/>
  <c r="BG155" i="49"/>
  <c r="H148" i="49"/>
  <c r="H169" i="49"/>
  <c r="BG189" i="49"/>
  <c r="D3464" i="50"/>
  <c r="BB145" i="49"/>
  <c r="BG181" i="49"/>
  <c r="C3499" i="50"/>
  <c r="BS193" i="49"/>
  <c r="BS148" i="49"/>
  <c r="BB181" i="49"/>
  <c r="C1965" i="50"/>
  <c r="C2680" i="50" s="1"/>
  <c r="BQ59" i="49"/>
  <c r="BQ67" i="49"/>
  <c r="D1902" i="50"/>
  <c r="D2617" i="50" s="1"/>
  <c r="D3450" i="50"/>
  <c r="H220" i="49"/>
  <c r="BS220" i="49"/>
  <c r="BB220" i="49"/>
  <c r="H212" i="49"/>
  <c r="D1846" i="50"/>
  <c r="D2561" i="50" s="1"/>
  <c r="BB150" i="49"/>
  <c r="C1015" i="50"/>
  <c r="C1043" i="50"/>
  <c r="C1769" i="50"/>
  <c r="C2484" i="50" s="1"/>
  <c r="D3205" i="50"/>
  <c r="D341" i="50"/>
  <c r="C1797" i="50"/>
  <c r="C2512" i="50" s="1"/>
  <c r="BS221" i="49"/>
  <c r="BS217" i="49"/>
  <c r="H217" i="49"/>
  <c r="BG205" i="49"/>
  <c r="BS205" i="49"/>
  <c r="BS194" i="49"/>
  <c r="H190" i="49"/>
  <c r="BS170" i="49"/>
  <c r="BS149" i="49"/>
  <c r="H149" i="49"/>
  <c r="D1790" i="50"/>
  <c r="D2505" i="50" s="1"/>
  <c r="D1860" i="50"/>
  <c r="D2575" i="50" s="1"/>
  <c r="BB131" i="49"/>
  <c r="H219" i="49"/>
  <c r="BS219" i="49"/>
  <c r="BS211" i="49"/>
  <c r="H211" i="49"/>
  <c r="BG211" i="49"/>
  <c r="BB203" i="49"/>
  <c r="H203" i="49"/>
  <c r="BS203" i="49"/>
  <c r="BS192" i="49"/>
  <c r="BB192" i="49"/>
  <c r="C1531" i="50"/>
  <c r="C2246" i="50" s="1"/>
  <c r="C931" i="50"/>
  <c r="C3086" i="50"/>
  <c r="D229" i="50"/>
  <c r="C3114" i="50"/>
  <c r="D257" i="50"/>
  <c r="D285" i="50"/>
  <c r="C1127" i="50"/>
  <c r="D2000" i="50"/>
  <c r="D2715" i="50" s="1"/>
  <c r="D2063" i="50"/>
  <c r="D2778" i="50" s="1"/>
  <c r="D1337" i="50"/>
  <c r="D3513" i="50"/>
  <c r="C3569" i="50"/>
  <c r="C1414" i="50"/>
  <c r="H226" i="49"/>
  <c r="BB226" i="49"/>
  <c r="BB218" i="49"/>
  <c r="BG218" i="49"/>
  <c r="BB214" i="49"/>
  <c r="H210" i="49"/>
  <c r="BS206" i="49"/>
  <c r="BB202" i="49"/>
  <c r="H202" i="49"/>
  <c r="BG202" i="49"/>
  <c r="BS199" i="49"/>
  <c r="BB199" i="49"/>
  <c r="BB195" i="49"/>
  <c r="BG191" i="49"/>
  <c r="BB187" i="49"/>
  <c r="H183" i="49"/>
  <c r="BS183" i="49"/>
  <c r="BS179" i="49"/>
  <c r="BG179" i="49"/>
  <c r="H175" i="49"/>
  <c r="BB175" i="49"/>
  <c r="BS171" i="49"/>
  <c r="BG171" i="49"/>
  <c r="BB161" i="49"/>
  <c r="BS161" i="49"/>
  <c r="H157" i="49"/>
  <c r="BG157" i="49"/>
  <c r="BS150" i="49"/>
  <c r="K138" i="49"/>
  <c r="L231" i="49"/>
  <c r="BB211" i="49"/>
  <c r="BB157" i="49"/>
  <c r="BG196" i="49"/>
  <c r="BG214" i="49"/>
  <c r="BG203" i="49"/>
  <c r="BS191" i="49"/>
  <c r="D1008" i="50"/>
  <c r="D1036" i="50"/>
  <c r="D1762" i="50"/>
  <c r="D2477" i="50" s="1"/>
  <c r="D453" i="50"/>
  <c r="C1211" i="50"/>
  <c r="C3366" i="50"/>
  <c r="C1986" i="50"/>
  <c r="C2701" i="50" s="1"/>
  <c r="C3422" i="50"/>
  <c r="D1853" i="50"/>
  <c r="D2568" i="50" s="1"/>
  <c r="H227" i="49"/>
  <c r="BB227" i="49"/>
  <c r="BS227" i="49"/>
  <c r="H207" i="49"/>
  <c r="BS207" i="49"/>
  <c r="BB207" i="49"/>
  <c r="BB200" i="49"/>
  <c r="BS200" i="49"/>
  <c r="H200" i="49"/>
  <c r="BG200" i="49"/>
  <c r="H196" i="49"/>
  <c r="BS196" i="49"/>
  <c r="H188" i="49"/>
  <c r="BS188" i="49"/>
  <c r="BB188" i="49"/>
  <c r="BG188" i="49"/>
  <c r="BG192" i="49"/>
  <c r="BB196" i="49"/>
  <c r="BG226" i="49"/>
  <c r="BG199" i="49"/>
  <c r="BG219" i="49"/>
  <c r="BG153" i="49"/>
  <c r="BG206" i="49"/>
  <c r="BG210" i="49"/>
  <c r="D2049" i="50"/>
  <c r="D2764" i="50" s="1"/>
  <c r="BQ102" i="49"/>
  <c r="BC111" i="49"/>
  <c r="BS184" i="49"/>
  <c r="BG184" i="49"/>
  <c r="H184" i="49"/>
  <c r="BS180" i="49"/>
  <c r="BG180" i="49"/>
  <c r="H180" i="49"/>
  <c r="BB180" i="49"/>
  <c r="BB176" i="49"/>
  <c r="BS176" i="49"/>
  <c r="H176" i="49"/>
  <c r="H172" i="49"/>
  <c r="BS172" i="49"/>
  <c r="BG168" i="49"/>
  <c r="H164" i="49"/>
  <c r="BS164" i="49"/>
  <c r="BG164" i="49"/>
  <c r="H158" i="49"/>
  <c r="BG158" i="49"/>
  <c r="BS158" i="49"/>
  <c r="BB158" i="49"/>
  <c r="H154" i="49"/>
  <c r="BS154" i="49"/>
  <c r="BG154" i="49"/>
  <c r="BB154" i="49"/>
  <c r="BS147" i="49"/>
  <c r="BG147" i="49"/>
  <c r="H147" i="49"/>
  <c r="BS144" i="49"/>
  <c r="BS140" i="49"/>
  <c r="BB140" i="49"/>
  <c r="BG140" i="49"/>
  <c r="H133" i="49"/>
  <c r="BG176" i="49"/>
  <c r="BB164" i="49"/>
  <c r="BB172" i="49"/>
  <c r="BB147" i="49"/>
  <c r="H140" i="49"/>
  <c r="C1386" i="50"/>
  <c r="C2112" i="50"/>
  <c r="C2827" i="50" s="1"/>
  <c r="BS226" i="49"/>
  <c r="BS218" i="49"/>
  <c r="H218" i="49"/>
  <c r="BS214" i="49"/>
  <c r="H214" i="49"/>
  <c r="BB210" i="49"/>
  <c r="BS210" i="49"/>
  <c r="BB206" i="49"/>
  <c r="H206" i="49"/>
  <c r="BS202" i="49"/>
  <c r="H199" i="49"/>
  <c r="BG195" i="49"/>
  <c r="BS195" i="49"/>
  <c r="H195" i="49"/>
  <c r="H191" i="49"/>
  <c r="BG187" i="49"/>
  <c r="BS187" i="49"/>
  <c r="H187" i="49"/>
  <c r="BG183" i="49"/>
  <c r="BB183" i="49"/>
  <c r="H179" i="49"/>
  <c r="BB179" i="49"/>
  <c r="BS175" i="49"/>
  <c r="BB171" i="49"/>
  <c r="H171" i="49"/>
  <c r="BG161" i="49"/>
  <c r="H161" i="49"/>
  <c r="BS157" i="49"/>
  <c r="BS153" i="49"/>
  <c r="H153" i="49"/>
  <c r="BB153" i="49"/>
  <c r="H150" i="49"/>
  <c r="D1748" i="50"/>
  <c r="D2463" i="50" s="1"/>
  <c r="D313" i="50"/>
  <c r="D1022" i="50"/>
  <c r="D1050" i="50"/>
  <c r="D1776" i="50"/>
  <c r="D2491" i="50" s="1"/>
  <c r="D1169" i="50"/>
  <c r="BS225" i="49"/>
  <c r="H221" i="49"/>
  <c r="BS190" i="49"/>
  <c r="BQ43" i="49"/>
  <c r="BI138" i="49"/>
  <c r="BQ138" i="49" s="1"/>
  <c r="D1064" i="50"/>
  <c r="AH476" i="50"/>
  <c r="V231" i="49"/>
  <c r="BC97" i="49"/>
  <c r="BG134" i="49"/>
  <c r="BG145" i="49"/>
  <c r="BG163" i="49"/>
  <c r="BG36" i="49"/>
  <c r="BG44" i="49"/>
  <c r="BB225" i="49"/>
  <c r="L116" i="49"/>
  <c r="O207" i="49"/>
  <c r="AF1979" i="50"/>
  <c r="R1596" i="50"/>
  <c r="H1596" i="50" s="1"/>
  <c r="AF2002" i="50"/>
  <c r="AF1744" i="50"/>
  <c r="X1744" i="50" s="1"/>
  <c r="AF1496" i="50"/>
  <c r="R1556" i="50"/>
  <c r="L1556" i="50" s="1"/>
  <c r="O229" i="49"/>
  <c r="AF2133" i="50"/>
  <c r="Z2133" i="50" s="1"/>
  <c r="O138" i="49"/>
  <c r="AI146" i="49"/>
  <c r="R1575" i="50"/>
  <c r="AF1954" i="50"/>
  <c r="AD1954" i="50" s="1"/>
  <c r="AS203" i="49"/>
  <c r="R2018" i="50"/>
  <c r="Y150" i="49"/>
  <c r="Z1818" i="50"/>
  <c r="AI222" i="49"/>
  <c r="R1475" i="50"/>
  <c r="R1675" i="50"/>
  <c r="AX163" i="49"/>
  <c r="R1630" i="50"/>
  <c r="H1630" i="50" s="1"/>
  <c r="K102" i="49"/>
  <c r="J102" i="49" s="1"/>
  <c r="K80" i="49"/>
  <c r="J80" i="49" s="1"/>
  <c r="K97" i="49"/>
  <c r="K112" i="49"/>
  <c r="J112" i="49" s="1"/>
  <c r="AY77" i="49"/>
  <c r="AY79" i="49"/>
  <c r="AX79" i="49" s="1"/>
  <c r="AY86" i="49"/>
  <c r="R500" i="50" s="1"/>
  <c r="AY95" i="49"/>
  <c r="R563" i="50" s="1"/>
  <c r="J563" i="50" s="1"/>
  <c r="AY97" i="49"/>
  <c r="AX97" i="49" s="1"/>
  <c r="AY101" i="49"/>
  <c r="R605" i="50" s="1"/>
  <c r="AY105" i="49"/>
  <c r="AY108" i="49"/>
  <c r="AY111" i="49"/>
  <c r="AX111" i="49" s="1"/>
  <c r="AY85" i="49"/>
  <c r="R493" i="50" s="1"/>
  <c r="AY91" i="49"/>
  <c r="R535" i="50" s="1"/>
  <c r="AH535" i="50" s="1"/>
  <c r="AY109" i="49"/>
  <c r="R661" i="50" s="1"/>
  <c r="P661" i="50" s="1"/>
  <c r="AY78" i="49"/>
  <c r="R444" i="50" s="1"/>
  <c r="AY80" i="49"/>
  <c r="AY90" i="49"/>
  <c r="AY93" i="49"/>
  <c r="AY96" i="49"/>
  <c r="AY98" i="49"/>
  <c r="R584" i="50" s="1"/>
  <c r="AY100" i="49"/>
  <c r="R598" i="50" s="1"/>
  <c r="AY104" i="49"/>
  <c r="R626" i="50" s="1"/>
  <c r="N626" i="50" s="1"/>
  <c r="N1341" i="50" s="1"/>
  <c r="AY107" i="49"/>
  <c r="AX107" i="49" s="1"/>
  <c r="AY110" i="49"/>
  <c r="R668" i="50" s="1"/>
  <c r="AY113" i="49"/>
  <c r="AY76" i="49"/>
  <c r="AY82" i="49"/>
  <c r="AX82" i="49" s="1"/>
  <c r="AY88" i="49"/>
  <c r="R514" i="50" s="1"/>
  <c r="AY89" i="49"/>
  <c r="AX89" i="49" s="1"/>
  <c r="AY92" i="49"/>
  <c r="AY94" i="49"/>
  <c r="R556" i="50" s="1"/>
  <c r="AY102" i="49"/>
  <c r="R612" i="50" s="1"/>
  <c r="AY112" i="49"/>
  <c r="R682" i="50" s="1"/>
  <c r="AY74" i="49"/>
  <c r="AX74" i="49" s="1"/>
  <c r="AY84" i="49"/>
  <c r="AY75" i="49"/>
  <c r="R423" i="50" s="1"/>
  <c r="AY103" i="49"/>
  <c r="AY83" i="49"/>
  <c r="R479" i="50" s="1"/>
  <c r="AH479" i="50" s="1"/>
  <c r="K108" i="49"/>
  <c r="J108" i="49" s="1"/>
  <c r="AY99" i="49"/>
  <c r="AX99" i="49" s="1"/>
  <c r="AY106" i="49"/>
  <c r="R640" i="50" s="1"/>
  <c r="J640" i="50" s="1"/>
  <c r="AY81" i="49"/>
  <c r="AY87" i="49"/>
  <c r="BD78" i="49"/>
  <c r="BD77" i="49"/>
  <c r="BC77" i="49" s="1"/>
  <c r="BD79" i="49"/>
  <c r="Z226" i="49"/>
  <c r="Z219" i="49"/>
  <c r="Z215" i="49"/>
  <c r="Z211" i="49"/>
  <c r="Z208" i="49"/>
  <c r="Z196" i="49"/>
  <c r="Z194" i="49"/>
  <c r="AO227" i="49"/>
  <c r="AE225" i="49"/>
  <c r="AJ224" i="49"/>
  <c r="AI224" i="49" s="1"/>
  <c r="K221" i="49"/>
  <c r="R2077" i="50" s="1"/>
  <c r="BD219" i="49"/>
  <c r="K217" i="49"/>
  <c r="AO213" i="49"/>
  <c r="Z209" i="49"/>
  <c r="AF1994" i="50" s="1"/>
  <c r="AJ206" i="49"/>
  <c r="AY204" i="49"/>
  <c r="R1962" i="50" s="1"/>
  <c r="AJ203" i="49"/>
  <c r="AY201" i="49"/>
  <c r="P200" i="49"/>
  <c r="K199" i="49"/>
  <c r="J199" i="49" s="1"/>
  <c r="AO197" i="49"/>
  <c r="R1912" i="50" s="1"/>
  <c r="AY194" i="49"/>
  <c r="K193" i="49"/>
  <c r="P190" i="49"/>
  <c r="AE189" i="49"/>
  <c r="AD189" i="49" s="1"/>
  <c r="AJ186" i="49"/>
  <c r="AF1834" i="50" s="1"/>
  <c r="U185" i="49"/>
  <c r="U181" i="49"/>
  <c r="U180" i="49"/>
  <c r="R1791" i="50" s="1"/>
  <c r="T180" i="49"/>
  <c r="AO178" i="49"/>
  <c r="AE177" i="49"/>
  <c r="U176" i="49"/>
  <c r="T176" i="49" s="1"/>
  <c r="Z228" i="49"/>
  <c r="Z225" i="49"/>
  <c r="Z214" i="49"/>
  <c r="Z210" i="49"/>
  <c r="AF2001" i="50" s="1"/>
  <c r="Z201" i="49"/>
  <c r="Z193" i="49"/>
  <c r="BL193" i="49" s="1"/>
  <c r="Z192" i="49"/>
  <c r="Z230" i="49"/>
  <c r="Z227" i="49"/>
  <c r="K225" i="49"/>
  <c r="R2105" i="50" s="1"/>
  <c r="AT223" i="49"/>
  <c r="AF2094" i="50" s="1"/>
  <c r="AE222" i="49"/>
  <c r="AY220" i="49"/>
  <c r="R2074" i="50" s="1"/>
  <c r="AE218" i="49"/>
  <c r="AJ216" i="49"/>
  <c r="AF2044" i="50" s="1"/>
  <c r="AE213" i="49"/>
  <c r="AT211" i="49"/>
  <c r="AS211" i="49" s="1"/>
  <c r="AY208" i="49"/>
  <c r="AE204" i="49"/>
  <c r="R1960" i="50" s="1"/>
  <c r="AY202" i="49"/>
  <c r="AJ201" i="49"/>
  <c r="AF1939" i="50" s="1"/>
  <c r="BD199" i="49"/>
  <c r="AO198" i="49"/>
  <c r="AY196" i="49"/>
  <c r="AE194" i="49"/>
  <c r="AD194" i="49" s="1"/>
  <c r="BD192" i="49"/>
  <c r="AO191" i="49"/>
  <c r="K189" i="49"/>
  <c r="J189" i="49" s="1"/>
  <c r="U188" i="49"/>
  <c r="T188" i="49" s="1"/>
  <c r="AE187" i="49"/>
  <c r="AD187" i="49" s="1"/>
  <c r="Z186" i="49"/>
  <c r="Y186" i="49" s="1"/>
  <c r="AY184" i="49"/>
  <c r="AY181" i="49"/>
  <c r="AX181" i="49" s="1"/>
  <c r="AE179" i="49"/>
  <c r="U178" i="49"/>
  <c r="U177" i="49"/>
  <c r="R1770" i="50" s="1"/>
  <c r="U175" i="49"/>
  <c r="Z213" i="49"/>
  <c r="Z207" i="49"/>
  <c r="Y207" i="49" s="1"/>
  <c r="Z195" i="49"/>
  <c r="AJ229" i="49"/>
  <c r="AF2135" i="50" s="1"/>
  <c r="AJ226" i="49"/>
  <c r="AI226" i="49" s="1"/>
  <c r="AY224" i="49"/>
  <c r="AX224" i="49" s="1"/>
  <c r="R2102" i="50"/>
  <c r="P223" i="49"/>
  <c r="O223" i="49" s="1"/>
  <c r="K222" i="49"/>
  <c r="J222" i="49" s="1"/>
  <c r="AJ220" i="49"/>
  <c r="AI220" i="49" s="1"/>
  <c r="AY217" i="49"/>
  <c r="R2053" i="50" s="1"/>
  <c r="L2053" i="50" s="1"/>
  <c r="AT215" i="49"/>
  <c r="AF2038" i="50" s="1"/>
  <c r="P213" i="49"/>
  <c r="O213" i="49" s="1"/>
  <c r="AT210" i="49"/>
  <c r="AY207" i="49"/>
  <c r="P206" i="49"/>
  <c r="K204" i="49"/>
  <c r="J204" i="49" s="1"/>
  <c r="AY200" i="49"/>
  <c r="AJ199" i="49"/>
  <c r="AF1925" i="50" s="1"/>
  <c r="Z198" i="49"/>
  <c r="AF1917" i="50" s="1"/>
  <c r="AE195" i="49"/>
  <c r="P194" i="49"/>
  <c r="AJ192" i="49"/>
  <c r="Z191" i="49"/>
  <c r="Y191" i="49" s="1"/>
  <c r="AO188" i="49"/>
  <c r="AN188" i="49" s="1"/>
  <c r="K187" i="49"/>
  <c r="BD185" i="49"/>
  <c r="AO182" i="49"/>
  <c r="AN182" i="49" s="1"/>
  <c r="AO180" i="49"/>
  <c r="AT177" i="49"/>
  <c r="AJ175" i="49"/>
  <c r="AF1920" i="50"/>
  <c r="AF1455" i="50"/>
  <c r="U174" i="49"/>
  <c r="T174" i="49" s="1"/>
  <c r="AJ176" i="49"/>
  <c r="AF1764" i="50" s="1"/>
  <c r="AO185" i="49"/>
  <c r="AY189" i="49"/>
  <c r="R1857" i="50" s="1"/>
  <c r="N1857" i="50" s="1"/>
  <c r="K195" i="49"/>
  <c r="Z202" i="49"/>
  <c r="AF1945" i="50" s="1"/>
  <c r="AY209" i="49"/>
  <c r="P220" i="49"/>
  <c r="AO225" i="49"/>
  <c r="R1617" i="50"/>
  <c r="L2071" i="50"/>
  <c r="R1926" i="50"/>
  <c r="AS144" i="49"/>
  <c r="BQ131" i="49"/>
  <c r="BQ228" i="49"/>
  <c r="L1889" i="50"/>
  <c r="J1889" i="50"/>
  <c r="AB1790" i="50"/>
  <c r="AB2007" i="50"/>
  <c r="T1969" i="50"/>
  <c r="T1971" i="50" s="1"/>
  <c r="AD1969" i="50"/>
  <c r="Z1969" i="50"/>
  <c r="L1647" i="50"/>
  <c r="J1647" i="50"/>
  <c r="J1702" i="50"/>
  <c r="V1450" i="50"/>
  <c r="AD1450" i="50"/>
  <c r="X1450" i="50"/>
  <c r="AB2086" i="50"/>
  <c r="AH483" i="50"/>
  <c r="AF2072" i="50"/>
  <c r="Z2072" i="50" s="1"/>
  <c r="R1855" i="50"/>
  <c r="L1855" i="50" s="1"/>
  <c r="AF2100" i="50"/>
  <c r="V2100" i="50" s="1"/>
  <c r="AI176" i="49"/>
  <c r="R1958" i="50"/>
  <c r="AF2021" i="50"/>
  <c r="T2021" i="50" s="1"/>
  <c r="AF2010" i="50"/>
  <c r="V2010" i="50" s="1"/>
  <c r="R1763" i="50"/>
  <c r="R1923" i="50"/>
  <c r="P1923" i="50" s="1"/>
  <c r="AX204" i="49"/>
  <c r="AX94" i="49"/>
  <c r="AX100" i="49"/>
  <c r="R1749" i="50"/>
  <c r="AF1987" i="50"/>
  <c r="Z1987" i="50" s="1"/>
  <c r="Y208" i="49"/>
  <c r="AF437" i="50"/>
  <c r="AX98" i="49"/>
  <c r="AX101" i="49"/>
  <c r="AX189" i="49"/>
  <c r="AF1833" i="50"/>
  <c r="BM82" i="49"/>
  <c r="BQ82" i="49" s="1"/>
  <c r="AX75" i="49"/>
  <c r="AX78" i="49"/>
  <c r="R577" i="50"/>
  <c r="R451" i="50"/>
  <c r="BM84" i="49"/>
  <c r="I55" i="32"/>
  <c r="I63" i="32" s="1"/>
  <c r="N13" i="38"/>
  <c r="N14" i="38"/>
  <c r="H74" i="32"/>
  <c r="J74" i="32"/>
  <c r="J58" i="35"/>
  <c r="J77" i="35"/>
  <c r="B112" i="35"/>
  <c r="G61" i="35"/>
  <c r="G51" i="35"/>
  <c r="G53" i="35" s="1"/>
  <c r="T16" i="32"/>
  <c r="T11" i="32"/>
  <c r="T10" i="32" s="1"/>
  <c r="J178" i="49"/>
  <c r="R1776" i="50"/>
  <c r="AF1867" i="50"/>
  <c r="T1867" i="50" s="1"/>
  <c r="O191" i="49"/>
  <c r="R1706" i="50"/>
  <c r="L1706" i="50" s="1"/>
  <c r="AD162" i="49"/>
  <c r="R1666" i="50"/>
  <c r="P1666" i="50" s="1"/>
  <c r="BC204" i="49"/>
  <c r="AF1962" i="50"/>
  <c r="AD145" i="49"/>
  <c r="R1547" i="50"/>
  <c r="AN140" i="49"/>
  <c r="R1513" i="50"/>
  <c r="AE34" i="48"/>
  <c r="E31" i="35"/>
  <c r="E33" i="35" s="1"/>
  <c r="G31" i="35"/>
  <c r="G33" i="35" s="1"/>
  <c r="M120" i="35"/>
  <c r="F28" i="35"/>
  <c r="H85" i="32"/>
  <c r="B95" i="35"/>
  <c r="J13" i="38"/>
  <c r="E14" i="38"/>
  <c r="E13" i="38"/>
  <c r="L58" i="35"/>
  <c r="D27" i="51"/>
  <c r="E27" i="51" s="1"/>
  <c r="AD223" i="49"/>
  <c r="R2093" i="50"/>
  <c r="AN136" i="49"/>
  <c r="R1485" i="50"/>
  <c r="AI193" i="49"/>
  <c r="AF1883" i="50"/>
  <c r="AB1883" i="50" s="1"/>
  <c r="AF1527" i="50"/>
  <c r="R1469" i="50"/>
  <c r="BQ201" i="49"/>
  <c r="O14" i="32"/>
  <c r="AS40" i="32"/>
  <c r="D51" i="35"/>
  <c r="G22" i="35"/>
  <c r="AH21" i="61"/>
  <c r="J48" i="35"/>
  <c r="D14" i="51"/>
  <c r="E14" i="51" s="1"/>
  <c r="D41" i="35"/>
  <c r="G100" i="35"/>
  <c r="F83" i="35"/>
  <c r="H41" i="35"/>
  <c r="H51" i="35"/>
  <c r="H31" i="35"/>
  <c r="AE23" i="32"/>
  <c r="X40" i="32"/>
  <c r="AF1694" i="50"/>
  <c r="Z1694" i="50" s="1"/>
  <c r="AI166" i="49"/>
  <c r="AI189" i="49"/>
  <c r="AF1855" i="50"/>
  <c r="AN222" i="49"/>
  <c r="AD136" i="49"/>
  <c r="R1484" i="50"/>
  <c r="J230" i="49"/>
  <c r="R2140" i="50"/>
  <c r="O193" i="49"/>
  <c r="AF1881" i="50"/>
  <c r="J215" i="49"/>
  <c r="R2035" i="50"/>
  <c r="AI163" i="49"/>
  <c r="AF1673" i="50"/>
  <c r="H13" i="38"/>
  <c r="H50" i="38" s="1"/>
  <c r="N95" i="35"/>
  <c r="G101" i="35"/>
  <c r="J51" i="38"/>
  <c r="AB41" i="32"/>
  <c r="R1786" i="50"/>
  <c r="J182" i="49"/>
  <c r="R1804" i="50"/>
  <c r="R1465" i="50"/>
  <c r="F1465" i="50" s="1"/>
  <c r="F2180" i="50" s="1"/>
  <c r="F2894" i="50" s="1"/>
  <c r="AX133" i="49"/>
  <c r="AN158" i="49"/>
  <c r="J2137" i="50"/>
  <c r="P2137" i="50"/>
  <c r="BC164" i="49"/>
  <c r="AF1682" i="50"/>
  <c r="AD1682" i="50" s="1"/>
  <c r="AF1738" i="50"/>
  <c r="X1738" i="50" s="1"/>
  <c r="BG209" i="49"/>
  <c r="BS209" i="49"/>
  <c r="Y67" i="48"/>
  <c r="O67" i="48"/>
  <c r="R1993" i="50"/>
  <c r="R1591" i="50"/>
  <c r="R2009" i="50"/>
  <c r="P2009" i="50" s="1"/>
  <c r="AF1645" i="50"/>
  <c r="T1645" i="50" s="1"/>
  <c r="J131" i="49"/>
  <c r="R1665" i="50"/>
  <c r="R1944" i="50"/>
  <c r="F1944" i="50" s="1"/>
  <c r="R1531" i="50"/>
  <c r="P1531" i="50" s="1"/>
  <c r="R1750" i="50"/>
  <c r="L1750" i="50" s="1"/>
  <c r="R1848" i="50"/>
  <c r="R1532" i="50"/>
  <c r="P1532" i="50" s="1"/>
  <c r="R1624" i="50"/>
  <c r="R1693" i="50"/>
  <c r="L1693" i="50" s="1"/>
  <c r="R1743" i="50"/>
  <c r="J1743" i="50" s="1"/>
  <c r="R2031" i="50"/>
  <c r="F2031" i="50" s="1"/>
  <c r="R1611" i="50"/>
  <c r="AD167" i="49"/>
  <c r="R1701" i="50"/>
  <c r="BQ171" i="49"/>
  <c r="BQ185" i="49"/>
  <c r="O34" i="48"/>
  <c r="Y55" i="48"/>
  <c r="Y58" i="48"/>
  <c r="W117" i="48"/>
  <c r="AC117" i="48" s="1"/>
  <c r="AC89" i="48"/>
  <c r="AO58" i="49"/>
  <c r="AN58" i="49" s="1"/>
  <c r="AO41" i="49"/>
  <c r="AN41" i="49" s="1"/>
  <c r="R72" i="50"/>
  <c r="AO85" i="49"/>
  <c r="AN85" i="49" s="1"/>
  <c r="AE61" i="49"/>
  <c r="AD61" i="49" s="1"/>
  <c r="AF1958" i="50"/>
  <c r="V1958" i="50" s="1"/>
  <c r="R1913" i="50"/>
  <c r="N1913" i="50" s="1"/>
  <c r="N2628" i="50" s="1"/>
  <c r="N3342" i="50" s="1"/>
  <c r="R1996" i="50"/>
  <c r="R2037" i="50"/>
  <c r="H2037" i="50" s="1"/>
  <c r="R1603" i="50"/>
  <c r="H1603" i="50" s="1"/>
  <c r="R1714" i="50"/>
  <c r="N1714" i="50" s="1"/>
  <c r="R1707" i="50"/>
  <c r="R1778" i="50"/>
  <c r="R1499" i="50"/>
  <c r="R1825" i="50"/>
  <c r="H1825" i="50" s="1"/>
  <c r="BQ136" i="49"/>
  <c r="BQ157" i="49"/>
  <c r="P30" i="49"/>
  <c r="O30" i="49" s="1"/>
  <c r="P34" i="49"/>
  <c r="O34" i="49" s="1"/>
  <c r="P38" i="49"/>
  <c r="O38" i="49" s="1"/>
  <c r="P42" i="49"/>
  <c r="P46" i="49"/>
  <c r="O46" i="49" s="1"/>
  <c r="P50" i="49"/>
  <c r="O50" i="49" s="1"/>
  <c r="P29" i="49"/>
  <c r="O29" i="49" s="1"/>
  <c r="P33" i="49"/>
  <c r="O33" i="49" s="1"/>
  <c r="P37" i="49"/>
  <c r="O37" i="49" s="1"/>
  <c r="P41" i="49"/>
  <c r="O41" i="49" s="1"/>
  <c r="P45" i="49"/>
  <c r="O45" i="49" s="1"/>
  <c r="P49" i="49"/>
  <c r="U167" i="49"/>
  <c r="R1700" i="50" s="1"/>
  <c r="H1700" i="50" s="1"/>
  <c r="Z109" i="49"/>
  <c r="Y109" i="49" s="1"/>
  <c r="P109" i="49"/>
  <c r="O109" i="49" s="1"/>
  <c r="P32" i="49"/>
  <c r="O32" i="49" s="1"/>
  <c r="P36" i="49"/>
  <c r="O36" i="49" s="1"/>
  <c r="P40" i="49"/>
  <c r="O40" i="49" s="1"/>
  <c r="P44" i="49"/>
  <c r="O44" i="49" s="1"/>
  <c r="P48" i="49"/>
  <c r="O48" i="49" s="1"/>
  <c r="P39" i="49"/>
  <c r="O39" i="49" s="1"/>
  <c r="P55" i="49"/>
  <c r="O55" i="49" s="1"/>
  <c r="P59" i="49"/>
  <c r="O59" i="49" s="1"/>
  <c r="P63" i="49"/>
  <c r="O63" i="49" s="1"/>
  <c r="P67" i="49"/>
  <c r="O67" i="49" s="1"/>
  <c r="P71" i="49"/>
  <c r="O71" i="49" s="1"/>
  <c r="P75" i="49"/>
  <c r="O75" i="49" s="1"/>
  <c r="P79" i="49"/>
  <c r="O79" i="49" s="1"/>
  <c r="P83" i="49"/>
  <c r="O83" i="49" s="1"/>
  <c r="P87" i="49"/>
  <c r="O87" i="49" s="1"/>
  <c r="P91" i="49"/>
  <c r="O91" i="49" s="1"/>
  <c r="P95" i="49"/>
  <c r="O95" i="49" s="1"/>
  <c r="P99" i="49"/>
  <c r="O99" i="49" s="1"/>
  <c r="P103" i="49"/>
  <c r="O103" i="49" s="1"/>
  <c r="P107" i="49"/>
  <c r="O107" i="49" s="1"/>
  <c r="P112" i="49"/>
  <c r="O112" i="49" s="1"/>
  <c r="Z29" i="49"/>
  <c r="Y29" i="49" s="1"/>
  <c r="Z33" i="49"/>
  <c r="Y33" i="49" s="1"/>
  <c r="Z37" i="49"/>
  <c r="Y37" i="49" s="1"/>
  <c r="Z41" i="49"/>
  <c r="Y41" i="49" s="1"/>
  <c r="Z45" i="49"/>
  <c r="Y45" i="49" s="1"/>
  <c r="Z49" i="49"/>
  <c r="Y49" i="49" s="1"/>
  <c r="Z53" i="49"/>
  <c r="Y53" i="49" s="1"/>
  <c r="Z57" i="49"/>
  <c r="Y57" i="49" s="1"/>
  <c r="Z61" i="49"/>
  <c r="Y61" i="49" s="1"/>
  <c r="Z65" i="49"/>
  <c r="Y65" i="49" s="1"/>
  <c r="Z69" i="49"/>
  <c r="Y69" i="49" s="1"/>
  <c r="Z73" i="49"/>
  <c r="Y73" i="49" s="1"/>
  <c r="P35" i="49"/>
  <c r="O35" i="49" s="1"/>
  <c r="P51" i="49"/>
  <c r="O51" i="49" s="1"/>
  <c r="P54" i="49"/>
  <c r="O54" i="49" s="1"/>
  <c r="P58" i="49"/>
  <c r="O58" i="49" s="1"/>
  <c r="P62" i="49"/>
  <c r="O62" i="49" s="1"/>
  <c r="P66" i="49"/>
  <c r="O66" i="49" s="1"/>
  <c r="P70" i="49"/>
  <c r="O70" i="49" s="1"/>
  <c r="P74" i="49"/>
  <c r="O74" i="49" s="1"/>
  <c r="P78" i="49"/>
  <c r="O78" i="49" s="1"/>
  <c r="P82" i="49"/>
  <c r="O82" i="49" s="1"/>
  <c r="P86" i="49"/>
  <c r="O86" i="49" s="1"/>
  <c r="P90" i="49"/>
  <c r="O90" i="49" s="1"/>
  <c r="P94" i="49"/>
  <c r="O94" i="49" s="1"/>
  <c r="P98" i="49"/>
  <c r="O98" i="49" s="1"/>
  <c r="P102" i="49"/>
  <c r="O102" i="49" s="1"/>
  <c r="P106" i="49"/>
  <c r="O106" i="49" s="1"/>
  <c r="P111" i="49"/>
  <c r="P115" i="49"/>
  <c r="O115" i="49" s="1"/>
  <c r="Z24" i="49"/>
  <c r="Y24" i="49" s="1"/>
  <c r="Z32" i="49"/>
  <c r="Y32" i="49" s="1"/>
  <c r="Z36" i="49"/>
  <c r="Y36" i="49" s="1"/>
  <c r="Z40" i="49"/>
  <c r="Y40" i="49" s="1"/>
  <c r="Z44" i="49"/>
  <c r="Y44" i="49" s="1"/>
  <c r="Z48" i="49"/>
  <c r="Y48" i="49" s="1"/>
  <c r="Z52" i="49"/>
  <c r="Y52" i="49" s="1"/>
  <c r="Z56" i="49"/>
  <c r="Y56" i="49" s="1"/>
  <c r="Z60" i="49"/>
  <c r="Y60" i="49" s="1"/>
  <c r="Z64" i="49"/>
  <c r="Y64" i="49" s="1"/>
  <c r="T1058" i="50" s="1"/>
  <c r="P31" i="49"/>
  <c r="O31" i="49" s="1"/>
  <c r="P47" i="49"/>
  <c r="O47" i="49" s="1"/>
  <c r="P53" i="49"/>
  <c r="O53" i="49" s="1"/>
  <c r="P57" i="49"/>
  <c r="O57" i="49" s="1"/>
  <c r="P61" i="49"/>
  <c r="O61" i="49" s="1"/>
  <c r="P65" i="49"/>
  <c r="O65" i="49" s="1"/>
  <c r="P69" i="49"/>
  <c r="O69" i="49" s="1"/>
  <c r="P73" i="49"/>
  <c r="O73" i="49" s="1"/>
  <c r="P77" i="49"/>
  <c r="O77" i="49" s="1"/>
  <c r="P81" i="49"/>
  <c r="O81" i="49" s="1"/>
  <c r="P85" i="49"/>
  <c r="O85" i="49" s="1"/>
  <c r="P89" i="49"/>
  <c r="O89" i="49" s="1"/>
  <c r="P93" i="49"/>
  <c r="O93" i="49" s="1"/>
  <c r="P97" i="49"/>
  <c r="O97" i="49" s="1"/>
  <c r="P101" i="49"/>
  <c r="O101" i="49" s="1"/>
  <c r="P105" i="49"/>
  <c r="O105" i="49" s="1"/>
  <c r="P110" i="49"/>
  <c r="O110" i="49" s="1"/>
  <c r="P114" i="49"/>
  <c r="O114" i="49" s="1"/>
  <c r="Z31" i="49"/>
  <c r="Y31" i="49" s="1"/>
  <c r="Z35" i="49"/>
  <c r="Y35" i="49" s="1"/>
  <c r="P52" i="49"/>
  <c r="O52" i="49" s="1"/>
  <c r="P68" i="49"/>
  <c r="O68" i="49" s="1"/>
  <c r="P84" i="49"/>
  <c r="AF482" i="50" s="1"/>
  <c r="P100" i="49"/>
  <c r="O100" i="49" s="1"/>
  <c r="Z43" i="49"/>
  <c r="Y43" i="49" s="1"/>
  <c r="Z51" i="49"/>
  <c r="Y51" i="49" s="1"/>
  <c r="Z59" i="49"/>
  <c r="Y59" i="49" s="1"/>
  <c r="Z67" i="49"/>
  <c r="Y67" i="49" s="1"/>
  <c r="Z74" i="49"/>
  <c r="Y74" i="49" s="1"/>
  <c r="Z78" i="49"/>
  <c r="Y78" i="49" s="1"/>
  <c r="Z88" i="49"/>
  <c r="Y88" i="49" s="1"/>
  <c r="Z92" i="49"/>
  <c r="Y92" i="49" s="1"/>
  <c r="Z96" i="49"/>
  <c r="Y96" i="49" s="1"/>
  <c r="Z100" i="49"/>
  <c r="AF595" i="50" s="1"/>
  <c r="AH595" i="50" s="1"/>
  <c r="Z104" i="49"/>
  <c r="Y104" i="49" s="1"/>
  <c r="Z108" i="49"/>
  <c r="Y108" i="49" s="1"/>
  <c r="Z113" i="49"/>
  <c r="Y113" i="49" s="1"/>
  <c r="AF15" i="50"/>
  <c r="AF43" i="50"/>
  <c r="AF71" i="50"/>
  <c r="AJ29" i="49"/>
  <c r="AI29" i="49" s="1"/>
  <c r="AJ33" i="49"/>
  <c r="AI33" i="49" s="1"/>
  <c r="AJ37" i="49"/>
  <c r="AJ41" i="49"/>
  <c r="AI41" i="49" s="1"/>
  <c r="AJ45" i="49"/>
  <c r="AJ49" i="49"/>
  <c r="AI49" i="49" s="1"/>
  <c r="AJ53" i="49"/>
  <c r="AI53" i="49" s="1"/>
  <c r="AJ57" i="49"/>
  <c r="AI57" i="49" s="1"/>
  <c r="AJ61" i="49"/>
  <c r="AI61" i="49" s="1"/>
  <c r="AJ65" i="49"/>
  <c r="AI65" i="49" s="1"/>
  <c r="AJ69" i="49"/>
  <c r="AI69" i="49" s="1"/>
  <c r="AJ73" i="49"/>
  <c r="AJ77" i="49"/>
  <c r="AI77" i="49" s="1"/>
  <c r="AJ81" i="49"/>
  <c r="AI81" i="49" s="1"/>
  <c r="AJ85" i="49"/>
  <c r="AI85" i="49" s="1"/>
  <c r="AJ89" i="49"/>
  <c r="AI89" i="49" s="1"/>
  <c r="AJ93" i="49"/>
  <c r="AI93" i="49" s="1"/>
  <c r="AJ97" i="49"/>
  <c r="AI97" i="49" s="1"/>
  <c r="AJ101" i="49"/>
  <c r="AI101" i="49" s="1"/>
  <c r="AJ105" i="49"/>
  <c r="AI105" i="49" s="1"/>
  <c r="AJ109" i="49"/>
  <c r="AI109" i="49" s="1"/>
  <c r="AJ113" i="49"/>
  <c r="AI113" i="49" s="1"/>
  <c r="AF16" i="50"/>
  <c r="AT76" i="49"/>
  <c r="AS76" i="49" s="1"/>
  <c r="AT80" i="49"/>
  <c r="AS80" i="49" s="1"/>
  <c r="AT84" i="49"/>
  <c r="AT88" i="49"/>
  <c r="AT92" i="49"/>
  <c r="AT96" i="49"/>
  <c r="AS96" i="49" s="1"/>
  <c r="AT100" i="49"/>
  <c r="AS100" i="49" s="1"/>
  <c r="P64" i="49"/>
  <c r="O64" i="49" s="1"/>
  <c r="P80" i="49"/>
  <c r="O80" i="49" s="1"/>
  <c r="P96" i="49"/>
  <c r="O96" i="49" s="1"/>
  <c r="P113" i="49"/>
  <c r="O113" i="49" s="1"/>
  <c r="Z34" i="49"/>
  <c r="Y34" i="49" s="1"/>
  <c r="Z38" i="49"/>
  <c r="Y38" i="49" s="1"/>
  <c r="Z46" i="49"/>
  <c r="Y46" i="49" s="1"/>
  <c r="Z54" i="49"/>
  <c r="Y54" i="49" s="1"/>
  <c r="Z62" i="49"/>
  <c r="Y62" i="49" s="1"/>
  <c r="Z71" i="49"/>
  <c r="Y71" i="49" s="1"/>
  <c r="Z77" i="49"/>
  <c r="Y77" i="49" s="1"/>
  <c r="Z81" i="49"/>
  <c r="Y81" i="49" s="1"/>
  <c r="Z87" i="49"/>
  <c r="Y87" i="49" s="1"/>
  <c r="Z91" i="49"/>
  <c r="Y91" i="49" s="1"/>
  <c r="Z95" i="49"/>
  <c r="Y95" i="49" s="1"/>
  <c r="Z99" i="49"/>
  <c r="AF588" i="50" s="1"/>
  <c r="AH588" i="50" s="1"/>
  <c r="Z103" i="49"/>
  <c r="Y103" i="49" s="1"/>
  <c r="Z107" i="49"/>
  <c r="Y107" i="49" s="1"/>
  <c r="Z112" i="49"/>
  <c r="Y112" i="49" s="1"/>
  <c r="AF36" i="50"/>
  <c r="AJ24" i="49"/>
  <c r="AF92" i="50"/>
  <c r="AJ32" i="49"/>
  <c r="AI32" i="49" s="1"/>
  <c r="AJ36" i="49"/>
  <c r="AI36" i="49" s="1"/>
  <c r="AJ40" i="49"/>
  <c r="AI40" i="49" s="1"/>
  <c r="AJ44" i="49"/>
  <c r="AI44" i="49" s="1"/>
  <c r="AJ48" i="49"/>
  <c r="AI48" i="49" s="1"/>
  <c r="AJ52" i="49"/>
  <c r="AJ56" i="49"/>
  <c r="AI56" i="49" s="1"/>
  <c r="AJ60" i="49"/>
  <c r="AI60" i="49" s="1"/>
  <c r="AJ64" i="49"/>
  <c r="AI64" i="49" s="1"/>
  <c r="T1059" i="50" s="1"/>
  <c r="AJ68" i="49"/>
  <c r="AI68" i="49" s="1"/>
  <c r="AJ72" i="49"/>
  <c r="AI72" i="49" s="1"/>
  <c r="AJ76" i="49"/>
  <c r="AI76" i="49" s="1"/>
  <c r="AJ80" i="49"/>
  <c r="AJ84" i="49"/>
  <c r="AJ88" i="49"/>
  <c r="AJ92" i="49"/>
  <c r="AI92" i="49" s="1"/>
  <c r="AJ96" i="49"/>
  <c r="AI96" i="49" s="1"/>
  <c r="AJ100" i="49"/>
  <c r="AI100" i="49" s="1"/>
  <c r="AJ104" i="49"/>
  <c r="AI104" i="49" s="1"/>
  <c r="AJ108" i="49"/>
  <c r="AI108" i="49" s="1"/>
  <c r="AJ112" i="49"/>
  <c r="AF9" i="50"/>
  <c r="AT75" i="49"/>
  <c r="AS75" i="49" s="1"/>
  <c r="AT79" i="49"/>
  <c r="AS79" i="49" s="1"/>
  <c r="AT83" i="49"/>
  <c r="AT87" i="49"/>
  <c r="AT91" i="49"/>
  <c r="AT95" i="49"/>
  <c r="AS95" i="49" s="1"/>
  <c r="AT99" i="49"/>
  <c r="AS99" i="49" s="1"/>
  <c r="P43" i="49"/>
  <c r="O43" i="49" s="1"/>
  <c r="P60" i="49"/>
  <c r="O60" i="49" s="1"/>
  <c r="P76" i="49"/>
  <c r="P92" i="49"/>
  <c r="O92" i="49" s="1"/>
  <c r="P108" i="49"/>
  <c r="O108" i="49" s="1"/>
  <c r="Z30" i="49"/>
  <c r="Y30" i="49" s="1"/>
  <c r="Z39" i="49"/>
  <c r="Y39" i="49" s="1"/>
  <c r="Z47" i="49"/>
  <c r="Y47" i="49" s="1"/>
  <c r="Z55" i="49"/>
  <c r="Y55" i="49" s="1"/>
  <c r="Z63" i="49"/>
  <c r="Y63" i="49" s="1"/>
  <c r="Z68" i="49"/>
  <c r="Y68" i="49" s="1"/>
  <c r="Z76" i="49"/>
  <c r="Y76" i="49" s="1"/>
  <c r="Z80" i="49"/>
  <c r="Y80" i="49" s="1"/>
  <c r="Z86" i="49"/>
  <c r="Y86" i="49" s="1"/>
  <c r="Z90" i="49"/>
  <c r="Y90" i="49" s="1"/>
  <c r="Z94" i="49"/>
  <c r="Y94" i="49" s="1"/>
  <c r="Z98" i="49"/>
  <c r="Y98" i="49" s="1"/>
  <c r="Z102" i="49"/>
  <c r="Y102" i="49" s="1"/>
  <c r="Z106" i="49"/>
  <c r="Y106" i="49" s="1"/>
  <c r="Z111" i="49"/>
  <c r="Y111" i="49" s="1"/>
  <c r="Z115" i="49"/>
  <c r="Y115" i="49" s="1"/>
  <c r="AF57" i="50"/>
  <c r="AF85" i="50"/>
  <c r="AJ31" i="49"/>
  <c r="AJ35" i="49"/>
  <c r="AI35" i="49" s="1"/>
  <c r="AJ39" i="49"/>
  <c r="AI39" i="49" s="1"/>
  <c r="AJ43" i="49"/>
  <c r="AI43" i="49" s="1"/>
  <c r="AJ47" i="49"/>
  <c r="AI47" i="49" s="1"/>
  <c r="AJ51" i="49"/>
  <c r="AI51" i="49" s="1"/>
  <c r="AJ55" i="49"/>
  <c r="AI55" i="49" s="1"/>
  <c r="AJ59" i="49"/>
  <c r="AI59" i="49" s="1"/>
  <c r="AJ63" i="49"/>
  <c r="AF337" i="50" s="1"/>
  <c r="AJ67" i="49"/>
  <c r="AI67" i="49" s="1"/>
  <c r="AJ71" i="49"/>
  <c r="AI71" i="49" s="1"/>
  <c r="AJ75" i="49"/>
  <c r="AI75" i="49" s="1"/>
  <c r="AJ79" i="49"/>
  <c r="AI79" i="49" s="1"/>
  <c r="AJ83" i="49"/>
  <c r="AI83" i="49" s="1"/>
  <c r="AJ87" i="49"/>
  <c r="AI87" i="49" s="1"/>
  <c r="AJ91" i="49"/>
  <c r="AJ95" i="49"/>
  <c r="AI95" i="49" s="1"/>
  <c r="AJ99" i="49"/>
  <c r="AJ103" i="49"/>
  <c r="AI103" i="49" s="1"/>
  <c r="AJ107" i="49"/>
  <c r="AI107" i="49" s="1"/>
  <c r="AJ111" i="49"/>
  <c r="AI111" i="49" s="1"/>
  <c r="AJ115" i="49"/>
  <c r="AI115" i="49" s="1"/>
  <c r="AT74" i="49"/>
  <c r="AS74" i="49" s="1"/>
  <c r="AT78" i="49"/>
  <c r="AS78" i="49" s="1"/>
  <c r="AT82" i="49"/>
  <c r="AS82" i="49" s="1"/>
  <c r="AT86" i="49"/>
  <c r="AS86" i="49" s="1"/>
  <c r="AT90" i="49"/>
  <c r="AS90" i="49" s="1"/>
  <c r="AT94" i="49"/>
  <c r="AS94" i="49" s="1"/>
  <c r="AT98" i="49"/>
  <c r="AS98" i="49" s="1"/>
  <c r="AT102" i="49"/>
  <c r="AT103" i="49"/>
  <c r="AS103" i="49" s="1"/>
  <c r="AT104" i="49"/>
  <c r="AS104" i="49" s="1"/>
  <c r="AT105" i="49"/>
  <c r="AS105" i="49" s="1"/>
  <c r="AT106" i="49"/>
  <c r="AS106" i="49" s="1"/>
  <c r="AT107" i="49"/>
  <c r="AS107" i="49" s="1"/>
  <c r="AT108" i="49"/>
  <c r="AS108" i="49" s="1"/>
  <c r="AT109" i="49"/>
  <c r="AS109" i="49" s="1"/>
  <c r="P88" i="49"/>
  <c r="O88" i="49" s="1"/>
  <c r="Z66" i="49"/>
  <c r="Y66" i="49" s="1"/>
  <c r="Z79" i="49"/>
  <c r="Y79" i="49" s="1"/>
  <c r="Z93" i="49"/>
  <c r="Y93" i="49" s="1"/>
  <c r="Z110" i="49"/>
  <c r="Y110" i="49" s="1"/>
  <c r="AF78" i="50"/>
  <c r="AJ42" i="49"/>
  <c r="AI42" i="49" s="1"/>
  <c r="AJ58" i="49"/>
  <c r="AI58" i="49" s="1"/>
  <c r="AJ74" i="49"/>
  <c r="AI74" i="49" s="1"/>
  <c r="AJ90" i="49"/>
  <c r="AI90" i="49" s="1"/>
  <c r="AJ106" i="49"/>
  <c r="AI106" i="49" s="1"/>
  <c r="AT77" i="49"/>
  <c r="AS77" i="49" s="1"/>
  <c r="AT93" i="49"/>
  <c r="AS93" i="49" s="1"/>
  <c r="R10" i="50"/>
  <c r="R17" i="50"/>
  <c r="R24" i="50"/>
  <c r="BD32" i="49"/>
  <c r="BD33" i="49"/>
  <c r="AF129" i="50" s="1"/>
  <c r="BD34" i="49"/>
  <c r="AF136" i="50" s="1"/>
  <c r="BD35" i="49"/>
  <c r="AF143" i="50" s="1"/>
  <c r="BD36" i="49"/>
  <c r="BD37" i="49"/>
  <c r="AF157" i="50" s="1"/>
  <c r="BD38" i="49"/>
  <c r="BD39" i="49"/>
  <c r="AF171" i="50" s="1"/>
  <c r="BD40" i="49"/>
  <c r="AF178" i="50" s="1"/>
  <c r="BD41" i="49"/>
  <c r="AF185" i="50" s="1"/>
  <c r="BD42" i="49"/>
  <c r="AF192" i="50" s="1"/>
  <c r="BD43" i="49"/>
  <c r="AF199" i="50" s="1"/>
  <c r="BD44" i="49"/>
  <c r="AF206" i="50" s="1"/>
  <c r="BD45" i="49"/>
  <c r="AF213" i="50" s="1"/>
  <c r="BD46" i="49"/>
  <c r="AF220" i="50" s="1"/>
  <c r="BD47" i="49"/>
  <c r="AF227" i="50" s="1"/>
  <c r="BD48" i="49"/>
  <c r="AF234" i="50" s="1"/>
  <c r="BD49" i="49"/>
  <c r="AF241" i="50" s="1"/>
  <c r="BD50" i="49"/>
  <c r="AF248" i="50" s="1"/>
  <c r="BD51" i="49"/>
  <c r="BD52" i="49"/>
  <c r="AF262" i="50" s="1"/>
  <c r="BD53" i="49"/>
  <c r="AF269" i="50" s="1"/>
  <c r="BD54" i="49"/>
  <c r="AF276" i="50" s="1"/>
  <c r="BD55" i="49"/>
  <c r="AF283" i="50" s="1"/>
  <c r="BD56" i="49"/>
  <c r="AF290" i="50" s="1"/>
  <c r="BD57" i="49"/>
  <c r="AF297" i="50" s="1"/>
  <c r="BD58" i="49"/>
  <c r="AF304" i="50" s="1"/>
  <c r="BD59" i="49"/>
  <c r="AF311" i="50" s="1"/>
  <c r="BD60" i="49"/>
  <c r="AF318" i="50" s="1"/>
  <c r="BD61" i="49"/>
  <c r="AF325" i="50" s="1"/>
  <c r="BD62" i="49"/>
  <c r="AF332" i="50" s="1"/>
  <c r="BD63" i="49"/>
  <c r="AF339" i="50" s="1"/>
  <c r="BD64" i="49"/>
  <c r="BD65" i="49"/>
  <c r="AF353" i="50" s="1"/>
  <c r="BD66" i="49"/>
  <c r="AF360" i="50" s="1"/>
  <c r="BD67" i="49"/>
  <c r="BD68" i="49"/>
  <c r="AF374" i="50" s="1"/>
  <c r="P72" i="49"/>
  <c r="O72" i="49" s="1"/>
  <c r="Z58" i="49"/>
  <c r="Z75" i="49"/>
  <c r="Y75" i="49" s="1"/>
  <c r="Z89" i="49"/>
  <c r="Y89" i="49" s="1"/>
  <c r="Z105" i="49"/>
  <c r="Y105" i="49" s="1"/>
  <c r="AF50" i="50"/>
  <c r="AJ38" i="49"/>
  <c r="AJ54" i="49"/>
  <c r="AJ70" i="49"/>
  <c r="AI70" i="49" s="1"/>
  <c r="AJ86" i="49"/>
  <c r="AI86" i="49" s="1"/>
  <c r="AJ102" i="49"/>
  <c r="AI102" i="49" s="1"/>
  <c r="AT45" i="49"/>
  <c r="AS45" i="49" s="1"/>
  <c r="AT89" i="49"/>
  <c r="AS89" i="49" s="1"/>
  <c r="AT110" i="49"/>
  <c r="AT111" i="49"/>
  <c r="AS111" i="49" s="1"/>
  <c r="AT112" i="49"/>
  <c r="AS112" i="49" s="1"/>
  <c r="AT113" i="49"/>
  <c r="AS113" i="49" s="1"/>
  <c r="AT114" i="49"/>
  <c r="AS114" i="49" s="1"/>
  <c r="AT115" i="49"/>
  <c r="AS115" i="49" s="1"/>
  <c r="AF23" i="50"/>
  <c r="AF30" i="50"/>
  <c r="AF37" i="50"/>
  <c r="AF44" i="50"/>
  <c r="AF51" i="50"/>
  <c r="AF58" i="50"/>
  <c r="AT24" i="49"/>
  <c r="AS24" i="49" s="1"/>
  <c r="AF72" i="50"/>
  <c r="AF79" i="50"/>
  <c r="AF86" i="50"/>
  <c r="AF93" i="50"/>
  <c r="AT29" i="49"/>
  <c r="AS29" i="49" s="1"/>
  <c r="AT30" i="49"/>
  <c r="AS30" i="49" s="1"/>
  <c r="AT31" i="49"/>
  <c r="AS31" i="49" s="1"/>
  <c r="AT32" i="49"/>
  <c r="AS32" i="49" s="1"/>
  <c r="AT33" i="49"/>
  <c r="AT34" i="49"/>
  <c r="AT35" i="49"/>
  <c r="AS35" i="49" s="1"/>
  <c r="AT36" i="49"/>
  <c r="AS36" i="49" s="1"/>
  <c r="AT37" i="49"/>
  <c r="AS37" i="49" s="1"/>
  <c r="AT38" i="49"/>
  <c r="AS38" i="49" s="1"/>
  <c r="AT39" i="49"/>
  <c r="AS39" i="49" s="1"/>
  <c r="AT40" i="49"/>
  <c r="AS40" i="49" s="1"/>
  <c r="AT41" i="49"/>
  <c r="AS41" i="49" s="1"/>
  <c r="AT42" i="49"/>
  <c r="AS42" i="49" s="1"/>
  <c r="AT43" i="49"/>
  <c r="AS43" i="49" s="1"/>
  <c r="AT44" i="49"/>
  <c r="AS44" i="49" s="1"/>
  <c r="AT46" i="49"/>
  <c r="AS46" i="49" s="1"/>
  <c r="AT47" i="49"/>
  <c r="AS47" i="49" s="1"/>
  <c r="AT48" i="49"/>
  <c r="AS48" i="49" s="1"/>
  <c r="AT49" i="49"/>
  <c r="AS49" i="49" s="1"/>
  <c r="AT50" i="49"/>
  <c r="AT51" i="49"/>
  <c r="AS51" i="49" s="1"/>
  <c r="AT52" i="49"/>
  <c r="AS52" i="49" s="1"/>
  <c r="AT53" i="49"/>
  <c r="AT54" i="49"/>
  <c r="AS54" i="49" s="1"/>
  <c r="AT55" i="49"/>
  <c r="AS55" i="49" s="1"/>
  <c r="AT56" i="49"/>
  <c r="AS56" i="49" s="1"/>
  <c r="AT57" i="49"/>
  <c r="AS57" i="49" s="1"/>
  <c r="AT58" i="49"/>
  <c r="AS58" i="49" s="1"/>
  <c r="AT59" i="49"/>
  <c r="AT60" i="49"/>
  <c r="AS60" i="49" s="1"/>
  <c r="AT61" i="49"/>
  <c r="AS61" i="49" s="1"/>
  <c r="AT62" i="49"/>
  <c r="AS62" i="49" s="1"/>
  <c r="AT63" i="49"/>
  <c r="AS63" i="49" s="1"/>
  <c r="AT64" i="49"/>
  <c r="AS64" i="49" s="1"/>
  <c r="AT65" i="49"/>
  <c r="AS65" i="49" s="1"/>
  <c r="AT66" i="49"/>
  <c r="AT67" i="49"/>
  <c r="AT68" i="49"/>
  <c r="AS68" i="49" s="1"/>
  <c r="AT69" i="49"/>
  <c r="AS69" i="49" s="1"/>
  <c r="AT70" i="49"/>
  <c r="AS70" i="49" s="1"/>
  <c r="AT71" i="49"/>
  <c r="AS71" i="49" s="1"/>
  <c r="AT73" i="49"/>
  <c r="AS73" i="49" s="1"/>
  <c r="AT72" i="49"/>
  <c r="AF401" i="50" s="1"/>
  <c r="R31" i="50"/>
  <c r="AY24" i="49"/>
  <c r="R66" i="50" s="1"/>
  <c r="R73" i="50"/>
  <c r="R80" i="50"/>
  <c r="R87" i="50"/>
  <c r="AY29" i="49"/>
  <c r="AY30" i="49"/>
  <c r="R108" i="50" s="1"/>
  <c r="AY31" i="49"/>
  <c r="R115" i="50" s="1"/>
  <c r="BD69" i="49"/>
  <c r="AF381" i="50" s="1"/>
  <c r="BD70" i="49"/>
  <c r="BD71" i="49"/>
  <c r="AF395" i="50" s="1"/>
  <c r="BD72" i="49"/>
  <c r="AF402" i="50" s="1"/>
  <c r="BD73" i="49"/>
  <c r="AF409" i="50" s="1"/>
  <c r="P56" i="49"/>
  <c r="O56" i="49" s="1"/>
  <c r="Z50" i="49"/>
  <c r="Y50" i="49" s="1"/>
  <c r="Z70" i="49"/>
  <c r="Y70" i="49" s="1"/>
  <c r="Z85" i="49"/>
  <c r="Y85" i="49" s="1"/>
  <c r="Z101" i="49"/>
  <c r="Y101" i="49" s="1"/>
  <c r="AF22" i="50"/>
  <c r="AJ34" i="49"/>
  <c r="AI34" i="49" s="1"/>
  <c r="AJ50" i="49"/>
  <c r="AJ66" i="49"/>
  <c r="AI66" i="49" s="1"/>
  <c r="AJ82" i="49"/>
  <c r="AJ98" i="49"/>
  <c r="AI98" i="49" s="1"/>
  <c r="AJ114" i="49"/>
  <c r="AT85" i="49"/>
  <c r="AS85" i="49" s="1"/>
  <c r="AT101" i="49"/>
  <c r="AS101" i="49" s="1"/>
  <c r="AY32" i="49"/>
  <c r="R122" i="50" s="1"/>
  <c r="AY33" i="49"/>
  <c r="R129" i="50" s="1"/>
  <c r="AY34" i="49"/>
  <c r="R136" i="50" s="1"/>
  <c r="AY35" i="49"/>
  <c r="AY36" i="49"/>
  <c r="R150" i="50" s="1"/>
  <c r="AY37" i="49"/>
  <c r="AY38" i="49"/>
  <c r="R164" i="50" s="1"/>
  <c r="AY39" i="49"/>
  <c r="AY40" i="49"/>
  <c r="R178" i="50" s="1"/>
  <c r="AY41" i="49"/>
  <c r="R185" i="50" s="1"/>
  <c r="AY42" i="49"/>
  <c r="R192" i="50" s="1"/>
  <c r="AY43" i="49"/>
  <c r="AY44" i="49"/>
  <c r="R206" i="50" s="1"/>
  <c r="AY45" i="49"/>
  <c r="R213" i="50" s="1"/>
  <c r="AH213" i="50" s="1"/>
  <c r="AY46" i="49"/>
  <c r="R220" i="50" s="1"/>
  <c r="AY47" i="49"/>
  <c r="AY48" i="49"/>
  <c r="R234" i="50" s="1"/>
  <c r="AY49" i="49"/>
  <c r="R241" i="50" s="1"/>
  <c r="AY50" i="49"/>
  <c r="R248" i="50" s="1"/>
  <c r="AY51" i="49"/>
  <c r="AY52" i="49"/>
  <c r="R262" i="50" s="1"/>
  <c r="AY53" i="49"/>
  <c r="R269" i="50" s="1"/>
  <c r="AY54" i="49"/>
  <c r="AY55" i="49"/>
  <c r="AY56" i="49"/>
  <c r="R290" i="50" s="1"/>
  <c r="AY57" i="49"/>
  <c r="AY58" i="49"/>
  <c r="R304" i="50" s="1"/>
  <c r="AY59" i="49"/>
  <c r="R311" i="50" s="1"/>
  <c r="AY60" i="49"/>
  <c r="AY61" i="49"/>
  <c r="AY62" i="49"/>
  <c r="AY63" i="49"/>
  <c r="R339" i="50" s="1"/>
  <c r="AY64" i="49"/>
  <c r="AY65" i="49"/>
  <c r="AX65" i="49" s="1"/>
  <c r="AY66" i="49"/>
  <c r="R360" i="50" s="1"/>
  <c r="AY67" i="49"/>
  <c r="AY68" i="49"/>
  <c r="Z42" i="49"/>
  <c r="Y42" i="49" s="1"/>
  <c r="AJ30" i="49"/>
  <c r="AI30" i="49" s="1"/>
  <c r="AJ94" i="49"/>
  <c r="AI94" i="49" s="1"/>
  <c r="AF52" i="50"/>
  <c r="AF80" i="50"/>
  <c r="AH80" i="50" s="1"/>
  <c r="BD30" i="49"/>
  <c r="AF108" i="50" s="1"/>
  <c r="AY70" i="49"/>
  <c r="K65" i="49"/>
  <c r="J65" i="49" s="1"/>
  <c r="Z114" i="49"/>
  <c r="Y114" i="49" s="1"/>
  <c r="AJ78" i="49"/>
  <c r="AI78" i="49" s="1"/>
  <c r="AT97" i="49"/>
  <c r="AS97" i="49" s="1"/>
  <c r="AF31" i="50"/>
  <c r="AF59" i="50"/>
  <c r="AF87" i="50"/>
  <c r="BD31" i="49"/>
  <c r="AY71" i="49"/>
  <c r="AO60" i="49"/>
  <c r="AN60" i="49" s="1"/>
  <c r="O104" i="49"/>
  <c r="Z97" i="49"/>
  <c r="Y97" i="49" s="1"/>
  <c r="AJ62" i="49"/>
  <c r="AI62" i="49" s="1"/>
  <c r="AT81" i="49"/>
  <c r="AS81" i="49" s="1"/>
  <c r="AF38" i="50"/>
  <c r="BD24" i="49"/>
  <c r="AF66" i="50" s="1"/>
  <c r="AF94" i="50"/>
  <c r="AY72" i="49"/>
  <c r="K60" i="49"/>
  <c r="J60" i="49" s="1"/>
  <c r="K64" i="49"/>
  <c r="J64" i="49" s="1"/>
  <c r="Z72" i="49"/>
  <c r="Y72" i="49" s="1"/>
  <c r="K32" i="49"/>
  <c r="J32" i="49" s="1"/>
  <c r="K36" i="49"/>
  <c r="K40" i="49"/>
  <c r="J40" i="49" s="1"/>
  <c r="K44" i="49"/>
  <c r="J44" i="49" s="1"/>
  <c r="K48" i="49"/>
  <c r="J48" i="49" s="1"/>
  <c r="K52" i="49"/>
  <c r="J52" i="49" s="1"/>
  <c r="K56" i="49"/>
  <c r="J56" i="49" s="1"/>
  <c r="K62" i="49"/>
  <c r="J62" i="49" s="1"/>
  <c r="K66" i="49"/>
  <c r="J66" i="49" s="1"/>
  <c r="K70" i="49"/>
  <c r="K74" i="49"/>
  <c r="J74" i="49" s="1"/>
  <c r="K78" i="49"/>
  <c r="J78" i="49" s="1"/>
  <c r="U30" i="49"/>
  <c r="T30" i="49" s="1"/>
  <c r="U34" i="49"/>
  <c r="T34" i="49" s="1"/>
  <c r="U38" i="49"/>
  <c r="T38" i="49" s="1"/>
  <c r="U42" i="49"/>
  <c r="T42" i="49" s="1"/>
  <c r="U46" i="49"/>
  <c r="T46" i="49" s="1"/>
  <c r="U50" i="49"/>
  <c r="U54" i="49"/>
  <c r="T54" i="49" s="1"/>
  <c r="U58" i="49"/>
  <c r="T58" i="49" s="1"/>
  <c r="U62" i="49"/>
  <c r="T62" i="49" s="1"/>
  <c r="U66" i="49"/>
  <c r="T66" i="49" s="1"/>
  <c r="U70" i="49"/>
  <c r="U74" i="49"/>
  <c r="T74" i="49" s="1"/>
  <c r="R8" i="50"/>
  <c r="AE24" i="49"/>
  <c r="AD24" i="49" s="1"/>
  <c r="R92" i="50"/>
  <c r="AE32" i="49"/>
  <c r="AD32" i="49" s="1"/>
  <c r="AE36" i="49"/>
  <c r="AD36" i="49" s="1"/>
  <c r="AE40" i="49"/>
  <c r="AD40" i="49" s="1"/>
  <c r="AE44" i="49"/>
  <c r="AD44" i="49" s="1"/>
  <c r="AE48" i="49"/>
  <c r="AD48" i="49" s="1"/>
  <c r="AE52" i="49"/>
  <c r="AD52" i="49" s="1"/>
  <c r="AE56" i="49"/>
  <c r="AD56" i="49" s="1"/>
  <c r="AE60" i="49"/>
  <c r="AD60" i="49" s="1"/>
  <c r="AE64" i="49"/>
  <c r="AD64" i="49" s="1"/>
  <c r="AE68" i="49"/>
  <c r="AD68" i="49" s="1"/>
  <c r="AE72" i="49"/>
  <c r="AE76" i="49"/>
  <c r="AD76" i="49" s="1"/>
  <c r="AE80" i="49"/>
  <c r="AE87" i="49"/>
  <c r="AD87" i="49" s="1"/>
  <c r="AE91" i="49"/>
  <c r="AE95" i="49"/>
  <c r="AD95" i="49" s="1"/>
  <c r="AE99" i="49"/>
  <c r="AD99" i="49" s="1"/>
  <c r="AE103" i="49"/>
  <c r="AD103" i="49" s="1"/>
  <c r="AE107" i="49"/>
  <c r="AD107" i="49" s="1"/>
  <c r="AE111" i="49"/>
  <c r="AD111" i="49" s="1"/>
  <c r="AE115" i="49"/>
  <c r="AD115" i="49" s="1"/>
  <c r="AO45" i="49"/>
  <c r="AO77" i="49"/>
  <c r="AN77" i="49" s="1"/>
  <c r="AO81" i="49"/>
  <c r="AN81" i="49" s="1"/>
  <c r="AO88" i="49"/>
  <c r="AN88" i="49" s="1"/>
  <c r="AO92" i="49"/>
  <c r="AN92" i="49" s="1"/>
  <c r="AO96" i="49"/>
  <c r="AN96" i="49" s="1"/>
  <c r="AO102" i="49"/>
  <c r="AO107" i="49"/>
  <c r="AN107" i="49" s="1"/>
  <c r="AO111" i="49"/>
  <c r="AO115" i="49"/>
  <c r="AN115" i="49" s="1"/>
  <c r="R16" i="50"/>
  <c r="R23" i="50"/>
  <c r="AO61" i="49"/>
  <c r="AN61" i="49" s="1"/>
  <c r="AO72" i="49"/>
  <c r="AN72" i="49" s="1"/>
  <c r="AO83" i="49"/>
  <c r="AN83" i="49" s="1"/>
  <c r="AJ110" i="49"/>
  <c r="AF45" i="50"/>
  <c r="AY69" i="49"/>
  <c r="R381" i="50" s="1"/>
  <c r="AO64" i="49"/>
  <c r="K31" i="49"/>
  <c r="K35" i="49"/>
  <c r="J35" i="49" s="1"/>
  <c r="K39" i="49"/>
  <c r="J39" i="49" s="1"/>
  <c r="K43" i="49"/>
  <c r="K47" i="49"/>
  <c r="J47" i="49" s="1"/>
  <c r="K51" i="49"/>
  <c r="J51" i="49" s="1"/>
  <c r="K55" i="49"/>
  <c r="J55" i="49" s="1"/>
  <c r="K59" i="49"/>
  <c r="K61" i="49"/>
  <c r="J61" i="49" s="1"/>
  <c r="K69" i="49"/>
  <c r="J69" i="49" s="1"/>
  <c r="K73" i="49"/>
  <c r="J73" i="49" s="1"/>
  <c r="K77" i="49"/>
  <c r="U29" i="49"/>
  <c r="T29" i="49" s="1"/>
  <c r="U33" i="49"/>
  <c r="T33" i="49" s="1"/>
  <c r="U37" i="49"/>
  <c r="T37" i="49" s="1"/>
  <c r="U41" i="49"/>
  <c r="U45" i="49"/>
  <c r="T45" i="49" s="1"/>
  <c r="U49" i="49"/>
  <c r="T49" i="49" s="1"/>
  <c r="U53" i="49"/>
  <c r="T53" i="49" s="1"/>
  <c r="U57" i="49"/>
  <c r="U61" i="49"/>
  <c r="T61" i="49" s="1"/>
  <c r="U65" i="49"/>
  <c r="T65" i="49" s="1"/>
  <c r="U69" i="49"/>
  <c r="T69" i="49" s="1"/>
  <c r="U73" i="49"/>
  <c r="R29" i="50"/>
  <c r="R57" i="50"/>
  <c r="AH57" i="50" s="1"/>
  <c r="R85" i="50"/>
  <c r="AE31" i="49"/>
  <c r="AE35" i="49"/>
  <c r="AD35" i="49" s="1"/>
  <c r="AE39" i="49"/>
  <c r="AE43" i="49"/>
  <c r="AD43" i="49" s="1"/>
  <c r="AE47" i="49"/>
  <c r="AE51" i="49"/>
  <c r="AD51" i="49" s="1"/>
  <c r="AE55" i="49"/>
  <c r="AD55" i="49" s="1"/>
  <c r="AE59" i="49"/>
  <c r="AD59" i="49" s="1"/>
  <c r="AE63" i="49"/>
  <c r="AE67" i="49"/>
  <c r="AD67" i="49" s="1"/>
  <c r="AE71" i="49"/>
  <c r="AD71" i="49" s="1"/>
  <c r="AE75" i="49"/>
  <c r="AD75" i="49" s="1"/>
  <c r="AE79" i="49"/>
  <c r="R449" i="50" s="1"/>
  <c r="AE86" i="49"/>
  <c r="AD86" i="49" s="1"/>
  <c r="AE90" i="49"/>
  <c r="AD90" i="49" s="1"/>
  <c r="AE94" i="49"/>
  <c r="AD94" i="49" s="1"/>
  <c r="AE98" i="49"/>
  <c r="AE102" i="49"/>
  <c r="AD102" i="49" s="1"/>
  <c r="AE106" i="49"/>
  <c r="AD106" i="49" s="1"/>
  <c r="AE110" i="49"/>
  <c r="AD110" i="49" s="1"/>
  <c r="AE114" i="49"/>
  <c r="AD114" i="49" s="1"/>
  <c r="AE83" i="49"/>
  <c r="AD83" i="49" s="1"/>
  <c r="R9" i="50"/>
  <c r="AO76" i="49"/>
  <c r="AN76" i="49" s="1"/>
  <c r="AO80" i="49"/>
  <c r="AO87" i="49"/>
  <c r="AN87" i="49" s="1"/>
  <c r="AO91" i="49"/>
  <c r="AN91" i="49" s="1"/>
  <c r="AO95" i="49"/>
  <c r="AN95" i="49" s="1"/>
  <c r="AO99" i="49"/>
  <c r="AN99" i="49" s="1"/>
  <c r="AO100" i="49"/>
  <c r="AN100" i="49" s="1"/>
  <c r="AO101" i="49"/>
  <c r="AN101" i="49" s="1"/>
  <c r="AO105" i="49"/>
  <c r="AN105" i="49" s="1"/>
  <c r="AO106" i="49"/>
  <c r="AN106" i="49" s="1"/>
  <c r="AO110" i="49"/>
  <c r="AN110" i="49" s="1"/>
  <c r="AO114" i="49"/>
  <c r="AO71" i="49"/>
  <c r="AN71" i="49" s="1"/>
  <c r="AJ46" i="49"/>
  <c r="AF73" i="50"/>
  <c r="AY73" i="49"/>
  <c r="R409" i="50" s="1"/>
  <c r="K24" i="49"/>
  <c r="R62" i="50" s="1"/>
  <c r="K30" i="49"/>
  <c r="K34" i="49"/>
  <c r="R132" i="50" s="1"/>
  <c r="K38" i="49"/>
  <c r="K42" i="49"/>
  <c r="J42" i="49" s="1"/>
  <c r="K46" i="49"/>
  <c r="K50" i="49"/>
  <c r="J50" i="49" s="1"/>
  <c r="K54" i="49"/>
  <c r="J54" i="49" s="1"/>
  <c r="K58" i="49"/>
  <c r="J58" i="49" s="1"/>
  <c r="K68" i="49"/>
  <c r="K72" i="49"/>
  <c r="J72" i="49" s="1"/>
  <c r="K76" i="49"/>
  <c r="J76" i="49" s="1"/>
  <c r="U32" i="49"/>
  <c r="T32" i="49" s="1"/>
  <c r="U36" i="49"/>
  <c r="U40" i="49"/>
  <c r="T40" i="49" s="1"/>
  <c r="U44" i="49"/>
  <c r="T44" i="49" s="1"/>
  <c r="U48" i="49"/>
  <c r="T48" i="49" s="1"/>
  <c r="U52" i="49"/>
  <c r="U56" i="49"/>
  <c r="T56" i="49" s="1"/>
  <c r="U60" i="49"/>
  <c r="T60" i="49" s="1"/>
  <c r="U64" i="49"/>
  <c r="T64" i="49" s="1"/>
  <c r="U68" i="49"/>
  <c r="U72" i="49"/>
  <c r="T72" i="49" s="1"/>
  <c r="R22" i="50"/>
  <c r="AH22" i="50" s="1"/>
  <c r="R50" i="50"/>
  <c r="R78" i="50"/>
  <c r="AE30" i="49"/>
  <c r="AD30" i="49" s="1"/>
  <c r="AE34" i="49"/>
  <c r="AD34" i="49" s="1"/>
  <c r="AE38" i="49"/>
  <c r="AE42" i="49"/>
  <c r="AE46" i="49"/>
  <c r="AD46" i="49" s="1"/>
  <c r="AE50" i="49"/>
  <c r="AD50" i="49" s="1"/>
  <c r="AE54" i="49"/>
  <c r="AD54" i="49" s="1"/>
  <c r="AE58" i="49"/>
  <c r="AE62" i="49"/>
  <c r="AD62" i="49" s="1"/>
  <c r="AE66" i="49"/>
  <c r="AD66" i="49" s="1"/>
  <c r="AE70" i="49"/>
  <c r="AE74" i="49"/>
  <c r="AD74" i="49" s="1"/>
  <c r="AE78" i="49"/>
  <c r="AD78" i="49" s="1"/>
  <c r="AE85" i="49"/>
  <c r="AD85" i="49" s="1"/>
  <c r="AE89" i="49"/>
  <c r="AD89" i="49" s="1"/>
  <c r="AE93" i="49"/>
  <c r="AE97" i="49"/>
  <c r="AD97" i="49" s="1"/>
  <c r="AE101" i="49"/>
  <c r="AD101" i="49" s="1"/>
  <c r="AE105" i="49"/>
  <c r="AE109" i="49"/>
  <c r="AE113" i="49"/>
  <c r="AO75" i="49"/>
  <c r="AN75" i="49" s="1"/>
  <c r="AO79" i="49"/>
  <c r="AN79" i="49" s="1"/>
  <c r="AO86" i="49"/>
  <c r="AO90" i="49"/>
  <c r="AN90" i="49" s="1"/>
  <c r="AO94" i="49"/>
  <c r="AN94" i="49" s="1"/>
  <c r="AO98" i="49"/>
  <c r="AO104" i="49"/>
  <c r="AN104" i="49" s="1"/>
  <c r="AO109" i="49"/>
  <c r="AN109" i="49" s="1"/>
  <c r="AO113" i="49"/>
  <c r="AN113" i="49" s="1"/>
  <c r="AO63" i="49"/>
  <c r="AN63" i="49" s="1"/>
  <c r="AO70" i="49"/>
  <c r="AN70" i="49" s="1"/>
  <c r="AO82" i="49"/>
  <c r="AN82" i="49" s="1"/>
  <c r="AO84" i="49"/>
  <c r="AN84" i="49" s="1"/>
  <c r="K29" i="49"/>
  <c r="J29" i="49" s="1"/>
  <c r="K45" i="49"/>
  <c r="K79" i="49"/>
  <c r="J79" i="49" s="1"/>
  <c r="U31" i="49"/>
  <c r="T31" i="49" s="1"/>
  <c r="U47" i="49"/>
  <c r="T47" i="49" s="1"/>
  <c r="U63" i="49"/>
  <c r="R71" i="50"/>
  <c r="AH71" i="50" s="1"/>
  <c r="AE41" i="49"/>
  <c r="AD41" i="49" s="1"/>
  <c r="AE57" i="49"/>
  <c r="AD57" i="49" s="1"/>
  <c r="AE73" i="49"/>
  <c r="AD73" i="49" s="1"/>
  <c r="AE92" i="49"/>
  <c r="AD92" i="49" s="1"/>
  <c r="AE108" i="49"/>
  <c r="AD108" i="49" s="1"/>
  <c r="AO78" i="49"/>
  <c r="AN78" i="49" s="1"/>
  <c r="AO97" i="49"/>
  <c r="AN97" i="49" s="1"/>
  <c r="AO112" i="49"/>
  <c r="AN112" i="49" s="1"/>
  <c r="R51" i="50"/>
  <c r="R79" i="50"/>
  <c r="AO30" i="49"/>
  <c r="AN30" i="49" s="1"/>
  <c r="AO34" i="49"/>
  <c r="AN34" i="49" s="1"/>
  <c r="AO38" i="49"/>
  <c r="AN38" i="49" s="1"/>
  <c r="AO42" i="49"/>
  <c r="AN42" i="49" s="1"/>
  <c r="AO47" i="49"/>
  <c r="AN47" i="49" s="1"/>
  <c r="AO51" i="49"/>
  <c r="AN51" i="49" s="1"/>
  <c r="AO55" i="49"/>
  <c r="AN55" i="49" s="1"/>
  <c r="AO59" i="49"/>
  <c r="AN59" i="49" s="1"/>
  <c r="AO65" i="49"/>
  <c r="AN65" i="49" s="1"/>
  <c r="AO69" i="49"/>
  <c r="AN69" i="49" s="1"/>
  <c r="K84" i="49"/>
  <c r="J84" i="49" s="1"/>
  <c r="Z212" i="49"/>
  <c r="Z206" i="49"/>
  <c r="BD221" i="49"/>
  <c r="AT214" i="49"/>
  <c r="AJ205" i="49"/>
  <c r="BD197" i="49"/>
  <c r="BD186" i="49"/>
  <c r="AY179" i="49"/>
  <c r="AO173" i="49"/>
  <c r="AJ172" i="49"/>
  <c r="AI172" i="49" s="1"/>
  <c r="U171" i="49"/>
  <c r="AJ170" i="49"/>
  <c r="Z169" i="49"/>
  <c r="AE166" i="49"/>
  <c r="Z163" i="49"/>
  <c r="AJ162" i="49"/>
  <c r="AE160" i="49"/>
  <c r="AT158" i="49"/>
  <c r="BD157" i="49"/>
  <c r="BD156" i="49"/>
  <c r="Z155" i="49"/>
  <c r="AE154" i="49"/>
  <c r="AJ230" i="49"/>
  <c r="K220" i="49"/>
  <c r="AT218" i="49"/>
  <c r="AO215" i="49"/>
  <c r="AY210" i="49"/>
  <c r="BD207" i="49"/>
  <c r="Z199" i="49"/>
  <c r="AJ196" i="49"/>
  <c r="AJ195" i="49"/>
  <c r="AO193" i="49"/>
  <c r="AE191" i="49"/>
  <c r="Z187" i="49"/>
  <c r="P185" i="49"/>
  <c r="K181" i="49"/>
  <c r="K180" i="49"/>
  <c r="AY178" i="49"/>
  <c r="AO177" i="49"/>
  <c r="AT176" i="49"/>
  <c r="P175" i="49"/>
  <c r="Z173" i="49"/>
  <c r="K172" i="49"/>
  <c r="P172" i="49"/>
  <c r="P168" i="49"/>
  <c r="AO166" i="49"/>
  <c r="AE165" i="49"/>
  <c r="U164" i="49"/>
  <c r="K163" i="49"/>
  <c r="AE161" i="49"/>
  <c r="K159" i="49"/>
  <c r="Z156" i="49"/>
  <c r="K155" i="49"/>
  <c r="AO152" i="49"/>
  <c r="AT151" i="49"/>
  <c r="K150" i="49"/>
  <c r="AJ148" i="49"/>
  <c r="Z147" i="49"/>
  <c r="AJ145" i="49"/>
  <c r="Z144" i="49"/>
  <c r="P143" i="49"/>
  <c r="P141" i="49"/>
  <c r="U140" i="49"/>
  <c r="K139" i="49"/>
  <c r="AT137" i="49"/>
  <c r="AS137" i="49" s="1"/>
  <c r="AY136" i="49"/>
  <c r="K136" i="49"/>
  <c r="U133" i="49"/>
  <c r="AE132" i="49"/>
  <c r="BD29" i="49"/>
  <c r="K41" i="49"/>
  <c r="J41" i="49" s="1"/>
  <c r="K57" i="49"/>
  <c r="J57" i="49" s="1"/>
  <c r="K63" i="49"/>
  <c r="J63" i="49" s="1"/>
  <c r="K75" i="49"/>
  <c r="R419" i="50" s="1"/>
  <c r="U43" i="49"/>
  <c r="T43" i="49" s="1"/>
  <c r="U59" i="49"/>
  <c r="T59" i="49" s="1"/>
  <c r="R43" i="50"/>
  <c r="AE37" i="49"/>
  <c r="AE53" i="49"/>
  <c r="AD53" i="49" s="1"/>
  <c r="AE69" i="49"/>
  <c r="AD69" i="49" s="1"/>
  <c r="AE88" i="49"/>
  <c r="AE104" i="49"/>
  <c r="AO74" i="49"/>
  <c r="AO93" i="49"/>
  <c r="AN93" i="49" s="1"/>
  <c r="AO103" i="49"/>
  <c r="AO108" i="49"/>
  <c r="R30" i="50"/>
  <c r="R58" i="50"/>
  <c r="AH58" i="50" s="1"/>
  <c r="R86" i="50"/>
  <c r="AH86" i="50" s="1"/>
  <c r="AO31" i="49"/>
  <c r="AO35" i="49"/>
  <c r="AO39" i="49"/>
  <c r="AN39" i="49" s="1"/>
  <c r="AO43" i="49"/>
  <c r="AN43" i="49" s="1"/>
  <c r="AO48" i="49"/>
  <c r="AO52" i="49"/>
  <c r="AN52" i="49" s="1"/>
  <c r="AO56" i="49"/>
  <c r="AN56" i="49" s="1"/>
  <c r="AO66" i="49"/>
  <c r="AN66" i="49" s="1"/>
  <c r="K81" i="49"/>
  <c r="K85" i="49"/>
  <c r="J85" i="49" s="1"/>
  <c r="AT212" i="49"/>
  <c r="AS212" i="49" s="1"/>
  <c r="AT190" i="49"/>
  <c r="BD183" i="49"/>
  <c r="K179" i="49"/>
  <c r="U173" i="49"/>
  <c r="R1742" i="50" s="1"/>
  <c r="F1742" i="50" s="1"/>
  <c r="BD171" i="49"/>
  <c r="BC171" i="49" s="1"/>
  <c r="K171" i="49"/>
  <c r="P170" i="49"/>
  <c r="AT168" i="49"/>
  <c r="AF1709" i="50" s="1"/>
  <c r="AD1709" i="50" s="1"/>
  <c r="AY167" i="49"/>
  <c r="P167" i="49"/>
  <c r="AO165" i="49"/>
  <c r="Z164" i="49"/>
  <c r="Y164" i="49" s="1"/>
  <c r="AY161" i="49"/>
  <c r="R1661" i="50" s="1"/>
  <c r="P1661" i="50" s="1"/>
  <c r="U161" i="49"/>
  <c r="K160" i="49"/>
  <c r="AO157" i="49"/>
  <c r="AO229" i="49"/>
  <c r="BD227" i="49"/>
  <c r="AO223" i="49"/>
  <c r="P215" i="49"/>
  <c r="BD212" i="49"/>
  <c r="BC212" i="49" s="1"/>
  <c r="AE209" i="49"/>
  <c r="AE207" i="49"/>
  <c r="AO205" i="49"/>
  <c r="AN205" i="49" s="1"/>
  <c r="AO201" i="49"/>
  <c r="AE197" i="49"/>
  <c r="AE192" i="49"/>
  <c r="AO189" i="49"/>
  <c r="K188" i="49"/>
  <c r="AO186" i="49"/>
  <c r="K186" i="49"/>
  <c r="P186" i="49"/>
  <c r="AY183" i="49"/>
  <c r="R1815" i="50" s="1"/>
  <c r="U182" i="49"/>
  <c r="BD180" i="49"/>
  <c r="BD179" i="49"/>
  <c r="AF1787" i="50" s="1"/>
  <c r="Z1787" i="50" s="1"/>
  <c r="P176" i="49"/>
  <c r="AE176" i="49"/>
  <c r="BD174" i="49"/>
  <c r="Z172" i="49"/>
  <c r="P171" i="49"/>
  <c r="O171" i="49" s="1"/>
  <c r="AE169" i="49"/>
  <c r="R1715" i="50" s="1"/>
  <c r="P166" i="49"/>
  <c r="BD160" i="49"/>
  <c r="P160" i="49"/>
  <c r="AT160" i="49"/>
  <c r="AJ158" i="49"/>
  <c r="AY157" i="49"/>
  <c r="AY154" i="49"/>
  <c r="AX154" i="49" s="1"/>
  <c r="AJ153" i="49"/>
  <c r="Z152" i="49"/>
  <c r="AT152" i="49"/>
  <c r="AF1597" i="50" s="1"/>
  <c r="AD1597" i="50" s="1"/>
  <c r="Z151" i="49"/>
  <c r="BD150" i="49"/>
  <c r="BD149" i="49"/>
  <c r="P148" i="49"/>
  <c r="O148" i="49" s="1"/>
  <c r="Z146" i="49"/>
  <c r="Y146" i="49" s="1"/>
  <c r="AY141" i="49"/>
  <c r="AY138" i="49"/>
  <c r="AO135" i="49"/>
  <c r="AN135" i="49" s="1"/>
  <c r="AT134" i="49"/>
  <c r="BD133" i="49"/>
  <c r="AY132" i="49"/>
  <c r="K37" i="49"/>
  <c r="J37" i="49" s="1"/>
  <c r="K53" i="49"/>
  <c r="K71" i="49"/>
  <c r="R35" i="50"/>
  <c r="U39" i="49"/>
  <c r="T39" i="49" s="1"/>
  <c r="U55" i="49"/>
  <c r="T55" i="49" s="1"/>
  <c r="U71" i="49"/>
  <c r="R15" i="50"/>
  <c r="AE33" i="49"/>
  <c r="AE49" i="49"/>
  <c r="AD49" i="49" s="1"/>
  <c r="AE65" i="49"/>
  <c r="AE81" i="49"/>
  <c r="AD81" i="49" s="1"/>
  <c r="AE100" i="49"/>
  <c r="AD100" i="49" s="1"/>
  <c r="AE82" i="49"/>
  <c r="AD82" i="49" s="1"/>
  <c r="AO89" i="49"/>
  <c r="R37" i="50"/>
  <c r="AH37" i="50" s="1"/>
  <c r="AO24" i="49"/>
  <c r="AN24" i="49" s="1"/>
  <c r="R93" i="50"/>
  <c r="AH93" i="50" s="1"/>
  <c r="AO32" i="49"/>
  <c r="AO36" i="49"/>
  <c r="AO40" i="49"/>
  <c r="AO44" i="49"/>
  <c r="AO49" i="49"/>
  <c r="AO53" i="49"/>
  <c r="AN53" i="49" s="1"/>
  <c r="AO57" i="49"/>
  <c r="AO62" i="49"/>
  <c r="AN62" i="49" s="1"/>
  <c r="AO67" i="49"/>
  <c r="K82" i="49"/>
  <c r="J82" i="49" s="1"/>
  <c r="K86" i="49"/>
  <c r="J86" i="49" s="1"/>
  <c r="Y25" i="48"/>
  <c r="AA25" i="48" s="1"/>
  <c r="O25" i="48"/>
  <c r="Y28" i="48"/>
  <c r="AO73" i="49"/>
  <c r="AN73" i="49" s="1"/>
  <c r="AO54" i="49"/>
  <c r="AN54" i="49" s="1"/>
  <c r="AO37" i="49"/>
  <c r="AN37" i="49" s="1"/>
  <c r="R44" i="50"/>
  <c r="AE77" i="49"/>
  <c r="AD77" i="49" s="1"/>
  <c r="U35" i="49"/>
  <c r="T35" i="49" s="1"/>
  <c r="J154" i="49"/>
  <c r="R1608" i="50"/>
  <c r="J213" i="49"/>
  <c r="R2021" i="50"/>
  <c r="BQ154" i="49"/>
  <c r="BQ184" i="49"/>
  <c r="BQ188" i="49"/>
  <c r="BQ222" i="49"/>
  <c r="L2127" i="50"/>
  <c r="K87" i="49"/>
  <c r="J87" i="49" s="1"/>
  <c r="Y61" i="48"/>
  <c r="O61" i="48"/>
  <c r="U89" i="48"/>
  <c r="U95" i="48"/>
  <c r="AO68" i="49"/>
  <c r="AO50" i="49"/>
  <c r="AO33" i="49"/>
  <c r="AN33" i="49" s="1"/>
  <c r="AE84" i="49"/>
  <c r="AE96" i="49"/>
  <c r="AE29" i="49"/>
  <c r="U51" i="49"/>
  <c r="T51" i="49" s="1"/>
  <c r="K33" i="49"/>
  <c r="J33" i="49" s="1"/>
  <c r="AI1771" i="50"/>
  <c r="AI2084" i="50"/>
  <c r="AC58" i="48"/>
  <c r="AC64" i="48"/>
  <c r="AC113" i="48"/>
  <c r="AE113" i="48" s="1"/>
  <c r="Y113" i="48"/>
  <c r="Y123" i="48"/>
  <c r="O123" i="48"/>
  <c r="F128" i="48"/>
  <c r="BG120" i="49"/>
  <c r="J1447" i="50"/>
  <c r="AB1969" i="50"/>
  <c r="X1969" i="50"/>
  <c r="L1447" i="50"/>
  <c r="D1888" i="50"/>
  <c r="D2603" i="50" s="1"/>
  <c r="D3289" i="50"/>
  <c r="C1818" i="50"/>
  <c r="C2533" i="50" s="1"/>
  <c r="T1512" i="50"/>
  <c r="C1839" i="50"/>
  <c r="C2554" i="50" s="1"/>
  <c r="D1713" i="50"/>
  <c r="D2428" i="50" s="1"/>
  <c r="C1678" i="50"/>
  <c r="C2393" i="50" s="1"/>
  <c r="X1512" i="50"/>
  <c r="V1730" i="50"/>
  <c r="L1871" i="50"/>
  <c r="N1871" i="50"/>
  <c r="J2015" i="50"/>
  <c r="P1868" i="50"/>
  <c r="BG185" i="49"/>
  <c r="BG175" i="49"/>
  <c r="J1917" i="50"/>
  <c r="N2127" i="50"/>
  <c r="F2015" i="50"/>
  <c r="P1952" i="50"/>
  <c r="F2127" i="50"/>
  <c r="BB184" i="49"/>
  <c r="Z1461" i="50"/>
  <c r="AB1461" i="50"/>
  <c r="V2014" i="50"/>
  <c r="T2014" i="50"/>
  <c r="AB2014" i="50"/>
  <c r="X2014" i="50"/>
  <c r="Z2014" i="50"/>
  <c r="AD2014" i="50"/>
  <c r="L1575" i="50"/>
  <c r="Z1504" i="50"/>
  <c r="T1504" i="50"/>
  <c r="AD1504" i="50"/>
  <c r="J1575" i="50"/>
  <c r="F1556" i="50"/>
  <c r="T2051" i="50"/>
  <c r="Z2051" i="50"/>
  <c r="V1870" i="50"/>
  <c r="T1870" i="50"/>
  <c r="AB1870" i="50"/>
  <c r="AD1870" i="50"/>
  <c r="AB1996" i="50"/>
  <c r="T1996" i="50"/>
  <c r="X1493" i="50"/>
  <c r="T1493" i="50"/>
  <c r="Z1493" i="50"/>
  <c r="AD1493" i="50"/>
  <c r="N1665" i="50"/>
  <c r="T1671" i="50"/>
  <c r="AD1671" i="50"/>
  <c r="V1671" i="50"/>
  <c r="H1743" i="50"/>
  <c r="N1556" i="50"/>
  <c r="J1556" i="50"/>
  <c r="H1575" i="50"/>
  <c r="F1675" i="50"/>
  <c r="T2086" i="50"/>
  <c r="Z2086" i="50"/>
  <c r="H1447" i="50"/>
  <c r="J1875" i="50"/>
  <c r="L1875" i="50"/>
  <c r="H1875" i="50"/>
  <c r="J1973" i="50"/>
  <c r="N1973" i="50"/>
  <c r="H2057" i="50"/>
  <c r="F2057" i="50"/>
  <c r="L2057" i="50"/>
  <c r="P2085" i="50"/>
  <c r="J2085" i="50"/>
  <c r="V1969" i="50"/>
  <c r="V1971" i="50" s="1"/>
  <c r="C3380" i="50"/>
  <c r="D1127" i="50"/>
  <c r="D3499" i="50"/>
  <c r="D1664" i="50"/>
  <c r="D2379" i="50" s="1"/>
  <c r="D938" i="50"/>
  <c r="C1302" i="50"/>
  <c r="C1330" i="50"/>
  <c r="C3485" i="50"/>
  <c r="J1924" i="50"/>
  <c r="AD1609" i="50"/>
  <c r="X1609" i="50"/>
  <c r="T1687" i="50"/>
  <c r="T1708" i="50"/>
  <c r="X1902" i="50"/>
  <c r="Z1902" i="50"/>
  <c r="AB1902" i="50"/>
  <c r="AB2107" i="50"/>
  <c r="AD2107" i="50"/>
  <c r="X2107" i="50"/>
  <c r="D194" i="50"/>
  <c r="D1190" i="50"/>
  <c r="D3345" i="50"/>
  <c r="D3562" i="50"/>
  <c r="X1976" i="50"/>
  <c r="X2691" i="50" s="1"/>
  <c r="X3405" i="50" s="1"/>
  <c r="F1591" i="50"/>
  <c r="L1903" i="50"/>
  <c r="N1903" i="50"/>
  <c r="F1973" i="50"/>
  <c r="P1973" i="50"/>
  <c r="H1973" i="50"/>
  <c r="L1973" i="50"/>
  <c r="H2001" i="50"/>
  <c r="L2001" i="50"/>
  <c r="N2029" i="50"/>
  <c r="H2029" i="50"/>
  <c r="L2029" i="50"/>
  <c r="N2057" i="50"/>
  <c r="P2057" i="50"/>
  <c r="H2085" i="50"/>
  <c r="N2085" i="50"/>
  <c r="N2113" i="50"/>
  <c r="H2113" i="50"/>
  <c r="L2113" i="50"/>
  <c r="J2141" i="50"/>
  <c r="P2141" i="50"/>
  <c r="L2141" i="50"/>
  <c r="H2141" i="50"/>
  <c r="N2141" i="50"/>
  <c r="T1955" i="50"/>
  <c r="P1568" i="50"/>
  <c r="P2078" i="50"/>
  <c r="L1763" i="50"/>
  <c r="H1962" i="50"/>
  <c r="H2677" i="50" s="1"/>
  <c r="H3391" i="50" s="1"/>
  <c r="P1475" i="50"/>
  <c r="P1617" i="50"/>
  <c r="F2106" i="50"/>
  <c r="P2106" i="50"/>
  <c r="AB1512" i="50"/>
  <c r="V1504" i="50"/>
  <c r="F1596" i="50"/>
  <c r="X2130" i="50"/>
  <c r="Z1674" i="50"/>
  <c r="T1674" i="50"/>
  <c r="V1581" i="50"/>
  <c r="F1743" i="50"/>
  <c r="J1868" i="50"/>
  <c r="N1868" i="50"/>
  <c r="L1868" i="50"/>
  <c r="F1868" i="50"/>
  <c r="P1980" i="50"/>
  <c r="H1980" i="50"/>
  <c r="N2008" i="50"/>
  <c r="J2008" i="50"/>
  <c r="P2036" i="50"/>
  <c r="L2036" i="50"/>
  <c r="H2036" i="50"/>
  <c r="J2036" i="50"/>
  <c r="P2113" i="50"/>
  <c r="J2113" i="50"/>
  <c r="L1924" i="50"/>
  <c r="F1924" i="50"/>
  <c r="P1924" i="50"/>
  <c r="P2015" i="50"/>
  <c r="F2092" i="50"/>
  <c r="P2092" i="50"/>
  <c r="L2092" i="50"/>
  <c r="P1871" i="50"/>
  <c r="F1871" i="50"/>
  <c r="D1615" i="50"/>
  <c r="D2330" i="50" s="1"/>
  <c r="P1681" i="50"/>
  <c r="L1639" i="50"/>
  <c r="N1666" i="50"/>
  <c r="P2022" i="50"/>
  <c r="F2099" i="50"/>
  <c r="H2099" i="50"/>
  <c r="L2099" i="50"/>
  <c r="J2099" i="50"/>
  <c r="N1570" i="50"/>
  <c r="D3415" i="50"/>
  <c r="C1379" i="50"/>
  <c r="D3548" i="50"/>
  <c r="D1393" i="50"/>
  <c r="D2119" i="50"/>
  <c r="D2834" i="50" s="1"/>
  <c r="H1556" i="50"/>
  <c r="AH469" i="50"/>
  <c r="C1489" i="50"/>
  <c r="C2204" i="50" s="1"/>
  <c r="C2918" i="50"/>
  <c r="D61" i="50"/>
  <c r="D868" i="50"/>
  <c r="D3023" i="50"/>
  <c r="D1594" i="50"/>
  <c r="D2309" i="50" s="1"/>
  <c r="F1848" i="50"/>
  <c r="J1848" i="50"/>
  <c r="P1848" i="50"/>
  <c r="N1848" i="50"/>
  <c r="T1510" i="50"/>
  <c r="T2100" i="50"/>
  <c r="V2002" i="50"/>
  <c r="L1617" i="50"/>
  <c r="L1630" i="50"/>
  <c r="X2002" i="50"/>
  <c r="J1475" i="50"/>
  <c r="P1556" i="50"/>
  <c r="N2037" i="50"/>
  <c r="Z1955" i="50"/>
  <c r="Z1549" i="50"/>
  <c r="L1861" i="50"/>
  <c r="J1861" i="50"/>
  <c r="F1861" i="50"/>
  <c r="P1861" i="50"/>
  <c r="V2086" i="50"/>
  <c r="H1647" i="50"/>
  <c r="Z2107" i="50"/>
  <c r="T1545" i="50"/>
  <c r="V1545" i="50"/>
  <c r="X1955" i="50"/>
  <c r="V2107" i="50"/>
  <c r="AD1545" i="50"/>
  <c r="T1902" i="50"/>
  <c r="F1811" i="50"/>
  <c r="Z1472" i="50"/>
  <c r="T1472" i="50"/>
  <c r="J2035" i="50"/>
  <c r="V1549" i="50"/>
  <c r="D777" i="50"/>
  <c r="AD1962" i="50"/>
  <c r="Z1962" i="50"/>
  <c r="T1962" i="50"/>
  <c r="T2677" i="50" s="1"/>
  <c r="T3391" i="50" s="1"/>
  <c r="V1629" i="50"/>
  <c r="AB1629" i="50"/>
  <c r="AD2136" i="50"/>
  <c r="X2136" i="50"/>
  <c r="AB2136" i="50"/>
  <c r="N1896" i="50"/>
  <c r="L1896" i="50"/>
  <c r="P1896" i="50"/>
  <c r="F1896" i="50"/>
  <c r="H1896" i="50"/>
  <c r="J1945" i="50"/>
  <c r="N1945" i="50"/>
  <c r="F1945" i="50"/>
  <c r="L1945" i="50"/>
  <c r="P1945" i="50"/>
  <c r="H1945" i="50"/>
  <c r="F1987" i="50"/>
  <c r="H1987" i="50"/>
  <c r="N1987" i="50"/>
  <c r="P1987" i="50"/>
  <c r="H2043" i="50"/>
  <c r="N2043" i="50"/>
  <c r="F2043" i="50"/>
  <c r="J2043" i="50"/>
  <c r="P2071" i="50"/>
  <c r="F1931" i="50"/>
  <c r="H1931" i="50"/>
  <c r="N1931" i="50"/>
  <c r="P2001" i="50"/>
  <c r="F2001" i="50"/>
  <c r="N2001" i="50"/>
  <c r="J2029" i="50"/>
  <c r="P2029" i="50"/>
  <c r="F2029" i="50"/>
  <c r="N2120" i="50"/>
  <c r="F2120" i="50"/>
  <c r="P1776" i="50"/>
  <c r="L2137" i="50"/>
  <c r="N1917" i="50"/>
  <c r="F1917" i="50"/>
  <c r="L1917" i="50"/>
  <c r="P1959" i="50"/>
  <c r="F1959" i="50"/>
  <c r="N1959" i="50"/>
  <c r="N1980" i="50"/>
  <c r="F1980" i="50"/>
  <c r="F2008" i="50"/>
  <c r="P2008" i="50"/>
  <c r="L2008" i="50"/>
  <c r="J2064" i="50"/>
  <c r="H2064" i="50"/>
  <c r="N2064" i="50"/>
  <c r="D980" i="50"/>
  <c r="F2113" i="50"/>
  <c r="AI1555" i="50"/>
  <c r="AI1569" i="50"/>
  <c r="AI1639" i="50"/>
  <c r="AI1646" i="50"/>
  <c r="AI1681" i="50"/>
  <c r="AI1811" i="50"/>
  <c r="AI1947" i="50"/>
  <c r="AI1654" i="50"/>
  <c r="AI1668" i="50"/>
  <c r="AI1751" i="50"/>
  <c r="AI1720" i="50"/>
  <c r="AI1520" i="50"/>
  <c r="AI1534" i="50"/>
  <c r="AI1542" i="50"/>
  <c r="AI1548" i="50"/>
  <c r="AI1562" i="50"/>
  <c r="AI1577" i="50"/>
  <c r="AI1583" i="50"/>
  <c r="AI1590" i="50"/>
  <c r="AI1594" i="50"/>
  <c r="AI1604" i="50"/>
  <c r="AI1611" i="50"/>
  <c r="AI1618" i="50"/>
  <c r="AI1625" i="50"/>
  <c r="AI1554" i="50"/>
  <c r="AI1568" i="50"/>
  <c r="AI1596" i="50"/>
  <c r="AI1624" i="50"/>
  <c r="AI1638" i="50"/>
  <c r="AI1496" i="50"/>
  <c r="AI1497" i="50"/>
  <c r="AI1514" i="50"/>
  <c r="AI1779" i="50"/>
  <c r="AI1870" i="50"/>
  <c r="AI1498" i="50"/>
  <c r="AI1709" i="50"/>
  <c r="AI1716" i="50"/>
  <c r="AI1730" i="50"/>
  <c r="AI1737" i="50"/>
  <c r="AI1743" i="50"/>
  <c r="AI1750" i="50"/>
  <c r="AI1770" i="50"/>
  <c r="AI1862" i="50"/>
  <c r="AI1884" i="50"/>
  <c r="AI1930" i="50"/>
  <c r="AI1948" i="50"/>
  <c r="AI1981" i="50"/>
  <c r="AI1995" i="50"/>
  <c r="AI2011" i="50"/>
  <c r="AI2028" i="50"/>
  <c r="AI2037" i="50"/>
  <c r="AI2038" i="50"/>
  <c r="AI2043" i="50"/>
  <c r="AI2051" i="50"/>
  <c r="AI2052" i="50"/>
  <c r="AI2056" i="50"/>
  <c r="AI2057" i="50"/>
  <c r="AI2063" i="50"/>
  <c r="AI2066" i="50"/>
  <c r="AI2072" i="50"/>
  <c r="AI2080" i="50"/>
  <c r="AI2107" i="50"/>
  <c r="AI2113" i="50"/>
  <c r="AI2128" i="50"/>
  <c r="AI1853" i="50"/>
  <c r="AI1860" i="50"/>
  <c r="AI1980" i="50"/>
  <c r="AI2059" i="50"/>
  <c r="AI2074" i="50"/>
  <c r="AI2121" i="50"/>
  <c r="AI1484" i="50"/>
  <c r="AI1506" i="50"/>
  <c r="AI1553" i="50"/>
  <c r="AI1566" i="50"/>
  <c r="AI1694" i="50"/>
  <c r="AI1791" i="50"/>
  <c r="AI1804" i="50"/>
  <c r="AI1821" i="50"/>
  <c r="AI1839" i="50"/>
  <c r="AI2017" i="50"/>
  <c r="AI2022" i="50"/>
  <c r="AI2044" i="50"/>
  <c r="AI2099" i="50"/>
  <c r="AI1462" i="50"/>
  <c r="AI1476" i="50"/>
  <c r="AI1505" i="50"/>
  <c r="AI1597" i="50"/>
  <c r="AI1667" i="50"/>
  <c r="AI1723" i="50"/>
  <c r="AI1742" i="50"/>
  <c r="AI1749" i="50"/>
  <c r="AI1752" i="50"/>
  <c r="AI1898" i="50"/>
  <c r="AI1905" i="50"/>
  <c r="AI1912" i="50"/>
  <c r="AI1958" i="50"/>
  <c r="AI2091" i="50"/>
  <c r="AI2137" i="50"/>
  <c r="AI1679" i="50"/>
  <c r="AI1835" i="50"/>
  <c r="AI1849" i="50"/>
  <c r="AI1910" i="50"/>
  <c r="AI1448" i="50"/>
  <c r="AI1637" i="50"/>
  <c r="AI1652" i="50"/>
  <c r="AI1736" i="50"/>
  <c r="AI1748" i="50"/>
  <c r="AI1812" i="50"/>
  <c r="AI1925" i="50"/>
  <c r="AI1931" i="50"/>
  <c r="AI2106" i="50"/>
  <c r="AI1666" i="50"/>
  <c r="AI1526" i="50"/>
  <c r="AI1541" i="50"/>
  <c r="AI1724" i="50"/>
  <c r="AI1471" i="50"/>
  <c r="AI1456" i="50"/>
  <c r="J137" i="49"/>
  <c r="R1489" i="50"/>
  <c r="H1489" i="50" s="1"/>
  <c r="BS138" i="49"/>
  <c r="H131" i="49"/>
  <c r="H138" i="49"/>
  <c r="BG138" i="49"/>
  <c r="BB138" i="49"/>
  <c r="D1496" i="50"/>
  <c r="D3093" i="50"/>
  <c r="C1727" i="50"/>
  <c r="C2442" i="50" s="1"/>
  <c r="D138" i="50"/>
  <c r="C959" i="50"/>
  <c r="C3016" i="50"/>
  <c r="C3170" i="50"/>
  <c r="D882" i="50"/>
  <c r="C3156" i="50"/>
  <c r="D271" i="50"/>
  <c r="C3079" i="50"/>
  <c r="C924" i="50"/>
  <c r="D1685" i="50"/>
  <c r="D2400" i="50" s="1"/>
  <c r="D3037" i="50"/>
  <c r="C917" i="50"/>
  <c r="D173" i="50"/>
  <c r="O95" i="48"/>
  <c r="Y95" i="48"/>
  <c r="AS134" i="49"/>
  <c r="AF1471" i="50"/>
  <c r="AF1553" i="50"/>
  <c r="AD1553" i="50" s="1"/>
  <c r="Y151" i="49"/>
  <c r="AF1588" i="50"/>
  <c r="R1612" i="50"/>
  <c r="AF1650" i="50"/>
  <c r="X1650" i="50" s="1"/>
  <c r="O160" i="49"/>
  <c r="AF1727" i="50"/>
  <c r="AF1762" i="50"/>
  <c r="O176" i="49"/>
  <c r="AX183" i="49"/>
  <c r="J188" i="49"/>
  <c r="R1846" i="50"/>
  <c r="AN201" i="49"/>
  <c r="R1940" i="50"/>
  <c r="L1940" i="50" s="1"/>
  <c r="AF2018" i="50"/>
  <c r="AN229" i="49"/>
  <c r="R2136" i="50"/>
  <c r="P2136" i="50" s="1"/>
  <c r="AX161" i="49"/>
  <c r="R1703" i="50"/>
  <c r="N1703" i="50" s="1"/>
  <c r="AX167" i="49"/>
  <c r="AF1731" i="50"/>
  <c r="V1731" i="50" s="1"/>
  <c r="AS190" i="49"/>
  <c r="AF1863" i="50"/>
  <c r="T133" i="49"/>
  <c r="R1462" i="50"/>
  <c r="J1462" i="50" s="1"/>
  <c r="J139" i="49"/>
  <c r="R1503" i="50"/>
  <c r="Y144" i="49"/>
  <c r="AF1539" i="50"/>
  <c r="AB1539" i="50" s="1"/>
  <c r="J150" i="49"/>
  <c r="R1580" i="50"/>
  <c r="N1580" i="50" s="1"/>
  <c r="AF1623" i="50"/>
  <c r="X1623" i="50" s="1"/>
  <c r="Y156" i="49"/>
  <c r="BL156" i="49"/>
  <c r="T164" i="49"/>
  <c r="R1679" i="50"/>
  <c r="O172" i="49"/>
  <c r="AF1734" i="50"/>
  <c r="Z1734" i="50" s="1"/>
  <c r="AF1765" i="50"/>
  <c r="V1765" i="50" s="1"/>
  <c r="AS176" i="49"/>
  <c r="J181" i="49"/>
  <c r="R1797" i="50"/>
  <c r="L1797" i="50" s="1"/>
  <c r="AN193" i="49"/>
  <c r="R1884" i="50"/>
  <c r="BC207" i="49"/>
  <c r="AF1983" i="50"/>
  <c r="Z1983" i="50" s="1"/>
  <c r="J220" i="49"/>
  <c r="R2070" i="50"/>
  <c r="BH220" i="49"/>
  <c r="AF1626" i="50"/>
  <c r="AB1626" i="50" s="1"/>
  <c r="BC156" i="49"/>
  <c r="AF1666" i="50"/>
  <c r="AI162" i="49"/>
  <c r="AI170" i="49"/>
  <c r="AF1722" i="50"/>
  <c r="V1722" i="50" s="1"/>
  <c r="R1787" i="50"/>
  <c r="T1787" i="50" s="1"/>
  <c r="AX179" i="49"/>
  <c r="AF2031" i="50"/>
  <c r="T2031" i="50" s="1"/>
  <c r="AS214" i="49"/>
  <c r="BH94" i="49"/>
  <c r="BC30" i="49"/>
  <c r="AX46" i="49"/>
  <c r="BC73" i="49"/>
  <c r="AX24" i="49"/>
  <c r="BC60" i="49"/>
  <c r="BC56" i="49"/>
  <c r="BC52" i="49"/>
  <c r="BC44" i="49"/>
  <c r="BL67" i="49"/>
  <c r="T167" i="49"/>
  <c r="BH167" i="49"/>
  <c r="L2009" i="50"/>
  <c r="H53" i="35"/>
  <c r="H54" i="35" s="1"/>
  <c r="X11" i="32"/>
  <c r="D32" i="35"/>
  <c r="O89" i="48"/>
  <c r="Y89" i="48"/>
  <c r="AE89" i="48" s="1"/>
  <c r="AA61" i="48"/>
  <c r="AE28" i="48"/>
  <c r="R1478" i="50"/>
  <c r="F1478" i="50" s="1"/>
  <c r="AF1566" i="50"/>
  <c r="T1566" i="50" s="1"/>
  <c r="AS152" i="49"/>
  <c r="AX157" i="49"/>
  <c r="R1633" i="50"/>
  <c r="AF1735" i="50"/>
  <c r="T1735" i="50" s="1"/>
  <c r="Y172" i="49"/>
  <c r="BC179" i="49"/>
  <c r="AF1832" i="50"/>
  <c r="AN189" i="49"/>
  <c r="R1856" i="50"/>
  <c r="R1968" i="50"/>
  <c r="O215" i="49"/>
  <c r="AF2035" i="50"/>
  <c r="AF1679" i="50"/>
  <c r="X1679" i="50" s="1"/>
  <c r="AS168" i="49"/>
  <c r="T173" i="49"/>
  <c r="AF2017" i="50"/>
  <c r="J136" i="49"/>
  <c r="R1482" i="50"/>
  <c r="H1482" i="50" s="1"/>
  <c r="T140" i="49"/>
  <c r="R1511" i="50"/>
  <c r="AF1547" i="50"/>
  <c r="Z1547" i="50" s="1"/>
  <c r="AI145" i="49"/>
  <c r="AS151" i="49"/>
  <c r="AF1590" i="50"/>
  <c r="T1590" i="50" s="1"/>
  <c r="J159" i="49"/>
  <c r="R1643" i="50"/>
  <c r="J1643" i="50" s="1"/>
  <c r="AD165" i="49"/>
  <c r="R1687" i="50"/>
  <c r="F1687" i="50" s="1"/>
  <c r="J172" i="49"/>
  <c r="R1734" i="50"/>
  <c r="J1734" i="50" s="1"/>
  <c r="AN177" i="49"/>
  <c r="R1772" i="50"/>
  <c r="N1772" i="50" s="1"/>
  <c r="AF1825" i="50"/>
  <c r="AB1825" i="50" s="1"/>
  <c r="O185" i="49"/>
  <c r="AI195" i="49"/>
  <c r="AF1897" i="50"/>
  <c r="R2004" i="50"/>
  <c r="F2004" i="50" s="1"/>
  <c r="AX210" i="49"/>
  <c r="AF2142" i="50"/>
  <c r="AI230" i="49"/>
  <c r="AF1633" i="50"/>
  <c r="BC157" i="49"/>
  <c r="AF1672" i="50"/>
  <c r="Y163" i="49"/>
  <c r="T171" i="49"/>
  <c r="R1728" i="50"/>
  <c r="BC186" i="49"/>
  <c r="AF1836" i="50"/>
  <c r="BC221" i="49"/>
  <c r="AF2081" i="50"/>
  <c r="BC31" i="49"/>
  <c r="AX53" i="49"/>
  <c r="AX45" i="49"/>
  <c r="AX41" i="49"/>
  <c r="AX33" i="49"/>
  <c r="BC72" i="49"/>
  <c r="AX31" i="49"/>
  <c r="BC63" i="49"/>
  <c r="BC47" i="49"/>
  <c r="BC39" i="49"/>
  <c r="BC35" i="49"/>
  <c r="BL74" i="49"/>
  <c r="BL42" i="49"/>
  <c r="N1707" i="50"/>
  <c r="L1944" i="50"/>
  <c r="N1591" i="50"/>
  <c r="L1591" i="50"/>
  <c r="L2306" i="50" s="1"/>
  <c r="J1591" i="50"/>
  <c r="V1682" i="50"/>
  <c r="H43" i="35"/>
  <c r="H44" i="35" s="1"/>
  <c r="D43" i="35"/>
  <c r="D44" i="35"/>
  <c r="D53" i="35"/>
  <c r="D54" i="35" s="1"/>
  <c r="M126" i="35"/>
  <c r="N51" i="38"/>
  <c r="L1513" i="50"/>
  <c r="J1513" i="50"/>
  <c r="N1513" i="50"/>
  <c r="J1547" i="50"/>
  <c r="X16" i="32"/>
  <c r="T19" i="32"/>
  <c r="T20" i="32" s="1"/>
  <c r="T17" i="32"/>
  <c r="X17" i="32" s="1"/>
  <c r="T18" i="32"/>
  <c r="AX132" i="49"/>
  <c r="R1458" i="50"/>
  <c r="AX138" i="49"/>
  <c r="R1500" i="50"/>
  <c r="BC149" i="49"/>
  <c r="AF1577" i="50"/>
  <c r="AD1577" i="50" s="1"/>
  <c r="AD2292" i="50" s="1"/>
  <c r="AD3006" i="50" s="1"/>
  <c r="Y152" i="49"/>
  <c r="AF1595" i="50"/>
  <c r="AI158" i="49"/>
  <c r="AF1638" i="50"/>
  <c r="O166" i="49"/>
  <c r="AF1692" i="50"/>
  <c r="AF1752" i="50"/>
  <c r="Z1752" i="50" s="1"/>
  <c r="BC174" i="49"/>
  <c r="AF1794" i="50"/>
  <c r="BC180" i="49"/>
  <c r="J186" i="49"/>
  <c r="R1832" i="50"/>
  <c r="AD192" i="49"/>
  <c r="R1876" i="50"/>
  <c r="AD207" i="49"/>
  <c r="R1981" i="50"/>
  <c r="AN223" i="49"/>
  <c r="R2094" i="50"/>
  <c r="BH223" i="49"/>
  <c r="J160" i="49"/>
  <c r="R1650" i="50"/>
  <c r="AN165" i="49"/>
  <c r="R1688" i="50"/>
  <c r="P1688" i="50" s="1"/>
  <c r="AF1720" i="50"/>
  <c r="O170" i="49"/>
  <c r="J179" i="49"/>
  <c r="R1783" i="50"/>
  <c r="F1783" i="50" s="1"/>
  <c r="BH179" i="49"/>
  <c r="AF1736" i="50"/>
  <c r="BH103" i="49"/>
  <c r="AX52" i="49"/>
  <c r="AX48" i="49"/>
  <c r="AX36" i="49"/>
  <c r="AX32" i="49"/>
  <c r="BC71" i="49"/>
  <c r="AS72" i="49"/>
  <c r="BC66" i="49"/>
  <c r="BC62" i="49"/>
  <c r="BC58" i="49"/>
  <c r="BC54" i="49"/>
  <c r="BC50" i="49"/>
  <c r="BC46" i="49"/>
  <c r="BC42" i="49"/>
  <c r="BL80" i="49"/>
  <c r="BL54" i="49"/>
  <c r="BL45" i="49"/>
  <c r="AA58" i="48"/>
  <c r="AE58" i="48"/>
  <c r="P1701" i="50"/>
  <c r="L1701" i="50"/>
  <c r="J1701" i="50"/>
  <c r="H1701" i="50"/>
  <c r="F1701" i="50"/>
  <c r="N1701" i="50"/>
  <c r="J1665" i="50"/>
  <c r="L1665" i="50"/>
  <c r="F1665" i="50"/>
  <c r="P1665" i="50"/>
  <c r="H1665" i="50"/>
  <c r="AA67" i="48"/>
  <c r="AE67" i="48"/>
  <c r="F1786" i="50"/>
  <c r="P2087" i="50"/>
  <c r="L2087" i="50"/>
  <c r="J2087" i="50"/>
  <c r="H2087" i="50"/>
  <c r="F2087" i="50"/>
  <c r="J1485" i="50"/>
  <c r="AE123" i="48"/>
  <c r="N2021" i="50"/>
  <c r="AE25" i="48"/>
  <c r="R1658" i="50"/>
  <c r="AD132" i="49"/>
  <c r="R1456" i="50"/>
  <c r="J1456" i="50" s="1"/>
  <c r="AF1492" i="50"/>
  <c r="AF1531" i="50"/>
  <c r="O143" i="49"/>
  <c r="AI148" i="49"/>
  <c r="AF1568" i="50"/>
  <c r="J155" i="49"/>
  <c r="R1615" i="50"/>
  <c r="H1615" i="50" s="1"/>
  <c r="BH163" i="49"/>
  <c r="AF1706" i="50"/>
  <c r="O168" i="49"/>
  <c r="AF1755" i="50"/>
  <c r="O175" i="49"/>
  <c r="J180" i="49"/>
  <c r="R1790" i="50"/>
  <c r="AD191" i="49"/>
  <c r="R1869" i="50"/>
  <c r="L1869" i="50" s="1"/>
  <c r="BH191" i="49"/>
  <c r="Y199" i="49"/>
  <c r="AF1924" i="50"/>
  <c r="Z1924" i="50" s="1"/>
  <c r="AF1616" i="50"/>
  <c r="X1616" i="50" s="1"/>
  <c r="Y155" i="49"/>
  <c r="AD160" i="49"/>
  <c r="R1652" i="50"/>
  <c r="AF1714" i="50"/>
  <c r="Y169" i="49"/>
  <c r="AI205" i="49"/>
  <c r="AF1967" i="50"/>
  <c r="Z1967" i="50" s="1"/>
  <c r="Y212" i="49"/>
  <c r="AF2015" i="50"/>
  <c r="BH115" i="49"/>
  <c r="BC24" i="49"/>
  <c r="AX63" i="49"/>
  <c r="AX59" i="49"/>
  <c r="AX47" i="49"/>
  <c r="AX43" i="49"/>
  <c r="BC65" i="49"/>
  <c r="BC57" i="49"/>
  <c r="BC53" i="49"/>
  <c r="BC49" i="49"/>
  <c r="BC41" i="49"/>
  <c r="BC37" i="49"/>
  <c r="BC33" i="49"/>
  <c r="BL98" i="49"/>
  <c r="BL87" i="49"/>
  <c r="H1778" i="50"/>
  <c r="AA55" i="48"/>
  <c r="H33" i="35"/>
  <c r="H34" i="35" s="1"/>
  <c r="AA34" i="48"/>
  <c r="X1962" i="50"/>
  <c r="X2677" i="50" s="1"/>
  <c r="X3391" i="50" s="1"/>
  <c r="J1666" i="50"/>
  <c r="J1706" i="50"/>
  <c r="G63" i="35"/>
  <c r="K98" i="35" s="1"/>
  <c r="AB2035" i="50"/>
  <c r="AB1566" i="50"/>
  <c r="X1566" i="50"/>
  <c r="Z1566" i="50"/>
  <c r="Z1765" i="50"/>
  <c r="N1815" i="50"/>
  <c r="P1728" i="50"/>
  <c r="AD1787" i="50"/>
  <c r="Z2031" i="50"/>
  <c r="AB2031" i="50"/>
  <c r="AD2031" i="50"/>
  <c r="V2031" i="50"/>
  <c r="J1797" i="50"/>
  <c r="N1797" i="50"/>
  <c r="H1797" i="50"/>
  <c r="F1797" i="50"/>
  <c r="P1797" i="50"/>
  <c r="J1500" i="50"/>
  <c r="T6" i="32"/>
  <c r="T15" i="32"/>
  <c r="T14" i="32" s="1"/>
  <c r="X14" i="32" s="1"/>
  <c r="X10" i="32"/>
  <c r="T1626" i="50"/>
  <c r="Z1626" i="50"/>
  <c r="V1626" i="50"/>
  <c r="AD1626" i="50"/>
  <c r="T1734" i="50"/>
  <c r="N1503" i="50"/>
  <c r="P1462" i="50"/>
  <c r="Z1731" i="50"/>
  <c r="V2142" i="50"/>
  <c r="V1735" i="50"/>
  <c r="AD1735" i="50"/>
  <c r="AB1735" i="50"/>
  <c r="Z1735" i="50"/>
  <c r="V1983" i="50"/>
  <c r="V1471" i="50"/>
  <c r="V37" i="32"/>
  <c r="P132" i="49"/>
  <c r="O132" i="49" s="1"/>
  <c r="BM132" i="49"/>
  <c r="BQ132" i="49" s="1"/>
  <c r="R308" i="50"/>
  <c r="R203" i="50"/>
  <c r="R91" i="50"/>
  <c r="R426" i="50"/>
  <c r="R160" i="50"/>
  <c r="R378" i="50"/>
  <c r="R154" i="50"/>
  <c r="R49" i="50"/>
  <c r="R377" i="50"/>
  <c r="R139" i="50"/>
  <c r="R77" i="50"/>
  <c r="R258" i="50"/>
  <c r="AF622" i="50"/>
  <c r="AF490" i="50"/>
  <c r="AH490" i="50" s="1"/>
  <c r="AF518" i="50"/>
  <c r="AF510" i="50"/>
  <c r="AF637" i="50"/>
  <c r="AH637" i="50" s="1"/>
  <c r="AF525" i="50"/>
  <c r="AH525" i="50" s="1"/>
  <c r="AF168" i="50"/>
  <c r="AF426" i="50"/>
  <c r="AF273" i="50"/>
  <c r="AF685" i="50"/>
  <c r="AF252" i="50"/>
  <c r="AF594" i="50"/>
  <c r="AF140" i="50"/>
  <c r="AF21" i="50"/>
  <c r="AF601" i="50"/>
  <c r="AF377" i="50"/>
  <c r="AF315" i="50"/>
  <c r="AF91" i="50"/>
  <c r="AF671" i="50"/>
  <c r="AF552" i="50"/>
  <c r="AF440" i="50"/>
  <c r="AF328" i="50"/>
  <c r="AF139" i="50"/>
  <c r="AF210" i="50"/>
  <c r="AF7" i="50"/>
  <c r="AF587" i="50"/>
  <c r="AF475" i="50"/>
  <c r="AF363" i="50"/>
  <c r="AF167" i="50"/>
  <c r="AF146" i="50"/>
  <c r="AF153" i="50"/>
  <c r="AF55" i="50"/>
  <c r="AF216" i="50"/>
  <c r="AF104" i="50"/>
  <c r="R140" i="50"/>
  <c r="R280" i="50"/>
  <c r="R265" i="50"/>
  <c r="R196" i="50"/>
  <c r="R335" i="50"/>
  <c r="R287" i="50"/>
  <c r="R56" i="50"/>
  <c r="R350" i="50"/>
  <c r="R238" i="50"/>
  <c r="R126" i="50"/>
  <c r="R223" i="50"/>
  <c r="R111" i="50"/>
  <c r="R385" i="50"/>
  <c r="R273" i="50"/>
  <c r="R161" i="50"/>
  <c r="R42" i="50"/>
  <c r="R356" i="50"/>
  <c r="R118" i="50"/>
  <c r="R27" i="50"/>
  <c r="AF189" i="50"/>
  <c r="AF385" i="50"/>
  <c r="AF420" i="50"/>
  <c r="AH420" i="50" s="1"/>
  <c r="AF609" i="50"/>
  <c r="AH609" i="50" s="1"/>
  <c r="AF336" i="50"/>
  <c r="AF105" i="50"/>
  <c r="AF314" i="50"/>
  <c r="AF560" i="50"/>
  <c r="AH560" i="50" s="1"/>
  <c r="AF217" i="50"/>
  <c r="AF686" i="50"/>
  <c r="AF413" i="50"/>
  <c r="AF112" i="50"/>
  <c r="AF692" i="50"/>
  <c r="AF349" i="50"/>
  <c r="AF223" i="50"/>
  <c r="AF287" i="50"/>
  <c r="AF63" i="50"/>
  <c r="AF636" i="50"/>
  <c r="AF524" i="50"/>
  <c r="AF412" i="50"/>
  <c r="AF300" i="50"/>
  <c r="AF406" i="50"/>
  <c r="AF294" i="50"/>
  <c r="AF182" i="50"/>
  <c r="AF70" i="50"/>
  <c r="AF678" i="50"/>
  <c r="AF559" i="50"/>
  <c r="AF447" i="50"/>
  <c r="AF335" i="50"/>
  <c r="AF230" i="50"/>
  <c r="AF118" i="50"/>
  <c r="AF125" i="50"/>
  <c r="R252" i="50"/>
  <c r="R168" i="50"/>
  <c r="R153" i="50"/>
  <c r="R84" i="50"/>
  <c r="R322" i="50"/>
  <c r="R210" i="50"/>
  <c r="R83" i="50"/>
  <c r="R357" i="50"/>
  <c r="R133" i="50"/>
  <c r="R202" i="50"/>
  <c r="R13" i="50"/>
  <c r="R6" i="50"/>
  <c r="AF245" i="50"/>
  <c r="AF448" i="50"/>
  <c r="AH448" i="50" s="1"/>
  <c r="AF455" i="50"/>
  <c r="AH455" i="50" s="1"/>
  <c r="AF280" i="50"/>
  <c r="AF644" i="50"/>
  <c r="AH644" i="50" s="1"/>
  <c r="AF532" i="50"/>
  <c r="AH532" i="50" s="1"/>
  <c r="AF392" i="50"/>
  <c r="AF454" i="50"/>
  <c r="AF651" i="50"/>
  <c r="AH651" i="50" s="1"/>
  <c r="AF539" i="50"/>
  <c r="AH539" i="50" s="1"/>
  <c r="AF49" i="50"/>
  <c r="AF370" i="50"/>
  <c r="AF84" i="50"/>
  <c r="AH84" i="50" s="1"/>
  <c r="AF664" i="50"/>
  <c r="AF545" i="50"/>
  <c r="AF433" i="50"/>
  <c r="AF321" i="50"/>
  <c r="AF111" i="50"/>
  <c r="AF259" i="50"/>
  <c r="AF28" i="50"/>
  <c r="AF496" i="50"/>
  <c r="AF272" i="50"/>
  <c r="AF378" i="50"/>
  <c r="AF154" i="50"/>
  <c r="AF42" i="50"/>
  <c r="AH42" i="50" s="1"/>
  <c r="AF643" i="50"/>
  <c r="AF202" i="50"/>
  <c r="AF90" i="50"/>
  <c r="AF209" i="50"/>
  <c r="AF160" i="50"/>
  <c r="AF62" i="50"/>
  <c r="D127" i="35"/>
  <c r="R468" i="50"/>
  <c r="R224" i="50"/>
  <c r="R343" i="50"/>
  <c r="R231" i="50"/>
  <c r="R119" i="50"/>
  <c r="R70" i="50"/>
  <c r="R405" i="50"/>
  <c r="R167" i="50"/>
  <c r="R217" i="50"/>
  <c r="R105" i="50"/>
  <c r="R286" i="50"/>
  <c r="R20" i="50"/>
  <c r="R342" i="50"/>
  <c r="AF574" i="50"/>
  <c r="AF693" i="50"/>
  <c r="AF630" i="50"/>
  <c r="AH630" i="50" s="1"/>
  <c r="AF398" i="50"/>
  <c r="AF357" i="50"/>
  <c r="AF672" i="50"/>
  <c r="AF427" i="50"/>
  <c r="AH427" i="50" s="1"/>
  <c r="AF538" i="50"/>
  <c r="AF616" i="50"/>
  <c r="AH616" i="50" s="1"/>
  <c r="AF504" i="50"/>
  <c r="AH504" i="50" s="1"/>
  <c r="AF329" i="50"/>
  <c r="AF342" i="50"/>
  <c r="AF623" i="50"/>
  <c r="AH623" i="50" s="1"/>
  <c r="AF511" i="50"/>
  <c r="AH511" i="50" s="1"/>
  <c r="AF14" i="50"/>
  <c r="AF258" i="50"/>
  <c r="AF56" i="50"/>
  <c r="AF517" i="50"/>
  <c r="AF405" i="50"/>
  <c r="AF293" i="50"/>
  <c r="AF231" i="50"/>
  <c r="AH231" i="50" s="1"/>
  <c r="AF119" i="50"/>
  <c r="AF699" i="50"/>
  <c r="AF468" i="50"/>
  <c r="AF356" i="50"/>
  <c r="AF251" i="50"/>
  <c r="AF238" i="50"/>
  <c r="AF126" i="50"/>
  <c r="AF35" i="50"/>
  <c r="AF503" i="50"/>
  <c r="AF391" i="50"/>
  <c r="AF279" i="50"/>
  <c r="AF658" i="50"/>
  <c r="AH658" i="50" s="1"/>
  <c r="AF181" i="50"/>
  <c r="AF244" i="50"/>
  <c r="AB6" i="32"/>
  <c r="AB17" i="32"/>
  <c r="AF17" i="32" s="1"/>
  <c r="AF16" i="32"/>
  <c r="AB19" i="32"/>
  <c r="AB22" i="32" s="1"/>
  <c r="AB18" i="32"/>
  <c r="R566" i="50"/>
  <c r="R636" i="50"/>
  <c r="R580" i="50"/>
  <c r="R699" i="50"/>
  <c r="P119" i="57"/>
  <c r="C18" i="51"/>
  <c r="E18" i="51"/>
  <c r="F18" i="51" s="1"/>
  <c r="G18" i="51" s="1"/>
  <c r="H18" i="51" s="1"/>
  <c r="I18" i="51" s="1"/>
  <c r="J18" i="51" s="1"/>
  <c r="AF77" i="50"/>
  <c r="R650" i="50"/>
  <c r="R454" i="50"/>
  <c r="R517" i="50"/>
  <c r="R601" i="50"/>
  <c r="R594" i="50"/>
  <c r="R524" i="50"/>
  <c r="R671" i="50"/>
  <c r="R559" i="50"/>
  <c r="H75" i="32"/>
  <c r="R608" i="50"/>
  <c r="R510" i="50"/>
  <c r="R692" i="50"/>
  <c r="R552" i="50"/>
  <c r="R685" i="50"/>
  <c r="T111" i="57"/>
  <c r="R538" i="50"/>
  <c r="R664" i="50"/>
  <c r="R657" i="50"/>
  <c r="R615" i="50"/>
  <c r="H92" i="35"/>
  <c r="H38" i="35"/>
  <c r="H28" i="35"/>
  <c r="AF40" i="32"/>
  <c r="AO29" i="49"/>
  <c r="AN29" i="49" s="1"/>
  <c r="U24" i="49"/>
  <c r="T24" i="49" s="1"/>
  <c r="R1541" i="50"/>
  <c r="L1541" i="50" s="1"/>
  <c r="AF1702" i="50"/>
  <c r="BC151" i="49"/>
  <c r="AF1594" i="50"/>
  <c r="AS197" i="49"/>
  <c r="AF2045" i="50"/>
  <c r="T2045" i="50" s="1"/>
  <c r="K83" i="49"/>
  <c r="J83" i="49" s="1"/>
  <c r="AE112" i="49"/>
  <c r="K49" i="49"/>
  <c r="AI219" i="49"/>
  <c r="AX211" i="49"/>
  <c r="R1953" i="50"/>
  <c r="R1812" i="50"/>
  <c r="AI217" i="49"/>
  <c r="AF1841" i="50"/>
  <c r="Z1841" i="50" s="1"/>
  <c r="O133" i="49"/>
  <c r="AX191" i="49"/>
  <c r="AF1540" i="50"/>
  <c r="R1686" i="50"/>
  <c r="R1539" i="50"/>
  <c r="R1644" i="50"/>
  <c r="R1680" i="50"/>
  <c r="AO171" i="49"/>
  <c r="AN171" i="49" s="1"/>
  <c r="AJ179" i="49"/>
  <c r="AF1785" i="50" s="1"/>
  <c r="AB1785" i="50" s="1"/>
  <c r="Z185" i="49"/>
  <c r="AT188" i="49"/>
  <c r="AF1849" i="50" s="1"/>
  <c r="AO190" i="49"/>
  <c r="K192" i="49"/>
  <c r="AO194" i="49"/>
  <c r="AT201" i="49"/>
  <c r="AF1940" i="50" s="1"/>
  <c r="P203" i="49"/>
  <c r="AF1951" i="50" s="1"/>
  <c r="Z204" i="49"/>
  <c r="AF1959" i="50" s="1"/>
  <c r="AE206" i="49"/>
  <c r="R1974" i="50" s="1"/>
  <c r="J1974" i="50" s="1"/>
  <c r="AO208" i="49"/>
  <c r="AJ209" i="49"/>
  <c r="K212" i="49"/>
  <c r="AJ213" i="49"/>
  <c r="AI213" i="49" s="1"/>
  <c r="AE214" i="49"/>
  <c r="AD214" i="49" s="1"/>
  <c r="AY218" i="49"/>
  <c r="Z221" i="49"/>
  <c r="Y221" i="49" s="1"/>
  <c r="Z223" i="49"/>
  <c r="Z224" i="49"/>
  <c r="BD225" i="49"/>
  <c r="BC225" i="49" s="1"/>
  <c r="AE226" i="49"/>
  <c r="AD226" i="49" s="1"/>
  <c r="AJ227" i="49"/>
  <c r="AI227" i="49" s="1"/>
  <c r="P134" i="49"/>
  <c r="AF1468" i="50" s="1"/>
  <c r="X1468" i="50" s="1"/>
  <c r="AE135" i="49"/>
  <c r="U138" i="49"/>
  <c r="AY142" i="49"/>
  <c r="R1528" i="50" s="1"/>
  <c r="F1528" i="50" s="1"/>
  <c r="Z145" i="49"/>
  <c r="P146" i="49"/>
  <c r="AT148" i="49"/>
  <c r="AT149" i="49"/>
  <c r="BL149" i="49" s="1"/>
  <c r="AJ151" i="49"/>
  <c r="AI151" i="49" s="1"/>
  <c r="U153" i="49"/>
  <c r="R1602" i="50" s="1"/>
  <c r="L1602" i="50" s="1"/>
  <c r="P154" i="49"/>
  <c r="AO159" i="49"/>
  <c r="AN159" i="49" s="1"/>
  <c r="AO162" i="49"/>
  <c r="AT170" i="49"/>
  <c r="AJ173" i="49"/>
  <c r="AJ177" i="49"/>
  <c r="AF1771" i="50" s="1"/>
  <c r="BD177" i="49"/>
  <c r="AF1773" i="50" s="1"/>
  <c r="P183" i="49"/>
  <c r="AF1811" i="50" s="1"/>
  <c r="X1811" i="50" s="1"/>
  <c r="AE184" i="49"/>
  <c r="AE190" i="49"/>
  <c r="AT195" i="49"/>
  <c r="AS195" i="49" s="1"/>
  <c r="P199" i="49"/>
  <c r="R1982" i="50"/>
  <c r="BD208" i="49"/>
  <c r="BL208" i="49" s="1"/>
  <c r="K210" i="49"/>
  <c r="R2000" i="50" s="1"/>
  <c r="Z216" i="49"/>
  <c r="AJ218" i="49"/>
  <c r="AI218" i="49" s="1"/>
  <c r="AT224" i="49"/>
  <c r="AF2101" i="50" s="1"/>
  <c r="K229" i="49"/>
  <c r="AO134" i="49"/>
  <c r="BH134" i="49" s="1"/>
  <c r="R1490" i="50"/>
  <c r="AO137" i="49"/>
  <c r="AN137" i="49" s="1"/>
  <c r="U139" i="49"/>
  <c r="K141" i="49"/>
  <c r="K144" i="49"/>
  <c r="R1538" i="50" s="1"/>
  <c r="F1538" i="50" s="1"/>
  <c r="AY149" i="49"/>
  <c r="BH149" i="49" s="1"/>
  <c r="U152" i="49"/>
  <c r="AE157" i="49"/>
  <c r="R1631" i="50" s="1"/>
  <c r="Z161" i="49"/>
  <c r="AJ164" i="49"/>
  <c r="Z165" i="49"/>
  <c r="AF1686" i="50" s="1"/>
  <c r="T1686" i="50" s="1"/>
  <c r="Z170" i="49"/>
  <c r="AT179" i="49"/>
  <c r="AS179" i="49" s="1"/>
  <c r="P182" i="49"/>
  <c r="AJ184" i="49"/>
  <c r="Z197" i="49"/>
  <c r="AO202" i="49"/>
  <c r="AE205" i="49"/>
  <c r="R2003" i="50"/>
  <c r="J2003" i="50" s="1"/>
  <c r="K211" i="49"/>
  <c r="AY216" i="49"/>
  <c r="R2046" i="50" s="1"/>
  <c r="L2046" i="50" s="1"/>
  <c r="AO218" i="49"/>
  <c r="AJ221" i="49"/>
  <c r="AI221" i="49" s="1"/>
  <c r="BD223" i="49"/>
  <c r="AY227" i="49"/>
  <c r="AX227" i="49" s="1"/>
  <c r="AJ133" i="49"/>
  <c r="U135" i="49"/>
  <c r="R1476" i="50" s="1"/>
  <c r="AE138" i="49"/>
  <c r="AO142" i="49"/>
  <c r="R1527" i="50" s="1"/>
  <c r="U145" i="49"/>
  <c r="AT146" i="49"/>
  <c r="AT147" i="49"/>
  <c r="AF1562" i="50" s="1"/>
  <c r="AO150" i="49"/>
  <c r="R1583" i="50" s="1"/>
  <c r="AJ152" i="49"/>
  <c r="AT155" i="49"/>
  <c r="AF1618" i="50" s="1"/>
  <c r="AY156" i="49"/>
  <c r="AX156" i="49" s="1"/>
  <c r="AE170" i="49"/>
  <c r="R1722" i="50" s="1"/>
  <c r="AH1722" i="50" s="1"/>
  <c r="AY172" i="49"/>
  <c r="AO172" i="49"/>
  <c r="Z178" i="49"/>
  <c r="AF1777" i="50" s="1"/>
  <c r="AE180" i="49"/>
  <c r="AD180" i="49" s="1"/>
  <c r="U186" i="49"/>
  <c r="BH186" i="49" s="1"/>
  <c r="P189" i="49"/>
  <c r="AJ194" i="49"/>
  <c r="AO211" i="49"/>
  <c r="K219" i="49"/>
  <c r="AT226" i="49"/>
  <c r="AE228" i="49"/>
  <c r="AD228" i="49" s="1"/>
  <c r="AT154" i="49"/>
  <c r="AS154" i="49" s="1"/>
  <c r="Z158" i="49"/>
  <c r="AY160" i="49"/>
  <c r="AX160" i="49" s="1"/>
  <c r="AY162" i="49"/>
  <c r="BD165" i="49"/>
  <c r="Z168" i="49"/>
  <c r="BD170" i="49"/>
  <c r="AT172" i="49"/>
  <c r="AF1737" i="50" s="1"/>
  <c r="AJ181" i="49"/>
  <c r="AY203" i="49"/>
  <c r="AE217" i="49"/>
  <c r="BH217" i="49" s="1"/>
  <c r="H1952" i="50"/>
  <c r="L1952" i="50"/>
  <c r="M72" i="48"/>
  <c r="AC85" i="48"/>
  <c r="Y85" i="48"/>
  <c r="H100" i="48"/>
  <c r="AE45" i="49"/>
  <c r="R2129" i="50"/>
  <c r="J2129" i="50" s="1"/>
  <c r="AX229" i="49"/>
  <c r="R2095" i="50"/>
  <c r="J2095" i="50" s="1"/>
  <c r="J2810" i="50" s="1"/>
  <c r="J3524" i="50" s="1"/>
  <c r="R2032" i="50"/>
  <c r="AS229" i="49"/>
  <c r="AJ169" i="49"/>
  <c r="K170" i="49"/>
  <c r="BD173" i="49"/>
  <c r="AO174" i="49"/>
  <c r="AO176" i="49"/>
  <c r="AY177" i="49"/>
  <c r="BD178" i="49"/>
  <c r="AJ180" i="49"/>
  <c r="AF1792" i="50" s="1"/>
  <c r="X1792" i="50" s="1"/>
  <c r="AY182" i="49"/>
  <c r="Z184" i="49"/>
  <c r="Y184" i="49" s="1"/>
  <c r="AT189" i="49"/>
  <c r="P195" i="49"/>
  <c r="AO196" i="49"/>
  <c r="AJ197" i="49"/>
  <c r="AJ198" i="49"/>
  <c r="AF1918" i="50" s="1"/>
  <c r="X1918" i="50" s="1"/>
  <c r="AY199" i="49"/>
  <c r="AX199" i="49" s="1"/>
  <c r="Z205" i="49"/>
  <c r="Y205" i="49" s="1"/>
  <c r="K216" i="49"/>
  <c r="R2042" i="50" s="1"/>
  <c r="AE219" i="49"/>
  <c r="AD219" i="49" s="1"/>
  <c r="AT221" i="49"/>
  <c r="AY226" i="49"/>
  <c r="AO230" i="49"/>
  <c r="AN230" i="49" s="1"/>
  <c r="U132" i="49"/>
  <c r="AE133" i="49"/>
  <c r="AD133" i="49" s="1"/>
  <c r="U136" i="49"/>
  <c r="AJ137" i="49"/>
  <c r="AI137" i="49" s="1"/>
  <c r="AE139" i="49"/>
  <c r="K142" i="49"/>
  <c r="R1524" i="50" s="1"/>
  <c r="F1524" i="50" s="1"/>
  <c r="AT145" i="49"/>
  <c r="AF1548" i="50" s="1"/>
  <c r="P147" i="49"/>
  <c r="AE150" i="49"/>
  <c r="AD150" i="49" s="1"/>
  <c r="AO156" i="49"/>
  <c r="R1625" i="50" s="1"/>
  <c r="BD162" i="49"/>
  <c r="BD166" i="49"/>
  <c r="AF1696" i="50" s="1"/>
  <c r="AO169" i="49"/>
  <c r="Z171" i="49"/>
  <c r="Z174" i="49"/>
  <c r="P177" i="49"/>
  <c r="AF1769" i="50" s="1"/>
  <c r="AE181" i="49"/>
  <c r="AD181" i="49" s="1"/>
  <c r="AY185" i="49"/>
  <c r="AX185" i="49" s="1"/>
  <c r="AY190" i="49"/>
  <c r="R1864" i="50" s="1"/>
  <c r="AE193" i="49"/>
  <c r="BH193" i="49" s="1"/>
  <c r="BP193" i="49" s="1"/>
  <c r="Z200" i="49"/>
  <c r="AE201" i="49"/>
  <c r="K206" i="49"/>
  <c r="J206" i="49" s="1"/>
  <c r="AJ214" i="49"/>
  <c r="AF2030" i="50" s="1"/>
  <c r="BD216" i="49"/>
  <c r="BL216" i="49" s="1"/>
  <c r="AT220" i="49"/>
  <c r="AF2073" i="50" s="1"/>
  <c r="BD222" i="49"/>
  <c r="AF2088" i="50" s="1"/>
  <c r="AB2088" i="50" s="1"/>
  <c r="P225" i="49"/>
  <c r="P131" i="49"/>
  <c r="AT132" i="49"/>
  <c r="P135" i="49"/>
  <c r="BL135" i="49" s="1"/>
  <c r="BD139" i="49"/>
  <c r="BC139" i="49" s="1"/>
  <c r="BD142" i="49"/>
  <c r="U146" i="49"/>
  <c r="K148" i="49"/>
  <c r="AJ150" i="49"/>
  <c r="AI150" i="49" s="1"/>
  <c r="BD153" i="49"/>
  <c r="U155" i="49"/>
  <c r="R1616" i="50" s="1"/>
  <c r="BD163" i="49"/>
  <c r="BL163" i="49" s="1"/>
  <c r="BP163" i="49" s="1"/>
  <c r="BD167" i="49"/>
  <c r="AF1703" i="50" s="1"/>
  <c r="P173" i="49"/>
  <c r="AE175" i="49"/>
  <c r="BD188" i="49"/>
  <c r="AY192" i="49"/>
  <c r="P201" i="49"/>
  <c r="BL201" i="49" s="1"/>
  <c r="AE208" i="49"/>
  <c r="AJ211" i="49"/>
  <c r="K214" i="49"/>
  <c r="R2028" i="50" s="1"/>
  <c r="P224" i="49"/>
  <c r="BL224" i="49" s="1"/>
  <c r="AO226" i="49"/>
  <c r="AN226" i="49" s="1"/>
  <c r="AE229" i="49"/>
  <c r="BD230" i="49"/>
  <c r="AF2144" i="50" s="1"/>
  <c r="AD2144" i="50" s="1"/>
  <c r="AO131" i="49"/>
  <c r="Z137" i="49"/>
  <c r="AE141" i="49"/>
  <c r="AJ143" i="49"/>
  <c r="BL143" i="49" s="1"/>
  <c r="BD148" i="49"/>
  <c r="K151" i="49"/>
  <c r="K153" i="49"/>
  <c r="J153" i="49" s="1"/>
  <c r="K158" i="49"/>
  <c r="AJ160" i="49"/>
  <c r="K162" i="49"/>
  <c r="AY164" i="49"/>
  <c r="AJ167" i="49"/>
  <c r="AE171" i="49"/>
  <c r="AY173" i="49"/>
  <c r="K176" i="49"/>
  <c r="BD176" i="49"/>
  <c r="AT182" i="49"/>
  <c r="AS182" i="49" s="1"/>
  <c r="AO184" i="49"/>
  <c r="AY186" i="49"/>
  <c r="BD187" i="49"/>
  <c r="BD195" i="49"/>
  <c r="BC195" i="49" s="1"/>
  <c r="K197" i="49"/>
  <c r="J197" i="49" s="1"/>
  <c r="K198" i="49"/>
  <c r="BH198" i="49" s="1"/>
  <c r="Z203" i="49"/>
  <c r="BD206" i="49"/>
  <c r="BC206" i="49" s="1"/>
  <c r="K208" i="49"/>
  <c r="AJ212" i="49"/>
  <c r="BL212" i="49" s="1"/>
  <c r="AO216" i="49"/>
  <c r="R2045" i="50" s="1"/>
  <c r="L2045" i="50" s="1"/>
  <c r="AT219" i="49"/>
  <c r="AO221" i="49"/>
  <c r="P155" i="49"/>
  <c r="K157" i="49"/>
  <c r="J157" i="49" s="1"/>
  <c r="Z159" i="49"/>
  <c r="AO161" i="49"/>
  <c r="AN161" i="49" s="1"/>
  <c r="AY166" i="49"/>
  <c r="AX166" i="49" s="1"/>
  <c r="AJ171" i="49"/>
  <c r="AI171" i="49" s="1"/>
  <c r="AJ174" i="49"/>
  <c r="P192" i="49"/>
  <c r="AT222" i="49"/>
  <c r="AS222" i="49" s="1"/>
  <c r="P2120" i="50"/>
  <c r="N1952" i="50"/>
  <c r="Z217" i="49"/>
  <c r="BL217" i="49" s="1"/>
  <c r="K67" i="49"/>
  <c r="J67" i="49" s="1"/>
  <c r="F72" i="48"/>
  <c r="J100" i="48"/>
  <c r="AO46" i="49"/>
  <c r="R219" i="50" s="1"/>
  <c r="U67" i="49"/>
  <c r="T67" i="49" s="1"/>
  <c r="BS141" i="49"/>
  <c r="BG141" i="49"/>
  <c r="H141" i="49"/>
  <c r="R1626" i="50"/>
  <c r="F1626" i="50" s="1"/>
  <c r="AF2078" i="50"/>
  <c r="AD2078" i="50" s="1"/>
  <c r="AI179" i="49"/>
  <c r="Z1702" i="50"/>
  <c r="AH672" i="50"/>
  <c r="AI167" i="49"/>
  <c r="BC167" i="49"/>
  <c r="AS224" i="49"/>
  <c r="BH164" i="49"/>
  <c r="R1519" i="50"/>
  <c r="P1519" i="50" s="1"/>
  <c r="BL211" i="49"/>
  <c r="O135" i="49"/>
  <c r="AF1475" i="50"/>
  <c r="AH1475" i="50" s="1"/>
  <c r="AX190" i="49"/>
  <c r="AF1668" i="50"/>
  <c r="AS145" i="49"/>
  <c r="AF1966" i="50"/>
  <c r="AH1966" i="50" s="1"/>
  <c r="BL205" i="49"/>
  <c r="R1808" i="50"/>
  <c r="AN176" i="49"/>
  <c r="R1765" i="50"/>
  <c r="AF1611" i="50"/>
  <c r="AN150" i="49"/>
  <c r="AX216" i="49"/>
  <c r="AF1786" i="50"/>
  <c r="J144" i="49"/>
  <c r="BL218" i="49"/>
  <c r="AS148" i="49"/>
  <c r="AF1569" i="50"/>
  <c r="T138" i="49"/>
  <c r="Z2212" i="50" s="1"/>
  <c r="R1497" i="50"/>
  <c r="AD206" i="49"/>
  <c r="AD1737" i="50"/>
  <c r="AD2088" i="50"/>
  <c r="T2073" i="50"/>
  <c r="AI703" i="50"/>
  <c r="V1764" i="50"/>
  <c r="Z1764" i="50"/>
  <c r="T1917" i="50"/>
  <c r="L1625" i="50"/>
  <c r="H1625" i="50"/>
  <c r="I27" i="51"/>
  <c r="J27" i="51" s="1"/>
  <c r="AF2058" i="50"/>
  <c r="BH144" i="49"/>
  <c r="AF1658" i="50"/>
  <c r="X1658" i="50" s="1"/>
  <c r="AN142" i="49"/>
  <c r="R1927" i="50"/>
  <c r="R353" i="50"/>
  <c r="AN180" i="49"/>
  <c r="R1793" i="50"/>
  <c r="BL78" i="49"/>
  <c r="BH213" i="49"/>
  <c r="T181" i="49"/>
  <c r="R1798" i="50"/>
  <c r="J217" i="49"/>
  <c r="R2049" i="50"/>
  <c r="AF2113" i="50"/>
  <c r="Y226" i="49"/>
  <c r="R507" i="50"/>
  <c r="AX87" i="49"/>
  <c r="BL37" i="49"/>
  <c r="AF2091" i="50"/>
  <c r="AB2091" i="50" s="1"/>
  <c r="R1807" i="50"/>
  <c r="Y202" i="49"/>
  <c r="BQ88" i="49"/>
  <c r="BQ110" i="49"/>
  <c r="BQ92" i="49"/>
  <c r="T109" i="57"/>
  <c r="J22" i="35"/>
  <c r="H68" i="35"/>
  <c r="F50" i="38"/>
  <c r="J83" i="35"/>
  <c r="H77" i="35"/>
  <c r="H58" i="35"/>
  <c r="D87" i="32"/>
  <c r="T41" i="32"/>
  <c r="BQ200" i="49"/>
  <c r="BQ135" i="49"/>
  <c r="AS136" i="49"/>
  <c r="AF1485" i="50"/>
  <c r="J205" i="49"/>
  <c r="R1965" i="50"/>
  <c r="AF1526" i="50"/>
  <c r="AI142" i="49"/>
  <c r="S104" i="57"/>
  <c r="F126" i="35"/>
  <c r="BH207" i="49"/>
  <c r="BL157" i="49"/>
  <c r="BL207" i="49"/>
  <c r="L2064" i="50"/>
  <c r="BQ194" i="49"/>
  <c r="BQ223" i="49"/>
  <c r="F2064" i="50"/>
  <c r="BQ204" i="49"/>
  <c r="BQ150" i="49"/>
  <c r="BQ192" i="49"/>
  <c r="W110" i="48"/>
  <c r="AD2035" i="50"/>
  <c r="T2035" i="50"/>
  <c r="Z2035" i="50"/>
  <c r="T1832" i="50"/>
  <c r="N1633" i="50"/>
  <c r="V1455" i="50"/>
  <c r="AB1455" i="50"/>
  <c r="X1455" i="50"/>
  <c r="AD1455" i="50"/>
  <c r="T1455" i="50"/>
  <c r="N1555" i="50"/>
  <c r="Y176" i="49"/>
  <c r="AD186" i="49"/>
  <c r="AF1602" i="50"/>
  <c r="V1602" i="50" s="1"/>
  <c r="Y153" i="49"/>
  <c r="P1633" i="50"/>
  <c r="V2035" i="50"/>
  <c r="Z2140" i="50"/>
  <c r="X2140" i="50"/>
  <c r="T1643" i="50"/>
  <c r="AB1668" i="50"/>
  <c r="AD1569" i="50"/>
  <c r="X1841" i="50"/>
  <c r="O177" i="49"/>
  <c r="AF1701" i="50"/>
  <c r="AH1701" i="50" s="1"/>
  <c r="AF1454" i="50"/>
  <c r="T1454" i="50" s="1"/>
  <c r="F1633" i="50"/>
  <c r="H1832" i="50"/>
  <c r="H1458" i="50"/>
  <c r="Z1455" i="50"/>
  <c r="H1687" i="50"/>
  <c r="V1737" i="50"/>
  <c r="Z1569" i="50"/>
  <c r="J138" i="49"/>
  <c r="R1496" i="50"/>
  <c r="H1496" i="50" s="1"/>
  <c r="L1974" i="50"/>
  <c r="AB1737" i="50"/>
  <c r="Y203" i="49"/>
  <c r="AF1952" i="50"/>
  <c r="BH160" i="49"/>
  <c r="X2035" i="50"/>
  <c r="R673" i="50"/>
  <c r="R428" i="50"/>
  <c r="BH76" i="49"/>
  <c r="R316" i="50"/>
  <c r="BH60" i="49"/>
  <c r="R204" i="50"/>
  <c r="BH44" i="49"/>
  <c r="AF330" i="50"/>
  <c r="R395" i="50"/>
  <c r="AH395" i="50" s="1"/>
  <c r="AX71" i="49"/>
  <c r="R374" i="50"/>
  <c r="AX68" i="49"/>
  <c r="R325" i="50"/>
  <c r="AH325" i="50" s="1"/>
  <c r="AX61" i="49"/>
  <c r="R297" i="50"/>
  <c r="AH297" i="50" s="1"/>
  <c r="AX57" i="49"/>
  <c r="R276" i="50"/>
  <c r="AX54" i="49"/>
  <c r="AF150" i="50"/>
  <c r="BC36" i="49"/>
  <c r="AF122" i="50"/>
  <c r="AH122" i="50" s="1"/>
  <c r="BC32" i="49"/>
  <c r="AF414" i="50"/>
  <c r="AF646" i="50"/>
  <c r="BL107" i="49"/>
  <c r="AF415" i="50"/>
  <c r="AF617" i="50"/>
  <c r="AF505" i="50"/>
  <c r="AF393" i="50"/>
  <c r="AF281" i="50"/>
  <c r="AF169" i="50"/>
  <c r="BL90" i="49"/>
  <c r="AF562" i="50"/>
  <c r="AF450" i="50"/>
  <c r="AF652" i="50"/>
  <c r="BL108" i="49"/>
  <c r="AF540" i="50"/>
  <c r="AF428" i="50"/>
  <c r="AF316" i="50"/>
  <c r="BL60" i="49"/>
  <c r="AF204" i="50"/>
  <c r="AF569" i="50"/>
  <c r="AF457" i="50"/>
  <c r="AF547" i="50"/>
  <c r="AF435" i="50"/>
  <c r="AF239" i="50"/>
  <c r="AF127" i="50"/>
  <c r="BL68" i="49"/>
  <c r="BL66" i="49"/>
  <c r="BL51" i="49"/>
  <c r="BL33" i="49"/>
  <c r="BL103" i="49"/>
  <c r="L1778" i="50"/>
  <c r="L2493" i="50" s="1"/>
  <c r="L3207" i="50" s="1"/>
  <c r="N1778" i="50"/>
  <c r="P1778" i="50"/>
  <c r="J1778" i="50"/>
  <c r="F1778" i="50"/>
  <c r="P1693" i="50"/>
  <c r="F1693" i="50"/>
  <c r="N1693" i="50"/>
  <c r="J1750" i="50"/>
  <c r="N1750" i="50"/>
  <c r="F1750" i="50"/>
  <c r="F1993" i="50"/>
  <c r="L1993" i="50"/>
  <c r="J1993" i="50"/>
  <c r="X1682" i="50"/>
  <c r="F1639" i="50"/>
  <c r="H1639" i="50"/>
  <c r="N1639" i="50"/>
  <c r="J1639" i="50"/>
  <c r="P1639" i="50"/>
  <c r="AD1917" i="50"/>
  <c r="AB1917" i="50"/>
  <c r="R344" i="50"/>
  <c r="R402" i="50"/>
  <c r="AH402" i="50" s="1"/>
  <c r="AX72" i="49"/>
  <c r="AF464" i="50"/>
  <c r="R317" i="50"/>
  <c r="AH317" i="50" s="1"/>
  <c r="R332" i="50"/>
  <c r="AH332" i="50" s="1"/>
  <c r="AX62" i="49"/>
  <c r="R283" i="50"/>
  <c r="AX55" i="49"/>
  <c r="R255" i="50"/>
  <c r="AX51" i="49"/>
  <c r="R227" i="50"/>
  <c r="R199" i="50"/>
  <c r="R171" i="50"/>
  <c r="AX39" i="49"/>
  <c r="R143" i="50"/>
  <c r="AX35" i="49"/>
  <c r="BH35" i="49"/>
  <c r="AF388" i="50"/>
  <c r="BC70" i="49"/>
  <c r="AF408" i="50"/>
  <c r="BL73" i="49"/>
  <c r="AF373" i="50"/>
  <c r="AF345" i="50"/>
  <c r="BL64" i="49"/>
  <c r="AF317" i="50"/>
  <c r="AF261" i="50"/>
  <c r="AT358" i="49"/>
  <c r="AF233" i="50"/>
  <c r="BL48" i="49"/>
  <c r="AF142" i="50"/>
  <c r="BL35" i="49"/>
  <c r="AF114" i="50"/>
  <c r="AF688" i="50"/>
  <c r="AF520" i="50"/>
  <c r="BL89" i="49"/>
  <c r="AF386" i="50"/>
  <c r="BL72" i="49"/>
  <c r="P1465" i="50"/>
  <c r="P2180" i="50" s="1"/>
  <c r="P2894" i="50" s="1"/>
  <c r="J1465" i="50"/>
  <c r="H1786" i="50"/>
  <c r="P1786" i="50"/>
  <c r="N1786" i="50"/>
  <c r="L1786" i="50"/>
  <c r="J1786" i="50"/>
  <c r="AB1673" i="50"/>
  <c r="Z1855" i="50"/>
  <c r="P1485" i="50"/>
  <c r="F1485" i="50"/>
  <c r="Z2100" i="50"/>
  <c r="AD2100" i="50"/>
  <c r="X2100" i="50"/>
  <c r="L2105" i="50"/>
  <c r="P2105" i="50"/>
  <c r="H2105" i="50"/>
  <c r="BL83" i="49"/>
  <c r="AD1867" i="50"/>
  <c r="V1790" i="50"/>
  <c r="V1710" i="50"/>
  <c r="AF458" i="50"/>
  <c r="BC80" i="49"/>
  <c r="Z1519" i="50"/>
  <c r="X1519" i="50"/>
  <c r="T1519" i="50"/>
  <c r="T184" i="49"/>
  <c r="R1819" i="50"/>
  <c r="L1819" i="50" s="1"/>
  <c r="BH51" i="49"/>
  <c r="J187" i="49"/>
  <c r="R1839" i="50"/>
  <c r="AF1888" i="50"/>
  <c r="T1888" i="50" s="1"/>
  <c r="O194" i="49"/>
  <c r="R1934" i="50"/>
  <c r="AX200" i="49"/>
  <c r="Y213" i="49"/>
  <c r="AF2022" i="50"/>
  <c r="Z2022" i="50" s="1"/>
  <c r="AD179" i="49"/>
  <c r="R1785" i="50"/>
  <c r="BC192" i="49"/>
  <c r="AF1878" i="50"/>
  <c r="AD1878" i="50" s="1"/>
  <c r="R1990" i="50"/>
  <c r="AX208" i="49"/>
  <c r="Y209" i="49"/>
  <c r="Y194" i="49"/>
  <c r="AX106" i="49"/>
  <c r="R528" i="50"/>
  <c r="AX86" i="49"/>
  <c r="Z1979" i="50"/>
  <c r="T1979" i="50"/>
  <c r="AD1486" i="50"/>
  <c r="X1486" i="50"/>
  <c r="T1486" i="50"/>
  <c r="AB1486" i="50"/>
  <c r="X2060" i="50"/>
  <c r="J1554" i="50"/>
  <c r="P1554" i="50"/>
  <c r="L1554" i="50"/>
  <c r="AX108" i="49"/>
  <c r="R654" i="50"/>
  <c r="P654" i="50" s="1"/>
  <c r="P1369" i="50" s="1"/>
  <c r="P1806" i="50"/>
  <c r="O226" i="49"/>
  <c r="AF2112" i="50"/>
  <c r="X2007" i="50"/>
  <c r="V2007" i="50"/>
  <c r="AF1968" i="50"/>
  <c r="AS205" i="49"/>
  <c r="R1542" i="50"/>
  <c r="L1542" i="50" s="1"/>
  <c r="L2257" i="50" s="1"/>
  <c r="L2971" i="50" s="1"/>
  <c r="AX144" i="49"/>
  <c r="AX150" i="49"/>
  <c r="R1584" i="50"/>
  <c r="J1584" i="50" s="1"/>
  <c r="Y175" i="49"/>
  <c r="AF1756" i="50"/>
  <c r="AN187" i="49"/>
  <c r="R1842" i="50"/>
  <c r="L1842" i="50" s="1"/>
  <c r="AS157" i="49"/>
  <c r="AF1632" i="50"/>
  <c r="J173" i="49"/>
  <c r="R1741" i="50"/>
  <c r="N1741" i="50" s="1"/>
  <c r="J167" i="49"/>
  <c r="R1699" i="50"/>
  <c r="AI134" i="49"/>
  <c r="AF1470" i="50"/>
  <c r="V1470" i="50" s="1"/>
  <c r="R1920" i="50"/>
  <c r="L1920" i="50" s="1"/>
  <c r="L2635" i="50" s="1"/>
  <c r="L3349" i="50" s="1"/>
  <c r="AX198" i="49"/>
  <c r="AF1521" i="50"/>
  <c r="BC141" i="49"/>
  <c r="AN195" i="49"/>
  <c r="R1898" i="50"/>
  <c r="F1898" i="50" s="1"/>
  <c r="J1871" i="50"/>
  <c r="J2586" i="50" s="1"/>
  <c r="J3300" i="50" s="1"/>
  <c r="H1871" i="50"/>
  <c r="T1506" i="50"/>
  <c r="V1506" i="50"/>
  <c r="AF1806" i="50"/>
  <c r="AS163" i="49"/>
  <c r="AS139" i="49"/>
  <c r="O156" i="49"/>
  <c r="BC134" i="49"/>
  <c r="AX158" i="49"/>
  <c r="Y149" i="49"/>
  <c r="T2088" i="50"/>
  <c r="X2088" i="50"/>
  <c r="F1864" i="50"/>
  <c r="F2579" i="50" s="1"/>
  <c r="H1864" i="50"/>
  <c r="X1786" i="50"/>
  <c r="Z1786" i="50"/>
  <c r="AD1468" i="50"/>
  <c r="V2088" i="50"/>
  <c r="J1864" i="50"/>
  <c r="AB1548" i="50"/>
  <c r="R363" i="50"/>
  <c r="BH67" i="49"/>
  <c r="BP67" i="49" s="1"/>
  <c r="BU67" i="49" s="1"/>
  <c r="AI212" i="49"/>
  <c r="AF2016" i="50"/>
  <c r="AX186" i="49"/>
  <c r="R1836" i="50"/>
  <c r="J176" i="49"/>
  <c r="R1762" i="50"/>
  <c r="AD141" i="49"/>
  <c r="AF2009" i="50"/>
  <c r="AI211" i="49"/>
  <c r="AF1675" i="50"/>
  <c r="BC163" i="49"/>
  <c r="BH148" i="49"/>
  <c r="R1972" i="50"/>
  <c r="BH206" i="49"/>
  <c r="Y174" i="49"/>
  <c r="AF1749" i="50"/>
  <c r="BC162" i="49"/>
  <c r="BL162" i="49"/>
  <c r="T136" i="49"/>
  <c r="R1483" i="50"/>
  <c r="AN196" i="49"/>
  <c r="AI169" i="49"/>
  <c r="AF1715" i="50"/>
  <c r="AB1715" i="50" s="1"/>
  <c r="R1546" i="50"/>
  <c r="AF1804" i="50"/>
  <c r="R1862" i="50"/>
  <c r="J1862" i="50" s="1"/>
  <c r="AD190" i="49"/>
  <c r="Y224" i="49"/>
  <c r="AF2099" i="50"/>
  <c r="X2099" i="50" s="1"/>
  <c r="AS188" i="49"/>
  <c r="T1540" i="50"/>
  <c r="X1540" i="50"/>
  <c r="J1813" i="50"/>
  <c r="F1813" i="50"/>
  <c r="P1813" i="50"/>
  <c r="H1813" i="50"/>
  <c r="L1813" i="50"/>
  <c r="N1813" i="50"/>
  <c r="BH131" i="49"/>
  <c r="P2129" i="50"/>
  <c r="R1668" i="50"/>
  <c r="F1668" i="50" s="1"/>
  <c r="R2007" i="50"/>
  <c r="J2007" i="50" s="1"/>
  <c r="J211" i="49"/>
  <c r="J141" i="49"/>
  <c r="R1517" i="50"/>
  <c r="AF1723" i="50"/>
  <c r="Z1723" i="50" s="1"/>
  <c r="AS170" i="49"/>
  <c r="AF1552" i="50"/>
  <c r="T1552" i="50" s="1"/>
  <c r="O146" i="49"/>
  <c r="AH1702" i="50"/>
  <c r="V1702" i="50"/>
  <c r="X1702" i="50"/>
  <c r="AH699" i="50"/>
  <c r="N2094" i="50"/>
  <c r="F1679" i="50"/>
  <c r="Z1863" i="50"/>
  <c r="J2136" i="50"/>
  <c r="N2136" i="50"/>
  <c r="H2136" i="50"/>
  <c r="P1940" i="50"/>
  <c r="N1790" i="50"/>
  <c r="T1790" i="50"/>
  <c r="X1755" i="50"/>
  <c r="Z1755" i="50"/>
  <c r="AB1755" i="50"/>
  <c r="AD1755" i="50"/>
  <c r="V1755" i="50"/>
  <c r="V1967" i="50"/>
  <c r="X1967" i="50"/>
  <c r="AB1967" i="50"/>
  <c r="X1924" i="50"/>
  <c r="T1924" i="50"/>
  <c r="V1924" i="50"/>
  <c r="X1531" i="50"/>
  <c r="L1462" i="50"/>
  <c r="P1650" i="50"/>
  <c r="V1836" i="50"/>
  <c r="R359" i="50"/>
  <c r="AO358" i="49"/>
  <c r="R198" i="50"/>
  <c r="AF492" i="50"/>
  <c r="BL62" i="49"/>
  <c r="BL39" i="49"/>
  <c r="R1769" i="50"/>
  <c r="L1769" i="50" s="1"/>
  <c r="J1603" i="50"/>
  <c r="T1958" i="50"/>
  <c r="R184" i="50"/>
  <c r="R2126" i="50"/>
  <c r="H2126" i="50" s="1"/>
  <c r="R1548" i="50"/>
  <c r="H2073" i="50"/>
  <c r="N2073" i="50"/>
  <c r="J2073" i="50"/>
  <c r="P2073" i="50"/>
  <c r="F2073" i="50"/>
  <c r="O178" i="49"/>
  <c r="AF1776" i="50"/>
  <c r="X1776" i="50" s="1"/>
  <c r="O181" i="49"/>
  <c r="AF1797" i="50"/>
  <c r="AD1797" i="50" s="1"/>
  <c r="AF1827" i="50"/>
  <c r="AB1827" i="50" s="1"/>
  <c r="AI185" i="49"/>
  <c r="J190" i="49"/>
  <c r="R1860" i="50"/>
  <c r="AX195" i="49"/>
  <c r="BH195" i="49"/>
  <c r="R1899" i="50"/>
  <c r="AF1944" i="50"/>
  <c r="O202" i="49"/>
  <c r="O205" i="49"/>
  <c r="AF1965" i="50"/>
  <c r="AD1965" i="50" s="1"/>
  <c r="AD216" i="49"/>
  <c r="R2044" i="50"/>
  <c r="AF1448" i="50"/>
  <c r="V1448" i="50" s="1"/>
  <c r="Y131" i="49"/>
  <c r="J133" i="49"/>
  <c r="R1461" i="50"/>
  <c r="R1470" i="50"/>
  <c r="F1470" i="50" s="1"/>
  <c r="AD134" i="49"/>
  <c r="AF1482" i="50"/>
  <c r="O136" i="49"/>
  <c r="R1491" i="50"/>
  <c r="H1491" i="50" s="1"/>
  <c r="AD137" i="49"/>
  <c r="BC138" i="49"/>
  <c r="AF1500" i="50"/>
  <c r="AD1500" i="50" s="1"/>
  <c r="AF1525" i="50"/>
  <c r="Y142" i="49"/>
  <c r="O144" i="49"/>
  <c r="AF1538" i="50"/>
  <c r="V1538" i="50" s="1"/>
  <c r="BL144" i="49"/>
  <c r="AD147" i="49"/>
  <c r="R1561" i="50"/>
  <c r="R1574" i="50"/>
  <c r="T149" i="49"/>
  <c r="AD151" i="49"/>
  <c r="R1589" i="50"/>
  <c r="F1589" i="50" s="1"/>
  <c r="AF1610" i="50"/>
  <c r="AI154" i="49"/>
  <c r="O158" i="49"/>
  <c r="AF1636" i="50"/>
  <c r="BC159" i="49"/>
  <c r="AF1647" i="50"/>
  <c r="AF1664" i="50"/>
  <c r="O162" i="49"/>
  <c r="AF1695" i="50"/>
  <c r="AS166" i="49"/>
  <c r="AN170" i="49"/>
  <c r="R1723" i="50"/>
  <c r="AD183" i="49"/>
  <c r="BH183" i="49"/>
  <c r="Y190" i="49"/>
  <c r="AF1861" i="50"/>
  <c r="AF1909" i="50"/>
  <c r="Z1909" i="50" s="1"/>
  <c r="O197" i="49"/>
  <c r="AD202" i="49"/>
  <c r="R1946" i="50"/>
  <c r="AX205" i="49"/>
  <c r="R1969" i="50"/>
  <c r="AH1969" i="50" s="1"/>
  <c r="BC210" i="49"/>
  <c r="AF2004" i="50"/>
  <c r="AX219" i="49"/>
  <c r="R2067" i="50"/>
  <c r="AN224" i="49"/>
  <c r="R2101" i="50"/>
  <c r="BH224" i="49"/>
  <c r="AF2134" i="50"/>
  <c r="Y229" i="49"/>
  <c r="AN132" i="49"/>
  <c r="R1457" i="50"/>
  <c r="AF1587" i="50"/>
  <c r="O151" i="49"/>
  <c r="AF1617" i="50"/>
  <c r="AI155" i="49"/>
  <c r="T163" i="49"/>
  <c r="R1672" i="50"/>
  <c r="P1672" i="50" s="1"/>
  <c r="AF1778" i="50"/>
  <c r="AI178" i="49"/>
  <c r="AF1847" i="50"/>
  <c r="Z1847" i="50" s="1"/>
  <c r="Y188" i="49"/>
  <c r="AH1912" i="50"/>
  <c r="AB1912" i="50"/>
  <c r="T1912" i="50"/>
  <c r="AD1912" i="50"/>
  <c r="X1912" i="50"/>
  <c r="AN206" i="49"/>
  <c r="AF2039" i="50"/>
  <c r="T2039" i="50" s="1"/>
  <c r="T2041" i="50" s="1"/>
  <c r="BC215" i="49"/>
  <c r="AB2065" i="50"/>
  <c r="AD2065" i="50"/>
  <c r="Z2065" i="50"/>
  <c r="X2065" i="50"/>
  <c r="R2130" i="50"/>
  <c r="AX228" i="49"/>
  <c r="J132" i="49"/>
  <c r="R1454" i="50"/>
  <c r="J1454" i="50" s="1"/>
  <c r="AF1499" i="50"/>
  <c r="BL138" i="49"/>
  <c r="AS138" i="49"/>
  <c r="R1533" i="50"/>
  <c r="AD143" i="49"/>
  <c r="R1562" i="50"/>
  <c r="J1562" i="50" s="1"/>
  <c r="AN147" i="49"/>
  <c r="T154" i="49"/>
  <c r="R1609" i="50"/>
  <c r="AF1678" i="50"/>
  <c r="O164" i="49"/>
  <c r="AF1791" i="50"/>
  <c r="AB1791" i="50" s="1"/>
  <c r="Y180" i="49"/>
  <c r="BH187" i="49"/>
  <c r="T187" i="49"/>
  <c r="R1840" i="50"/>
  <c r="AD198" i="49"/>
  <c r="R1918" i="50"/>
  <c r="H1918" i="50" s="1"/>
  <c r="O210" i="49"/>
  <c r="BL210" i="49"/>
  <c r="AF2000" i="50"/>
  <c r="Z2000" i="50" s="1"/>
  <c r="AF2037" i="50"/>
  <c r="AI215" i="49"/>
  <c r="BL215" i="49"/>
  <c r="AF2085" i="50"/>
  <c r="AH2085" i="50" s="1"/>
  <c r="Y222" i="49"/>
  <c r="AF1469" i="50"/>
  <c r="T1469" i="50" s="1"/>
  <c r="Y134" i="49"/>
  <c r="T142" i="49"/>
  <c r="R1525" i="50"/>
  <c r="T156" i="49"/>
  <c r="R1623" i="50"/>
  <c r="L1623" i="50" s="1"/>
  <c r="R1689" i="50"/>
  <c r="AX165" i="49"/>
  <c r="T172" i="49"/>
  <c r="R1735" i="50"/>
  <c r="AF1770" i="50"/>
  <c r="Y177" i="49"/>
  <c r="BC196" i="49"/>
  <c r="AF1906" i="50"/>
  <c r="X1906" i="50" s="1"/>
  <c r="BH165" i="49"/>
  <c r="AS140" i="49"/>
  <c r="T2065" i="50"/>
  <c r="L2073" i="50"/>
  <c r="AX209" i="49"/>
  <c r="R1997" i="50"/>
  <c r="AN185" i="49"/>
  <c r="R1828" i="50"/>
  <c r="F1828" i="50" s="1"/>
  <c r="AS177" i="49"/>
  <c r="AF1772" i="50"/>
  <c r="T1772" i="50" s="1"/>
  <c r="X1884" i="50"/>
  <c r="H1857" i="50"/>
  <c r="L1596" i="50"/>
  <c r="P1596" i="50"/>
  <c r="J1596" i="50"/>
  <c r="N1596" i="50"/>
  <c r="F2074" i="50"/>
  <c r="T1954" i="50"/>
  <c r="O220" i="49"/>
  <c r="AF2070" i="50"/>
  <c r="BC185" i="49"/>
  <c r="AF1829" i="50"/>
  <c r="X1829" i="50" s="1"/>
  <c r="X2544" i="50" s="1"/>
  <c r="T178" i="49"/>
  <c r="R1777" i="50"/>
  <c r="AN191" i="49"/>
  <c r="R1870" i="50"/>
  <c r="N1870" i="50" s="1"/>
  <c r="AN198" i="49"/>
  <c r="R1919" i="50"/>
  <c r="AD204" i="49"/>
  <c r="AF1875" i="50"/>
  <c r="Y192" i="49"/>
  <c r="AF2029" i="50"/>
  <c r="Y214" i="49"/>
  <c r="AD177" i="49"/>
  <c r="R1771" i="50"/>
  <c r="AH1771" i="50" s="1"/>
  <c r="T185" i="49"/>
  <c r="R1826" i="50"/>
  <c r="AF451" i="50"/>
  <c r="Z451" i="50" s="1"/>
  <c r="Z1166" i="50" s="1"/>
  <c r="BC79" i="49"/>
  <c r="R465" i="50"/>
  <c r="AX81" i="49"/>
  <c r="AX104" i="49"/>
  <c r="AX93" i="49"/>
  <c r="R549" i="50"/>
  <c r="F1717" i="50"/>
  <c r="P1717" i="50"/>
  <c r="H1717" i="50"/>
  <c r="AF2028" i="50"/>
  <c r="O214" i="49"/>
  <c r="AF1892" i="50"/>
  <c r="BC194" i="49"/>
  <c r="AS217" i="49"/>
  <c r="AF2052" i="50"/>
  <c r="AS206" i="49"/>
  <c r="AF1975" i="50"/>
  <c r="AD1975" i="50" s="1"/>
  <c r="J164" i="49"/>
  <c r="R1678" i="50"/>
  <c r="AS213" i="49"/>
  <c r="AF2024" i="50"/>
  <c r="AF2084" i="50"/>
  <c r="AD2084" i="50" s="1"/>
  <c r="O222" i="49"/>
  <c r="BC155" i="49"/>
  <c r="AF1619" i="50"/>
  <c r="AB1619" i="50" s="1"/>
  <c r="AS174" i="49"/>
  <c r="AF1751" i="50"/>
  <c r="AD185" i="49"/>
  <c r="R1827" i="50"/>
  <c r="AN203" i="49"/>
  <c r="R1954" i="50"/>
  <c r="BC211" i="49"/>
  <c r="AF2011" i="50"/>
  <c r="AD2011" i="50" s="1"/>
  <c r="AD2726" i="50" s="1"/>
  <c r="AD3440" i="50" s="1"/>
  <c r="AB2100" i="50"/>
  <c r="H1930" i="50"/>
  <c r="P1930" i="50"/>
  <c r="X1514" i="50"/>
  <c r="V1514" i="50"/>
  <c r="AF507" i="50"/>
  <c r="BC87" i="49"/>
  <c r="R696" i="50"/>
  <c r="AX114" i="49"/>
  <c r="BC101" i="49"/>
  <c r="AF605" i="50"/>
  <c r="AF556" i="50"/>
  <c r="BC94" i="49"/>
  <c r="AF654" i="50"/>
  <c r="BC108" i="49"/>
  <c r="J1958" i="50"/>
  <c r="Z1660" i="50"/>
  <c r="X1660" i="50"/>
  <c r="AF423" i="50"/>
  <c r="BC75" i="49"/>
  <c r="AF1532" i="50"/>
  <c r="Y143" i="49"/>
  <c r="T151" i="49"/>
  <c r="R1588" i="50"/>
  <c r="N1588" i="50" s="1"/>
  <c r="BC158" i="49"/>
  <c r="AF1640" i="50"/>
  <c r="AS165" i="49"/>
  <c r="AF1688" i="50"/>
  <c r="V1842" i="50"/>
  <c r="T1842" i="50"/>
  <c r="AB1842" i="50"/>
  <c r="X1842" i="50"/>
  <c r="Z1842" i="50"/>
  <c r="BC190" i="49"/>
  <c r="AF1864" i="50"/>
  <c r="Z1864" i="50" s="1"/>
  <c r="Z2579" i="50" s="1"/>
  <c r="AD196" i="49"/>
  <c r="R1904" i="50"/>
  <c r="J218" i="49"/>
  <c r="R2056" i="50"/>
  <c r="Y133" i="49"/>
  <c r="AF1462" i="50"/>
  <c r="R1472" i="50"/>
  <c r="AX134" i="49"/>
  <c r="X2187" i="50" s="1"/>
  <c r="X2901" i="50" s="1"/>
  <c r="J146" i="49"/>
  <c r="R1552" i="50"/>
  <c r="T148" i="49"/>
  <c r="R1567" i="50"/>
  <c r="F1567" i="50" s="1"/>
  <c r="AF1612" i="50"/>
  <c r="T1612" i="50" s="1"/>
  <c r="BC154" i="49"/>
  <c r="J161" i="49"/>
  <c r="R1657" i="50"/>
  <c r="H1657" i="50" s="1"/>
  <c r="AF1871" i="50"/>
  <c r="V1871" i="50" s="1"/>
  <c r="V2586" i="50" s="1"/>
  <c r="V3300" i="50" s="1"/>
  <c r="BC191" i="49"/>
  <c r="AF1986" i="50"/>
  <c r="O208" i="49"/>
  <c r="AD168" i="49"/>
  <c r="R1708" i="50"/>
  <c r="H2137" i="50"/>
  <c r="H2852" i="50" s="1"/>
  <c r="H3566" i="50" s="1"/>
  <c r="F2137" i="50"/>
  <c r="F2852" i="50" s="1"/>
  <c r="V1512" i="50"/>
  <c r="Z1512" i="50"/>
  <c r="AN217" i="49"/>
  <c r="R2052" i="50"/>
  <c r="L2052" i="50" s="1"/>
  <c r="AI208" i="49"/>
  <c r="AF1988" i="50"/>
  <c r="AS153" i="49"/>
  <c r="AF1604" i="50"/>
  <c r="T1604" i="50" s="1"/>
  <c r="AI228" i="49"/>
  <c r="AF2128" i="50"/>
  <c r="H1937" i="50"/>
  <c r="F1937" i="50"/>
  <c r="AB1948" i="50"/>
  <c r="BC104" i="49"/>
  <c r="AF626" i="50"/>
  <c r="AB626" i="50" s="1"/>
  <c r="AF493" i="50"/>
  <c r="V493" i="50" s="1"/>
  <c r="BC85" i="49"/>
  <c r="AF598" i="50"/>
  <c r="BC100" i="49"/>
  <c r="AF696" i="50"/>
  <c r="AD696" i="50" s="1"/>
  <c r="BC114" i="49"/>
  <c r="AS194" i="49"/>
  <c r="AF1891" i="50"/>
  <c r="T1891" i="50" s="1"/>
  <c r="Y189" i="49"/>
  <c r="AF1854" i="50"/>
  <c r="T1854" i="50" s="1"/>
  <c r="AF1451" i="50"/>
  <c r="BC131" i="49"/>
  <c r="AF1477" i="50"/>
  <c r="X1477" i="50" s="1"/>
  <c r="AI135" i="49"/>
  <c r="R1549" i="50"/>
  <c r="AX145" i="49"/>
  <c r="AF1665" i="50"/>
  <c r="AB1665" i="50" s="1"/>
  <c r="Y162" i="49"/>
  <c r="BH168" i="49"/>
  <c r="L1864" i="50"/>
  <c r="L2579" i="50" s="1"/>
  <c r="L3293" i="50" s="1"/>
  <c r="V1668" i="50"/>
  <c r="AH1786" i="50"/>
  <c r="R2143" i="50"/>
  <c r="BL166" i="49"/>
  <c r="BL214" i="49"/>
  <c r="BH214" i="49"/>
  <c r="J158" i="49"/>
  <c r="BH157" i="49"/>
  <c r="BL151" i="49"/>
  <c r="AF2087" i="50"/>
  <c r="BL222" i="49"/>
  <c r="R1696" i="50"/>
  <c r="F1696" i="50" s="1"/>
  <c r="F2411" i="50" s="1"/>
  <c r="F3125" i="50" s="1"/>
  <c r="J198" i="49"/>
  <c r="R1916" i="50"/>
  <c r="P1916" i="50" s="1"/>
  <c r="R1682" i="50"/>
  <c r="H1682" i="50" s="1"/>
  <c r="AX164" i="49"/>
  <c r="R1601" i="50"/>
  <c r="N1601" i="50" s="1"/>
  <c r="AD229" i="49"/>
  <c r="R2135" i="50"/>
  <c r="AN218" i="49"/>
  <c r="R1577" i="50"/>
  <c r="AX149" i="49"/>
  <c r="AF1990" i="50"/>
  <c r="BC208" i="49"/>
  <c r="R1646" i="50"/>
  <c r="O134" i="49"/>
  <c r="BL134" i="49"/>
  <c r="BP134" i="49" s="1"/>
  <c r="R2030" i="50"/>
  <c r="AS201" i="49"/>
  <c r="T1940" i="50"/>
  <c r="T2655" i="50" s="1"/>
  <c r="N1680" i="50"/>
  <c r="J1680" i="50"/>
  <c r="R63" i="50"/>
  <c r="AD1786" i="50"/>
  <c r="BH230" i="49"/>
  <c r="BC166" i="49"/>
  <c r="AI214" i="49"/>
  <c r="AF1582" i="50"/>
  <c r="V1582" i="50" s="1"/>
  <c r="J214" i="49"/>
  <c r="R1629" i="50"/>
  <c r="R364" i="50"/>
  <c r="AN216" i="49"/>
  <c r="AF1843" i="50"/>
  <c r="BC187" i="49"/>
  <c r="BL176" i="49"/>
  <c r="AF1533" i="50"/>
  <c r="AB1533" i="50" s="1"/>
  <c r="AI143" i="49"/>
  <c r="BC230" i="49"/>
  <c r="BL230" i="49"/>
  <c r="BL139" i="49"/>
  <c r="AF1507" i="50"/>
  <c r="Z1507" i="50" s="1"/>
  <c r="AD193" i="49"/>
  <c r="R1883" i="50"/>
  <c r="H1883" i="50" s="1"/>
  <c r="O147" i="49"/>
  <c r="J216" i="49"/>
  <c r="BH216" i="49"/>
  <c r="AI197" i="49"/>
  <c r="AD217" i="49"/>
  <c r="AS155" i="49"/>
  <c r="N2003" i="50"/>
  <c r="P2003" i="50"/>
  <c r="AI184" i="49"/>
  <c r="J229" i="49"/>
  <c r="BH229" i="49"/>
  <c r="AF1898" i="50"/>
  <c r="AF1546" i="50"/>
  <c r="R1477" i="50"/>
  <c r="AD135" i="49"/>
  <c r="R2060" i="50"/>
  <c r="AX218" i="49"/>
  <c r="J1686" i="50"/>
  <c r="L1686" i="50"/>
  <c r="F1686" i="50"/>
  <c r="L1953" i="50"/>
  <c r="AD1672" i="50"/>
  <c r="T1897" i="50"/>
  <c r="F1482" i="50"/>
  <c r="AB1568" i="50"/>
  <c r="Z1568" i="50"/>
  <c r="V1752" i="50"/>
  <c r="L1650" i="50"/>
  <c r="R128" i="50"/>
  <c r="BH33" i="49"/>
  <c r="F2021" i="50"/>
  <c r="J1608" i="50"/>
  <c r="R275" i="50"/>
  <c r="BH54" i="49"/>
  <c r="BP54" i="49" s="1"/>
  <c r="BU54" i="49" s="1"/>
  <c r="R379" i="50"/>
  <c r="J1996" i="50"/>
  <c r="F1996" i="50"/>
  <c r="H1996" i="50"/>
  <c r="AH1996" i="50"/>
  <c r="L1996" i="50"/>
  <c r="N1996" i="50"/>
  <c r="P1996" i="50"/>
  <c r="P1777" i="50"/>
  <c r="N1777" i="50"/>
  <c r="H2053" i="50"/>
  <c r="P2053" i="50"/>
  <c r="J2053" i="50"/>
  <c r="T1925" i="50"/>
  <c r="AB1925" i="50"/>
  <c r="V1925" i="50"/>
  <c r="AB1524" i="50"/>
  <c r="AD1524" i="50"/>
  <c r="T1524" i="50"/>
  <c r="J1912" i="50"/>
  <c r="L1912" i="50"/>
  <c r="F2105" i="50"/>
  <c r="N2105" i="50"/>
  <c r="J2105" i="50"/>
  <c r="V1556" i="50"/>
  <c r="X1556" i="50"/>
  <c r="AD1556" i="50"/>
  <c r="AF2137" i="50"/>
  <c r="BL229" i="49"/>
  <c r="BC229" i="49"/>
  <c r="BC226" i="49"/>
  <c r="AF2116" i="50"/>
  <c r="AF2122" i="50"/>
  <c r="AB2122" i="50" s="1"/>
  <c r="AS227" i="49"/>
  <c r="AF2032" i="50"/>
  <c r="BC214" i="49"/>
  <c r="J169" i="49"/>
  <c r="R1713" i="50"/>
  <c r="J1713" i="50" s="1"/>
  <c r="AF2119" i="50"/>
  <c r="O227" i="49"/>
  <c r="AF1814" i="50"/>
  <c r="AS183" i="49"/>
  <c r="AF2129" i="50"/>
  <c r="AS228" i="49"/>
  <c r="AS202" i="49"/>
  <c r="AF1947" i="50"/>
  <c r="J174" i="49"/>
  <c r="R1748" i="50"/>
  <c r="AX131" i="49"/>
  <c r="V2166" i="50" s="1"/>
  <c r="V2880" i="50" s="1"/>
  <c r="R1451" i="50"/>
  <c r="L1451" i="50" s="1"/>
  <c r="R1507" i="50"/>
  <c r="P1507" i="50" s="1"/>
  <c r="AX139" i="49"/>
  <c r="AD142" i="49"/>
  <c r="R1526" i="50"/>
  <c r="AI147" i="49"/>
  <c r="AF1561" i="50"/>
  <c r="R1598" i="50"/>
  <c r="AX152" i="49"/>
  <c r="AN160" i="49"/>
  <c r="R1653" i="50"/>
  <c r="O169" i="49"/>
  <c r="AF1713" i="50"/>
  <c r="AB1713" i="50" s="1"/>
  <c r="AF1783" i="50"/>
  <c r="O179" i="49"/>
  <c r="AF1800" i="50"/>
  <c r="AB1800" i="50" s="1"/>
  <c r="AS181" i="49"/>
  <c r="AF1822" i="50"/>
  <c r="BC184" i="49"/>
  <c r="AS196" i="49"/>
  <c r="AF1905" i="50"/>
  <c r="X1905" i="50" s="1"/>
  <c r="AF1946" i="50"/>
  <c r="AI202" i="49"/>
  <c r="BL202" i="49"/>
  <c r="AD1610" i="50"/>
  <c r="AF1848" i="50"/>
  <c r="AI188" i="49"/>
  <c r="J207" i="49"/>
  <c r="R1979" i="50"/>
  <c r="F1979" i="50" s="1"/>
  <c r="AF2053" i="50"/>
  <c r="BC217" i="49"/>
  <c r="Y157" i="49"/>
  <c r="AF1630" i="50"/>
  <c r="J166" i="49"/>
  <c r="R1692" i="50"/>
  <c r="J175" i="49"/>
  <c r="R1755" i="50"/>
  <c r="P1755" i="50" s="1"/>
  <c r="AI207" i="49"/>
  <c r="AF1981" i="50"/>
  <c r="Z2038" i="50"/>
  <c r="P1743" i="50"/>
  <c r="L1743" i="50"/>
  <c r="N1743" i="50"/>
  <c r="J1573" i="50"/>
  <c r="F1573" i="50"/>
  <c r="P1573" i="50"/>
  <c r="L1573" i="50"/>
  <c r="AD2042" i="50"/>
  <c r="X2042" i="50"/>
  <c r="AB2042" i="50"/>
  <c r="Z2042" i="50"/>
  <c r="V2042" i="50"/>
  <c r="V2060" i="50"/>
  <c r="Z2060" i="50"/>
  <c r="X1601" i="50"/>
  <c r="AB1601" i="50"/>
  <c r="T1601" i="50"/>
  <c r="O217" i="49"/>
  <c r="AF2049" i="50"/>
  <c r="AI139" i="49"/>
  <c r="AF1505" i="50"/>
  <c r="T147" i="49"/>
  <c r="R1560" i="50"/>
  <c r="L1560" i="50" s="1"/>
  <c r="T150" i="49"/>
  <c r="R1581" i="50"/>
  <c r="T160" i="49"/>
  <c r="R1651" i="50"/>
  <c r="R1731" i="50"/>
  <c r="F1731" i="50" s="1"/>
  <c r="AX171" i="49"/>
  <c r="R1794" i="50"/>
  <c r="AX180" i="49"/>
  <c r="AN183" i="49"/>
  <c r="R1814" i="50"/>
  <c r="J194" i="49"/>
  <c r="R1888" i="50"/>
  <c r="AD200" i="49"/>
  <c r="R1932" i="50"/>
  <c r="AX213" i="49"/>
  <c r="R2025" i="50"/>
  <c r="BC132" i="49"/>
  <c r="AF1458" i="50"/>
  <c r="J134" i="49"/>
  <c r="R1468" i="50"/>
  <c r="BL140" i="49"/>
  <c r="AF1511" i="50"/>
  <c r="AH1511" i="50" s="1"/>
  <c r="Y140" i="49"/>
  <c r="AN143" i="49"/>
  <c r="R1534" i="50"/>
  <c r="BH143" i="49"/>
  <c r="BP143" i="49" s="1"/>
  <c r="J145" i="49"/>
  <c r="R1545" i="50"/>
  <c r="L1545" i="50" s="1"/>
  <c r="AS150" i="49"/>
  <c r="AF1583" i="50"/>
  <c r="R1619" i="50"/>
  <c r="AX155" i="49"/>
  <c r="AI157" i="49"/>
  <c r="AF1631" i="50"/>
  <c r="V1631" i="50" s="1"/>
  <c r="AN163" i="49"/>
  <c r="R1674" i="50"/>
  <c r="N1674" i="50" s="1"/>
  <c r="R1710" i="50"/>
  <c r="P1710" i="50" s="1"/>
  <c r="AX168" i="49"/>
  <c r="AN175" i="49"/>
  <c r="R1758" i="50"/>
  <c r="H1758" i="50" s="1"/>
  <c r="AF1805" i="50"/>
  <c r="Y182" i="49"/>
  <c r="O188" i="49"/>
  <c r="AF1846" i="50"/>
  <c r="X1846" i="50" s="1"/>
  <c r="AN200" i="49"/>
  <c r="R1933" i="50"/>
  <c r="F1933" i="50" s="1"/>
  <c r="AD210" i="49"/>
  <c r="R2002" i="50"/>
  <c r="J2002" i="50" s="1"/>
  <c r="AF2063" i="50"/>
  <c r="AD2063" i="50" s="1"/>
  <c r="O219" i="49"/>
  <c r="AD131" i="49"/>
  <c r="R1449" i="50"/>
  <c r="N1449" i="50" s="1"/>
  <c r="R1479" i="50"/>
  <c r="H1479" i="50" s="1"/>
  <c r="AX135" i="49"/>
  <c r="AF1667" i="50"/>
  <c r="AB1667" i="50" s="1"/>
  <c r="AS162" i="49"/>
  <c r="AF1839" i="50"/>
  <c r="O187" i="49"/>
  <c r="R1885" i="50"/>
  <c r="AX193" i="49"/>
  <c r="J224" i="49"/>
  <c r="R2098" i="50"/>
  <c r="AF1449" i="50"/>
  <c r="X1449" i="50" s="1"/>
  <c r="AI131" i="49"/>
  <c r="R1759" i="50"/>
  <c r="AX175" i="49"/>
  <c r="AF1885" i="50"/>
  <c r="V1885" i="50" s="1"/>
  <c r="BC193" i="49"/>
  <c r="O221" i="49"/>
  <c r="AF2077" i="50"/>
  <c r="AD227" i="49"/>
  <c r="R2121" i="50"/>
  <c r="T131" i="49"/>
  <c r="R1448" i="50"/>
  <c r="BL50" i="49"/>
  <c r="AH108" i="50"/>
  <c r="AH1556" i="50"/>
  <c r="F1735" i="50"/>
  <c r="AF528" i="50"/>
  <c r="BC90" i="49"/>
  <c r="BC112" i="49"/>
  <c r="AF682" i="50"/>
  <c r="AF591" i="50"/>
  <c r="BC99" i="49"/>
  <c r="AF486" i="50"/>
  <c r="Z486" i="50" s="1"/>
  <c r="BC84" i="49"/>
  <c r="AN168" i="49"/>
  <c r="R1709" i="50"/>
  <c r="F1709" i="50" s="1"/>
  <c r="AF1784" i="50"/>
  <c r="Y179" i="49"/>
  <c r="AS185" i="49"/>
  <c r="AF1828" i="50"/>
  <c r="T1828" i="50" s="1"/>
  <c r="AH44" i="50"/>
  <c r="AH85" i="50"/>
  <c r="AD1591" i="50"/>
  <c r="AD2306" i="50" s="1"/>
  <c r="AB1591" i="50"/>
  <c r="V1591" i="50"/>
  <c r="AF1646" i="50"/>
  <c r="BH200" i="49"/>
  <c r="AX140" i="49"/>
  <c r="AF1657" i="50"/>
  <c r="AH1657" i="50" s="1"/>
  <c r="BS132" i="49"/>
  <c r="B721" i="50"/>
  <c r="B728" i="50" s="1"/>
  <c r="B735" i="50" s="1"/>
  <c r="B742" i="50" s="1"/>
  <c r="B749" i="50" s="1"/>
  <c r="B756" i="50" s="1"/>
  <c r="B763" i="50" s="1"/>
  <c r="B770" i="50" s="1"/>
  <c r="B777" i="50" s="1"/>
  <c r="B784" i="50" s="1"/>
  <c r="B791" i="50" s="1"/>
  <c r="B798" i="50" s="1"/>
  <c r="B805" i="50" s="1"/>
  <c r="B812" i="50" s="1"/>
  <c r="B819" i="50" s="1"/>
  <c r="B826" i="50" s="1"/>
  <c r="B833" i="50" s="1"/>
  <c r="B840" i="50" s="1"/>
  <c r="B847" i="50" s="1"/>
  <c r="B854" i="50" s="1"/>
  <c r="B861" i="50" s="1"/>
  <c r="B868" i="50" s="1"/>
  <c r="B875" i="50" s="1"/>
  <c r="B882" i="50" s="1"/>
  <c r="B889" i="50" s="1"/>
  <c r="B896" i="50" s="1"/>
  <c r="B903" i="50" s="1"/>
  <c r="B910" i="50" s="1"/>
  <c r="B917" i="50" s="1"/>
  <c r="B924" i="50" s="1"/>
  <c r="B931" i="50" s="1"/>
  <c r="B938" i="50" s="1"/>
  <c r="B945" i="50" s="1"/>
  <c r="B952" i="50" s="1"/>
  <c r="B959" i="50" s="1"/>
  <c r="B966" i="50" s="1"/>
  <c r="B973" i="50" s="1"/>
  <c r="B980" i="50" s="1"/>
  <c r="B987" i="50" s="1"/>
  <c r="B994" i="50" s="1"/>
  <c r="B1001" i="50" s="1"/>
  <c r="B1008" i="50" s="1"/>
  <c r="B1015" i="50" s="1"/>
  <c r="B1022" i="50" s="1"/>
  <c r="B1029" i="50" s="1"/>
  <c r="B1036" i="50" s="1"/>
  <c r="B1043" i="50" s="1"/>
  <c r="B1050" i="50" s="1"/>
  <c r="B1057" i="50" s="1"/>
  <c r="B1064" i="50" s="1"/>
  <c r="B1071" i="50" s="1"/>
  <c r="B1078" i="50" s="1"/>
  <c r="B1085" i="50" s="1"/>
  <c r="B1092" i="50" s="1"/>
  <c r="B1099" i="50" s="1"/>
  <c r="B1106" i="50" s="1"/>
  <c r="B1113" i="50" s="1"/>
  <c r="B1120" i="50" s="1"/>
  <c r="B1127" i="50" s="1"/>
  <c r="B1134" i="50" s="1"/>
  <c r="B1141" i="50" s="1"/>
  <c r="B1148" i="50" s="1"/>
  <c r="B1155" i="50" s="1"/>
  <c r="B1162" i="50" s="1"/>
  <c r="B1169" i="50" s="1"/>
  <c r="B1176" i="50" s="1"/>
  <c r="B1183" i="50" s="1"/>
  <c r="B1190" i="50" s="1"/>
  <c r="B1197" i="50" s="1"/>
  <c r="B1204" i="50" s="1"/>
  <c r="B1211" i="50" s="1"/>
  <c r="B1218" i="50" s="1"/>
  <c r="B1225" i="50" s="1"/>
  <c r="B1232" i="50" s="1"/>
  <c r="B1239" i="50" s="1"/>
  <c r="B1246" i="50" s="1"/>
  <c r="B1253" i="50" s="1"/>
  <c r="B1260" i="50" s="1"/>
  <c r="B1267" i="50" s="1"/>
  <c r="B1274" i="50" s="1"/>
  <c r="B1281" i="50" s="1"/>
  <c r="B1288" i="50" s="1"/>
  <c r="B1295" i="50" s="1"/>
  <c r="B1302" i="50" s="1"/>
  <c r="B1309" i="50" s="1"/>
  <c r="B1316" i="50" s="1"/>
  <c r="B1323" i="50" s="1"/>
  <c r="B1330" i="50" s="1"/>
  <c r="B1337" i="50" s="1"/>
  <c r="B1344" i="50" s="1"/>
  <c r="B1351" i="50" s="1"/>
  <c r="B1358" i="50" s="1"/>
  <c r="B1365" i="50" s="1"/>
  <c r="B1372" i="50" s="1"/>
  <c r="B1379" i="50" s="1"/>
  <c r="B1386" i="50" s="1"/>
  <c r="B1393" i="50" s="1"/>
  <c r="B1400" i="50" s="1"/>
  <c r="B1407" i="50" s="1"/>
  <c r="B1414" i="50" s="1"/>
  <c r="C2904" i="50"/>
  <c r="BG132" i="49"/>
  <c r="H132" i="49"/>
  <c r="C1496" i="50"/>
  <c r="C2211" i="50" s="1"/>
  <c r="C1461" i="50"/>
  <c r="C2176" i="50" s="1"/>
  <c r="H2173" i="50"/>
  <c r="H2887" i="50" s="1"/>
  <c r="C735" i="50"/>
  <c r="C721" i="50"/>
  <c r="D96" i="50"/>
  <c r="BS142" i="49"/>
  <c r="C2953" i="50"/>
  <c r="AH92" i="50"/>
  <c r="AH77" i="50"/>
  <c r="C791" i="50"/>
  <c r="C2946" i="50"/>
  <c r="D2960" i="50"/>
  <c r="C2939" i="50"/>
  <c r="C1510" i="50"/>
  <c r="C2225" i="50" s="1"/>
  <c r="D798" i="50"/>
  <c r="C728" i="50"/>
  <c r="C1454" i="50"/>
  <c r="C2169" i="50" s="1"/>
  <c r="D763" i="50"/>
  <c r="AB1686" i="50"/>
  <c r="V1686" i="50"/>
  <c r="AD1686" i="50"/>
  <c r="F2000" i="50"/>
  <c r="X1773" i="50"/>
  <c r="AB1773" i="50"/>
  <c r="Z1773" i="50"/>
  <c r="AD1773" i="50"/>
  <c r="P1477" i="50"/>
  <c r="AB1951" i="50"/>
  <c r="T1951" i="50"/>
  <c r="Z1951" i="50"/>
  <c r="X1951" i="50"/>
  <c r="AD1951" i="50"/>
  <c r="Z1686" i="50"/>
  <c r="L2000" i="50"/>
  <c r="X1686" i="50"/>
  <c r="V1773" i="50"/>
  <c r="V1951" i="50"/>
  <c r="P1528" i="50"/>
  <c r="AD1771" i="50"/>
  <c r="T1773" i="50"/>
  <c r="N1864" i="50"/>
  <c r="N2579" i="50" s="1"/>
  <c r="T1668" i="50"/>
  <c r="X1668" i="50"/>
  <c r="T1548" i="50"/>
  <c r="J1808" i="50"/>
  <c r="J1765" i="50"/>
  <c r="T1841" i="50"/>
  <c r="V1841" i="50"/>
  <c r="AH1686" i="50"/>
  <c r="H1686" i="50"/>
  <c r="BH190" i="49"/>
  <c r="O203" i="49"/>
  <c r="Y145" i="49"/>
  <c r="J210" i="49"/>
  <c r="R1595" i="50"/>
  <c r="BL165" i="49"/>
  <c r="H2003" i="50"/>
  <c r="F2003" i="50"/>
  <c r="BH135" i="49"/>
  <c r="BP135" i="49" s="1"/>
  <c r="AF1555" i="50"/>
  <c r="AF1853" i="50"/>
  <c r="V1853" i="50" s="1"/>
  <c r="R1654" i="50"/>
  <c r="N1654" i="50" s="1"/>
  <c r="R2051" i="50"/>
  <c r="BH171" i="49"/>
  <c r="BH199" i="49"/>
  <c r="J142" i="49"/>
  <c r="R2115" i="50"/>
  <c r="BH197" i="49"/>
  <c r="Y217" i="49"/>
  <c r="AS172" i="49"/>
  <c r="BL172" i="49"/>
  <c r="AF1890" i="50"/>
  <c r="AB1890" i="50" s="1"/>
  <c r="AI194" i="49"/>
  <c r="Y178" i="49"/>
  <c r="AS147" i="49"/>
  <c r="AF2095" i="50"/>
  <c r="X2095" i="50" s="1"/>
  <c r="X2810" i="50" s="1"/>
  <c r="X3524" i="50" s="1"/>
  <c r="BC223" i="49"/>
  <c r="Y170" i="49"/>
  <c r="AF1721" i="50"/>
  <c r="AD1721" i="50" s="1"/>
  <c r="R1471" i="50"/>
  <c r="AN134" i="49"/>
  <c r="Y216" i="49"/>
  <c r="R2114" i="50"/>
  <c r="BH226" i="49"/>
  <c r="Y204" i="49"/>
  <c r="BL204" i="49"/>
  <c r="AF1874" i="50"/>
  <c r="Z1874" i="50" s="1"/>
  <c r="BL192" i="49"/>
  <c r="O192" i="49"/>
  <c r="R2080" i="50"/>
  <c r="H2080" i="50" s="1"/>
  <c r="BH221" i="49"/>
  <c r="R1986" i="50"/>
  <c r="J1986" i="50" s="1"/>
  <c r="BH208" i="49"/>
  <c r="AN184" i="49"/>
  <c r="R1821" i="50"/>
  <c r="L1821" i="50" s="1"/>
  <c r="BH173" i="49"/>
  <c r="AX173" i="49"/>
  <c r="R1587" i="50"/>
  <c r="F1587" i="50" s="1"/>
  <c r="Y137" i="49"/>
  <c r="AF1490" i="50"/>
  <c r="T1490" i="50" s="1"/>
  <c r="AD208" i="49"/>
  <c r="R1988" i="50"/>
  <c r="L1988" i="50" s="1"/>
  <c r="BH175" i="49"/>
  <c r="R1757" i="50"/>
  <c r="BH146" i="49"/>
  <c r="R1553" i="50"/>
  <c r="L1553" i="50" s="1"/>
  <c r="BL132" i="49"/>
  <c r="AS132" i="49"/>
  <c r="AS220" i="49"/>
  <c r="BL220" i="49"/>
  <c r="BP220" i="49" s="1"/>
  <c r="BU220" i="49" s="1"/>
  <c r="BH201" i="49"/>
  <c r="R1939" i="50"/>
  <c r="AF1728" i="50"/>
  <c r="Z1728" i="50" s="1"/>
  <c r="Y171" i="49"/>
  <c r="BH156" i="49"/>
  <c r="BP156" i="49" s="1"/>
  <c r="BU156" i="49" s="1"/>
  <c r="AN156" i="49"/>
  <c r="BL221" i="49"/>
  <c r="AS221" i="49"/>
  <c r="AF2080" i="50"/>
  <c r="AF1895" i="50"/>
  <c r="O195" i="49"/>
  <c r="R1751" i="50"/>
  <c r="L1751" i="50" s="1"/>
  <c r="AN174" i="49"/>
  <c r="AB1696" i="50"/>
  <c r="AB2411" i="50" s="1"/>
  <c r="AB3125" i="50" s="1"/>
  <c r="P1864" i="50"/>
  <c r="P2579" i="50" s="1"/>
  <c r="P3293" i="50" s="1"/>
  <c r="X1548" i="50"/>
  <c r="P1808" i="50"/>
  <c r="J1953" i="50"/>
  <c r="AD1841" i="50"/>
  <c r="N1686" i="50"/>
  <c r="BL177" i="49"/>
  <c r="R1730" i="50"/>
  <c r="BL203" i="49"/>
  <c r="AF1995" i="50"/>
  <c r="AF2109" i="50"/>
  <c r="V2109" i="50" s="1"/>
  <c r="V2824" i="50" s="1"/>
  <c r="V3538" i="50" s="1"/>
  <c r="BL145" i="49"/>
  <c r="AF1589" i="50"/>
  <c r="X1589" i="50" s="1"/>
  <c r="BC177" i="49"/>
  <c r="BH210" i="49"/>
  <c r="BP210" i="49" s="1"/>
  <c r="BU210" i="49" s="1"/>
  <c r="R2133" i="50"/>
  <c r="Y165" i="49"/>
  <c r="L2003" i="50"/>
  <c r="AF2079" i="50"/>
  <c r="AD2079" i="50" s="1"/>
  <c r="T135" i="49"/>
  <c r="O189" i="49"/>
  <c r="BL146" i="49"/>
  <c r="BP146" i="49" s="1"/>
  <c r="AF2043" i="50"/>
  <c r="AD2043" i="50" s="1"/>
  <c r="AD157" i="49"/>
  <c r="BH211" i="49"/>
  <c r="BP211" i="49" s="1"/>
  <c r="BU211" i="49" s="1"/>
  <c r="BH228" i="49"/>
  <c r="BL180" i="49"/>
  <c r="BH133" i="49"/>
  <c r="BH185" i="49"/>
  <c r="BH155" i="49"/>
  <c r="R1664" i="50"/>
  <c r="J1664" i="50" s="1"/>
  <c r="AN221" i="49"/>
  <c r="P1686" i="50"/>
  <c r="BL225" i="49"/>
  <c r="AI180" i="49"/>
  <c r="R1463" i="50"/>
  <c r="R1829" i="50"/>
  <c r="T155" i="49"/>
  <c r="J162" i="49"/>
  <c r="R1660" i="50"/>
  <c r="Z1518" i="50"/>
  <c r="AB1518" i="50"/>
  <c r="AD1518" i="50"/>
  <c r="T1518" i="50"/>
  <c r="AH1518" i="50"/>
  <c r="X1518" i="50"/>
  <c r="V1518" i="50"/>
  <c r="T1763" i="50"/>
  <c r="X1763" i="50"/>
  <c r="V1763" i="50"/>
  <c r="Z1763" i="50"/>
  <c r="AD1763" i="50"/>
  <c r="AB1763" i="50"/>
  <c r="AH1763" i="50"/>
  <c r="T1622" i="50"/>
  <c r="X1622" i="50"/>
  <c r="AB1622" i="50"/>
  <c r="AD1622" i="50"/>
  <c r="V1622" i="50"/>
  <c r="Z1622" i="50"/>
  <c r="AD1848" i="50"/>
  <c r="AB2060" i="50"/>
  <c r="J183" i="49"/>
  <c r="Y141" i="49"/>
  <c r="AN164" i="49"/>
  <c r="AH50" i="50"/>
  <c r="BL58" i="49"/>
  <c r="Z1906" i="50"/>
  <c r="AI1647" i="50"/>
  <c r="AI1664" i="50"/>
  <c r="AI1671" i="50"/>
  <c r="AI2087" i="50"/>
  <c r="AI1993" i="50"/>
  <c r="T1658" i="50"/>
  <c r="AD1658" i="50"/>
  <c r="Z1658" i="50"/>
  <c r="V1658" i="50"/>
  <c r="AB1966" i="50"/>
  <c r="V1966" i="50"/>
  <c r="P1974" i="50"/>
  <c r="F1497" i="50"/>
  <c r="P1682" i="50"/>
  <c r="Z1618" i="50"/>
  <c r="X1618" i="50"/>
  <c r="N1602" i="50"/>
  <c r="F1602" i="50"/>
  <c r="P1602" i="50"/>
  <c r="P1631" i="50"/>
  <c r="N1631" i="50"/>
  <c r="H1631" i="50"/>
  <c r="H2007" i="50"/>
  <c r="T1562" i="50"/>
  <c r="X1475" i="50"/>
  <c r="V1940" i="50"/>
  <c r="AD1940" i="50"/>
  <c r="AD2655" i="50" s="1"/>
  <c r="AD3369" i="50" s="1"/>
  <c r="AH1940" i="50"/>
  <c r="AH2030" i="50"/>
  <c r="AB2101" i="50"/>
  <c r="T2101" i="50"/>
  <c r="AD1769" i="50"/>
  <c r="T1952" i="50"/>
  <c r="AH2073" i="50"/>
  <c r="X2073" i="50"/>
  <c r="Z2073" i="50"/>
  <c r="Z1454" i="50"/>
  <c r="AD1454" i="50"/>
  <c r="X1454" i="50"/>
  <c r="AH1454" i="50"/>
  <c r="BH142" i="49"/>
  <c r="AE116" i="49"/>
  <c r="F1661" i="50"/>
  <c r="F2376" i="50" s="1"/>
  <c r="J1661" i="50"/>
  <c r="J2376" i="50" s="1"/>
  <c r="J3090" i="50" s="1"/>
  <c r="N1661" i="50"/>
  <c r="L1661" i="50"/>
  <c r="L2376" i="50" s="1"/>
  <c r="L3090" i="50" s="1"/>
  <c r="H1661" i="50"/>
  <c r="H2376" i="50" s="1"/>
  <c r="H3090" i="50" s="1"/>
  <c r="X1727" i="50"/>
  <c r="T1727" i="50"/>
  <c r="Z1727" i="50"/>
  <c r="AD1727" i="50"/>
  <c r="P1612" i="50"/>
  <c r="P2327" i="50" s="1"/>
  <c r="P3041" i="50" s="1"/>
  <c r="X1553" i="50"/>
  <c r="AD1794" i="50"/>
  <c r="AD2509" i="50" s="1"/>
  <c r="AD3223" i="50" s="1"/>
  <c r="T1794" i="50"/>
  <c r="T2509" i="50" s="1"/>
  <c r="T3223" i="50" s="1"/>
  <c r="X1794" i="50"/>
  <c r="V19" i="32"/>
  <c r="T5" i="32"/>
  <c r="T22" i="32"/>
  <c r="J1700" i="50"/>
  <c r="X2015" i="50"/>
  <c r="V2015" i="50"/>
  <c r="N1652" i="50"/>
  <c r="J1652" i="50"/>
  <c r="P1652" i="50"/>
  <c r="H1652" i="50"/>
  <c r="T1492" i="50"/>
  <c r="Z1492" i="50"/>
  <c r="J1783" i="50"/>
  <c r="L1688" i="50"/>
  <c r="H1688" i="50"/>
  <c r="N1981" i="50"/>
  <c r="AH1981" i="50"/>
  <c r="P1981" i="50"/>
  <c r="J1981" i="50"/>
  <c r="H1981" i="50"/>
  <c r="AH1734" i="50"/>
  <c r="N1734" i="50"/>
  <c r="H1734" i="50"/>
  <c r="P1734" i="50"/>
  <c r="L1734" i="50"/>
  <c r="F1734" i="50"/>
  <c r="Z2017" i="50"/>
  <c r="H1968" i="50"/>
  <c r="P1478" i="50"/>
  <c r="H1478" i="50"/>
  <c r="J1478" i="50"/>
  <c r="J1819" i="50"/>
  <c r="J1525" i="50"/>
  <c r="AF268" i="50"/>
  <c r="AF625" i="50"/>
  <c r="BL104" i="49"/>
  <c r="AF379" i="50"/>
  <c r="BL69" i="49"/>
  <c r="H2077" i="50"/>
  <c r="J2077" i="50"/>
  <c r="P2077" i="50"/>
  <c r="L2077" i="50"/>
  <c r="N2077" i="50"/>
  <c r="F2077" i="50"/>
  <c r="AD1987" i="50"/>
  <c r="J1807" i="50"/>
  <c r="L2049" i="50"/>
  <c r="F2049" i="50"/>
  <c r="V2072" i="50"/>
  <c r="BL105" i="49"/>
  <c r="BC43" i="49"/>
  <c r="BH107" i="49"/>
  <c r="BP107" i="49" s="1"/>
  <c r="BU107" i="49" s="1"/>
  <c r="BL57" i="49"/>
  <c r="BH56" i="49"/>
  <c r="BC40" i="49"/>
  <c r="V1496" i="50"/>
  <c r="AB1496" i="50"/>
  <c r="Z1496" i="50"/>
  <c r="BL82" i="49"/>
  <c r="BL44" i="49"/>
  <c r="AX30" i="49"/>
  <c r="BL101" i="49"/>
  <c r="AJ116" i="49"/>
  <c r="J193" i="49"/>
  <c r="R1881" i="50"/>
  <c r="AF1930" i="50"/>
  <c r="O200" i="49"/>
  <c r="AF1974" i="50"/>
  <c r="AI206" i="49"/>
  <c r="AF2067" i="50"/>
  <c r="AB2067" i="50" s="1"/>
  <c r="AB2782" i="50" s="1"/>
  <c r="AB3496" i="50" s="1"/>
  <c r="BC219" i="49"/>
  <c r="AN227" i="49"/>
  <c r="R2122" i="50"/>
  <c r="X2113" i="50"/>
  <c r="AH2113" i="50"/>
  <c r="AX84" i="49"/>
  <c r="R486" i="50"/>
  <c r="V1486" i="50"/>
  <c r="Z1486" i="50"/>
  <c r="T1805" i="50"/>
  <c r="AB2112" i="50"/>
  <c r="Z2112" i="50"/>
  <c r="AH1573" i="50"/>
  <c r="V1573" i="50"/>
  <c r="AB1573" i="50"/>
  <c r="T1573" i="50"/>
  <c r="X1573" i="50"/>
  <c r="P1520" i="50"/>
  <c r="H1520" i="50"/>
  <c r="F1520" i="50"/>
  <c r="J1520" i="50"/>
  <c r="L1520" i="50"/>
  <c r="AH1520" i="50"/>
  <c r="J1678" i="50"/>
  <c r="N1678" i="50"/>
  <c r="BC76" i="49"/>
  <c r="AF430" i="50"/>
  <c r="AB430" i="50" s="1"/>
  <c r="H1584" i="50"/>
  <c r="H2299" i="50" s="1"/>
  <c r="H3013" i="50" s="1"/>
  <c r="F1584" i="50"/>
  <c r="Z1833" i="50"/>
  <c r="T1833" i="50"/>
  <c r="X1833" i="50"/>
  <c r="BC199" i="49"/>
  <c r="AF1927" i="50"/>
  <c r="AD218" i="49"/>
  <c r="R2058" i="50"/>
  <c r="P2058" i="50" s="1"/>
  <c r="J225" i="49"/>
  <c r="BH225" i="49"/>
  <c r="AF1882" i="50"/>
  <c r="AN1887" i="50" s="1"/>
  <c r="Y193" i="49"/>
  <c r="AF2106" i="50"/>
  <c r="Y225" i="49"/>
  <c r="AN178" i="49"/>
  <c r="R1779" i="50"/>
  <c r="P1779" i="50" s="1"/>
  <c r="V1883" i="50"/>
  <c r="N2093" i="50"/>
  <c r="F2056" i="50"/>
  <c r="X1647" i="50"/>
  <c r="X2362" i="50" s="1"/>
  <c r="X3076" i="50" s="1"/>
  <c r="Z1647" i="50"/>
  <c r="D28" i="35"/>
  <c r="B87" i="35"/>
  <c r="D48" i="35"/>
  <c r="D38" i="35"/>
  <c r="D58" i="35"/>
  <c r="D77" i="35"/>
  <c r="I41" i="35"/>
  <c r="I43" i="35" s="1"/>
  <c r="I61" i="35"/>
  <c r="I22" i="35"/>
  <c r="H79" i="32"/>
  <c r="J79" i="32"/>
  <c r="AD1779" i="50"/>
  <c r="Z1779" i="50"/>
  <c r="X1779" i="50"/>
  <c r="N1647" i="50"/>
  <c r="P1647" i="50"/>
  <c r="P2362" i="50" s="1"/>
  <c r="P3076" i="50" s="1"/>
  <c r="F1647" i="50"/>
  <c r="AB1884" i="50"/>
  <c r="AD1660" i="50"/>
  <c r="AB1660" i="50"/>
  <c r="AF619" i="50"/>
  <c r="AB619" i="50" s="1"/>
  <c r="BC103" i="49"/>
  <c r="V2038" i="50"/>
  <c r="T2038" i="50"/>
  <c r="N1960" i="50"/>
  <c r="T1609" i="50"/>
  <c r="Z1545" i="50"/>
  <c r="X1545" i="50"/>
  <c r="BC96" i="49"/>
  <c r="AF570" i="50"/>
  <c r="AV16" i="61"/>
  <c r="AS17" i="61"/>
  <c r="M43" i="35"/>
  <c r="O119" i="57"/>
  <c r="J126" i="35"/>
  <c r="K51" i="38"/>
  <c r="AS199" i="49"/>
  <c r="AF1926" i="50"/>
  <c r="AD1926" i="50" s="1"/>
  <c r="AF1808" i="50"/>
  <c r="AB1808" i="50" s="1"/>
  <c r="BC182" i="49"/>
  <c r="R1493" i="50"/>
  <c r="AX137" i="49"/>
  <c r="F1966" i="50"/>
  <c r="H1966" i="50"/>
  <c r="L2120" i="50"/>
  <c r="J2120" i="50"/>
  <c r="H2120" i="50"/>
  <c r="T2007" i="50"/>
  <c r="BC98" i="49"/>
  <c r="V1601" i="50"/>
  <c r="T104" i="57"/>
  <c r="T108" i="57"/>
  <c r="T106" i="57"/>
  <c r="G107" i="35"/>
  <c r="H107" i="35"/>
  <c r="T112" i="57"/>
  <c r="J119" i="57"/>
  <c r="AS187" i="49"/>
  <c r="Z2007" i="50"/>
  <c r="BC102" i="49"/>
  <c r="Z1601" i="50"/>
  <c r="D80" i="32"/>
  <c r="D81" i="32" s="1"/>
  <c r="F61" i="35"/>
  <c r="F63" i="35" s="1"/>
  <c r="F41" i="35"/>
  <c r="F42" i="35" s="1"/>
  <c r="F22" i="35"/>
  <c r="F31" i="35"/>
  <c r="K92" i="35"/>
  <c r="K125" i="35" s="1"/>
  <c r="D16" i="32"/>
  <c r="C26" i="51"/>
  <c r="D26" i="51" s="1"/>
  <c r="AF1661" i="50"/>
  <c r="T1661" i="50" s="1"/>
  <c r="T2376" i="50" s="1"/>
  <c r="T3090" i="50" s="1"/>
  <c r="BC161" i="49"/>
  <c r="J156" i="49"/>
  <c r="R1622" i="50"/>
  <c r="AF1498" i="50"/>
  <c r="V1498" i="50" s="1"/>
  <c r="AF1961" i="50"/>
  <c r="V1961" i="50" s="1"/>
  <c r="R1464" i="50"/>
  <c r="BQ169" i="49"/>
  <c r="F1952" i="50"/>
  <c r="J1952" i="50"/>
  <c r="T535" i="50"/>
  <c r="V535" i="50"/>
  <c r="X535" i="50"/>
  <c r="Z535" i="50"/>
  <c r="AB535" i="50"/>
  <c r="AD535" i="50"/>
  <c r="H128" i="48"/>
  <c r="M100" i="48"/>
  <c r="M128" i="48"/>
  <c r="F100" i="48"/>
  <c r="J72" i="48"/>
  <c r="H72" i="48"/>
  <c r="H39" i="48"/>
  <c r="S100" i="48"/>
  <c r="F39" i="48"/>
  <c r="AF1801" i="50"/>
  <c r="X1801" i="50" s="1"/>
  <c r="X2516" i="50" s="1"/>
  <c r="X3230" i="50" s="1"/>
  <c r="BQ148" i="49"/>
  <c r="BQ182" i="49"/>
  <c r="H1882" i="50"/>
  <c r="P1882" i="50"/>
  <c r="N2015" i="50"/>
  <c r="H2015" i="50"/>
  <c r="Y120" i="48"/>
  <c r="AA123" i="48" s="1"/>
  <c r="O120" i="48"/>
  <c r="AI1528" i="50"/>
  <c r="AI1706" i="50"/>
  <c r="BL179" i="49"/>
  <c r="BP179" i="49" s="1"/>
  <c r="BU179" i="49" s="1"/>
  <c r="BL195" i="49"/>
  <c r="BP195" i="49" s="1"/>
  <c r="BU195" i="49" s="1"/>
  <c r="AB1581" i="50"/>
  <c r="X1581" i="50"/>
  <c r="AD1581" i="50"/>
  <c r="T1581" i="50"/>
  <c r="X2051" i="50"/>
  <c r="V2051" i="50"/>
  <c r="AD2051" i="50"/>
  <c r="AB2051" i="50"/>
  <c r="J1724" i="50"/>
  <c r="J2439" i="50" s="1"/>
  <c r="J3153" i="50" s="1"/>
  <c r="L1724" i="50"/>
  <c r="H1724" i="50"/>
  <c r="P1724" i="50"/>
  <c r="N1724" i="50"/>
  <c r="F1724" i="50"/>
  <c r="F2439" i="50" s="1"/>
  <c r="F3153" i="50" s="1"/>
  <c r="AB2029" i="50"/>
  <c r="J165" i="49"/>
  <c r="AN148" i="49"/>
  <c r="AF1484" i="50"/>
  <c r="T1484" i="50" s="1"/>
  <c r="AD148" i="49"/>
  <c r="AH1581" i="50"/>
  <c r="AF1919" i="50"/>
  <c r="AB1919" i="50" s="1"/>
  <c r="AS143" i="49"/>
  <c r="AF1580" i="50"/>
  <c r="R2128" i="50"/>
  <c r="H2128" i="50" s="1"/>
  <c r="BL171" i="49"/>
  <c r="BP171" i="49" s="1"/>
  <c r="BU171" i="49" s="1"/>
  <c r="AD201" i="49"/>
  <c r="AF1457" i="50"/>
  <c r="T146" i="49"/>
  <c r="AD175" i="49"/>
  <c r="J151" i="49"/>
  <c r="R1745" i="50"/>
  <c r="H1745" i="50" s="1"/>
  <c r="J208" i="49"/>
  <c r="AF2050" i="50"/>
  <c r="T2050" i="50" s="1"/>
  <c r="AB1454" i="50"/>
  <c r="H563" i="50"/>
  <c r="T696" i="50"/>
  <c r="V696" i="50"/>
  <c r="Z696" i="50"/>
  <c r="X2122" i="50"/>
  <c r="AD1451" i="50"/>
  <c r="AD1477" i="50"/>
  <c r="Z1477" i="50"/>
  <c r="V1478" i="50"/>
  <c r="AB1478" i="50"/>
  <c r="AD1478" i="50"/>
  <c r="T1659" i="50"/>
  <c r="V1659" i="50"/>
  <c r="AB1659" i="50"/>
  <c r="AD1659" i="50"/>
  <c r="Z1659" i="50"/>
  <c r="X1659" i="50"/>
  <c r="AB1671" i="50"/>
  <c r="Z1671" i="50"/>
  <c r="X1671" i="50"/>
  <c r="Z1587" i="50"/>
  <c r="X1587" i="50"/>
  <c r="X1667" i="50"/>
  <c r="X1730" i="50"/>
  <c r="AD1730" i="50"/>
  <c r="L1885" i="50"/>
  <c r="P1885" i="50"/>
  <c r="P2600" i="50" s="1"/>
  <c r="P3314" i="50" s="1"/>
  <c r="V458" i="50"/>
  <c r="T458" i="50"/>
  <c r="AD458" i="50"/>
  <c r="AB458" i="50"/>
  <c r="T591" i="50"/>
  <c r="V591" i="50"/>
  <c r="V1306" i="50" s="1"/>
  <c r="X591" i="50"/>
  <c r="X1306" i="50" s="1"/>
  <c r="Z591" i="50"/>
  <c r="Z1306" i="50" s="1"/>
  <c r="AB591" i="50"/>
  <c r="AB1306" i="50" s="1"/>
  <c r="AD591" i="50"/>
  <c r="AD1306" i="50" s="1"/>
  <c r="AD1800" i="50"/>
  <c r="V1800" i="50"/>
  <c r="Z1800" i="50"/>
  <c r="X1800" i="50"/>
  <c r="H1710" i="50"/>
  <c r="H2425" i="50" s="1"/>
  <c r="H3139" i="50" s="1"/>
  <c r="AB1472" i="50"/>
  <c r="AB2187" i="50" s="1"/>
  <c r="AB2901" i="50" s="1"/>
  <c r="X1472" i="50"/>
  <c r="V1472" i="50"/>
  <c r="Z1912" i="50"/>
  <c r="V1912" i="50"/>
  <c r="AD2039" i="50"/>
  <c r="V2039" i="50"/>
  <c r="Z2039" i="50"/>
  <c r="H1843" i="50"/>
  <c r="H2558" i="50" s="1"/>
  <c r="H3272" i="50" s="1"/>
  <c r="P1843" i="50"/>
  <c r="P2558" i="50" s="1"/>
  <c r="P3272" i="50" s="1"/>
  <c r="J1843" i="50"/>
  <c r="J2558" i="50" s="1"/>
  <c r="J3272" i="50" s="1"/>
  <c r="Z1996" i="50"/>
  <c r="X1996" i="50"/>
  <c r="V1996" i="50"/>
  <c r="AB1526" i="50"/>
  <c r="T1526" i="50"/>
  <c r="V1526" i="50"/>
  <c r="X1526" i="50"/>
  <c r="L1568" i="50"/>
  <c r="N1568" i="50"/>
  <c r="J1568" i="50"/>
  <c r="H1568" i="50"/>
  <c r="T1695" i="50"/>
  <c r="V1695" i="50"/>
  <c r="T1602" i="50"/>
  <c r="V1674" i="50"/>
  <c r="AD1674" i="50"/>
  <c r="X1674" i="50"/>
  <c r="AB1674" i="50"/>
  <c r="AD1888" i="50"/>
  <c r="T493" i="50"/>
  <c r="AD493" i="50"/>
  <c r="AB493" i="50"/>
  <c r="Z2143" i="50"/>
  <c r="T2143" i="50"/>
  <c r="AB2143" i="50"/>
  <c r="AD2143" i="50"/>
  <c r="X2143" i="50"/>
  <c r="V2143" i="50"/>
  <c r="N1507" i="50"/>
  <c r="H1794" i="50"/>
  <c r="H2509" i="50" s="1"/>
  <c r="H3223" i="50" s="1"/>
  <c r="J1794" i="50"/>
  <c r="J2509" i="50" s="1"/>
  <c r="J3223" i="50" s="1"/>
  <c r="P1794" i="50"/>
  <c r="P2509" i="50" s="1"/>
  <c r="P3223" i="50" s="1"/>
  <c r="F1794" i="50"/>
  <c r="F2509" i="50" s="1"/>
  <c r="F3223" i="50" s="1"/>
  <c r="V1612" i="50"/>
  <c r="V2327" i="50" s="1"/>
  <c r="V3041" i="50" s="1"/>
  <c r="T1629" i="50"/>
  <c r="Z1629" i="50"/>
  <c r="X1629" i="50"/>
  <c r="AH1871" i="50"/>
  <c r="V2063" i="50"/>
  <c r="X1534" i="50"/>
  <c r="AB1534" i="50"/>
  <c r="T1534" i="50"/>
  <c r="Z1534" i="50"/>
  <c r="AD1534" i="50"/>
  <c r="V1534" i="50"/>
  <c r="L1640" i="50"/>
  <c r="L2355" i="50" s="1"/>
  <c r="L3069" i="50" s="1"/>
  <c r="P1976" i="50"/>
  <c r="P2691" i="50" s="1"/>
  <c r="P3405" i="50" s="1"/>
  <c r="H1976" i="50"/>
  <c r="H2691" i="50" s="1"/>
  <c r="H3405" i="50" s="1"/>
  <c r="F1976" i="50"/>
  <c r="F2691" i="50" s="1"/>
  <c r="F3405" i="50" s="1"/>
  <c r="F451" i="50"/>
  <c r="F1166" i="50" s="1"/>
  <c r="L451" i="50"/>
  <c r="L1166" i="50" s="1"/>
  <c r="N451" i="50"/>
  <c r="N1166" i="50" s="1"/>
  <c r="H500" i="50"/>
  <c r="H1215" i="50" s="1"/>
  <c r="L500" i="50"/>
  <c r="L1215" i="50" s="1"/>
  <c r="P500" i="50"/>
  <c r="P1215" i="50" s="1"/>
  <c r="F535" i="50"/>
  <c r="H535" i="50"/>
  <c r="J535" i="50"/>
  <c r="L535" i="50"/>
  <c r="N535" i="50"/>
  <c r="P535" i="50"/>
  <c r="F556" i="50"/>
  <c r="F1271" i="50" s="1"/>
  <c r="H556" i="50"/>
  <c r="H1271" i="50" s="1"/>
  <c r="J556" i="50"/>
  <c r="J1271" i="50" s="1"/>
  <c r="L556" i="50"/>
  <c r="L1271" i="50" s="1"/>
  <c r="N556" i="50"/>
  <c r="N1271" i="50" s="1"/>
  <c r="P556" i="50"/>
  <c r="P1271" i="50" s="1"/>
  <c r="F465" i="50"/>
  <c r="H465" i="50"/>
  <c r="H1180" i="50" s="1"/>
  <c r="N465" i="50"/>
  <c r="P465" i="50"/>
  <c r="P1180" i="50" s="1"/>
  <c r="X479" i="50"/>
  <c r="X1194" i="50" s="1"/>
  <c r="AS209" i="49"/>
  <c r="R1618" i="50"/>
  <c r="N1618" i="50" s="1"/>
  <c r="F682" i="50"/>
  <c r="H682" i="50"/>
  <c r="J682" i="50"/>
  <c r="L682" i="50"/>
  <c r="N682" i="50"/>
  <c r="P682" i="50"/>
  <c r="T437" i="50"/>
  <c r="V437" i="50"/>
  <c r="X437" i="50"/>
  <c r="Z437" i="50"/>
  <c r="AD437" i="50"/>
  <c r="AB437" i="50"/>
  <c r="H507" i="50"/>
  <c r="H1222" i="50" s="1"/>
  <c r="J612" i="50"/>
  <c r="L612" i="50"/>
  <c r="T528" i="50"/>
  <c r="V528" i="50"/>
  <c r="X528" i="50"/>
  <c r="AD528" i="50"/>
  <c r="AB528" i="50"/>
  <c r="Z528" i="50"/>
  <c r="X612" i="50"/>
  <c r="Z612" i="50"/>
  <c r="V577" i="50"/>
  <c r="V1292" i="50" s="1"/>
  <c r="AB577" i="50"/>
  <c r="AB1292" i="50" s="1"/>
  <c r="AD612" i="50"/>
  <c r="F577" i="50"/>
  <c r="H577" i="50"/>
  <c r="J577" i="50"/>
  <c r="J1292" i="50" s="1"/>
  <c r="L577" i="50"/>
  <c r="L1292" i="50" s="1"/>
  <c r="N577" i="50"/>
  <c r="P577" i="50"/>
  <c r="F493" i="50"/>
  <c r="H493" i="50"/>
  <c r="N493" i="50"/>
  <c r="P493" i="50"/>
  <c r="J668" i="50"/>
  <c r="L668" i="50"/>
  <c r="F528" i="50"/>
  <c r="T675" i="50"/>
  <c r="X675" i="50"/>
  <c r="X1390" i="50" s="1"/>
  <c r="Z675" i="50"/>
  <c r="Z1390" i="50" s="1"/>
  <c r="V675" i="50"/>
  <c r="V1390" i="50" s="1"/>
  <c r="AB675" i="50"/>
  <c r="AB1390" i="50" s="1"/>
  <c r="AD675" i="50"/>
  <c r="AD1390" i="50" s="1"/>
  <c r="T633" i="50"/>
  <c r="V633" i="50"/>
  <c r="X633" i="50"/>
  <c r="Z633" i="50"/>
  <c r="AD633" i="50"/>
  <c r="AB633" i="50"/>
  <c r="F444" i="50"/>
  <c r="F1159" i="50" s="1"/>
  <c r="H444" i="50"/>
  <c r="H1159" i="50" s="1"/>
  <c r="J444" i="50"/>
  <c r="J1159" i="50" s="1"/>
  <c r="L444" i="50"/>
  <c r="L1159" i="50" s="1"/>
  <c r="N444" i="50"/>
  <c r="N1159" i="50" s="1"/>
  <c r="P444" i="50"/>
  <c r="P1159" i="50" s="1"/>
  <c r="F605" i="50"/>
  <c r="H605" i="50"/>
  <c r="N605" i="50"/>
  <c r="P605" i="50"/>
  <c r="J584" i="50"/>
  <c r="J1299" i="50" s="1"/>
  <c r="L584" i="50"/>
  <c r="L1299" i="50" s="1"/>
  <c r="H640" i="50"/>
  <c r="L640" i="50"/>
  <c r="L1355" i="50" s="1"/>
  <c r="P640" i="50"/>
  <c r="P1355" i="50" s="1"/>
  <c r="H514" i="50"/>
  <c r="J514" i="50"/>
  <c r="P514" i="50"/>
  <c r="AB598" i="50"/>
  <c r="AB1313" i="50" s="1"/>
  <c r="Z682" i="50"/>
  <c r="T584" i="50"/>
  <c r="T1299" i="50" s="1"/>
  <c r="V584" i="50"/>
  <c r="V1299" i="50" s="1"/>
  <c r="X584" i="50"/>
  <c r="X1299" i="50" s="1"/>
  <c r="AB584" i="50"/>
  <c r="AB1299" i="50" s="1"/>
  <c r="Z584" i="50"/>
  <c r="Z1299" i="50" s="1"/>
  <c r="Z654" i="50"/>
  <c r="Z1369" i="50" s="1"/>
  <c r="AD584" i="50"/>
  <c r="AD1299" i="50" s="1"/>
  <c r="R76" i="50"/>
  <c r="AD1485" i="50"/>
  <c r="T1485" i="50"/>
  <c r="V1485" i="50"/>
  <c r="X1485" i="50"/>
  <c r="Z1485" i="50"/>
  <c r="V2113" i="50"/>
  <c r="AD2113" i="50"/>
  <c r="Z2113" i="50"/>
  <c r="AC110" i="48"/>
  <c r="Y110" i="48"/>
  <c r="AA110" i="48" s="1"/>
  <c r="AD1526" i="50"/>
  <c r="Z1526" i="50"/>
  <c r="F1793" i="50"/>
  <c r="H1793" i="50"/>
  <c r="BP214" i="49"/>
  <c r="BU214" i="49" s="1"/>
  <c r="V41" i="32"/>
  <c r="X41" i="32"/>
  <c r="T2091" i="50"/>
  <c r="AD2091" i="50"/>
  <c r="K18" i="51"/>
  <c r="L18" i="51" s="1"/>
  <c r="M18" i="51" s="1"/>
  <c r="N18" i="51" s="1"/>
  <c r="L1798" i="50"/>
  <c r="N1798" i="50"/>
  <c r="P1798" i="50"/>
  <c r="J1798" i="50"/>
  <c r="H1798" i="50"/>
  <c r="F1798" i="50"/>
  <c r="L1927" i="50"/>
  <c r="N1927" i="50"/>
  <c r="T2058" i="50"/>
  <c r="J2180" i="50"/>
  <c r="J2894" i="50" s="1"/>
  <c r="X1849" i="50"/>
  <c r="AD1849" i="50"/>
  <c r="AB1470" i="50"/>
  <c r="AD1470" i="50"/>
  <c r="Z1470" i="50"/>
  <c r="H1741" i="50"/>
  <c r="X1888" i="50"/>
  <c r="AB1888" i="50"/>
  <c r="Z1888" i="50"/>
  <c r="Z1562" i="50"/>
  <c r="AD1562" i="50"/>
  <c r="V1562" i="50"/>
  <c r="Z1849" i="50"/>
  <c r="N1477" i="50"/>
  <c r="H1477" i="50"/>
  <c r="F1477" i="50"/>
  <c r="J1477" i="50"/>
  <c r="L1477" i="50"/>
  <c r="V1618" i="50"/>
  <c r="T1618" i="50"/>
  <c r="V1451" i="50"/>
  <c r="X1451" i="50"/>
  <c r="AD654" i="50"/>
  <c r="AD1369" i="50" s="1"/>
  <c r="AB2039" i="50"/>
  <c r="X2039" i="50"/>
  <c r="F1542" i="50"/>
  <c r="F2257" i="50" s="1"/>
  <c r="P1542" i="50"/>
  <c r="P2257" i="50" s="1"/>
  <c r="P2971" i="50" s="1"/>
  <c r="V1888" i="50"/>
  <c r="AH1668" i="50"/>
  <c r="L2024" i="50"/>
  <c r="AD1829" i="50"/>
  <c r="T1829" i="50"/>
  <c r="AB1829" i="50"/>
  <c r="V1906" i="50"/>
  <c r="AB1906" i="50"/>
  <c r="H1735" i="50"/>
  <c r="F1525" i="50"/>
  <c r="V1847" i="50"/>
  <c r="V1587" i="50"/>
  <c r="AB1602" i="50"/>
  <c r="AD1602" i="50"/>
  <c r="X1940" i="50"/>
  <c r="Z1940" i="50"/>
  <c r="AB1940" i="50"/>
  <c r="Z2011" i="50"/>
  <c r="Z2726" i="50" s="1"/>
  <c r="V1806" i="50"/>
  <c r="F1920" i="50"/>
  <c r="F2635" i="50" s="1"/>
  <c r="F3349" i="50" s="1"/>
  <c r="P1842" i="50"/>
  <c r="AB2022" i="50"/>
  <c r="AH374" i="50"/>
  <c r="T1701" i="50"/>
  <c r="X1701" i="50"/>
  <c r="N1834" i="50"/>
  <c r="J1834" i="50"/>
  <c r="H1834" i="50"/>
  <c r="F1834" i="50"/>
  <c r="P1834" i="50"/>
  <c r="AH1834" i="50"/>
  <c r="L1834" i="50"/>
  <c r="J1898" i="50"/>
  <c r="N1898" i="50"/>
  <c r="P1898" i="50"/>
  <c r="H1699" i="50"/>
  <c r="J1699" i="50"/>
  <c r="F1699" i="50"/>
  <c r="L1990" i="50"/>
  <c r="L2705" i="50" s="1"/>
  <c r="J1990" i="50"/>
  <c r="J2705" i="50" s="1"/>
  <c r="J3419" i="50" s="1"/>
  <c r="P1990" i="50"/>
  <c r="N1990" i="50"/>
  <c r="F1990" i="50"/>
  <c r="H1990" i="50"/>
  <c r="H2705" i="50" s="1"/>
  <c r="H3419" i="50" s="1"/>
  <c r="P1934" i="50"/>
  <c r="H1934" i="50"/>
  <c r="L1934" i="50"/>
  <c r="L2649" i="50" s="1"/>
  <c r="N1934" i="50"/>
  <c r="N2649" i="50" s="1"/>
  <c r="N3363" i="50" s="1"/>
  <c r="J1934" i="50"/>
  <c r="F1934" i="50"/>
  <c r="AH1934" i="50"/>
  <c r="BP165" i="49"/>
  <c r="BU165" i="49" s="1"/>
  <c r="X1632" i="50"/>
  <c r="AD1632" i="50"/>
  <c r="T1632" i="50"/>
  <c r="V1632" i="50"/>
  <c r="AB1632" i="50"/>
  <c r="Z1632" i="50"/>
  <c r="Z1756" i="50"/>
  <c r="AB1756" i="50"/>
  <c r="X1756" i="50"/>
  <c r="AD1756" i="50"/>
  <c r="V1756" i="50"/>
  <c r="T1756" i="50"/>
  <c r="N1584" i="50"/>
  <c r="N2299" i="50" s="1"/>
  <c r="N3013" i="50" s="1"/>
  <c r="X2112" i="50"/>
  <c r="AD2112" i="50"/>
  <c r="AB1994" i="50"/>
  <c r="V1994" i="50"/>
  <c r="T1994" i="50"/>
  <c r="AD1994" i="50"/>
  <c r="Z1994" i="50"/>
  <c r="X1994" i="50"/>
  <c r="F1785" i="50"/>
  <c r="L1839" i="50"/>
  <c r="AB1952" i="50"/>
  <c r="V1665" i="50"/>
  <c r="AH1665" i="50"/>
  <c r="AD1871" i="50"/>
  <c r="AD2586" i="50" s="1"/>
  <c r="AD3300" i="50" s="1"/>
  <c r="AB1871" i="50"/>
  <c r="AB2586" i="50" s="1"/>
  <c r="AB3300" i="50" s="1"/>
  <c r="V1688" i="50"/>
  <c r="Z1751" i="50"/>
  <c r="V1751" i="50"/>
  <c r="AD1751" i="50"/>
  <c r="Z1975" i="50"/>
  <c r="P1826" i="50"/>
  <c r="H1870" i="50"/>
  <c r="J1870" i="50"/>
  <c r="F1870" i="50"/>
  <c r="L1828" i="50"/>
  <c r="P1828" i="50"/>
  <c r="AD1906" i="50"/>
  <c r="T1906" i="50"/>
  <c r="P1735" i="50"/>
  <c r="J1735" i="50"/>
  <c r="J1623" i="50"/>
  <c r="F1623" i="50"/>
  <c r="P1623" i="50"/>
  <c r="H1623" i="50"/>
  <c r="N1623" i="50"/>
  <c r="AD2037" i="50"/>
  <c r="P1918" i="50"/>
  <c r="L1562" i="50"/>
  <c r="P1562" i="50"/>
  <c r="J1975" i="50"/>
  <c r="H1975" i="50"/>
  <c r="N1975" i="50"/>
  <c r="L1975" i="50"/>
  <c r="P1975" i="50"/>
  <c r="F1975" i="50"/>
  <c r="X1847" i="50"/>
  <c r="T1847" i="50"/>
  <c r="AD1847" i="50"/>
  <c r="AB1847" i="50"/>
  <c r="T1587" i="50"/>
  <c r="AB1587" i="50"/>
  <c r="AD1587" i="50"/>
  <c r="V2134" i="50"/>
  <c r="Z2134" i="50"/>
  <c r="AD2134" i="50"/>
  <c r="T2134" i="50"/>
  <c r="X2134" i="50"/>
  <c r="AB2134" i="50"/>
  <c r="P2067" i="50"/>
  <c r="H2067" i="50"/>
  <c r="N2067" i="50"/>
  <c r="N2782" i="50" s="1"/>
  <c r="J2067" i="50"/>
  <c r="J2782" i="50" s="1"/>
  <c r="J3496" i="50" s="1"/>
  <c r="F2067" i="50"/>
  <c r="F2782" i="50" s="1"/>
  <c r="F3496" i="50" s="1"/>
  <c r="L2067" i="50"/>
  <c r="L2782" i="50" s="1"/>
  <c r="N1969" i="50"/>
  <c r="N2684" i="50" s="1"/>
  <c r="N3398" i="50" s="1"/>
  <c r="F1969" i="50"/>
  <c r="F2684" i="50" s="1"/>
  <c r="F3398" i="50" s="1"/>
  <c r="J1969" i="50"/>
  <c r="L1969" i="50"/>
  <c r="L2684" i="50" s="1"/>
  <c r="L3398" i="50" s="1"/>
  <c r="P1969" i="50"/>
  <c r="H1969" i="50"/>
  <c r="H2684" i="50" s="1"/>
  <c r="T1664" i="50"/>
  <c r="AD1664" i="50"/>
  <c r="P1491" i="50"/>
  <c r="N1491" i="50"/>
  <c r="F1491" i="50"/>
  <c r="Z1965" i="50"/>
  <c r="AB1965" i="50"/>
  <c r="V1965" i="50"/>
  <c r="X1965" i="50"/>
  <c r="T1965" i="50"/>
  <c r="J1899" i="50"/>
  <c r="J2614" i="50" s="1"/>
  <c r="J3328" i="50" s="1"/>
  <c r="AB1723" i="50"/>
  <c r="T1723" i="50"/>
  <c r="Z1715" i="50"/>
  <c r="X1715" i="50"/>
  <c r="X2229" i="50"/>
  <c r="X2943" i="50" s="1"/>
  <c r="V1891" i="50"/>
  <c r="AB2128" i="50"/>
  <c r="Z2128" i="50"/>
  <c r="AD2128" i="50"/>
  <c r="V1988" i="50"/>
  <c r="AD1988" i="50"/>
  <c r="L1657" i="50"/>
  <c r="J1657" i="50"/>
  <c r="N1657" i="50"/>
  <c r="N1567" i="50"/>
  <c r="J1567" i="50"/>
  <c r="L1567" i="50"/>
  <c r="P2056" i="50"/>
  <c r="H2056" i="50"/>
  <c r="AB1864" i="50"/>
  <c r="AB2579" i="50" s="1"/>
  <c r="X1864" i="50"/>
  <c r="X2579" i="50" s="1"/>
  <c r="T1864" i="50"/>
  <c r="T2579" i="50" s="1"/>
  <c r="T3293" i="50" s="1"/>
  <c r="AH2029" i="50"/>
  <c r="T2029" i="50"/>
  <c r="AH1609" i="50"/>
  <c r="L1457" i="50"/>
  <c r="T2684" i="50"/>
  <c r="Z2684" i="50"/>
  <c r="Z3398" i="50" s="1"/>
  <c r="X2684" i="50"/>
  <c r="X3398" i="50" s="1"/>
  <c r="V2684" i="50"/>
  <c r="V3398" i="50" s="1"/>
  <c r="AD1909" i="50"/>
  <c r="T1909" i="50"/>
  <c r="X1909" i="50"/>
  <c r="V1647" i="50"/>
  <c r="V2362" i="50" s="1"/>
  <c r="V3076" i="50" s="1"/>
  <c r="AH1647" i="50"/>
  <c r="AB1647" i="50"/>
  <c r="AB2362" i="50" s="1"/>
  <c r="AB3076" i="50" s="1"/>
  <c r="AD1647" i="50"/>
  <c r="AD2362" i="50" s="1"/>
  <c r="AD3076" i="50" s="1"/>
  <c r="T1647" i="50"/>
  <c r="T2362" i="50" s="1"/>
  <c r="T1525" i="50"/>
  <c r="X1525" i="50"/>
  <c r="AB1525" i="50"/>
  <c r="Z1525" i="50"/>
  <c r="AD1525" i="50"/>
  <c r="V1525" i="50"/>
  <c r="V1500" i="50"/>
  <c r="H1470" i="50"/>
  <c r="P1470" i="50"/>
  <c r="T1448" i="50"/>
  <c r="Z1448" i="50"/>
  <c r="AB1448" i="50"/>
  <c r="V1776" i="50"/>
  <c r="AD1776" i="50"/>
  <c r="AH1776" i="50"/>
  <c r="AB1776" i="50"/>
  <c r="H1972" i="50"/>
  <c r="P1972" i="50"/>
  <c r="AB1675" i="50"/>
  <c r="AB2390" i="50" s="1"/>
  <c r="AH1675" i="50"/>
  <c r="X1675" i="50"/>
  <c r="X2390" i="50" s="1"/>
  <c r="T1675" i="50"/>
  <c r="AD1675" i="50"/>
  <c r="V1675" i="50"/>
  <c r="V2390" i="50" s="1"/>
  <c r="V3104" i="50" s="1"/>
  <c r="Z1675" i="50"/>
  <c r="T2090" i="50"/>
  <c r="P1549" i="50"/>
  <c r="H1549" i="50"/>
  <c r="AB1451" i="50"/>
  <c r="Z1451" i="50"/>
  <c r="T1451" i="50"/>
  <c r="V1986" i="50"/>
  <c r="Z1986" i="50"/>
  <c r="T1986" i="50"/>
  <c r="F1472" i="50"/>
  <c r="H1472" i="50"/>
  <c r="N1472" i="50"/>
  <c r="N2187" i="50" s="1"/>
  <c r="N2901" i="50" s="1"/>
  <c r="J1472" i="50"/>
  <c r="AH1472" i="50"/>
  <c r="X1640" i="50"/>
  <c r="AB1640" i="50"/>
  <c r="Z1640" i="50"/>
  <c r="Z2355" i="50" s="1"/>
  <c r="AD1640" i="50"/>
  <c r="AH1954" i="50"/>
  <c r="F1954" i="50"/>
  <c r="F1827" i="50"/>
  <c r="N1827" i="50"/>
  <c r="L1827" i="50"/>
  <c r="J1827" i="50"/>
  <c r="P1827" i="50"/>
  <c r="H1827" i="50"/>
  <c r="AD1619" i="50"/>
  <c r="X1619" i="50"/>
  <c r="Z1619" i="50"/>
  <c r="P1678" i="50"/>
  <c r="F1678" i="50"/>
  <c r="AB2052" i="50"/>
  <c r="X2052" i="50"/>
  <c r="Z2052" i="50"/>
  <c r="L1771" i="50"/>
  <c r="F1771" i="50"/>
  <c r="P1771" i="50"/>
  <c r="H1771" i="50"/>
  <c r="F1919" i="50"/>
  <c r="P1919" i="50"/>
  <c r="J1777" i="50"/>
  <c r="AH1777" i="50"/>
  <c r="V2070" i="50"/>
  <c r="AB2070" i="50"/>
  <c r="H2572" i="50"/>
  <c r="X1772" i="50"/>
  <c r="AD1772" i="50"/>
  <c r="Z1772" i="50"/>
  <c r="AB2684" i="50"/>
  <c r="AB3398" i="50" s="1"/>
  <c r="L1840" i="50"/>
  <c r="P1840" i="50"/>
  <c r="H1840" i="50"/>
  <c r="N1840" i="50"/>
  <c r="AD1791" i="50"/>
  <c r="X1791" i="50"/>
  <c r="V1791" i="50"/>
  <c r="T1791" i="50"/>
  <c r="Z1791" i="50"/>
  <c r="H1533" i="50"/>
  <c r="J1533" i="50"/>
  <c r="N1533" i="50"/>
  <c r="F1533" i="50"/>
  <c r="N1454" i="50"/>
  <c r="F1454" i="50"/>
  <c r="P1454" i="50"/>
  <c r="L1454" i="50"/>
  <c r="H1454" i="50"/>
  <c r="Z1617" i="50"/>
  <c r="AB2004" i="50"/>
  <c r="Z1610" i="50"/>
  <c r="AB1610" i="50"/>
  <c r="V1610" i="50"/>
  <c r="H1574" i="50"/>
  <c r="P1574" i="50"/>
  <c r="T1538" i="50"/>
  <c r="X1538" i="50"/>
  <c r="H1461" i="50"/>
  <c r="P1461" i="50"/>
  <c r="J1461" i="50"/>
  <c r="J2044" i="50"/>
  <c r="N2044" i="50"/>
  <c r="L2044" i="50"/>
  <c r="AD1827" i="50"/>
  <c r="L2126" i="50"/>
  <c r="F1769" i="50"/>
  <c r="AH2007" i="50"/>
  <c r="N2007" i="50"/>
  <c r="V1849" i="50"/>
  <c r="AB1849" i="50"/>
  <c r="T1849" i="50"/>
  <c r="T1749" i="50"/>
  <c r="P1762" i="50"/>
  <c r="Z2016" i="50"/>
  <c r="AD2016" i="50"/>
  <c r="X2016" i="50"/>
  <c r="AB2016" i="50"/>
  <c r="V2016" i="50"/>
  <c r="T2016" i="50"/>
  <c r="AH2016" i="50"/>
  <c r="Z2775" i="50"/>
  <c r="Z3489" i="50" s="1"/>
  <c r="AH1854" i="50"/>
  <c r="AB1604" i="50"/>
  <c r="AH1604" i="50"/>
  <c r="V1604" i="50"/>
  <c r="P2052" i="50"/>
  <c r="J2052" i="50"/>
  <c r="F2052" i="50"/>
  <c r="N2052" i="50"/>
  <c r="F1708" i="50"/>
  <c r="P1708" i="50"/>
  <c r="H1552" i="50"/>
  <c r="P1552" i="50"/>
  <c r="L1552" i="50"/>
  <c r="J1552" i="50"/>
  <c r="V1462" i="50"/>
  <c r="AB1462" i="50"/>
  <c r="AD1462" i="50"/>
  <c r="Z1462" i="50"/>
  <c r="L1904" i="50"/>
  <c r="N1904" i="50"/>
  <c r="J1904" i="50"/>
  <c r="V1532" i="50"/>
  <c r="X1532" i="50"/>
  <c r="AH1532" i="50"/>
  <c r="AB2084" i="50"/>
  <c r="T2084" i="50"/>
  <c r="X2084" i="50"/>
  <c r="Z2084" i="50"/>
  <c r="V2084" i="50"/>
  <c r="AB2028" i="50"/>
  <c r="X2028" i="50"/>
  <c r="AD2028" i="50"/>
  <c r="T2028" i="50"/>
  <c r="V1875" i="50"/>
  <c r="X1875" i="50"/>
  <c r="AD1875" i="50"/>
  <c r="AH1875" i="50"/>
  <c r="T1875" i="50"/>
  <c r="AB1875" i="50"/>
  <c r="Z1875" i="50"/>
  <c r="H1689" i="50"/>
  <c r="H2404" i="50" s="1"/>
  <c r="H3118" i="50" s="1"/>
  <c r="L1672" i="50"/>
  <c r="J1672" i="50"/>
  <c r="H1672" i="50"/>
  <c r="F1672" i="50"/>
  <c r="N1672" i="50"/>
  <c r="AH1672" i="50"/>
  <c r="N1723" i="50"/>
  <c r="L1589" i="50"/>
  <c r="T1482" i="50"/>
  <c r="H1860" i="50"/>
  <c r="AH1797" i="50"/>
  <c r="H1517" i="50"/>
  <c r="P1517" i="50"/>
  <c r="AD2009" i="50"/>
  <c r="V2009" i="50"/>
  <c r="AB1657" i="50"/>
  <c r="L1709" i="50"/>
  <c r="J1709" i="50"/>
  <c r="P1709" i="50"/>
  <c r="AH1709" i="50"/>
  <c r="N2121" i="50"/>
  <c r="P2121" i="50"/>
  <c r="L2121" i="50"/>
  <c r="F2121" i="50"/>
  <c r="H2121" i="50"/>
  <c r="J2121" i="50"/>
  <c r="AD1839" i="50"/>
  <c r="X1839" i="50"/>
  <c r="V1839" i="50"/>
  <c r="T1839" i="50"/>
  <c r="Z1839" i="50"/>
  <c r="AB1839" i="50"/>
  <c r="N1933" i="50"/>
  <c r="X2425" i="50"/>
  <c r="X3139" i="50" s="1"/>
  <c r="AD1631" i="50"/>
  <c r="AB1583" i="50"/>
  <c r="AB1511" i="50"/>
  <c r="X1511" i="50"/>
  <c r="T1511" i="50"/>
  <c r="Z1511" i="50"/>
  <c r="V1511" i="50"/>
  <c r="AD1511" i="50"/>
  <c r="AD1458" i="50"/>
  <c r="AD2173" i="50" s="1"/>
  <c r="T1458" i="50"/>
  <c r="T2173" i="50" s="1"/>
  <c r="T2887" i="50" s="1"/>
  <c r="X1458" i="50"/>
  <c r="X2173" i="50" s="1"/>
  <c r="V1458" i="50"/>
  <c r="V2173" i="50" s="1"/>
  <c r="V2887" i="50" s="1"/>
  <c r="Z1458" i="50"/>
  <c r="Z2173" i="50" s="1"/>
  <c r="Z2887" i="50" s="1"/>
  <c r="AB1458" i="50"/>
  <c r="AB2173" i="50" s="1"/>
  <c r="AH1458" i="50"/>
  <c r="P1932" i="50"/>
  <c r="J1932" i="50"/>
  <c r="H1932" i="50"/>
  <c r="F1932" i="50"/>
  <c r="N1932" i="50"/>
  <c r="L1932" i="50"/>
  <c r="J1814" i="50"/>
  <c r="AH1814" i="50"/>
  <c r="L1814" i="50"/>
  <c r="H1814" i="50"/>
  <c r="P1814" i="50"/>
  <c r="N1814" i="50"/>
  <c r="F1814" i="50"/>
  <c r="P1581" i="50"/>
  <c r="H1581" i="50"/>
  <c r="F1581" i="50"/>
  <c r="J1581" i="50"/>
  <c r="L1581" i="50"/>
  <c r="N1581" i="50"/>
  <c r="X1505" i="50"/>
  <c r="AD1505" i="50"/>
  <c r="Z1505" i="50"/>
  <c r="T1505" i="50"/>
  <c r="AB1505" i="50"/>
  <c r="V1505" i="50"/>
  <c r="Z2053" i="50"/>
  <c r="AB2053" i="50"/>
  <c r="T2053" i="50"/>
  <c r="T2055" i="50" s="1"/>
  <c r="AH2053" i="50"/>
  <c r="X2053" i="50"/>
  <c r="V2053" i="50"/>
  <c r="AD2053" i="50"/>
  <c r="H1653" i="50"/>
  <c r="J1653" i="50"/>
  <c r="F1653" i="50"/>
  <c r="L1653" i="50"/>
  <c r="P1653" i="50"/>
  <c r="N1653" i="50"/>
  <c r="Z1561" i="50"/>
  <c r="V1561" i="50"/>
  <c r="AB1561" i="50"/>
  <c r="T1561" i="50"/>
  <c r="X1561" i="50"/>
  <c r="X2276" i="50" s="1"/>
  <c r="AD1561" i="50"/>
  <c r="J1748" i="50"/>
  <c r="P1748" i="50"/>
  <c r="H1748" i="50"/>
  <c r="L1748" i="50"/>
  <c r="N1748" i="50"/>
  <c r="F1748" i="50"/>
  <c r="AB1814" i="50"/>
  <c r="Z1814" i="50"/>
  <c r="AD1814" i="50"/>
  <c r="T1814" i="50"/>
  <c r="V1814" i="50"/>
  <c r="X1814" i="50"/>
  <c r="AD2122" i="50"/>
  <c r="V2122" i="50"/>
  <c r="Z2122" i="50"/>
  <c r="T2122" i="50"/>
  <c r="T2775" i="50"/>
  <c r="BP229" i="49"/>
  <c r="AD1618" i="50"/>
  <c r="AB1618" i="50"/>
  <c r="P2045" i="50"/>
  <c r="AH2045" i="50"/>
  <c r="H2045" i="50"/>
  <c r="J2045" i="50"/>
  <c r="BP230" i="49"/>
  <c r="AH1682" i="50"/>
  <c r="N1682" i="50"/>
  <c r="J1682" i="50"/>
  <c r="BP221" i="49"/>
  <c r="BU221" i="49" s="1"/>
  <c r="X1828" i="50"/>
  <c r="Z1828" i="50"/>
  <c r="V1828" i="50"/>
  <c r="AD1828" i="50"/>
  <c r="Z1885" i="50"/>
  <c r="X1885" i="50"/>
  <c r="T1885" i="50"/>
  <c r="T2600" i="50" s="1"/>
  <c r="T3314" i="50" s="1"/>
  <c r="F1479" i="50"/>
  <c r="J1479" i="50"/>
  <c r="AB1805" i="50"/>
  <c r="Z1805" i="50"/>
  <c r="AD1805" i="50"/>
  <c r="F1534" i="50"/>
  <c r="AH1534" i="50"/>
  <c r="P1534" i="50"/>
  <c r="J1534" i="50"/>
  <c r="N1534" i="50"/>
  <c r="H1534" i="50"/>
  <c r="L1534" i="50"/>
  <c r="P1731" i="50"/>
  <c r="AB1946" i="50"/>
  <c r="V1946" i="50"/>
  <c r="T1946" i="50"/>
  <c r="X1946" i="50"/>
  <c r="AD1946" i="50"/>
  <c r="Z1946" i="50"/>
  <c r="T1822" i="50"/>
  <c r="AD1822" i="50"/>
  <c r="V1822" i="50"/>
  <c r="J1507" i="50"/>
  <c r="F1507" i="50"/>
  <c r="H1507" i="50"/>
  <c r="L1507" i="50"/>
  <c r="Z2116" i="50"/>
  <c r="T2116" i="50"/>
  <c r="T2118" i="50" s="1"/>
  <c r="AD2116" i="50"/>
  <c r="AB2116" i="50"/>
  <c r="X2116" i="50"/>
  <c r="V2116" i="50"/>
  <c r="AD2137" i="50"/>
  <c r="AD2852" i="50" s="1"/>
  <c r="AD3566" i="50" s="1"/>
  <c r="AB2137" i="50"/>
  <c r="AB2852" i="50" s="1"/>
  <c r="V2137" i="50"/>
  <c r="V2852" i="50" s="1"/>
  <c r="T2137" i="50"/>
  <c r="AH2137" i="50"/>
  <c r="Z2137" i="50"/>
  <c r="Z2852" i="50" s="1"/>
  <c r="Z3566" i="50" s="1"/>
  <c r="X2137" i="50"/>
  <c r="X2852" i="50" s="1"/>
  <c r="F2030" i="50"/>
  <c r="N2030" i="50"/>
  <c r="AB1990" i="50"/>
  <c r="T1990" i="50"/>
  <c r="T2705" i="50" s="1"/>
  <c r="AD1990" i="50"/>
  <c r="AD2705" i="50" s="1"/>
  <c r="AD3419" i="50" s="1"/>
  <c r="AH1990" i="50"/>
  <c r="V1990" i="50"/>
  <c r="V2705" i="50" s="1"/>
  <c r="V3419" i="50" s="1"/>
  <c r="X1990" i="50"/>
  <c r="X2705" i="50" s="1"/>
  <c r="Z1990" i="50"/>
  <c r="Z2705" i="50" s="1"/>
  <c r="Z3419" i="50" s="1"/>
  <c r="N1577" i="50"/>
  <c r="N2292" i="50" s="1"/>
  <c r="N3006" i="50" s="1"/>
  <c r="J1577" i="50"/>
  <c r="J2292" i="50" s="1"/>
  <c r="J3006" i="50" s="1"/>
  <c r="AH1577" i="50"/>
  <c r="L1577" i="50"/>
  <c r="L2292" i="50" s="1"/>
  <c r="L3006" i="50" s="1"/>
  <c r="H1577" i="50"/>
  <c r="P1577" i="50"/>
  <c r="P2292" i="50" s="1"/>
  <c r="P3006" i="50" s="1"/>
  <c r="F1577" i="50"/>
  <c r="F2292" i="50" s="1"/>
  <c r="F3006" i="50" s="1"/>
  <c r="L1916" i="50"/>
  <c r="H1916" i="50"/>
  <c r="F1916" i="50"/>
  <c r="H1696" i="50"/>
  <c r="H2411" i="50" s="1"/>
  <c r="P1696" i="50"/>
  <c r="P2411" i="50" s="1"/>
  <c r="L1696" i="50"/>
  <c r="L2411" i="50" s="1"/>
  <c r="J1696" i="50"/>
  <c r="J2411" i="50" s="1"/>
  <c r="J3125" i="50" s="1"/>
  <c r="H2143" i="50"/>
  <c r="J2143" i="50"/>
  <c r="P2143" i="50"/>
  <c r="N1448" i="50"/>
  <c r="T2077" i="50"/>
  <c r="V1449" i="50"/>
  <c r="Z1449" i="50"/>
  <c r="T1449" i="50"/>
  <c r="AB1449" i="50"/>
  <c r="Z1667" i="50"/>
  <c r="V1667" i="50"/>
  <c r="AD1667" i="50"/>
  <c r="H1449" i="50"/>
  <c r="J1449" i="50"/>
  <c r="AH1449" i="50"/>
  <c r="AH2002" i="50"/>
  <c r="V1846" i="50"/>
  <c r="AD1846" i="50"/>
  <c r="Z1846" i="50"/>
  <c r="N1758" i="50"/>
  <c r="L1674" i="50"/>
  <c r="F1674" i="50"/>
  <c r="J1674" i="50"/>
  <c r="AH1545" i="50"/>
  <c r="H1545" i="50"/>
  <c r="P1545" i="50"/>
  <c r="N2025" i="50"/>
  <c r="L2025" i="50"/>
  <c r="P2024" i="50"/>
  <c r="H2024" i="50"/>
  <c r="F2025" i="50"/>
  <c r="F2740" i="50" s="1"/>
  <c r="F3454" i="50" s="1"/>
  <c r="N1888" i="50"/>
  <c r="V2049" i="50"/>
  <c r="T2049" i="50"/>
  <c r="Z2049" i="50"/>
  <c r="AD2049" i="50"/>
  <c r="L1526" i="50"/>
  <c r="T2129" i="50"/>
  <c r="V2129" i="50"/>
  <c r="AB2129" i="50"/>
  <c r="X2129" i="50"/>
  <c r="Z2129" i="50"/>
  <c r="AD2129" i="50"/>
  <c r="AH2129" i="50"/>
  <c r="AB2119" i="50"/>
  <c r="Z2119" i="50"/>
  <c r="V2119" i="50"/>
  <c r="X2119" i="50"/>
  <c r="AD2119" i="50"/>
  <c r="T2119" i="50"/>
  <c r="AH2119" i="50"/>
  <c r="V2032" i="50"/>
  <c r="V2747" i="50" s="1"/>
  <c r="V3461" i="50" s="1"/>
  <c r="T2032" i="50"/>
  <c r="AB2032" i="50"/>
  <c r="AD2032" i="50"/>
  <c r="Z2032" i="50"/>
  <c r="X2032" i="50"/>
  <c r="AH1898" i="50"/>
  <c r="Z1898" i="50"/>
  <c r="X1898" i="50"/>
  <c r="V1898" i="50"/>
  <c r="AB1898" i="50"/>
  <c r="AD1898" i="50"/>
  <c r="T1898" i="50"/>
  <c r="X1533" i="50"/>
  <c r="AD1533" i="50"/>
  <c r="Z1533" i="50"/>
  <c r="T1533" i="50"/>
  <c r="AH1843" i="50"/>
  <c r="AB1843" i="50"/>
  <c r="AB2558" i="50" s="1"/>
  <c r="J1601" i="50"/>
  <c r="F1601" i="50"/>
  <c r="Z1646" i="50"/>
  <c r="T1646" i="50"/>
  <c r="V1646" i="50"/>
  <c r="AD1646" i="50"/>
  <c r="X1646" i="50"/>
  <c r="AB1646" i="50"/>
  <c r="H1759" i="50"/>
  <c r="H2474" i="50" s="1"/>
  <c r="N1759" i="50"/>
  <c r="N2474" i="50" s="1"/>
  <c r="L1759" i="50"/>
  <c r="L2474" i="50" s="1"/>
  <c r="L3188" i="50" s="1"/>
  <c r="T1759" i="50"/>
  <c r="T2474" i="50" s="1"/>
  <c r="T3188" i="50" s="1"/>
  <c r="F1759" i="50"/>
  <c r="J1759" i="50"/>
  <c r="J2474" i="50" s="1"/>
  <c r="P1759" i="50"/>
  <c r="P2474" i="50" s="1"/>
  <c r="P3188" i="50" s="1"/>
  <c r="F2098" i="50"/>
  <c r="F1619" i="50"/>
  <c r="N1619" i="50"/>
  <c r="L1619" i="50"/>
  <c r="H1619" i="50"/>
  <c r="P1619" i="50"/>
  <c r="J1619" i="50"/>
  <c r="AH1619" i="50"/>
  <c r="AH1794" i="50"/>
  <c r="H1560" i="50"/>
  <c r="H2275" i="50" s="1"/>
  <c r="H2989" i="50" s="1"/>
  <c r="F1560" i="50"/>
  <c r="P1560" i="50"/>
  <c r="N1560" i="50"/>
  <c r="J1560" i="50"/>
  <c r="AD1981" i="50"/>
  <c r="V1981" i="50"/>
  <c r="X1981" i="50"/>
  <c r="AB1981" i="50"/>
  <c r="Z1981" i="50"/>
  <c r="T1981" i="50"/>
  <c r="H1692" i="50"/>
  <c r="L1692" i="50"/>
  <c r="J1692" i="50"/>
  <c r="F1692" i="50"/>
  <c r="P1692" i="50"/>
  <c r="N1692" i="50"/>
  <c r="T1800" i="50"/>
  <c r="J1598" i="50"/>
  <c r="J2313" i="50" s="1"/>
  <c r="F1598" i="50"/>
  <c r="F2313" i="50" s="1"/>
  <c r="F3027" i="50" s="1"/>
  <c r="H1598" i="50"/>
  <c r="H2313" i="50" s="1"/>
  <c r="H3027" i="50" s="1"/>
  <c r="P1598" i="50"/>
  <c r="P2313" i="50" s="1"/>
  <c r="L1598" i="50"/>
  <c r="L2313" i="50" s="1"/>
  <c r="L3027" i="50" s="1"/>
  <c r="N1598" i="50"/>
  <c r="N2313" i="50" s="1"/>
  <c r="N1883" i="50"/>
  <c r="AH1883" i="50"/>
  <c r="H1646" i="50"/>
  <c r="AH1646" i="50"/>
  <c r="L1646" i="50"/>
  <c r="J1646" i="50"/>
  <c r="P1646" i="50"/>
  <c r="N1646" i="50"/>
  <c r="F1646" i="50"/>
  <c r="AH2135" i="50"/>
  <c r="F2135" i="50"/>
  <c r="N2135" i="50"/>
  <c r="H2135" i="50"/>
  <c r="P2135" i="50"/>
  <c r="J2135" i="50"/>
  <c r="L2135" i="50"/>
  <c r="AD2087" i="50"/>
  <c r="AH2087" i="50"/>
  <c r="Z2087" i="50"/>
  <c r="T2087" i="50"/>
  <c r="AB2087" i="50"/>
  <c r="V2087" i="50"/>
  <c r="X2087" i="50"/>
  <c r="P1660" i="50"/>
  <c r="H1660" i="50"/>
  <c r="L1660" i="50"/>
  <c r="AH1660" i="50"/>
  <c r="J1660" i="50"/>
  <c r="N1660" i="50"/>
  <c r="F1660" i="50"/>
  <c r="J1463" i="50"/>
  <c r="L1664" i="50"/>
  <c r="P1664" i="50"/>
  <c r="N1664" i="50"/>
  <c r="Z1895" i="50"/>
  <c r="T1895" i="50"/>
  <c r="AB1895" i="50"/>
  <c r="AD1895" i="50"/>
  <c r="X1895" i="50"/>
  <c r="V1895" i="50"/>
  <c r="H1939" i="50"/>
  <c r="J1939" i="50"/>
  <c r="AH1939" i="50"/>
  <c r="N1939" i="50"/>
  <c r="F1939" i="50"/>
  <c r="L1939" i="50"/>
  <c r="P1939" i="50"/>
  <c r="N1757" i="50"/>
  <c r="L1757" i="50"/>
  <c r="J1757" i="50"/>
  <c r="F1757" i="50"/>
  <c r="H1757" i="50"/>
  <c r="P1757" i="50"/>
  <c r="V1490" i="50"/>
  <c r="X1490" i="50"/>
  <c r="Z1490" i="50"/>
  <c r="H1654" i="50"/>
  <c r="F1654" i="50"/>
  <c r="L1654" i="50"/>
  <c r="P1654" i="50"/>
  <c r="J1654" i="50"/>
  <c r="L1595" i="50"/>
  <c r="P1595" i="50"/>
  <c r="N1595" i="50"/>
  <c r="H1595" i="50"/>
  <c r="V2043" i="50"/>
  <c r="Z2043" i="50"/>
  <c r="T2043" i="50"/>
  <c r="F1730" i="50"/>
  <c r="P1751" i="50"/>
  <c r="AH1751" i="50"/>
  <c r="J1751" i="50"/>
  <c r="N1751" i="50"/>
  <c r="H1751" i="50"/>
  <c r="F1751" i="50"/>
  <c r="Z2080" i="50"/>
  <c r="T2080" i="50"/>
  <c r="X2080" i="50"/>
  <c r="AB2080" i="50"/>
  <c r="H1986" i="50"/>
  <c r="N1986" i="50"/>
  <c r="L1471" i="50"/>
  <c r="J1471" i="50"/>
  <c r="F1471" i="50"/>
  <c r="P1471" i="50"/>
  <c r="Z2095" i="50"/>
  <c r="Z2810" i="50" s="1"/>
  <c r="Z3524" i="50" s="1"/>
  <c r="T2095" i="50"/>
  <c r="T2810" i="50" s="1"/>
  <c r="T3524" i="50" s="1"/>
  <c r="AB2079" i="50"/>
  <c r="Z2079" i="50"/>
  <c r="T2079" i="50"/>
  <c r="AD2109" i="50"/>
  <c r="AD2824" i="50" s="1"/>
  <c r="AH2109" i="50"/>
  <c r="T2109" i="50"/>
  <c r="T2824" i="50" s="1"/>
  <c r="AB2109" i="50"/>
  <c r="AB2824" i="50" s="1"/>
  <c r="AB3538" i="50" s="1"/>
  <c r="AH1553" i="50"/>
  <c r="N1553" i="50"/>
  <c r="J1553" i="50"/>
  <c r="P1553" i="50"/>
  <c r="F1553" i="50"/>
  <c r="AH1988" i="50"/>
  <c r="N1988" i="50"/>
  <c r="H1988" i="50"/>
  <c r="J1988" i="50"/>
  <c r="P1988" i="50"/>
  <c r="H1587" i="50"/>
  <c r="N1587" i="50"/>
  <c r="J1587" i="50"/>
  <c r="L1587" i="50"/>
  <c r="AH1587" i="50"/>
  <c r="H1821" i="50"/>
  <c r="F1821" i="50"/>
  <c r="X1874" i="50"/>
  <c r="AB1874" i="50"/>
  <c r="T1874" i="50"/>
  <c r="AD1874" i="50"/>
  <c r="V1874" i="50"/>
  <c r="Z1721" i="50"/>
  <c r="X1562" i="50"/>
  <c r="AB1562" i="50"/>
  <c r="AH1562" i="50"/>
  <c r="L2115" i="50"/>
  <c r="N2115" i="50"/>
  <c r="H2115" i="50"/>
  <c r="J2115" i="50"/>
  <c r="L1829" i="50"/>
  <c r="H1829" i="50"/>
  <c r="H2544" i="50" s="1"/>
  <c r="J1829" i="50"/>
  <c r="J2544" i="50" s="1"/>
  <c r="J3258" i="50" s="1"/>
  <c r="F1829" i="50"/>
  <c r="AH1829" i="50"/>
  <c r="P1829" i="50"/>
  <c r="P2544" i="50" s="1"/>
  <c r="P3258" i="50" s="1"/>
  <c r="N1829" i="50"/>
  <c r="N2544" i="50" s="1"/>
  <c r="N3258" i="50" s="1"/>
  <c r="V1995" i="50"/>
  <c r="AB1995" i="50"/>
  <c r="Z1995" i="50"/>
  <c r="T1728" i="50"/>
  <c r="P2080" i="50"/>
  <c r="N2080" i="50"/>
  <c r="J2080" i="50"/>
  <c r="F2080" i="50"/>
  <c r="AH2080" i="50"/>
  <c r="L2080" i="50"/>
  <c r="F2114" i="50"/>
  <c r="J2114" i="50"/>
  <c r="P2114" i="50"/>
  <c r="L2114" i="50"/>
  <c r="AH2051" i="50"/>
  <c r="L2051" i="50"/>
  <c r="F2051" i="50"/>
  <c r="H2051" i="50"/>
  <c r="N2051" i="50"/>
  <c r="X1555" i="50"/>
  <c r="V1555" i="50"/>
  <c r="T1555" i="50"/>
  <c r="Z1555" i="50"/>
  <c r="AD1555" i="50"/>
  <c r="AB1555" i="50"/>
  <c r="AD1498" i="50"/>
  <c r="X1498" i="50"/>
  <c r="Z1498" i="50"/>
  <c r="T1498" i="50"/>
  <c r="AB1498" i="50"/>
  <c r="F43" i="35"/>
  <c r="F44" i="35" s="1"/>
  <c r="N1493" i="50"/>
  <c r="L1493" i="50"/>
  <c r="H1493" i="50"/>
  <c r="J1493" i="50"/>
  <c r="F1493" i="50"/>
  <c r="P1493" i="50"/>
  <c r="AH1493" i="50"/>
  <c r="AD1882" i="50"/>
  <c r="Z1882" i="50"/>
  <c r="V22" i="32"/>
  <c r="J1464" i="50"/>
  <c r="H1464" i="50"/>
  <c r="F1464" i="50"/>
  <c r="P1464" i="50"/>
  <c r="L1464" i="50"/>
  <c r="N1464" i="50"/>
  <c r="H16" i="32"/>
  <c r="D19" i="32"/>
  <c r="D17" i="32"/>
  <c r="D18" i="32"/>
  <c r="H18" i="32" s="1"/>
  <c r="F62" i="35"/>
  <c r="F2362" i="50"/>
  <c r="F3076" i="50" s="1"/>
  <c r="Z2362" i="50"/>
  <c r="Z3076" i="50" s="1"/>
  <c r="AB1927" i="50"/>
  <c r="AB2642" i="50" s="1"/>
  <c r="AB3356" i="50" s="1"/>
  <c r="Z1927" i="50"/>
  <c r="Z2642" i="50" s="1"/>
  <c r="X1927" i="50"/>
  <c r="X2642" i="50" s="1"/>
  <c r="T1927" i="50"/>
  <c r="V1927" i="50"/>
  <c r="AD1927" i="50"/>
  <c r="AD2642" i="50" s="1"/>
  <c r="AD3356" i="50" s="1"/>
  <c r="AH1927" i="50"/>
  <c r="Z2067" i="50"/>
  <c r="Z2782" i="50" s="1"/>
  <c r="V2067" i="50"/>
  <c r="V2782" i="50" s="1"/>
  <c r="T2067" i="50"/>
  <c r="Z1930" i="50"/>
  <c r="AD1930" i="50"/>
  <c r="T1930" i="50"/>
  <c r="X1930" i="50"/>
  <c r="AB1930" i="50"/>
  <c r="V1930" i="50"/>
  <c r="AH1930" i="50"/>
  <c r="N2376" i="50"/>
  <c r="N3090" i="50" s="1"/>
  <c r="L52" i="38"/>
  <c r="F33" i="35"/>
  <c r="F34" i="35" s="1"/>
  <c r="F32" i="35"/>
  <c r="H80" i="32"/>
  <c r="X1808" i="50"/>
  <c r="V2106" i="50"/>
  <c r="AH2106" i="50"/>
  <c r="AD2106" i="50"/>
  <c r="T2106" i="50"/>
  <c r="AB2106" i="50"/>
  <c r="Z2106" i="50"/>
  <c r="X2106" i="50"/>
  <c r="P2122" i="50"/>
  <c r="L2122" i="50"/>
  <c r="H2122" i="50"/>
  <c r="H1881" i="50"/>
  <c r="J1881" i="50"/>
  <c r="X2509" i="50"/>
  <c r="X3223" i="50" s="1"/>
  <c r="T1961" i="50"/>
  <c r="F127" i="35"/>
  <c r="D129" i="35"/>
  <c r="D130" i="35" s="1"/>
  <c r="D131" i="35" s="1"/>
  <c r="T1926" i="50"/>
  <c r="N2362" i="50"/>
  <c r="N3076" i="50" s="1"/>
  <c r="I63" i="35"/>
  <c r="H62" i="35"/>
  <c r="L1779" i="50"/>
  <c r="N1779" i="50"/>
  <c r="H2058" i="50"/>
  <c r="L2058" i="50"/>
  <c r="T1974" i="50"/>
  <c r="AB1974" i="50"/>
  <c r="N2439" i="50"/>
  <c r="N3153" i="50" s="1"/>
  <c r="X1919" i="50"/>
  <c r="V1919" i="50"/>
  <c r="P2439" i="50"/>
  <c r="P3153" i="50" s="1"/>
  <c r="AB1580" i="50"/>
  <c r="AD1580" i="50"/>
  <c r="Z1580" i="50"/>
  <c r="X1580" i="50"/>
  <c r="AH1580" i="50"/>
  <c r="AD1484" i="50"/>
  <c r="V1484" i="50"/>
  <c r="H2439" i="50"/>
  <c r="L2439" i="50"/>
  <c r="L3153" i="50" s="1"/>
  <c r="AB2050" i="50"/>
  <c r="AH2050" i="50"/>
  <c r="T2327" i="50"/>
  <c r="T3041" i="50" s="1"/>
  <c r="P2425" i="50"/>
  <c r="P3139" i="50" s="1"/>
  <c r="L2128" i="50"/>
  <c r="H1618" i="50"/>
  <c r="J1618" i="50"/>
  <c r="X2166" i="50"/>
  <c r="X2880" i="50" s="1"/>
  <c r="F1745" i="50"/>
  <c r="J1745" i="50"/>
  <c r="L1745" i="50"/>
  <c r="N1745" i="50"/>
  <c r="P1745" i="50"/>
  <c r="X1457" i="50"/>
  <c r="AH1457" i="50"/>
  <c r="V1457" i="50"/>
  <c r="Z1457" i="50"/>
  <c r="AD1457" i="50"/>
  <c r="AA113" i="48"/>
  <c r="AB2705" i="50"/>
  <c r="AB3419" i="50" s="1"/>
  <c r="F2705" i="50"/>
  <c r="T2544" i="50"/>
  <c r="T3258" i="50" s="1"/>
  <c r="J2684" i="50"/>
  <c r="J3398" i="50" s="1"/>
  <c r="P2782" i="50"/>
  <c r="P3496" i="50" s="1"/>
  <c r="AD2390" i="50"/>
  <c r="AD3104" i="50" s="1"/>
  <c r="T2390" i="50"/>
  <c r="T3104" i="50" s="1"/>
  <c r="H2782" i="50"/>
  <c r="V2226" i="50"/>
  <c r="V2940" i="50" s="1"/>
  <c r="F2544" i="50"/>
  <c r="F3258" i="50" s="1"/>
  <c r="M107" i="35"/>
  <c r="K107" i="35"/>
  <c r="F64" i="35"/>
  <c r="H98" i="35"/>
  <c r="G98" i="35"/>
  <c r="F3566" i="50" l="1"/>
  <c r="AI1988" i="50"/>
  <c r="AI2098" i="50"/>
  <c r="AI1463" i="50"/>
  <c r="Z2296" i="50"/>
  <c r="Z3010" i="50" s="1"/>
  <c r="AI1470" i="50"/>
  <c r="AD2684" i="50"/>
  <c r="AD3398" i="50" s="1"/>
  <c r="AI1813" i="50"/>
  <c r="AI2115" i="50"/>
  <c r="AI1513" i="50"/>
  <c r="AI1527" i="50"/>
  <c r="AI1780" i="50"/>
  <c r="AI1449" i="50"/>
  <c r="AI1477" i="50"/>
  <c r="AD2208" i="50"/>
  <c r="AD2922" i="50" s="1"/>
  <c r="AB2494" i="50"/>
  <c r="AB3208" i="50" s="1"/>
  <c r="T3489" i="50"/>
  <c r="T1992" i="50"/>
  <c r="T2450" i="50"/>
  <c r="T3164" i="50" s="1"/>
  <c r="BG139" i="49"/>
  <c r="BS139" i="49"/>
  <c r="H139" i="49"/>
  <c r="D2911" i="50"/>
  <c r="D47" i="50"/>
  <c r="D770" i="50"/>
  <c r="D2925" i="50"/>
  <c r="BH19" i="49"/>
  <c r="H2187" i="50"/>
  <c r="H2901" i="50" s="1"/>
  <c r="AD2187" i="50"/>
  <c r="AD2901" i="50" s="1"/>
  <c r="H135" i="49"/>
  <c r="BU135" i="49" s="1"/>
  <c r="BB135" i="49"/>
  <c r="Z2187" i="50"/>
  <c r="Z2901" i="50" s="1"/>
  <c r="F2187" i="50"/>
  <c r="F2901" i="50" s="1"/>
  <c r="V2187" i="50"/>
  <c r="J2187" i="50"/>
  <c r="BS135" i="49"/>
  <c r="BG131" i="49"/>
  <c r="D2897" i="50"/>
  <c r="D742" i="50"/>
  <c r="D749" i="50"/>
  <c r="D40" i="50"/>
  <c r="AI654" i="50"/>
  <c r="AI701" i="50"/>
  <c r="AH696" i="50"/>
  <c r="J654" i="50"/>
  <c r="J1369" i="50" s="1"/>
  <c r="N479" i="50"/>
  <c r="N1194" i="50" s="1"/>
  <c r="F563" i="50"/>
  <c r="L479" i="50"/>
  <c r="L1194" i="50" s="1"/>
  <c r="BH69" i="49"/>
  <c r="AX42" i="49"/>
  <c r="P1320" i="50"/>
  <c r="J479" i="50"/>
  <c r="J1194" i="50" s="1"/>
  <c r="BP44" i="49"/>
  <c r="BU44" i="49" s="1"/>
  <c r="BH66" i="49"/>
  <c r="N1320" i="50"/>
  <c r="F479" i="50"/>
  <c r="AX109" i="49"/>
  <c r="P1376" i="50" s="1"/>
  <c r="AX58" i="49"/>
  <c r="AX69" i="49"/>
  <c r="AX50" i="49"/>
  <c r="H1320" i="50"/>
  <c r="P563" i="50"/>
  <c r="BP51" i="49"/>
  <c r="BU51" i="49" s="1"/>
  <c r="F1320" i="50"/>
  <c r="N563" i="50"/>
  <c r="BH95" i="49"/>
  <c r="L563" i="50"/>
  <c r="AX34" i="49"/>
  <c r="BL71" i="49"/>
  <c r="AH51" i="50"/>
  <c r="BL30" i="49"/>
  <c r="BL65" i="49"/>
  <c r="BL24" i="49"/>
  <c r="BL40" i="49"/>
  <c r="AF548" i="50"/>
  <c r="BL47" i="49"/>
  <c r="BL49" i="49"/>
  <c r="BL114" i="49"/>
  <c r="BL55" i="49"/>
  <c r="BL32" i="49"/>
  <c r="BL38" i="49"/>
  <c r="AH9" i="50"/>
  <c r="BL86" i="49"/>
  <c r="BL79" i="49"/>
  <c r="BQ103" i="49"/>
  <c r="BQ58" i="49"/>
  <c r="AF553" i="50"/>
  <c r="AH553" i="50" s="1"/>
  <c r="AF567" i="50"/>
  <c r="AH567" i="50" s="1"/>
  <c r="BL36" i="49"/>
  <c r="BP60" i="49"/>
  <c r="BU60" i="49" s="1"/>
  <c r="AF147" i="50"/>
  <c r="Z116" i="49"/>
  <c r="AF546" i="50"/>
  <c r="BL61" i="49"/>
  <c r="AF434" i="50"/>
  <c r="AH434" i="50" s="1"/>
  <c r="AF98" i="50"/>
  <c r="BL43" i="49"/>
  <c r="BL94" i="49"/>
  <c r="AF679" i="50"/>
  <c r="AH679" i="50" s="1"/>
  <c r="AF322" i="50"/>
  <c r="AF224" i="50"/>
  <c r="AH224" i="50" s="1"/>
  <c r="AF196" i="50"/>
  <c r="BQ63" i="49"/>
  <c r="BQ66" i="49"/>
  <c r="AD2166" i="50"/>
  <c r="AD2880" i="50" s="1"/>
  <c r="T2166" i="50"/>
  <c r="T2880" i="50" s="1"/>
  <c r="Z2166" i="50"/>
  <c r="Z2880" i="50" s="1"/>
  <c r="AB2166" i="50"/>
  <c r="H81" i="32"/>
  <c r="J81" i="32"/>
  <c r="V20" i="32"/>
  <c r="T23" i="32"/>
  <c r="T42" i="32" s="1"/>
  <c r="V42" i="32" s="1"/>
  <c r="D10" i="32"/>
  <c r="H11" i="32"/>
  <c r="P1476" i="50"/>
  <c r="P2191" i="50" s="1"/>
  <c r="P2905" i="50" s="1"/>
  <c r="J1476" i="50"/>
  <c r="J2191" i="50" s="1"/>
  <c r="J2905" i="50" s="1"/>
  <c r="N1476" i="50"/>
  <c r="N2191" i="50" s="1"/>
  <c r="N2905" i="50" s="1"/>
  <c r="L1476" i="50"/>
  <c r="AO1481" i="50"/>
  <c r="F1476" i="50"/>
  <c r="F2191" i="50" s="1"/>
  <c r="F2905" i="50" s="1"/>
  <c r="H1476" i="50"/>
  <c r="T1390" i="50"/>
  <c r="AF1390" i="50" s="1"/>
  <c r="AB1882" i="50"/>
  <c r="P1986" i="50"/>
  <c r="P2369" i="50"/>
  <c r="AD1490" i="50"/>
  <c r="N1731" i="50"/>
  <c r="P1479" i="50"/>
  <c r="P2194" i="50" s="1"/>
  <c r="P2908" i="50" s="1"/>
  <c r="AH1975" i="50"/>
  <c r="X2011" i="50"/>
  <c r="X2726" i="50" s="1"/>
  <c r="AD1612" i="50"/>
  <c r="AD2327" i="50" s="1"/>
  <c r="AD3041" i="50" s="1"/>
  <c r="L1710" i="50"/>
  <c r="L2425" i="50" s="1"/>
  <c r="L3139" i="50" s="1"/>
  <c r="R1492" i="50"/>
  <c r="T1788" i="50"/>
  <c r="P2348" i="50"/>
  <c r="P3062" i="50" s="1"/>
  <c r="V29" i="32"/>
  <c r="AB1983" i="50"/>
  <c r="AB1734" i="50"/>
  <c r="N2572" i="50"/>
  <c r="N3286" i="50" s="1"/>
  <c r="AE41" i="32"/>
  <c r="AE42" i="32" s="1"/>
  <c r="AE43" i="32" s="1"/>
  <c r="AD2050" i="50"/>
  <c r="AH1882" i="50"/>
  <c r="F1986" i="50"/>
  <c r="L2369" i="50"/>
  <c r="L3083" i="50" s="1"/>
  <c r="AB1490" i="50"/>
  <c r="AB2205" i="50" s="1"/>
  <c r="AB2919" i="50" s="1"/>
  <c r="J1731" i="50"/>
  <c r="V1619" i="50"/>
  <c r="V2334" i="50" s="1"/>
  <c r="V3048" i="50" s="1"/>
  <c r="AB1975" i="50"/>
  <c r="AB2690" i="50" s="1"/>
  <c r="AB3404" i="50" s="1"/>
  <c r="V2011" i="50"/>
  <c r="V2726" i="50" s="1"/>
  <c r="V3440" i="50" s="1"/>
  <c r="X486" i="50"/>
  <c r="X1201" i="50" s="1"/>
  <c r="P1870" i="50"/>
  <c r="P2585" i="50" s="1"/>
  <c r="P3299" i="50" s="1"/>
  <c r="BH137" i="49"/>
  <c r="P1482" i="50"/>
  <c r="P2197" i="50" s="1"/>
  <c r="P2911" i="50" s="1"/>
  <c r="AF2121" i="50"/>
  <c r="X2121" i="50" s="1"/>
  <c r="X2836" i="50" s="1"/>
  <c r="X3550" i="50" s="1"/>
  <c r="AF19" i="32"/>
  <c r="V15" i="32"/>
  <c r="X1983" i="50"/>
  <c r="V1734" i="50"/>
  <c r="J1482" i="50"/>
  <c r="J2197" i="50" s="1"/>
  <c r="J2911" i="50" s="1"/>
  <c r="BH113" i="49"/>
  <c r="AF582" i="50"/>
  <c r="AH339" i="50"/>
  <c r="AB2845" i="50"/>
  <c r="AB3559" i="50" s="1"/>
  <c r="AI2120" i="50"/>
  <c r="X2050" i="50"/>
  <c r="X1882" i="50"/>
  <c r="L1986" i="50"/>
  <c r="F2369" i="50"/>
  <c r="L1731" i="50"/>
  <c r="T1619" i="50"/>
  <c r="L1870" i="50"/>
  <c r="V1975" i="50"/>
  <c r="P1588" i="50"/>
  <c r="L696" i="50"/>
  <c r="L1411" i="50" s="1"/>
  <c r="L2166" i="50"/>
  <c r="L2880" i="50" s="1"/>
  <c r="V2229" i="50"/>
  <c r="V2943" i="50" s="1"/>
  <c r="N1940" i="50"/>
  <c r="AB2045" i="50"/>
  <c r="L1482" i="50"/>
  <c r="L2197" i="50" s="1"/>
  <c r="L2911" i="50" s="1"/>
  <c r="AB20" i="32"/>
  <c r="V32" i="32"/>
  <c r="AD1983" i="50"/>
  <c r="V2397" i="50"/>
  <c r="V3111" i="50" s="1"/>
  <c r="BL183" i="49"/>
  <c r="BP183" i="49" s="1"/>
  <c r="AI1538" i="50"/>
  <c r="AI1591" i="50"/>
  <c r="AI1763" i="50"/>
  <c r="AI1785" i="50"/>
  <c r="AI1972" i="50"/>
  <c r="AI1979" i="50"/>
  <c r="AI2007" i="50"/>
  <c r="Z2050" i="50"/>
  <c r="AN1663" i="50"/>
  <c r="F1663" i="50" s="1"/>
  <c r="AH1986" i="50"/>
  <c r="H2369" i="50"/>
  <c r="H1731" i="50"/>
  <c r="H2446" i="50" s="1"/>
  <c r="H3160" i="50" s="1"/>
  <c r="AD1657" i="50"/>
  <c r="AD2372" i="50" s="1"/>
  <c r="AD3086" i="50" s="1"/>
  <c r="P2684" i="50"/>
  <c r="AH1870" i="50"/>
  <c r="T1975" i="50"/>
  <c r="T2690" i="50" s="1"/>
  <c r="L1588" i="50"/>
  <c r="F626" i="50"/>
  <c r="F1341" i="50" s="1"/>
  <c r="V1533" i="50"/>
  <c r="AH1525" i="50"/>
  <c r="F1940" i="50"/>
  <c r="AS149" i="49"/>
  <c r="AI177" i="49"/>
  <c r="BP224" i="49"/>
  <c r="BU224" i="49" s="1"/>
  <c r="BP216" i="49"/>
  <c r="V36" i="32"/>
  <c r="T1983" i="50"/>
  <c r="T1985" i="50" s="1"/>
  <c r="X1292" i="50"/>
  <c r="BQ78" i="49"/>
  <c r="AP21" i="61"/>
  <c r="I119" i="57"/>
  <c r="J2369" i="50"/>
  <c r="J3083" i="50" s="1"/>
  <c r="AL1686" i="50"/>
  <c r="AM1686" i="50" s="1"/>
  <c r="BL155" i="49"/>
  <c r="BP155" i="49" s="1"/>
  <c r="BU155" i="49" s="1"/>
  <c r="J1940" i="50"/>
  <c r="AL1940" i="50" s="1"/>
  <c r="AM1940" i="50" s="1"/>
  <c r="AD1752" i="50"/>
  <c r="AF1576" i="50"/>
  <c r="J2299" i="50"/>
  <c r="J3013" i="50" s="1"/>
  <c r="X2775" i="50"/>
  <c r="X3489" i="50" s="1"/>
  <c r="AH664" i="50"/>
  <c r="AH692" i="50"/>
  <c r="V39" i="32"/>
  <c r="J2852" i="50"/>
  <c r="J3566" i="50" s="1"/>
  <c r="AH2091" i="50"/>
  <c r="J50" i="38"/>
  <c r="AI1455" i="50"/>
  <c r="AI1469" i="50"/>
  <c r="AI1483" i="50"/>
  <c r="AI1769" i="50"/>
  <c r="V2050" i="50"/>
  <c r="J80" i="32"/>
  <c r="Z1926" i="50"/>
  <c r="Z2641" i="50" s="1"/>
  <c r="Z3355" i="50" s="1"/>
  <c r="L1918" i="50"/>
  <c r="AB2337" i="50"/>
  <c r="AB3051" i="50" s="1"/>
  <c r="N2369" i="50"/>
  <c r="N3083" i="50" s="1"/>
  <c r="AD3020" i="50"/>
  <c r="AB1341" i="50"/>
  <c r="H1940" i="50"/>
  <c r="F2348" i="50"/>
  <c r="F3062" i="50" s="1"/>
  <c r="AF1491" i="50"/>
  <c r="AD1491" i="50" s="1"/>
  <c r="V16" i="32"/>
  <c r="V33" i="32"/>
  <c r="P1580" i="50"/>
  <c r="F1489" i="50"/>
  <c r="AH2070" i="50"/>
  <c r="AH1519" i="50"/>
  <c r="V2425" i="50"/>
  <c r="V3139" i="50" s="1"/>
  <c r="V38" i="32"/>
  <c r="AD1734" i="50"/>
  <c r="AD2449" i="50" s="1"/>
  <c r="AD3163" i="50" s="1"/>
  <c r="M125" i="35"/>
  <c r="N52" i="38" s="1"/>
  <c r="L2852" i="50"/>
  <c r="L3566" i="50" s="1"/>
  <c r="P2376" i="50"/>
  <c r="P3090" i="50" s="1"/>
  <c r="AL21" i="61"/>
  <c r="AI699" i="50"/>
  <c r="AI1612" i="50"/>
  <c r="AI1626" i="50"/>
  <c r="AI1682" i="50"/>
  <c r="AI1738" i="50"/>
  <c r="AI1756" i="50"/>
  <c r="AI1762" i="50"/>
  <c r="AI1806" i="50"/>
  <c r="AI1819" i="50"/>
  <c r="AI1847" i="50"/>
  <c r="AI1868" i="50"/>
  <c r="AI1882" i="50"/>
  <c r="N21" i="49"/>
  <c r="AI119" i="50"/>
  <c r="AI191" i="50"/>
  <c r="N2058" i="50"/>
  <c r="N2773" i="50" s="1"/>
  <c r="H1779" i="50"/>
  <c r="H2494" i="50" s="1"/>
  <c r="Z1961" i="50"/>
  <c r="AH1808" i="50"/>
  <c r="V1801" i="50"/>
  <c r="V2516" i="50" s="1"/>
  <c r="AO1831" i="50"/>
  <c r="T1831" i="50" s="1"/>
  <c r="P1883" i="50"/>
  <c r="P2598" i="50" s="1"/>
  <c r="P3312" i="50" s="1"/>
  <c r="H1492" i="50"/>
  <c r="AD1713" i="50"/>
  <c r="J1979" i="50"/>
  <c r="X2022" i="50"/>
  <c r="T2022" i="50"/>
  <c r="H1542" i="50"/>
  <c r="H654" i="50"/>
  <c r="H1369" i="50" s="1"/>
  <c r="X1987" i="50"/>
  <c r="AB1987" i="50"/>
  <c r="T1995" i="50"/>
  <c r="AD1995" i="50"/>
  <c r="L1479" i="50"/>
  <c r="N1479" i="50"/>
  <c r="AB1709" i="50"/>
  <c r="X1986" i="50"/>
  <c r="X2701" i="50" s="1"/>
  <c r="X3415" i="50" s="1"/>
  <c r="AB1986" i="50"/>
  <c r="AD1986" i="50"/>
  <c r="P1472" i="50"/>
  <c r="P2187" i="50" s="1"/>
  <c r="P2901" i="50" s="1"/>
  <c r="L1472" i="50"/>
  <c r="AH1640" i="50"/>
  <c r="T1640" i="50"/>
  <c r="T2355" i="50" s="1"/>
  <c r="T3069" i="50" s="1"/>
  <c r="V1640" i="50"/>
  <c r="V2355" i="50" s="1"/>
  <c r="V3069" i="50" s="1"/>
  <c r="AB654" i="50"/>
  <c r="AB1369" i="50" s="1"/>
  <c r="T654" i="50"/>
  <c r="T1369" i="50" s="1"/>
  <c r="AB507" i="50"/>
  <c r="AB1222" i="50" s="1"/>
  <c r="Z507" i="50"/>
  <c r="Z1222" i="50" s="1"/>
  <c r="N1735" i="50"/>
  <c r="N2450" i="50" s="1"/>
  <c r="N3164" i="50" s="1"/>
  <c r="L1735" i="50"/>
  <c r="L2450" i="50" s="1"/>
  <c r="L3164" i="50" s="1"/>
  <c r="AH1735" i="50"/>
  <c r="F1840" i="50"/>
  <c r="F2555" i="50" s="1"/>
  <c r="F3269" i="50" s="1"/>
  <c r="J1840" i="50"/>
  <c r="J2555" i="50" s="1"/>
  <c r="J3269" i="50" s="1"/>
  <c r="P1533" i="50"/>
  <c r="P2248" i="50" s="1"/>
  <c r="P2962" i="50" s="1"/>
  <c r="L1533" i="50"/>
  <c r="AB1664" i="50"/>
  <c r="AB2379" i="50" s="1"/>
  <c r="AB3093" i="50" s="1"/>
  <c r="V1664" i="50"/>
  <c r="V2379" i="50" s="1"/>
  <c r="V3093" i="50" s="1"/>
  <c r="V1645" i="50"/>
  <c r="V2360" i="50" s="1"/>
  <c r="V3074" i="50" s="1"/>
  <c r="AH1531" i="50"/>
  <c r="L2004" i="50"/>
  <c r="L2719" i="50" s="1"/>
  <c r="AN320" i="50"/>
  <c r="AH1485" i="50"/>
  <c r="AB1485" i="50"/>
  <c r="AB2200" i="50" s="1"/>
  <c r="AB2113" i="50"/>
  <c r="T2113" i="50"/>
  <c r="T2828" i="50" s="1"/>
  <c r="N1793" i="50"/>
  <c r="J1793" i="50"/>
  <c r="F1790" i="50"/>
  <c r="J1790" i="50"/>
  <c r="J2505" i="50" s="1"/>
  <c r="J3219" i="50" s="1"/>
  <c r="L1790" i="50"/>
  <c r="H1790" i="50"/>
  <c r="P1790" i="50"/>
  <c r="Z1531" i="50"/>
  <c r="Z2246" i="50" s="1"/>
  <c r="Z2960" i="50" s="1"/>
  <c r="V1531" i="50"/>
  <c r="V2246" i="50" s="1"/>
  <c r="V2960" i="50" s="1"/>
  <c r="H1650" i="50"/>
  <c r="F1650" i="50"/>
  <c r="F2365" i="50" s="1"/>
  <c r="F3079" i="50" s="1"/>
  <c r="J1650" i="50"/>
  <c r="J2365" i="50" s="1"/>
  <c r="J3079" i="50" s="1"/>
  <c r="N1650" i="50"/>
  <c r="N2365" i="50" s="1"/>
  <c r="V1794" i="50"/>
  <c r="Z1794" i="50"/>
  <c r="Z2509" i="50" s="1"/>
  <c r="Z3223" i="50" s="1"/>
  <c r="AB1794" i="50"/>
  <c r="AB2509" i="50" s="1"/>
  <c r="AB3223" i="50" s="1"/>
  <c r="AN1670" i="50"/>
  <c r="F1670" i="50" s="1"/>
  <c r="N2126" i="50"/>
  <c r="J2126" i="50"/>
  <c r="N1920" i="50"/>
  <c r="N2635" i="50" s="1"/>
  <c r="N3349" i="50" s="1"/>
  <c r="AH1920" i="50"/>
  <c r="H1920" i="50"/>
  <c r="H2635" i="50" s="1"/>
  <c r="V1633" i="50"/>
  <c r="X1633" i="50"/>
  <c r="AB1547" i="50"/>
  <c r="AB2262" i="50" s="1"/>
  <c r="AB2976" i="50" s="1"/>
  <c r="AD1547" i="50"/>
  <c r="AD2262" i="50" s="1"/>
  <c r="AD2976" i="50" s="1"/>
  <c r="F1856" i="50"/>
  <c r="F2571" i="50" s="1"/>
  <c r="P1856" i="50"/>
  <c r="P2571" i="50" s="1"/>
  <c r="P3285" i="50" s="1"/>
  <c r="F1624" i="50"/>
  <c r="F2339" i="50" s="1"/>
  <c r="F3053" i="50" s="1"/>
  <c r="J1624" i="50"/>
  <c r="AB1738" i="50"/>
  <c r="V1738" i="50"/>
  <c r="V1673" i="50"/>
  <c r="V2388" i="50" s="1"/>
  <c r="V3102" i="50" s="1"/>
  <c r="T1673" i="50"/>
  <c r="V1881" i="50"/>
  <c r="V2596" i="50" s="1"/>
  <c r="V3310" i="50" s="1"/>
  <c r="AD1881" i="50"/>
  <c r="AD2596" i="50" s="1"/>
  <c r="AD3310" i="50" s="1"/>
  <c r="Z1881" i="50"/>
  <c r="Z2596" i="50" s="1"/>
  <c r="Z3310" i="50" s="1"/>
  <c r="L1484" i="50"/>
  <c r="L2199" i="50" s="1"/>
  <c r="L2913" i="50" s="1"/>
  <c r="F1484" i="50"/>
  <c r="F2199" i="50" s="1"/>
  <c r="AD1527" i="50"/>
  <c r="Z1527" i="50"/>
  <c r="V1527" i="50"/>
  <c r="N1721" i="50"/>
  <c r="N2436" i="50" s="1"/>
  <c r="N3150" i="50" s="1"/>
  <c r="J1721" i="50"/>
  <c r="P1555" i="50"/>
  <c r="J1555" i="50"/>
  <c r="L1555" i="50"/>
  <c r="N1510" i="50"/>
  <c r="L1510" i="50"/>
  <c r="Z2074" i="50"/>
  <c r="AB2074" i="50"/>
  <c r="AB2056" i="50"/>
  <c r="Z2056" i="50"/>
  <c r="Z2771" i="50" s="1"/>
  <c r="Z3485" i="50" s="1"/>
  <c r="F2971" i="50"/>
  <c r="AB1484" i="50"/>
  <c r="AB2199" i="50" s="1"/>
  <c r="AB2913" i="50" s="1"/>
  <c r="X1484" i="50"/>
  <c r="F2058" i="50"/>
  <c r="F2773" i="50" s="1"/>
  <c r="F3487" i="50" s="1"/>
  <c r="AD1961" i="50"/>
  <c r="T1808" i="50"/>
  <c r="V1728" i="50"/>
  <c r="AH1728" i="50"/>
  <c r="Z1484" i="50"/>
  <c r="J2058" i="50"/>
  <c r="J2773" i="50" s="1"/>
  <c r="J3487" i="50" s="1"/>
  <c r="J1779" i="50"/>
  <c r="J2494" i="50" s="1"/>
  <c r="J3208" i="50" s="1"/>
  <c r="AH1779" i="50"/>
  <c r="AB1961" i="50"/>
  <c r="AD1808" i="50"/>
  <c r="Z1808" i="50"/>
  <c r="AH1555" i="50"/>
  <c r="AD1728" i="50"/>
  <c r="AD2443" i="50" s="1"/>
  <c r="AD3157" i="50" s="1"/>
  <c r="AB1728" i="50"/>
  <c r="AO1558" i="50"/>
  <c r="T1558" i="50" s="1"/>
  <c r="AD1853" i="50"/>
  <c r="AD2568" i="50" s="1"/>
  <c r="AD3282" i="50" s="1"/>
  <c r="L1883" i="50"/>
  <c r="L2598" i="50" s="1"/>
  <c r="L3312" i="50" s="1"/>
  <c r="J1883" i="50"/>
  <c r="J2598" i="50" s="1"/>
  <c r="J3312" i="50" s="1"/>
  <c r="AH1492" i="50"/>
  <c r="J1492" i="50"/>
  <c r="J2207" i="50" s="1"/>
  <c r="J2921" i="50" s="1"/>
  <c r="J1451" i="50"/>
  <c r="J2166" i="50" s="1"/>
  <c r="AB1905" i="50"/>
  <c r="AD1582" i="50"/>
  <c r="F2126" i="50"/>
  <c r="F1862" i="50"/>
  <c r="F2577" i="50" s="1"/>
  <c r="F3291" i="50" s="1"/>
  <c r="AD2022" i="50"/>
  <c r="AD2737" i="50" s="1"/>
  <c r="AD3451" i="50" s="1"/>
  <c r="AB1878" i="50"/>
  <c r="P1920" i="50"/>
  <c r="N1542" i="50"/>
  <c r="N2257" i="50" s="1"/>
  <c r="N2971" i="50" s="1"/>
  <c r="V1987" i="50"/>
  <c r="H1510" i="50"/>
  <c r="V2028" i="50"/>
  <c r="Z2028" i="50"/>
  <c r="Z2743" i="50" s="1"/>
  <c r="Z3457" i="50" s="1"/>
  <c r="N1771" i="50"/>
  <c r="N2486" i="50" s="1"/>
  <c r="N3200" i="50" s="1"/>
  <c r="J1771" i="50"/>
  <c r="N1531" i="50"/>
  <c r="N2246" i="50" s="1"/>
  <c r="N2960" i="50" s="1"/>
  <c r="T1633" i="50"/>
  <c r="T2348" i="50" s="1"/>
  <c r="T3062" i="50" s="1"/>
  <c r="H1484" i="50"/>
  <c r="Z1738" i="50"/>
  <c r="P1721" i="50"/>
  <c r="X1597" i="50"/>
  <c r="Z1701" i="50"/>
  <c r="V1701" i="50"/>
  <c r="V2416" i="50" s="1"/>
  <c r="V3130" i="50" s="1"/>
  <c r="AB1701" i="50"/>
  <c r="AD1701" i="50"/>
  <c r="X1672" i="50"/>
  <c r="X2387" i="50" s="1"/>
  <c r="X3101" i="50" s="1"/>
  <c r="Z1672" i="50"/>
  <c r="Z2387" i="50" s="1"/>
  <c r="Z3101" i="50" s="1"/>
  <c r="V1672" i="50"/>
  <c r="AN1677" i="50"/>
  <c r="F1677" i="50" s="1"/>
  <c r="T2142" i="50"/>
  <c r="X2142" i="50"/>
  <c r="AB2142" i="50"/>
  <c r="V1832" i="50"/>
  <c r="V2547" i="50" s="1"/>
  <c r="V3261" i="50" s="1"/>
  <c r="AB1832" i="50"/>
  <c r="AB2547" i="50" s="1"/>
  <c r="AB3261" i="50" s="1"/>
  <c r="AD1832" i="50"/>
  <c r="AD2547" i="50" s="1"/>
  <c r="AD3261" i="50" s="1"/>
  <c r="X1832" i="50"/>
  <c r="X2547" i="50" s="1"/>
  <c r="X3261" i="50" s="1"/>
  <c r="Z1832" i="50"/>
  <c r="Z2547" i="50" s="1"/>
  <c r="Z3261" i="50" s="1"/>
  <c r="H1633" i="50"/>
  <c r="L1633" i="50"/>
  <c r="J1633" i="50"/>
  <c r="J2348" i="50" s="1"/>
  <c r="J3062" i="50" s="1"/>
  <c r="J1617" i="50"/>
  <c r="J2332" i="50" s="1"/>
  <c r="F1617" i="50"/>
  <c r="F2332" i="50" s="1"/>
  <c r="F3046" i="50" s="1"/>
  <c r="N1617" i="50"/>
  <c r="H1617" i="50"/>
  <c r="AB1764" i="50"/>
  <c r="X1764" i="50"/>
  <c r="AD1764" i="50"/>
  <c r="T1764" i="50"/>
  <c r="AH1917" i="50"/>
  <c r="X1917" i="50"/>
  <c r="V1917" i="50"/>
  <c r="V2632" i="50" s="1"/>
  <c r="V3346" i="50" s="1"/>
  <c r="Z1917" i="50"/>
  <c r="Z2632" i="50" s="1"/>
  <c r="Z3346" i="50" s="1"/>
  <c r="AB2038" i="50"/>
  <c r="X2038" i="50"/>
  <c r="H479" i="50"/>
  <c r="P479" i="50"/>
  <c r="P1194" i="50" s="1"/>
  <c r="X1496" i="50"/>
  <c r="X2211" i="50" s="1"/>
  <c r="X2925" i="50" s="1"/>
  <c r="AD1496" i="50"/>
  <c r="AD2211" i="50" s="1"/>
  <c r="AD2925" i="50" s="1"/>
  <c r="T1496" i="50"/>
  <c r="V1979" i="50"/>
  <c r="X1979" i="50"/>
  <c r="AD1979" i="50"/>
  <c r="AB1979" i="50"/>
  <c r="V1524" i="50"/>
  <c r="V2239" i="50" s="1"/>
  <c r="V2953" i="50" s="1"/>
  <c r="Z1524" i="50"/>
  <c r="X1524" i="50"/>
  <c r="X2239" i="50" s="1"/>
  <c r="X2953" i="50" s="1"/>
  <c r="AB1514" i="50"/>
  <c r="AB2229" i="50" s="1"/>
  <c r="AB2943" i="50" s="1"/>
  <c r="AD1514" i="50"/>
  <c r="AD2229" i="50" s="1"/>
  <c r="AD2943" i="50" s="1"/>
  <c r="D1510" i="50"/>
  <c r="D2225" i="50" s="1"/>
  <c r="D75" i="50"/>
  <c r="AH1484" i="50"/>
  <c r="AH2058" i="50"/>
  <c r="F1779" i="50"/>
  <c r="F2494" i="50" s="1"/>
  <c r="F3208" i="50" s="1"/>
  <c r="X1961" i="50"/>
  <c r="AH1881" i="50"/>
  <c r="V1808" i="50"/>
  <c r="X1728" i="50"/>
  <c r="X2443" i="50" s="1"/>
  <c r="X3157" i="50" s="1"/>
  <c r="F1883" i="50"/>
  <c r="F2598" i="50" s="1"/>
  <c r="F3312" i="50" s="1"/>
  <c r="N1492" i="50"/>
  <c r="N2207" i="50" s="1"/>
  <c r="N2921" i="50" s="1"/>
  <c r="P2126" i="50"/>
  <c r="P2841" i="50" s="1"/>
  <c r="P3555" i="50" s="1"/>
  <c r="P1862" i="50"/>
  <c r="P2577" i="50" s="1"/>
  <c r="P3291" i="50" s="1"/>
  <c r="V2022" i="50"/>
  <c r="V2737" i="50" s="1"/>
  <c r="V3451" i="50" s="1"/>
  <c r="V1878" i="50"/>
  <c r="J1920" i="50"/>
  <c r="J2635" i="50" s="1"/>
  <c r="J3349" i="50" s="1"/>
  <c r="J1542" i="50"/>
  <c r="AH1987" i="50"/>
  <c r="T1987" i="50"/>
  <c r="AH1885" i="50"/>
  <c r="L1794" i="50"/>
  <c r="L2509" i="50" s="1"/>
  <c r="L3223" i="50" s="1"/>
  <c r="N1794" i="50"/>
  <c r="AH2021" i="50"/>
  <c r="T1688" i="50"/>
  <c r="AB1688" i="50"/>
  <c r="AB2403" i="50" s="1"/>
  <c r="AB3117" i="50" s="1"/>
  <c r="T2037" i="50"/>
  <c r="T2752" i="50" s="1"/>
  <c r="T3466" i="50" s="1"/>
  <c r="AH2037" i="50"/>
  <c r="Z1678" i="50"/>
  <c r="V1678" i="50"/>
  <c r="F1457" i="50"/>
  <c r="F2172" i="50" s="1"/>
  <c r="F2886" i="50" s="1"/>
  <c r="J1457" i="50"/>
  <c r="X1695" i="50"/>
  <c r="AD1695" i="50"/>
  <c r="F1574" i="50"/>
  <c r="N1574" i="50"/>
  <c r="N1461" i="50"/>
  <c r="N2176" i="50" s="1"/>
  <c r="N2890" i="50" s="1"/>
  <c r="AH1461" i="50"/>
  <c r="P2044" i="50"/>
  <c r="P2759" i="50" s="1"/>
  <c r="P3473" i="50" s="1"/>
  <c r="F2044" i="50"/>
  <c r="F2759" i="50" s="1"/>
  <c r="F3473" i="50" s="1"/>
  <c r="X1881" i="50"/>
  <c r="X1798" i="50"/>
  <c r="X2513" i="50" s="1"/>
  <c r="X3227" i="50" s="1"/>
  <c r="T1714" i="50"/>
  <c r="T2429" i="50" s="1"/>
  <c r="Z1714" i="50"/>
  <c r="Z2429" i="50" s="1"/>
  <c r="Z3143" i="50" s="1"/>
  <c r="T2760" i="50"/>
  <c r="T3474" i="50" s="1"/>
  <c r="N2586" i="50"/>
  <c r="N3300" i="50" s="1"/>
  <c r="T1722" i="50"/>
  <c r="AD1722" i="50"/>
  <c r="L1503" i="50"/>
  <c r="L2218" i="50" s="1"/>
  <c r="L2932" i="50" s="1"/>
  <c r="F1503" i="50"/>
  <c r="F2218" i="50" s="1"/>
  <c r="F2932" i="50" s="1"/>
  <c r="J2021" i="50"/>
  <c r="J2736" i="50" s="1"/>
  <c r="J3450" i="50" s="1"/>
  <c r="P2021" i="50"/>
  <c r="P2736" i="50" s="1"/>
  <c r="P3450" i="50" s="1"/>
  <c r="P1815" i="50"/>
  <c r="P2530" i="50" s="1"/>
  <c r="P3244" i="50" s="1"/>
  <c r="J1815" i="50"/>
  <c r="J2530" i="50" s="1"/>
  <c r="J3244" i="50" s="1"/>
  <c r="L1485" i="50"/>
  <c r="N1485" i="50"/>
  <c r="F1513" i="50"/>
  <c r="P1513" i="50"/>
  <c r="V1962" i="50"/>
  <c r="V2677" i="50" s="1"/>
  <c r="V3391" i="50" s="1"/>
  <c r="AB1962" i="50"/>
  <c r="D1657" i="50"/>
  <c r="D2372" i="50" s="1"/>
  <c r="D931" i="50"/>
  <c r="C1036" i="50"/>
  <c r="C1762" i="50"/>
  <c r="C2477" i="50" s="1"/>
  <c r="D1043" i="50"/>
  <c r="D3198" i="50"/>
  <c r="D1071" i="50"/>
  <c r="D362" i="50"/>
  <c r="C3247" i="50"/>
  <c r="C1092" i="50"/>
  <c r="C1113" i="50"/>
  <c r="C3268" i="50"/>
  <c r="D1134" i="50"/>
  <c r="D425" i="50"/>
  <c r="C1183" i="50"/>
  <c r="C3338" i="50"/>
  <c r="D1218" i="50"/>
  <c r="D1944" i="50"/>
  <c r="D2659" i="50" s="1"/>
  <c r="D2056" i="50"/>
  <c r="D2771" i="50" s="1"/>
  <c r="D1330" i="50"/>
  <c r="C3506" i="50"/>
  <c r="C1351" i="50"/>
  <c r="C2077" i="50"/>
  <c r="C2792" i="50" s="1"/>
  <c r="X1870" i="50"/>
  <c r="X2585" i="50" s="1"/>
  <c r="X3299" i="50" s="1"/>
  <c r="Z1870" i="50"/>
  <c r="AB1493" i="50"/>
  <c r="V1493" i="50"/>
  <c r="AB1504" i="50"/>
  <c r="AB2219" i="50" s="1"/>
  <c r="AB2933" i="50" s="1"/>
  <c r="X1504" i="50"/>
  <c r="X2219" i="50" s="1"/>
  <c r="X2933" i="50" s="1"/>
  <c r="Z2136" i="50"/>
  <c r="Z2851" i="50" s="1"/>
  <c r="Z3565" i="50" s="1"/>
  <c r="V2136" i="50"/>
  <c r="V2851" i="50" s="1"/>
  <c r="T2136" i="50"/>
  <c r="T2851" i="50" s="1"/>
  <c r="T3565" i="50" s="1"/>
  <c r="AD1902" i="50"/>
  <c r="V1902" i="50"/>
  <c r="F1875" i="50"/>
  <c r="P1875" i="50"/>
  <c r="N1875" i="50"/>
  <c r="L1931" i="50"/>
  <c r="P1931" i="50"/>
  <c r="J1931" i="50"/>
  <c r="L1959" i="50"/>
  <c r="J1959" i="50"/>
  <c r="H1959" i="50"/>
  <c r="J1987" i="50"/>
  <c r="L1987" i="50"/>
  <c r="P2043" i="50"/>
  <c r="L2043" i="50"/>
  <c r="L2758" i="50" s="1"/>
  <c r="L3472" i="50" s="1"/>
  <c r="F2071" i="50"/>
  <c r="F2786" i="50" s="1"/>
  <c r="F3500" i="50" s="1"/>
  <c r="H2071" i="50"/>
  <c r="N2071" i="50"/>
  <c r="P2099" i="50"/>
  <c r="N2099" i="50"/>
  <c r="H2127" i="50"/>
  <c r="J2127" i="50"/>
  <c r="P2127" i="50"/>
  <c r="X1975" i="50"/>
  <c r="X2690" i="50" s="1"/>
  <c r="X3404" i="50" s="1"/>
  <c r="AB2011" i="50"/>
  <c r="AB2726" i="50" s="1"/>
  <c r="AB3440" i="50" s="1"/>
  <c r="V1829" i="50"/>
  <c r="V2544" i="50" s="1"/>
  <c r="V3258" i="50" s="1"/>
  <c r="AD1469" i="50"/>
  <c r="V1454" i="50"/>
  <c r="V2169" i="50" s="1"/>
  <c r="V2883" i="50" s="1"/>
  <c r="T2011" i="50"/>
  <c r="AB1658" i="50"/>
  <c r="AB2373" i="50" s="1"/>
  <c r="AB3087" i="50" s="1"/>
  <c r="H2021" i="50"/>
  <c r="H2736" i="50" s="1"/>
  <c r="AH2056" i="50"/>
  <c r="H1485" i="50"/>
  <c r="L1465" i="50"/>
  <c r="L2180" i="50" s="1"/>
  <c r="L2894" i="50" s="1"/>
  <c r="P1750" i="50"/>
  <c r="P2465" i="50" s="1"/>
  <c r="P3179" i="50" s="1"/>
  <c r="H1750" i="50"/>
  <c r="H2465" i="50" s="1"/>
  <c r="H3179" i="50" s="1"/>
  <c r="N1482" i="50"/>
  <c r="N2197" i="50" s="1"/>
  <c r="N2911" i="50" s="1"/>
  <c r="P1706" i="50"/>
  <c r="P2421" i="50" s="1"/>
  <c r="P3135" i="50" s="1"/>
  <c r="L2021" i="50"/>
  <c r="L2736" i="50" s="1"/>
  <c r="L3450" i="50" s="1"/>
  <c r="H1513" i="50"/>
  <c r="H2228" i="50" s="1"/>
  <c r="F1706" i="50"/>
  <c r="F2421" i="50" s="1"/>
  <c r="D1797" i="50"/>
  <c r="D2512" i="50" s="1"/>
  <c r="C1706" i="50"/>
  <c r="C2421" i="50" s="1"/>
  <c r="D3170" i="50"/>
  <c r="AH15" i="50"/>
  <c r="AH73" i="50"/>
  <c r="AH23" i="50"/>
  <c r="AH290" i="50"/>
  <c r="AH262" i="50"/>
  <c r="AH206" i="50"/>
  <c r="AH87" i="50"/>
  <c r="AH72" i="50"/>
  <c r="AH1547" i="50"/>
  <c r="AH1958" i="50"/>
  <c r="D3485" i="50"/>
  <c r="D3373" i="50"/>
  <c r="D1358" i="50"/>
  <c r="D1274" i="50"/>
  <c r="C1909" i="50"/>
  <c r="C2624" i="50" s="1"/>
  <c r="D3226" i="50"/>
  <c r="N1518" i="50"/>
  <c r="P1518" i="50"/>
  <c r="P2233" i="50" s="1"/>
  <c r="P2947" i="50" s="1"/>
  <c r="P2119" i="50"/>
  <c r="L2119" i="50"/>
  <c r="L2834" i="50" s="1"/>
  <c r="L3548" i="50" s="1"/>
  <c r="D1351" i="50"/>
  <c r="C1232" i="50"/>
  <c r="D1267" i="50"/>
  <c r="D3422" i="50"/>
  <c r="AH546" i="50"/>
  <c r="AH353" i="50"/>
  <c r="AH49" i="50"/>
  <c r="D896" i="50"/>
  <c r="C1643" i="50"/>
  <c r="C2358" i="50" s="1"/>
  <c r="AH16" i="50"/>
  <c r="D355" i="50"/>
  <c r="D3163" i="50"/>
  <c r="C3387" i="50"/>
  <c r="C3128" i="50"/>
  <c r="D924" i="50"/>
  <c r="F2299" i="50"/>
  <c r="F3013" i="50" s="1"/>
  <c r="AH1974" i="50"/>
  <c r="AD1974" i="50"/>
  <c r="AD2689" i="50" s="1"/>
  <c r="AD3403" i="50" s="1"/>
  <c r="Z1784" i="50"/>
  <c r="AB1784" i="50"/>
  <c r="X1784" i="50"/>
  <c r="V1784" i="50"/>
  <c r="AD1784" i="50"/>
  <c r="AH1448" i="50"/>
  <c r="F1448" i="50"/>
  <c r="AH2077" i="50"/>
  <c r="V2077" i="50"/>
  <c r="N2098" i="50"/>
  <c r="P2098" i="50"/>
  <c r="Z1583" i="50"/>
  <c r="Z2298" i="50" s="1"/>
  <c r="X1583" i="50"/>
  <c r="N1755" i="50"/>
  <c r="N2470" i="50" s="1"/>
  <c r="N3184" i="50" s="1"/>
  <c r="AH1755" i="50"/>
  <c r="X1630" i="50"/>
  <c r="AN1635" i="50"/>
  <c r="F1635" i="50" s="1"/>
  <c r="AH1526" i="50"/>
  <c r="N1526" i="50"/>
  <c r="H1451" i="50"/>
  <c r="N1451" i="50"/>
  <c r="N2166" i="50" s="1"/>
  <c r="N2880" i="50" s="1"/>
  <c r="X1947" i="50"/>
  <c r="X2662" i="50" s="1"/>
  <c r="X3376" i="50" s="1"/>
  <c r="AB1947" i="50"/>
  <c r="AB2662" i="50" s="1"/>
  <c r="AB3376" i="50" s="1"/>
  <c r="T1947" i="50"/>
  <c r="AH1713" i="50"/>
  <c r="N1713" i="50"/>
  <c r="N2428" i="50" s="1"/>
  <c r="N3142" i="50" s="1"/>
  <c r="H3286" i="50"/>
  <c r="AH1770" i="50"/>
  <c r="AB1770" i="50"/>
  <c r="T1770" i="50"/>
  <c r="J1689" i="50"/>
  <c r="J2404" i="50" s="1"/>
  <c r="L1689" i="50"/>
  <c r="P1689" i="50"/>
  <c r="P2404" i="50" s="1"/>
  <c r="P3118" i="50" s="1"/>
  <c r="N1689" i="50"/>
  <c r="N2404" i="50" s="1"/>
  <c r="N3118" i="50" s="1"/>
  <c r="J1609" i="50"/>
  <c r="J2324" i="50" s="1"/>
  <c r="N1609" i="50"/>
  <c r="N2324" i="50" s="1"/>
  <c r="N3038" i="50" s="1"/>
  <c r="AB1499" i="50"/>
  <c r="V1499" i="50"/>
  <c r="N2130" i="50"/>
  <c r="N2845" i="50" s="1"/>
  <c r="N3559" i="50" s="1"/>
  <c r="J2130" i="50"/>
  <c r="J2845" i="50" s="1"/>
  <c r="J3559" i="50" s="1"/>
  <c r="H2130" i="50"/>
  <c r="H2845" i="50" s="1"/>
  <c r="H3559" i="50" s="1"/>
  <c r="V1778" i="50"/>
  <c r="AD1778" i="50"/>
  <c r="AB1778" i="50"/>
  <c r="AB2493" i="50" s="1"/>
  <c r="AB3207" i="50" s="1"/>
  <c r="AD1617" i="50"/>
  <c r="AH1617" i="50"/>
  <c r="H2101" i="50"/>
  <c r="P2101" i="50"/>
  <c r="P2816" i="50" s="1"/>
  <c r="P3530" i="50" s="1"/>
  <c r="Z2004" i="50"/>
  <c r="Z2719" i="50" s="1"/>
  <c r="Z3433" i="50" s="1"/>
  <c r="AD2004" i="50"/>
  <c r="AD2719" i="50" s="1"/>
  <c r="AD3433" i="50" s="1"/>
  <c r="V2004" i="50"/>
  <c r="V2719" i="50" s="1"/>
  <c r="V3433" i="50" s="1"/>
  <c r="T2004" i="50"/>
  <c r="F1946" i="50"/>
  <c r="F2661" i="50" s="1"/>
  <c r="P1946" i="50"/>
  <c r="AH1946" i="50"/>
  <c r="V1861" i="50"/>
  <c r="V2576" i="50" s="1"/>
  <c r="V3290" i="50" s="1"/>
  <c r="X1861" i="50"/>
  <c r="H1723" i="50"/>
  <c r="F1723" i="50"/>
  <c r="Z1636" i="50"/>
  <c r="Z2351" i="50" s="1"/>
  <c r="Z3065" i="50" s="1"/>
  <c r="AD1636" i="50"/>
  <c r="P1561" i="50"/>
  <c r="P2276" i="50" s="1"/>
  <c r="P2990" i="50" s="1"/>
  <c r="N1561" i="50"/>
  <c r="N2276" i="50" s="1"/>
  <c r="N2990" i="50" s="1"/>
  <c r="AH1482" i="50"/>
  <c r="Z1482" i="50"/>
  <c r="Z2197" i="50" s="1"/>
  <c r="Z2911" i="50" s="1"/>
  <c r="V1482" i="50"/>
  <c r="V2197" i="50" s="1"/>
  <c r="V2911" i="50" s="1"/>
  <c r="X1482" i="50"/>
  <c r="X2197" i="50" s="1"/>
  <c r="X2911" i="50" s="1"/>
  <c r="Z1944" i="50"/>
  <c r="Z2659" i="50" s="1"/>
  <c r="Z3373" i="50" s="1"/>
  <c r="T1944" i="50"/>
  <c r="T2659" i="50" s="1"/>
  <c r="T3373" i="50" s="1"/>
  <c r="L1860" i="50"/>
  <c r="P1860" i="50"/>
  <c r="N1860" i="50"/>
  <c r="N2575" i="50" s="1"/>
  <c r="N3289" i="50" s="1"/>
  <c r="F1548" i="50"/>
  <c r="N1548" i="50"/>
  <c r="L2761" i="50"/>
  <c r="L3475" i="50"/>
  <c r="H2094" i="50"/>
  <c r="H2809" i="50" s="1"/>
  <c r="H3523" i="50" s="1"/>
  <c r="AH2094" i="50"/>
  <c r="P2094" i="50"/>
  <c r="P2809" i="50" s="1"/>
  <c r="P3523" i="50" s="1"/>
  <c r="F2094" i="50"/>
  <c r="F2809" i="50" s="1"/>
  <c r="F3523" i="50" s="1"/>
  <c r="L2094" i="50"/>
  <c r="J2094" i="50"/>
  <c r="N1876" i="50"/>
  <c r="F1876" i="50"/>
  <c r="F2591" i="50" s="1"/>
  <c r="F3305" i="50" s="1"/>
  <c r="H1876" i="50"/>
  <c r="J1876" i="50"/>
  <c r="P1876" i="50"/>
  <c r="L1876" i="50"/>
  <c r="L2591" i="50" s="1"/>
  <c r="L3305" i="50" s="1"/>
  <c r="T1692" i="50"/>
  <c r="AB1692" i="50"/>
  <c r="Z1692" i="50"/>
  <c r="V1692" i="50"/>
  <c r="AH1692" i="50"/>
  <c r="X1595" i="50"/>
  <c r="T1595" i="50"/>
  <c r="AD1595" i="50"/>
  <c r="Z1595" i="50"/>
  <c r="F1500" i="50"/>
  <c r="AH1500" i="50"/>
  <c r="N1500" i="50"/>
  <c r="L1500" i="50"/>
  <c r="P1500" i="50"/>
  <c r="Z1974" i="50"/>
  <c r="Z2689" i="50" s="1"/>
  <c r="Z3403" i="50" s="1"/>
  <c r="J1557" i="50"/>
  <c r="J1558" i="50" s="1"/>
  <c r="H1713" i="50"/>
  <c r="H2428" i="50" s="1"/>
  <c r="H3142" i="50" s="1"/>
  <c r="J2098" i="50"/>
  <c r="J2813" i="50" s="1"/>
  <c r="J3527" i="50" s="1"/>
  <c r="AD1947" i="50"/>
  <c r="AD2662" i="50" s="1"/>
  <c r="AD3376" i="50" s="1"/>
  <c r="F1451" i="50"/>
  <c r="AO1530" i="50"/>
  <c r="T1530" i="50" s="1"/>
  <c r="F1526" i="50"/>
  <c r="T1713" i="50"/>
  <c r="T2428" i="50" s="1"/>
  <c r="Z2077" i="50"/>
  <c r="J1448" i="50"/>
  <c r="J2163" i="50" s="1"/>
  <c r="J2877" i="50" s="1"/>
  <c r="Z1630" i="50"/>
  <c r="F1755" i="50"/>
  <c r="F2470" i="50" s="1"/>
  <c r="F3184" i="50" s="1"/>
  <c r="AH1631" i="50"/>
  <c r="X1631" i="50"/>
  <c r="X2346" i="50" s="1"/>
  <c r="X3060" i="50" s="1"/>
  <c r="L1933" i="50"/>
  <c r="L2648" i="50" s="1"/>
  <c r="L3362" i="50" s="1"/>
  <c r="X1944" i="50"/>
  <c r="X2659" i="50" s="1"/>
  <c r="X3373" i="50" s="1"/>
  <c r="L1561" i="50"/>
  <c r="L2276" i="50" s="1"/>
  <c r="L2990" i="50" s="1"/>
  <c r="AB1636" i="50"/>
  <c r="J2101" i="50"/>
  <c r="V1617" i="50"/>
  <c r="P1609" i="50"/>
  <c r="X1770" i="50"/>
  <c r="AD1583" i="50"/>
  <c r="AH1583" i="50"/>
  <c r="AH1629" i="50"/>
  <c r="L1629" i="50"/>
  <c r="L2030" i="50"/>
  <c r="J2030" i="50"/>
  <c r="H2030" i="50"/>
  <c r="H2745" i="50" s="1"/>
  <c r="H3459" i="50" s="1"/>
  <c r="P2030" i="50"/>
  <c r="F2143" i="50"/>
  <c r="F2858" i="50" s="1"/>
  <c r="F3572" i="50" s="1"/>
  <c r="AH2143" i="50"/>
  <c r="N1769" i="50"/>
  <c r="N2484" i="50" s="1"/>
  <c r="N3198" i="50" s="1"/>
  <c r="H1769" i="50"/>
  <c r="J1769" i="50"/>
  <c r="J1483" i="50"/>
  <c r="N1483" i="50"/>
  <c r="Z1749" i="50"/>
  <c r="Z2464" i="50" s="1"/>
  <c r="Z3178" i="50" s="1"/>
  <c r="AB1749" i="50"/>
  <c r="T2009" i="50"/>
  <c r="Z2009" i="50"/>
  <c r="Z2724" i="50" s="1"/>
  <c r="Z3438" i="50" s="1"/>
  <c r="J1836" i="50"/>
  <c r="H1836" i="50"/>
  <c r="Z1806" i="50"/>
  <c r="Z2521" i="50" s="1"/>
  <c r="Z3235" i="50" s="1"/>
  <c r="X1806" i="50"/>
  <c r="X2521" i="50" s="1"/>
  <c r="X3235" i="50" s="1"/>
  <c r="T1806" i="50"/>
  <c r="T2521" i="50" s="1"/>
  <c r="AH1806" i="50"/>
  <c r="AD1806" i="50"/>
  <c r="AD2521" i="50" s="1"/>
  <c r="AD3235" i="50" s="1"/>
  <c r="AB1806" i="50"/>
  <c r="AB2521" i="50" s="1"/>
  <c r="AB3235" i="50" s="1"/>
  <c r="AD1521" i="50"/>
  <c r="AD2236" i="50" s="1"/>
  <c r="AD2950" i="50" s="1"/>
  <c r="X1521" i="50"/>
  <c r="V1521" i="50"/>
  <c r="Z1521" i="50"/>
  <c r="Z2236" i="50" s="1"/>
  <c r="X1968" i="50"/>
  <c r="X2683" i="50" s="1"/>
  <c r="Z1968" i="50"/>
  <c r="V1968" i="50"/>
  <c r="X1692" i="50"/>
  <c r="X2407" i="50" s="1"/>
  <c r="X3121" i="50" s="1"/>
  <c r="P1968" i="50"/>
  <c r="L1968" i="50"/>
  <c r="F1968" i="50"/>
  <c r="T2502" i="50"/>
  <c r="T3216" i="50" s="1"/>
  <c r="H1884" i="50"/>
  <c r="J1884" i="50"/>
  <c r="N1884" i="50"/>
  <c r="AH1884" i="50"/>
  <c r="AO1887" i="50"/>
  <c r="P1679" i="50"/>
  <c r="N1679" i="50"/>
  <c r="N1683" i="50" s="1"/>
  <c r="AO1684" i="50"/>
  <c r="T1684" i="50" s="1"/>
  <c r="AH1679" i="50"/>
  <c r="Z1623" i="50"/>
  <c r="AB1623" i="50"/>
  <c r="AB2338" i="50" s="1"/>
  <c r="AB3052" i="50" s="1"/>
  <c r="T1623" i="50"/>
  <c r="F1846" i="50"/>
  <c r="N1846" i="50"/>
  <c r="P1846" i="50"/>
  <c r="AD1762" i="50"/>
  <c r="AD2477" i="50" s="1"/>
  <c r="AD3191" i="50" s="1"/>
  <c r="AB1762" i="50"/>
  <c r="AB2477" i="50" s="1"/>
  <c r="AB3191" i="50" s="1"/>
  <c r="Z1762" i="50"/>
  <c r="Z2477" i="50" s="1"/>
  <c r="Z3191" i="50" s="1"/>
  <c r="T1762" i="50"/>
  <c r="T2477" i="50" s="1"/>
  <c r="T3191" i="50" s="1"/>
  <c r="V1762" i="50"/>
  <c r="V2477" i="50" s="1"/>
  <c r="V3191" i="50" s="1"/>
  <c r="H1612" i="50"/>
  <c r="N1612" i="50"/>
  <c r="N2327" i="50" s="1"/>
  <c r="N3041" i="50" s="1"/>
  <c r="F1612" i="50"/>
  <c r="F2327" i="50" s="1"/>
  <c r="F3041" i="50" s="1"/>
  <c r="L1612" i="50"/>
  <c r="L2327" i="50" s="1"/>
  <c r="L3041" i="50" s="1"/>
  <c r="Z1471" i="50"/>
  <c r="AD1471" i="50"/>
  <c r="AD2186" i="50" s="1"/>
  <c r="AD2900" i="50" s="1"/>
  <c r="AB1471" i="50"/>
  <c r="AB2186" i="50" s="1"/>
  <c r="AB2900" i="50" s="1"/>
  <c r="F3083" i="50"/>
  <c r="X1974" i="50"/>
  <c r="X2689" i="50" s="1"/>
  <c r="L1713" i="50"/>
  <c r="H2098" i="50"/>
  <c r="H2813" i="50" s="1"/>
  <c r="H3527" i="50" s="1"/>
  <c r="J1629" i="50"/>
  <c r="J2344" i="50" s="1"/>
  <c r="V1947" i="50"/>
  <c r="V2662" i="50" s="1"/>
  <c r="V3376" i="50" s="1"/>
  <c r="P1451" i="50"/>
  <c r="P2166" i="50" s="1"/>
  <c r="P2880" i="50" s="1"/>
  <c r="P1526" i="50"/>
  <c r="P2241" i="50" s="1"/>
  <c r="P2955" i="50" s="1"/>
  <c r="J1526" i="50"/>
  <c r="AL1526" i="50" s="1"/>
  <c r="AM1526" i="50" s="1"/>
  <c r="V1713" i="50"/>
  <c r="AH1846" i="50"/>
  <c r="AD2077" i="50"/>
  <c r="X2077" i="50"/>
  <c r="P1448" i="50"/>
  <c r="L2143" i="50"/>
  <c r="L2858" i="50" s="1"/>
  <c r="L3572" i="50" s="1"/>
  <c r="J1916" i="50"/>
  <c r="L1979" i="50"/>
  <c r="L2694" i="50" s="1"/>
  <c r="L3408" i="50" s="1"/>
  <c r="V1630" i="50"/>
  <c r="H1755" i="50"/>
  <c r="AH1561" i="50"/>
  <c r="AB1631" i="50"/>
  <c r="AB2346" i="50" s="1"/>
  <c r="AB3060" i="50" s="1"/>
  <c r="Z1631" i="50"/>
  <c r="Z2346" i="50" s="1"/>
  <c r="Z3060" i="50" s="1"/>
  <c r="H1933" i="50"/>
  <c r="H2648" i="50" s="1"/>
  <c r="H3362" i="50" s="1"/>
  <c r="J1933" i="50"/>
  <c r="J2648" i="50" s="1"/>
  <c r="J3362" i="50" s="1"/>
  <c r="AB2009" i="50"/>
  <c r="AB2724" i="50" s="1"/>
  <c r="AB3438" i="50" s="1"/>
  <c r="F1860" i="50"/>
  <c r="AD1482" i="50"/>
  <c r="H1561" i="50"/>
  <c r="X1636" i="50"/>
  <c r="X2351" i="50" s="1"/>
  <c r="X3065" i="50" s="1"/>
  <c r="L1483" i="50"/>
  <c r="L2198" i="50" s="1"/>
  <c r="L2912" i="50" s="1"/>
  <c r="N1946" i="50"/>
  <c r="L2101" i="50"/>
  <c r="L2816" i="50" s="1"/>
  <c r="L3530" i="50" s="1"/>
  <c r="T1617" i="50"/>
  <c r="T2332" i="50" s="1"/>
  <c r="AD2000" i="50"/>
  <c r="AD2715" i="50" s="1"/>
  <c r="AD3429" i="50" s="1"/>
  <c r="AH1623" i="50"/>
  <c r="AD1499" i="50"/>
  <c r="AB1457" i="50"/>
  <c r="AB2172" i="50" s="1"/>
  <c r="AB2886" i="50" s="1"/>
  <c r="T1457" i="50"/>
  <c r="V1580" i="50"/>
  <c r="V2295" i="50" s="1"/>
  <c r="V3009" i="50" s="1"/>
  <c r="T1580" i="50"/>
  <c r="T2295" i="50" s="1"/>
  <c r="T3009" i="50" s="1"/>
  <c r="T1882" i="50"/>
  <c r="T2597" i="50" s="1"/>
  <c r="T3311" i="50" s="1"/>
  <c r="V1882" i="50"/>
  <c r="H1500" i="50"/>
  <c r="V2128" i="50"/>
  <c r="V2843" i="50" s="1"/>
  <c r="V3557" i="50" s="1"/>
  <c r="X2128" i="50"/>
  <c r="X2843" i="50" s="1"/>
  <c r="X3557" i="50" s="1"/>
  <c r="T2128" i="50"/>
  <c r="T2843" i="50" s="1"/>
  <c r="T3557" i="50" s="1"/>
  <c r="Z1988" i="50"/>
  <c r="Z2703" i="50" s="1"/>
  <c r="Z3417" i="50" s="1"/>
  <c r="T1988" i="50"/>
  <c r="T2703" i="50" s="1"/>
  <c r="X1988" i="50"/>
  <c r="X2703" i="50" s="1"/>
  <c r="X3417" i="50" s="1"/>
  <c r="AB1988" i="50"/>
  <c r="AH1708" i="50"/>
  <c r="N1708" i="50"/>
  <c r="N1552" i="50"/>
  <c r="N2267" i="50" s="1"/>
  <c r="F1552" i="50"/>
  <c r="X1462" i="50"/>
  <c r="T1462" i="50"/>
  <c r="H1904" i="50"/>
  <c r="P1904" i="50"/>
  <c r="F1904" i="50"/>
  <c r="F2619" i="50" s="1"/>
  <c r="T1532" i="50"/>
  <c r="Z1532" i="50"/>
  <c r="V1595" i="50"/>
  <c r="V2310" i="50" s="1"/>
  <c r="F1884" i="50"/>
  <c r="F2599" i="50" s="1"/>
  <c r="F3313" i="50" s="1"/>
  <c r="H1862" i="50"/>
  <c r="L1862" i="50"/>
  <c r="L2577" i="50" s="1"/>
  <c r="L3291" i="50" s="1"/>
  <c r="N1862" i="50"/>
  <c r="N1807" i="50"/>
  <c r="F1807" i="50"/>
  <c r="L1807" i="50"/>
  <c r="L2522" i="50" s="1"/>
  <c r="L3236" i="50" s="1"/>
  <c r="H1807" i="50"/>
  <c r="H2522" i="50" s="1"/>
  <c r="H3236" i="50" s="1"/>
  <c r="P1807" i="50"/>
  <c r="N2049" i="50"/>
  <c r="N2764" i="50" s="1"/>
  <c r="N3478" i="50" s="1"/>
  <c r="J2049" i="50"/>
  <c r="H2049" i="50"/>
  <c r="H2764" i="50" s="1"/>
  <c r="H3478" i="50" s="1"/>
  <c r="P2049" i="50"/>
  <c r="P2764" i="50" s="1"/>
  <c r="P3478" i="50" s="1"/>
  <c r="P1927" i="50"/>
  <c r="P2642" i="50" s="1"/>
  <c r="P3356" i="50" s="1"/>
  <c r="H1927" i="50"/>
  <c r="H2642" i="50" s="1"/>
  <c r="H3356" i="50" s="1"/>
  <c r="F1927" i="50"/>
  <c r="J1927" i="50"/>
  <c r="AD2058" i="50"/>
  <c r="AD2773" i="50" s="1"/>
  <c r="AD3487" i="50" s="1"/>
  <c r="X2058" i="50"/>
  <c r="X2773" i="50" s="1"/>
  <c r="X3487" i="50" s="1"/>
  <c r="AB2058" i="50"/>
  <c r="AB2773" i="50" s="1"/>
  <c r="AB3487" i="50" s="1"/>
  <c r="V2058" i="50"/>
  <c r="V2773" i="50" s="1"/>
  <c r="V3487" i="50" s="1"/>
  <c r="Z2058" i="50"/>
  <c r="Z2773" i="50" s="1"/>
  <c r="Z3487" i="50" s="1"/>
  <c r="V2121" i="50"/>
  <c r="V2836" i="50" s="1"/>
  <c r="V3550" i="50" s="1"/>
  <c r="T2121" i="50"/>
  <c r="T2836" i="50" s="1"/>
  <c r="Z2121" i="50"/>
  <c r="Z2836" i="50" s="1"/>
  <c r="Z3550" i="50" s="1"/>
  <c r="Z1491" i="50"/>
  <c r="Z2206" i="50" s="1"/>
  <c r="Z2920" i="50" s="1"/>
  <c r="X1491" i="50"/>
  <c r="X2206" i="50" s="1"/>
  <c r="X2920" i="50" s="1"/>
  <c r="AH1491" i="50"/>
  <c r="F2045" i="50"/>
  <c r="N2045" i="50"/>
  <c r="X2144" i="50"/>
  <c r="T2144" i="50"/>
  <c r="Z2144" i="50"/>
  <c r="P2028" i="50"/>
  <c r="AH2028" i="50"/>
  <c r="N2028" i="50"/>
  <c r="N2743" i="50" s="1"/>
  <c r="N3457" i="50" s="1"/>
  <c r="X2030" i="50"/>
  <c r="T2030" i="50"/>
  <c r="T2745" i="50" s="1"/>
  <c r="T3459" i="50" s="1"/>
  <c r="Z1769" i="50"/>
  <c r="Z2484" i="50" s="1"/>
  <c r="Z3198" i="50" s="1"/>
  <c r="T1769" i="50"/>
  <c r="T2484" i="50" s="1"/>
  <c r="V1769" i="50"/>
  <c r="V2484" i="50" s="1"/>
  <c r="V3198" i="50" s="1"/>
  <c r="X1769" i="50"/>
  <c r="X2484" i="50" s="1"/>
  <c r="X3198" i="50" s="1"/>
  <c r="T1696" i="50"/>
  <c r="T2411" i="50" s="1"/>
  <c r="T3125" i="50" s="1"/>
  <c r="Z1696" i="50"/>
  <c r="Z2411" i="50" s="1"/>
  <c r="F2042" i="50"/>
  <c r="H2042" i="50"/>
  <c r="H2757" i="50" s="1"/>
  <c r="H3471" i="50" s="1"/>
  <c r="L2042" i="50"/>
  <c r="N2095" i="50"/>
  <c r="N2810" i="50" s="1"/>
  <c r="P2095" i="50"/>
  <c r="F2095" i="50"/>
  <c r="L2095" i="50"/>
  <c r="L2810" i="50" s="1"/>
  <c r="N1583" i="50"/>
  <c r="N2298" i="50" s="1"/>
  <c r="N3012" i="50" s="1"/>
  <c r="P1583" i="50"/>
  <c r="P2298" i="50" s="1"/>
  <c r="P3012" i="50" s="1"/>
  <c r="J1583" i="50"/>
  <c r="J2298" i="50" s="1"/>
  <c r="J3012" i="50" s="1"/>
  <c r="L1583" i="50"/>
  <c r="L2298" i="50" s="1"/>
  <c r="L3012" i="50" s="1"/>
  <c r="J1527" i="50"/>
  <c r="J2242" i="50" s="1"/>
  <c r="J2956" i="50" s="1"/>
  <c r="N1527" i="50"/>
  <c r="N2242" i="50" s="1"/>
  <c r="N2956" i="50" s="1"/>
  <c r="AH1527" i="50"/>
  <c r="N2046" i="50"/>
  <c r="N2761" i="50" s="1"/>
  <c r="N3475" i="50" s="1"/>
  <c r="H2046" i="50"/>
  <c r="N1538" i="50"/>
  <c r="N2253" i="50" s="1"/>
  <c r="N2967" i="50" s="1"/>
  <c r="AH1538" i="50"/>
  <c r="J1538" i="50"/>
  <c r="J2253" i="50" s="1"/>
  <c r="J2967" i="50" s="1"/>
  <c r="L1538" i="50"/>
  <c r="L2253" i="50" s="1"/>
  <c r="L2967" i="50" s="1"/>
  <c r="H1538" i="50"/>
  <c r="H2253" i="50" s="1"/>
  <c r="H2967" i="50" s="1"/>
  <c r="N1490" i="50"/>
  <c r="AH1490" i="50"/>
  <c r="N1982" i="50"/>
  <c r="N2697" i="50" s="1"/>
  <c r="N3411" i="50" s="1"/>
  <c r="P1982" i="50"/>
  <c r="J1982" i="50"/>
  <c r="L1982" i="50"/>
  <c r="F1982" i="50"/>
  <c r="AD1959" i="50"/>
  <c r="AH1959" i="50"/>
  <c r="H1953" i="50"/>
  <c r="F1953" i="50"/>
  <c r="N1953" i="50"/>
  <c r="P1953" i="50"/>
  <c r="AD1594" i="50"/>
  <c r="Z1594" i="50"/>
  <c r="X1762" i="50"/>
  <c r="X2477" i="50" s="1"/>
  <c r="X3191" i="50" s="1"/>
  <c r="X1714" i="50"/>
  <c r="AD1714" i="50"/>
  <c r="AD2429" i="50" s="1"/>
  <c r="AD3143" i="50" s="1"/>
  <c r="V1714" i="50"/>
  <c r="V2429" i="50" s="1"/>
  <c r="V3143" i="50" s="1"/>
  <c r="AB1714" i="50"/>
  <c r="AH1714" i="50"/>
  <c r="AD1616" i="50"/>
  <c r="T1616" i="50"/>
  <c r="V1616" i="50"/>
  <c r="AB1616" i="50"/>
  <c r="AB2331" i="50" s="1"/>
  <c r="AB3045" i="50" s="1"/>
  <c r="Z1616" i="50"/>
  <c r="Z2331" i="50" s="1"/>
  <c r="Z3045" i="50" s="1"/>
  <c r="H1869" i="50"/>
  <c r="H2584" i="50" s="1"/>
  <c r="H3298" i="50" s="1"/>
  <c r="P1869" i="50"/>
  <c r="N1608" i="50"/>
  <c r="N2323" i="50" s="1"/>
  <c r="N3037" i="50" s="1"/>
  <c r="L1608" i="50"/>
  <c r="L2323" i="50" s="1"/>
  <c r="L3037" i="50" s="1"/>
  <c r="AH35" i="50"/>
  <c r="V1974" i="50"/>
  <c r="V2689" i="50" s="1"/>
  <c r="V3403" i="50" s="1"/>
  <c r="AH1595" i="50"/>
  <c r="P1713" i="50"/>
  <c r="P2428" i="50" s="1"/>
  <c r="P3142" i="50" s="1"/>
  <c r="F1713" i="50"/>
  <c r="F2428" i="50" s="1"/>
  <c r="F3142" i="50" s="1"/>
  <c r="L2098" i="50"/>
  <c r="N1629" i="50"/>
  <c r="N2344" i="50" s="1"/>
  <c r="N3058" i="50" s="1"/>
  <c r="Z1947" i="50"/>
  <c r="AH1451" i="50"/>
  <c r="H1526" i="50"/>
  <c r="H2241" i="50" s="1"/>
  <c r="X1713" i="50"/>
  <c r="X2428" i="50" s="1"/>
  <c r="X3142" i="50" s="1"/>
  <c r="Z1713" i="50"/>
  <c r="Z2428" i="50" s="1"/>
  <c r="Z3142" i="50" s="1"/>
  <c r="AB2077" i="50"/>
  <c r="L1448" i="50"/>
  <c r="H1448" i="50"/>
  <c r="N2143" i="50"/>
  <c r="N2858" i="50" s="1"/>
  <c r="N1916" i="50"/>
  <c r="P1979" i="50"/>
  <c r="T1630" i="50"/>
  <c r="T1631" i="50"/>
  <c r="P1933" i="50"/>
  <c r="X2009" i="50"/>
  <c r="J1860" i="50"/>
  <c r="J2575" i="50" s="1"/>
  <c r="J3289" i="50" s="1"/>
  <c r="AB1482" i="50"/>
  <c r="AH1723" i="50"/>
  <c r="H1946" i="50"/>
  <c r="F2101" i="50"/>
  <c r="F2816" i="50" s="1"/>
  <c r="F3530" i="50" s="1"/>
  <c r="F2130" i="50"/>
  <c r="F2845" i="50" s="1"/>
  <c r="F3559" i="50" s="1"/>
  <c r="P1836" i="50"/>
  <c r="P2551" i="50" s="1"/>
  <c r="P3265" i="50" s="1"/>
  <c r="AD1968" i="50"/>
  <c r="Z1778" i="50"/>
  <c r="Z2493" i="50" s="1"/>
  <c r="Z3207" i="50" s="1"/>
  <c r="L1708" i="50"/>
  <c r="L2423" i="50" s="1"/>
  <c r="L3137" i="50" s="1"/>
  <c r="V2080" i="50"/>
  <c r="V2795" i="50" s="1"/>
  <c r="V3509" i="50" s="1"/>
  <c r="AD2080" i="50"/>
  <c r="N2114" i="50"/>
  <c r="N2829" i="50" s="1"/>
  <c r="N3543" i="50" s="1"/>
  <c r="H2114" i="50"/>
  <c r="F2115" i="50"/>
  <c r="F2830" i="50" s="1"/>
  <c r="F3544" i="50" s="1"/>
  <c r="P2115" i="50"/>
  <c r="P2830" i="50" s="1"/>
  <c r="P3544" i="50" s="1"/>
  <c r="J2051" i="50"/>
  <c r="J2766" i="50" s="1"/>
  <c r="J3480" i="50" s="1"/>
  <c r="P2051" i="50"/>
  <c r="F1595" i="50"/>
  <c r="J1595" i="50"/>
  <c r="F2028" i="50"/>
  <c r="F2743" i="50" s="1"/>
  <c r="F3457" i="50" s="1"/>
  <c r="T1521" i="50"/>
  <c r="J2024" i="50"/>
  <c r="P2025" i="50"/>
  <c r="P2740" i="50" s="1"/>
  <c r="P3454" i="50" s="1"/>
  <c r="F2024" i="50"/>
  <c r="J1888" i="50"/>
  <c r="J2603" i="50" s="1"/>
  <c r="J3317" i="50" s="1"/>
  <c r="P1888" i="50"/>
  <c r="P2603" i="50" s="1"/>
  <c r="P3317" i="50" s="1"/>
  <c r="AH2049" i="50"/>
  <c r="AB2049" i="50"/>
  <c r="AB2054" i="50" s="1"/>
  <c r="AB2055" i="50" s="1"/>
  <c r="AD556" i="50"/>
  <c r="AD1271" i="50" s="1"/>
  <c r="X556" i="50"/>
  <c r="X1271" i="50" s="1"/>
  <c r="J696" i="50"/>
  <c r="J1411" i="50" s="1"/>
  <c r="P696" i="50"/>
  <c r="P1411" i="50" s="1"/>
  <c r="F696" i="50"/>
  <c r="F1411" i="50" s="1"/>
  <c r="N696" i="50"/>
  <c r="N1411" i="50" s="1"/>
  <c r="H696" i="50"/>
  <c r="H1411" i="50" s="1"/>
  <c r="AB1892" i="50"/>
  <c r="Z1892" i="50"/>
  <c r="X1892" i="50"/>
  <c r="L549" i="50"/>
  <c r="L1264" i="50" s="1"/>
  <c r="P549" i="50"/>
  <c r="P1264" i="50" s="1"/>
  <c r="H549" i="50"/>
  <c r="H1264" i="50" s="1"/>
  <c r="N1826" i="50"/>
  <c r="N2541" i="50" s="1"/>
  <c r="N3255" i="50" s="1"/>
  <c r="J1826" i="50"/>
  <c r="H1826" i="50"/>
  <c r="H1830" i="50" s="1"/>
  <c r="H1831" i="50" s="1"/>
  <c r="AD1692" i="50"/>
  <c r="F1722" i="50"/>
  <c r="N528" i="50"/>
  <c r="L528" i="50"/>
  <c r="J1785" i="50"/>
  <c r="H1785" i="50"/>
  <c r="J1839" i="50"/>
  <c r="P1839" i="50"/>
  <c r="P2554" i="50" s="1"/>
  <c r="P3268" i="50" s="1"/>
  <c r="AD1952" i="50"/>
  <c r="AD2667" i="50" s="1"/>
  <c r="AD3381" i="50" s="1"/>
  <c r="X1952" i="50"/>
  <c r="X2667" i="50" s="1"/>
  <c r="X3381" i="50" s="1"/>
  <c r="AH1952" i="50"/>
  <c r="Z1952" i="50"/>
  <c r="AL1952" i="50" s="1"/>
  <c r="AM1952" i="50" s="1"/>
  <c r="V1952" i="50"/>
  <c r="V2667" i="50" s="1"/>
  <c r="V3381" i="50" s="1"/>
  <c r="F1496" i="50"/>
  <c r="F2211" i="50" s="1"/>
  <c r="AH1496" i="50"/>
  <c r="L1496" i="50"/>
  <c r="P1496" i="50"/>
  <c r="P2211" i="50" s="1"/>
  <c r="P2925" i="50" s="1"/>
  <c r="J1496" i="50"/>
  <c r="J2211" i="50" s="1"/>
  <c r="J2925" i="50" s="1"/>
  <c r="N1496" i="50"/>
  <c r="N2211" i="50" s="1"/>
  <c r="N2925" i="50" s="1"/>
  <c r="L1846" i="50"/>
  <c r="L2561" i="50" s="1"/>
  <c r="L3275" i="50" s="1"/>
  <c r="T1836" i="50"/>
  <c r="T2551" i="50" s="1"/>
  <c r="Z1836" i="50"/>
  <c r="Z2551" i="50" s="1"/>
  <c r="Z3265" i="50" s="1"/>
  <c r="AD1836" i="50"/>
  <c r="AD2551" i="50" s="1"/>
  <c r="AD3265" i="50" s="1"/>
  <c r="X1897" i="50"/>
  <c r="AB1897" i="50"/>
  <c r="Z1897" i="50"/>
  <c r="F1511" i="50"/>
  <c r="P1511" i="50"/>
  <c r="P2226" i="50" s="1"/>
  <c r="P2940" i="50" s="1"/>
  <c r="H1511" i="50"/>
  <c r="N1511" i="50"/>
  <c r="V2017" i="50"/>
  <c r="X2017" i="50"/>
  <c r="AB2017" i="50"/>
  <c r="AD2199" i="50"/>
  <c r="AD2913" i="50" s="1"/>
  <c r="L2494" i="50"/>
  <c r="L3208" i="50" s="1"/>
  <c r="P1587" i="50"/>
  <c r="AL1587" i="50" s="1"/>
  <c r="AM1587" i="50" s="1"/>
  <c r="F1988" i="50"/>
  <c r="F2703" i="50" s="1"/>
  <c r="F3417" i="50" s="1"/>
  <c r="H1553" i="50"/>
  <c r="T1667" i="50"/>
  <c r="AD1449" i="50"/>
  <c r="AD2164" i="50" s="1"/>
  <c r="AD2878" i="50" s="1"/>
  <c r="AH1731" i="50"/>
  <c r="AD1885" i="50"/>
  <c r="V1657" i="50"/>
  <c r="F1461" i="50"/>
  <c r="L1461" i="50"/>
  <c r="AH1574" i="50"/>
  <c r="AB1885" i="50"/>
  <c r="AB2600" i="50" s="1"/>
  <c r="AB3314" i="50" s="1"/>
  <c r="X2072" i="50"/>
  <c r="F1688" i="50"/>
  <c r="X1848" i="50"/>
  <c r="X2563" i="50" s="1"/>
  <c r="X3277" i="50" s="1"/>
  <c r="Z1848" i="50"/>
  <c r="Z2563" i="50" s="1"/>
  <c r="Z3277" i="50" s="1"/>
  <c r="X1822" i="50"/>
  <c r="Z1822" i="50"/>
  <c r="AB1822" i="50"/>
  <c r="AB1752" i="50"/>
  <c r="AH1790" i="50"/>
  <c r="N2060" i="50"/>
  <c r="N2775" i="50" s="1"/>
  <c r="F2060" i="50"/>
  <c r="F2775" i="50" s="1"/>
  <c r="F3489" i="50" s="1"/>
  <c r="L2060" i="50"/>
  <c r="AH605" i="50"/>
  <c r="Z605" i="50"/>
  <c r="Z1320" i="50" s="1"/>
  <c r="P1954" i="50"/>
  <c r="P2669" i="50" s="1"/>
  <c r="P3383" i="50" s="1"/>
  <c r="H1954" i="50"/>
  <c r="H2669" i="50" s="1"/>
  <c r="N1954" i="50"/>
  <c r="N2669" i="50" s="1"/>
  <c r="N3383" i="50" s="1"/>
  <c r="AB1751" i="50"/>
  <c r="AB2466" i="50" s="1"/>
  <c r="AB3180" i="50" s="1"/>
  <c r="X1751" i="50"/>
  <c r="T1751" i="50"/>
  <c r="L1678" i="50"/>
  <c r="L2393" i="50" s="1"/>
  <c r="L3107" i="50" s="1"/>
  <c r="H1678" i="50"/>
  <c r="AH1678" i="50"/>
  <c r="V2052" i="50"/>
  <c r="T2052" i="50"/>
  <c r="T2054" i="50" s="1"/>
  <c r="AD2052" i="50"/>
  <c r="L465" i="50"/>
  <c r="L1180" i="50" s="1"/>
  <c r="J465" i="50"/>
  <c r="J1180" i="50" s="1"/>
  <c r="AD2029" i="50"/>
  <c r="AD2744" i="50" s="1"/>
  <c r="AD3458" i="50" s="1"/>
  <c r="Z2029" i="50"/>
  <c r="X2029" i="50"/>
  <c r="V2029" i="50"/>
  <c r="V2744" i="50" s="1"/>
  <c r="V3458" i="50" s="1"/>
  <c r="H1919" i="50"/>
  <c r="J1919" i="50"/>
  <c r="L1919" i="50"/>
  <c r="N1919" i="50"/>
  <c r="F1777" i="50"/>
  <c r="L1777" i="50"/>
  <c r="AD2070" i="50"/>
  <c r="Z2070" i="50"/>
  <c r="T2070" i="50"/>
  <c r="X2070" i="50"/>
  <c r="F1603" i="50"/>
  <c r="F2318" i="50" s="1"/>
  <c r="F3032" i="50" s="1"/>
  <c r="X1723" i="50"/>
  <c r="X2438" i="50" s="1"/>
  <c r="X3152" i="50" s="1"/>
  <c r="AD1723" i="50"/>
  <c r="AD2438" i="50" s="1"/>
  <c r="AD3152" i="50" s="1"/>
  <c r="V1723" i="50"/>
  <c r="V2438" i="50" s="1"/>
  <c r="V3152" i="50" s="1"/>
  <c r="F2007" i="50"/>
  <c r="F2722" i="50" s="1"/>
  <c r="P2007" i="50"/>
  <c r="P2722" i="50" s="1"/>
  <c r="P3436" i="50" s="1"/>
  <c r="L2007" i="50"/>
  <c r="L2722" i="50" s="1"/>
  <c r="L3436" i="50" s="1"/>
  <c r="N1972" i="50"/>
  <c r="N2687" i="50" s="1"/>
  <c r="N3401" i="50" s="1"/>
  <c r="L1972" i="50"/>
  <c r="J1972" i="50"/>
  <c r="J2687" i="50" s="1"/>
  <c r="J3401" i="50" s="1"/>
  <c r="F1972" i="50"/>
  <c r="F2687" i="50" s="1"/>
  <c r="F3401" i="50" s="1"/>
  <c r="P1819" i="50"/>
  <c r="P2534" i="50" s="1"/>
  <c r="P3248" i="50" s="1"/>
  <c r="H1819" i="50"/>
  <c r="H2534" i="50" s="1"/>
  <c r="H3248" i="50" s="1"/>
  <c r="F1819" i="50"/>
  <c r="F2534" i="50" s="1"/>
  <c r="N1819" i="50"/>
  <c r="N2534" i="50" s="1"/>
  <c r="N3248" i="50" s="1"/>
  <c r="V1547" i="50"/>
  <c r="V2262" i="50" s="1"/>
  <c r="Z1643" i="50"/>
  <c r="L1497" i="50"/>
  <c r="N1497" i="50"/>
  <c r="P1765" i="50"/>
  <c r="H1765" i="50"/>
  <c r="X1966" i="50"/>
  <c r="T1966" i="50"/>
  <c r="T2681" i="50" s="1"/>
  <c r="T3395" i="50" s="1"/>
  <c r="AD1966" i="50"/>
  <c r="Z1966" i="50"/>
  <c r="Z1475" i="50"/>
  <c r="AB1475" i="50"/>
  <c r="V1475" i="50"/>
  <c r="AD1475" i="50"/>
  <c r="T1475" i="50"/>
  <c r="T2190" i="50" s="1"/>
  <c r="T2904" i="50" s="1"/>
  <c r="Z2101" i="50"/>
  <c r="Z2816" i="50" s="1"/>
  <c r="Z3530" i="50" s="1"/>
  <c r="V2101" i="50"/>
  <c r="AD2101" i="50"/>
  <c r="X2101" i="50"/>
  <c r="X1771" i="50"/>
  <c r="Z1771" i="50"/>
  <c r="Z2486" i="50" s="1"/>
  <c r="Z3200" i="50" s="1"/>
  <c r="T1771" i="50"/>
  <c r="N1528" i="50"/>
  <c r="H1528" i="50"/>
  <c r="P1541" i="50"/>
  <c r="P2256" i="50" s="1"/>
  <c r="P2970" i="50" s="1"/>
  <c r="J1541" i="50"/>
  <c r="J2256" i="50" s="1"/>
  <c r="J2970" i="50" s="1"/>
  <c r="H1541" i="50"/>
  <c r="H2256" i="50" s="1"/>
  <c r="H2970" i="50" s="1"/>
  <c r="AN96" i="50"/>
  <c r="V1539" i="50"/>
  <c r="V2254" i="50" s="1"/>
  <c r="V2968" i="50" s="1"/>
  <c r="H1666" i="50"/>
  <c r="H2381" i="50" s="1"/>
  <c r="H3095" i="50" s="1"/>
  <c r="AD2015" i="50"/>
  <c r="AD2730" i="50" s="1"/>
  <c r="AD3444" i="50" s="1"/>
  <c r="T2015" i="50"/>
  <c r="T2730" i="50" s="1"/>
  <c r="T3444" i="50" s="1"/>
  <c r="AB2015" i="50"/>
  <c r="AB2730" i="50" s="1"/>
  <c r="AB3444" i="50" s="1"/>
  <c r="AB1706" i="50"/>
  <c r="AB2421" i="50" s="1"/>
  <c r="AB3135" i="50" s="1"/>
  <c r="Z1706" i="50"/>
  <c r="Z2421" i="50" s="1"/>
  <c r="Z3135" i="50" s="1"/>
  <c r="AH1568" i="50"/>
  <c r="T1568" i="50"/>
  <c r="T2283" i="50" s="1"/>
  <c r="X1568" i="50"/>
  <c r="X2283" i="50" s="1"/>
  <c r="X2997" i="50" s="1"/>
  <c r="AD1568" i="50"/>
  <c r="AD2283" i="50" s="1"/>
  <c r="AD2997" i="50" s="1"/>
  <c r="V1568" i="50"/>
  <c r="AB1492" i="50"/>
  <c r="AB2207" i="50" s="1"/>
  <c r="AB2921" i="50" s="1"/>
  <c r="V1492" i="50"/>
  <c r="J2009" i="50"/>
  <c r="J1489" i="50"/>
  <c r="J2204" i="50" s="1"/>
  <c r="J2918" i="50" s="1"/>
  <c r="N1489" i="50"/>
  <c r="L1489" i="50"/>
  <c r="P1489" i="50"/>
  <c r="X1948" i="50"/>
  <c r="L1958" i="50"/>
  <c r="F1570" i="50"/>
  <c r="C770" i="50"/>
  <c r="AB1625" i="50"/>
  <c r="AB2340" i="50" s="1"/>
  <c r="AB3054" i="50" s="1"/>
  <c r="L1791" i="50"/>
  <c r="AH1791" i="50"/>
  <c r="H1791" i="50"/>
  <c r="H2506" i="50" s="1"/>
  <c r="H3220" i="50" s="1"/>
  <c r="N1912" i="50"/>
  <c r="H1912" i="50"/>
  <c r="H612" i="50"/>
  <c r="P612" i="50"/>
  <c r="F612" i="50"/>
  <c r="N612" i="50"/>
  <c r="F514" i="50"/>
  <c r="N514" i="50"/>
  <c r="L514" i="50"/>
  <c r="H668" i="50"/>
  <c r="P668" i="50"/>
  <c r="F668" i="50"/>
  <c r="N668" i="50"/>
  <c r="H584" i="50"/>
  <c r="H1299" i="50" s="1"/>
  <c r="P584" i="50"/>
  <c r="P1299" i="50" s="1"/>
  <c r="F584" i="50"/>
  <c r="F1299" i="50" s="1"/>
  <c r="N584" i="50"/>
  <c r="N1299" i="50" s="1"/>
  <c r="L493" i="50"/>
  <c r="J493" i="50"/>
  <c r="L605" i="50"/>
  <c r="L1320" i="50" s="1"/>
  <c r="J605" i="50"/>
  <c r="J1320" i="50" s="1"/>
  <c r="F1575" i="50"/>
  <c r="F2290" i="50" s="1"/>
  <c r="F3004" i="50" s="1"/>
  <c r="N1575" i="50"/>
  <c r="N2290" i="50" s="1"/>
  <c r="N3004" i="50" s="1"/>
  <c r="P1575" i="50"/>
  <c r="P2290" i="50" s="1"/>
  <c r="P3004" i="50" s="1"/>
  <c r="AB2002" i="50"/>
  <c r="AB2717" i="50" s="1"/>
  <c r="AB3431" i="50" s="1"/>
  <c r="Z2002" i="50"/>
  <c r="Z2717" i="50" s="1"/>
  <c r="Z3431" i="50" s="1"/>
  <c r="AD2002" i="50"/>
  <c r="C1951" i="50"/>
  <c r="C2666" i="50" s="1"/>
  <c r="AH2128" i="50"/>
  <c r="N1923" i="50"/>
  <c r="T2072" i="50"/>
  <c r="H1885" i="50"/>
  <c r="J1885" i="50"/>
  <c r="J2600" i="50" s="1"/>
  <c r="J3314" i="50" s="1"/>
  <c r="F1885" i="50"/>
  <c r="F2600" i="50" s="1"/>
  <c r="F3314" i="50" s="1"/>
  <c r="N1885" i="50"/>
  <c r="L1682" i="50"/>
  <c r="L2397" i="50" s="1"/>
  <c r="L3111" i="50" s="1"/>
  <c r="F1682" i="50"/>
  <c r="X1665" i="50"/>
  <c r="X2380" i="50" s="1"/>
  <c r="X3094" i="50" s="1"/>
  <c r="AD1665" i="50"/>
  <c r="T1665" i="50"/>
  <c r="T2380" i="50" s="1"/>
  <c r="T3094" i="50" s="1"/>
  <c r="Z1665" i="50"/>
  <c r="Z2380" i="50" s="1"/>
  <c r="Z3094" i="50" s="1"/>
  <c r="V1477" i="50"/>
  <c r="AB1477" i="50"/>
  <c r="T1477" i="50"/>
  <c r="AH1477" i="50"/>
  <c r="AB696" i="50"/>
  <c r="AB1411" i="50" s="1"/>
  <c r="X696" i="50"/>
  <c r="X1411" i="50" s="1"/>
  <c r="AH493" i="50"/>
  <c r="Z493" i="50"/>
  <c r="X493" i="50"/>
  <c r="V1948" i="50"/>
  <c r="T2423" i="50"/>
  <c r="T3137" i="50" s="1"/>
  <c r="X1871" i="50"/>
  <c r="X2586" i="50" s="1"/>
  <c r="X3300" i="50" s="1"/>
  <c r="Z1871" i="50"/>
  <c r="T1871" i="50"/>
  <c r="AH1612" i="50"/>
  <c r="X1612" i="50"/>
  <c r="X2327" i="50" s="1"/>
  <c r="Z1612" i="50"/>
  <c r="Z2327" i="50" s="1"/>
  <c r="Z3041" i="50" s="1"/>
  <c r="AB1612" i="50"/>
  <c r="AB2327" i="50" s="1"/>
  <c r="AB3041" i="50" s="1"/>
  <c r="X1688" i="50"/>
  <c r="X2403" i="50" s="1"/>
  <c r="X3117" i="50" s="1"/>
  <c r="AD1688" i="50"/>
  <c r="AD2403" i="50" s="1"/>
  <c r="AD3117" i="50" s="1"/>
  <c r="Z1688" i="50"/>
  <c r="Z2403" i="50" s="1"/>
  <c r="Z3117" i="50" s="1"/>
  <c r="H1588" i="50"/>
  <c r="H2303" i="50" s="1"/>
  <c r="J1588" i="50"/>
  <c r="J2303" i="50" s="1"/>
  <c r="J3017" i="50" s="1"/>
  <c r="F1588" i="50"/>
  <c r="F2303" i="50" s="1"/>
  <c r="F3017" i="50" s="1"/>
  <c r="AH1588" i="50"/>
  <c r="N1828" i="50"/>
  <c r="J1828" i="50"/>
  <c r="H1828" i="50"/>
  <c r="H1525" i="50"/>
  <c r="N1525" i="50"/>
  <c r="L1525" i="50"/>
  <c r="L2240" i="50" s="1"/>
  <c r="L2954" i="50" s="1"/>
  <c r="P1525" i="50"/>
  <c r="AB2037" i="50"/>
  <c r="X2037" i="50"/>
  <c r="Z2037" i="50"/>
  <c r="V2037" i="50"/>
  <c r="N1918" i="50"/>
  <c r="N1921" i="50" s="1"/>
  <c r="T1922" i="50" s="1"/>
  <c r="F1918" i="50"/>
  <c r="F1921" i="50" s="1"/>
  <c r="J1922" i="50" s="1"/>
  <c r="J1918" i="50"/>
  <c r="J1921" i="50" s="1"/>
  <c r="N1922" i="50" s="1"/>
  <c r="AB1678" i="50"/>
  <c r="T1678" i="50"/>
  <c r="H1562" i="50"/>
  <c r="N1562" i="50"/>
  <c r="F1562" i="50"/>
  <c r="X2845" i="50"/>
  <c r="X3559" i="50" s="1"/>
  <c r="H1457" i="50"/>
  <c r="N1457" i="50"/>
  <c r="P1457" i="50"/>
  <c r="P2172" i="50" s="1"/>
  <c r="P2886" i="50" s="1"/>
  <c r="V1909" i="50"/>
  <c r="V2624" i="50" s="1"/>
  <c r="V3338" i="50" s="1"/>
  <c r="AB1909" i="50"/>
  <c r="AB2624" i="50" s="1"/>
  <c r="AB3338" i="50" s="1"/>
  <c r="AB1695" i="50"/>
  <c r="Z1695" i="50"/>
  <c r="Z2410" i="50" s="1"/>
  <c r="Z3124" i="50" s="1"/>
  <c r="X1610" i="50"/>
  <c r="X2325" i="50" s="1"/>
  <c r="X3039" i="50" s="1"/>
  <c r="T1610" i="50"/>
  <c r="T2325" i="50" s="1"/>
  <c r="T3039" i="50" s="1"/>
  <c r="L1574" i="50"/>
  <c r="L2289" i="50" s="1"/>
  <c r="L3003" i="50" s="1"/>
  <c r="J1574" i="50"/>
  <c r="J2289" i="50" s="1"/>
  <c r="J3003" i="50" s="1"/>
  <c r="AD1538" i="50"/>
  <c r="Z1538" i="50"/>
  <c r="Z2253" i="50" s="1"/>
  <c r="Z2967" i="50" s="1"/>
  <c r="AB1538" i="50"/>
  <c r="AB2253" i="50" s="1"/>
  <c r="AB2967" i="50" s="1"/>
  <c r="T1500" i="50"/>
  <c r="Z1500" i="50"/>
  <c r="AB1500" i="50"/>
  <c r="X1500" i="50"/>
  <c r="H2044" i="50"/>
  <c r="AH2044" i="50"/>
  <c r="X1827" i="50"/>
  <c r="T1827" i="50"/>
  <c r="AH1827" i="50"/>
  <c r="X1576" i="50"/>
  <c r="T1576" i="50"/>
  <c r="H2586" i="50"/>
  <c r="H3300" i="50" s="1"/>
  <c r="T1470" i="50"/>
  <c r="AN1474" i="50"/>
  <c r="F1474" i="50" s="1"/>
  <c r="X1470" i="50"/>
  <c r="L1741" i="50"/>
  <c r="L2456" i="50" s="1"/>
  <c r="L3170" i="50" s="1"/>
  <c r="F1741" i="50"/>
  <c r="F2456" i="50" s="1"/>
  <c r="F3170" i="50" s="1"/>
  <c r="J1741" i="50"/>
  <c r="J2456" i="50" s="1"/>
  <c r="J3170" i="50" s="1"/>
  <c r="P1741" i="50"/>
  <c r="H1842" i="50"/>
  <c r="F1842" i="50"/>
  <c r="AH1842" i="50"/>
  <c r="J1842" i="50"/>
  <c r="N1842" i="50"/>
  <c r="P1584" i="50"/>
  <c r="L1584" i="50"/>
  <c r="L2299" i="50" s="1"/>
  <c r="L3013" i="50" s="1"/>
  <c r="V2112" i="50"/>
  <c r="V2827" i="50" s="1"/>
  <c r="V3541" i="50" s="1"/>
  <c r="T2112" i="50"/>
  <c r="AH171" i="50"/>
  <c r="Z1602" i="50"/>
  <c r="X1602" i="50"/>
  <c r="AH1602" i="50"/>
  <c r="V2091" i="50"/>
  <c r="V2806" i="50" s="1"/>
  <c r="V3520" i="50" s="1"/>
  <c r="Z2091" i="50"/>
  <c r="X2091" i="50"/>
  <c r="X2806" i="50" s="1"/>
  <c r="X3520" i="50" s="1"/>
  <c r="H1783" i="50"/>
  <c r="H2498" i="50" s="1"/>
  <c r="H3212" i="50" s="1"/>
  <c r="N1783" i="50"/>
  <c r="N2498" i="50" s="1"/>
  <c r="N3212" i="50" s="1"/>
  <c r="N1688" i="50"/>
  <c r="N2403" i="50" s="1"/>
  <c r="N3117" i="50" s="1"/>
  <c r="J1688" i="50"/>
  <c r="J2403" i="50" s="1"/>
  <c r="J3117" i="50" s="1"/>
  <c r="AH1688" i="50"/>
  <c r="X1752" i="50"/>
  <c r="T1752" i="50"/>
  <c r="T2467" i="50" s="1"/>
  <c r="T3181" i="50" s="1"/>
  <c r="H2004" i="50"/>
  <c r="P2004" i="50"/>
  <c r="P2719" i="50" s="1"/>
  <c r="P3433" i="50" s="1"/>
  <c r="N2004" i="50"/>
  <c r="N2719" i="50" s="1"/>
  <c r="N3433" i="50" s="1"/>
  <c r="J2004" i="50"/>
  <c r="J2719" i="50" s="1"/>
  <c r="N1462" i="50"/>
  <c r="AH1462" i="50"/>
  <c r="AH2136" i="50"/>
  <c r="L2136" i="50"/>
  <c r="F2136" i="50"/>
  <c r="V1553" i="50"/>
  <c r="T1553" i="50"/>
  <c r="AB1553" i="50"/>
  <c r="T2130" i="50"/>
  <c r="C826" i="50"/>
  <c r="Z1597" i="50"/>
  <c r="Z2312" i="50" s="1"/>
  <c r="Z3026" i="50" s="1"/>
  <c r="AB1597" i="50"/>
  <c r="T1597" i="50"/>
  <c r="V1597" i="50"/>
  <c r="AB1787" i="50"/>
  <c r="AB2502" i="50" s="1"/>
  <c r="AB3216" i="50" s="1"/>
  <c r="X1787" i="50"/>
  <c r="V1787" i="50"/>
  <c r="V2502" i="50" s="1"/>
  <c r="V3216" i="50" s="1"/>
  <c r="V1709" i="50"/>
  <c r="T1709" i="50"/>
  <c r="X1709" i="50"/>
  <c r="Z1709" i="50"/>
  <c r="J1742" i="50"/>
  <c r="J2457" i="50" s="1"/>
  <c r="J3171" i="50" s="1"/>
  <c r="P1742" i="50"/>
  <c r="L1742" i="50"/>
  <c r="L2457" i="50" s="1"/>
  <c r="L3171" i="50" s="1"/>
  <c r="N1742" i="50"/>
  <c r="N2457" i="50" s="1"/>
  <c r="N3171" i="50" s="1"/>
  <c r="H1742" i="50"/>
  <c r="H2457" i="50" s="1"/>
  <c r="H3171" i="50" s="1"/>
  <c r="L1854" i="50"/>
  <c r="J1854" i="50"/>
  <c r="F1882" i="50"/>
  <c r="F2597" i="50" s="1"/>
  <c r="F3311" i="50" s="1"/>
  <c r="N1882" i="50"/>
  <c r="N2597" i="50" s="1"/>
  <c r="N3311" i="50" s="1"/>
  <c r="F1910" i="50"/>
  <c r="F2625" i="50" s="1"/>
  <c r="F3339" i="50" s="1"/>
  <c r="J1910" i="50"/>
  <c r="P1938" i="50"/>
  <c r="L1938" i="50"/>
  <c r="L2653" i="50" s="1"/>
  <c r="L3367" i="50" s="1"/>
  <c r="J1966" i="50"/>
  <c r="P1966" i="50"/>
  <c r="P1994" i="50"/>
  <c r="P2709" i="50" s="1"/>
  <c r="P3423" i="50" s="1"/>
  <c r="F1994" i="50"/>
  <c r="F2709" i="50" s="1"/>
  <c r="F3423" i="50" s="1"/>
  <c r="AH1994" i="50"/>
  <c r="J2022" i="50"/>
  <c r="J2737" i="50" s="1"/>
  <c r="J3451" i="50" s="1"/>
  <c r="H2022" i="50"/>
  <c r="AH2022" i="50"/>
  <c r="N2078" i="50"/>
  <c r="F2078" i="50"/>
  <c r="N1700" i="50"/>
  <c r="P1700" i="50"/>
  <c r="P2415" i="50" s="1"/>
  <c r="P3129" i="50" s="1"/>
  <c r="N1499" i="50"/>
  <c r="L1499" i="50"/>
  <c r="H1499" i="50"/>
  <c r="L1603" i="50"/>
  <c r="N1603" i="50"/>
  <c r="N2318" i="50" s="1"/>
  <c r="N3032" i="50" s="1"/>
  <c r="P1603" i="50"/>
  <c r="P2318" i="50" s="1"/>
  <c r="P3032" i="50" s="1"/>
  <c r="X1958" i="50"/>
  <c r="AD1958" i="50"/>
  <c r="AD2673" i="50" s="1"/>
  <c r="AD3387" i="50" s="1"/>
  <c r="Z1958" i="50"/>
  <c r="Z2673" i="50" s="1"/>
  <c r="Z3387" i="50" s="1"/>
  <c r="AB1958" i="50"/>
  <c r="N2031" i="50"/>
  <c r="J2031" i="50"/>
  <c r="J2746" i="50" s="1"/>
  <c r="N1532" i="50"/>
  <c r="H1532" i="50"/>
  <c r="H1944" i="50"/>
  <c r="H2659" i="50" s="1"/>
  <c r="P1944" i="50"/>
  <c r="P2659" i="50" s="1"/>
  <c r="P3373" i="50" s="1"/>
  <c r="J1944" i="50"/>
  <c r="J2659" i="50" s="1"/>
  <c r="J3373" i="50" s="1"/>
  <c r="N1944" i="50"/>
  <c r="N2659" i="50" s="1"/>
  <c r="N3373" i="50" s="1"/>
  <c r="F2009" i="50"/>
  <c r="F2724" i="50" s="1"/>
  <c r="F3438" i="50" s="1"/>
  <c r="AH2009" i="50"/>
  <c r="H2009" i="50"/>
  <c r="H2724" i="50" s="1"/>
  <c r="H3438" i="50" s="1"/>
  <c r="Z1682" i="50"/>
  <c r="AB1682" i="50"/>
  <c r="T1682" i="50"/>
  <c r="T2397" i="50" s="1"/>
  <c r="T3111" i="50" s="1"/>
  <c r="AD1883" i="50"/>
  <c r="AD2598" i="50" s="1"/>
  <c r="AD3312" i="50" s="1"/>
  <c r="X1883" i="50"/>
  <c r="X2598" i="50" s="1"/>
  <c r="J2093" i="50"/>
  <c r="J2808" i="50" s="1"/>
  <c r="J3522" i="50" s="1"/>
  <c r="L2093" i="50"/>
  <c r="L2808" i="50" s="1"/>
  <c r="L3522" i="50" s="1"/>
  <c r="P2093" i="50"/>
  <c r="P2808" i="50" s="1"/>
  <c r="P3522" i="50" s="1"/>
  <c r="X1867" i="50"/>
  <c r="Z1867" i="50"/>
  <c r="J451" i="50"/>
  <c r="J1166" i="50" s="1"/>
  <c r="H451" i="50"/>
  <c r="H1166" i="50" s="1"/>
  <c r="P451" i="50"/>
  <c r="P1166" i="50" s="1"/>
  <c r="AH1749" i="50"/>
  <c r="F1958" i="50"/>
  <c r="N1958" i="50"/>
  <c r="H1958" i="50"/>
  <c r="P1958" i="50"/>
  <c r="AB2072" i="50"/>
  <c r="AD2072" i="50"/>
  <c r="V2140" i="50"/>
  <c r="AB2140" i="50"/>
  <c r="AD2140" i="50"/>
  <c r="AD1643" i="50"/>
  <c r="AD2358" i="50" s="1"/>
  <c r="AD3072" i="50" s="1"/>
  <c r="AB1643" i="50"/>
  <c r="X1643" i="50"/>
  <c r="X2358" i="50" s="1"/>
  <c r="X3072" i="50" s="1"/>
  <c r="N1951" i="50"/>
  <c r="N2666" i="50" s="1"/>
  <c r="N3380" i="50" s="1"/>
  <c r="J1951" i="50"/>
  <c r="H1951" i="50"/>
  <c r="AH1951" i="50"/>
  <c r="AD1884" i="50"/>
  <c r="AD2599" i="50" s="1"/>
  <c r="AD3313" i="50" s="1"/>
  <c r="T1884" i="50"/>
  <c r="T2599" i="50" s="1"/>
  <c r="T3313" i="50" s="1"/>
  <c r="T1625" i="50"/>
  <c r="V1625" i="50"/>
  <c r="AD1708" i="50"/>
  <c r="AD2423" i="50" s="1"/>
  <c r="AD3137" i="50" s="1"/>
  <c r="AB1708" i="50"/>
  <c r="V1708" i="50"/>
  <c r="V2423" i="50" s="1"/>
  <c r="V3137" i="50" s="1"/>
  <c r="X1708" i="50"/>
  <c r="X2423" i="50" s="1"/>
  <c r="X3137" i="50" s="1"/>
  <c r="Z1563" i="50"/>
  <c r="Z2278" i="50" s="1"/>
  <c r="Z2992" i="50" s="1"/>
  <c r="V1563" i="50"/>
  <c r="Z1790" i="50"/>
  <c r="Z2505" i="50" s="1"/>
  <c r="Z3219" i="50" s="1"/>
  <c r="X1790" i="50"/>
  <c r="X1941" i="50"/>
  <c r="AB1941" i="50"/>
  <c r="AB2656" i="50" s="1"/>
  <c r="T1941" i="50"/>
  <c r="AD1941" i="50"/>
  <c r="AD2656" i="50" s="1"/>
  <c r="AD3370" i="50" s="1"/>
  <c r="AB1710" i="50"/>
  <c r="AB2425" i="50" s="1"/>
  <c r="AB3139" i="50" s="1"/>
  <c r="AD1710" i="50"/>
  <c r="AD2425" i="50" s="1"/>
  <c r="Z1710" i="50"/>
  <c r="Z2425" i="50" s="1"/>
  <c r="Z3139" i="50" s="1"/>
  <c r="T1710" i="50"/>
  <c r="Z2130" i="50"/>
  <c r="Z2845" i="50" s="1"/>
  <c r="Z3559" i="50" s="1"/>
  <c r="AD2130" i="50"/>
  <c r="AD2845" i="50" s="1"/>
  <c r="AD3559" i="50" s="1"/>
  <c r="V2130" i="50"/>
  <c r="V2845" i="50" s="1"/>
  <c r="V3559" i="50" s="1"/>
  <c r="Z1948" i="50"/>
  <c r="AD1948" i="50"/>
  <c r="P1570" i="50"/>
  <c r="J1570" i="50"/>
  <c r="H1570" i="50"/>
  <c r="V612" i="50"/>
  <c r="T612" i="50"/>
  <c r="AB612" i="50"/>
  <c r="T577" i="50"/>
  <c r="AD577" i="50"/>
  <c r="AD1292" i="50" s="1"/>
  <c r="Z577" i="50"/>
  <c r="Z1292" i="50" s="1"/>
  <c r="V479" i="50"/>
  <c r="V1194" i="50" s="1"/>
  <c r="AD479" i="50"/>
  <c r="T479" i="50"/>
  <c r="AB479" i="50"/>
  <c r="D2876" i="50"/>
  <c r="D12" i="50"/>
  <c r="C742" i="50"/>
  <c r="C1468" i="50"/>
  <c r="C2183" i="50" s="1"/>
  <c r="C2897" i="50"/>
  <c r="D2932" i="50"/>
  <c r="D1503" i="50"/>
  <c r="D2218" i="50" s="1"/>
  <c r="D1531" i="50"/>
  <c r="D2246" i="50" s="1"/>
  <c r="D805" i="50"/>
  <c r="D1559" i="50"/>
  <c r="D2274" i="50" s="1"/>
  <c r="D833" i="50"/>
  <c r="D889" i="50"/>
  <c r="D3044" i="50"/>
  <c r="D180" i="50"/>
  <c r="C1804" i="50"/>
  <c r="C2519" i="50" s="1"/>
  <c r="C3233" i="50"/>
  <c r="C1923" i="50"/>
  <c r="C2638" i="50" s="1"/>
  <c r="C1197" i="50"/>
  <c r="C3352" i="50"/>
  <c r="D1232" i="50"/>
  <c r="D3387" i="50"/>
  <c r="C1253" i="50"/>
  <c r="C3408" i="50"/>
  <c r="C1979" i="50"/>
  <c r="C2694" i="50" s="1"/>
  <c r="D1986" i="50"/>
  <c r="D2701" i="50" s="1"/>
  <c r="D1260" i="50"/>
  <c r="C3520" i="50"/>
  <c r="C2091" i="50"/>
  <c r="C2806" i="50" s="1"/>
  <c r="V1461" i="50"/>
  <c r="AD1461" i="50"/>
  <c r="X1461" i="50"/>
  <c r="X2176" i="50" s="1"/>
  <c r="X2890" i="50" s="1"/>
  <c r="J1681" i="50"/>
  <c r="H1681" i="50"/>
  <c r="X1478" i="50"/>
  <c r="T1478" i="50"/>
  <c r="T2193" i="50" s="1"/>
  <c r="T2907" i="50" s="1"/>
  <c r="Z1478" i="50"/>
  <c r="V1955" i="50"/>
  <c r="AB1955" i="50"/>
  <c r="AD1955" i="50"/>
  <c r="T1730" i="50"/>
  <c r="T2445" i="50" s="1"/>
  <c r="Z1730" i="50"/>
  <c r="AB1730" i="50"/>
  <c r="L1976" i="50"/>
  <c r="L2691" i="50" s="1"/>
  <c r="L3405" i="50" s="1"/>
  <c r="N1976" i="50"/>
  <c r="N2691" i="50" s="1"/>
  <c r="AH1976" i="50"/>
  <c r="J1976" i="50"/>
  <c r="J2691" i="50" s="1"/>
  <c r="T1591" i="50"/>
  <c r="T2306" i="50" s="1"/>
  <c r="T3020" i="50" s="1"/>
  <c r="X1591" i="50"/>
  <c r="X2306" i="50" s="1"/>
  <c r="X3020" i="50" s="1"/>
  <c r="AH1591" i="50"/>
  <c r="Z1591" i="50"/>
  <c r="AB1609" i="50"/>
  <c r="AB2324" i="50" s="1"/>
  <c r="V1609" i="50"/>
  <c r="V2324" i="50" s="1"/>
  <c r="V3038" i="50" s="1"/>
  <c r="Z1609" i="50"/>
  <c r="Z2324" i="50" s="1"/>
  <c r="Z3038" i="50" s="1"/>
  <c r="F1843" i="50"/>
  <c r="L1843" i="50"/>
  <c r="L2558" i="50" s="1"/>
  <c r="L3272" i="50" s="1"/>
  <c r="N1843" i="50"/>
  <c r="Z2446" i="50"/>
  <c r="Z3160" i="50" s="1"/>
  <c r="P2222" i="50"/>
  <c r="P2936" i="50" s="1"/>
  <c r="F1531" i="50"/>
  <c r="F2246" i="50" s="1"/>
  <c r="V1954" i="50"/>
  <c r="V2669" i="50" s="1"/>
  <c r="V3383" i="50" s="1"/>
  <c r="J1484" i="50"/>
  <c r="J2199" i="50" s="1"/>
  <c r="J2913" i="50" s="1"/>
  <c r="T1881" i="50"/>
  <c r="T2596" i="50" s="1"/>
  <c r="AD1673" i="50"/>
  <c r="T1738" i="50"/>
  <c r="AH143" i="50"/>
  <c r="AH227" i="50"/>
  <c r="AH283" i="50"/>
  <c r="H1721" i="50"/>
  <c r="F1555" i="50"/>
  <c r="H1555" i="50"/>
  <c r="H2270" i="50" s="1"/>
  <c r="H2984" i="50" s="1"/>
  <c r="AH1616" i="50"/>
  <c r="L2544" i="50"/>
  <c r="L3258" i="50" s="1"/>
  <c r="L2642" i="50"/>
  <c r="L3356" i="50" s="1"/>
  <c r="AH238" i="50"/>
  <c r="AH574" i="50"/>
  <c r="AH153" i="50"/>
  <c r="AH518" i="50"/>
  <c r="F2719" i="50"/>
  <c r="F3433" i="50" s="1"/>
  <c r="AH79" i="50"/>
  <c r="C1260" i="50"/>
  <c r="D327" i="50"/>
  <c r="D299" i="50"/>
  <c r="C3471" i="50"/>
  <c r="C2042" i="50"/>
  <c r="C2757" i="50" s="1"/>
  <c r="C1699" i="50"/>
  <c r="C2414" i="50" s="1"/>
  <c r="X2424" i="50"/>
  <c r="X3138" i="50" s="1"/>
  <c r="AH1710" i="50"/>
  <c r="AO1537" i="50"/>
  <c r="T1537" i="50" s="1"/>
  <c r="T2187" i="50"/>
  <c r="T2901" i="50" s="1"/>
  <c r="H2655" i="50"/>
  <c r="H3369" i="50" s="1"/>
  <c r="AO1705" i="50"/>
  <c r="AB1954" i="50"/>
  <c r="AB2669" i="50" s="1"/>
  <c r="AB3383" i="50" s="1"/>
  <c r="P1484" i="50"/>
  <c r="P2199" i="50" s="1"/>
  <c r="P2913" i="50" s="1"/>
  <c r="N1484" i="50"/>
  <c r="N2199" i="50" s="1"/>
  <c r="N2913" i="50" s="1"/>
  <c r="AB1881" i="50"/>
  <c r="X1673" i="50"/>
  <c r="AD1738" i="50"/>
  <c r="AH199" i="50"/>
  <c r="AH428" i="50"/>
  <c r="F1721" i="50"/>
  <c r="F2436" i="50" s="1"/>
  <c r="F3150" i="50" s="1"/>
  <c r="L1721" i="50"/>
  <c r="L2436" i="50" s="1"/>
  <c r="L3150" i="50" s="1"/>
  <c r="AH686" i="50"/>
  <c r="P1913" i="50"/>
  <c r="P2628" i="50" s="1"/>
  <c r="P3342" i="50" s="1"/>
  <c r="J1714" i="50"/>
  <c r="J2429" i="50" s="1"/>
  <c r="J3143" i="50" s="1"/>
  <c r="C1587" i="50"/>
  <c r="C2302" i="50" s="1"/>
  <c r="N338" i="49"/>
  <c r="N337" i="49"/>
  <c r="N336" i="49"/>
  <c r="N335" i="49"/>
  <c r="N334" i="49"/>
  <c r="N333" i="49"/>
  <c r="N332" i="49"/>
  <c r="N331" i="49"/>
  <c r="N330" i="49"/>
  <c r="N328" i="49"/>
  <c r="N339" i="49"/>
  <c r="N321" i="49"/>
  <c r="N329" i="49"/>
  <c r="N308" i="49"/>
  <c r="N299" i="49"/>
  <c r="N295" i="49"/>
  <c r="N323" i="49"/>
  <c r="N322" i="49"/>
  <c r="N307" i="49"/>
  <c r="N306" i="49"/>
  <c r="N305" i="49"/>
  <c r="N304" i="49"/>
  <c r="N303" i="49"/>
  <c r="N302" i="49"/>
  <c r="N301" i="49"/>
  <c r="N300" i="49"/>
  <c r="N296" i="49"/>
  <c r="N340" i="49"/>
  <c r="N326" i="49"/>
  <c r="N297" i="49"/>
  <c r="N291" i="49"/>
  <c r="N287" i="49"/>
  <c r="N283" i="49"/>
  <c r="N279" i="49"/>
  <c r="N327" i="49"/>
  <c r="N298" i="49"/>
  <c r="N294" i="49"/>
  <c r="N293" i="49"/>
  <c r="N292" i="49"/>
  <c r="N288" i="49"/>
  <c r="N319" i="49"/>
  <c r="N315" i="49"/>
  <c r="N311" i="49"/>
  <c r="N290" i="49"/>
  <c r="N286" i="49"/>
  <c r="N274" i="49"/>
  <c r="N270" i="49"/>
  <c r="N266" i="49"/>
  <c r="N262" i="49"/>
  <c r="N258" i="49"/>
  <c r="N324" i="49"/>
  <c r="N317" i="49"/>
  <c r="N313" i="49"/>
  <c r="N272" i="49"/>
  <c r="N268" i="49"/>
  <c r="N264" i="49"/>
  <c r="N325" i="49"/>
  <c r="N320" i="49"/>
  <c r="N316" i="49"/>
  <c r="N312" i="49"/>
  <c r="N309" i="49"/>
  <c r="N282" i="49"/>
  <c r="N281" i="49"/>
  <c r="N278" i="49"/>
  <c r="N277" i="49"/>
  <c r="N275" i="49"/>
  <c r="N271" i="49"/>
  <c r="N267" i="49"/>
  <c r="N263" i="49"/>
  <c r="N318" i="49"/>
  <c r="N284" i="49"/>
  <c r="N265" i="49"/>
  <c r="N260" i="49"/>
  <c r="N259" i="49"/>
  <c r="N257" i="49"/>
  <c r="N310" i="49"/>
  <c r="N289" i="49"/>
  <c r="N276" i="49"/>
  <c r="N273" i="49"/>
  <c r="N255" i="49"/>
  <c r="N249" i="49"/>
  <c r="N248" i="49"/>
  <c r="N244" i="49"/>
  <c r="N242" i="49"/>
  <c r="N253" i="49"/>
  <c r="N314" i="49"/>
  <c r="N285" i="49"/>
  <c r="N256" i="49"/>
  <c r="N252" i="49"/>
  <c r="N250" i="49"/>
  <c r="N245" i="49"/>
  <c r="N243" i="49"/>
  <c r="N241" i="49"/>
  <c r="N280" i="49"/>
  <c r="N261" i="49"/>
  <c r="N254" i="49"/>
  <c r="N246" i="49"/>
  <c r="N269" i="49"/>
  <c r="N16" i="49"/>
  <c r="N20" i="49"/>
  <c r="N17" i="49"/>
  <c r="AI311" i="50"/>
  <c r="V682" i="50"/>
  <c r="AH682" i="50"/>
  <c r="X682" i="50"/>
  <c r="AB2397" i="50"/>
  <c r="AB3111" i="50" s="1"/>
  <c r="Z2397" i="50"/>
  <c r="Z3111" i="50" s="1"/>
  <c r="X598" i="50"/>
  <c r="X1313" i="50" s="1"/>
  <c r="Z598" i="50"/>
  <c r="Z1313" i="50" s="1"/>
  <c r="AD598" i="50"/>
  <c r="AD1313" i="50" s="1"/>
  <c r="J661" i="50"/>
  <c r="J1376" i="50" s="1"/>
  <c r="L661" i="50"/>
  <c r="L1376" i="50" s="1"/>
  <c r="AH451" i="50"/>
  <c r="T451" i="50"/>
  <c r="T1166" i="50" s="1"/>
  <c r="AB451" i="50"/>
  <c r="AB1166" i="50" s="1"/>
  <c r="V451" i="50"/>
  <c r="V1166" i="50" s="1"/>
  <c r="AD451" i="50"/>
  <c r="AD1166" i="50" s="1"/>
  <c r="J507" i="50"/>
  <c r="J1222" i="50" s="1"/>
  <c r="L507" i="50"/>
  <c r="L1222" i="50" s="1"/>
  <c r="L2600" i="50"/>
  <c r="L3314" i="50" s="1"/>
  <c r="P2397" i="50"/>
  <c r="P3111" i="50" s="1"/>
  <c r="AD682" i="50"/>
  <c r="T682" i="50"/>
  <c r="V598" i="50"/>
  <c r="V1313" i="50" s="1"/>
  <c r="F507" i="50"/>
  <c r="F1222" i="50" s="1"/>
  <c r="H661" i="50"/>
  <c r="H1376" i="50" s="1"/>
  <c r="J486" i="50"/>
  <c r="J1201" i="50" s="1"/>
  <c r="L486" i="50"/>
  <c r="L1201" i="50" s="1"/>
  <c r="V486" i="50"/>
  <c r="V1201" i="50" s="1"/>
  <c r="AD486" i="50"/>
  <c r="AD1201" i="50" s="1"/>
  <c r="T486" i="50"/>
  <c r="T1201" i="50" s="1"/>
  <c r="AB486" i="50"/>
  <c r="AB1201" i="50" s="1"/>
  <c r="BP33" i="49"/>
  <c r="BU33" i="49" s="1"/>
  <c r="Z458" i="50"/>
  <c r="X458" i="50"/>
  <c r="AH252" i="50"/>
  <c r="L654" i="50"/>
  <c r="L1369" i="50" s="1"/>
  <c r="AH654" i="50"/>
  <c r="F654" i="50"/>
  <c r="F1369" i="50" s="1"/>
  <c r="N654" i="50"/>
  <c r="N1369" i="50" s="1"/>
  <c r="AH601" i="50"/>
  <c r="AD2397" i="50"/>
  <c r="AD3111" i="50" s="1"/>
  <c r="F2334" i="50"/>
  <c r="F3048" i="50" s="1"/>
  <c r="F2222" i="50"/>
  <c r="F2936" i="50" s="1"/>
  <c r="P2446" i="50"/>
  <c r="P3160" i="50" s="1"/>
  <c r="J2397" i="50"/>
  <c r="J3111" i="50" s="1"/>
  <c r="AD2767" i="50"/>
  <c r="AD3481" i="50" s="1"/>
  <c r="AH316" i="50"/>
  <c r="L626" i="50"/>
  <c r="L1341" i="50" s="1"/>
  <c r="T598" i="50"/>
  <c r="P507" i="50"/>
  <c r="P1222" i="50" s="1"/>
  <c r="F661" i="50"/>
  <c r="F1376" i="50" s="1"/>
  <c r="AD1411" i="50"/>
  <c r="V1411" i="50"/>
  <c r="N2397" i="50"/>
  <c r="V2600" i="50"/>
  <c r="V3314" i="50" s="1"/>
  <c r="X2397" i="50"/>
  <c r="X3111" i="50" s="1"/>
  <c r="X2600" i="50"/>
  <c r="AB682" i="50"/>
  <c r="N507" i="50"/>
  <c r="N1222" i="50" s="1"/>
  <c r="N661" i="50"/>
  <c r="N1376" i="50" s="1"/>
  <c r="X451" i="50"/>
  <c r="X1166" i="50" s="1"/>
  <c r="J626" i="50"/>
  <c r="J1341" i="50" s="1"/>
  <c r="T423" i="50"/>
  <c r="T1138" i="50" s="1"/>
  <c r="X423" i="50"/>
  <c r="X1138" i="50" s="1"/>
  <c r="V654" i="50"/>
  <c r="V1369" i="50" s="1"/>
  <c r="X654" i="50"/>
  <c r="X1369" i="50" s="1"/>
  <c r="AO75" i="50"/>
  <c r="AH70" i="50"/>
  <c r="R622" i="50"/>
  <c r="AH622" i="50" s="1"/>
  <c r="AF132" i="50"/>
  <c r="AF174" i="50"/>
  <c r="AD174" i="50" s="1"/>
  <c r="AF615" i="50"/>
  <c r="AH615" i="50" s="1"/>
  <c r="AF350" i="50"/>
  <c r="AF580" i="50"/>
  <c r="AF343" i="50"/>
  <c r="AH343" i="50" s="1"/>
  <c r="AF629" i="50"/>
  <c r="AD629" i="50" s="1"/>
  <c r="AF308" i="50"/>
  <c r="AF133" i="50"/>
  <c r="AH133" i="50" s="1"/>
  <c r="AF602" i="50"/>
  <c r="AH602" i="50" s="1"/>
  <c r="R329" i="50"/>
  <c r="AH329" i="50" s="1"/>
  <c r="R300" i="50"/>
  <c r="AH300" i="50" s="1"/>
  <c r="R97" i="50"/>
  <c r="R503" i="50"/>
  <c r="AH503" i="50" s="1"/>
  <c r="AF97" i="50"/>
  <c r="AH97" i="50" s="1"/>
  <c r="AF419" i="50"/>
  <c r="AF266" i="50"/>
  <c r="AF608" i="50"/>
  <c r="AH608" i="50" s="1"/>
  <c r="AF364" i="50"/>
  <c r="AH364" i="50" s="1"/>
  <c r="AF161" i="50"/>
  <c r="AF195" i="50"/>
  <c r="AF581" i="50"/>
  <c r="AH581" i="50" s="1"/>
  <c r="R349" i="50"/>
  <c r="AH349" i="50" s="1"/>
  <c r="R328" i="50"/>
  <c r="AF175" i="50"/>
  <c r="AF461" i="50"/>
  <c r="AF497" i="50"/>
  <c r="AH497" i="50" s="1"/>
  <c r="R230" i="50"/>
  <c r="R321" i="50"/>
  <c r="R244" i="50"/>
  <c r="AH244" i="50" s="1"/>
  <c r="R399" i="50"/>
  <c r="L399" i="50" s="1"/>
  <c r="L1114" i="50" s="1"/>
  <c r="R489" i="50"/>
  <c r="R125" i="50"/>
  <c r="AF203" i="50"/>
  <c r="AH203" i="50" s="1"/>
  <c r="AF441" i="50"/>
  <c r="AH441" i="50" s="1"/>
  <c r="AF462" i="50"/>
  <c r="AH462" i="50" s="1"/>
  <c r="AF371" i="50"/>
  <c r="AF665" i="50"/>
  <c r="AH665" i="50" s="1"/>
  <c r="R314" i="50"/>
  <c r="AH314" i="50" s="1"/>
  <c r="R189" i="50"/>
  <c r="R251" i="50"/>
  <c r="R266" i="50"/>
  <c r="L266" i="50" s="1"/>
  <c r="L981" i="50" s="1"/>
  <c r="R272" i="50"/>
  <c r="AH272" i="50" s="1"/>
  <c r="R315" i="50"/>
  <c r="AH315" i="50" s="1"/>
  <c r="BL34" i="49"/>
  <c r="BL115" i="49"/>
  <c r="BC45" i="49"/>
  <c r="BC61" i="49"/>
  <c r="BH39" i="49"/>
  <c r="BP39" i="49" s="1"/>
  <c r="BU39" i="49" s="1"/>
  <c r="BL59" i="49"/>
  <c r="BC34" i="49"/>
  <c r="AX40" i="49"/>
  <c r="AX56" i="49"/>
  <c r="BH82" i="49"/>
  <c r="BL97" i="49"/>
  <c r="BC55" i="49"/>
  <c r="AX49" i="49"/>
  <c r="AX73" i="49"/>
  <c r="BH100" i="49"/>
  <c r="BC48" i="49"/>
  <c r="BC68" i="49"/>
  <c r="AX38" i="49"/>
  <c r="AX66" i="49"/>
  <c r="BH110" i="49"/>
  <c r="BH32" i="49"/>
  <c r="BP32" i="49" s="1"/>
  <c r="BU32" i="49" s="1"/>
  <c r="BU183" i="49"/>
  <c r="AH78" i="50"/>
  <c r="BH41" i="49"/>
  <c r="BH59" i="49"/>
  <c r="BH43" i="49"/>
  <c r="BP43" i="49" s="1"/>
  <c r="BU43" i="49" s="1"/>
  <c r="BH102" i="49"/>
  <c r="AF416" i="50"/>
  <c r="BQ99" i="49"/>
  <c r="BQ112" i="49"/>
  <c r="L2334" i="50"/>
  <c r="L3048" i="50" s="1"/>
  <c r="Z2222" i="50"/>
  <c r="Z2936" i="50" s="1"/>
  <c r="L2222" i="50"/>
  <c r="L2936" i="50" s="1"/>
  <c r="Z2600" i="50"/>
  <c r="Z3314" i="50" s="1"/>
  <c r="H2264" i="50"/>
  <c r="H2978" i="50" s="1"/>
  <c r="AD2544" i="50"/>
  <c r="AD3258" i="50" s="1"/>
  <c r="AO82" i="50"/>
  <c r="H1355" i="50"/>
  <c r="P1292" i="50"/>
  <c r="H1292" i="50"/>
  <c r="Z1411" i="50"/>
  <c r="T1411" i="50"/>
  <c r="BP82" i="49"/>
  <c r="BU82" i="49" s="1"/>
  <c r="F2397" i="50"/>
  <c r="F3111" i="50" s="1"/>
  <c r="AH63" i="50"/>
  <c r="AF650" i="50"/>
  <c r="AF700" i="50"/>
  <c r="AH700" i="50" s="1"/>
  <c r="R440" i="50"/>
  <c r="AH440" i="50" s="1"/>
  <c r="R98" i="50"/>
  <c r="AH98" i="50" s="1"/>
  <c r="AH524" i="50"/>
  <c r="AF573" i="50"/>
  <c r="AH356" i="50"/>
  <c r="AH126" i="50"/>
  <c r="AH56" i="50"/>
  <c r="R447" i="50"/>
  <c r="AF399" i="50"/>
  <c r="R301" i="50"/>
  <c r="R112" i="50"/>
  <c r="BL41" i="49"/>
  <c r="BH55" i="49"/>
  <c r="BP55" i="49" s="1"/>
  <c r="BU55" i="49" s="1"/>
  <c r="BL75" i="49"/>
  <c r="AX44" i="49"/>
  <c r="BH62" i="49"/>
  <c r="BP62" i="49" s="1"/>
  <c r="BU62" i="49" s="1"/>
  <c r="BH85" i="49"/>
  <c r="BH87" i="49"/>
  <c r="BC59" i="49"/>
  <c r="BH101" i="49"/>
  <c r="AH612" i="50"/>
  <c r="AH584" i="50"/>
  <c r="BC83" i="49"/>
  <c r="AF647" i="50"/>
  <c r="BC105" i="49"/>
  <c r="BQ81" i="49"/>
  <c r="BQ86" i="49"/>
  <c r="BQ111" i="49"/>
  <c r="BQ76" i="49"/>
  <c r="H2631" i="50"/>
  <c r="H3345" i="50" s="1"/>
  <c r="H2222" i="50"/>
  <c r="H2936" i="50" s="1"/>
  <c r="F2446" i="50"/>
  <c r="F3160" i="50" s="1"/>
  <c r="AD2600" i="50"/>
  <c r="AD3314" i="50" s="1"/>
  <c r="H2397" i="50"/>
  <c r="H3111" i="50" s="1"/>
  <c r="AB2719" i="50"/>
  <c r="AB3433" i="50" s="1"/>
  <c r="P2264" i="50"/>
  <c r="P2978" i="50" s="1"/>
  <c r="P2635" i="50"/>
  <c r="AB2544" i="50"/>
  <c r="AB3258" i="50" s="1"/>
  <c r="N2642" i="50"/>
  <c r="N3356" i="50" s="1"/>
  <c r="N1292" i="50"/>
  <c r="F1292" i="50"/>
  <c r="N2222" i="50"/>
  <c r="N2936" i="50" s="1"/>
  <c r="BP101" i="49"/>
  <c r="BU101" i="49" s="1"/>
  <c r="AH650" i="50"/>
  <c r="R181" i="50"/>
  <c r="AH181" i="50" s="1"/>
  <c r="R175" i="50"/>
  <c r="R413" i="50"/>
  <c r="BH78" i="49"/>
  <c r="BH92" i="49"/>
  <c r="BC69" i="49"/>
  <c r="BH88" i="49"/>
  <c r="V2533" i="50"/>
  <c r="V3247" i="50" s="1"/>
  <c r="H42" i="35"/>
  <c r="L2208" i="50"/>
  <c r="L2922" i="50" s="1"/>
  <c r="T1721" i="50"/>
  <c r="V1589" i="50"/>
  <c r="V2304" i="50" s="1"/>
  <c r="V3018" i="50" s="1"/>
  <c r="V2099" i="50"/>
  <c r="J1517" i="50"/>
  <c r="V1721" i="50"/>
  <c r="V1770" i="50"/>
  <c r="AD1770" i="50"/>
  <c r="AD1774" i="50" s="1"/>
  <c r="AD1775" i="50" s="1"/>
  <c r="AN1775" i="50"/>
  <c r="F1775" i="50" s="1"/>
  <c r="Z1770" i="50"/>
  <c r="F1689" i="50"/>
  <c r="F2404" i="50" s="1"/>
  <c r="F3118" i="50" s="1"/>
  <c r="AO1691" i="50"/>
  <c r="T1691" i="50" s="1"/>
  <c r="Z2085" i="50"/>
  <c r="T2085" i="50"/>
  <c r="T2089" i="50" s="1"/>
  <c r="AD2085" i="50"/>
  <c r="AD2800" i="50" s="1"/>
  <c r="AD3514" i="50" s="1"/>
  <c r="V2085" i="50"/>
  <c r="X2085" i="50"/>
  <c r="X2089" i="50" s="1"/>
  <c r="X2090" i="50" s="1"/>
  <c r="AB2085" i="50"/>
  <c r="AB2089" i="50" s="1"/>
  <c r="AB2090" i="50" s="1"/>
  <c r="AH2000" i="50"/>
  <c r="V2000" i="50"/>
  <c r="T2000" i="50"/>
  <c r="X2000" i="50"/>
  <c r="X2715" i="50" s="1"/>
  <c r="X3429" i="50" s="1"/>
  <c r="AB2000" i="50"/>
  <c r="AB2715" i="50" s="1"/>
  <c r="AB3429" i="50" s="1"/>
  <c r="F1609" i="50"/>
  <c r="F2324" i="50" s="1"/>
  <c r="F3038" i="50" s="1"/>
  <c r="H1609" i="50"/>
  <c r="H2324" i="50" s="1"/>
  <c r="H3038" i="50" s="1"/>
  <c r="L1609" i="50"/>
  <c r="L2324" i="50" s="1"/>
  <c r="L3038" i="50" s="1"/>
  <c r="AH1499" i="50"/>
  <c r="Z1499" i="50"/>
  <c r="X1499" i="50"/>
  <c r="T1499" i="50"/>
  <c r="L2130" i="50"/>
  <c r="L2845" i="50" s="1"/>
  <c r="AH2130" i="50"/>
  <c r="P2130" i="50"/>
  <c r="P2845" i="50" s="1"/>
  <c r="AH1778" i="50"/>
  <c r="X1778" i="50"/>
  <c r="X2493" i="50" s="1"/>
  <c r="X3207" i="50" s="1"/>
  <c r="T1778" i="50"/>
  <c r="T2493" i="50" s="1"/>
  <c r="T3207" i="50" s="1"/>
  <c r="X1617" i="50"/>
  <c r="X2332" i="50" s="1"/>
  <c r="X3046" i="50" s="1"/>
  <c r="AB1617" i="50"/>
  <c r="AH2101" i="50"/>
  <c r="N2101" i="50"/>
  <c r="AH2004" i="50"/>
  <c r="X2004" i="50"/>
  <c r="X2719" i="50" s="1"/>
  <c r="L1946" i="50"/>
  <c r="J1946" i="50"/>
  <c r="P1723" i="50"/>
  <c r="L1723" i="50"/>
  <c r="J1723" i="50"/>
  <c r="T1636" i="50"/>
  <c r="T2351" i="50" s="1"/>
  <c r="T3065" i="50" s="1"/>
  <c r="V1636" i="50"/>
  <c r="V2351" i="50" s="1"/>
  <c r="V3065" i="50" s="1"/>
  <c r="F1561" i="50"/>
  <c r="J1561" i="50"/>
  <c r="J2276" i="50" s="1"/>
  <c r="AH1769" i="50"/>
  <c r="P1769" i="50"/>
  <c r="H528" i="50"/>
  <c r="P528" i="50"/>
  <c r="J528" i="50"/>
  <c r="P1785" i="50"/>
  <c r="L1785" i="50"/>
  <c r="N1785" i="50"/>
  <c r="N2500" i="50" s="1"/>
  <c r="N3214" i="50" s="1"/>
  <c r="AH1785" i="50"/>
  <c r="H1839" i="50"/>
  <c r="H2554" i="50" s="1"/>
  <c r="H3268" i="50" s="1"/>
  <c r="F1839" i="50"/>
  <c r="F2554" i="50" s="1"/>
  <c r="F3268" i="50" s="1"/>
  <c r="N1839" i="50"/>
  <c r="N2554" i="50" s="1"/>
  <c r="L1658" i="50"/>
  <c r="H1658" i="50"/>
  <c r="H2373" i="50" s="1"/>
  <c r="H3087" i="50" s="1"/>
  <c r="P1658" i="50"/>
  <c r="P2373" i="50" s="1"/>
  <c r="N1658" i="50"/>
  <c r="N2373" i="50" s="1"/>
  <c r="N3087" i="50" s="1"/>
  <c r="AH1658" i="50"/>
  <c r="V23" i="32"/>
  <c r="AH1618" i="50"/>
  <c r="F1618" i="50"/>
  <c r="F2333" i="50" s="1"/>
  <c r="F3047" i="50" s="1"/>
  <c r="P2128" i="50"/>
  <c r="P2843" i="50" s="1"/>
  <c r="P3557" i="50" s="1"/>
  <c r="J2128" i="50"/>
  <c r="J2843" i="50" s="1"/>
  <c r="J3557" i="50" s="1"/>
  <c r="AH1919" i="50"/>
  <c r="AB1926" i="50"/>
  <c r="AB2641" i="50" s="1"/>
  <c r="AB3355" i="50" s="1"/>
  <c r="X1926" i="50"/>
  <c r="AE110" i="48"/>
  <c r="AO1621" i="50"/>
  <c r="T1621" i="50" s="1"/>
  <c r="P1618" i="50"/>
  <c r="F2128" i="50"/>
  <c r="N2128" i="50"/>
  <c r="T1919" i="50"/>
  <c r="Z1919" i="50"/>
  <c r="AH1926" i="50"/>
  <c r="V1926" i="50"/>
  <c r="V2641" i="50" s="1"/>
  <c r="V3355" i="50" s="1"/>
  <c r="N1517" i="50"/>
  <c r="N2232" i="50" s="1"/>
  <c r="N2946" i="50" s="1"/>
  <c r="F1517" i="50"/>
  <c r="F2232" i="50" s="1"/>
  <c r="F1483" i="50"/>
  <c r="F2198" i="50" s="1"/>
  <c r="F2912" i="50" s="1"/>
  <c r="P1483" i="50"/>
  <c r="P2198" i="50" s="1"/>
  <c r="P2912" i="50" s="1"/>
  <c r="X1749" i="50"/>
  <c r="AD1749" i="50"/>
  <c r="AD2464" i="50" s="1"/>
  <c r="AD3178" i="50" s="1"/>
  <c r="V1749" i="50"/>
  <c r="L1836" i="50"/>
  <c r="L2551" i="50" s="1"/>
  <c r="L3265" i="50" s="1"/>
  <c r="F1836" i="50"/>
  <c r="F2551" i="50" s="1"/>
  <c r="F3265" i="50" s="1"/>
  <c r="AH1836" i="50"/>
  <c r="N1836" i="50"/>
  <c r="N2551" i="50" s="1"/>
  <c r="N3265" i="50" s="1"/>
  <c r="AB1721" i="50"/>
  <c r="AB2436" i="50" s="1"/>
  <c r="AB3150" i="50" s="1"/>
  <c r="AH1721" i="50"/>
  <c r="J1668" i="50"/>
  <c r="L1668" i="50"/>
  <c r="P1668" i="50"/>
  <c r="H1668" i="50"/>
  <c r="H1546" i="50"/>
  <c r="P1546" i="50"/>
  <c r="P2261" i="50" s="1"/>
  <c r="P2975" i="50" s="1"/>
  <c r="J1546" i="50"/>
  <c r="L1618" i="50"/>
  <c r="L2333" i="50" s="1"/>
  <c r="L3047" i="50" s="1"/>
  <c r="AD1919" i="50"/>
  <c r="AD2634" i="50" s="1"/>
  <c r="AD3348" i="50" s="1"/>
  <c r="L1517" i="50"/>
  <c r="L2232" i="50" s="1"/>
  <c r="L2946" i="50" s="1"/>
  <c r="N1668" i="50"/>
  <c r="AI174" i="49"/>
  <c r="BL174" i="49"/>
  <c r="AS219" i="49"/>
  <c r="BL219" i="49"/>
  <c r="AF2066" i="50"/>
  <c r="AF1652" i="50"/>
  <c r="BL160" i="49"/>
  <c r="BP160" i="49" s="1"/>
  <c r="R1450" i="50"/>
  <c r="AN131" i="49"/>
  <c r="AF1741" i="50"/>
  <c r="AD1741" i="50" s="1"/>
  <c r="O173" i="49"/>
  <c r="BC153" i="49"/>
  <c r="AF1605" i="50"/>
  <c r="AF1528" i="50"/>
  <c r="BL142" i="49"/>
  <c r="BP142" i="49" s="1"/>
  <c r="R1716" i="50"/>
  <c r="AN169" i="49"/>
  <c r="R1455" i="50"/>
  <c r="AH1455" i="50" s="1"/>
  <c r="T132" i="49"/>
  <c r="AB2170" i="50" s="1"/>
  <c r="AB2884" i="50" s="1"/>
  <c r="BH132" i="49"/>
  <c r="BP132" i="49" s="1"/>
  <c r="BU132" i="49" s="1"/>
  <c r="U231" i="49"/>
  <c r="V1918" i="50"/>
  <c r="AD1918" i="50"/>
  <c r="T1918" i="50"/>
  <c r="AB1918" i="50"/>
  <c r="AB2633" i="50" s="1"/>
  <c r="AB3347" i="50" s="1"/>
  <c r="Z1918" i="50"/>
  <c r="Z2633" i="50" s="1"/>
  <c r="Z3347" i="50" s="1"/>
  <c r="AS189" i="49"/>
  <c r="BL189" i="49"/>
  <c r="AF1856" i="50"/>
  <c r="BC173" i="49"/>
  <c r="AF1745" i="50"/>
  <c r="AH1745" i="50" s="1"/>
  <c r="AD45" i="49"/>
  <c r="R211" i="50"/>
  <c r="BH203" i="49"/>
  <c r="BP203" i="49" s="1"/>
  <c r="BU203" i="49" s="1"/>
  <c r="AX203" i="49"/>
  <c r="R1955" i="50"/>
  <c r="BL158" i="49"/>
  <c r="Y158" i="49"/>
  <c r="AF1637" i="50"/>
  <c r="AX172" i="49"/>
  <c r="R1738" i="50"/>
  <c r="AI152" i="49"/>
  <c r="AF1596" i="50"/>
  <c r="BL152" i="49"/>
  <c r="BH145" i="49"/>
  <c r="BP145" i="49" s="1"/>
  <c r="BU145" i="49" s="1"/>
  <c r="T145" i="49"/>
  <c r="BL133" i="49"/>
  <c r="AI133" i="49"/>
  <c r="AF1463" i="50"/>
  <c r="BH218" i="49"/>
  <c r="BP218" i="49" s="1"/>
  <c r="BU218" i="49" s="1"/>
  <c r="R2059" i="50"/>
  <c r="AD205" i="49"/>
  <c r="R1967" i="50"/>
  <c r="BH205" i="49"/>
  <c r="BP205" i="49" s="1"/>
  <c r="BL182" i="49"/>
  <c r="O182" i="49"/>
  <c r="AD29" i="49"/>
  <c r="R99" i="50"/>
  <c r="AN50" i="49"/>
  <c r="R247" i="50"/>
  <c r="AN89" i="49"/>
  <c r="BH89" i="49"/>
  <c r="BP89" i="49" s="1"/>
  <c r="BU89" i="49" s="1"/>
  <c r="T71" i="49"/>
  <c r="R392" i="50"/>
  <c r="AH392" i="50" s="1"/>
  <c r="BC133" i="49"/>
  <c r="AF1465" i="50"/>
  <c r="V1465" i="50" s="1"/>
  <c r="AX141" i="49"/>
  <c r="R1521" i="50"/>
  <c r="AF1584" i="50"/>
  <c r="BL150" i="49"/>
  <c r="BC150" i="49"/>
  <c r="BL153" i="49"/>
  <c r="AF1653" i="50"/>
  <c r="AS160" i="49"/>
  <c r="AH1715" i="50"/>
  <c r="N1715" i="50"/>
  <c r="L1715" i="50"/>
  <c r="L2430" i="50" s="1"/>
  <c r="L3144" i="50" s="1"/>
  <c r="R1764" i="50"/>
  <c r="N1764" i="50" s="1"/>
  <c r="AD176" i="49"/>
  <c r="AN186" i="49"/>
  <c r="R1835" i="50"/>
  <c r="BH209" i="49"/>
  <c r="R1995" i="50"/>
  <c r="AD209" i="49"/>
  <c r="T161" i="49"/>
  <c r="BH161" i="49"/>
  <c r="R1727" i="50"/>
  <c r="J171" i="49"/>
  <c r="X2442" i="50" s="1"/>
  <c r="X3156" i="50" s="1"/>
  <c r="J81" i="49"/>
  <c r="BH81" i="49"/>
  <c r="R461" i="50"/>
  <c r="AN48" i="49"/>
  <c r="BH48" i="49"/>
  <c r="BP48" i="49" s="1"/>
  <c r="BU48" i="49" s="1"/>
  <c r="AD104" i="49"/>
  <c r="BH104" i="49"/>
  <c r="BP104" i="49" s="1"/>
  <c r="BU104" i="49" s="1"/>
  <c r="AD37" i="49"/>
  <c r="BH37" i="49"/>
  <c r="BP37" i="49" s="1"/>
  <c r="BU37" i="49" s="1"/>
  <c r="AF101" i="50"/>
  <c r="BC29" i="49"/>
  <c r="AX136" i="49"/>
  <c r="AB2201" i="50" s="1"/>
  <c r="R1486" i="50"/>
  <c r="BL141" i="49"/>
  <c r="AF1517" i="50"/>
  <c r="AH1517" i="50" s="1"/>
  <c r="O141" i="49"/>
  <c r="AF1560" i="50"/>
  <c r="Y147" i="49"/>
  <c r="AN152" i="49"/>
  <c r="R1597" i="50"/>
  <c r="R1659" i="50"/>
  <c r="AD161" i="49"/>
  <c r="AD2374" i="50" s="1"/>
  <c r="AD3088" i="50" s="1"/>
  <c r="AN166" i="49"/>
  <c r="R1695" i="50"/>
  <c r="Y173" i="49"/>
  <c r="AF1742" i="50"/>
  <c r="Z1742" i="50" s="1"/>
  <c r="Z2457" i="50" s="1"/>
  <c r="Z3171" i="50" s="1"/>
  <c r="R1780" i="50"/>
  <c r="BH178" i="49"/>
  <c r="AX178" i="49"/>
  <c r="Y187" i="49"/>
  <c r="AF1840" i="50"/>
  <c r="BL196" i="49"/>
  <c r="AI196" i="49"/>
  <c r="AF1904" i="50"/>
  <c r="V1904" i="50" s="1"/>
  <c r="V2619" i="50" s="1"/>
  <c r="V3333" i="50" s="1"/>
  <c r="AN215" i="49"/>
  <c r="BH215" i="49"/>
  <c r="BP215" i="49" s="1"/>
  <c r="R2038" i="50"/>
  <c r="R1610" i="50"/>
  <c r="AH1610" i="50" s="1"/>
  <c r="BH154" i="49"/>
  <c r="AD154" i="49"/>
  <c r="AS158" i="49"/>
  <c r="AF1639" i="50"/>
  <c r="AD166" i="49"/>
  <c r="R1694" i="50"/>
  <c r="BH166" i="49"/>
  <c r="BP166" i="49" s="1"/>
  <c r="AF1913" i="50"/>
  <c r="BC197" i="49"/>
  <c r="AF1973" i="50"/>
  <c r="Y206" i="49"/>
  <c r="T63" i="49"/>
  <c r="R336" i="50"/>
  <c r="J45" i="49"/>
  <c r="R209" i="50"/>
  <c r="AD109" i="49"/>
  <c r="BH109" i="49"/>
  <c r="AD58" i="49"/>
  <c r="BH58" i="49"/>
  <c r="BP58" i="49" s="1"/>
  <c r="BU58" i="49" s="1"/>
  <c r="AD42" i="49"/>
  <c r="BH42" i="49"/>
  <c r="BP42" i="49" s="1"/>
  <c r="BU42" i="49" s="1"/>
  <c r="T68" i="49"/>
  <c r="R371" i="50"/>
  <c r="T52" i="49"/>
  <c r="R259" i="50"/>
  <c r="AH259" i="50" s="1"/>
  <c r="BH52" i="49"/>
  <c r="T36" i="49"/>
  <c r="R147" i="50"/>
  <c r="AH147" i="50" s="1"/>
  <c r="J68" i="49"/>
  <c r="R370" i="50"/>
  <c r="AH370" i="50" s="1"/>
  <c r="J46" i="49"/>
  <c r="R216" i="50"/>
  <c r="AH216" i="50" s="1"/>
  <c r="J30" i="49"/>
  <c r="R104" i="50"/>
  <c r="AH104" i="50" s="1"/>
  <c r="BH30" i="49"/>
  <c r="BP30" i="49" s="1"/>
  <c r="BU30" i="49" s="1"/>
  <c r="AI46" i="49"/>
  <c r="BL46" i="49"/>
  <c r="AN80" i="49"/>
  <c r="BH80" i="49"/>
  <c r="BP80" i="49" s="1"/>
  <c r="BU80" i="49" s="1"/>
  <c r="AD47" i="49"/>
  <c r="BH47" i="49"/>
  <c r="BP47" i="49" s="1"/>
  <c r="BU47" i="49" s="1"/>
  <c r="J77" i="49"/>
  <c r="R433" i="50"/>
  <c r="BH77" i="49"/>
  <c r="F2649" i="50"/>
  <c r="H2649" i="50"/>
  <c r="N2705" i="50"/>
  <c r="N3419" i="50" s="1"/>
  <c r="T1583" i="50"/>
  <c r="V1583" i="50"/>
  <c r="AB1546" i="50"/>
  <c r="AD1546" i="50"/>
  <c r="F1629" i="50"/>
  <c r="F2344" i="50" s="1"/>
  <c r="F3058" i="50" s="1"/>
  <c r="P1629" i="50"/>
  <c r="P2344" i="50" s="1"/>
  <c r="P3058" i="50" s="1"/>
  <c r="H1629" i="50"/>
  <c r="L1997" i="50"/>
  <c r="P1997" i="50"/>
  <c r="J2649" i="50"/>
  <c r="P2649" i="50"/>
  <c r="R2649" i="50" s="1"/>
  <c r="P2705" i="50"/>
  <c r="P3419" i="50" s="1"/>
  <c r="X1854" i="50"/>
  <c r="X2569" i="50" s="1"/>
  <c r="X3283" i="50" s="1"/>
  <c r="Z1854" i="50"/>
  <c r="Z2569" i="50" s="1"/>
  <c r="Z3283" i="50" s="1"/>
  <c r="J1708" i="50"/>
  <c r="J2423" i="50" s="1"/>
  <c r="J3137" i="50" s="1"/>
  <c r="H1708" i="50"/>
  <c r="H2423" i="50" s="1"/>
  <c r="AD18" i="32"/>
  <c r="AF18" i="32"/>
  <c r="AH468" i="50"/>
  <c r="AB1855" i="50"/>
  <c r="X1855" i="50"/>
  <c r="X2570" i="50" s="1"/>
  <c r="X3284" i="50" s="1"/>
  <c r="AD1855" i="50"/>
  <c r="AD2570" i="50" s="1"/>
  <c r="AD3284" i="50" s="1"/>
  <c r="T1855" i="50"/>
  <c r="T2570" i="50" s="1"/>
  <c r="T3284" i="50" s="1"/>
  <c r="V1855" i="50"/>
  <c r="V2570" i="50" s="1"/>
  <c r="V3284" i="50" s="1"/>
  <c r="H1763" i="50"/>
  <c r="H2478" i="50" s="1"/>
  <c r="H3192" i="50" s="1"/>
  <c r="J1763" i="50"/>
  <c r="J2478" i="50" s="1"/>
  <c r="AB15" i="32"/>
  <c r="AB14" i="32" s="1"/>
  <c r="AF14" i="32" s="1"/>
  <c r="AB5" i="32"/>
  <c r="N87" i="35"/>
  <c r="G93" i="35"/>
  <c r="G120" i="35"/>
  <c r="BP133" i="49"/>
  <c r="BU133" i="49" s="1"/>
  <c r="AH1918" i="50"/>
  <c r="P1497" i="50"/>
  <c r="H1497" i="50"/>
  <c r="BH152" i="49"/>
  <c r="T152" i="49"/>
  <c r="H2310" i="50" s="1"/>
  <c r="T139" i="49"/>
  <c r="R1504" i="50"/>
  <c r="N1504" i="50" s="1"/>
  <c r="R1667" i="50"/>
  <c r="AO1670" i="50" s="1"/>
  <c r="T1670" i="50" s="1"/>
  <c r="AN162" i="49"/>
  <c r="AN208" i="49"/>
  <c r="R1989" i="50"/>
  <c r="Z1540" i="50"/>
  <c r="V1540" i="50"/>
  <c r="AD1702" i="50"/>
  <c r="T1702" i="50"/>
  <c r="AB1702" i="50"/>
  <c r="P1783" i="50"/>
  <c r="P2498" i="50" s="1"/>
  <c r="P3212" i="50" s="1"/>
  <c r="L1783" i="50"/>
  <c r="BP201" i="49"/>
  <c r="AH1839" i="50"/>
  <c r="H1626" i="50"/>
  <c r="H2341" i="50" s="1"/>
  <c r="H3055" i="50" s="1"/>
  <c r="P1626" i="50"/>
  <c r="N1626" i="50"/>
  <c r="N2341" i="50" s="1"/>
  <c r="N3055" i="50" s="1"/>
  <c r="L1626" i="50"/>
  <c r="L2341" i="50" s="1"/>
  <c r="AH1626" i="50"/>
  <c r="Z1553" i="50"/>
  <c r="T2017" i="50"/>
  <c r="AD2017" i="50"/>
  <c r="R521" i="50"/>
  <c r="J107" i="49"/>
  <c r="R643" i="50"/>
  <c r="J91" i="49"/>
  <c r="R531" i="50"/>
  <c r="D63" i="35"/>
  <c r="D64" i="35" s="1"/>
  <c r="D62" i="35"/>
  <c r="H10" i="32"/>
  <c r="D15" i="32"/>
  <c r="D23" i="32" s="1"/>
  <c r="BP225" i="49"/>
  <c r="BU225" i="49" s="1"/>
  <c r="BP69" i="49"/>
  <c r="BU69" i="49" s="1"/>
  <c r="V2775" i="50"/>
  <c r="V3489" i="50" s="1"/>
  <c r="V18" i="32"/>
  <c r="X18" i="32"/>
  <c r="J1776" i="50"/>
  <c r="F1776" i="50"/>
  <c r="F2491" i="50" s="1"/>
  <c r="H1776" i="50"/>
  <c r="R1822" i="50"/>
  <c r="H1822" i="50" s="1"/>
  <c r="AX184" i="49"/>
  <c r="AX196" i="49"/>
  <c r="X2621" i="50" s="1"/>
  <c r="X3335" i="50" s="1"/>
  <c r="R1906" i="50"/>
  <c r="L1906" i="50" s="1"/>
  <c r="R2023" i="50"/>
  <c r="P2023" i="50" s="1"/>
  <c r="AD213" i="49"/>
  <c r="R1941" i="50"/>
  <c r="AX201" i="49"/>
  <c r="BL194" i="49"/>
  <c r="AF1889" i="50"/>
  <c r="R689" i="50"/>
  <c r="AX113" i="49"/>
  <c r="BH90" i="49"/>
  <c r="BP90" i="49" s="1"/>
  <c r="BU90" i="49" s="1"/>
  <c r="AX90" i="49"/>
  <c r="F1243" i="50" s="1"/>
  <c r="J97" i="49"/>
  <c r="BH97" i="49"/>
  <c r="BP97" i="49" s="1"/>
  <c r="BU97" i="49" s="1"/>
  <c r="R573" i="50"/>
  <c r="AH573" i="50" s="1"/>
  <c r="T2133" i="50"/>
  <c r="T2848" i="50" s="1"/>
  <c r="T3562" i="50" s="1"/>
  <c r="X2133" i="50"/>
  <c r="X2848" i="50" s="1"/>
  <c r="X3562" i="50" s="1"/>
  <c r="Z1798" i="50"/>
  <c r="T1798" i="50"/>
  <c r="AD1798" i="50"/>
  <c r="AD2513" i="50" s="1"/>
  <c r="AD3227" i="50" s="1"/>
  <c r="AB1798" i="50"/>
  <c r="AB2513" i="50" s="1"/>
  <c r="F2016" i="50"/>
  <c r="F2731" i="50" s="1"/>
  <c r="P2016" i="50"/>
  <c r="P2731" i="50" s="1"/>
  <c r="P3445" i="50" s="1"/>
  <c r="N2016" i="50"/>
  <c r="N2731" i="50" s="1"/>
  <c r="N3445" i="50" s="1"/>
  <c r="J2016" i="50"/>
  <c r="J2731" i="50" s="1"/>
  <c r="J3445" i="50" s="1"/>
  <c r="H2016" i="50"/>
  <c r="H2731" i="50" s="1"/>
  <c r="H3445" i="50" s="1"/>
  <c r="L2016" i="50"/>
  <c r="L2731" i="50" s="1"/>
  <c r="L3445" i="50" s="1"/>
  <c r="N1717" i="50"/>
  <c r="N2432" i="50" s="1"/>
  <c r="N3146" i="50" s="1"/>
  <c r="J1717" i="50"/>
  <c r="L1717" i="50"/>
  <c r="L2432" i="50" s="1"/>
  <c r="L3146" i="50" s="1"/>
  <c r="J1518" i="50"/>
  <c r="L1518" i="50"/>
  <c r="L2233" i="50" s="1"/>
  <c r="L2947" i="50" s="1"/>
  <c r="F1518" i="50"/>
  <c r="F2233" i="50" s="1"/>
  <c r="F2947" i="50" s="1"/>
  <c r="H1518" i="50"/>
  <c r="H1806" i="50"/>
  <c r="F1806" i="50"/>
  <c r="L1806" i="50"/>
  <c r="L2521" i="50" s="1"/>
  <c r="L3235" i="50" s="1"/>
  <c r="J1806" i="50"/>
  <c r="N1806" i="50"/>
  <c r="N1702" i="50"/>
  <c r="F1702" i="50"/>
  <c r="F2417" i="50" s="1"/>
  <c r="F3131" i="50" s="1"/>
  <c r="H1702" i="50"/>
  <c r="N1573" i="50"/>
  <c r="H1573" i="50"/>
  <c r="T1556" i="50"/>
  <c r="T2271" i="50" s="1"/>
  <c r="T2985" i="50" s="1"/>
  <c r="AB1556" i="50"/>
  <c r="Z1556" i="50"/>
  <c r="F2390" i="50"/>
  <c r="F3104" i="50" s="1"/>
  <c r="Y201" i="49"/>
  <c r="AF1938" i="50"/>
  <c r="Y228" i="49"/>
  <c r="AF2127" i="50"/>
  <c r="Z2127" i="50" s="1"/>
  <c r="AF2008" i="50"/>
  <c r="Y211" i="49"/>
  <c r="R542" i="50"/>
  <c r="AX92" i="49"/>
  <c r="BC86" i="49"/>
  <c r="AF500" i="50"/>
  <c r="BC115" i="49"/>
  <c r="AF703" i="50"/>
  <c r="G92" i="35"/>
  <c r="D83" i="35"/>
  <c r="J61" i="35"/>
  <c r="J41" i="35"/>
  <c r="J43" i="35" s="1"/>
  <c r="J44" i="35" s="1"/>
  <c r="AS30" i="32"/>
  <c r="D68" i="32"/>
  <c r="J68" i="32" s="1"/>
  <c r="P1616" i="50"/>
  <c r="P2331" i="50" s="1"/>
  <c r="P3045" i="50" s="1"/>
  <c r="R100" i="50"/>
  <c r="AD17" i="32"/>
  <c r="BL187" i="49"/>
  <c r="BP187" i="49" s="1"/>
  <c r="BU187" i="49" s="1"/>
  <c r="H2362" i="50"/>
  <c r="H3076" i="50" s="1"/>
  <c r="J2362" i="50"/>
  <c r="J3076" i="50" s="1"/>
  <c r="I45" i="32"/>
  <c r="I46" i="32"/>
  <c r="AF41" i="32"/>
  <c r="AD16" i="32"/>
  <c r="AH1798" i="50"/>
  <c r="AD170" i="49"/>
  <c r="V2030" i="50"/>
  <c r="J2028" i="50"/>
  <c r="BH180" i="49"/>
  <c r="BP180" i="49" s="1"/>
  <c r="BU180" i="49" s="1"/>
  <c r="V2480" i="50"/>
  <c r="V3194" i="50" s="1"/>
  <c r="BH176" i="49"/>
  <c r="BH136" i="49"/>
  <c r="AH594" i="50"/>
  <c r="AH140" i="50"/>
  <c r="V27" i="32"/>
  <c r="V28" i="32"/>
  <c r="X1735" i="50"/>
  <c r="AD2142" i="50"/>
  <c r="J1503" i="50"/>
  <c r="J1846" i="50"/>
  <c r="AD1566" i="50"/>
  <c r="AB1595" i="50"/>
  <c r="AN45" i="49"/>
  <c r="R212" i="50"/>
  <c r="AO215" i="50" s="1"/>
  <c r="G125" i="35"/>
  <c r="F52" i="38" s="1"/>
  <c r="AX95" i="49"/>
  <c r="R1890" i="50"/>
  <c r="L2362" i="50"/>
  <c r="L3076" i="50" s="1"/>
  <c r="AN21" i="61"/>
  <c r="B120" i="35"/>
  <c r="R591" i="50"/>
  <c r="AH591" i="50" s="1"/>
  <c r="AF1980" i="50"/>
  <c r="AX110" i="49"/>
  <c r="T2002" i="50"/>
  <c r="T2717" i="50" s="1"/>
  <c r="L38" i="35"/>
  <c r="K51" i="35"/>
  <c r="K53" i="35" s="1"/>
  <c r="AO21" i="61"/>
  <c r="L68" i="35"/>
  <c r="H92" i="32"/>
  <c r="AV31" i="32"/>
  <c r="BQ60" i="49"/>
  <c r="R2100" i="50"/>
  <c r="BQ203" i="49"/>
  <c r="AE61" i="48"/>
  <c r="L83" i="35"/>
  <c r="R2081" i="50"/>
  <c r="BQ221" i="49"/>
  <c r="BQ213" i="49"/>
  <c r="BQ209" i="49"/>
  <c r="BQ219" i="49"/>
  <c r="AI1485" i="50"/>
  <c r="AI1524" i="50"/>
  <c r="AI1545" i="50"/>
  <c r="AI1570" i="50"/>
  <c r="AI1587" i="50"/>
  <c r="AI1820" i="50"/>
  <c r="AI1834" i="50"/>
  <c r="AI1848" i="50"/>
  <c r="AI1869" i="50"/>
  <c r="AI1883" i="50"/>
  <c r="AI1897" i="50"/>
  <c r="AI1911" i="50"/>
  <c r="AI1924" i="50"/>
  <c r="AI1934" i="50"/>
  <c r="AI1946" i="50"/>
  <c r="AI1959" i="50"/>
  <c r="AI1968" i="50"/>
  <c r="AI1994" i="50"/>
  <c r="AI2003" i="50"/>
  <c r="AI2085" i="50"/>
  <c r="AI2094" i="50"/>
  <c r="AI2105" i="50"/>
  <c r="AI2114" i="50"/>
  <c r="AI2119" i="50"/>
  <c r="AI2123" i="50"/>
  <c r="AI2133" i="50"/>
  <c r="AI2143" i="50"/>
  <c r="AI1491" i="50"/>
  <c r="AI1499" i="50"/>
  <c r="AI1636" i="50"/>
  <c r="AI1727" i="50"/>
  <c r="AI1777" i="50"/>
  <c r="AI1805" i="50"/>
  <c r="AI1818" i="50"/>
  <c r="AI1829" i="50"/>
  <c r="AI1832" i="50"/>
  <c r="AI1843" i="50"/>
  <c r="AI1846" i="50"/>
  <c r="AI1857" i="50"/>
  <c r="AI1867" i="50"/>
  <c r="AI1871" i="50"/>
  <c r="AI1878" i="50"/>
  <c r="AI1881" i="50"/>
  <c r="AI1895" i="50"/>
  <c r="AI1906" i="50"/>
  <c r="AI1909" i="50"/>
  <c r="AI1916" i="50"/>
  <c r="AI1920" i="50"/>
  <c r="AI1926" i="50"/>
  <c r="AI1932" i="50"/>
  <c r="AI1944" i="50"/>
  <c r="AI1952" i="50"/>
  <c r="AI1961" i="50"/>
  <c r="AI1966" i="50"/>
  <c r="AI2070" i="50"/>
  <c r="AI2073" i="50"/>
  <c r="AI2092" i="50"/>
  <c r="AI2101" i="50"/>
  <c r="AI2112" i="50"/>
  <c r="AI2116" i="50"/>
  <c r="AI2126" i="50"/>
  <c r="AH43" i="50"/>
  <c r="AH311" i="50"/>
  <c r="N121" i="35"/>
  <c r="K120" i="35"/>
  <c r="E126" i="35"/>
  <c r="L48" i="35"/>
  <c r="J53" i="32"/>
  <c r="AJ41" i="32"/>
  <c r="G82" i="32"/>
  <c r="G41" i="32"/>
  <c r="G42" i="32" s="1"/>
  <c r="G43" i="32" s="1"/>
  <c r="BQ24" i="49"/>
  <c r="BQ33" i="49"/>
  <c r="BQ41" i="49"/>
  <c r="BQ52" i="49"/>
  <c r="BQ71" i="49"/>
  <c r="AI700" i="50"/>
  <c r="AI702" i="50"/>
  <c r="BC144" i="49"/>
  <c r="BQ143" i="49"/>
  <c r="BQ145" i="49"/>
  <c r="BQ149" i="49"/>
  <c r="BQ153" i="49"/>
  <c r="AI1447" i="50"/>
  <c r="AI1451" i="50"/>
  <c r="AI1454" i="50"/>
  <c r="AI1458" i="50"/>
  <c r="AI1504" i="50"/>
  <c r="AI1511" i="50"/>
  <c r="AI1518" i="50"/>
  <c r="AI1525" i="50"/>
  <c r="AI1653" i="50"/>
  <c r="AI1680" i="50"/>
  <c r="AI1687" i="50"/>
  <c r="AI1955" i="50"/>
  <c r="AI1960" i="50"/>
  <c r="AI1965" i="50"/>
  <c r="AI1974" i="50"/>
  <c r="AI2000" i="50"/>
  <c r="AI2009" i="50"/>
  <c r="AI2025" i="50"/>
  <c r="AI2030" i="50"/>
  <c r="AI2039" i="50"/>
  <c r="AI2049" i="50"/>
  <c r="AI2067" i="50"/>
  <c r="AI2081" i="50"/>
  <c r="AI2086" i="50"/>
  <c r="AI2095" i="50"/>
  <c r="AI2100" i="50"/>
  <c r="AE120" i="48"/>
  <c r="M241" i="49"/>
  <c r="AH1554" i="50"/>
  <c r="X1554" i="50"/>
  <c r="AD1554" i="50"/>
  <c r="AD2269" i="50" s="1"/>
  <c r="AD2983" i="50" s="1"/>
  <c r="AN1558" i="50"/>
  <c r="F1558" i="50" s="1"/>
  <c r="V1554" i="50"/>
  <c r="T1554" i="50"/>
  <c r="Z1554" i="50"/>
  <c r="AB1554" i="50"/>
  <c r="Z1703" i="50"/>
  <c r="AH1703" i="50"/>
  <c r="AD1703" i="50"/>
  <c r="AD2418" i="50" s="1"/>
  <c r="AD3132" i="50" s="1"/>
  <c r="J1514" i="50"/>
  <c r="J2229" i="50" s="1"/>
  <c r="J2943" i="50" s="1"/>
  <c r="F1514" i="50"/>
  <c r="F2229" i="50" s="1"/>
  <c r="F2943" i="50" s="1"/>
  <c r="H1514" i="50"/>
  <c r="H2229" i="50" s="1"/>
  <c r="H2943" i="50" s="1"/>
  <c r="P1514" i="50"/>
  <c r="AH1514" i="50"/>
  <c r="AB1479" i="50"/>
  <c r="AH1479" i="50"/>
  <c r="V1479" i="50"/>
  <c r="V2194" i="50" s="1"/>
  <c r="V2908" i="50" s="1"/>
  <c r="Z1513" i="50"/>
  <c r="T1513" i="50"/>
  <c r="AH1513" i="50"/>
  <c r="X1513" i="50"/>
  <c r="X2228" i="50" s="1"/>
  <c r="X2942" i="50" s="1"/>
  <c r="AD1513" i="50"/>
  <c r="AD2228" i="50" s="1"/>
  <c r="V1513" i="50"/>
  <c r="AB1513" i="50"/>
  <c r="AB2228" i="50" s="1"/>
  <c r="AB2942" i="50" s="1"/>
  <c r="AN1516" i="50"/>
  <c r="F1516" i="50" s="1"/>
  <c r="N2418" i="50"/>
  <c r="N3132" i="50" s="1"/>
  <c r="BQ198" i="49"/>
  <c r="BQ206" i="49"/>
  <c r="BQ214" i="49"/>
  <c r="BQ230" i="49"/>
  <c r="AN1544" i="50"/>
  <c r="F1544" i="50" s="1"/>
  <c r="BQ199" i="49"/>
  <c r="BQ215" i="49"/>
  <c r="O183" i="49"/>
  <c r="BQ161" i="49"/>
  <c r="AF134" i="50"/>
  <c r="AF653" i="50"/>
  <c r="J1569" i="50"/>
  <c r="N1569" i="50"/>
  <c r="F1569" i="50"/>
  <c r="H1569" i="50"/>
  <c r="L1569" i="50"/>
  <c r="P1569" i="50"/>
  <c r="N2011" i="50"/>
  <c r="F2011" i="50"/>
  <c r="H2011" i="50"/>
  <c r="H2726" i="50" s="1"/>
  <c r="H3440" i="50" s="1"/>
  <c r="AH2011" i="50"/>
  <c r="N1563" i="50"/>
  <c r="N2278" i="50" s="1"/>
  <c r="N2992" i="50" s="1"/>
  <c r="F1563" i="50"/>
  <c r="F2278" i="50" s="1"/>
  <c r="F2992" i="50" s="1"/>
  <c r="L1563" i="50"/>
  <c r="L2278" i="50" s="1"/>
  <c r="L2992" i="50" s="1"/>
  <c r="P1563" i="50"/>
  <c r="P2278" i="50" s="1"/>
  <c r="P2992" i="50" s="1"/>
  <c r="AH1563" i="50"/>
  <c r="H1563" i="50"/>
  <c r="J1563" i="50"/>
  <c r="J2278" i="50" s="1"/>
  <c r="J2992" i="50" s="1"/>
  <c r="Z1542" i="50"/>
  <c r="X1542" i="50"/>
  <c r="X2257" i="50" s="1"/>
  <c r="X2971" i="50" s="1"/>
  <c r="AB1542" i="50"/>
  <c r="AB2257" i="50" s="1"/>
  <c r="AB2971" i="50" s="1"/>
  <c r="T1542" i="50"/>
  <c r="T2257" i="50" s="1"/>
  <c r="T2971" i="50" s="1"/>
  <c r="V1542" i="50"/>
  <c r="V2257" i="50" s="1"/>
  <c r="V2971" i="50" s="1"/>
  <c r="AH1542" i="50"/>
  <c r="AD1542" i="50"/>
  <c r="AD2257" i="50" s="1"/>
  <c r="AD2971" i="50" s="1"/>
  <c r="H1850" i="50"/>
  <c r="H2565" i="50" s="1"/>
  <c r="H3279" i="50" s="1"/>
  <c r="J1850" i="50"/>
  <c r="F1850" i="50"/>
  <c r="F2565" i="50" s="1"/>
  <c r="F3279" i="50" s="1"/>
  <c r="P1850" i="50"/>
  <c r="P2565" i="50" s="1"/>
  <c r="L1850" i="50"/>
  <c r="L2565" i="50" s="1"/>
  <c r="L3279" i="50" s="1"/>
  <c r="N1850" i="50"/>
  <c r="N2565" i="50" s="1"/>
  <c r="N3279" i="50" s="1"/>
  <c r="Z2271" i="50"/>
  <c r="Z2985" i="50" s="1"/>
  <c r="L2271" i="50"/>
  <c r="L2985" i="50" s="1"/>
  <c r="N2271" i="50"/>
  <c r="N2985" i="50" s="1"/>
  <c r="V2271" i="50"/>
  <c r="V2985" i="50" s="1"/>
  <c r="AD2271" i="50"/>
  <c r="AD2985" i="50" s="1"/>
  <c r="X2271" i="50"/>
  <c r="X2985" i="50" s="1"/>
  <c r="AF1899" i="50"/>
  <c r="AH1899" i="50" s="1"/>
  <c r="J1869" i="50"/>
  <c r="J2584" i="50" s="1"/>
  <c r="J3298" i="50" s="1"/>
  <c r="N1869" i="50"/>
  <c r="N2584" i="50" s="1"/>
  <c r="N3298" i="50" s="1"/>
  <c r="Z1653" i="50"/>
  <c r="P1456" i="50"/>
  <c r="H2271" i="50"/>
  <c r="H2985" i="50" s="1"/>
  <c r="R218" i="50"/>
  <c r="R638" i="50"/>
  <c r="AD2121" i="50"/>
  <c r="BH141" i="49"/>
  <c r="BP141" i="49" s="1"/>
  <c r="BU141" i="49" s="1"/>
  <c r="F1869" i="50"/>
  <c r="R548" i="50"/>
  <c r="AH548" i="50" s="1"/>
  <c r="AF121" i="50"/>
  <c r="R323" i="50"/>
  <c r="BP208" i="49"/>
  <c r="Z2257" i="50"/>
  <c r="Z2971" i="50" s="1"/>
  <c r="J1355" i="50"/>
  <c r="P2271" i="50"/>
  <c r="P2985" i="50" s="1"/>
  <c r="J2271" i="50"/>
  <c r="J2985" i="50" s="1"/>
  <c r="F2271" i="50"/>
  <c r="AH304" i="50"/>
  <c r="AH276" i="50"/>
  <c r="AF575" i="50"/>
  <c r="L2194" i="50"/>
  <c r="L2908" i="50" s="1"/>
  <c r="J2579" i="50"/>
  <c r="H2579" i="50"/>
  <c r="AH538" i="50"/>
  <c r="R331" i="50"/>
  <c r="R660" i="50"/>
  <c r="BQ50" i="49"/>
  <c r="BQ69" i="49"/>
  <c r="BQ46" i="49"/>
  <c r="AH91" i="50"/>
  <c r="AH178" i="50"/>
  <c r="AP360" i="49"/>
  <c r="H598" i="50"/>
  <c r="H1313" i="50" s="1"/>
  <c r="P598" i="50"/>
  <c r="P1313" i="50" s="1"/>
  <c r="J598" i="50"/>
  <c r="J1313" i="50" s="1"/>
  <c r="AH598" i="50"/>
  <c r="L598" i="50"/>
  <c r="L1313" i="50" s="1"/>
  <c r="F598" i="50"/>
  <c r="F1313" i="50" s="1"/>
  <c r="N598" i="50"/>
  <c r="N1313" i="50" s="1"/>
  <c r="F423" i="50"/>
  <c r="F1138" i="50" s="1"/>
  <c r="N423" i="50"/>
  <c r="N1138" i="50" s="1"/>
  <c r="H423" i="50"/>
  <c r="H1138" i="50" s="1"/>
  <c r="P423" i="50"/>
  <c r="P1138" i="50" s="1"/>
  <c r="AH423" i="50"/>
  <c r="J423" i="50"/>
  <c r="J1138" i="50" s="1"/>
  <c r="L423" i="50"/>
  <c r="L1138" i="50" s="1"/>
  <c r="X430" i="50"/>
  <c r="AH118" i="50"/>
  <c r="AH161" i="50"/>
  <c r="AH287" i="50"/>
  <c r="AH196" i="50"/>
  <c r="AH168" i="50"/>
  <c r="R442" i="50"/>
  <c r="BH98" i="49"/>
  <c r="BP98" i="49" s="1"/>
  <c r="BU98" i="49" s="1"/>
  <c r="AF358" i="50"/>
  <c r="AF443" i="50"/>
  <c r="T443" i="50" s="1"/>
  <c r="T1158" i="50" s="1"/>
  <c r="AF561" i="50"/>
  <c r="AF141" i="50"/>
  <c r="AN145" i="50" s="1"/>
  <c r="AF183" i="50"/>
  <c r="BH106" i="49"/>
  <c r="J2481" i="50"/>
  <c r="J3195" i="50" s="1"/>
  <c r="AU360" i="49"/>
  <c r="BP94" i="49"/>
  <c r="BU94" i="49" s="1"/>
  <c r="L2586" i="50"/>
  <c r="L3300" i="50" s="1"/>
  <c r="Z2691" i="50"/>
  <c r="Z3405" i="50" s="1"/>
  <c r="BH21" i="49"/>
  <c r="AH150" i="50"/>
  <c r="R393" i="50"/>
  <c r="BQ31" i="49"/>
  <c r="BQ39" i="49"/>
  <c r="BQ47" i="49"/>
  <c r="BQ17" i="49"/>
  <c r="AH30" i="50"/>
  <c r="AH269" i="50"/>
  <c r="BQ96" i="49"/>
  <c r="BQ85" i="49"/>
  <c r="BQ30" i="49"/>
  <c r="BQ49" i="49"/>
  <c r="BQ62" i="49"/>
  <c r="BQ65" i="49"/>
  <c r="L1765" i="50"/>
  <c r="N1765" i="50"/>
  <c r="N2480" i="50" s="1"/>
  <c r="N3194" i="50" s="1"/>
  <c r="L1604" i="50"/>
  <c r="P1604" i="50"/>
  <c r="F1604" i="50"/>
  <c r="F1535" i="50"/>
  <c r="F2250" i="50" s="1"/>
  <c r="P1535" i="50"/>
  <c r="H1535" i="50"/>
  <c r="H2250" i="50" s="1"/>
  <c r="H2964" i="50" s="1"/>
  <c r="N1535" i="50"/>
  <c r="N2250" i="50" s="1"/>
  <c r="N2964" i="50" s="1"/>
  <c r="J1535" i="50"/>
  <c r="J2250" i="50" s="1"/>
  <c r="J2964" i="50" s="1"/>
  <c r="L1535" i="50"/>
  <c r="L2250" i="50" s="1"/>
  <c r="L2964" i="50" s="1"/>
  <c r="J2109" i="50"/>
  <c r="J2824" i="50" s="1"/>
  <c r="J3538" i="50" s="1"/>
  <c r="F2109" i="50"/>
  <c r="F2824" i="50" s="1"/>
  <c r="F3538" i="50" s="1"/>
  <c r="H2109" i="50"/>
  <c r="H2824" i="50" s="1"/>
  <c r="H3538" i="50" s="1"/>
  <c r="P2109" i="50"/>
  <c r="N2109" i="50"/>
  <c r="N2824" i="50" s="1"/>
  <c r="N3538" i="50" s="1"/>
  <c r="AB1758" i="50"/>
  <c r="AB2473" i="50" s="1"/>
  <c r="AB3187" i="50" s="1"/>
  <c r="Z1758" i="50"/>
  <c r="Z2473" i="50" s="1"/>
  <c r="Z3187" i="50" s="1"/>
  <c r="X1758" i="50"/>
  <c r="X2473" i="50" s="1"/>
  <c r="AD1758" i="50"/>
  <c r="AD2473" i="50" s="1"/>
  <c r="AD3187" i="50" s="1"/>
  <c r="J1937" i="50"/>
  <c r="J2652" i="50" s="1"/>
  <c r="J3366" i="50" s="1"/>
  <c r="N1937" i="50"/>
  <c r="N2652" i="50" s="1"/>
  <c r="N3366" i="50" s="1"/>
  <c r="P1937" i="50"/>
  <c r="P2652" i="50" s="1"/>
  <c r="P3366" i="50" s="1"/>
  <c r="Z1514" i="50"/>
  <c r="Z2229" i="50" s="1"/>
  <c r="Z2943" i="50" s="1"/>
  <c r="T1514" i="50"/>
  <c r="D110" i="50"/>
  <c r="D1545" i="50"/>
  <c r="D2260" i="50" s="1"/>
  <c r="D819" i="50"/>
  <c r="D2974" i="50"/>
  <c r="C2995" i="50"/>
  <c r="C840" i="50"/>
  <c r="C1566" i="50"/>
  <c r="C2281" i="50" s="1"/>
  <c r="C3023" i="50"/>
  <c r="C868" i="50"/>
  <c r="D166" i="50"/>
  <c r="D1601" i="50"/>
  <c r="D2316" i="50" s="1"/>
  <c r="D3030" i="50"/>
  <c r="D875" i="50"/>
  <c r="C3058" i="50"/>
  <c r="C1629" i="50"/>
  <c r="C2344" i="50" s="1"/>
  <c r="C903" i="50"/>
  <c r="D910" i="50"/>
  <c r="D201" i="50"/>
  <c r="D1636" i="50"/>
  <c r="D2351" i="50" s="1"/>
  <c r="D3065" i="50"/>
  <c r="C938" i="50"/>
  <c r="C1664" i="50"/>
  <c r="C2379" i="50" s="1"/>
  <c r="D945" i="50"/>
  <c r="D1671" i="50"/>
  <c r="D2386" i="50" s="1"/>
  <c r="C966" i="50"/>
  <c r="C3121" i="50"/>
  <c r="C1692" i="50"/>
  <c r="C2407" i="50" s="1"/>
  <c r="C1776" i="50"/>
  <c r="C2491" i="50" s="1"/>
  <c r="C3205" i="50"/>
  <c r="D3212" i="50"/>
  <c r="D1057" i="50"/>
  <c r="D1783" i="50"/>
  <c r="D2498" i="50" s="1"/>
  <c r="C1811" i="50"/>
  <c r="C2526" i="50" s="1"/>
  <c r="C3240" i="50"/>
  <c r="D3247" i="50"/>
  <c r="D1092" i="50"/>
  <c r="C3527" i="50"/>
  <c r="C1372" i="50"/>
  <c r="C2098" i="50"/>
  <c r="C2813" i="50" s="1"/>
  <c r="D2105" i="50"/>
  <c r="D2820" i="50" s="1"/>
  <c r="D3534" i="50"/>
  <c r="D1407" i="50"/>
  <c r="D2133" i="50"/>
  <c r="D2848" i="50" s="1"/>
  <c r="P1685" i="50"/>
  <c r="P2400" i="50" s="1"/>
  <c r="P3114" i="50" s="1"/>
  <c r="H1685" i="50"/>
  <c r="V1687" i="50"/>
  <c r="V2402" i="50" s="1"/>
  <c r="V3116" i="50" s="1"/>
  <c r="Z1687" i="50"/>
  <c r="Z2402" i="50" s="1"/>
  <c r="Z3116" i="50" s="1"/>
  <c r="P1640" i="50"/>
  <c r="P2355" i="50" s="1"/>
  <c r="P3069" i="50" s="1"/>
  <c r="J1640" i="50"/>
  <c r="J2355" i="50" s="1"/>
  <c r="J3069" i="50" s="1"/>
  <c r="F1640" i="50"/>
  <c r="F2355" i="50" s="1"/>
  <c r="F3069" i="50" s="1"/>
  <c r="D1106" i="50"/>
  <c r="D397" i="50"/>
  <c r="B2162" i="50"/>
  <c r="B2169" i="50" s="1"/>
  <c r="B2176" i="50" s="1"/>
  <c r="B2183" i="50" s="1"/>
  <c r="B2190" i="50" s="1"/>
  <c r="B2197" i="50" s="1"/>
  <c r="B2204" i="50" s="1"/>
  <c r="B2211" i="50" s="1"/>
  <c r="B2218" i="50" s="1"/>
  <c r="B2225" i="50" s="1"/>
  <c r="B2232" i="50" s="1"/>
  <c r="B2239" i="50" s="1"/>
  <c r="B2246" i="50" s="1"/>
  <c r="B2253" i="50" s="1"/>
  <c r="B2260" i="50" s="1"/>
  <c r="B2267" i="50" s="1"/>
  <c r="B2274" i="50" s="1"/>
  <c r="B2281" i="50" s="1"/>
  <c r="B2288" i="50" s="1"/>
  <c r="B2295" i="50" s="1"/>
  <c r="B2302" i="50" s="1"/>
  <c r="B2309" i="50" s="1"/>
  <c r="B2316" i="50" s="1"/>
  <c r="B2323" i="50" s="1"/>
  <c r="B2330" i="50" s="1"/>
  <c r="B2337" i="50" s="1"/>
  <c r="B2344" i="50" s="1"/>
  <c r="B2351" i="50" s="1"/>
  <c r="B2358" i="50" s="1"/>
  <c r="B2365" i="50" s="1"/>
  <c r="B2372" i="50" s="1"/>
  <c r="B2379" i="50" s="1"/>
  <c r="B2386" i="50" s="1"/>
  <c r="B2393" i="50" s="1"/>
  <c r="B2400" i="50" s="1"/>
  <c r="B2407" i="50" s="1"/>
  <c r="B2414" i="50" s="1"/>
  <c r="B2421" i="50" s="1"/>
  <c r="B2428" i="50" s="1"/>
  <c r="B2435" i="50" s="1"/>
  <c r="B2442" i="50" s="1"/>
  <c r="B2449" i="50" s="1"/>
  <c r="B2456" i="50" s="1"/>
  <c r="B2463" i="50" s="1"/>
  <c r="B2470" i="50" s="1"/>
  <c r="B2477" i="50" s="1"/>
  <c r="B2484" i="50" s="1"/>
  <c r="B2491" i="50" s="1"/>
  <c r="B2498" i="50" s="1"/>
  <c r="B2505" i="50" s="1"/>
  <c r="B2512" i="50" s="1"/>
  <c r="B2519" i="50" s="1"/>
  <c r="B2526" i="50" s="1"/>
  <c r="B2533" i="50" s="1"/>
  <c r="B2540" i="50" s="1"/>
  <c r="B2547" i="50" s="1"/>
  <c r="B2554" i="50" s="1"/>
  <c r="B2561" i="50" s="1"/>
  <c r="B2568" i="50" s="1"/>
  <c r="B2575" i="50" s="1"/>
  <c r="B2582" i="50" s="1"/>
  <c r="B2589" i="50" s="1"/>
  <c r="B2596" i="50" s="1"/>
  <c r="B2603" i="50" s="1"/>
  <c r="B2610" i="50" s="1"/>
  <c r="B2617" i="50" s="1"/>
  <c r="B2624" i="50" s="1"/>
  <c r="B2631" i="50" s="1"/>
  <c r="B2638" i="50" s="1"/>
  <c r="B2645" i="50" s="1"/>
  <c r="B2652" i="50" s="1"/>
  <c r="B2659" i="50" s="1"/>
  <c r="B2666" i="50" s="1"/>
  <c r="B2673" i="50" s="1"/>
  <c r="B2680" i="50" s="1"/>
  <c r="B2687" i="50" s="1"/>
  <c r="B2694" i="50" s="1"/>
  <c r="B2701" i="50" s="1"/>
  <c r="B2708" i="50" s="1"/>
  <c r="B2715" i="50" s="1"/>
  <c r="B2722" i="50" s="1"/>
  <c r="B2729" i="50" s="1"/>
  <c r="B2736" i="50" s="1"/>
  <c r="B2743" i="50" s="1"/>
  <c r="B2750" i="50" s="1"/>
  <c r="B2757" i="50" s="1"/>
  <c r="B2764" i="50" s="1"/>
  <c r="B2771" i="50" s="1"/>
  <c r="B2778" i="50" s="1"/>
  <c r="B2785" i="50" s="1"/>
  <c r="B2792" i="50" s="1"/>
  <c r="B2799" i="50" s="1"/>
  <c r="B2806" i="50" s="1"/>
  <c r="B2813" i="50" s="1"/>
  <c r="B2820" i="50" s="1"/>
  <c r="B2827" i="50" s="1"/>
  <c r="B2834" i="50" s="1"/>
  <c r="B2841" i="50" s="1"/>
  <c r="B2848" i="50" s="1"/>
  <c r="B2855" i="50" s="1"/>
  <c r="B1454" i="50"/>
  <c r="B1461" i="50" s="1"/>
  <c r="B1468" i="50" s="1"/>
  <c r="B1475" i="50" s="1"/>
  <c r="B1482" i="50" s="1"/>
  <c r="B1489" i="50" s="1"/>
  <c r="B1496" i="50" s="1"/>
  <c r="B1503" i="50" s="1"/>
  <c r="B1510" i="50" s="1"/>
  <c r="B1517" i="50" s="1"/>
  <c r="B1524" i="50" s="1"/>
  <c r="B1531" i="50" s="1"/>
  <c r="B1538" i="50" s="1"/>
  <c r="B1545" i="50" s="1"/>
  <c r="B1552" i="50" s="1"/>
  <c r="B1559" i="50" s="1"/>
  <c r="B1566" i="50" s="1"/>
  <c r="B1573" i="50" s="1"/>
  <c r="B1580" i="50" s="1"/>
  <c r="B1587" i="50" s="1"/>
  <c r="B1594" i="50" s="1"/>
  <c r="B1601" i="50" s="1"/>
  <c r="B1608" i="50" s="1"/>
  <c r="B1615" i="50" s="1"/>
  <c r="B1622" i="50" s="1"/>
  <c r="B1629" i="50" s="1"/>
  <c r="B1636" i="50" s="1"/>
  <c r="B1643" i="50" s="1"/>
  <c r="B1650" i="50" s="1"/>
  <c r="B1657" i="50" s="1"/>
  <c r="B1664" i="50" s="1"/>
  <c r="B1671" i="50" s="1"/>
  <c r="B1678" i="50" s="1"/>
  <c r="B1685" i="50" s="1"/>
  <c r="B1692" i="50" s="1"/>
  <c r="B1699" i="50" s="1"/>
  <c r="B1706" i="50" s="1"/>
  <c r="B1713" i="50" s="1"/>
  <c r="B1720" i="50" s="1"/>
  <c r="B1727" i="50" s="1"/>
  <c r="B1734" i="50" s="1"/>
  <c r="B1741" i="50" s="1"/>
  <c r="B1748" i="50" s="1"/>
  <c r="B1755" i="50" s="1"/>
  <c r="B1762" i="50" s="1"/>
  <c r="B1769" i="50" s="1"/>
  <c r="B1776" i="50" s="1"/>
  <c r="B1783" i="50" s="1"/>
  <c r="B1790" i="50" s="1"/>
  <c r="B1797" i="50" s="1"/>
  <c r="B1804" i="50" s="1"/>
  <c r="B1811" i="50" s="1"/>
  <c r="B1818" i="50" s="1"/>
  <c r="B1825" i="50" s="1"/>
  <c r="B1832" i="50" s="1"/>
  <c r="B1839" i="50" s="1"/>
  <c r="B1846" i="50" s="1"/>
  <c r="B1853" i="50" s="1"/>
  <c r="B1860" i="50" s="1"/>
  <c r="B1867" i="50" s="1"/>
  <c r="B1874" i="50" s="1"/>
  <c r="B1881" i="50" s="1"/>
  <c r="B1888" i="50" s="1"/>
  <c r="B1895" i="50" s="1"/>
  <c r="B1902" i="50" s="1"/>
  <c r="B1909" i="50" s="1"/>
  <c r="B1916" i="50" s="1"/>
  <c r="B1923" i="50" s="1"/>
  <c r="B1930" i="50" s="1"/>
  <c r="B1937" i="50" s="1"/>
  <c r="B1944" i="50" s="1"/>
  <c r="B1951" i="50" s="1"/>
  <c r="B1958" i="50" s="1"/>
  <c r="B1965" i="50" s="1"/>
  <c r="B1972" i="50" s="1"/>
  <c r="B1979" i="50" s="1"/>
  <c r="B1986" i="50" s="1"/>
  <c r="B1993" i="50" s="1"/>
  <c r="B2000" i="50" s="1"/>
  <c r="B2007" i="50" s="1"/>
  <c r="B2014" i="50" s="1"/>
  <c r="B2021" i="50" s="1"/>
  <c r="B2028" i="50" s="1"/>
  <c r="B2035" i="50" s="1"/>
  <c r="B2042" i="50" s="1"/>
  <c r="B2049" i="50" s="1"/>
  <c r="B2056" i="50" s="1"/>
  <c r="B2063" i="50" s="1"/>
  <c r="B2070" i="50" s="1"/>
  <c r="B2077" i="50" s="1"/>
  <c r="B2084" i="50" s="1"/>
  <c r="B2091" i="50" s="1"/>
  <c r="B2098" i="50" s="1"/>
  <c r="B2105" i="50" s="1"/>
  <c r="B2112" i="50" s="1"/>
  <c r="B2119" i="50" s="1"/>
  <c r="B2126" i="50" s="1"/>
  <c r="B2133" i="50" s="1"/>
  <c r="B2140" i="50" s="1"/>
  <c r="AL1646" i="50"/>
  <c r="AM1646" i="50" s="1"/>
  <c r="Z2063" i="50"/>
  <c r="F1710" i="50"/>
  <c r="AB1848" i="50"/>
  <c r="AH1848" i="50"/>
  <c r="N1546" i="50"/>
  <c r="H1483" i="50"/>
  <c r="H2198" i="50" s="1"/>
  <c r="H2912" i="50" s="1"/>
  <c r="F1546" i="50"/>
  <c r="AB1521" i="50"/>
  <c r="AB2236" i="50" s="1"/>
  <c r="AB2950" i="50" s="1"/>
  <c r="H1777" i="50"/>
  <c r="AH1533" i="50"/>
  <c r="AH363" i="50"/>
  <c r="J1519" i="50"/>
  <c r="J2234" i="50" s="1"/>
  <c r="J2948" i="50" s="1"/>
  <c r="AB1836" i="50"/>
  <c r="AB2551" i="50" s="1"/>
  <c r="AB3265" i="50" s="1"/>
  <c r="X1836" i="50"/>
  <c r="V1897" i="50"/>
  <c r="AD1897" i="50"/>
  <c r="H1772" i="50"/>
  <c r="P1772" i="50"/>
  <c r="J1772" i="50"/>
  <c r="L1772" i="50"/>
  <c r="L2487" i="50" s="1"/>
  <c r="L3201" i="50" s="1"/>
  <c r="F1772" i="50"/>
  <c r="F2487" i="50" s="1"/>
  <c r="F3201" i="50" s="1"/>
  <c r="J1687" i="50"/>
  <c r="J2402" i="50" s="1"/>
  <c r="J3116" i="50" s="1"/>
  <c r="N1687" i="50"/>
  <c r="AH1687" i="50"/>
  <c r="L1687" i="50"/>
  <c r="L2402" i="50" s="1"/>
  <c r="L3116" i="50" s="1"/>
  <c r="P1687" i="50"/>
  <c r="AD1590" i="50"/>
  <c r="V1590" i="50"/>
  <c r="Z1590" i="50"/>
  <c r="X1590" i="50"/>
  <c r="AB1590" i="50"/>
  <c r="AD1679" i="50"/>
  <c r="AD2394" i="50" s="1"/>
  <c r="AD3108" i="50" s="1"/>
  <c r="T1679" i="50"/>
  <c r="T2394" i="50" s="1"/>
  <c r="T3108" i="50" s="1"/>
  <c r="Z1679" i="50"/>
  <c r="Z2394" i="50" s="1"/>
  <c r="Z3108" i="50" s="1"/>
  <c r="J1856" i="50"/>
  <c r="L1856" i="50"/>
  <c r="L2571" i="50" s="1"/>
  <c r="L3285" i="50" s="1"/>
  <c r="L1787" i="50"/>
  <c r="J1787" i="50"/>
  <c r="H2070" i="50"/>
  <c r="N2070" i="50"/>
  <c r="N2785" i="50" s="1"/>
  <c r="N3499" i="50" s="1"/>
  <c r="T1731" i="50"/>
  <c r="T2446" i="50" s="1"/>
  <c r="T3160" i="50" s="1"/>
  <c r="AD1731" i="50"/>
  <c r="AD2446" i="50" s="1"/>
  <c r="AD3160" i="50" s="1"/>
  <c r="X1731" i="50"/>
  <c r="AB1731" i="50"/>
  <c r="AB2446" i="50" s="1"/>
  <c r="AB3160" i="50" s="1"/>
  <c r="Z1650" i="50"/>
  <c r="Z2365" i="50" s="1"/>
  <c r="Z3079" i="50" s="1"/>
  <c r="T1650" i="50"/>
  <c r="T2365" i="50" s="1"/>
  <c r="T3079" i="50" s="1"/>
  <c r="AD1573" i="50"/>
  <c r="F1825" i="50"/>
  <c r="F2540" i="50" s="1"/>
  <c r="F3254" i="50" s="1"/>
  <c r="N1825" i="50"/>
  <c r="N2540" i="50" s="1"/>
  <c r="N3254" i="50" s="1"/>
  <c r="P1831" i="50"/>
  <c r="P1825" i="50"/>
  <c r="P1830" i="50" s="1"/>
  <c r="J1825" i="50"/>
  <c r="L1825" i="50"/>
  <c r="L1714" i="50"/>
  <c r="L2429" i="50" s="1"/>
  <c r="L3143" i="50" s="1"/>
  <c r="P1714" i="50"/>
  <c r="P2429" i="50" s="1"/>
  <c r="P3143" i="50" s="1"/>
  <c r="H1714" i="50"/>
  <c r="H2429" i="50" s="1"/>
  <c r="H3143" i="50" s="1"/>
  <c r="F1714" i="50"/>
  <c r="J1913" i="50"/>
  <c r="J2628" i="50" s="1"/>
  <c r="J3342" i="50" s="1"/>
  <c r="H1913" i="50"/>
  <c r="H2628" i="50" s="1"/>
  <c r="H3342" i="50" s="1"/>
  <c r="F1913" i="50"/>
  <c r="L1913" i="50"/>
  <c r="L2628" i="50" s="1"/>
  <c r="L3342" i="50" s="1"/>
  <c r="J1693" i="50"/>
  <c r="H1693" i="50"/>
  <c r="H2408" i="50" s="1"/>
  <c r="H3122" i="50" s="1"/>
  <c r="H1993" i="50"/>
  <c r="H2708" i="50" s="1"/>
  <c r="H3422" i="50" s="1"/>
  <c r="N1993" i="50"/>
  <c r="N2708" i="50" s="1"/>
  <c r="N3422" i="50" s="1"/>
  <c r="P1993" i="50"/>
  <c r="H1465" i="50"/>
  <c r="H2180" i="50" s="1"/>
  <c r="H2894" i="50" s="1"/>
  <c r="N1465" i="50"/>
  <c r="P2035" i="50"/>
  <c r="F2035" i="50"/>
  <c r="H2035" i="50"/>
  <c r="H2750" i="50" s="1"/>
  <c r="N2035" i="50"/>
  <c r="N2750" i="50" s="1"/>
  <c r="N3464" i="50" s="1"/>
  <c r="AH2035" i="50"/>
  <c r="L2035" i="50"/>
  <c r="L2750" i="50" s="1"/>
  <c r="L3464" i="50" s="1"/>
  <c r="F2140" i="50"/>
  <c r="P2140" i="50"/>
  <c r="P2855" i="50" s="1"/>
  <c r="P3569" i="50" s="1"/>
  <c r="H2140" i="50"/>
  <c r="AH2140" i="50"/>
  <c r="L1937" i="50"/>
  <c r="C1337" i="50"/>
  <c r="C3492" i="50"/>
  <c r="C2063" i="50"/>
  <c r="C2778" i="50" s="1"/>
  <c r="V1848" i="50"/>
  <c r="T1848" i="50"/>
  <c r="T2563" i="50" s="1"/>
  <c r="T3277" i="50" s="1"/>
  <c r="AH1546" i="50"/>
  <c r="Z1546" i="50"/>
  <c r="V1546" i="50"/>
  <c r="L1519" i="50"/>
  <c r="L2234" i="50" s="1"/>
  <c r="F1519" i="50"/>
  <c r="F2234" i="50" s="1"/>
  <c r="F2948" i="50" s="1"/>
  <c r="AB1959" i="50"/>
  <c r="V1959" i="50"/>
  <c r="AD1785" i="50"/>
  <c r="AD2500" i="50" s="1"/>
  <c r="AD3214" i="50" s="1"/>
  <c r="V1785" i="50"/>
  <c r="P1764" i="50"/>
  <c r="P2479" i="50" s="1"/>
  <c r="P3193" i="50" s="1"/>
  <c r="L1832" i="50"/>
  <c r="AH1832" i="50"/>
  <c r="F1832" i="50"/>
  <c r="F2547" i="50" s="1"/>
  <c r="N1832" i="50"/>
  <c r="X1638" i="50"/>
  <c r="X2353" i="50" s="1"/>
  <c r="X3067" i="50" s="1"/>
  <c r="AD1638" i="50"/>
  <c r="V1638" i="50"/>
  <c r="V2353" i="50" s="1"/>
  <c r="V3067" i="50" s="1"/>
  <c r="F1458" i="50"/>
  <c r="F2173" i="50" s="1"/>
  <c r="F2887" i="50" s="1"/>
  <c r="L1458" i="50"/>
  <c r="L2173" i="50" s="1"/>
  <c r="L2887" i="50" s="1"/>
  <c r="H1766" i="50"/>
  <c r="V1779" i="50"/>
  <c r="V2494" i="50" s="1"/>
  <c r="V3208" i="50" s="1"/>
  <c r="D1120" i="50"/>
  <c r="D3275" i="50"/>
  <c r="D411" i="50"/>
  <c r="D432" i="50"/>
  <c r="D1141" i="50"/>
  <c r="D3296" i="50"/>
  <c r="D1867" i="50"/>
  <c r="D2582" i="50" s="1"/>
  <c r="C3317" i="50"/>
  <c r="C1162" i="50"/>
  <c r="D1923" i="50"/>
  <c r="D2638" i="50" s="1"/>
  <c r="D1197" i="50"/>
  <c r="D3352" i="50"/>
  <c r="C1218" i="50"/>
  <c r="C1944" i="50"/>
  <c r="C2659" i="50" s="1"/>
  <c r="C3373" i="50"/>
  <c r="D3380" i="50"/>
  <c r="D1951" i="50"/>
  <c r="D2666" i="50" s="1"/>
  <c r="D1225" i="50"/>
  <c r="C2000" i="50"/>
  <c r="C2715" i="50" s="1"/>
  <c r="C1274" i="50"/>
  <c r="C3429" i="50"/>
  <c r="D3436" i="50"/>
  <c r="D2007" i="50"/>
  <c r="D2722" i="50" s="1"/>
  <c r="D1281" i="50"/>
  <c r="C3457" i="50"/>
  <c r="C2028" i="50"/>
  <c r="C2743" i="50" s="1"/>
  <c r="D1309" i="50"/>
  <c r="D2035" i="50"/>
  <c r="D2750" i="50" s="1"/>
  <c r="V2089" i="50"/>
  <c r="V2090" i="50" s="1"/>
  <c r="N1710" i="50"/>
  <c r="N2425" i="50" s="1"/>
  <c r="N3139" i="50" s="1"/>
  <c r="J1710" i="50"/>
  <c r="AN1551" i="50"/>
  <c r="F1551" i="50" s="1"/>
  <c r="L1546" i="50"/>
  <c r="F1765" i="50"/>
  <c r="F2480" i="50" s="1"/>
  <c r="F3194" i="50" s="1"/>
  <c r="AH1765" i="50"/>
  <c r="T1959" i="50"/>
  <c r="H1519" i="50"/>
  <c r="H2234" i="50" s="1"/>
  <c r="H2948" i="50" s="1"/>
  <c r="N1519" i="50"/>
  <c r="N2234" i="50" s="1"/>
  <c r="N2948" i="50" s="1"/>
  <c r="AD2060" i="50"/>
  <c r="AD2775" i="50" s="1"/>
  <c r="AD3489" i="50" s="1"/>
  <c r="AB1638" i="50"/>
  <c r="L2109" i="50"/>
  <c r="L2824" i="50" s="1"/>
  <c r="L3538" i="50" s="1"/>
  <c r="T1856" i="50"/>
  <c r="AB1856" i="50"/>
  <c r="AB2571" i="50" s="1"/>
  <c r="AB3285" i="50" s="1"/>
  <c r="H1604" i="50"/>
  <c r="H2319" i="50" s="1"/>
  <c r="H3033" i="50" s="1"/>
  <c r="N1604" i="50"/>
  <c r="V1758" i="50"/>
  <c r="V2473" i="50" s="1"/>
  <c r="V3187" i="50" s="1"/>
  <c r="D3002" i="50"/>
  <c r="C1085" i="50"/>
  <c r="C1050" i="50"/>
  <c r="N2726" i="50"/>
  <c r="N3440" i="50" s="1"/>
  <c r="AH510" i="50"/>
  <c r="P1910" i="50"/>
  <c r="N2050" i="50"/>
  <c r="F2022" i="50"/>
  <c r="L2022" i="50"/>
  <c r="P1854" i="50"/>
  <c r="N2106" i="50"/>
  <c r="N2821" i="50" s="1"/>
  <c r="N3535" i="50" s="1"/>
  <c r="H2106" i="50"/>
  <c r="J1882" i="50"/>
  <c r="J2597" i="50" s="1"/>
  <c r="J3311" i="50" s="1"/>
  <c r="L2078" i="50"/>
  <c r="L1994" i="50"/>
  <c r="L2709" i="50" s="1"/>
  <c r="L3423" i="50" s="1"/>
  <c r="L1966" i="50"/>
  <c r="L2681" i="50" s="1"/>
  <c r="L3395" i="50" s="1"/>
  <c r="J2078" i="50"/>
  <c r="J2793" i="50" s="1"/>
  <c r="J3507" i="50" s="1"/>
  <c r="H2050" i="50"/>
  <c r="H2765" i="50" s="1"/>
  <c r="H3479" i="50" s="1"/>
  <c r="H1938" i="50"/>
  <c r="H2653" i="50" s="1"/>
  <c r="H3367" i="50" s="1"/>
  <c r="P2852" i="50"/>
  <c r="AH154" i="50"/>
  <c r="P2050" i="50"/>
  <c r="N2022" i="50"/>
  <c r="N2737" i="50" s="1"/>
  <c r="N3451" i="50" s="1"/>
  <c r="H1854" i="50"/>
  <c r="N1854" i="50"/>
  <c r="N2569" i="50" s="1"/>
  <c r="N3283" i="50" s="1"/>
  <c r="L2106" i="50"/>
  <c r="L2821" i="50" s="1"/>
  <c r="L3535" i="50" s="1"/>
  <c r="L1882" i="50"/>
  <c r="L2597" i="50" s="1"/>
  <c r="L3311" i="50" s="1"/>
  <c r="H1994" i="50"/>
  <c r="H2709" i="50" s="1"/>
  <c r="H3423" i="50" s="1"/>
  <c r="N1994" i="50"/>
  <c r="N2709" i="50" s="1"/>
  <c r="N3423" i="50" s="1"/>
  <c r="L1910" i="50"/>
  <c r="N1966" i="50"/>
  <c r="N2681" i="50" s="1"/>
  <c r="N3395" i="50" s="1"/>
  <c r="H2078" i="50"/>
  <c r="F1938" i="50"/>
  <c r="J1938" i="50"/>
  <c r="J2653" i="50" s="1"/>
  <c r="J3367" i="50" s="1"/>
  <c r="L2050" i="50"/>
  <c r="L2054" i="50" s="1"/>
  <c r="L2055" i="50" s="1"/>
  <c r="F1854" i="50"/>
  <c r="J1994" i="50"/>
  <c r="J2709" i="50" s="1"/>
  <c r="J3423" i="50" s="1"/>
  <c r="N1938" i="50"/>
  <c r="N2653" i="50" s="1"/>
  <c r="N3367" i="50" s="1"/>
  <c r="P1557" i="50"/>
  <c r="P1558" i="50" s="1"/>
  <c r="F1664" i="50"/>
  <c r="AH1664" i="50"/>
  <c r="H1664" i="50"/>
  <c r="H2379" i="50" s="1"/>
  <c r="H3093" i="50" s="1"/>
  <c r="AH2043" i="50"/>
  <c r="AB2043" i="50"/>
  <c r="X2043" i="50"/>
  <c r="X2758" i="50" s="1"/>
  <c r="X3472" i="50" s="1"/>
  <c r="Z1589" i="50"/>
  <c r="Z2304" i="50" s="1"/>
  <c r="Z3018" i="50" s="1"/>
  <c r="AN1593" i="50"/>
  <c r="F1593" i="50" s="1"/>
  <c r="AD1589" i="50"/>
  <c r="T1589" i="50"/>
  <c r="T2304" i="50" s="1"/>
  <c r="T3018" i="50" s="1"/>
  <c r="J1821" i="50"/>
  <c r="J2536" i="50" s="1"/>
  <c r="J3250" i="50" s="1"/>
  <c r="N1821" i="50"/>
  <c r="P1821" i="50"/>
  <c r="N1471" i="50"/>
  <c r="N2186" i="50" s="1"/>
  <c r="N2900" i="50" s="1"/>
  <c r="H1471" i="50"/>
  <c r="H2186" i="50" s="1"/>
  <c r="H2900" i="50" s="1"/>
  <c r="AH1471" i="50"/>
  <c r="AH2095" i="50"/>
  <c r="V2095" i="50"/>
  <c r="V2810" i="50" s="1"/>
  <c r="V3524" i="50" s="1"/>
  <c r="AB2095" i="50"/>
  <c r="AB2810" i="50" s="1"/>
  <c r="AB3524" i="50" s="1"/>
  <c r="AD2095" i="50"/>
  <c r="AD2810" i="50" s="1"/>
  <c r="AD3524" i="50" s="1"/>
  <c r="F1545" i="50"/>
  <c r="N1545" i="50"/>
  <c r="N2260" i="50" s="1"/>
  <c r="N2974" i="50" s="1"/>
  <c r="P1674" i="50"/>
  <c r="P2389" i="50" s="1"/>
  <c r="P3103" i="50" s="1"/>
  <c r="T1846" i="50"/>
  <c r="T2561" i="50" s="1"/>
  <c r="T3275" i="50" s="1"/>
  <c r="F1449" i="50"/>
  <c r="L1449" i="50"/>
  <c r="AH1979" i="50"/>
  <c r="N1979" i="50"/>
  <c r="N2694" i="50" s="1"/>
  <c r="N3408" i="50" s="1"/>
  <c r="AH1630" i="50"/>
  <c r="AD1630" i="50"/>
  <c r="T1755" i="50"/>
  <c r="U1755" i="50" s="1"/>
  <c r="AG1755" i="50" s="1"/>
  <c r="AI1755" i="50" s="1"/>
  <c r="L1755" i="50"/>
  <c r="L2470" i="50" s="1"/>
  <c r="AB1828" i="50"/>
  <c r="AB2543" i="50" s="1"/>
  <c r="AB3257" i="50" s="1"/>
  <c r="N1709" i="50"/>
  <c r="N2424" i="50" s="1"/>
  <c r="N3138" i="50" s="1"/>
  <c r="H1709" i="50"/>
  <c r="H2424" i="50" s="1"/>
  <c r="H3138" i="50" s="1"/>
  <c r="T1657" i="50"/>
  <c r="T2372" i="50" s="1"/>
  <c r="T3086" i="50" s="1"/>
  <c r="Z1657" i="50"/>
  <c r="H2052" i="50"/>
  <c r="H2767" i="50" s="1"/>
  <c r="H3481" i="50" s="1"/>
  <c r="AH2052" i="50"/>
  <c r="Z1604" i="50"/>
  <c r="Z2319" i="50" s="1"/>
  <c r="Z3033" i="50" s="1"/>
  <c r="X1604" i="50"/>
  <c r="X2319" i="50" s="1"/>
  <c r="X3033" i="50" s="1"/>
  <c r="AH1772" i="50"/>
  <c r="AB1772" i="50"/>
  <c r="J1954" i="50"/>
  <c r="J2669" i="50" s="1"/>
  <c r="J3383" i="50" s="1"/>
  <c r="L1954" i="50"/>
  <c r="Z1776" i="50"/>
  <c r="Z2491" i="50" s="1"/>
  <c r="Z3205" i="50" s="1"/>
  <c r="AD1448" i="50"/>
  <c r="X1448" i="50"/>
  <c r="N1470" i="50"/>
  <c r="T1892" i="50"/>
  <c r="V1864" i="50"/>
  <c r="V2579" i="50" s="1"/>
  <c r="L2056" i="50"/>
  <c r="L2771" i="50" s="1"/>
  <c r="L3485" i="50" s="1"/>
  <c r="J2056" i="50"/>
  <c r="P1567" i="50"/>
  <c r="P2282" i="50" s="1"/>
  <c r="P2996" i="50" s="1"/>
  <c r="F1657" i="50"/>
  <c r="P1657" i="50"/>
  <c r="P2372" i="50" s="1"/>
  <c r="P3086" i="50" s="1"/>
  <c r="J1491" i="50"/>
  <c r="J2206" i="50" s="1"/>
  <c r="J2920" i="50" s="1"/>
  <c r="Z1664" i="50"/>
  <c r="Z2379" i="50" s="1"/>
  <c r="Z3093" i="50" s="1"/>
  <c r="X1664" i="50"/>
  <c r="F1826" i="50"/>
  <c r="F2541" i="50" s="1"/>
  <c r="L1826" i="50"/>
  <c r="AB1968" i="50"/>
  <c r="AB1970" i="50" s="1"/>
  <c r="AB1971" i="50" s="1"/>
  <c r="T1968" i="50"/>
  <c r="T2683" i="50" s="1"/>
  <c r="T3397" i="50" s="1"/>
  <c r="P1699" i="50"/>
  <c r="P2414" i="50" s="1"/>
  <c r="P3128" i="50" s="1"/>
  <c r="L1898" i="50"/>
  <c r="H1898" i="50"/>
  <c r="P1601" i="50"/>
  <c r="P2316" i="50" s="1"/>
  <c r="P3030" i="50" s="1"/>
  <c r="N2024" i="50"/>
  <c r="V1469" i="50"/>
  <c r="V2184" i="50" s="1"/>
  <c r="V2898" i="50" s="1"/>
  <c r="AD605" i="50"/>
  <c r="AD1320" i="50" s="1"/>
  <c r="T605" i="50"/>
  <c r="T1320" i="50" s="1"/>
  <c r="N640" i="50"/>
  <c r="N1355" i="50" s="1"/>
  <c r="F640" i="50"/>
  <c r="F1355" i="50" s="1"/>
  <c r="J549" i="50"/>
  <c r="J1264" i="50" s="1"/>
  <c r="J500" i="50"/>
  <c r="J1215" i="50" s="1"/>
  <c r="AH1674" i="50"/>
  <c r="Z423" i="50"/>
  <c r="Z1138" i="50" s="1"/>
  <c r="V1892" i="50"/>
  <c r="L1470" i="50"/>
  <c r="AH1968" i="50"/>
  <c r="V1890" i="50"/>
  <c r="V2605" i="50" s="1"/>
  <c r="V3319" i="50" s="1"/>
  <c r="X2049" i="50"/>
  <c r="X2054" i="50" s="1"/>
  <c r="X2055" i="50" s="1"/>
  <c r="AH1864" i="50"/>
  <c r="AH1601" i="50"/>
  <c r="L1601" i="50"/>
  <c r="F1997" i="50"/>
  <c r="J1545" i="50"/>
  <c r="H1674" i="50"/>
  <c r="AB1846" i="50"/>
  <c r="P1449" i="50"/>
  <c r="H1979" i="50"/>
  <c r="H2694" i="50" s="1"/>
  <c r="H3408" i="50" s="1"/>
  <c r="AB1630" i="50"/>
  <c r="J1755" i="50"/>
  <c r="J2470" i="50" s="1"/>
  <c r="J3184" i="50" s="1"/>
  <c r="AH1828" i="50"/>
  <c r="AO1712" i="50"/>
  <c r="T1712" i="50" s="1"/>
  <c r="X1657" i="50"/>
  <c r="X2372" i="50" s="1"/>
  <c r="X3086" i="50" s="1"/>
  <c r="AD1604" i="50"/>
  <c r="V1772" i="50"/>
  <c r="V2487" i="50" s="1"/>
  <c r="T1776" i="50"/>
  <c r="AH1470" i="50"/>
  <c r="J1470" i="50"/>
  <c r="AD1864" i="50"/>
  <c r="AD2579" i="50" s="1"/>
  <c r="AD3293" i="50" s="1"/>
  <c r="N2056" i="50"/>
  <c r="N2771" i="50" s="1"/>
  <c r="N3485" i="50" s="1"/>
  <c r="H1567" i="50"/>
  <c r="H2282" i="50" s="1"/>
  <c r="L1491" i="50"/>
  <c r="L2206" i="50" s="1"/>
  <c r="L2920" i="50" s="1"/>
  <c r="L1699" i="50"/>
  <c r="N1699" i="50"/>
  <c r="AH1469" i="50"/>
  <c r="X605" i="50"/>
  <c r="X1320" i="50" s="1"/>
  <c r="N549" i="50"/>
  <c r="N1264" i="50" s="1"/>
  <c r="F549" i="50"/>
  <c r="F1264" i="50" s="1"/>
  <c r="N500" i="50"/>
  <c r="N1215" i="50" s="1"/>
  <c r="F500" i="50"/>
  <c r="F1215" i="50" s="1"/>
  <c r="AD423" i="50"/>
  <c r="AD1138" i="50" s="1"/>
  <c r="V423" i="50"/>
  <c r="V1138" i="50" s="1"/>
  <c r="X1469" i="50"/>
  <c r="X2184" i="50" s="1"/>
  <c r="X2898" i="50" s="1"/>
  <c r="AD1892" i="50"/>
  <c r="X2079" i="50"/>
  <c r="H1601" i="50"/>
  <c r="H2316" i="50" s="1"/>
  <c r="H3030" i="50" s="1"/>
  <c r="N1997" i="50"/>
  <c r="N2712" i="50" s="1"/>
  <c r="N3426" i="50" s="1"/>
  <c r="J2025" i="50"/>
  <c r="J2740" i="50" s="1"/>
  <c r="J3454" i="50" s="1"/>
  <c r="AB605" i="50"/>
  <c r="AB1320" i="50" s="1"/>
  <c r="V605" i="50"/>
  <c r="V1320" i="50" s="1"/>
  <c r="AB423" i="50"/>
  <c r="AB1138" i="50" s="1"/>
  <c r="AD2081" i="50"/>
  <c r="AD2796" i="50" s="1"/>
  <c r="AD3510" i="50" s="1"/>
  <c r="T2081" i="50"/>
  <c r="J1728" i="50"/>
  <c r="J2443" i="50" s="1"/>
  <c r="J3157" i="50" s="1"/>
  <c r="N1728" i="50"/>
  <c r="L1478" i="50"/>
  <c r="N1478" i="50"/>
  <c r="N2193" i="50" s="1"/>
  <c r="N2907" i="50" s="1"/>
  <c r="L1700" i="50"/>
  <c r="F1700" i="50"/>
  <c r="L1611" i="50"/>
  <c r="H1611" i="50"/>
  <c r="P1547" i="50"/>
  <c r="P2262" i="50" s="1"/>
  <c r="P2976" i="50" s="1"/>
  <c r="H1547" i="50"/>
  <c r="H2262" i="50" s="1"/>
  <c r="H2976" i="50" s="1"/>
  <c r="F1666" i="50"/>
  <c r="L1666" i="50"/>
  <c r="L2381" i="50" s="1"/>
  <c r="L3095" i="50" s="1"/>
  <c r="AH2042" i="50"/>
  <c r="H1527" i="50"/>
  <c r="H2242" i="50" s="1"/>
  <c r="H2956" i="50" s="1"/>
  <c r="T2078" i="50"/>
  <c r="T2793" i="50" s="1"/>
  <c r="T3507" i="50" s="1"/>
  <c r="AB2030" i="50"/>
  <c r="AB2033" i="50" s="1"/>
  <c r="AB2034" i="50" s="1"/>
  <c r="J2042" i="50"/>
  <c r="AH210" i="50"/>
  <c r="P1835" i="50"/>
  <c r="P2550" i="50" s="1"/>
  <c r="P3264" i="50" s="1"/>
  <c r="H1728" i="50"/>
  <c r="H2443" i="50" s="1"/>
  <c r="AH2081" i="50"/>
  <c r="T1547" i="50"/>
  <c r="T2262" i="50" s="1"/>
  <c r="T2976" i="50" s="1"/>
  <c r="X1547" i="50"/>
  <c r="Z1539" i="50"/>
  <c r="Z2254" i="50" s="1"/>
  <c r="Z2968" i="50" s="1"/>
  <c r="V2074" i="50"/>
  <c r="X2074" i="50"/>
  <c r="T2074" i="50"/>
  <c r="T2076" i="50" s="1"/>
  <c r="AD2074" i="50"/>
  <c r="X2056" i="50"/>
  <c r="X2771" i="50" s="1"/>
  <c r="X3485" i="50" s="1"/>
  <c r="V2056" i="50"/>
  <c r="V2771" i="50" s="1"/>
  <c r="V3485" i="50" s="1"/>
  <c r="AD2056" i="50"/>
  <c r="AD2771" i="50" s="1"/>
  <c r="AD3485" i="50" s="1"/>
  <c r="T2056" i="50"/>
  <c r="T2771" i="50" s="1"/>
  <c r="T3485" i="50" s="1"/>
  <c r="AB1549" i="50"/>
  <c r="AD1549" i="50"/>
  <c r="AD2264" i="50" s="1"/>
  <c r="AD2978" i="50" s="1"/>
  <c r="T1549" i="50"/>
  <c r="T2264" i="50" s="1"/>
  <c r="J1497" i="50"/>
  <c r="P2046" i="50"/>
  <c r="P2761" i="50" s="1"/>
  <c r="P3475" i="50" s="1"/>
  <c r="AB1769" i="50"/>
  <c r="AB2484" i="50" s="1"/>
  <c r="AB3198" i="50" s="1"/>
  <c r="AD2030" i="50"/>
  <c r="AH1856" i="50"/>
  <c r="N2042" i="50"/>
  <c r="L1835" i="50"/>
  <c r="L1728" i="50"/>
  <c r="L2443" i="50" s="1"/>
  <c r="L3157" i="50" s="1"/>
  <c r="AB2081" i="50"/>
  <c r="AB2796" i="50" s="1"/>
  <c r="AB3510" i="50" s="1"/>
  <c r="P1884" i="50"/>
  <c r="L1884" i="50"/>
  <c r="L2599" i="50" s="1"/>
  <c r="L3313" i="50" s="1"/>
  <c r="N1630" i="50"/>
  <c r="N2345" i="50" s="1"/>
  <c r="N3059" i="50" s="1"/>
  <c r="F1630" i="50"/>
  <c r="J1630" i="50"/>
  <c r="J2345" i="50" s="1"/>
  <c r="J3059" i="50" s="1"/>
  <c r="P1630" i="50"/>
  <c r="L1455" i="50"/>
  <c r="Z2030" i="50"/>
  <c r="P2042" i="50"/>
  <c r="P2757" i="50" s="1"/>
  <c r="P3471" i="50" s="1"/>
  <c r="AH1478" i="50"/>
  <c r="F1835" i="50"/>
  <c r="F2550" i="50" s="1"/>
  <c r="F3264" i="50" s="1"/>
  <c r="F1728" i="50"/>
  <c r="Z2081" i="50"/>
  <c r="Z2796" i="50" s="1"/>
  <c r="Z3510" i="50" s="1"/>
  <c r="J1658" i="50"/>
  <c r="J2373" i="50" s="1"/>
  <c r="J3087" i="50" s="1"/>
  <c r="F1658" i="50"/>
  <c r="F2373" i="50" s="1"/>
  <c r="F3087" i="50" s="1"/>
  <c r="D1587" i="50"/>
  <c r="D2302" i="50" s="1"/>
  <c r="D3051" i="50"/>
  <c r="AH454" i="50"/>
  <c r="AH328" i="50"/>
  <c r="AH322" i="50"/>
  <c r="AH223" i="50"/>
  <c r="T1471" i="50"/>
  <c r="X1471" i="50"/>
  <c r="Z2142" i="50"/>
  <c r="J1612" i="50"/>
  <c r="J2327" i="50" s="1"/>
  <c r="P1503" i="50"/>
  <c r="P2218" i="50" s="1"/>
  <c r="P2932" i="50" s="1"/>
  <c r="H1503" i="50"/>
  <c r="H2218" i="50" s="1"/>
  <c r="H2932" i="50" s="1"/>
  <c r="X1734" i="50"/>
  <c r="X2449" i="50" s="1"/>
  <c r="X3163" i="50" s="1"/>
  <c r="X1626" i="50"/>
  <c r="X2341" i="50" s="1"/>
  <c r="X3055" i="50" s="1"/>
  <c r="X2031" i="50"/>
  <c r="H1846" i="50"/>
  <c r="V1566" i="50"/>
  <c r="Z1673" i="50"/>
  <c r="N2009" i="50"/>
  <c r="L1776" i="50"/>
  <c r="L2491" i="50" s="1"/>
  <c r="L3205" i="50" s="1"/>
  <c r="F2037" i="50"/>
  <c r="F1951" i="50"/>
  <c r="N1776" i="50"/>
  <c r="T1563" i="50"/>
  <c r="T2278" i="50" s="1"/>
  <c r="T2992" i="50" s="1"/>
  <c r="V1941" i="50"/>
  <c r="V2656" i="50" s="1"/>
  <c r="V3370" i="50" s="1"/>
  <c r="X1563" i="50"/>
  <c r="D1741" i="50"/>
  <c r="D2456" i="50" s="1"/>
  <c r="D1769" i="50"/>
  <c r="D2484" i="50" s="1"/>
  <c r="AD2086" i="50"/>
  <c r="AB1450" i="50"/>
  <c r="D1155" i="50"/>
  <c r="D3016" i="50"/>
  <c r="D369" i="50"/>
  <c r="D1344" i="50"/>
  <c r="C1365" i="50"/>
  <c r="D3268" i="50"/>
  <c r="C952" i="50"/>
  <c r="C1734" i="50"/>
  <c r="C2449" i="50" s="1"/>
  <c r="L2066" i="50"/>
  <c r="Z1708" i="50"/>
  <c r="AB1563" i="50"/>
  <c r="AB2278" i="50" s="1"/>
  <c r="AB2992" i="50" s="1"/>
  <c r="Z1941" i="50"/>
  <c r="Z2656" i="50" s="1"/>
  <c r="Z3370" i="50" s="1"/>
  <c r="C2981" i="50"/>
  <c r="D306" i="50"/>
  <c r="C980" i="50"/>
  <c r="D3086" i="50"/>
  <c r="AH577" i="50"/>
  <c r="T1450" i="50"/>
  <c r="Z1884" i="50"/>
  <c r="D2988" i="50"/>
  <c r="D152" i="50"/>
  <c r="D1839" i="50"/>
  <c r="D2554" i="50" s="1"/>
  <c r="C3191" i="50"/>
  <c r="D1302" i="50"/>
  <c r="AL1534" i="50"/>
  <c r="AM1534" i="50" s="1"/>
  <c r="AL1581" i="50"/>
  <c r="X1721" i="50"/>
  <c r="P1977" i="50"/>
  <c r="V1978" i="50" s="1"/>
  <c r="T1634" i="50"/>
  <c r="J1466" i="50"/>
  <c r="J1467" i="50" s="1"/>
  <c r="AF2684" i="50"/>
  <c r="AH189" i="50"/>
  <c r="AH385" i="50"/>
  <c r="C1594" i="50"/>
  <c r="C2309" i="50" s="1"/>
  <c r="X3293" i="50"/>
  <c r="F2425" i="50"/>
  <c r="F3139" i="50" s="1"/>
  <c r="Z2390" i="50"/>
  <c r="T2034" i="50"/>
  <c r="T2097" i="50"/>
  <c r="F2474" i="50"/>
  <c r="F3188" i="50" s="1"/>
  <c r="T3398" i="50"/>
  <c r="AF3398" i="50" s="1"/>
  <c r="AF2187" i="50"/>
  <c r="L2740" i="50"/>
  <c r="L3454" i="50" s="1"/>
  <c r="R2782" i="50"/>
  <c r="AB1854" i="50"/>
  <c r="AB2569" i="50" s="1"/>
  <c r="AB3283" i="50" s="1"/>
  <c r="C3394" i="50"/>
  <c r="AD1854" i="50"/>
  <c r="AD2569" i="50" s="1"/>
  <c r="AD3283" i="50" s="1"/>
  <c r="J2449" i="50"/>
  <c r="J3163" i="50" s="1"/>
  <c r="F2561" i="50"/>
  <c r="F3275" i="50" s="1"/>
  <c r="V1854" i="50"/>
  <c r="V2569" i="50" s="1"/>
  <c r="V3283" i="50" s="1"/>
  <c r="AH31" i="50"/>
  <c r="AH220" i="50"/>
  <c r="D3317" i="50"/>
  <c r="AH399" i="50"/>
  <c r="N3188" i="50"/>
  <c r="AL1814" i="50"/>
  <c r="AM1814" i="50" s="1"/>
  <c r="AB1589" i="50"/>
  <c r="J2460" i="50"/>
  <c r="J3174" i="50" s="1"/>
  <c r="AH112" i="50"/>
  <c r="T1531" i="50"/>
  <c r="T2246" i="50" s="1"/>
  <c r="AB1531" i="50"/>
  <c r="AB2246" i="50" s="1"/>
  <c r="AB2960" i="50" s="1"/>
  <c r="X1720" i="50"/>
  <c r="AB1720" i="50"/>
  <c r="X1954" i="50"/>
  <c r="Z1954" i="50"/>
  <c r="Z2669" i="50" s="1"/>
  <c r="Z3383" i="50" s="1"/>
  <c r="N2091" i="50"/>
  <c r="H2091" i="50"/>
  <c r="H2806" i="50" s="1"/>
  <c r="H3520" i="50" s="1"/>
  <c r="J2091" i="50"/>
  <c r="J2806" i="50" s="1"/>
  <c r="J3520" i="50" s="1"/>
  <c r="P1510" i="50"/>
  <c r="F1510" i="50"/>
  <c r="AH1510" i="50"/>
  <c r="X1934" i="50"/>
  <c r="X2649" i="50" s="1"/>
  <c r="X3363" i="50" s="1"/>
  <c r="T1934" i="50"/>
  <c r="D3079" i="50"/>
  <c r="D215" i="50"/>
  <c r="D376" i="50"/>
  <c r="D3240" i="50"/>
  <c r="C1832" i="50"/>
  <c r="C2547" i="50" s="1"/>
  <c r="C1106" i="50"/>
  <c r="D1874" i="50"/>
  <c r="D2589" i="50" s="1"/>
  <c r="D3303" i="50"/>
  <c r="D1148" i="50"/>
  <c r="D439" i="50"/>
  <c r="C3331" i="50"/>
  <c r="C1176" i="50"/>
  <c r="C1902" i="50"/>
  <c r="C2617" i="50" s="1"/>
  <c r="D1183" i="50"/>
  <c r="D1909" i="50"/>
  <c r="D2624" i="50" s="1"/>
  <c r="D3366" i="50"/>
  <c r="D1937" i="50"/>
  <c r="D2652" i="50" s="1"/>
  <c r="C1972" i="50"/>
  <c r="C2687" i="50" s="1"/>
  <c r="C3401" i="50"/>
  <c r="C1246" i="50"/>
  <c r="C1281" i="50"/>
  <c r="C2007" i="50"/>
  <c r="C2722" i="50" s="1"/>
  <c r="D2014" i="50"/>
  <c r="D2729" i="50" s="1"/>
  <c r="D1288" i="50"/>
  <c r="D3443" i="50"/>
  <c r="C3464" i="50"/>
  <c r="C1309" i="50"/>
  <c r="C2035" i="50"/>
  <c r="C2750" i="50" s="1"/>
  <c r="D2042" i="50"/>
  <c r="D2757" i="50" s="1"/>
  <c r="D3471" i="50"/>
  <c r="D3478" i="50"/>
  <c r="D1323" i="50"/>
  <c r="C2084" i="50"/>
  <c r="C2799" i="50" s="1"/>
  <c r="C3513" i="50"/>
  <c r="D1365" i="50"/>
  <c r="D2091" i="50"/>
  <c r="D2806" i="50" s="1"/>
  <c r="D3520" i="50"/>
  <c r="D2098" i="50"/>
  <c r="D2813" i="50" s="1"/>
  <c r="D3527" i="50"/>
  <c r="C1393" i="50"/>
  <c r="C3548" i="50"/>
  <c r="D3555" i="50"/>
  <c r="D1400" i="50"/>
  <c r="D2126" i="50"/>
  <c r="D2841" i="50" s="1"/>
  <c r="J1685" i="50"/>
  <c r="J2400" i="50" s="1"/>
  <c r="J3114" i="50" s="1"/>
  <c r="N1685" i="50"/>
  <c r="F1685" i="50"/>
  <c r="F2400" i="50" s="1"/>
  <c r="F3114" i="50" s="1"/>
  <c r="L1685" i="50"/>
  <c r="L2400" i="50" s="1"/>
  <c r="L3114" i="50" s="1"/>
  <c r="H1811" i="50"/>
  <c r="H2526" i="50" s="1"/>
  <c r="H3240" i="50" s="1"/>
  <c r="J1811" i="50"/>
  <c r="J2526" i="50" s="1"/>
  <c r="J3240" i="50" s="1"/>
  <c r="N1514" i="50"/>
  <c r="N2229" i="50" s="1"/>
  <c r="N2943" i="50" s="1"/>
  <c r="L1514" i="50"/>
  <c r="X1510" i="50"/>
  <c r="AD1510" i="50"/>
  <c r="AD2225" i="50" s="1"/>
  <c r="AD2939" i="50" s="1"/>
  <c r="AB1510" i="50"/>
  <c r="V1510" i="50"/>
  <c r="V1519" i="50"/>
  <c r="AD1519" i="50"/>
  <c r="AD2234" i="50" s="1"/>
  <c r="AD2948" i="50" s="1"/>
  <c r="AB1519" i="50"/>
  <c r="Z1541" i="50"/>
  <c r="V1541" i="50"/>
  <c r="X1541" i="50"/>
  <c r="X2256" i="50" s="1"/>
  <c r="X2970" i="50" s="1"/>
  <c r="AB1541" i="50"/>
  <c r="AB2256" i="50" s="1"/>
  <c r="AB2970" i="50" s="1"/>
  <c r="T1541" i="50"/>
  <c r="AD1541" i="50"/>
  <c r="X1687" i="50"/>
  <c r="AD1687" i="50"/>
  <c r="AD2402" i="50" s="1"/>
  <c r="AD3116" i="50" s="1"/>
  <c r="AB1687" i="50"/>
  <c r="AB2402" i="50" s="1"/>
  <c r="AB3116" i="50" s="1"/>
  <c r="P2011" i="50"/>
  <c r="P2726" i="50" s="1"/>
  <c r="P3440" i="50" s="1"/>
  <c r="L2011" i="50"/>
  <c r="L2726" i="50" s="1"/>
  <c r="L3440" i="50" s="1"/>
  <c r="J2011" i="50"/>
  <c r="J2726" i="50" s="1"/>
  <c r="J3440" i="50" s="1"/>
  <c r="T2747" i="50"/>
  <c r="T3461" i="50" s="1"/>
  <c r="Z1574" i="50"/>
  <c r="T1574" i="50"/>
  <c r="AD1574" i="50"/>
  <c r="AD2289" i="50" s="1"/>
  <c r="AD3003" i="50" s="1"/>
  <c r="AB1574" i="50"/>
  <c r="X1574" i="50"/>
  <c r="H1640" i="50"/>
  <c r="H2355" i="50" s="1"/>
  <c r="H3069" i="50" s="1"/>
  <c r="N1640" i="50"/>
  <c r="N2355" i="50" s="1"/>
  <c r="N3069" i="50" s="1"/>
  <c r="X2164" i="50"/>
  <c r="X2878" i="50" s="1"/>
  <c r="T2334" i="50"/>
  <c r="T3048" i="50" s="1"/>
  <c r="AH119" i="50"/>
  <c r="AH336" i="50"/>
  <c r="H1456" i="50"/>
  <c r="H2171" i="50" s="1"/>
  <c r="H2885" i="50" s="1"/>
  <c r="AD1531" i="50"/>
  <c r="AD2246" i="50" s="1"/>
  <c r="AD2960" i="50" s="1"/>
  <c r="L1926" i="50"/>
  <c r="L2641" i="50" s="1"/>
  <c r="L3355" i="50" s="1"/>
  <c r="P1926" i="50"/>
  <c r="D3072" i="50"/>
  <c r="D917" i="50"/>
  <c r="D208" i="50"/>
  <c r="D1643" i="50"/>
  <c r="D2358" i="50" s="1"/>
  <c r="C1064" i="50"/>
  <c r="C1790" i="50"/>
  <c r="C2505" i="50" s="1"/>
  <c r="C3219" i="50"/>
  <c r="V1661" i="50"/>
  <c r="AH350" i="50"/>
  <c r="AN61" i="50"/>
  <c r="J1968" i="50"/>
  <c r="N1968" i="50"/>
  <c r="N2683" i="50" s="1"/>
  <c r="P1608" i="50"/>
  <c r="F1608" i="50"/>
  <c r="H1608" i="50"/>
  <c r="F1815" i="50"/>
  <c r="F2530" i="50" s="1"/>
  <c r="F3244" i="50" s="1"/>
  <c r="L1815" i="50"/>
  <c r="H1815" i="50"/>
  <c r="F1499" i="50"/>
  <c r="P1499" i="50"/>
  <c r="J1499" i="50"/>
  <c r="J1611" i="50"/>
  <c r="J2326" i="50" s="1"/>
  <c r="J3040" i="50" s="1"/>
  <c r="P1611" i="50"/>
  <c r="N1611" i="50"/>
  <c r="N2326" i="50" s="1"/>
  <c r="F1611" i="50"/>
  <c r="P1624" i="50"/>
  <c r="H1624" i="50"/>
  <c r="L1624" i="50"/>
  <c r="L2339" i="50" s="1"/>
  <c r="L3053" i="50" s="1"/>
  <c r="J1531" i="50"/>
  <c r="J2246" i="50" s="1"/>
  <c r="J2960" i="50" s="1"/>
  <c r="L1531" i="50"/>
  <c r="L2246" i="50" s="1"/>
  <c r="L2960" i="50" s="1"/>
  <c r="H1531" i="50"/>
  <c r="H2246" i="50" s="1"/>
  <c r="H2960" i="50" s="1"/>
  <c r="Z1645" i="50"/>
  <c r="AB1645" i="50"/>
  <c r="AB2360" i="50" s="1"/>
  <c r="AB3074" i="50" s="1"/>
  <c r="AD1645" i="50"/>
  <c r="X1645" i="50"/>
  <c r="X2360" i="50" s="1"/>
  <c r="X3074" i="50" s="1"/>
  <c r="N1804" i="50"/>
  <c r="N2519" i="50" s="1"/>
  <c r="N3233" i="50" s="1"/>
  <c r="H1804" i="50"/>
  <c r="F1804" i="50"/>
  <c r="V1833" i="50"/>
  <c r="AB1833" i="50"/>
  <c r="AD1833" i="50"/>
  <c r="T2127" i="50"/>
  <c r="AH2127" i="50"/>
  <c r="AD2021" i="50"/>
  <c r="AD2736" i="50" s="1"/>
  <c r="AD3450" i="50" s="1"/>
  <c r="AB2021" i="50"/>
  <c r="X2021" i="50"/>
  <c r="X2736" i="50" s="1"/>
  <c r="X3450" i="50" s="1"/>
  <c r="Z2021" i="50"/>
  <c r="Z2736" i="50" s="1"/>
  <c r="Z3450" i="50" s="1"/>
  <c r="V2021" i="50"/>
  <c r="V2736" i="50" s="1"/>
  <c r="V3450" i="50" s="1"/>
  <c r="H1855" i="50"/>
  <c r="AH1855" i="50"/>
  <c r="F2119" i="50"/>
  <c r="J2119" i="50"/>
  <c r="J2834" i="50" s="1"/>
  <c r="J3548" i="50" s="1"/>
  <c r="H2119" i="50"/>
  <c r="N2119" i="50"/>
  <c r="J1930" i="50"/>
  <c r="F1930" i="50"/>
  <c r="F2645" i="50" s="1"/>
  <c r="N1930" i="50"/>
  <c r="N1935" i="50" s="1"/>
  <c r="N1936" i="50" s="1"/>
  <c r="L1930" i="50"/>
  <c r="C2876" i="50"/>
  <c r="C1447" i="50"/>
  <c r="C2162" i="50" s="1"/>
  <c r="C1475" i="50"/>
  <c r="C2190" i="50" s="1"/>
  <c r="C749" i="50"/>
  <c r="D1538" i="50"/>
  <c r="D2253" i="50" s="1"/>
  <c r="D812" i="50"/>
  <c r="D103" i="50"/>
  <c r="C2988" i="50"/>
  <c r="C1559" i="50"/>
  <c r="C2274" i="50" s="1"/>
  <c r="C833" i="50"/>
  <c r="D2995" i="50"/>
  <c r="D1566" i="50"/>
  <c r="D2281" i="50" s="1"/>
  <c r="D131" i="50"/>
  <c r="C1615" i="50"/>
  <c r="C2330" i="50" s="1"/>
  <c r="C3044" i="50"/>
  <c r="C889" i="50"/>
  <c r="C1622" i="50"/>
  <c r="C2337" i="50" s="1"/>
  <c r="C3051" i="50"/>
  <c r="D1629" i="50"/>
  <c r="D2344" i="50" s="1"/>
  <c r="D3058" i="50"/>
  <c r="D903" i="50"/>
  <c r="D966" i="50"/>
  <c r="D1692" i="50"/>
  <c r="D2407" i="50" s="1"/>
  <c r="D3121" i="50"/>
  <c r="C1713" i="50"/>
  <c r="C2428" i="50" s="1"/>
  <c r="C3142" i="50"/>
  <c r="C987" i="50"/>
  <c r="D3149" i="50"/>
  <c r="D994" i="50"/>
  <c r="D1720" i="50"/>
  <c r="D2435" i="50" s="1"/>
  <c r="C1748" i="50"/>
  <c r="C2463" i="50" s="1"/>
  <c r="C1022" i="50"/>
  <c r="D1029" i="50"/>
  <c r="D3184" i="50"/>
  <c r="D320" i="50"/>
  <c r="D1755" i="50"/>
  <c r="D2470" i="50" s="1"/>
  <c r="Z2302" i="50"/>
  <c r="Z3016" i="50" s="1"/>
  <c r="H2837" i="50"/>
  <c r="H3551" i="50" s="1"/>
  <c r="H2194" i="50"/>
  <c r="H2908" i="50" s="1"/>
  <c r="AH357" i="50"/>
  <c r="AH273" i="50"/>
  <c r="P1458" i="50"/>
  <c r="J1615" i="50"/>
  <c r="J2330" i="50" s="1"/>
  <c r="J3044" i="50" s="1"/>
  <c r="N1615" i="50"/>
  <c r="N2330" i="50" s="1"/>
  <c r="N3044" i="50" s="1"/>
  <c r="F1615" i="50"/>
  <c r="T1672" i="50"/>
  <c r="AB1672" i="50"/>
  <c r="AB1676" i="50" s="1"/>
  <c r="AB1677" i="50" s="1"/>
  <c r="Z1722" i="50"/>
  <c r="AB1722" i="50"/>
  <c r="X1722" i="50"/>
  <c r="T1765" i="50"/>
  <c r="T2480" i="50" s="1"/>
  <c r="T3194" i="50" s="1"/>
  <c r="AB1765" i="50"/>
  <c r="X1765" i="50"/>
  <c r="X2480" i="50" s="1"/>
  <c r="X3194" i="50" s="1"/>
  <c r="AD1765" i="50"/>
  <c r="AD2480" i="50" s="1"/>
  <c r="AD3194" i="50" s="1"/>
  <c r="H1580" i="50"/>
  <c r="H2295" i="50" s="1"/>
  <c r="H3009" i="50" s="1"/>
  <c r="J1580" i="50"/>
  <c r="J2295" i="50" s="1"/>
  <c r="J3009" i="50" s="1"/>
  <c r="F1580" i="50"/>
  <c r="F2295" i="50" s="1"/>
  <c r="F3009" i="50" s="1"/>
  <c r="L1580" i="50"/>
  <c r="L2295" i="50" s="1"/>
  <c r="L3009" i="50" s="1"/>
  <c r="V1650" i="50"/>
  <c r="V2365" i="50" s="1"/>
  <c r="V3079" i="50" s="1"/>
  <c r="AD1650" i="50"/>
  <c r="AD2365" i="50" s="1"/>
  <c r="AD3079" i="50" s="1"/>
  <c r="AH1650" i="50"/>
  <c r="AB1650" i="50"/>
  <c r="AB2365" i="50" s="1"/>
  <c r="AB3079" i="50" s="1"/>
  <c r="D3114" i="50"/>
  <c r="D959" i="50"/>
  <c r="D250" i="50"/>
  <c r="P2611" i="50"/>
  <c r="P3325" i="50" s="1"/>
  <c r="L2639" i="50"/>
  <c r="L3353" i="50" s="1"/>
  <c r="F2667" i="50"/>
  <c r="F3381" i="50" s="1"/>
  <c r="AH76" i="50"/>
  <c r="AN40" i="50"/>
  <c r="T1976" i="50"/>
  <c r="T2479" i="50"/>
  <c r="T3193" i="50" s="1"/>
  <c r="AB1976" i="50"/>
  <c r="AB2691" i="50" s="1"/>
  <c r="AB3405" i="50" s="1"/>
  <c r="F2432" i="50"/>
  <c r="F3146" i="50" s="1"/>
  <c r="H2285" i="50"/>
  <c r="H2999" i="50" s="1"/>
  <c r="AD2270" i="50"/>
  <c r="AD2984" i="50" s="1"/>
  <c r="V2645" i="50"/>
  <c r="V3359" i="50" s="1"/>
  <c r="J1980" i="50"/>
  <c r="J2695" i="50" s="1"/>
  <c r="J3409" i="50" s="1"/>
  <c r="AD1976" i="50"/>
  <c r="AD2691" i="50" s="1"/>
  <c r="AD3405" i="50" s="1"/>
  <c r="V1976" i="50"/>
  <c r="F2050" i="50"/>
  <c r="F2765" i="50" s="1"/>
  <c r="F3479" i="50" s="1"/>
  <c r="N1861" i="50"/>
  <c r="T2263" i="50"/>
  <c r="T2977" i="50" s="1"/>
  <c r="N2611" i="50"/>
  <c r="N3325" i="50" s="1"/>
  <c r="AI533" i="50"/>
  <c r="AI539" i="50"/>
  <c r="AI552" i="50"/>
  <c r="AI556" i="50"/>
  <c r="AI582" i="50"/>
  <c r="AI595" i="50"/>
  <c r="AI608" i="50"/>
  <c r="AI625" i="50"/>
  <c r="AI638" i="50"/>
  <c r="AI651" i="50"/>
  <c r="AI674" i="50"/>
  <c r="AI687" i="50"/>
  <c r="AI51" i="50"/>
  <c r="AI57" i="50"/>
  <c r="AI147" i="50"/>
  <c r="AI223" i="50"/>
  <c r="AI248" i="50"/>
  <c r="AI288" i="50"/>
  <c r="AI300" i="50"/>
  <c r="AI304" i="50"/>
  <c r="AI351" i="50"/>
  <c r="AI393" i="50"/>
  <c r="AI444" i="50"/>
  <c r="AI520" i="50"/>
  <c r="AI297" i="50"/>
  <c r="AI309" i="50"/>
  <c r="AI143" i="50"/>
  <c r="AI325" i="50"/>
  <c r="AI358" i="50"/>
  <c r="AI462" i="50"/>
  <c r="AI483" i="50"/>
  <c r="AI618" i="50"/>
  <c r="AI678" i="50"/>
  <c r="AI336" i="50"/>
  <c r="AI524" i="50"/>
  <c r="AI629" i="50"/>
  <c r="AI682" i="50"/>
  <c r="AI203" i="50"/>
  <c r="AI287" i="50"/>
  <c r="AI371" i="50"/>
  <c r="AI458" i="50"/>
  <c r="AI686" i="50"/>
  <c r="AI181" i="50"/>
  <c r="AI17" i="50"/>
  <c r="AI106" i="50"/>
  <c r="AI62" i="50"/>
  <c r="AI77" i="50"/>
  <c r="AI122" i="50"/>
  <c r="AI224" i="50"/>
  <c r="AI281" i="50"/>
  <c r="AI301" i="50"/>
  <c r="AI352" i="50"/>
  <c r="AI434" i="50"/>
  <c r="AI456" i="50"/>
  <c r="AI517" i="50"/>
  <c r="AI534" i="50"/>
  <c r="AI570" i="50"/>
  <c r="AI583" i="50"/>
  <c r="AI596" i="50"/>
  <c r="AI609" i="50"/>
  <c r="AI626" i="50"/>
  <c r="AI652" i="50"/>
  <c r="AI675" i="50"/>
  <c r="AI64" i="50"/>
  <c r="AI93" i="50"/>
  <c r="AI631" i="50"/>
  <c r="AI644" i="50"/>
  <c r="AI639" i="50"/>
  <c r="AI22" i="50"/>
  <c r="AI28" i="50"/>
  <c r="AI205" i="50"/>
  <c r="AI211" i="50"/>
  <c r="AI274" i="50"/>
  <c r="AI338" i="50"/>
  <c r="AI562" i="50"/>
  <c r="AI605" i="50"/>
  <c r="AI667" i="50"/>
  <c r="AI262" i="50"/>
  <c r="AI279" i="50"/>
  <c r="AI283" i="50"/>
  <c r="AI21" i="50"/>
  <c r="AI7" i="50"/>
  <c r="AI34" i="50"/>
  <c r="AI38" i="50"/>
  <c r="AI44" i="50"/>
  <c r="AI49" i="50"/>
  <c r="AI55" i="50"/>
  <c r="AI59" i="50"/>
  <c r="AI70" i="50"/>
  <c r="AI85" i="50"/>
  <c r="AI100" i="50"/>
  <c r="AI107" i="50"/>
  <c r="AI111" i="50"/>
  <c r="AI115" i="50"/>
  <c r="AI126" i="50"/>
  <c r="AI141" i="50"/>
  <c r="AI156" i="50"/>
  <c r="AI167" i="50"/>
  <c r="AI171" i="50"/>
  <c r="AI177" i="50"/>
  <c r="AI188" i="50"/>
  <c r="AI192" i="50"/>
  <c r="AI217" i="50"/>
  <c r="AI232" i="50"/>
  <c r="AI253" i="50"/>
  <c r="AI293" i="50"/>
  <c r="AI323" i="50"/>
  <c r="AI330" i="50"/>
  <c r="AI356" i="50"/>
  <c r="AI360" i="50"/>
  <c r="AI366" i="50"/>
  <c r="AI387" i="50"/>
  <c r="AI398" i="50"/>
  <c r="AI402" i="50"/>
  <c r="AI413" i="50"/>
  <c r="AI419" i="50"/>
  <c r="AI423" i="50"/>
  <c r="AI449" i="50"/>
  <c r="AI464" i="50"/>
  <c r="AI475" i="50"/>
  <c r="AI479" i="50"/>
  <c r="AI485" i="50"/>
  <c r="AI491" i="50"/>
  <c r="AI497" i="50"/>
  <c r="AI503" i="50"/>
  <c r="AI507" i="50"/>
  <c r="AI513" i="50"/>
  <c r="AI526" i="50"/>
  <c r="AI545" i="50"/>
  <c r="AI549" i="50"/>
  <c r="AI575" i="50"/>
  <c r="AI588" i="50"/>
  <c r="AI601" i="50"/>
  <c r="AI657" i="50"/>
  <c r="AI661" i="50"/>
  <c r="AI693" i="50"/>
  <c r="AI9" i="50"/>
  <c r="AI20" i="50"/>
  <c r="AI24" i="50"/>
  <c r="AI30" i="50"/>
  <c r="AI36" i="50"/>
  <c r="AI42" i="50"/>
  <c r="AI72" i="50"/>
  <c r="AI83" i="50"/>
  <c r="AI87" i="50"/>
  <c r="AI98" i="50"/>
  <c r="AI113" i="50"/>
  <c r="AI128" i="50"/>
  <c r="AI139" i="50"/>
  <c r="AI154" i="50"/>
  <c r="AI161" i="50"/>
  <c r="AI169" i="50"/>
  <c r="AI175" i="50"/>
  <c r="AI190" i="50"/>
  <c r="AI209" i="50"/>
  <c r="AI213" i="50"/>
  <c r="AI219" i="50"/>
  <c r="AI230" i="50"/>
  <c r="AI234" i="50"/>
  <c r="AI251" i="50"/>
  <c r="AI255" i="50"/>
  <c r="AI272" i="50"/>
  <c r="AI276" i="50"/>
  <c r="AI295" i="50"/>
  <c r="AI307" i="50"/>
  <c r="AI315" i="50"/>
  <c r="AI321" i="50"/>
  <c r="AI328" i="50"/>
  <c r="AI364" i="50"/>
  <c r="AI385" i="50"/>
  <c r="AI400" i="50"/>
  <c r="AI415" i="50"/>
  <c r="AI421" i="50"/>
  <c r="AI436" i="50"/>
  <c r="AI447" i="50"/>
  <c r="AI451" i="50"/>
  <c r="AI469" i="50"/>
  <c r="AI477" i="50"/>
  <c r="AI489" i="50"/>
  <c r="AI493" i="50"/>
  <c r="AI499" i="50"/>
  <c r="AI505" i="50"/>
  <c r="AI511" i="50"/>
  <c r="AI519" i="50"/>
  <c r="AI528" i="50"/>
  <c r="AI538" i="50"/>
  <c r="AI547" i="50"/>
  <c r="AI560" i="50"/>
  <c r="AI568" i="50"/>
  <c r="AI573" i="50"/>
  <c r="AI577" i="50"/>
  <c r="AI590" i="50"/>
  <c r="AI603" i="50"/>
  <c r="AI616" i="50"/>
  <c r="AI633" i="50"/>
  <c r="AI646" i="50"/>
  <c r="AI659" i="50"/>
  <c r="AI665" i="50"/>
  <c r="AI14" i="50"/>
  <c r="AI66" i="50"/>
  <c r="AI92" i="50"/>
  <c r="AI118" i="50"/>
  <c r="AI133" i="50"/>
  <c r="AI148" i="50"/>
  <c r="AI163" i="50"/>
  <c r="AI184" i="50"/>
  <c r="AI197" i="50"/>
  <c r="AI239" i="50"/>
  <c r="AI245" i="50"/>
  <c r="AI260" i="50"/>
  <c r="AI266" i="50"/>
  <c r="AI289" i="50"/>
  <c r="AI373" i="50"/>
  <c r="AI379" i="50"/>
  <c r="AI394" i="50"/>
  <c r="AI405" i="50"/>
  <c r="AI409" i="50"/>
  <c r="AI426" i="50"/>
  <c r="AI430" i="50"/>
  <c r="AI441" i="50"/>
  <c r="AI471" i="50"/>
  <c r="AI521" i="50"/>
  <c r="AI540" i="50"/>
  <c r="AI553" i="50"/>
  <c r="AI566" i="50"/>
  <c r="AI622" i="50"/>
  <c r="AI671" i="50"/>
  <c r="AI15" i="50"/>
  <c r="AI63" i="50"/>
  <c r="AI78" i="50"/>
  <c r="AI97" i="50"/>
  <c r="AI104" i="50"/>
  <c r="AI108" i="50"/>
  <c r="AI134" i="50"/>
  <c r="AI149" i="50"/>
  <c r="AI160" i="50"/>
  <c r="AI164" i="50"/>
  <c r="AI185" i="50"/>
  <c r="AI198" i="50"/>
  <c r="AI225" i="50"/>
  <c r="AI240" i="50"/>
  <c r="AI246" i="50"/>
  <c r="AI261" i="50"/>
  <c r="AI267" i="50"/>
  <c r="AI282" i="50"/>
  <c r="AI286" i="50"/>
  <c r="AI290" i="50"/>
  <c r="AI302" i="50"/>
  <c r="AI331" i="50"/>
  <c r="AI343" i="50"/>
  <c r="AI349" i="50"/>
  <c r="AI353" i="50"/>
  <c r="AI370" i="50"/>
  <c r="AI374" i="50"/>
  <c r="AI380" i="50"/>
  <c r="AI391" i="50"/>
  <c r="AI395" i="50"/>
  <c r="AI406" i="50"/>
  <c r="AI427" i="50"/>
  <c r="AI442" i="50"/>
  <c r="AI457" i="50"/>
  <c r="AI468" i="50"/>
  <c r="AI472" i="50"/>
  <c r="AI518" i="50"/>
  <c r="AI531" i="50"/>
  <c r="AI535" i="50"/>
  <c r="AI554" i="50"/>
  <c r="AI567" i="50"/>
  <c r="AI580" i="50"/>
  <c r="AI584" i="50"/>
  <c r="AI597" i="50"/>
  <c r="AI610" i="50"/>
  <c r="AI623" i="50"/>
  <c r="AI640" i="50"/>
  <c r="AI653" i="50"/>
  <c r="AI664" i="50"/>
  <c r="AI672" i="50"/>
  <c r="AI685" i="50"/>
  <c r="AI689" i="50"/>
  <c r="AI611" i="50"/>
  <c r="AI624" i="50"/>
  <c r="AI16" i="50"/>
  <c r="AI79" i="50"/>
  <c r="AI90" i="50"/>
  <c r="AI94" i="50"/>
  <c r="AI105" i="50"/>
  <c r="AI120" i="50"/>
  <c r="AI135" i="50"/>
  <c r="AI146" i="50"/>
  <c r="AI150" i="50"/>
  <c r="AI182" i="50"/>
  <c r="AI195" i="50"/>
  <c r="AI199" i="50"/>
  <c r="AI226" i="50"/>
  <c r="AI237" i="50"/>
  <c r="AI241" i="50"/>
  <c r="AI247" i="50"/>
  <c r="AI258" i="50"/>
  <c r="AI268" i="50"/>
  <c r="AI303" i="50"/>
  <c r="AI332" i="50"/>
  <c r="AI344" i="50"/>
  <c r="AI350" i="50"/>
  <c r="AI377" i="50"/>
  <c r="AI381" i="50"/>
  <c r="AI392" i="50"/>
  <c r="AI407" i="50"/>
  <c r="AI428" i="50"/>
  <c r="AI443" i="50"/>
  <c r="AI454" i="50"/>
  <c r="AI532" i="50"/>
  <c r="AI542" i="50"/>
  <c r="AI555" i="50"/>
  <c r="AI581" i="50"/>
  <c r="AI594" i="50"/>
  <c r="AI598" i="50"/>
  <c r="AI637" i="50"/>
  <c r="AI650" i="50"/>
  <c r="AI673" i="50"/>
  <c r="AI13" i="50"/>
  <c r="AI65" i="50"/>
  <c r="AI76" i="50"/>
  <c r="AI80" i="50"/>
  <c r="AI91" i="50"/>
  <c r="AI121" i="50"/>
  <c r="AI132" i="50"/>
  <c r="AI162" i="50"/>
  <c r="AI183" i="50"/>
  <c r="AI196" i="50"/>
  <c r="AI227" i="50"/>
  <c r="AI238" i="50"/>
  <c r="AI265" i="50"/>
  <c r="AI269" i="50"/>
  <c r="AI280" i="50"/>
  <c r="AI329" i="50"/>
  <c r="AI372" i="50"/>
  <c r="AI378" i="50"/>
  <c r="AI408" i="50"/>
  <c r="AI429" i="50"/>
  <c r="AI440" i="50"/>
  <c r="AI455" i="50"/>
  <c r="AI470" i="50"/>
  <c r="T1306" i="50"/>
  <c r="AF1306" i="50" s="1"/>
  <c r="AI317" i="50"/>
  <c r="AI688" i="50"/>
  <c r="AN75" i="50"/>
  <c r="AH69" i="50"/>
  <c r="BQ105" i="49"/>
  <c r="BQ107" i="49"/>
  <c r="BQ106" i="49"/>
  <c r="BQ98" i="49"/>
  <c r="BQ29" i="49"/>
  <c r="BQ37" i="49"/>
  <c r="BQ45" i="49"/>
  <c r="BQ48" i="49"/>
  <c r="BQ56" i="49"/>
  <c r="BQ61" i="49"/>
  <c r="BQ72" i="49"/>
  <c r="BL56" i="49"/>
  <c r="BP56" i="49" s="1"/>
  <c r="BU56" i="49" s="1"/>
  <c r="AH580" i="50"/>
  <c r="AF657" i="50"/>
  <c r="AH657" i="50" s="1"/>
  <c r="AH419" i="50"/>
  <c r="BL91" i="49"/>
  <c r="BQ104" i="49"/>
  <c r="BQ77" i="49"/>
  <c r="BQ114" i="49"/>
  <c r="BQ32" i="49"/>
  <c r="BQ40" i="49"/>
  <c r="BQ51" i="49"/>
  <c r="BQ70" i="49"/>
  <c r="BQ74" i="49"/>
  <c r="AF265" i="50"/>
  <c r="AH265" i="50" s="1"/>
  <c r="AH251" i="50"/>
  <c r="BL102" i="49"/>
  <c r="BP102" i="49" s="1"/>
  <c r="BU102" i="49" s="1"/>
  <c r="BQ100" i="49"/>
  <c r="BQ35" i="49"/>
  <c r="AF48" i="50"/>
  <c r="BL53" i="49"/>
  <c r="AH643" i="50"/>
  <c r="AF566" i="50"/>
  <c r="AH566" i="50" s="1"/>
  <c r="BL85" i="49"/>
  <c r="BP85" i="49" s="1"/>
  <c r="BU85" i="49" s="1"/>
  <c r="AF307" i="50"/>
  <c r="AH230" i="50"/>
  <c r="AF489" i="50"/>
  <c r="AH489" i="50" s="1"/>
  <c r="BQ21" i="49"/>
  <c r="BL70" i="49"/>
  <c r="AF384" i="50"/>
  <c r="BL29" i="49"/>
  <c r="BP87" i="49"/>
  <c r="BU87" i="49" s="1"/>
  <c r="BQ95" i="49"/>
  <c r="BQ91" i="49"/>
  <c r="BQ115" i="49"/>
  <c r="BQ36" i="49"/>
  <c r="BQ44" i="49"/>
  <c r="BQ55" i="49"/>
  <c r="BP59" i="49"/>
  <c r="BU59" i="49" s="1"/>
  <c r="AF286" i="50"/>
  <c r="AH286" i="50" s="1"/>
  <c r="AF531" i="50"/>
  <c r="AH202" i="50"/>
  <c r="AH209" i="50"/>
  <c r="AH335" i="50"/>
  <c r="BP103" i="49"/>
  <c r="BU103" i="49" s="1"/>
  <c r="R279" i="50"/>
  <c r="AH279" i="50" s="1"/>
  <c r="BQ101" i="49"/>
  <c r="BQ89" i="49"/>
  <c r="BQ97" i="49"/>
  <c r="BQ80" i="49"/>
  <c r="BQ79" i="49"/>
  <c r="BQ34" i="49"/>
  <c r="BQ42" i="49"/>
  <c r="BQ53" i="49"/>
  <c r="BH61" i="49"/>
  <c r="BP61" i="49" s="1"/>
  <c r="BU61" i="49" s="1"/>
  <c r="R545" i="50"/>
  <c r="AH545" i="50" s="1"/>
  <c r="R174" i="50"/>
  <c r="R293" i="50"/>
  <c r="AH293" i="50" s="1"/>
  <c r="BQ93" i="49"/>
  <c r="R678" i="50"/>
  <c r="AH678" i="50" s="1"/>
  <c r="AH552" i="50"/>
  <c r="BH40" i="49"/>
  <c r="BP40" i="49" s="1"/>
  <c r="BU40" i="49" s="1"/>
  <c r="R587" i="50"/>
  <c r="AH587" i="50" s="1"/>
  <c r="R412" i="50"/>
  <c r="P412" i="50" s="1"/>
  <c r="R188" i="50"/>
  <c r="BH99" i="49"/>
  <c r="BQ108" i="49"/>
  <c r="BQ38" i="49"/>
  <c r="BQ57" i="49"/>
  <c r="AH321" i="50"/>
  <c r="R398" i="50"/>
  <c r="AH398" i="50" s="1"/>
  <c r="R482" i="50"/>
  <c r="AH482" i="50" s="1"/>
  <c r="BH74" i="49"/>
  <c r="BP74" i="49" s="1"/>
  <c r="BU74" i="49" s="1"/>
  <c r="R629" i="50"/>
  <c r="AH517" i="50"/>
  <c r="AH342" i="50"/>
  <c r="R496" i="50"/>
  <c r="AH496" i="50" s="1"/>
  <c r="BQ84" i="49"/>
  <c r="BQ18" i="49"/>
  <c r="AB2194" i="50"/>
  <c r="AB2908" i="50" s="1"/>
  <c r="N2194" i="50"/>
  <c r="N2908" i="50" s="1"/>
  <c r="J2194" i="50"/>
  <c r="J2908" i="50" s="1"/>
  <c r="BU134" i="49"/>
  <c r="F2194" i="50"/>
  <c r="F2908" i="50" s="1"/>
  <c r="N2208" i="50"/>
  <c r="N2922" i="50" s="1"/>
  <c r="P2208" i="50"/>
  <c r="P2922" i="50" s="1"/>
  <c r="X2446" i="50"/>
  <c r="X3160" i="50" s="1"/>
  <c r="AB2355" i="50"/>
  <c r="H144" i="49"/>
  <c r="BB168" i="49"/>
  <c r="F2460" i="50"/>
  <c r="F3174" i="50" s="1"/>
  <c r="J2208" i="50"/>
  <c r="J2922" i="50" s="1"/>
  <c r="H2334" i="50"/>
  <c r="H3048" i="50" s="1"/>
  <c r="N2446" i="50"/>
  <c r="N3160" i="50" s="1"/>
  <c r="Z2306" i="50"/>
  <c r="Z3020" i="50" s="1"/>
  <c r="Z2334" i="50"/>
  <c r="Z3048" i="50" s="1"/>
  <c r="J2306" i="50"/>
  <c r="J3020" i="50" s="1"/>
  <c r="N2306" i="50"/>
  <c r="N3020" i="50" s="1"/>
  <c r="BS168" i="49"/>
  <c r="H2460" i="50"/>
  <c r="H3174" i="50" s="1"/>
  <c r="V2901" i="50"/>
  <c r="F2208" i="50"/>
  <c r="F2922" i="50" s="1"/>
  <c r="L2446" i="50"/>
  <c r="L3160" i="50" s="1"/>
  <c r="X2355" i="50"/>
  <c r="X3069" i="50" s="1"/>
  <c r="H2257" i="50"/>
  <c r="N2285" i="50"/>
  <c r="N2999" i="50" s="1"/>
  <c r="F2306" i="50"/>
  <c r="F3020" i="50" s="1"/>
  <c r="BS152" i="49"/>
  <c r="L2460" i="50"/>
  <c r="L3174" i="50" s="1"/>
  <c r="N2460" i="50"/>
  <c r="N3174" i="50" s="1"/>
  <c r="V2446" i="50"/>
  <c r="V3160" i="50" s="1"/>
  <c r="AB2306" i="50"/>
  <c r="AB3020" i="50" s="1"/>
  <c r="P2285" i="50"/>
  <c r="P2999" i="50" s="1"/>
  <c r="J2285" i="50"/>
  <c r="J2999" i="50" s="1"/>
  <c r="F2285" i="50"/>
  <c r="BB137" i="49"/>
  <c r="H160" i="49"/>
  <c r="BU160" i="49" s="1"/>
  <c r="BQ118" i="49" a="1"/>
  <c r="BQ118" i="49" s="1"/>
  <c r="P2460" i="50"/>
  <c r="P3174" i="50" s="1"/>
  <c r="H2208" i="50"/>
  <c r="H2922" i="50" s="1"/>
  <c r="P2432" i="50"/>
  <c r="P3146" i="50" s="1"/>
  <c r="BS137" i="49"/>
  <c r="H152" i="49"/>
  <c r="J2334" i="50"/>
  <c r="J3048" i="50" s="1"/>
  <c r="H137" i="49"/>
  <c r="BG152" i="49"/>
  <c r="N2334" i="50"/>
  <c r="N3048" i="50" s="1"/>
  <c r="R2376" i="50"/>
  <c r="P2334" i="50"/>
  <c r="P3048" i="50" s="1"/>
  <c r="AD2355" i="50"/>
  <c r="AD3069" i="50" s="1"/>
  <c r="BU166" i="49"/>
  <c r="BB144" i="49"/>
  <c r="N2740" i="50"/>
  <c r="N3454" i="50" s="1"/>
  <c r="BL170" i="49"/>
  <c r="AF1724" i="50"/>
  <c r="BD231" i="49"/>
  <c r="BC170" i="49"/>
  <c r="AS226" i="49"/>
  <c r="AF2115" i="50"/>
  <c r="BL226" i="49"/>
  <c r="BH172" i="49"/>
  <c r="BP172" i="49" s="1"/>
  <c r="BU172" i="49" s="1"/>
  <c r="AN172" i="49"/>
  <c r="R1737" i="50"/>
  <c r="N1812" i="50"/>
  <c r="F1812" i="50"/>
  <c r="P1812" i="50"/>
  <c r="H1812" i="50"/>
  <c r="J1812" i="50"/>
  <c r="AO1817" i="50"/>
  <c r="T1817" i="50" s="1"/>
  <c r="AF514" i="50"/>
  <c r="AH514" i="50" s="1"/>
  <c r="BC88" i="49"/>
  <c r="BL110" i="49"/>
  <c r="BP110" i="49" s="1"/>
  <c r="BU110" i="49" s="1"/>
  <c r="AF668" i="50"/>
  <c r="BC110" i="49"/>
  <c r="AF549" i="50"/>
  <c r="BC93" i="49"/>
  <c r="BL93" i="49"/>
  <c r="AF465" i="50"/>
  <c r="AH465" i="50" s="1"/>
  <c r="BC81" i="49"/>
  <c r="BL81" i="49"/>
  <c r="BP81" i="49" s="1"/>
  <c r="BU81" i="49" s="1"/>
  <c r="AF689" i="50"/>
  <c r="BC113" i="49"/>
  <c r="BL113" i="49"/>
  <c r="BP113" i="49" s="1"/>
  <c r="BU113" i="49" s="1"/>
  <c r="F53" i="35"/>
  <c r="F54" i="35" s="1"/>
  <c r="F52" i="35"/>
  <c r="W5" i="32"/>
  <c r="W23" i="32"/>
  <c r="AV19" i="32"/>
  <c r="X19" i="32"/>
  <c r="AX174" i="49"/>
  <c r="AD2467" i="50" s="1"/>
  <c r="AD3181" i="50" s="1"/>
  <c r="R1752" i="50"/>
  <c r="BH174" i="49"/>
  <c r="BP174" i="49" s="1"/>
  <c r="BL190" i="49"/>
  <c r="AF1862" i="50"/>
  <c r="AI190" i="49"/>
  <c r="AI223" i="49"/>
  <c r="AF2093" i="50"/>
  <c r="AF1483" i="50"/>
  <c r="Y136" i="49"/>
  <c r="BL136" i="49"/>
  <c r="BH147" i="49"/>
  <c r="J147" i="49"/>
  <c r="R1559" i="50"/>
  <c r="BH159" i="49"/>
  <c r="R1645" i="50"/>
  <c r="AO1649" i="50" s="1"/>
  <c r="T1649" i="50" s="1"/>
  <c r="AD159" i="49"/>
  <c r="BC175" i="49"/>
  <c r="AF1759" i="50"/>
  <c r="AF1835" i="50"/>
  <c r="AS186" i="49"/>
  <c r="AN204" i="49"/>
  <c r="R1961" i="50"/>
  <c r="BH204" i="49"/>
  <c r="BP204" i="49" s="1"/>
  <c r="BU204" i="49" s="1"/>
  <c r="AF2126" i="50"/>
  <c r="BL228" i="49"/>
  <c r="O228" i="49"/>
  <c r="AI200" i="49"/>
  <c r="AF1932" i="50"/>
  <c r="BG230" i="49"/>
  <c r="BB230" i="49"/>
  <c r="BS230" i="49"/>
  <c r="BS223" i="49"/>
  <c r="H223" i="49"/>
  <c r="BG223" i="49"/>
  <c r="BB223" i="49"/>
  <c r="BG215" i="49"/>
  <c r="BB215" i="49"/>
  <c r="BS215" i="49"/>
  <c r="H215" i="49"/>
  <c r="T16" i="49"/>
  <c r="U116" i="49"/>
  <c r="R7" i="50"/>
  <c r="AH7" i="50" s="1"/>
  <c r="P1644" i="50"/>
  <c r="P2359" i="50" s="1"/>
  <c r="P3073" i="50" s="1"/>
  <c r="L1644" i="50"/>
  <c r="L2359" i="50" s="1"/>
  <c r="L3073" i="50" s="1"/>
  <c r="N1644" i="50"/>
  <c r="N2359" i="50" s="1"/>
  <c r="N3073" i="50" s="1"/>
  <c r="F1644" i="50"/>
  <c r="F2359" i="50" s="1"/>
  <c r="F3073" i="50" s="1"/>
  <c r="J1644" i="50"/>
  <c r="J2359" i="50" s="1"/>
  <c r="J3073" i="50" s="1"/>
  <c r="H1644" i="50"/>
  <c r="H2359" i="50" s="1"/>
  <c r="P3027" i="50"/>
  <c r="R2313" i="50"/>
  <c r="H17" i="32"/>
  <c r="T2642" i="50"/>
  <c r="T3356" i="50" s="1"/>
  <c r="H3153" i="50"/>
  <c r="R3153" i="50" s="1"/>
  <c r="R2439" i="50"/>
  <c r="T2782" i="50"/>
  <c r="T3496" i="50" s="1"/>
  <c r="T2069" i="50"/>
  <c r="H2292" i="50"/>
  <c r="R2292" i="50" s="1"/>
  <c r="J3405" i="50"/>
  <c r="F3419" i="50"/>
  <c r="AX28" i="49"/>
  <c r="R94" i="50"/>
  <c r="AH94" i="50" s="1"/>
  <c r="T18" i="49"/>
  <c r="BH18" i="49"/>
  <c r="R21" i="50"/>
  <c r="AH21" i="50" s="1"/>
  <c r="F1622" i="50"/>
  <c r="H1622" i="50"/>
  <c r="AO1628" i="50"/>
  <c r="T1628" i="50" s="1"/>
  <c r="J1622" i="50"/>
  <c r="AD570" i="50"/>
  <c r="AB570" i="50"/>
  <c r="T570" i="50"/>
  <c r="V570" i="50"/>
  <c r="X570" i="50"/>
  <c r="Z570" i="50"/>
  <c r="I33" i="35"/>
  <c r="H32" i="35"/>
  <c r="BC92" i="49"/>
  <c r="BL92" i="49"/>
  <c r="AN151" i="49"/>
  <c r="AD2305" i="50" s="1"/>
  <c r="AD3019" i="50" s="1"/>
  <c r="R1590" i="50"/>
  <c r="BH151" i="49"/>
  <c r="BP151" i="49" s="1"/>
  <c r="AO231" i="49"/>
  <c r="BB229" i="49"/>
  <c r="BG229" i="49"/>
  <c r="BS229" i="49"/>
  <c r="BS174" i="49"/>
  <c r="BG174" i="49"/>
  <c r="H174" i="49"/>
  <c r="BB174" i="49"/>
  <c r="BG143" i="49"/>
  <c r="BS143" i="49"/>
  <c r="BB143" i="49"/>
  <c r="H143" i="49"/>
  <c r="BU143" i="49" s="1"/>
  <c r="AA22" i="48"/>
  <c r="AE22" i="48"/>
  <c r="BC18" i="49"/>
  <c r="AF24" i="50"/>
  <c r="AH24" i="50" s="1"/>
  <c r="BC17" i="49"/>
  <c r="AF17" i="50"/>
  <c r="AH17" i="50" s="1"/>
  <c r="BC178" i="49"/>
  <c r="AF1780" i="50"/>
  <c r="AB1780" i="50" s="1"/>
  <c r="AB2495" i="50" s="1"/>
  <c r="AB3209" i="50" s="1"/>
  <c r="BL178" i="49"/>
  <c r="L41" i="35"/>
  <c r="L51" i="35"/>
  <c r="L31" i="35"/>
  <c r="L33" i="35" s="1"/>
  <c r="L34" i="35" s="1"/>
  <c r="L61" i="35"/>
  <c r="L63" i="35" s="1"/>
  <c r="L64" i="35" s="1"/>
  <c r="L22" i="35"/>
  <c r="BQ190" i="49"/>
  <c r="BB222" i="49"/>
  <c r="BG222" i="49"/>
  <c r="H222" i="49"/>
  <c r="BS222" i="49"/>
  <c r="AX22" i="49"/>
  <c r="R52" i="50"/>
  <c r="AH52" i="50" s="1"/>
  <c r="AB1801" i="50"/>
  <c r="AB2516" i="50" s="1"/>
  <c r="AB3230" i="50" s="1"/>
  <c r="T1801" i="50"/>
  <c r="AD1801" i="50"/>
  <c r="Z1801" i="50"/>
  <c r="Z2516" i="50" s="1"/>
  <c r="AB2208" i="50"/>
  <c r="AB2922" i="50" s="1"/>
  <c r="Z2208" i="50"/>
  <c r="Z2922" i="50" s="1"/>
  <c r="X2208" i="50"/>
  <c r="X2922" i="50" s="1"/>
  <c r="T2208" i="50"/>
  <c r="T1853" i="50"/>
  <c r="T2568" i="50" s="1"/>
  <c r="AB1853" i="50"/>
  <c r="AB2568" i="50" s="1"/>
  <c r="AB3282" i="50" s="1"/>
  <c r="X1853" i="50"/>
  <c r="Z1853" i="50"/>
  <c r="Z2568" i="50" s="1"/>
  <c r="Z3282" i="50" s="1"/>
  <c r="AH507" i="50"/>
  <c r="AD507" i="50"/>
  <c r="AD1222" i="50" s="1"/>
  <c r="T507" i="50"/>
  <c r="T1222" i="50" s="1"/>
  <c r="V507" i="50"/>
  <c r="V1222" i="50" s="1"/>
  <c r="X507" i="50"/>
  <c r="AF661" i="50"/>
  <c r="AH661" i="50" s="1"/>
  <c r="BL109" i="49"/>
  <c r="BC109" i="49"/>
  <c r="BQ94" i="49"/>
  <c r="AS184" i="49"/>
  <c r="AF1821" i="50"/>
  <c r="BB151" i="49"/>
  <c r="BS151" i="49"/>
  <c r="BG151" i="49"/>
  <c r="H151" i="49"/>
  <c r="F2134" i="50"/>
  <c r="F2849" i="50" s="1"/>
  <c r="F3563" i="50" s="1"/>
  <c r="N2134" i="50"/>
  <c r="N2849" i="50" s="1"/>
  <c r="N3563" i="50" s="1"/>
  <c r="P2134" i="50"/>
  <c r="P2849" i="50" s="1"/>
  <c r="P3563" i="50" s="1"/>
  <c r="L2134" i="50"/>
  <c r="J2134" i="50"/>
  <c r="J2849" i="50" s="1"/>
  <c r="J3563" i="50" s="1"/>
  <c r="H2134" i="50"/>
  <c r="H2849" i="50" s="1"/>
  <c r="H3563" i="50" s="1"/>
  <c r="AH2134" i="50"/>
  <c r="H3496" i="50"/>
  <c r="F3090" i="50"/>
  <c r="R3090" i="50" s="1"/>
  <c r="Z2747" i="50"/>
  <c r="Z3461" i="50" s="1"/>
  <c r="X2747" i="50"/>
  <c r="X3461" i="50" s="1"/>
  <c r="J2222" i="50"/>
  <c r="T2852" i="50"/>
  <c r="AB1552" i="50"/>
  <c r="AB2267" i="50" s="1"/>
  <c r="V1552" i="50"/>
  <c r="V2267" i="50" s="1"/>
  <c r="V2981" i="50" s="1"/>
  <c r="Z1552" i="50"/>
  <c r="Z2267" i="50" s="1"/>
  <c r="Z2981" i="50" s="1"/>
  <c r="AD1552" i="50"/>
  <c r="AD2267" i="50" s="1"/>
  <c r="AD2981" i="50" s="1"/>
  <c r="AH1552" i="50"/>
  <c r="X1552" i="50"/>
  <c r="Y117" i="48"/>
  <c r="O117" i="48"/>
  <c r="J28" i="49"/>
  <c r="K253" i="49" s="1"/>
  <c r="R90" i="50"/>
  <c r="BC16" i="49"/>
  <c r="AF10" i="50"/>
  <c r="AH10" i="50" s="1"/>
  <c r="P1965" i="50"/>
  <c r="P2680" i="50" s="1"/>
  <c r="P3394" i="50" s="1"/>
  <c r="F1965" i="50"/>
  <c r="H1965" i="50"/>
  <c r="N1965" i="50"/>
  <c r="N2680" i="50" s="1"/>
  <c r="N3394" i="50" s="1"/>
  <c r="J1965" i="50"/>
  <c r="J2680" i="50" s="1"/>
  <c r="J3394" i="50" s="1"/>
  <c r="AH1965" i="50"/>
  <c r="P2032" i="50"/>
  <c r="L2032" i="50"/>
  <c r="L2747" i="50" s="1"/>
  <c r="L3461" i="50" s="1"/>
  <c r="AH2032" i="50"/>
  <c r="AF640" i="50"/>
  <c r="BC106" i="49"/>
  <c r="AD140" i="49"/>
  <c r="R1512" i="50"/>
  <c r="J1512" i="50" s="1"/>
  <c r="J2227" i="50" s="1"/>
  <c r="J2941" i="50" s="1"/>
  <c r="BH140" i="49"/>
  <c r="BP140" i="49" s="1"/>
  <c r="BU140" i="49" s="1"/>
  <c r="AE231" i="49"/>
  <c r="BG182" i="49"/>
  <c r="BS182" i="49"/>
  <c r="BB182" i="49"/>
  <c r="H182" i="49"/>
  <c r="O91" i="48"/>
  <c r="Y91" i="48"/>
  <c r="AE91" i="48" s="1"/>
  <c r="AX23" i="49"/>
  <c r="R59" i="50"/>
  <c r="AH59" i="50" s="1"/>
  <c r="AX21" i="49"/>
  <c r="R45" i="50"/>
  <c r="AH45" i="50" s="1"/>
  <c r="O18" i="49"/>
  <c r="AF20" i="50"/>
  <c r="AB20" i="50" s="1"/>
  <c r="AL1555" i="50"/>
  <c r="AH1622" i="50"/>
  <c r="AF83" i="50"/>
  <c r="X2348" i="50"/>
  <c r="AB2099" i="50"/>
  <c r="AB2814" i="50" s="1"/>
  <c r="AB3528" i="50" s="1"/>
  <c r="T2099" i="50"/>
  <c r="T2814" i="50" s="1"/>
  <c r="T3528" i="50" s="1"/>
  <c r="AH2099" i="50"/>
  <c r="Z2099" i="50"/>
  <c r="Z2814" i="50" s="1"/>
  <c r="Z3528" i="50" s="1"/>
  <c r="AD2099" i="50"/>
  <c r="AD2814" i="50" s="1"/>
  <c r="AD3528" i="50" s="1"/>
  <c r="Z1804" i="50"/>
  <c r="Z2519" i="50" s="1"/>
  <c r="Z3233" i="50" s="1"/>
  <c r="X1804" i="50"/>
  <c r="T1804" i="50"/>
  <c r="T2519" i="50" s="1"/>
  <c r="T3233" i="50" s="1"/>
  <c r="AH1804" i="50"/>
  <c r="AD1804" i="50"/>
  <c r="AD2519" i="50" s="1"/>
  <c r="V1804" i="50"/>
  <c r="V2519" i="50" s="1"/>
  <c r="V3233" i="50" s="1"/>
  <c r="AB1804" i="50"/>
  <c r="J1762" i="50"/>
  <c r="H1762" i="50"/>
  <c r="L1762" i="50"/>
  <c r="L2477" i="50" s="1"/>
  <c r="L3191" i="50" s="1"/>
  <c r="N1762" i="50"/>
  <c r="AH1762" i="50"/>
  <c r="F1762" i="50"/>
  <c r="F3293" i="50"/>
  <c r="BG159" i="49"/>
  <c r="BS159" i="49"/>
  <c r="H159" i="49"/>
  <c r="BB159" i="49"/>
  <c r="P116" i="49"/>
  <c r="L1622" i="50"/>
  <c r="AH1783" i="50"/>
  <c r="AD1783" i="50"/>
  <c r="X1783" i="50"/>
  <c r="AB1783" i="50"/>
  <c r="Z1783" i="50"/>
  <c r="V1783" i="50"/>
  <c r="V2498" i="50" s="1"/>
  <c r="V3212" i="50" s="1"/>
  <c r="AN1789" i="50"/>
  <c r="T1789" i="50" s="1"/>
  <c r="V1507" i="50"/>
  <c r="V2222" i="50" s="1"/>
  <c r="V2936" i="50" s="1"/>
  <c r="AB1507" i="50"/>
  <c r="AB2222" i="50" s="1"/>
  <c r="AB2936" i="50" s="1"/>
  <c r="AD1507" i="50"/>
  <c r="AH1507" i="50"/>
  <c r="X1507" i="50"/>
  <c r="T1507" i="50"/>
  <c r="T1843" i="50"/>
  <c r="X1843" i="50"/>
  <c r="AD1843" i="50"/>
  <c r="AD2558" i="50" s="1"/>
  <c r="AD3272" i="50" s="1"/>
  <c r="AN1845" i="50"/>
  <c r="X1582" i="50"/>
  <c r="X2297" i="50" s="1"/>
  <c r="X3011" i="50" s="1"/>
  <c r="AB1582" i="50"/>
  <c r="AB2297" i="50" s="1"/>
  <c r="AB3011" i="50" s="1"/>
  <c r="Z1582" i="50"/>
  <c r="Z2297" i="50" s="1"/>
  <c r="T1582" i="50"/>
  <c r="V2264" i="50"/>
  <c r="V2978" i="50" s="1"/>
  <c r="Z2264" i="50"/>
  <c r="Z2978" i="50" s="1"/>
  <c r="X2264" i="50"/>
  <c r="X2978" i="50" s="1"/>
  <c r="Z1891" i="50"/>
  <c r="AB1891" i="50"/>
  <c r="AN1894" i="50"/>
  <c r="X1891" i="50"/>
  <c r="AD626" i="50"/>
  <c r="AD1341" i="50" s="1"/>
  <c r="T626" i="50"/>
  <c r="V626" i="50"/>
  <c r="V1341" i="50" s="1"/>
  <c r="AH626" i="50"/>
  <c r="X626" i="50"/>
  <c r="X1341" i="50" s="1"/>
  <c r="Z626" i="50"/>
  <c r="Z1341" i="50" s="1"/>
  <c r="T19" i="49"/>
  <c r="R28" i="50"/>
  <c r="T17" i="49"/>
  <c r="R14" i="50"/>
  <c r="AH14" i="50" s="1"/>
  <c r="H167" i="49"/>
  <c r="BB167" i="49"/>
  <c r="BS167" i="49"/>
  <c r="BG167" i="49"/>
  <c r="BB136" i="49"/>
  <c r="BS136" i="49"/>
  <c r="BG136" i="49"/>
  <c r="H136" i="49"/>
  <c r="AY116" i="49"/>
  <c r="H19" i="32"/>
  <c r="AL1647" i="50"/>
  <c r="AM1647" i="50" s="1"/>
  <c r="N1622" i="50"/>
  <c r="N2337" i="50" s="1"/>
  <c r="N3051" i="50" s="1"/>
  <c r="L1965" i="50"/>
  <c r="L2680" i="50" s="1"/>
  <c r="F2133" i="50"/>
  <c r="F2848" i="50" s="1"/>
  <c r="H2133" i="50"/>
  <c r="H2848" i="50" s="1"/>
  <c r="H3562" i="50" s="1"/>
  <c r="L2133" i="50"/>
  <c r="L2848" i="50" s="1"/>
  <c r="L3562" i="50" s="1"/>
  <c r="P2133" i="50"/>
  <c r="P2848" i="50" s="1"/>
  <c r="P3562" i="50" s="1"/>
  <c r="N2133" i="50"/>
  <c r="N2848" i="50" s="1"/>
  <c r="N3562" i="50" s="1"/>
  <c r="J2133" i="50"/>
  <c r="J2848" i="50" s="1"/>
  <c r="J3562" i="50" s="1"/>
  <c r="AH2133" i="50"/>
  <c r="J1730" i="50"/>
  <c r="J2445" i="50" s="1"/>
  <c r="J3159" i="50" s="1"/>
  <c r="H1730" i="50"/>
  <c r="H2445" i="50" s="1"/>
  <c r="H3159" i="50" s="1"/>
  <c r="N1730" i="50"/>
  <c r="N2445" i="50" s="1"/>
  <c r="N3159" i="50" s="1"/>
  <c r="AH1730" i="50"/>
  <c r="L1730" i="50"/>
  <c r="L2445" i="50" s="1"/>
  <c r="L3159" i="50" s="1"/>
  <c r="N2002" i="50"/>
  <c r="N2717" i="50" s="1"/>
  <c r="N3431" i="50" s="1"/>
  <c r="L2002" i="50"/>
  <c r="F2002" i="50"/>
  <c r="F2005" i="50" s="1"/>
  <c r="F2006" i="50" s="1"/>
  <c r="H2002" i="50"/>
  <c r="P2002" i="50"/>
  <c r="P2717" i="50" s="1"/>
  <c r="P3431" i="50" s="1"/>
  <c r="P1758" i="50"/>
  <c r="P2473" i="50" s="1"/>
  <c r="P3187" i="50" s="1"/>
  <c r="L1758" i="50"/>
  <c r="L2473" i="50" s="1"/>
  <c r="L3187" i="50" s="1"/>
  <c r="J1758" i="50"/>
  <c r="J2473" i="50" s="1"/>
  <c r="J3187" i="50" s="1"/>
  <c r="T1758" i="50"/>
  <c r="F1758" i="50"/>
  <c r="F2473" i="50" s="1"/>
  <c r="F3187" i="50" s="1"/>
  <c r="AH1758" i="50"/>
  <c r="N1468" i="50"/>
  <c r="F1468" i="50"/>
  <c r="F2183" i="50" s="1"/>
  <c r="F2897" i="50" s="1"/>
  <c r="H1468" i="50"/>
  <c r="L1468" i="50"/>
  <c r="J1468" i="50"/>
  <c r="J2183" i="50" s="1"/>
  <c r="J2897" i="50" s="1"/>
  <c r="AO1474" i="50"/>
  <c r="T1474" i="50" s="1"/>
  <c r="AH1468" i="50"/>
  <c r="H1888" i="50"/>
  <c r="H2603" i="50" s="1"/>
  <c r="H3317" i="50" s="1"/>
  <c r="AH1888" i="50"/>
  <c r="F1888" i="50"/>
  <c r="F2603" i="50" s="1"/>
  <c r="F3317" i="50" s="1"/>
  <c r="L1888" i="50"/>
  <c r="L2603" i="50" s="1"/>
  <c r="L3317" i="50" s="1"/>
  <c r="P1651" i="50"/>
  <c r="F1651" i="50"/>
  <c r="F2366" i="50" s="1"/>
  <c r="F3080" i="50" s="1"/>
  <c r="L1651" i="50"/>
  <c r="L2366" i="50" s="1"/>
  <c r="L3080" i="50" s="1"/>
  <c r="J1651" i="50"/>
  <c r="J2366" i="50" s="1"/>
  <c r="J3080" i="50" s="1"/>
  <c r="H1651" i="50"/>
  <c r="N1651" i="50"/>
  <c r="AO1656" i="50"/>
  <c r="T1656" i="50" s="1"/>
  <c r="F2694" i="50"/>
  <c r="F3408" i="50" s="1"/>
  <c r="T1905" i="50"/>
  <c r="T2620" i="50" s="1"/>
  <c r="T3334" i="50" s="1"/>
  <c r="Z1905" i="50"/>
  <c r="Z2620" i="50" s="1"/>
  <c r="Z3334" i="50" s="1"/>
  <c r="V1905" i="50"/>
  <c r="V2620" i="50" s="1"/>
  <c r="V3334" i="50" s="1"/>
  <c r="AD1905" i="50"/>
  <c r="AD2620" i="50" s="1"/>
  <c r="AD3334" i="50" s="1"/>
  <c r="L1549" i="50"/>
  <c r="L2264" i="50" s="1"/>
  <c r="L2978" i="50" s="1"/>
  <c r="N1549" i="50"/>
  <c r="N2264" i="50" s="1"/>
  <c r="F1549" i="50"/>
  <c r="AH1549" i="50"/>
  <c r="J1549" i="50"/>
  <c r="AD2176" i="50"/>
  <c r="AD2890" i="50" s="1"/>
  <c r="AD1944" i="50"/>
  <c r="AD2659" i="50" s="1"/>
  <c r="AD3373" i="50" s="1"/>
  <c r="AB1944" i="50"/>
  <c r="V1944" i="50"/>
  <c r="AH1944" i="50"/>
  <c r="V1797" i="50"/>
  <c r="V2512" i="50" s="1"/>
  <c r="V3226" i="50" s="1"/>
  <c r="X1797" i="50"/>
  <c r="X2512" i="50" s="1"/>
  <c r="X3226" i="50" s="1"/>
  <c r="AB1797" i="50"/>
  <c r="T1797" i="50"/>
  <c r="T2512" i="50" s="1"/>
  <c r="T3226" i="50" s="1"/>
  <c r="Z1797" i="50"/>
  <c r="Z2512" i="50" s="1"/>
  <c r="Z3226" i="50" s="1"/>
  <c r="AH1548" i="50"/>
  <c r="H1548" i="50"/>
  <c r="H2263" i="50" s="1"/>
  <c r="H2977" i="50" s="1"/>
  <c r="AO1551" i="50"/>
  <c r="T1551" i="50" s="1"/>
  <c r="J1548" i="50"/>
  <c r="J2263" i="50" s="1"/>
  <c r="P1548" i="50"/>
  <c r="P2263" i="50" s="1"/>
  <c r="P2977" i="50" s="1"/>
  <c r="L1548" i="50"/>
  <c r="L2263" i="50" s="1"/>
  <c r="L2977" i="50" s="1"/>
  <c r="Y64" i="48"/>
  <c r="O64" i="48"/>
  <c r="BG116" i="49"/>
  <c r="O198" i="49"/>
  <c r="AF1916" i="50"/>
  <c r="BL198" i="49"/>
  <c r="BP198" i="49" s="1"/>
  <c r="BU198" i="49" s="1"/>
  <c r="BQ207" i="49"/>
  <c r="O17" i="49"/>
  <c r="AF13" i="50"/>
  <c r="AH13" i="50" s="1"/>
  <c r="AL1472" i="50"/>
  <c r="AM1472" i="50" s="1"/>
  <c r="P1622" i="50"/>
  <c r="AH2122" i="50"/>
  <c r="F2122" i="50"/>
  <c r="F2837" i="50" s="1"/>
  <c r="F3551" i="50" s="1"/>
  <c r="J2122" i="50"/>
  <c r="J2837" i="50" s="1"/>
  <c r="J3551" i="50" s="1"/>
  <c r="N2122" i="50"/>
  <c r="N2837" i="50" s="1"/>
  <c r="N3551" i="50" s="1"/>
  <c r="L1881" i="50"/>
  <c r="L2596" i="50" s="1"/>
  <c r="L3310" i="50" s="1"/>
  <c r="N1881" i="50"/>
  <c r="N2596" i="50" s="1"/>
  <c r="N3310" i="50" s="1"/>
  <c r="P1881" i="50"/>
  <c r="F1881" i="50"/>
  <c r="F2596" i="50" s="1"/>
  <c r="F3310" i="50" s="1"/>
  <c r="P1730" i="50"/>
  <c r="P2445" i="50" s="1"/>
  <c r="P3159" i="50" s="1"/>
  <c r="AH1463" i="50"/>
  <c r="F1463" i="50"/>
  <c r="F2178" i="50" s="1"/>
  <c r="F2892" i="50" s="1"/>
  <c r="L1463" i="50"/>
  <c r="P1463" i="50"/>
  <c r="P1466" i="50" s="1"/>
  <c r="AO1467" i="50"/>
  <c r="T1467" i="50" s="1"/>
  <c r="N1463" i="50"/>
  <c r="N2178" i="50" s="1"/>
  <c r="N2892" i="50" s="1"/>
  <c r="H1463" i="50"/>
  <c r="AF542" i="50"/>
  <c r="Z1861" i="50"/>
  <c r="AH1861" i="50"/>
  <c r="T1861" i="50"/>
  <c r="AD1861" i="50"/>
  <c r="AB1861" i="50"/>
  <c r="AB2576" i="50" s="1"/>
  <c r="AB3290" i="50" s="1"/>
  <c r="N1589" i="50"/>
  <c r="N2304" i="50" s="1"/>
  <c r="N3018" i="50" s="1"/>
  <c r="AH1589" i="50"/>
  <c r="H1589" i="50"/>
  <c r="H2304" i="50" s="1"/>
  <c r="H3018" i="50" s="1"/>
  <c r="J1589" i="50"/>
  <c r="J2304" i="50" s="1"/>
  <c r="J3018" i="50" s="1"/>
  <c r="P1589" i="50"/>
  <c r="P2304" i="50" s="1"/>
  <c r="P3018" i="50" s="1"/>
  <c r="F2206" i="50"/>
  <c r="F2920" i="50" s="1"/>
  <c r="H1899" i="50"/>
  <c r="H2614" i="50" s="1"/>
  <c r="H3328" i="50" s="1"/>
  <c r="N1899" i="50"/>
  <c r="F1899" i="50"/>
  <c r="P1899" i="50"/>
  <c r="P2614" i="50" s="1"/>
  <c r="P3328" i="50" s="1"/>
  <c r="L1899" i="50"/>
  <c r="X2334" i="50"/>
  <c r="AH486" i="50"/>
  <c r="H486" i="50"/>
  <c r="H1201" i="50" s="1"/>
  <c r="N486" i="50"/>
  <c r="N1201" i="50" s="1"/>
  <c r="P486" i="50"/>
  <c r="P1201" i="50" s="1"/>
  <c r="V2467" i="50"/>
  <c r="V3181" i="50" s="1"/>
  <c r="Z1469" i="50"/>
  <c r="Z2184" i="50" s="1"/>
  <c r="Z2898" i="50" s="1"/>
  <c r="AB1469" i="50"/>
  <c r="AB2184" i="50" s="1"/>
  <c r="AB2898" i="50" s="1"/>
  <c r="AF1911" i="50"/>
  <c r="BL197" i="49"/>
  <c r="BP197" i="49" s="1"/>
  <c r="BL168" i="49"/>
  <c r="AF1707" i="50"/>
  <c r="Y168" i="49"/>
  <c r="J219" i="49"/>
  <c r="BH219" i="49"/>
  <c r="R2063" i="50"/>
  <c r="BH212" i="49"/>
  <c r="R2014" i="50"/>
  <c r="J212" i="49"/>
  <c r="T2729" i="50" s="1"/>
  <c r="T3443" i="50" s="1"/>
  <c r="J192" i="49"/>
  <c r="AB2589" i="50" s="1"/>
  <c r="AB3303" i="50" s="1"/>
  <c r="BH192" i="49"/>
  <c r="BP192" i="49" s="1"/>
  <c r="BU192" i="49" s="1"/>
  <c r="R1874" i="50"/>
  <c r="J1539" i="50"/>
  <c r="F1539" i="50"/>
  <c r="H1539" i="50"/>
  <c r="P1539" i="50"/>
  <c r="P2254" i="50" s="1"/>
  <c r="N1539" i="50"/>
  <c r="AH1539" i="50"/>
  <c r="BP190" i="49"/>
  <c r="BU190" i="49" s="1"/>
  <c r="P2850" i="50"/>
  <c r="P3564" i="50" s="1"/>
  <c r="AH1696" i="50"/>
  <c r="N1696" i="50"/>
  <c r="AH556" i="50"/>
  <c r="Z556" i="50"/>
  <c r="Z1271" i="50" s="1"/>
  <c r="AB556" i="50"/>
  <c r="AB1271" i="50" s="1"/>
  <c r="T556" i="50"/>
  <c r="T1271" i="50" s="1"/>
  <c r="V556" i="50"/>
  <c r="V1271" i="50" s="1"/>
  <c r="X1678" i="50"/>
  <c r="AD1678" i="50"/>
  <c r="AD2393" i="50" s="1"/>
  <c r="AD3107" i="50" s="1"/>
  <c r="F2387" i="50"/>
  <c r="F3101" i="50" s="1"/>
  <c r="X1899" i="50"/>
  <c r="X2614" i="50" s="1"/>
  <c r="X3328" i="50" s="1"/>
  <c r="T1899" i="50"/>
  <c r="V1899" i="50"/>
  <c r="V2614" i="50" s="1"/>
  <c r="V3328" i="50" s="1"/>
  <c r="Z1899" i="50"/>
  <c r="AB1899" i="50"/>
  <c r="AB2614" i="50" s="1"/>
  <c r="AB3328" i="50" s="1"/>
  <c r="AD1899" i="50"/>
  <c r="AD2614" i="50" s="1"/>
  <c r="AD3328" i="50" s="1"/>
  <c r="J2284" i="50"/>
  <c r="J2998" i="50" s="1"/>
  <c r="T2634" i="50"/>
  <c r="T3348" i="50" s="1"/>
  <c r="AN68" i="49"/>
  <c r="BH68" i="49"/>
  <c r="BP68" i="49" s="1"/>
  <c r="BU68" i="49" s="1"/>
  <c r="AO116" i="49"/>
  <c r="AD2747" i="50"/>
  <c r="AD3461" i="50" s="1"/>
  <c r="AB2334" i="50"/>
  <c r="AB3048" i="50" s="1"/>
  <c r="P2060" i="50"/>
  <c r="AH2060" i="50"/>
  <c r="H2060" i="50"/>
  <c r="J2060" i="50"/>
  <c r="H626" i="50"/>
  <c r="H1341" i="50" s="1"/>
  <c r="P626" i="50"/>
  <c r="P1341" i="50" s="1"/>
  <c r="X1605" i="50"/>
  <c r="AD1605" i="50"/>
  <c r="AB1605" i="50"/>
  <c r="T1605" i="50"/>
  <c r="L1793" i="50"/>
  <c r="P1793" i="50"/>
  <c r="AB1633" i="50"/>
  <c r="Z1633" i="50"/>
  <c r="Z2348" i="50" s="1"/>
  <c r="AH1633" i="50"/>
  <c r="AD1633" i="50"/>
  <c r="AD2348" i="50" s="1"/>
  <c r="AD3062" i="50" s="1"/>
  <c r="T1825" i="50"/>
  <c r="T2540" i="50" s="1"/>
  <c r="T3254" i="50" s="1"/>
  <c r="AH1825" i="50"/>
  <c r="X1825" i="50"/>
  <c r="X2540" i="50" s="1"/>
  <c r="X3254" i="50" s="1"/>
  <c r="V1825" i="50"/>
  <c r="V2540" i="50" s="1"/>
  <c r="Z1825" i="50"/>
  <c r="Z2540" i="50" s="1"/>
  <c r="Z3254" i="50" s="1"/>
  <c r="AD1825" i="50"/>
  <c r="L1643" i="50"/>
  <c r="H1643" i="50"/>
  <c r="H2358" i="50" s="1"/>
  <c r="H3072" i="50" s="1"/>
  <c r="AH1643" i="50"/>
  <c r="F1643" i="50"/>
  <c r="F2358" i="50" s="1"/>
  <c r="F3072" i="50" s="1"/>
  <c r="P1643" i="50"/>
  <c r="P2358" i="50" s="1"/>
  <c r="P3072" i="50" s="1"/>
  <c r="N1643" i="50"/>
  <c r="AB2747" i="50"/>
  <c r="AB3461" i="50" s="1"/>
  <c r="AD2334" i="50"/>
  <c r="AD3048" i="50" s="1"/>
  <c r="P2379" i="50"/>
  <c r="P3093" i="50" s="1"/>
  <c r="BP226" i="49"/>
  <c r="BU226" i="49" s="1"/>
  <c r="T1596" i="50"/>
  <c r="T2311" i="50" s="1"/>
  <c r="T3025" i="50" s="1"/>
  <c r="Z1596" i="50"/>
  <c r="BL164" i="49"/>
  <c r="BP164" i="49" s="1"/>
  <c r="BU164" i="49" s="1"/>
  <c r="AV26" i="61"/>
  <c r="AB2063" i="50"/>
  <c r="AB2778" i="50" s="1"/>
  <c r="AB3492" i="50" s="1"/>
  <c r="T2063" i="50"/>
  <c r="X2063" i="50"/>
  <c r="X1805" i="50"/>
  <c r="X2520" i="50" s="1"/>
  <c r="X3234" i="50" s="1"/>
  <c r="V1805" i="50"/>
  <c r="N2647" i="50"/>
  <c r="N3361" i="50" s="1"/>
  <c r="Z1827" i="50"/>
  <c r="Z2542" i="50" s="1"/>
  <c r="Z3256" i="50" s="1"/>
  <c r="V1827" i="50"/>
  <c r="V2542" i="50" s="1"/>
  <c r="V3256" i="50" s="1"/>
  <c r="T1878" i="50"/>
  <c r="X1878" i="50"/>
  <c r="Z1878" i="50"/>
  <c r="N1180" i="50"/>
  <c r="X1890" i="50"/>
  <c r="Z2603" i="50"/>
  <c r="Z3317" i="50" s="1"/>
  <c r="Z1829" i="50"/>
  <c r="X1569" i="50"/>
  <c r="AB1569" i="50"/>
  <c r="AH1569" i="50"/>
  <c r="T1569" i="50"/>
  <c r="T2284" i="50" s="1"/>
  <c r="V1569" i="50"/>
  <c r="Z1548" i="50"/>
  <c r="Z2263" i="50" s="1"/>
  <c r="V1548" i="50"/>
  <c r="AD1548" i="50"/>
  <c r="AD2263" i="50" s="1"/>
  <c r="AD2977" i="50" s="1"/>
  <c r="AX226" i="49"/>
  <c r="T2831" i="50" s="1"/>
  <c r="T3545" i="50" s="1"/>
  <c r="R2116" i="50"/>
  <c r="L1722" i="50"/>
  <c r="N1722" i="50"/>
  <c r="BP149" i="49"/>
  <c r="BU149" i="49" s="1"/>
  <c r="AI209" i="49"/>
  <c r="BL209" i="49"/>
  <c r="BP209" i="49" s="1"/>
  <c r="BU209" i="49" s="1"/>
  <c r="R1863" i="50"/>
  <c r="AN190" i="49"/>
  <c r="AH447" i="50"/>
  <c r="T1577" i="50"/>
  <c r="X1577" i="50"/>
  <c r="X2292" i="50" s="1"/>
  <c r="X3006" i="50" s="1"/>
  <c r="V1577" i="50"/>
  <c r="V2292" i="50" s="1"/>
  <c r="V3006" i="50" s="1"/>
  <c r="H2654" i="50"/>
  <c r="H3368" i="50" s="1"/>
  <c r="V2079" i="50"/>
  <c r="X2109" i="50"/>
  <c r="X2824" i="50" s="1"/>
  <c r="AB2775" i="50"/>
  <c r="AB2239" i="50"/>
  <c r="AB2953" i="50" s="1"/>
  <c r="T2229" i="50"/>
  <c r="X2241" i="50"/>
  <c r="X2955" i="50" s="1"/>
  <c r="J2619" i="50"/>
  <c r="J3333" i="50" s="1"/>
  <c r="P1524" i="50"/>
  <c r="P2239" i="50" s="1"/>
  <c r="P2953" i="50" s="1"/>
  <c r="N1524" i="50"/>
  <c r="N1529" i="50" s="1"/>
  <c r="N1530" i="50" s="1"/>
  <c r="H1524" i="50"/>
  <c r="H2239" i="50" s="1"/>
  <c r="H2953" i="50" s="1"/>
  <c r="AH132" i="50"/>
  <c r="V1736" i="50"/>
  <c r="AB1736" i="50"/>
  <c r="Z1736" i="50"/>
  <c r="T1736" i="50"/>
  <c r="AD1736" i="50"/>
  <c r="X1736" i="50"/>
  <c r="P2038" i="50"/>
  <c r="P2753" i="50" s="1"/>
  <c r="P3467" i="50" s="1"/>
  <c r="L2038" i="50"/>
  <c r="L2753" i="50" s="1"/>
  <c r="L3467" i="50" s="1"/>
  <c r="J2038" i="50"/>
  <c r="J2753" i="50" s="1"/>
  <c r="J3467" i="50" s="1"/>
  <c r="N1597" i="50"/>
  <c r="N2312" i="50" s="1"/>
  <c r="N3026" i="50" s="1"/>
  <c r="H1486" i="50"/>
  <c r="N1486" i="50"/>
  <c r="Z2109" i="50"/>
  <c r="Z2824" i="50" s="1"/>
  <c r="Z3538" i="50" s="1"/>
  <c r="N2529" i="50"/>
  <c r="N3243" i="50" s="1"/>
  <c r="J2428" i="50"/>
  <c r="J3142" i="50" s="1"/>
  <c r="X1546" i="50"/>
  <c r="N2816" i="50"/>
  <c r="N3530" i="50" s="1"/>
  <c r="V2661" i="50"/>
  <c r="V3375" i="50" s="1"/>
  <c r="AN46" i="49"/>
  <c r="BH46" i="49"/>
  <c r="BP46" i="49" s="1"/>
  <c r="BU46" i="49" s="1"/>
  <c r="AF1615" i="50"/>
  <c r="O155" i="49"/>
  <c r="BL131" i="49"/>
  <c r="BP131" i="49" s="1"/>
  <c r="BU131" i="49" s="1"/>
  <c r="O131" i="49"/>
  <c r="AF1447" i="50"/>
  <c r="AB1447" i="50" s="1"/>
  <c r="Y200" i="49"/>
  <c r="BL200" i="49"/>
  <c r="AD184" i="49"/>
  <c r="R1820" i="50"/>
  <c r="L1820" i="50" s="1"/>
  <c r="F2361" i="50"/>
  <c r="F3075" i="50" s="1"/>
  <c r="L1995" i="50"/>
  <c r="F1995" i="50"/>
  <c r="N1995" i="50"/>
  <c r="AF346" i="50"/>
  <c r="BC64" i="49"/>
  <c r="AI84" i="49"/>
  <c r="AF484" i="50"/>
  <c r="AI52" i="49"/>
  <c r="BL52" i="49"/>
  <c r="H1469" i="50"/>
  <c r="N1469" i="50"/>
  <c r="N2184" i="50" s="1"/>
  <c r="N2898" i="50" s="1"/>
  <c r="F1469" i="50"/>
  <c r="L1469" i="50"/>
  <c r="J1469" i="50"/>
  <c r="J2184" i="50" s="1"/>
  <c r="J2898" i="50" s="1"/>
  <c r="P1469" i="50"/>
  <c r="P2184" i="50" s="1"/>
  <c r="P2898" i="50" s="1"/>
  <c r="J2368" i="50"/>
  <c r="BP157" i="49"/>
  <c r="BU157" i="49" s="1"/>
  <c r="F2543" i="50"/>
  <c r="F3257" i="50" s="1"/>
  <c r="F2438" i="50"/>
  <c r="F3152" i="50" s="1"/>
  <c r="Z2276" i="50"/>
  <c r="Z2990" i="50" s="1"/>
  <c r="F1504" i="50"/>
  <c r="F2219" i="50" s="1"/>
  <c r="L1504" i="50"/>
  <c r="H1504" i="50"/>
  <c r="AH1504" i="50"/>
  <c r="J1504" i="50"/>
  <c r="J2219" i="50" s="1"/>
  <c r="J2933" i="50" s="1"/>
  <c r="P1504" i="50"/>
  <c r="P2219" i="50" s="1"/>
  <c r="P2933" i="50" s="1"/>
  <c r="BC188" i="49"/>
  <c r="AF1850" i="50"/>
  <c r="BL188" i="49"/>
  <c r="AF2105" i="50"/>
  <c r="O225" i="49"/>
  <c r="AF1680" i="50"/>
  <c r="V1680" i="50" s="1"/>
  <c r="V2395" i="50" s="1"/>
  <c r="AI164" i="49"/>
  <c r="AF115" i="50"/>
  <c r="BL31" i="49"/>
  <c r="R388" i="50"/>
  <c r="AH388" i="50" s="1"/>
  <c r="AX70" i="49"/>
  <c r="R367" i="50"/>
  <c r="AX67" i="49"/>
  <c r="Y58" i="49"/>
  <c r="AF301" i="50"/>
  <c r="AH301" i="50" s="1"/>
  <c r="AI112" i="49"/>
  <c r="AF680" i="50"/>
  <c r="BL112" i="49"/>
  <c r="F1180" i="50"/>
  <c r="R1271" i="50"/>
  <c r="T2773" i="50"/>
  <c r="T3487" i="50" s="1"/>
  <c r="T1546" i="50"/>
  <c r="H2164" i="50"/>
  <c r="H2878" i="50" s="1"/>
  <c r="F2389" i="50"/>
  <c r="F3103" i="50" s="1"/>
  <c r="BP176" i="49"/>
  <c r="BU176" i="49" s="1"/>
  <c r="L2631" i="50"/>
  <c r="L3345" i="50" s="1"/>
  <c r="J2393" i="50"/>
  <c r="J3107" i="50" s="1"/>
  <c r="N2690" i="50"/>
  <c r="Z1745" i="50"/>
  <c r="Z2460" i="50" s="1"/>
  <c r="Z3174" i="50" s="1"/>
  <c r="T1745" i="50"/>
  <c r="H1583" i="50"/>
  <c r="H2298" i="50" s="1"/>
  <c r="H3012" i="50" s="1"/>
  <c r="F1583" i="50"/>
  <c r="BH202" i="49"/>
  <c r="BP202" i="49" s="1"/>
  <c r="BU202" i="49" s="1"/>
  <c r="R1947" i="50"/>
  <c r="AN202" i="49"/>
  <c r="L1511" i="50"/>
  <c r="J1511" i="50"/>
  <c r="J2226" i="50" s="1"/>
  <c r="J2940" i="50" s="1"/>
  <c r="AD65" i="49"/>
  <c r="R351" i="50"/>
  <c r="BH65" i="49"/>
  <c r="BP65" i="49" s="1"/>
  <c r="BU65" i="49" s="1"/>
  <c r="J71" i="49"/>
  <c r="R391" i="50"/>
  <c r="AH391" i="50" s="1"/>
  <c r="BH71" i="49"/>
  <c r="BP71" i="49" s="1"/>
  <c r="BU71" i="49" s="1"/>
  <c r="AI153" i="49"/>
  <c r="AF1603" i="50"/>
  <c r="BH169" i="49"/>
  <c r="AD169" i="49"/>
  <c r="R1805" i="50"/>
  <c r="H1805" i="50" s="1"/>
  <c r="H2520" i="50" s="1"/>
  <c r="H3234" i="50" s="1"/>
  <c r="T182" i="49"/>
  <c r="AD197" i="49"/>
  <c r="R1911" i="50"/>
  <c r="BC227" i="49"/>
  <c r="AF2123" i="50"/>
  <c r="BL227" i="49"/>
  <c r="O167" i="49"/>
  <c r="AF1699" i="50"/>
  <c r="AF1815" i="50"/>
  <c r="BC183" i="49"/>
  <c r="AN108" i="49"/>
  <c r="BH108" i="49"/>
  <c r="BP108" i="49" s="1"/>
  <c r="BU108" i="49" s="1"/>
  <c r="AN111" i="49"/>
  <c r="R674" i="50"/>
  <c r="P674" i="50" s="1"/>
  <c r="P1389" i="50" s="1"/>
  <c r="BH111" i="49"/>
  <c r="T50" i="49"/>
  <c r="R245" i="50"/>
  <c r="AH245" i="50" s="1"/>
  <c r="BH50" i="49"/>
  <c r="BP50" i="49" s="1"/>
  <c r="BU50" i="49" s="1"/>
  <c r="J70" i="49"/>
  <c r="R384" i="50"/>
  <c r="J36" i="49"/>
  <c r="BH36" i="49"/>
  <c r="BP36" i="49" s="1"/>
  <c r="BU36" i="49" s="1"/>
  <c r="R146" i="50"/>
  <c r="AH146" i="50" s="1"/>
  <c r="R101" i="50"/>
  <c r="AX29" i="49"/>
  <c r="V2302" i="50"/>
  <c r="V3016" i="50" s="1"/>
  <c r="BP228" i="49"/>
  <c r="BU228" i="49" s="1"/>
  <c r="L2466" i="50"/>
  <c r="L3180" i="50" s="1"/>
  <c r="BP200" i="49"/>
  <c r="BU200" i="49" s="1"/>
  <c r="N2163" i="50"/>
  <c r="N2877" i="50" s="1"/>
  <c r="J2275" i="50"/>
  <c r="J2989" i="50" s="1"/>
  <c r="L2767" i="50"/>
  <c r="L3481" i="50" s="1"/>
  <c r="P2712" i="50"/>
  <c r="P3426" i="50" s="1"/>
  <c r="X2172" i="50"/>
  <c r="X2886" i="50" s="1"/>
  <c r="X1696" i="50"/>
  <c r="X2411" i="50" s="1"/>
  <c r="X3125" i="50" s="1"/>
  <c r="AD1668" i="50"/>
  <c r="Z1668" i="50"/>
  <c r="P1625" i="50"/>
  <c r="P2340" i="50" s="1"/>
  <c r="P3054" i="50" s="1"/>
  <c r="J1625" i="50"/>
  <c r="J2340" i="50" s="1"/>
  <c r="J3054" i="50" s="1"/>
  <c r="AD1777" i="50"/>
  <c r="V1777" i="50"/>
  <c r="V2492" i="50" s="1"/>
  <c r="V3206" i="50" s="1"/>
  <c r="AF1910" i="50"/>
  <c r="Y197" i="49"/>
  <c r="AD2045" i="50"/>
  <c r="AD2760" i="50" s="1"/>
  <c r="AD3474" i="50" s="1"/>
  <c r="Z2045" i="50"/>
  <c r="Z2760" i="50" s="1"/>
  <c r="Z3474" i="50" s="1"/>
  <c r="X2045" i="50"/>
  <c r="X2760" i="50" s="1"/>
  <c r="X3474" i="50" s="1"/>
  <c r="V2045" i="50"/>
  <c r="V2760" i="50" s="1"/>
  <c r="V3474" i="50" s="1"/>
  <c r="AB1924" i="50"/>
  <c r="AB2639" i="50" s="1"/>
  <c r="AB3353" i="50" s="1"/>
  <c r="AH1924" i="50"/>
  <c r="AD1924" i="50"/>
  <c r="AD2639" i="50" s="1"/>
  <c r="AD3353" i="50" s="1"/>
  <c r="AF1757" i="50"/>
  <c r="AI175" i="49"/>
  <c r="AF1876" i="50"/>
  <c r="AI192" i="49"/>
  <c r="AX202" i="49"/>
  <c r="T2663" i="50" s="1"/>
  <c r="R1948" i="50"/>
  <c r="AD222" i="49"/>
  <c r="BH222" i="49"/>
  <c r="BP222" i="49" s="1"/>
  <c r="BH194" i="49"/>
  <c r="R1892" i="50"/>
  <c r="AX194" i="49"/>
  <c r="X2780" i="50"/>
  <c r="X3494" i="50" s="1"/>
  <c r="T2207" i="50"/>
  <c r="T2921" i="50" s="1"/>
  <c r="AH160" i="50"/>
  <c r="AH111" i="50"/>
  <c r="AH1706" i="50"/>
  <c r="T1706" i="50"/>
  <c r="AD113" i="49"/>
  <c r="R687" i="50"/>
  <c r="AF164" i="50"/>
  <c r="AH164" i="50" s="1"/>
  <c r="BC38" i="49"/>
  <c r="R2024" i="50"/>
  <c r="AN213" i="49"/>
  <c r="N2739" i="50" s="1"/>
  <c r="N3453" i="50" s="1"/>
  <c r="AB2144" i="50"/>
  <c r="H2095" i="50"/>
  <c r="H2810" i="50" s="1"/>
  <c r="H3524" i="50" s="1"/>
  <c r="BH29" i="49"/>
  <c r="BL167" i="49"/>
  <c r="BP167" i="49" s="1"/>
  <c r="AH258" i="50"/>
  <c r="AH377" i="50"/>
  <c r="AH426" i="50"/>
  <c r="AH308" i="50"/>
  <c r="V2081" i="50"/>
  <c r="V2796" i="50" s="1"/>
  <c r="R268" i="50"/>
  <c r="AH268" i="50" s="1"/>
  <c r="R346" i="50"/>
  <c r="AX64" i="49"/>
  <c r="N2140" i="50"/>
  <c r="N2855" i="50" s="1"/>
  <c r="N3569" i="50" s="1"/>
  <c r="J2140" i="50"/>
  <c r="J2855" i="50" s="1"/>
  <c r="J3569" i="50" s="1"/>
  <c r="L2140" i="50"/>
  <c r="L2855" i="50" s="1"/>
  <c r="L3569" i="50" s="1"/>
  <c r="T1694" i="50"/>
  <c r="T2409" i="50" s="1"/>
  <c r="T3123" i="50" s="1"/>
  <c r="X1694" i="50"/>
  <c r="X2409" i="50" s="1"/>
  <c r="X3123" i="50" s="1"/>
  <c r="AD1694" i="50"/>
  <c r="AB1694" i="50"/>
  <c r="V1694" i="50"/>
  <c r="F2613" i="50"/>
  <c r="F3327" i="50" s="1"/>
  <c r="J2414" i="50"/>
  <c r="J3128" i="50" s="1"/>
  <c r="V2144" i="50"/>
  <c r="F2586" i="50"/>
  <c r="F3300" i="50" s="1"/>
  <c r="AH405" i="50"/>
  <c r="AH125" i="50"/>
  <c r="T1904" i="50"/>
  <c r="T2619" i="50" s="1"/>
  <c r="T3333" i="50" s="1"/>
  <c r="T2443" i="50"/>
  <c r="T3157" i="50" s="1"/>
  <c r="Z2088" i="50"/>
  <c r="AB2121" i="50"/>
  <c r="AB2836" i="50" s="1"/>
  <c r="AB3550" i="50" s="1"/>
  <c r="AB1841" i="50"/>
  <c r="AI198" i="49"/>
  <c r="BH83" i="49"/>
  <c r="BP83" i="49" s="1"/>
  <c r="BU83" i="49" s="1"/>
  <c r="BH184" i="49"/>
  <c r="BH150" i="49"/>
  <c r="AH559" i="50"/>
  <c r="AH175" i="50"/>
  <c r="AH280" i="50"/>
  <c r="J2367" i="50"/>
  <c r="J3081" i="50" s="1"/>
  <c r="AD96" i="49"/>
  <c r="BH96" i="49"/>
  <c r="AD72" i="49"/>
  <c r="BH72" i="49"/>
  <c r="BP72" i="49" s="1"/>
  <c r="BU72" i="49" s="1"/>
  <c r="AS110" i="49"/>
  <c r="AF667" i="50"/>
  <c r="F1547" i="50"/>
  <c r="F2262" i="50" s="1"/>
  <c r="L1547" i="50"/>
  <c r="L2262" i="50" s="1"/>
  <c r="L2976" i="50" s="1"/>
  <c r="N1547" i="50"/>
  <c r="N2262" i="50" s="1"/>
  <c r="N2976" i="50" s="1"/>
  <c r="V1867" i="50"/>
  <c r="AB1867" i="50"/>
  <c r="N1855" i="50"/>
  <c r="P1855" i="50"/>
  <c r="P2570" i="50" s="1"/>
  <c r="P3284" i="50" s="1"/>
  <c r="F1855" i="50"/>
  <c r="F2570" i="50" s="1"/>
  <c r="J1855" i="50"/>
  <c r="N1455" i="50"/>
  <c r="N2170" i="50" s="1"/>
  <c r="N2884" i="50" s="1"/>
  <c r="R475" i="50"/>
  <c r="AH475" i="50" s="1"/>
  <c r="L2829" i="50"/>
  <c r="L3543" i="50" s="1"/>
  <c r="AH139" i="50"/>
  <c r="X2081" i="50"/>
  <c r="X2796" i="50" s="1"/>
  <c r="X3510" i="50" s="1"/>
  <c r="AD1706" i="50"/>
  <c r="AD2421" i="50" s="1"/>
  <c r="AD3135" i="50" s="1"/>
  <c r="Z2373" i="50"/>
  <c r="Z3087" i="50" s="1"/>
  <c r="AD84" i="49"/>
  <c r="BH84" i="49"/>
  <c r="AN44" i="49"/>
  <c r="R205" i="50"/>
  <c r="AO208" i="50" s="1"/>
  <c r="AS67" i="49"/>
  <c r="AF366" i="50"/>
  <c r="AS34" i="49"/>
  <c r="AF135" i="50"/>
  <c r="O76" i="49"/>
  <c r="BL76" i="49"/>
  <c r="BP76" i="49" s="1"/>
  <c r="BU76" i="49" s="1"/>
  <c r="J1906" i="50"/>
  <c r="J2621" i="50" s="1"/>
  <c r="J3335" i="50" s="1"/>
  <c r="P1906" i="50"/>
  <c r="H1906" i="50"/>
  <c r="N1906" i="50"/>
  <c r="N2621" i="50" s="1"/>
  <c r="N3335" i="50" s="1"/>
  <c r="F1906" i="50"/>
  <c r="V1938" i="50"/>
  <c r="V2653" i="50" s="1"/>
  <c r="V3367" i="50" s="1"/>
  <c r="AF1953" i="50"/>
  <c r="AI203" i="49"/>
  <c r="R570" i="50"/>
  <c r="AH570" i="50" s="1"/>
  <c r="AX96" i="49"/>
  <c r="R437" i="50"/>
  <c r="AX77" i="49"/>
  <c r="AD1152" i="50" s="1"/>
  <c r="N1675" i="50"/>
  <c r="N2390" i="50" s="1"/>
  <c r="N3104" i="50" s="1"/>
  <c r="H1675" i="50"/>
  <c r="H2390" i="50" s="1"/>
  <c r="H3104" i="50" s="1"/>
  <c r="T2344" i="50"/>
  <c r="T3058" i="50" s="1"/>
  <c r="H2843" i="50"/>
  <c r="H3557" i="50" s="1"/>
  <c r="AH105" i="50"/>
  <c r="AH378" i="50"/>
  <c r="BP78" i="49"/>
  <c r="BU78" i="49" s="1"/>
  <c r="J163" i="49"/>
  <c r="V2386" i="50" s="1"/>
  <c r="V3100" i="50" s="1"/>
  <c r="R1671" i="50"/>
  <c r="BL175" i="49"/>
  <c r="BP175" i="49" s="1"/>
  <c r="BU175" i="49" s="1"/>
  <c r="AS218" i="49"/>
  <c r="AF2059" i="50"/>
  <c r="AN173" i="49"/>
  <c r="R1744" i="50"/>
  <c r="AN86" i="49"/>
  <c r="BH86" i="49"/>
  <c r="BP86" i="49" s="1"/>
  <c r="BU86" i="49" s="1"/>
  <c r="AD93" i="49"/>
  <c r="BH93" i="49"/>
  <c r="AN114" i="49"/>
  <c r="BH114" i="49"/>
  <c r="BP114" i="49" s="1"/>
  <c r="R318" i="50"/>
  <c r="AX60" i="49"/>
  <c r="AI24" i="49"/>
  <c r="AF64" i="50"/>
  <c r="AS88" i="49"/>
  <c r="AF513" i="50"/>
  <c r="O111" i="49"/>
  <c r="BL111" i="49"/>
  <c r="L1749" i="50"/>
  <c r="N1749" i="50"/>
  <c r="J1749" i="50"/>
  <c r="F1749" i="50"/>
  <c r="F2464" i="50" s="1"/>
  <c r="F3178" i="50" s="1"/>
  <c r="H1749" i="50"/>
  <c r="P1749" i="50"/>
  <c r="V1945" i="50"/>
  <c r="V2660" i="50" s="1"/>
  <c r="V3374" i="50" s="1"/>
  <c r="Z1945" i="50"/>
  <c r="X1945" i="50"/>
  <c r="X2660" i="50" s="1"/>
  <c r="X3374" i="50" s="1"/>
  <c r="V1920" i="50"/>
  <c r="V2635" i="50" s="1"/>
  <c r="V3349" i="50" s="1"/>
  <c r="T1920" i="50"/>
  <c r="T2635" i="50" s="1"/>
  <c r="X1920" i="50"/>
  <c r="O206" i="49"/>
  <c r="AF1972" i="50"/>
  <c r="T2562" i="50"/>
  <c r="T3276" i="50" s="1"/>
  <c r="P1962" i="50"/>
  <c r="P2677" i="50" s="1"/>
  <c r="P3391" i="50" s="1"/>
  <c r="F1962" i="50"/>
  <c r="J1962" i="50"/>
  <c r="AF2036" i="50"/>
  <c r="AD2036" i="50" s="1"/>
  <c r="AD2751" i="50" s="1"/>
  <c r="AD3465" i="50" s="1"/>
  <c r="Y215" i="49"/>
  <c r="F1475" i="50"/>
  <c r="F2190" i="50" s="1"/>
  <c r="L1475" i="50"/>
  <c r="H1475" i="50"/>
  <c r="H1480" i="50" s="1"/>
  <c r="H1481" i="50" s="1"/>
  <c r="N1475" i="50"/>
  <c r="N2190" i="50" s="1"/>
  <c r="N2904" i="50" s="1"/>
  <c r="R170" i="50"/>
  <c r="AH136" i="50"/>
  <c r="AF352" i="50"/>
  <c r="Z352" i="50" s="1"/>
  <c r="Z1067" i="50" s="1"/>
  <c r="AS87" i="49"/>
  <c r="AF506" i="50"/>
  <c r="BL77" i="49"/>
  <c r="BP77" i="49" s="1"/>
  <c r="BU77" i="49" s="1"/>
  <c r="N1706" i="50"/>
  <c r="H1706" i="50"/>
  <c r="F1791" i="50"/>
  <c r="P1791" i="50"/>
  <c r="P2506" i="50" s="1"/>
  <c r="J1791" i="50"/>
  <c r="J2506" i="50" s="1"/>
  <c r="J3220" i="50" s="1"/>
  <c r="H1926" i="50"/>
  <c r="H2641" i="50" s="1"/>
  <c r="F1926" i="50"/>
  <c r="F2641" i="50" s="1"/>
  <c r="F3355" i="50" s="1"/>
  <c r="N1926" i="50"/>
  <c r="N2641" i="50" s="1"/>
  <c r="N3355" i="50" s="1"/>
  <c r="J1926" i="50"/>
  <c r="J2641" i="50" s="1"/>
  <c r="J3355" i="50" s="1"/>
  <c r="AS210" i="49"/>
  <c r="AF2003" i="50"/>
  <c r="V2003" i="50" s="1"/>
  <c r="AD225" i="49"/>
  <c r="R2107" i="50"/>
  <c r="F77" i="35"/>
  <c r="F48" i="35"/>
  <c r="M51" i="38"/>
  <c r="L126" i="35"/>
  <c r="T179" i="49"/>
  <c r="R1784" i="50"/>
  <c r="P2408" i="50"/>
  <c r="P3122" i="50" s="1"/>
  <c r="AX215" i="49"/>
  <c r="R2039" i="50"/>
  <c r="J226" i="49"/>
  <c r="R2112" i="50"/>
  <c r="AS133" i="49"/>
  <c r="AF1464" i="50"/>
  <c r="AF2071" i="50"/>
  <c r="Y220" i="49"/>
  <c r="AD39" i="49"/>
  <c r="R169" i="50"/>
  <c r="AH169" i="50" s="1"/>
  <c r="Z2228" i="50"/>
  <c r="Z2942" i="50" s="1"/>
  <c r="P2066" i="50"/>
  <c r="P2781" i="50" s="1"/>
  <c r="P3495" i="50" s="1"/>
  <c r="F2066" i="50"/>
  <c r="F2781" i="50" s="1"/>
  <c r="N2066" i="50"/>
  <c r="H2066" i="50"/>
  <c r="P1951" i="50"/>
  <c r="L1951" i="50"/>
  <c r="L2666" i="50" s="1"/>
  <c r="L3380" i="50" s="1"/>
  <c r="D390" i="50"/>
  <c r="D1825" i="50"/>
  <c r="D2540" i="50" s="1"/>
  <c r="D1099" i="50"/>
  <c r="D3254" i="50"/>
  <c r="C1155" i="50"/>
  <c r="C3310" i="50"/>
  <c r="C1881" i="50"/>
  <c r="C2596" i="50" s="1"/>
  <c r="D1895" i="50"/>
  <c r="D2610" i="50" s="1"/>
  <c r="D460" i="50"/>
  <c r="D3324" i="50"/>
  <c r="C1295" i="50"/>
  <c r="C2021" i="50"/>
  <c r="C2736" i="50" s="1"/>
  <c r="C3534" i="50"/>
  <c r="C2105" i="50"/>
  <c r="C2820" i="50" s="1"/>
  <c r="D1386" i="50"/>
  <c r="D2112" i="50"/>
  <c r="D2827" i="50" s="1"/>
  <c r="D3541" i="50"/>
  <c r="BC224" i="49"/>
  <c r="AF2102" i="50"/>
  <c r="AH2102" i="50" s="1"/>
  <c r="AF1813" i="50"/>
  <c r="AI183" i="49"/>
  <c r="H2081" i="50"/>
  <c r="F2081" i="50"/>
  <c r="AD163" i="49"/>
  <c r="R1673" i="50"/>
  <c r="G93" i="32"/>
  <c r="G94" i="32" s="1"/>
  <c r="C2967" i="50"/>
  <c r="C1538" i="50"/>
  <c r="C2253" i="50" s="1"/>
  <c r="C1720" i="50"/>
  <c r="C2435" i="50" s="1"/>
  <c r="C3149" i="50"/>
  <c r="D3156" i="50"/>
  <c r="D1001" i="50"/>
  <c r="D1727" i="50"/>
  <c r="D2442" i="50" s="1"/>
  <c r="C3226" i="50"/>
  <c r="C1071" i="50"/>
  <c r="D383" i="50"/>
  <c r="D1818" i="50"/>
  <c r="D2533" i="50" s="1"/>
  <c r="C1134" i="50"/>
  <c r="C3289" i="50"/>
  <c r="C1860" i="50"/>
  <c r="C2575" i="50" s="1"/>
  <c r="C1867" i="50"/>
  <c r="C2582" i="50" s="1"/>
  <c r="C1141" i="50"/>
  <c r="C3303" i="50"/>
  <c r="C1148" i="50"/>
  <c r="D446" i="50"/>
  <c r="D1881" i="50"/>
  <c r="D2596" i="50" s="1"/>
  <c r="AS225" i="49"/>
  <c r="AF2108" i="50"/>
  <c r="T2108" i="50" s="1"/>
  <c r="Y166" i="49"/>
  <c r="AF1693" i="50"/>
  <c r="J191" i="49"/>
  <c r="AD2582" i="50" s="1"/>
  <c r="AD3296" i="50" s="1"/>
  <c r="R1867" i="50"/>
  <c r="L1681" i="50"/>
  <c r="L2396" i="50" s="1"/>
  <c r="L3110" i="50" s="1"/>
  <c r="F1681" i="50"/>
  <c r="F2396" i="50" s="1"/>
  <c r="F3110" i="50" s="1"/>
  <c r="T2696" i="50"/>
  <c r="T3410" i="50" s="1"/>
  <c r="X2226" i="50"/>
  <c r="X2940" i="50" s="1"/>
  <c r="AN31" i="49"/>
  <c r="R114" i="50"/>
  <c r="AH114" i="50" s="1"/>
  <c r="AH409" i="50"/>
  <c r="N1791" i="50"/>
  <c r="N2506" i="50" s="1"/>
  <c r="N3220" i="50" s="1"/>
  <c r="Y230" i="49"/>
  <c r="AF2141" i="50"/>
  <c r="AD2478" i="50"/>
  <c r="AD3192" i="50" s="1"/>
  <c r="R619" i="50"/>
  <c r="AX103" i="49"/>
  <c r="AB1334" i="50" s="1"/>
  <c r="K90" i="35"/>
  <c r="K123" i="35" s="1"/>
  <c r="L54" i="38" s="1"/>
  <c r="M90" i="35"/>
  <c r="J68" i="35"/>
  <c r="J38" i="35"/>
  <c r="J28" i="35"/>
  <c r="T2753" i="50"/>
  <c r="T3467" i="50" s="1"/>
  <c r="T2403" i="50"/>
  <c r="T3117" i="50" s="1"/>
  <c r="T2487" i="50"/>
  <c r="T3201" i="50" s="1"/>
  <c r="AN36" i="49"/>
  <c r="R149" i="50"/>
  <c r="J2193" i="50"/>
  <c r="J2907" i="50" s="1"/>
  <c r="BH189" i="49"/>
  <c r="BP189" i="49" s="1"/>
  <c r="R624" i="50"/>
  <c r="N1763" i="50"/>
  <c r="F1763" i="50"/>
  <c r="P1763" i="50"/>
  <c r="AF444" i="50"/>
  <c r="BC78" i="49"/>
  <c r="Z703" i="50"/>
  <c r="T703" i="50"/>
  <c r="F2091" i="50"/>
  <c r="P2091" i="50"/>
  <c r="P2806" i="50" s="1"/>
  <c r="P3520" i="50" s="1"/>
  <c r="L2091" i="50"/>
  <c r="T2197" i="50"/>
  <c r="T2911" i="50" s="1"/>
  <c r="H52" i="35"/>
  <c r="V2655" i="50"/>
  <c r="V3369" i="50" s="1"/>
  <c r="AI38" i="49"/>
  <c r="AF162" i="50"/>
  <c r="H1848" i="50"/>
  <c r="L1848" i="50"/>
  <c r="L2563" i="50" s="1"/>
  <c r="L3277" i="50" s="1"/>
  <c r="P1591" i="50"/>
  <c r="P2306" i="50" s="1"/>
  <c r="P3020" i="50" s="1"/>
  <c r="H1591" i="50"/>
  <c r="AX102" i="49"/>
  <c r="X1327" i="50" s="1"/>
  <c r="AF1860" i="50"/>
  <c r="Z1860" i="50" s="1"/>
  <c r="Z2575" i="50" s="1"/>
  <c r="Z3289" i="50" s="1"/>
  <c r="O190" i="49"/>
  <c r="E51" i="35"/>
  <c r="E41" i="35"/>
  <c r="E43" i="35" s="1"/>
  <c r="E22" i="35"/>
  <c r="C805" i="50"/>
  <c r="C2960" i="50"/>
  <c r="C3212" i="50"/>
  <c r="C1057" i="50"/>
  <c r="D1078" i="50"/>
  <c r="D1804" i="50"/>
  <c r="D2519" i="50" s="1"/>
  <c r="D1811" i="50"/>
  <c r="D2526" i="50" s="1"/>
  <c r="D1085" i="50"/>
  <c r="AF1993" i="50"/>
  <c r="O209" i="49"/>
  <c r="H213" i="49"/>
  <c r="BG213" i="49"/>
  <c r="BB213" i="49"/>
  <c r="H205" i="49"/>
  <c r="BU205" i="49" s="1"/>
  <c r="BB205" i="49"/>
  <c r="BB197" i="49"/>
  <c r="H197" i="49"/>
  <c r="BS189" i="49"/>
  <c r="BB189" i="49"/>
  <c r="H189" i="49"/>
  <c r="D42" i="35"/>
  <c r="E50" i="38"/>
  <c r="AN197" i="49"/>
  <c r="J221" i="49"/>
  <c r="L2792" i="50" s="1"/>
  <c r="L3506" i="50" s="1"/>
  <c r="AX83" i="49"/>
  <c r="F1194" i="50" s="1"/>
  <c r="AF472" i="50"/>
  <c r="D50" i="38"/>
  <c r="C1580" i="50"/>
  <c r="C2295" i="50" s="1"/>
  <c r="C854" i="50"/>
  <c r="D3359" i="50"/>
  <c r="D1204" i="50"/>
  <c r="AF1989" i="50"/>
  <c r="AH1989" i="50" s="1"/>
  <c r="AS208" i="49"/>
  <c r="AI141" i="49"/>
  <c r="AD158" i="49"/>
  <c r="R1638" i="50"/>
  <c r="AI1500" i="50"/>
  <c r="AI1531" i="50"/>
  <c r="AI1601" i="50"/>
  <c r="AI1609" i="50"/>
  <c r="P2522" i="50"/>
  <c r="P3236" i="50" s="1"/>
  <c r="AF521" i="50"/>
  <c r="BC89" i="49"/>
  <c r="C3345" i="50"/>
  <c r="C1190" i="50"/>
  <c r="C1916" i="50"/>
  <c r="C2631" i="50" s="1"/>
  <c r="AF1793" i="50"/>
  <c r="AS180" i="49"/>
  <c r="AF1497" i="50"/>
  <c r="Y138" i="49"/>
  <c r="AF1700" i="50"/>
  <c r="Y167" i="49"/>
  <c r="BC143" i="49"/>
  <c r="AF1535" i="50"/>
  <c r="AF1598" i="50"/>
  <c r="BC152" i="49"/>
  <c r="AF2025" i="50"/>
  <c r="BC213" i="49"/>
  <c r="BQ210" i="49"/>
  <c r="BQ217" i="49"/>
  <c r="AI2065" i="50"/>
  <c r="AI2122" i="50"/>
  <c r="AI2142" i="50"/>
  <c r="C3184" i="50"/>
  <c r="C1755" i="50"/>
  <c r="C2470" i="50" s="1"/>
  <c r="C3478" i="50"/>
  <c r="C1323" i="50"/>
  <c r="C3555" i="50"/>
  <c r="C1400" i="50"/>
  <c r="H2179" i="50"/>
  <c r="H2893" i="50" s="1"/>
  <c r="N2422" i="50"/>
  <c r="N3136" i="50" s="1"/>
  <c r="D1832" i="50"/>
  <c r="D2547" i="50" s="1"/>
  <c r="D3261" i="50"/>
  <c r="H186" i="49"/>
  <c r="BB186" i="49"/>
  <c r="BS186" i="49"/>
  <c r="H178" i="49"/>
  <c r="BS178" i="49"/>
  <c r="BS163" i="49"/>
  <c r="BB163" i="49"/>
  <c r="H163" i="49"/>
  <c r="BU163" i="49" s="1"/>
  <c r="H1910" i="50"/>
  <c r="H2625" i="50" s="1"/>
  <c r="H3339" i="50" s="1"/>
  <c r="N1910" i="50"/>
  <c r="K196" i="49"/>
  <c r="BH196" i="49" s="1"/>
  <c r="BP196" i="49" s="1"/>
  <c r="BU196" i="49" s="1"/>
  <c r="BI196" i="49"/>
  <c r="BQ196" i="49" s="1"/>
  <c r="BQ26" i="49"/>
  <c r="AH393" i="50"/>
  <c r="AS215" i="49"/>
  <c r="F21" i="51"/>
  <c r="G21" i="51" s="1"/>
  <c r="H21" i="51" s="1"/>
  <c r="I21" i="51" s="1"/>
  <c r="J21" i="51" s="1"/>
  <c r="K21" i="51" s="1"/>
  <c r="L21" i="51" s="1"/>
  <c r="M21" i="51" s="1"/>
  <c r="N21" i="51" s="1"/>
  <c r="C21" i="51"/>
  <c r="D21" i="51" s="1"/>
  <c r="D29" i="51" s="1"/>
  <c r="AF1960" i="50"/>
  <c r="AI204" i="49"/>
  <c r="AX222" i="49"/>
  <c r="R2088" i="50"/>
  <c r="AF1982" i="50"/>
  <c r="AS207" i="49"/>
  <c r="H201" i="49"/>
  <c r="BU201" i="49" s="1"/>
  <c r="BB201" i="49"/>
  <c r="H193" i="49"/>
  <c r="BU193" i="49" s="1"/>
  <c r="BG193" i="49"/>
  <c r="BB185" i="49"/>
  <c r="H185" i="49"/>
  <c r="BS177" i="49"/>
  <c r="H177" i="49"/>
  <c r="H170" i="49"/>
  <c r="BB170" i="49"/>
  <c r="BG170" i="49"/>
  <c r="BG162" i="49"/>
  <c r="H162" i="49"/>
  <c r="H146" i="49"/>
  <c r="BU146" i="49" s="1"/>
  <c r="BB146" i="49"/>
  <c r="H2856" i="50"/>
  <c r="H3570" i="50" s="1"/>
  <c r="AA28" i="48"/>
  <c r="BH188" i="49"/>
  <c r="J1604" i="50"/>
  <c r="V2799" i="50"/>
  <c r="V3513" i="50" s="1"/>
  <c r="D334" i="50"/>
  <c r="J42" i="35"/>
  <c r="Q119" i="57"/>
  <c r="G110" i="35"/>
  <c r="N104" i="35"/>
  <c r="D1972" i="50"/>
  <c r="D2687" i="50" s="1"/>
  <c r="D1246" i="50"/>
  <c r="BB216" i="49"/>
  <c r="H216" i="49"/>
  <c r="BU216" i="49" s="1"/>
  <c r="BS216" i="49"/>
  <c r="BG216" i="49"/>
  <c r="BB208" i="49"/>
  <c r="BS208" i="49"/>
  <c r="H208" i="49"/>
  <c r="BU208" i="49" s="1"/>
  <c r="BG208" i="49"/>
  <c r="AI2018" i="50"/>
  <c r="AI2053" i="50"/>
  <c r="H1924" i="50"/>
  <c r="N1924" i="50"/>
  <c r="L2583" i="50"/>
  <c r="L3297" i="50" s="1"/>
  <c r="V2639" i="50"/>
  <c r="V3353" i="50" s="1"/>
  <c r="F2751" i="50"/>
  <c r="F3465" i="50" s="1"/>
  <c r="P2807" i="50"/>
  <c r="P3521" i="50" s="1"/>
  <c r="BQ83" i="49"/>
  <c r="AV27" i="32"/>
  <c r="Z2711" i="50"/>
  <c r="Z3425" i="50" s="1"/>
  <c r="AI1512" i="50"/>
  <c r="AI1986" i="50"/>
  <c r="AI2001" i="50"/>
  <c r="BQ25" i="49"/>
  <c r="BH17" i="49"/>
  <c r="BQ75" i="49"/>
  <c r="F119" i="57"/>
  <c r="AS31" i="32"/>
  <c r="AI71" i="50"/>
  <c r="AI206" i="50"/>
  <c r="AI310" i="50"/>
  <c r="AI541" i="50"/>
  <c r="AI636" i="50"/>
  <c r="V2731" i="50"/>
  <c r="V3445" i="50" s="1"/>
  <c r="AB2645" i="50"/>
  <c r="AB3359" i="50" s="1"/>
  <c r="BQ163" i="49"/>
  <c r="AI1507" i="50"/>
  <c r="AI1532" i="50"/>
  <c r="AI1560" i="50"/>
  <c r="AI1588" i="50"/>
  <c r="AI1784" i="50"/>
  <c r="AI1793" i="50"/>
  <c r="AI1827" i="50"/>
  <c r="AI1841" i="50"/>
  <c r="AI1855" i="50"/>
  <c r="AI2004" i="50"/>
  <c r="AI2010" i="50"/>
  <c r="Z2597" i="50"/>
  <c r="Z3311" i="50" s="1"/>
  <c r="V2709" i="50"/>
  <c r="V3423" i="50" s="1"/>
  <c r="AD2765" i="50"/>
  <c r="AD3479" i="50" s="1"/>
  <c r="T2821" i="50"/>
  <c r="T3535" i="50" s="1"/>
  <c r="BQ22" i="49"/>
  <c r="AI318" i="50"/>
  <c r="AQ21" i="61"/>
  <c r="M119" i="57"/>
  <c r="BQ64" i="49"/>
  <c r="V2834" i="50"/>
  <c r="V3548" i="50" s="1"/>
  <c r="AI1461" i="50"/>
  <c r="AI1472" i="50"/>
  <c r="AI1580" i="50"/>
  <c r="H2611" i="50"/>
  <c r="H3325" i="50" s="1"/>
  <c r="L2667" i="50"/>
  <c r="L3381" i="50" s="1"/>
  <c r="H2779" i="50"/>
  <c r="H3493" i="50" s="1"/>
  <c r="N2835" i="50"/>
  <c r="N3549" i="50" s="1"/>
  <c r="BQ20" i="49"/>
  <c r="BQ19" i="49"/>
  <c r="AI314" i="50"/>
  <c r="AD33" i="32"/>
  <c r="V2844" i="50"/>
  <c r="V3558" i="50" s="1"/>
  <c r="BQ180" i="49"/>
  <c r="BQ218" i="49"/>
  <c r="AI1734" i="50"/>
  <c r="BQ16" i="49"/>
  <c r="AD15" i="32"/>
  <c r="I126" i="35"/>
  <c r="AI37" i="50"/>
  <c r="AI136" i="50"/>
  <c r="AI204" i="50"/>
  <c r="AI244" i="50"/>
  <c r="AI259" i="50"/>
  <c r="AI316" i="50"/>
  <c r="AI484" i="50"/>
  <c r="AI548" i="50"/>
  <c r="AI569" i="50"/>
  <c r="AI612" i="50"/>
  <c r="AI617" i="50"/>
  <c r="AI666" i="50"/>
  <c r="BQ160" i="49"/>
  <c r="AI1478" i="50"/>
  <c r="AI1503" i="50"/>
  <c r="AI1539" i="50"/>
  <c r="AI1567" i="50"/>
  <c r="AI1766" i="50"/>
  <c r="AI1800" i="50"/>
  <c r="AI1807" i="50"/>
  <c r="AI1861" i="50"/>
  <c r="AI2031" i="50"/>
  <c r="AI2050" i="50"/>
  <c r="T2569" i="50"/>
  <c r="C14" i="70"/>
  <c r="C25" i="70" s="1"/>
  <c r="AF21" i="61"/>
  <c r="G8" i="70"/>
  <c r="AS22" i="61"/>
  <c r="AW27" i="61"/>
  <c r="AK21" i="61"/>
  <c r="L2304" i="50"/>
  <c r="L3018" i="50" s="1"/>
  <c r="V2193" i="50"/>
  <c r="V2907" i="50" s="1"/>
  <c r="AB2193" i="50"/>
  <c r="AB2907" i="50" s="1"/>
  <c r="N2655" i="50"/>
  <c r="N3369" i="50" s="1"/>
  <c r="T2731" i="50"/>
  <c r="T3445" i="50" s="1"/>
  <c r="V2361" i="50"/>
  <c r="V3075" i="50" s="1"/>
  <c r="Z2655" i="50"/>
  <c r="Z3369" i="50" s="1"/>
  <c r="AD2361" i="50"/>
  <c r="AD3075" i="50" s="1"/>
  <c r="Z2361" i="50"/>
  <c r="Z3075" i="50" s="1"/>
  <c r="L2282" i="50"/>
  <c r="L2996" i="50" s="1"/>
  <c r="N2282" i="50"/>
  <c r="N2996" i="50" s="1"/>
  <c r="AB2438" i="50"/>
  <c r="AB3152" i="50" s="1"/>
  <c r="AD2373" i="50"/>
  <c r="AD3087" i="50" s="1"/>
  <c r="F2276" i="50"/>
  <c r="F2990" i="50" s="1"/>
  <c r="X2799" i="50"/>
  <c r="F2655" i="50"/>
  <c r="F3369" i="50" s="1"/>
  <c r="P2655" i="50"/>
  <c r="P3369" i="50" s="1"/>
  <c r="T2276" i="50"/>
  <c r="T2990" i="50" s="1"/>
  <c r="T2799" i="50"/>
  <c r="T3513" i="50" s="1"/>
  <c r="AB2655" i="50"/>
  <c r="AB3369" i="50" s="1"/>
  <c r="L2261" i="50"/>
  <c r="L2975" i="50" s="1"/>
  <c r="X2655" i="50"/>
  <c r="X3369" i="50" s="1"/>
  <c r="T2226" i="50"/>
  <c r="T2940" i="50" s="1"/>
  <c r="AB2226" i="50"/>
  <c r="AB2940" i="50" s="1"/>
  <c r="H2163" i="50"/>
  <c r="H2877" i="50" s="1"/>
  <c r="V2568" i="50"/>
  <c r="V3282" i="50" s="1"/>
  <c r="P2424" i="50"/>
  <c r="P3138" i="50" s="1"/>
  <c r="F2163" i="50"/>
  <c r="F2877" i="50" s="1"/>
  <c r="T2267" i="50"/>
  <c r="T2981" i="50" s="1"/>
  <c r="AD2304" i="50"/>
  <c r="AD3018" i="50" s="1"/>
  <c r="H2276" i="50"/>
  <c r="H2990" i="50" s="1"/>
  <c r="J2835" i="50"/>
  <c r="J3549" i="50" s="1"/>
  <c r="T2373" i="50"/>
  <c r="T3087" i="50" s="1"/>
  <c r="T2764" i="50"/>
  <c r="T3478" i="50" s="1"/>
  <c r="P2835" i="50"/>
  <c r="P3549" i="50" s="1"/>
  <c r="V2276" i="50"/>
  <c r="V2990" i="50" s="1"/>
  <c r="J2596" i="50"/>
  <c r="J3310" i="50" s="1"/>
  <c r="X2837" i="50"/>
  <c r="X3551" i="50" s="1"/>
  <c r="N2767" i="50"/>
  <c r="N3481" i="50" s="1"/>
  <c r="J2767" i="50"/>
  <c r="J3481" i="50" s="1"/>
  <c r="J2723" i="50"/>
  <c r="J3437" i="50" s="1"/>
  <c r="H2723" i="50"/>
  <c r="H3437" i="50" s="1"/>
  <c r="AB2753" i="50"/>
  <c r="AB3467" i="50" s="1"/>
  <c r="P2829" i="50"/>
  <c r="P3543" i="50" s="1"/>
  <c r="H2835" i="50"/>
  <c r="H3549" i="50" s="1"/>
  <c r="L2611" i="50"/>
  <c r="L3325" i="50" s="1"/>
  <c r="H2695" i="50"/>
  <c r="H3409" i="50" s="1"/>
  <c r="V2172" i="50"/>
  <c r="V2886" i="50" s="1"/>
  <c r="P2837" i="50"/>
  <c r="P3551" i="50" s="1"/>
  <c r="J2829" i="50"/>
  <c r="J3543" i="50" s="1"/>
  <c r="T2543" i="50"/>
  <c r="T3257" i="50" s="1"/>
  <c r="V2464" i="50"/>
  <c r="V3178" i="50" s="1"/>
  <c r="T2680" i="50"/>
  <c r="T3394" i="50" s="1"/>
  <c r="T2837" i="50"/>
  <c r="T3551" i="50" s="1"/>
  <c r="T2667" i="50"/>
  <c r="T3381" i="50" s="1"/>
  <c r="L2837" i="50"/>
  <c r="L3551" i="50" s="1"/>
  <c r="J2667" i="50"/>
  <c r="J3381" i="50" s="1"/>
  <c r="AD2543" i="50"/>
  <c r="Z2543" i="50"/>
  <c r="Z3257" i="50" s="1"/>
  <c r="H2172" i="50"/>
  <c r="H2886" i="50" s="1"/>
  <c r="V2780" i="50"/>
  <c r="V3494" i="50" s="1"/>
  <c r="P2751" i="50"/>
  <c r="P3465" i="50" s="1"/>
  <c r="F2807" i="50"/>
  <c r="F3521" i="50" s="1"/>
  <c r="N2667" i="50"/>
  <c r="N3381" i="50" s="1"/>
  <c r="L2779" i="50"/>
  <c r="L3493" i="50" s="1"/>
  <c r="T2613" i="50"/>
  <c r="T3327" i="50" s="1"/>
  <c r="L2835" i="50"/>
  <c r="L3549" i="50" s="1"/>
  <c r="X2437" i="50"/>
  <c r="X3151" i="50" s="1"/>
  <c r="F2401" i="50"/>
  <c r="F3115" i="50" s="1"/>
  <c r="L2695" i="50"/>
  <c r="L3409" i="50" s="1"/>
  <c r="X2295" i="50"/>
  <c r="X3009" i="50" s="1"/>
  <c r="F2829" i="50"/>
  <c r="F3543" i="50" s="1"/>
  <c r="H2613" i="50"/>
  <c r="H3327" i="50" s="1"/>
  <c r="N2226" i="50"/>
  <c r="N2940" i="50" s="1"/>
  <c r="J2522" i="50"/>
  <c r="J3236" i="50" s="1"/>
  <c r="X2613" i="50"/>
  <c r="X3327" i="50" s="1"/>
  <c r="F2695" i="50"/>
  <c r="F3409" i="50" s="1"/>
  <c r="P2667" i="50"/>
  <c r="P3381" i="50" s="1"/>
  <c r="T2639" i="50"/>
  <c r="T3353" i="50" s="1"/>
  <c r="L2773" i="50"/>
  <c r="L3487" i="50" s="1"/>
  <c r="P2773" i="50"/>
  <c r="P3487" i="50" s="1"/>
  <c r="N2172" i="50"/>
  <c r="N2886" i="50" s="1"/>
  <c r="J2172" i="50"/>
  <c r="J2886" i="50" s="1"/>
  <c r="X2561" i="50"/>
  <c r="X3275" i="50" s="1"/>
  <c r="AD2298" i="50"/>
  <c r="AD3012" i="50" s="1"/>
  <c r="X2190" i="50"/>
  <c r="X2904" i="50" s="1"/>
  <c r="AB2298" i="50"/>
  <c r="AB3012" i="50" s="1"/>
  <c r="P2234" i="50"/>
  <c r="P2948" i="50" s="1"/>
  <c r="V2753" i="50"/>
  <c r="V3467" i="50" s="1"/>
  <c r="Z2480" i="50"/>
  <c r="Z3194" i="50" s="1"/>
  <c r="V2505" i="50"/>
  <c r="V3219" i="50" s="1"/>
  <c r="AB2358" i="50"/>
  <c r="AB3072" i="50" s="1"/>
  <c r="N2512" i="50"/>
  <c r="N3226" i="50" s="1"/>
  <c r="AD2172" i="50"/>
  <c r="Z2172" i="50"/>
  <c r="Z2886" i="50" s="1"/>
  <c r="V2634" i="50"/>
  <c r="V3348" i="50" s="1"/>
  <c r="V2199" i="50"/>
  <c r="V2913" i="50" s="1"/>
  <c r="Z2634" i="50"/>
  <c r="Z3348" i="50" s="1"/>
  <c r="V2821" i="50"/>
  <c r="V3535" i="50" s="1"/>
  <c r="H2773" i="50"/>
  <c r="H3487" i="50" s="1"/>
  <c r="AB2844" i="50"/>
  <c r="AB2164" i="50"/>
  <c r="AB2878" i="50" s="1"/>
  <c r="F2368" i="50"/>
  <c r="F3082" i="50" s="1"/>
  <c r="X2543" i="50"/>
  <c r="X3257" i="50" s="1"/>
  <c r="J2176" i="50"/>
  <c r="J2890" i="50" s="1"/>
  <c r="F2669" i="50"/>
  <c r="F3383" i="50" s="1"/>
  <c r="X2298" i="50"/>
  <c r="X3012" i="50" s="1"/>
  <c r="T2298" i="50"/>
  <c r="T3012" i="50" s="1"/>
  <c r="N2372" i="50"/>
  <c r="N3086" i="50" s="1"/>
  <c r="L2543" i="50"/>
  <c r="L3257" i="50" s="1"/>
  <c r="V2479" i="50"/>
  <c r="V3193" i="50" s="1"/>
  <c r="P2480" i="50"/>
  <c r="P3194" i="50" s="1"/>
  <c r="AB2480" i="50"/>
  <c r="AB3194" i="50" s="1"/>
  <c r="H2505" i="50"/>
  <c r="H3219" i="50" s="1"/>
  <c r="J2480" i="50"/>
  <c r="J3194" i="50" s="1"/>
  <c r="Z2199" i="50"/>
  <c r="Z2913" i="50" s="1"/>
  <c r="AD2226" i="50"/>
  <c r="AD2940" i="50" s="1"/>
  <c r="H2760" i="50"/>
  <c r="H3474" i="50" s="1"/>
  <c r="Z2226" i="50"/>
  <c r="Z2940" i="50" s="1"/>
  <c r="P2760" i="50"/>
  <c r="P3474" i="50" s="1"/>
  <c r="V2561" i="50"/>
  <c r="V3275" i="50" s="1"/>
  <c r="V2543" i="50"/>
  <c r="P2836" i="50"/>
  <c r="P3550" i="50" s="1"/>
  <c r="AB2680" i="50"/>
  <c r="AB3394" i="50" s="1"/>
  <c r="V2403" i="50"/>
  <c r="V3117" i="50" s="1"/>
  <c r="L2480" i="50"/>
  <c r="L3194" i="50" s="1"/>
  <c r="J2844" i="50"/>
  <c r="J3558" i="50" s="1"/>
  <c r="N2241" i="50"/>
  <c r="N2955" i="50" s="1"/>
  <c r="F2424" i="50"/>
  <c r="F3138" i="50" s="1"/>
  <c r="L2275" i="50"/>
  <c r="L2989" i="50" s="1"/>
  <c r="X2767" i="50"/>
  <c r="X3481" i="50" s="1"/>
  <c r="P2267" i="50"/>
  <c r="P2981" i="50" s="1"/>
  <c r="F2267" i="50"/>
  <c r="F2981" i="50" s="1"/>
  <c r="F2423" i="50"/>
  <c r="F3137" i="50" s="1"/>
  <c r="F2526" i="50"/>
  <c r="F3240" i="50" s="1"/>
  <c r="J2267" i="50"/>
  <c r="J2981" i="50" s="1"/>
  <c r="N2423" i="50"/>
  <c r="N3137" i="50" s="1"/>
  <c r="F2767" i="50"/>
  <c r="F3481" i="50" s="1"/>
  <c r="AB2767" i="50"/>
  <c r="AB3481" i="50" s="1"/>
  <c r="AB2424" i="50"/>
  <c r="AB3138" i="50" s="1"/>
  <c r="X2199" i="50"/>
  <c r="X2913" i="50" s="1"/>
  <c r="H2829" i="50"/>
  <c r="H3543" i="50" s="1"/>
  <c r="N2760" i="50"/>
  <c r="N3474" i="50" s="1"/>
  <c r="F2275" i="50"/>
  <c r="F2989" i="50" s="1"/>
  <c r="L2361" i="50"/>
  <c r="L3075" i="50" s="1"/>
  <c r="L2424" i="50"/>
  <c r="L3138" i="50" s="1"/>
  <c r="F2241" i="50"/>
  <c r="F2955" i="50" s="1"/>
  <c r="AB2241" i="50"/>
  <c r="AB2955" i="50" s="1"/>
  <c r="T2241" i="50"/>
  <c r="T2955" i="50" s="1"/>
  <c r="N2367" i="50"/>
  <c r="N3081" i="50" s="1"/>
  <c r="V2164" i="50"/>
  <c r="V2878" i="50" s="1"/>
  <c r="J2759" i="50"/>
  <c r="V2767" i="50"/>
  <c r="V3481" i="50" s="1"/>
  <c r="J2577" i="50"/>
  <c r="J3291" i="50" s="1"/>
  <c r="P2690" i="50"/>
  <c r="P3404" i="50" s="1"/>
  <c r="X2234" i="50"/>
  <c r="X2948" i="50" s="1"/>
  <c r="T2199" i="50"/>
  <c r="N2275" i="50"/>
  <c r="N2989" i="50" s="1"/>
  <c r="Z2661" i="50"/>
  <c r="Z3375" i="50" s="1"/>
  <c r="T2164" i="50"/>
  <c r="T2878" i="50" s="1"/>
  <c r="P2767" i="50"/>
  <c r="P3481" i="50" s="1"/>
  <c r="X2661" i="50"/>
  <c r="X3375" i="50" s="1"/>
  <c r="AD2410" i="50"/>
  <c r="AD3124" i="50" s="1"/>
  <c r="P2745" i="50"/>
  <c r="P3459" i="50" s="1"/>
  <c r="N2522" i="50"/>
  <c r="F2522" i="50"/>
  <c r="F3236" i="50" s="1"/>
  <c r="N2850" i="50"/>
  <c r="N3564" i="50" s="1"/>
  <c r="AD2764" i="50"/>
  <c r="AD3478" i="50" s="1"/>
  <c r="Z2372" i="50"/>
  <c r="Z3086" i="50" s="1"/>
  <c r="P2423" i="50"/>
  <c r="P3137" i="50" s="1"/>
  <c r="L2851" i="50"/>
  <c r="L3565" i="50" s="1"/>
  <c r="H2577" i="50"/>
  <c r="H3291" i="50" s="1"/>
  <c r="H2372" i="50"/>
  <c r="H3086" i="50" s="1"/>
  <c r="H2543" i="50"/>
  <c r="H3257" i="50" s="1"/>
  <c r="N2543" i="50"/>
  <c r="N3257" i="50" s="1"/>
  <c r="AB2312" i="50"/>
  <c r="AB3026" i="50" s="1"/>
  <c r="N2396" i="50"/>
  <c r="N3110" i="50" s="1"/>
  <c r="V2186" i="50"/>
  <c r="V2900" i="50" s="1"/>
  <c r="Z2186" i="50"/>
  <c r="Z2900" i="50" s="1"/>
  <c r="X2186" i="50"/>
  <c r="X2900" i="50" s="1"/>
  <c r="P2743" i="50"/>
  <c r="P3457" i="50" s="1"/>
  <c r="T2478" i="50"/>
  <c r="L2478" i="50"/>
  <c r="L3192" i="50" s="1"/>
  <c r="AB2478" i="50"/>
  <c r="AB3192" i="50" s="1"/>
  <c r="V2478" i="50"/>
  <c r="V2506" i="50"/>
  <c r="V3220" i="50" s="1"/>
  <c r="T2506" i="50"/>
  <c r="T3220" i="50" s="1"/>
  <c r="P2638" i="50"/>
  <c r="P3352" i="50" s="1"/>
  <c r="N2638" i="50"/>
  <c r="N3352" i="50" s="1"/>
  <c r="N2235" i="50"/>
  <c r="N2949" i="50" s="1"/>
  <c r="P2235" i="50"/>
  <c r="P2949" i="50" s="1"/>
  <c r="F2235" i="50"/>
  <c r="F2949" i="50" s="1"/>
  <c r="X2634" i="50"/>
  <c r="X3348" i="50" s="1"/>
  <c r="L2235" i="50"/>
  <c r="L2949" i="50" s="1"/>
  <c r="Z2478" i="50"/>
  <c r="Z3192" i="50" s="1"/>
  <c r="L2186" i="50"/>
  <c r="L2900" i="50" s="1"/>
  <c r="X2506" i="50"/>
  <c r="X3220" i="50" s="1"/>
  <c r="AB2169" i="50"/>
  <c r="AB2883" i="50" s="1"/>
  <c r="L2169" i="50"/>
  <c r="L2883" i="50" s="1"/>
  <c r="P2169" i="50"/>
  <c r="P2883" i="50" s="1"/>
  <c r="F2477" i="50"/>
  <c r="F3191" i="50" s="1"/>
  <c r="Z2613" i="50"/>
  <c r="Z3327" i="50" s="1"/>
  <c r="L2613" i="50"/>
  <c r="L3327" i="50" s="1"/>
  <c r="F2414" i="50"/>
  <c r="F3128" i="50" s="1"/>
  <c r="L2414" i="50"/>
  <c r="L3128" i="50" s="1"/>
  <c r="Z2211" i="50"/>
  <c r="Z2925" i="50" s="1"/>
  <c r="AB2211" i="50"/>
  <c r="AB2925" i="50" s="1"/>
  <c r="N2228" i="50"/>
  <c r="N2942" i="50" s="1"/>
  <c r="F2186" i="50"/>
  <c r="J2186" i="50"/>
  <c r="J2900" i="50" s="1"/>
  <c r="X2568" i="50"/>
  <c r="X3282" i="50" s="1"/>
  <c r="H2169" i="50"/>
  <c r="H2883" i="50" s="1"/>
  <c r="J2169" i="50"/>
  <c r="J2883" i="50" s="1"/>
  <c r="N2169" i="50"/>
  <c r="N2883" i="50" s="1"/>
  <c r="N2414" i="50"/>
  <c r="N3128" i="50" s="1"/>
  <c r="J2613" i="50"/>
  <c r="J3327" i="50" s="1"/>
  <c r="AB2382" i="50"/>
  <c r="AB3096" i="50" s="1"/>
  <c r="T2743" i="50"/>
  <c r="T3457" i="50" s="1"/>
  <c r="AB2743" i="50"/>
  <c r="AB3457" i="50" s="1"/>
  <c r="P2613" i="50"/>
  <c r="P3327" i="50" s="1"/>
  <c r="J2472" i="50"/>
  <c r="J3186" i="50" s="1"/>
  <c r="F2253" i="50"/>
  <c r="F2967" i="50" s="1"/>
  <c r="V2192" i="50"/>
  <c r="V2906" i="50" s="1"/>
  <c r="X2192" i="50"/>
  <c r="X2906" i="50" s="1"/>
  <c r="AD2192" i="50"/>
  <c r="AD2906" i="50" s="1"/>
  <c r="N2192" i="50"/>
  <c r="N2906" i="50" s="1"/>
  <c r="F2631" i="50"/>
  <c r="F3345" i="50" s="1"/>
  <c r="N2493" i="50"/>
  <c r="N3207" i="50" s="1"/>
  <c r="H2493" i="50"/>
  <c r="H3207" i="50" s="1"/>
  <c r="V2493" i="50"/>
  <c r="V3207" i="50" s="1"/>
  <c r="AB2540" i="50"/>
  <c r="AB3254" i="50" s="1"/>
  <c r="J2781" i="50"/>
  <c r="J3495" i="50" s="1"/>
  <c r="AB2634" i="50"/>
  <c r="AB3348" i="50" s="1"/>
  <c r="F2393" i="50"/>
  <c r="F3107" i="50" s="1"/>
  <c r="F2542" i="50"/>
  <c r="F3256" i="50" s="1"/>
  <c r="N2477" i="50"/>
  <c r="N3191" i="50" s="1"/>
  <c r="L2759" i="50"/>
  <c r="L3473" i="50" s="1"/>
  <c r="H2473" i="50"/>
  <c r="H3187" i="50" s="1"/>
  <c r="N2472" i="50"/>
  <c r="N3186" i="50" s="1"/>
  <c r="Z2374" i="50"/>
  <c r="Z3088" i="50" s="1"/>
  <c r="J2235" i="50"/>
  <c r="J2949" i="50" s="1"/>
  <c r="V2211" i="50"/>
  <c r="V2925" i="50" s="1"/>
  <c r="X2478" i="50"/>
  <c r="X3192" i="50" s="1"/>
  <c r="P2396" i="50"/>
  <c r="P3110" i="50" s="1"/>
  <c r="AB2613" i="50"/>
  <c r="AB3327" i="50" s="1"/>
  <c r="P2176" i="50"/>
  <c r="P2890" i="50" s="1"/>
  <c r="F2169" i="50"/>
  <c r="F2634" i="50"/>
  <c r="F3348" i="50" s="1"/>
  <c r="N2303" i="50"/>
  <c r="N3017" i="50" s="1"/>
  <c r="F2228" i="50"/>
  <c r="F2942" i="50" s="1"/>
  <c r="J2338" i="50"/>
  <c r="J3052" i="50" s="1"/>
  <c r="X2620" i="50"/>
  <c r="X3334" i="50" s="1"/>
  <c r="V2680" i="50"/>
  <c r="V3394" i="50" s="1"/>
  <c r="X2680" i="50"/>
  <c r="X3394" i="50" s="1"/>
  <c r="T2410" i="50"/>
  <c r="X2410" i="50"/>
  <c r="X3124" i="50" s="1"/>
  <c r="Z2696" i="50"/>
  <c r="Z3410" i="50" s="1"/>
  <c r="AB2696" i="50"/>
  <c r="AB3410" i="50" s="1"/>
  <c r="F2443" i="50"/>
  <c r="P2443" i="50"/>
  <c r="P3157" i="50" s="1"/>
  <c r="N2443" i="50"/>
  <c r="N3157" i="50" s="1"/>
  <c r="H2851" i="50"/>
  <c r="H3565" i="50" s="1"/>
  <c r="N2851" i="50"/>
  <c r="N3565" i="50" s="1"/>
  <c r="AD2799" i="50"/>
  <c r="AD3513" i="50" s="1"/>
  <c r="X2731" i="50"/>
  <c r="X3445" i="50" s="1"/>
  <c r="AB2506" i="50"/>
  <c r="AB3220" i="50" s="1"/>
  <c r="AD2506" i="50"/>
  <c r="AD3220" i="50" s="1"/>
  <c r="H2211" i="50"/>
  <c r="H2925" i="50" s="1"/>
  <c r="F2680" i="50"/>
  <c r="F3394" i="50" s="1"/>
  <c r="J2190" i="50"/>
  <c r="J2904" i="50" s="1"/>
  <c r="N2781" i="50"/>
  <c r="N3495" i="50" s="1"/>
  <c r="P2186" i="50"/>
  <c r="P2900" i="50" s="1"/>
  <c r="X2743" i="50"/>
  <c r="X3457" i="50" s="1"/>
  <c r="Z2799" i="50"/>
  <c r="AB2799" i="50"/>
  <c r="AB3513" i="50" s="1"/>
  <c r="N2759" i="50"/>
  <c r="N3473" i="50" s="1"/>
  <c r="H2176" i="50"/>
  <c r="Z2506" i="50"/>
  <c r="Z3220" i="50" s="1"/>
  <c r="AD2680" i="50"/>
  <c r="AD3394" i="50" s="1"/>
  <c r="Z2680" i="50"/>
  <c r="Z3394" i="50" s="1"/>
  <c r="H2690" i="50"/>
  <c r="H3404" i="50" s="1"/>
  <c r="N2456" i="50"/>
  <c r="N3170" i="50" s="1"/>
  <c r="T2228" i="50"/>
  <c r="T2942" i="50" s="1"/>
  <c r="J2851" i="50"/>
  <c r="X2851" i="50"/>
  <c r="X3565" i="50" s="1"/>
  <c r="AI6" i="50"/>
  <c r="AI8" i="50"/>
  <c r="AI10" i="50"/>
  <c r="AI23" i="50"/>
  <c r="AI27" i="50"/>
  <c r="AI29" i="50"/>
  <c r="AI31" i="50"/>
  <c r="AI35" i="50"/>
  <c r="AI41" i="50"/>
  <c r="AI43" i="50"/>
  <c r="AI45" i="50"/>
  <c r="AI48" i="50"/>
  <c r="AI50" i="50"/>
  <c r="AI52" i="50"/>
  <c r="AI56" i="50"/>
  <c r="AI58" i="50"/>
  <c r="AI69" i="50"/>
  <c r="AI73" i="50"/>
  <c r="AI84" i="50"/>
  <c r="AI86" i="50"/>
  <c r="AI99" i="50"/>
  <c r="AI101" i="50"/>
  <c r="AI112" i="50"/>
  <c r="AI114" i="50"/>
  <c r="AI125" i="50"/>
  <c r="AI127" i="50"/>
  <c r="AI129" i="50"/>
  <c r="AI140" i="50"/>
  <c r="AI142" i="50"/>
  <c r="AI153" i="50"/>
  <c r="AI155" i="50"/>
  <c r="AI157" i="50"/>
  <c r="AI168" i="50"/>
  <c r="AI170" i="50"/>
  <c r="AI174" i="50"/>
  <c r="AI176" i="50"/>
  <c r="AI178" i="50"/>
  <c r="AI189" i="50"/>
  <c r="D1481" i="50"/>
  <c r="AI202" i="50"/>
  <c r="AI210" i="50"/>
  <c r="AI212" i="50"/>
  <c r="AI216" i="50"/>
  <c r="AI218" i="50"/>
  <c r="AI220" i="50"/>
  <c r="AI231" i="50"/>
  <c r="AI233" i="50"/>
  <c r="AI252" i="50"/>
  <c r="AI254" i="50"/>
  <c r="AI273" i="50"/>
  <c r="AI275" i="50"/>
  <c r="AI294" i="50"/>
  <c r="AI296" i="50"/>
  <c r="AI308" i="50"/>
  <c r="AI322" i="50"/>
  <c r="AI324" i="50"/>
  <c r="AI335" i="50"/>
  <c r="AI337" i="50"/>
  <c r="AI339" i="50"/>
  <c r="AI357" i="50"/>
  <c r="AI359" i="50"/>
  <c r="AI363" i="50"/>
  <c r="AI365" i="50"/>
  <c r="AI367" i="50"/>
  <c r="AI384" i="50"/>
  <c r="AI386" i="50"/>
  <c r="AI388" i="50"/>
  <c r="AI399" i="50"/>
  <c r="AI401" i="50"/>
  <c r="AI412" i="50"/>
  <c r="AI414" i="50"/>
  <c r="AI416" i="50"/>
  <c r="AI420" i="50"/>
  <c r="AI422" i="50"/>
  <c r="AI433" i="50"/>
  <c r="AI435" i="50"/>
  <c r="AI437" i="50"/>
  <c r="AI448" i="50"/>
  <c r="AI450" i="50"/>
  <c r="AI461" i="50"/>
  <c r="AI463" i="50"/>
  <c r="AI465" i="50"/>
  <c r="AI476" i="50"/>
  <c r="AI478" i="50"/>
  <c r="AI482" i="50"/>
  <c r="AI486" i="50"/>
  <c r="AI490" i="50"/>
  <c r="AI492" i="50"/>
  <c r="AI496" i="50"/>
  <c r="AI498" i="50"/>
  <c r="AI500" i="50"/>
  <c r="AI504" i="50"/>
  <c r="AI506" i="50"/>
  <c r="AI510" i="50"/>
  <c r="AI512" i="50"/>
  <c r="AI514" i="50"/>
  <c r="AI525" i="50"/>
  <c r="AI527" i="50"/>
  <c r="AI546" i="50"/>
  <c r="AI559" i="50"/>
  <c r="AI561" i="50"/>
  <c r="AI563" i="50"/>
  <c r="AI574" i="50"/>
  <c r="AI576" i="50"/>
  <c r="AI587" i="50"/>
  <c r="AI589" i="50"/>
  <c r="AI591" i="50"/>
  <c r="AI602" i="50"/>
  <c r="AI604" i="50"/>
  <c r="AI615" i="50"/>
  <c r="AI619" i="50"/>
  <c r="AI630" i="50"/>
  <c r="AI632" i="50"/>
  <c r="AI643" i="50"/>
  <c r="AI645" i="50"/>
  <c r="AI647" i="50"/>
  <c r="AI658" i="50"/>
  <c r="AI660" i="50"/>
  <c r="AI668" i="50"/>
  <c r="AI679" i="50"/>
  <c r="AI681" i="50"/>
  <c r="AI692" i="50"/>
  <c r="AI694" i="50"/>
  <c r="AI696" i="50"/>
  <c r="D2211" i="50"/>
  <c r="D1502" i="50"/>
  <c r="AF1299" i="50"/>
  <c r="R1159" i="50"/>
  <c r="AI680" i="50"/>
  <c r="AI695" i="50"/>
  <c r="AB3566" i="50"/>
  <c r="AF2390" i="50"/>
  <c r="V3496" i="50"/>
  <c r="J3027" i="50"/>
  <c r="X3566" i="50"/>
  <c r="R2705" i="50"/>
  <c r="N3027" i="50"/>
  <c r="P3125" i="50"/>
  <c r="AB3069" i="50"/>
  <c r="J2901" i="50"/>
  <c r="AB3293" i="50"/>
  <c r="V2642" i="50"/>
  <c r="V3356" i="50" s="1"/>
  <c r="X3356" i="50"/>
  <c r="J2257" i="50"/>
  <c r="R2257" i="50" s="1"/>
  <c r="X2249" i="50"/>
  <c r="X2963" i="50" s="1"/>
  <c r="Z2690" i="50"/>
  <c r="Z3404" i="50" s="1"/>
  <c r="V2551" i="50"/>
  <c r="Z1611" i="50"/>
  <c r="Z2326" i="50" s="1"/>
  <c r="Z3040" i="50" s="1"/>
  <c r="T1611" i="50"/>
  <c r="T2326" i="50" s="1"/>
  <c r="AB1611" i="50"/>
  <c r="AB2326" i="50" s="1"/>
  <c r="AB3040" i="50" s="1"/>
  <c r="AH1611" i="50"/>
  <c r="X1611" i="50"/>
  <c r="X2326" i="50" s="1"/>
  <c r="X3040" i="50" s="1"/>
  <c r="AD1611" i="50"/>
  <c r="AD2326" i="50" s="1"/>
  <c r="AD3040" i="50" s="1"/>
  <c r="P2810" i="50"/>
  <c r="X1821" i="50"/>
  <c r="X2536" i="50" s="1"/>
  <c r="X3250" i="50" s="1"/>
  <c r="Z1520" i="50"/>
  <c r="AD1520" i="50"/>
  <c r="T1520" i="50"/>
  <c r="AB1520" i="50"/>
  <c r="AB2235" i="50" s="1"/>
  <c r="AB2949" i="50" s="1"/>
  <c r="X1520" i="50"/>
  <c r="V1520" i="50"/>
  <c r="AN1523" i="50"/>
  <c r="F1523" i="50" s="1"/>
  <c r="AD1997" i="50"/>
  <c r="V1997" i="50"/>
  <c r="X1997" i="50"/>
  <c r="T1997" i="50"/>
  <c r="AB1997" i="50"/>
  <c r="AH1997" i="50"/>
  <c r="T1685" i="50"/>
  <c r="Z1685" i="50"/>
  <c r="AH1685" i="50"/>
  <c r="AD1685" i="50"/>
  <c r="AD2400" i="50" s="1"/>
  <c r="AD3114" i="50" s="1"/>
  <c r="V1685" i="50"/>
  <c r="X1685" i="50"/>
  <c r="X2400" i="50" s="1"/>
  <c r="AB1685" i="50"/>
  <c r="BC95" i="49"/>
  <c r="AF563" i="50"/>
  <c r="BD116" i="49"/>
  <c r="BL95" i="49"/>
  <c r="BP95" i="49" s="1"/>
  <c r="BU95" i="49" s="1"/>
  <c r="H40" i="32"/>
  <c r="D41" i="32"/>
  <c r="AE14" i="32"/>
  <c r="AE6" i="32"/>
  <c r="AF10" i="32"/>
  <c r="AV10" i="32"/>
  <c r="AE5" i="32"/>
  <c r="G9" i="51"/>
  <c r="AL1701" i="50"/>
  <c r="H2971" i="50"/>
  <c r="T430" i="50"/>
  <c r="N2302" i="50"/>
  <c r="N3016" i="50" s="1"/>
  <c r="P1468" i="50"/>
  <c r="H2025" i="50"/>
  <c r="T1890" i="50"/>
  <c r="T2605" i="50" s="1"/>
  <c r="AD1890" i="50"/>
  <c r="AD2605" i="50" s="1"/>
  <c r="AD3319" i="50" s="1"/>
  <c r="N2389" i="50"/>
  <c r="N3103" i="50" s="1"/>
  <c r="Z2260" i="50"/>
  <c r="Z2974" i="50" s="1"/>
  <c r="V1843" i="50"/>
  <c r="Z1843" i="50"/>
  <c r="BP168" i="49"/>
  <c r="BU168" i="49" s="1"/>
  <c r="R1505" i="50"/>
  <c r="AD139" i="49"/>
  <c r="X2220" i="50" s="1"/>
  <c r="X2934" i="50" s="1"/>
  <c r="BH139" i="49"/>
  <c r="BP139" i="49" s="1"/>
  <c r="BU139" i="49" s="1"/>
  <c r="R1905" i="50"/>
  <c r="AX182" i="49"/>
  <c r="P2523" i="50" s="1"/>
  <c r="BH182" i="49"/>
  <c r="BP182" i="49" s="1"/>
  <c r="BH177" i="49"/>
  <c r="BP177" i="49" s="1"/>
  <c r="AX177" i="49"/>
  <c r="Z2488" i="50" s="1"/>
  <c r="R1773" i="50"/>
  <c r="AY231" i="49"/>
  <c r="J170" i="49"/>
  <c r="R1720" i="50"/>
  <c r="BH170" i="49"/>
  <c r="BP170" i="49" s="1"/>
  <c r="BU170" i="49" s="1"/>
  <c r="R1833" i="50"/>
  <c r="T186" i="49"/>
  <c r="AD2341" i="50"/>
  <c r="AD3055" i="50" s="1"/>
  <c r="T2341" i="50"/>
  <c r="AB2341" i="50"/>
  <c r="AB3055" i="50" s="1"/>
  <c r="V2341" i="50"/>
  <c r="V3055" i="50" s="1"/>
  <c r="F2341" i="50"/>
  <c r="F3055" i="50" s="1"/>
  <c r="Z2341" i="50"/>
  <c r="Z3055" i="50" s="1"/>
  <c r="AD138" i="49"/>
  <c r="AD2213" i="50" s="1"/>
  <c r="AD2927" i="50" s="1"/>
  <c r="R1498" i="50"/>
  <c r="BH138" i="49"/>
  <c r="Y161" i="49"/>
  <c r="BL161" i="49"/>
  <c r="BP161" i="49" s="1"/>
  <c r="BU161" i="49" s="1"/>
  <c r="H2000" i="50"/>
  <c r="H2715" i="50" s="1"/>
  <c r="H3429" i="50" s="1"/>
  <c r="J2000" i="50"/>
  <c r="N2000" i="50"/>
  <c r="N2715" i="50" s="1"/>
  <c r="N3429" i="50" s="1"/>
  <c r="P2000" i="50"/>
  <c r="P2715" i="50" s="1"/>
  <c r="P3429" i="50" s="1"/>
  <c r="O199" i="49"/>
  <c r="BL199" i="49"/>
  <c r="BP199" i="49" s="1"/>
  <c r="BU199" i="49" s="1"/>
  <c r="AF1923" i="50"/>
  <c r="AI173" i="49"/>
  <c r="AF1743" i="50"/>
  <c r="AJ231" i="49"/>
  <c r="O154" i="49"/>
  <c r="AF1608" i="50"/>
  <c r="BL154" i="49"/>
  <c r="BP154" i="49" s="1"/>
  <c r="BU154" i="49" s="1"/>
  <c r="J49" i="49"/>
  <c r="BH49" i="49"/>
  <c r="BP49" i="49" s="1"/>
  <c r="BU49" i="49" s="1"/>
  <c r="F1541" i="50"/>
  <c r="F2256" i="50" s="1"/>
  <c r="F2970" i="50" s="1"/>
  <c r="AH1541" i="50"/>
  <c r="N1541" i="50"/>
  <c r="N2256" i="50" s="1"/>
  <c r="N2970" i="50" s="1"/>
  <c r="O41" i="32"/>
  <c r="P41" i="32" s="1"/>
  <c r="AH693" i="50"/>
  <c r="Z1201" i="50"/>
  <c r="X1995" i="50"/>
  <c r="AH1890" i="50"/>
  <c r="Z1890" i="50"/>
  <c r="Z2605" i="50" s="1"/>
  <c r="Z3319" i="50" s="1"/>
  <c r="BC148" i="49"/>
  <c r="BL148" i="49"/>
  <c r="BP148" i="49" s="1"/>
  <c r="BU148" i="49" s="1"/>
  <c r="AF1570" i="50"/>
  <c r="J148" i="49"/>
  <c r="T2281" i="50" s="1"/>
  <c r="T2995" i="50" s="1"/>
  <c r="R1566" i="50"/>
  <c r="BL147" i="49"/>
  <c r="BP147" i="49" s="1"/>
  <c r="BU147" i="49" s="1"/>
  <c r="AF1559" i="50"/>
  <c r="AH2015" i="50"/>
  <c r="Z2015" i="50"/>
  <c r="AD1492" i="50"/>
  <c r="AD2207" i="50" s="1"/>
  <c r="X1492" i="50"/>
  <c r="X2207" i="50" s="1"/>
  <c r="X2921" i="50" s="1"/>
  <c r="AH1603" i="50"/>
  <c r="Z1603" i="50"/>
  <c r="Z2318" i="50" s="1"/>
  <c r="Z3032" i="50" s="1"/>
  <c r="X1603" i="50"/>
  <c r="V1603" i="50"/>
  <c r="V2318" i="50" s="1"/>
  <c r="V3032" i="50" s="1"/>
  <c r="AB1603" i="50"/>
  <c r="AB2318" i="50" s="1"/>
  <c r="AB3032" i="50" s="1"/>
  <c r="Z3440" i="50"/>
  <c r="N2411" i="50"/>
  <c r="N3125" i="50" s="1"/>
  <c r="AB2423" i="50"/>
  <c r="AB3137" i="50" s="1"/>
  <c r="AD2466" i="50"/>
  <c r="AD3180" i="50" s="1"/>
  <c r="J2647" i="50"/>
  <c r="J3361" i="50" s="1"/>
  <c r="X2529" i="50"/>
  <c r="X3243" i="50" s="1"/>
  <c r="V1611" i="50"/>
  <c r="V2326" i="50" s="1"/>
  <c r="V3040" i="50" s="1"/>
  <c r="L2850" i="50"/>
  <c r="L3564" i="50" s="1"/>
  <c r="AB1532" i="50"/>
  <c r="AD1532" i="50"/>
  <c r="AD2247" i="50" s="1"/>
  <c r="AD2961" i="50" s="1"/>
  <c r="T1715" i="50"/>
  <c r="AD1715" i="50"/>
  <c r="V1715" i="50"/>
  <c r="V2430" i="50" s="1"/>
  <c r="V3144" i="50" s="1"/>
  <c r="H1808" i="50"/>
  <c r="F1808" i="50"/>
  <c r="L1808" i="50"/>
  <c r="N1808" i="50"/>
  <c r="L2502" i="50"/>
  <c r="L3216" i="50" s="1"/>
  <c r="AD2502" i="50"/>
  <c r="AD3216" i="50" s="1"/>
  <c r="H2512" i="50"/>
  <c r="H3226" i="50" s="1"/>
  <c r="L2512" i="50"/>
  <c r="L3226" i="50" s="1"/>
  <c r="T1863" i="50"/>
  <c r="T2578" i="50" s="1"/>
  <c r="T3292" i="50" s="1"/>
  <c r="X1863" i="50"/>
  <c r="X2578" i="50" s="1"/>
  <c r="X3292" i="50" s="1"/>
  <c r="V1863" i="50"/>
  <c r="AB1863" i="50"/>
  <c r="AB2578" i="50" s="1"/>
  <c r="AB3292" i="50" s="1"/>
  <c r="AD1863" i="50"/>
  <c r="AD2578" i="50" s="1"/>
  <c r="AD3292" i="50" s="1"/>
  <c r="J1703" i="50"/>
  <c r="L1703" i="50"/>
  <c r="P1703" i="50"/>
  <c r="H1703" i="50"/>
  <c r="F1703" i="50"/>
  <c r="AB2018" i="50"/>
  <c r="V2018" i="50"/>
  <c r="T2018" i="50"/>
  <c r="Z2018" i="50"/>
  <c r="AD2018" i="50"/>
  <c r="AD2733" i="50" s="1"/>
  <c r="AD3447" i="50" s="1"/>
  <c r="X2018" i="50"/>
  <c r="X2733" i="50" s="1"/>
  <c r="V1727" i="50"/>
  <c r="V2442" i="50" s="1"/>
  <c r="V3156" i="50" s="1"/>
  <c r="AB1727" i="50"/>
  <c r="V1588" i="50"/>
  <c r="V2303" i="50" s="1"/>
  <c r="V3017" i="50" s="1"/>
  <c r="AD1588" i="50"/>
  <c r="AD2303" i="50" s="1"/>
  <c r="AD3017" i="50" s="1"/>
  <c r="AB1588" i="50"/>
  <c r="T1588" i="50"/>
  <c r="T2303" i="50" s="1"/>
  <c r="Z1588" i="50"/>
  <c r="Z2303" i="50" s="1"/>
  <c r="Z3017" i="50" s="1"/>
  <c r="X1588" i="50"/>
  <c r="Z1997" i="50"/>
  <c r="D1461" i="50"/>
  <c r="D1466" i="50" s="1"/>
  <c r="D25" i="50"/>
  <c r="D26" i="50"/>
  <c r="C1482" i="50"/>
  <c r="C2197" i="50" s="1"/>
  <c r="C756" i="50"/>
  <c r="C2911" i="50"/>
  <c r="D54" i="50"/>
  <c r="D53" i="50"/>
  <c r="D1489" i="50"/>
  <c r="D1517" i="50"/>
  <c r="D2946" i="50"/>
  <c r="D791" i="50"/>
  <c r="C819" i="50"/>
  <c r="C1545" i="50"/>
  <c r="C2260" i="50" s="1"/>
  <c r="C2974" i="50"/>
  <c r="D826" i="50"/>
  <c r="D1552" i="50"/>
  <c r="D2267" i="50" s="1"/>
  <c r="D2981" i="50"/>
  <c r="D117" i="50"/>
  <c r="C3002" i="50"/>
  <c r="C1573" i="50"/>
  <c r="C2288" i="50" s="1"/>
  <c r="C847" i="50"/>
  <c r="C1601" i="50"/>
  <c r="C2316" i="50" s="1"/>
  <c r="C3030" i="50"/>
  <c r="C875" i="50"/>
  <c r="C882" i="50"/>
  <c r="C1608" i="50"/>
  <c r="C2323" i="50" s="1"/>
  <c r="C3037" i="50"/>
  <c r="C1671" i="50"/>
  <c r="C2386" i="50" s="1"/>
  <c r="C3100" i="50"/>
  <c r="C945" i="50"/>
  <c r="D1678" i="50"/>
  <c r="D2393" i="50" s="1"/>
  <c r="D243" i="50"/>
  <c r="D952" i="50"/>
  <c r="D3107" i="50"/>
  <c r="D1699" i="50"/>
  <c r="D2414" i="50" s="1"/>
  <c r="D3128" i="50"/>
  <c r="R1605" i="50"/>
  <c r="AX153" i="49"/>
  <c r="BH153" i="49"/>
  <c r="BP153" i="49" s="1"/>
  <c r="BU153" i="49" s="1"/>
  <c r="AF1869" i="50"/>
  <c r="AI191" i="49"/>
  <c r="AD221" i="49"/>
  <c r="T2794" i="50" s="1"/>
  <c r="T3508" i="50" s="1"/>
  <c r="R2079" i="50"/>
  <c r="AX230" i="49"/>
  <c r="R2144" i="50"/>
  <c r="T1479" i="50"/>
  <c r="T2194" i="50" s="1"/>
  <c r="Z1479" i="50"/>
  <c r="Z2194" i="50" s="1"/>
  <c r="Z2908" i="50" s="1"/>
  <c r="X1479" i="50"/>
  <c r="X2194" i="50" s="1"/>
  <c r="X2908" i="50" s="1"/>
  <c r="AD1479" i="50"/>
  <c r="AD2194" i="50" s="1"/>
  <c r="AD2908" i="50" s="1"/>
  <c r="AD230" i="49"/>
  <c r="AD2857" i="50" s="1"/>
  <c r="AD3571" i="50" s="1"/>
  <c r="R2142" i="50"/>
  <c r="AN139" i="49"/>
  <c r="R1506" i="50"/>
  <c r="AF1575" i="50"/>
  <c r="AI149" i="49"/>
  <c r="AF1651" i="50"/>
  <c r="Y160" i="49"/>
  <c r="AF1717" i="50"/>
  <c r="BC169" i="49"/>
  <c r="AF1812" i="50"/>
  <c r="Y183" i="49"/>
  <c r="AX20" i="49"/>
  <c r="R38" i="50"/>
  <c r="L38" i="50" s="1"/>
  <c r="L753" i="50" s="1"/>
  <c r="AD20" i="49"/>
  <c r="R36" i="50"/>
  <c r="AH36" i="50" s="1"/>
  <c r="BH20" i="49"/>
  <c r="R34" i="50"/>
  <c r="AH34" i="50" s="1"/>
  <c r="AI19" i="49"/>
  <c r="AF29" i="50"/>
  <c r="AH29" i="50" s="1"/>
  <c r="O19" i="49"/>
  <c r="BL19" i="49"/>
  <c r="AF27" i="50"/>
  <c r="BB120" i="49"/>
  <c r="AI16" i="49"/>
  <c r="AF8" i="50"/>
  <c r="O16" i="49"/>
  <c r="BL16" i="49"/>
  <c r="N3293" i="50"/>
  <c r="Z2164" i="50"/>
  <c r="Z2878" i="50" s="1"/>
  <c r="V2509" i="50"/>
  <c r="P2634" i="50"/>
  <c r="P3348" i="50" s="1"/>
  <c r="H2277" i="50"/>
  <c r="H2991" i="50" s="1"/>
  <c r="V1786" i="50"/>
  <c r="V2501" i="50" s="1"/>
  <c r="V3215" i="50" s="1"/>
  <c r="AB1786" i="50"/>
  <c r="AB2501" i="50" s="1"/>
  <c r="AB3215" i="50" s="1"/>
  <c r="BL169" i="49"/>
  <c r="H1989" i="50"/>
  <c r="H1991" i="50" s="1"/>
  <c r="H1992" i="50" s="1"/>
  <c r="AB1745" i="50"/>
  <c r="AB2460" i="50" s="1"/>
  <c r="AB3174" i="50" s="1"/>
  <c r="V1745" i="50"/>
  <c r="AD1745" i="50"/>
  <c r="AD2460" i="50" s="1"/>
  <c r="AD3174" i="50" s="1"/>
  <c r="X1745" i="50"/>
  <c r="X2460" i="50" s="1"/>
  <c r="X3174" i="50" s="1"/>
  <c r="D82" i="50"/>
  <c r="AF1766" i="50"/>
  <c r="BC176" i="49"/>
  <c r="BH158" i="49"/>
  <c r="R1636" i="50"/>
  <c r="AF2098" i="50"/>
  <c r="O224" i="49"/>
  <c r="O201" i="49"/>
  <c r="AF1937" i="50"/>
  <c r="X1741" i="50"/>
  <c r="L1616" i="50"/>
  <c r="L2331" i="50" s="1"/>
  <c r="L3045" i="50" s="1"/>
  <c r="H1616" i="50"/>
  <c r="J1616" i="50"/>
  <c r="AN211" i="49"/>
  <c r="AD2725" i="50" s="1"/>
  <c r="AD3439" i="50" s="1"/>
  <c r="R2010" i="50"/>
  <c r="AS146" i="49"/>
  <c r="AT231" i="49"/>
  <c r="BL184" i="49"/>
  <c r="BP184" i="49" s="1"/>
  <c r="BU184" i="49" s="1"/>
  <c r="AF1820" i="50"/>
  <c r="L1631" i="50"/>
  <c r="L2346" i="50" s="1"/>
  <c r="L3060" i="50" s="1"/>
  <c r="J1631" i="50"/>
  <c r="J2346" i="50" s="1"/>
  <c r="J3060" i="50" s="1"/>
  <c r="F1631" i="50"/>
  <c r="F2346" i="50" s="1"/>
  <c r="F3060" i="50" s="1"/>
  <c r="Z1811" i="50"/>
  <c r="Z2526" i="50" s="1"/>
  <c r="Z3240" i="50" s="1"/>
  <c r="AH1811" i="50"/>
  <c r="T1811" i="50"/>
  <c r="V1811" i="50"/>
  <c r="V2526" i="50" s="1"/>
  <c r="V3240" i="50" s="1"/>
  <c r="AD1811" i="50"/>
  <c r="AB1811" i="50"/>
  <c r="J1602" i="50"/>
  <c r="H1602" i="50"/>
  <c r="Y223" i="49"/>
  <c r="AF2092" i="50"/>
  <c r="BL223" i="49"/>
  <c r="BP223" i="49" s="1"/>
  <c r="BU223" i="49" s="1"/>
  <c r="H1680" i="50"/>
  <c r="L1680" i="50"/>
  <c r="F1680" i="50"/>
  <c r="P1680" i="50"/>
  <c r="P1683" i="50" s="1"/>
  <c r="P1684" i="50" s="1"/>
  <c r="AD112" i="49"/>
  <c r="R680" i="50"/>
  <c r="J680" i="50" s="1"/>
  <c r="X1594" i="50"/>
  <c r="AB1594" i="50"/>
  <c r="V1594" i="50"/>
  <c r="T1594" i="50"/>
  <c r="AH433" i="50"/>
  <c r="N1787" i="50"/>
  <c r="P1787" i="50"/>
  <c r="F1787" i="50"/>
  <c r="H1787" i="50"/>
  <c r="AH1787" i="50"/>
  <c r="AH1666" i="50"/>
  <c r="V1666" i="50"/>
  <c r="V2381" i="50" s="1"/>
  <c r="V3095" i="50" s="1"/>
  <c r="AD1666" i="50"/>
  <c r="X1666" i="50"/>
  <c r="X1669" i="50" s="1"/>
  <c r="X1670" i="50" s="1"/>
  <c r="Z1666" i="50"/>
  <c r="T1666" i="50"/>
  <c r="T2381" i="50" s="1"/>
  <c r="AB1666" i="50"/>
  <c r="P2070" i="50"/>
  <c r="P2785" i="50" s="1"/>
  <c r="P3499" i="50" s="1"/>
  <c r="J2070" i="50"/>
  <c r="F2070" i="50"/>
  <c r="F2785" i="50" s="1"/>
  <c r="L2070" i="50"/>
  <c r="L2785" i="50" s="1"/>
  <c r="L3499" i="50" s="1"/>
  <c r="H1679" i="50"/>
  <c r="H2394" i="50" s="1"/>
  <c r="H3108" i="50" s="1"/>
  <c r="L1679" i="50"/>
  <c r="L2394" i="50" s="1"/>
  <c r="L3108" i="50" s="1"/>
  <c r="J1679" i="50"/>
  <c r="J1683" i="50" s="1"/>
  <c r="J1684" i="50" s="1"/>
  <c r="V1623" i="50"/>
  <c r="AD1623" i="50"/>
  <c r="T1539" i="50"/>
  <c r="AD1539" i="50"/>
  <c r="AD2254" i="50" s="1"/>
  <c r="AD2968" i="50" s="1"/>
  <c r="X1539" i="50"/>
  <c r="X2254" i="50" s="1"/>
  <c r="X2968" i="50" s="1"/>
  <c r="H1462" i="50"/>
  <c r="F1462" i="50"/>
  <c r="F2177" i="50" s="1"/>
  <c r="AA95" i="48"/>
  <c r="AE95" i="48"/>
  <c r="D264" i="50"/>
  <c r="D973" i="50"/>
  <c r="F2192" i="50"/>
  <c r="F2906" i="50" s="1"/>
  <c r="L2542" i="50"/>
  <c r="L3256" i="50" s="1"/>
  <c r="X3258" i="50"/>
  <c r="N2338" i="50"/>
  <c r="N3052" i="50" s="1"/>
  <c r="N2722" i="50"/>
  <c r="N3436" i="50" s="1"/>
  <c r="F2500" i="50"/>
  <c r="F3214" i="50" s="1"/>
  <c r="BP35" i="49"/>
  <c r="BU35" i="49" s="1"/>
  <c r="J2549" i="50"/>
  <c r="J3263" i="50" s="1"/>
  <c r="BP207" i="49"/>
  <c r="BU207" i="49" s="1"/>
  <c r="V1780" i="50"/>
  <c r="AD1780" i="50"/>
  <c r="AF1729" i="50"/>
  <c r="AF1644" i="50"/>
  <c r="Y159" i="49"/>
  <c r="Z231" i="49"/>
  <c r="BL206" i="49"/>
  <c r="BP206" i="49" s="1"/>
  <c r="BU206" i="49" s="1"/>
  <c r="R1909" i="50"/>
  <c r="AA91" i="48"/>
  <c r="AE85" i="48"/>
  <c r="AA85" i="48"/>
  <c r="T1737" i="50"/>
  <c r="AN1740" i="50"/>
  <c r="F1740" i="50" s="1"/>
  <c r="X1737" i="50"/>
  <c r="Z1737" i="50"/>
  <c r="AX162" i="49"/>
  <c r="BH162" i="49"/>
  <c r="BP162" i="49" s="1"/>
  <c r="BU162" i="49" s="1"/>
  <c r="H1974" i="50"/>
  <c r="N1974" i="50"/>
  <c r="F1974" i="50"/>
  <c r="AH6" i="50"/>
  <c r="J2502" i="50"/>
  <c r="J3216" i="50" s="1"/>
  <c r="T1840" i="50"/>
  <c r="T2555" i="50" s="1"/>
  <c r="T3269" i="50" s="1"/>
  <c r="AD1840" i="50"/>
  <c r="AH1780" i="50"/>
  <c r="N1780" i="50"/>
  <c r="F1780" i="50"/>
  <c r="T1517" i="50"/>
  <c r="T2232" i="50" s="1"/>
  <c r="X1517" i="50"/>
  <c r="X2232" i="50" s="1"/>
  <c r="X2946" i="50" s="1"/>
  <c r="AD105" i="49"/>
  <c r="R631" i="50"/>
  <c r="BH105" i="49"/>
  <c r="BP105" i="49" s="1"/>
  <c r="BU105" i="49" s="1"/>
  <c r="AD31" i="49"/>
  <c r="R113" i="50"/>
  <c r="T73" i="49"/>
  <c r="BH73" i="49"/>
  <c r="BP73" i="49" s="1"/>
  <c r="BU73" i="49" s="1"/>
  <c r="R406" i="50"/>
  <c r="AH406" i="50" s="1"/>
  <c r="T57" i="49"/>
  <c r="BH57" i="49"/>
  <c r="BP57" i="49" s="1"/>
  <c r="BU57" i="49" s="1"/>
  <c r="R294" i="50"/>
  <c r="AH294" i="50" s="1"/>
  <c r="T41" i="49"/>
  <c r="R182" i="50"/>
  <c r="J59" i="49"/>
  <c r="R307" i="50"/>
  <c r="J43" i="49"/>
  <c r="R195" i="50"/>
  <c r="AN64" i="49"/>
  <c r="BH64" i="49"/>
  <c r="BP64" i="49" s="1"/>
  <c r="BU64" i="49" s="1"/>
  <c r="R1983" i="50"/>
  <c r="AX207" i="49"/>
  <c r="T2698" i="50" s="1"/>
  <c r="L2102" i="50"/>
  <c r="N2102" i="50"/>
  <c r="F2102" i="50"/>
  <c r="H2102" i="50"/>
  <c r="P2102" i="50"/>
  <c r="J2102" i="50"/>
  <c r="AF1896" i="50"/>
  <c r="Y195" i="49"/>
  <c r="J1822" i="50"/>
  <c r="P1822" i="50"/>
  <c r="P2537" i="50" s="1"/>
  <c r="P3251" i="50" s="1"/>
  <c r="F2023" i="50"/>
  <c r="F2738" i="50" s="1"/>
  <c r="N2023" i="50"/>
  <c r="F2018" i="50"/>
  <c r="J2018" i="50"/>
  <c r="P2018" i="50"/>
  <c r="L2018" i="50"/>
  <c r="N2018" i="50"/>
  <c r="N2733" i="50" s="1"/>
  <c r="N3447" i="50" s="1"/>
  <c r="H2018" i="50"/>
  <c r="AH2018" i="50"/>
  <c r="AB2133" i="50"/>
  <c r="AB2848" i="50" s="1"/>
  <c r="AB3562" i="50" s="1"/>
  <c r="AD2133" i="50"/>
  <c r="AD2848" i="50" s="1"/>
  <c r="AD3562" i="50" s="1"/>
  <c r="V2133" i="50"/>
  <c r="V2848" i="50" s="1"/>
  <c r="V3562" i="50" s="1"/>
  <c r="Z1744" i="50"/>
  <c r="V1744" i="50"/>
  <c r="V2459" i="50" s="1"/>
  <c r="V3173" i="50" s="1"/>
  <c r="AB1744" i="50"/>
  <c r="AB2459" i="50" s="1"/>
  <c r="AB3173" i="50" s="1"/>
  <c r="AD1744" i="50"/>
  <c r="AD2459" i="50" s="1"/>
  <c r="AD3173" i="50" s="1"/>
  <c r="T1744" i="50"/>
  <c r="T2459" i="50" s="1"/>
  <c r="T3173" i="50" s="1"/>
  <c r="J2795" i="50"/>
  <c r="J3509" i="50" s="1"/>
  <c r="AH528" i="50"/>
  <c r="AB2428" i="50"/>
  <c r="AB3142" i="50" s="1"/>
  <c r="BP217" i="49"/>
  <c r="BU217" i="49" s="1"/>
  <c r="J1997" i="50"/>
  <c r="H1997" i="50"/>
  <c r="P2575" i="50"/>
  <c r="P3289" i="50" s="1"/>
  <c r="AB2271" i="50"/>
  <c r="V1491" i="50"/>
  <c r="V2206" i="50" s="1"/>
  <c r="V2920" i="50" s="1"/>
  <c r="AB1491" i="50"/>
  <c r="AB2206" i="50" s="1"/>
  <c r="AB2920" i="50" s="1"/>
  <c r="T1491" i="50"/>
  <c r="T2624" i="50"/>
  <c r="T3338" i="50" s="1"/>
  <c r="N2032" i="50"/>
  <c r="N2033" i="50" s="1"/>
  <c r="N2034" i="50" s="1"/>
  <c r="J2032" i="50"/>
  <c r="H2032" i="50"/>
  <c r="H2747" i="50" s="1"/>
  <c r="H3461" i="50" s="1"/>
  <c r="F2129" i="50"/>
  <c r="F2131" i="50" s="1"/>
  <c r="F2132" i="50" s="1"/>
  <c r="H2129" i="50"/>
  <c r="N2129" i="50"/>
  <c r="L2129" i="50"/>
  <c r="N1911" i="50"/>
  <c r="P1911" i="50"/>
  <c r="P2626" i="50" s="1"/>
  <c r="P3340" i="50" s="1"/>
  <c r="L1805" i="50"/>
  <c r="N1805" i="50"/>
  <c r="J1715" i="50"/>
  <c r="P1715" i="50"/>
  <c r="P2430" i="50" s="1"/>
  <c r="P3144" i="50" s="1"/>
  <c r="X2078" i="50"/>
  <c r="X2793" i="50" s="1"/>
  <c r="X3507" i="50" s="1"/>
  <c r="AH2078" i="50"/>
  <c r="AB2078" i="50"/>
  <c r="AB2082" i="50" s="1"/>
  <c r="AB2083" i="50" s="1"/>
  <c r="V2078" i="50"/>
  <c r="V2793" i="50" s="1"/>
  <c r="V3507" i="50" s="1"/>
  <c r="H2028" i="50"/>
  <c r="L2028" i="50"/>
  <c r="AX192" i="49"/>
  <c r="R1878" i="50"/>
  <c r="AB1703" i="50"/>
  <c r="T1703" i="50"/>
  <c r="X1703" i="50"/>
  <c r="AB2073" i="50"/>
  <c r="V2073" i="50"/>
  <c r="N1625" i="50"/>
  <c r="N2340" i="50" s="1"/>
  <c r="N3054" i="50" s="1"/>
  <c r="F1625" i="50"/>
  <c r="F2340" i="50" s="1"/>
  <c r="F3054" i="50" s="1"/>
  <c r="AH1625" i="50"/>
  <c r="V2858" i="50"/>
  <c r="V3572" i="50" s="1"/>
  <c r="AB2780" i="50"/>
  <c r="AB3494" i="50" s="1"/>
  <c r="T1792" i="50"/>
  <c r="T2507" i="50" s="1"/>
  <c r="Z1792" i="50"/>
  <c r="Z2507" i="50" s="1"/>
  <c r="Z3221" i="50" s="1"/>
  <c r="V1792" i="50"/>
  <c r="V2507" i="50" s="1"/>
  <c r="V3221" i="50" s="1"/>
  <c r="AD1792" i="50"/>
  <c r="T1777" i="50"/>
  <c r="Z1777" i="50"/>
  <c r="Z2492" i="50" s="1"/>
  <c r="Z3206" i="50" s="1"/>
  <c r="X1777" i="50"/>
  <c r="AB1777" i="50"/>
  <c r="AB2492" i="50" s="1"/>
  <c r="AB3206" i="50" s="1"/>
  <c r="P1722" i="50"/>
  <c r="J1722" i="50"/>
  <c r="J1490" i="50"/>
  <c r="J2205" i="50" s="1"/>
  <c r="J2919" i="50" s="1"/>
  <c r="P1490" i="50"/>
  <c r="H1490" i="50"/>
  <c r="F1490" i="50"/>
  <c r="AF2023" i="50"/>
  <c r="BL213" i="49"/>
  <c r="BP213" i="49" s="1"/>
  <c r="BU213" i="49" s="1"/>
  <c r="AN194" i="49"/>
  <c r="AB2606" i="50" s="1"/>
  <c r="AB3320" i="50" s="1"/>
  <c r="R1891" i="50"/>
  <c r="Y185" i="49"/>
  <c r="AF1826" i="50"/>
  <c r="AD1540" i="50"/>
  <c r="AB1540" i="50"/>
  <c r="AH384" i="50"/>
  <c r="BP115" i="49"/>
  <c r="F1456" i="50"/>
  <c r="F2171" i="50" s="1"/>
  <c r="N1456" i="50"/>
  <c r="N2171" i="50" s="1"/>
  <c r="N2885" i="50" s="1"/>
  <c r="L1456" i="50"/>
  <c r="J2809" i="50"/>
  <c r="J3523" i="50" s="1"/>
  <c r="P2031" i="50"/>
  <c r="P2746" i="50" s="1"/>
  <c r="P3460" i="50" s="1"/>
  <c r="H2031" i="50"/>
  <c r="H2746" i="50" s="1"/>
  <c r="H3460" i="50" s="1"/>
  <c r="L2031" i="50"/>
  <c r="L2746" i="50" s="1"/>
  <c r="L3460" i="50" s="1"/>
  <c r="AH2031" i="50"/>
  <c r="J1532" i="50"/>
  <c r="F1532" i="50"/>
  <c r="F2247" i="50" s="1"/>
  <c r="L1532" i="50"/>
  <c r="L2247" i="50" s="1"/>
  <c r="L2961" i="50" s="1"/>
  <c r="H1923" i="50"/>
  <c r="H2638" i="50" s="1"/>
  <c r="H3352" i="50" s="1"/>
  <c r="F1923" i="50"/>
  <c r="J1923" i="50"/>
  <c r="L1923" i="50"/>
  <c r="BP150" i="49"/>
  <c r="BU150" i="49" s="1"/>
  <c r="F2771" i="50"/>
  <c r="BP144" i="49"/>
  <c r="F2185" i="50"/>
  <c r="F2899" i="50" s="1"/>
  <c r="J3293" i="50"/>
  <c r="BP66" i="49"/>
  <c r="BU66" i="49" s="1"/>
  <c r="F2764" i="50"/>
  <c r="F3478" i="50" s="1"/>
  <c r="P1538" i="50"/>
  <c r="P2253" i="50" s="1"/>
  <c r="H1722" i="50"/>
  <c r="AD2073" i="50"/>
  <c r="AD2788" i="50" s="1"/>
  <c r="AD3502" i="50" s="1"/>
  <c r="Z2078" i="50"/>
  <c r="V1703" i="50"/>
  <c r="AB1792" i="50"/>
  <c r="BL185" i="49"/>
  <c r="BP185" i="49" s="1"/>
  <c r="L1490" i="50"/>
  <c r="L2205" i="50" s="1"/>
  <c r="L2919" i="50" s="1"/>
  <c r="T1447" i="50"/>
  <c r="Z1447" i="50"/>
  <c r="Z1452" i="50" s="1"/>
  <c r="Z1453" i="50" s="1"/>
  <c r="R1729" i="50"/>
  <c r="AD171" i="49"/>
  <c r="V1652" i="50"/>
  <c r="V2367" i="50" s="1"/>
  <c r="V3081" i="50" s="1"/>
  <c r="BC216" i="49"/>
  <c r="AF2046" i="50"/>
  <c r="R1799" i="50"/>
  <c r="F1799" i="50" s="1"/>
  <c r="BH181" i="49"/>
  <c r="P1716" i="50"/>
  <c r="P2431" i="50" s="1"/>
  <c r="P3145" i="50" s="1"/>
  <c r="J1524" i="50"/>
  <c r="L1524" i="50"/>
  <c r="AH1524" i="50"/>
  <c r="AF1799" i="50"/>
  <c r="BL181" i="49"/>
  <c r="AI181" i="49"/>
  <c r="AF1689" i="50"/>
  <c r="BC165" i="49"/>
  <c r="F1527" i="50"/>
  <c r="L1527" i="50"/>
  <c r="L2242" i="50" s="1"/>
  <c r="L2956" i="50" s="1"/>
  <c r="P1527" i="50"/>
  <c r="P2242" i="50" s="1"/>
  <c r="P2956" i="50" s="1"/>
  <c r="BH227" i="49"/>
  <c r="R2123" i="50"/>
  <c r="F2046" i="50"/>
  <c r="J2046" i="50"/>
  <c r="Z1468" i="50"/>
  <c r="AB1468" i="50"/>
  <c r="AB2183" i="50" s="1"/>
  <c r="AB2897" i="50" s="1"/>
  <c r="V1468" i="50"/>
  <c r="V1473" i="50" s="1"/>
  <c r="Z1474" i="50" s="1"/>
  <c r="AH685" i="50"/>
  <c r="AH636" i="50"/>
  <c r="AH413" i="50"/>
  <c r="N2530" i="50"/>
  <c r="N3244" i="50" s="1"/>
  <c r="L1652" i="50"/>
  <c r="L2367" i="50" s="1"/>
  <c r="L3081" i="50" s="1"/>
  <c r="F1652" i="50"/>
  <c r="F2367" i="50" s="1"/>
  <c r="F1486" i="50"/>
  <c r="P1486" i="50"/>
  <c r="AD1720" i="50"/>
  <c r="Z1720" i="50"/>
  <c r="T1720" i="50"/>
  <c r="V1720" i="50"/>
  <c r="F1981" i="50"/>
  <c r="L1981" i="50"/>
  <c r="P1832" i="50"/>
  <c r="P2547" i="50" s="1"/>
  <c r="P3261" i="50" s="1"/>
  <c r="J1832" i="50"/>
  <c r="J2547" i="50" s="1"/>
  <c r="J3261" i="50" s="1"/>
  <c r="T1638" i="50"/>
  <c r="T2353" i="50" s="1"/>
  <c r="T3067" i="50" s="1"/>
  <c r="Z1638" i="50"/>
  <c r="AB1577" i="50"/>
  <c r="AB2292" i="50" s="1"/>
  <c r="AB3006" i="50" s="1"/>
  <c r="Z1577" i="50"/>
  <c r="J1458" i="50"/>
  <c r="N1458" i="50"/>
  <c r="N2173" i="50" s="1"/>
  <c r="N2887" i="50" s="1"/>
  <c r="AB1679" i="50"/>
  <c r="AB2394" i="50" s="1"/>
  <c r="AB3108" i="50" s="1"/>
  <c r="V1679" i="50"/>
  <c r="N1856" i="50"/>
  <c r="H1856" i="50"/>
  <c r="AN98" i="49"/>
  <c r="R583" i="50"/>
  <c r="AD63" i="49"/>
  <c r="R337" i="50"/>
  <c r="AH337" i="50" s="1"/>
  <c r="BH63" i="49"/>
  <c r="AI110" i="49"/>
  <c r="AF666" i="50"/>
  <c r="AD91" i="49"/>
  <c r="BH91" i="49"/>
  <c r="BP91" i="49" s="1"/>
  <c r="BU91" i="49" s="1"/>
  <c r="AI114" i="49"/>
  <c r="AF694" i="50"/>
  <c r="AS53" i="49"/>
  <c r="AT116" i="49"/>
  <c r="AS83" i="49"/>
  <c r="AF478" i="50"/>
  <c r="O49" i="49"/>
  <c r="AF237" i="50"/>
  <c r="Z237" i="50" s="1"/>
  <c r="O42" i="49"/>
  <c r="AF188" i="50"/>
  <c r="J1707" i="50"/>
  <c r="L1707" i="50"/>
  <c r="F1707" i="50"/>
  <c r="H1707" i="50"/>
  <c r="P1707" i="50"/>
  <c r="L2037" i="50"/>
  <c r="L2752" i="50" s="1"/>
  <c r="L3466" i="50" s="1"/>
  <c r="J2037" i="50"/>
  <c r="J2752" i="50" s="1"/>
  <c r="J3466" i="50" s="1"/>
  <c r="P2037" i="50"/>
  <c r="J1626" i="50"/>
  <c r="H1982" i="50"/>
  <c r="H2697" i="50" s="1"/>
  <c r="H3411" i="50" s="1"/>
  <c r="R1792" i="50"/>
  <c r="BC142" i="49"/>
  <c r="T153" i="49"/>
  <c r="P2317" i="50" s="1"/>
  <c r="P3031" i="50" s="1"/>
  <c r="R1582" i="50"/>
  <c r="BP212" i="49"/>
  <c r="BU212" i="49" s="1"/>
  <c r="AH671" i="50"/>
  <c r="AH62" i="50"/>
  <c r="AN82" i="50"/>
  <c r="X1706" i="50"/>
  <c r="X2421" i="50" s="1"/>
  <c r="X3135" i="50" s="1"/>
  <c r="V1706" i="50"/>
  <c r="H2530" i="50"/>
  <c r="T1967" i="50"/>
  <c r="J2171" i="50"/>
  <c r="J2885" i="50" s="1"/>
  <c r="L3020" i="50"/>
  <c r="AB2487" i="50"/>
  <c r="AB3201" i="50" s="1"/>
  <c r="L2655" i="50"/>
  <c r="L3369" i="50" s="1"/>
  <c r="AN49" i="49"/>
  <c r="R240" i="50"/>
  <c r="AD70" i="49"/>
  <c r="R386" i="50"/>
  <c r="AH386" i="50" s="1"/>
  <c r="AN102" i="49"/>
  <c r="R611" i="50"/>
  <c r="AS59" i="49"/>
  <c r="AF310" i="50"/>
  <c r="P2341" i="50"/>
  <c r="P3055" i="50" s="1"/>
  <c r="AB2375" i="50"/>
  <c r="AB3089" i="50" s="1"/>
  <c r="AD2778" i="50"/>
  <c r="AD3492" i="50" s="1"/>
  <c r="Z2445" i="50"/>
  <c r="Z3159" i="50" s="1"/>
  <c r="AH167" i="50"/>
  <c r="AH55" i="50"/>
  <c r="Z2502" i="50"/>
  <c r="AD33" i="49"/>
  <c r="R127" i="50"/>
  <c r="AO131" i="50" s="1"/>
  <c r="BC160" i="49"/>
  <c r="AF1654" i="50"/>
  <c r="O186" i="49"/>
  <c r="BL186" i="49"/>
  <c r="BP186" i="49" s="1"/>
  <c r="AN157" i="49"/>
  <c r="T2347" i="50" s="1"/>
  <c r="T3061" i="50" s="1"/>
  <c r="R1632" i="50"/>
  <c r="AN74" i="49"/>
  <c r="R415" i="50"/>
  <c r="AH415" i="50" s="1"/>
  <c r="AD38" i="49"/>
  <c r="R162" i="50"/>
  <c r="AH162" i="50" s="1"/>
  <c r="AD98" i="49"/>
  <c r="R582" i="50"/>
  <c r="AH582" i="50" s="1"/>
  <c r="AS50" i="49"/>
  <c r="AF247" i="50"/>
  <c r="AS102" i="49"/>
  <c r="AF611" i="50"/>
  <c r="Y99" i="49"/>
  <c r="BL99" i="49"/>
  <c r="BP99" i="49" s="1"/>
  <c r="BU99" i="49" s="1"/>
  <c r="I82" i="32"/>
  <c r="I93" i="32" s="1"/>
  <c r="I94" i="32" s="1"/>
  <c r="V2127" i="50"/>
  <c r="V2842" i="50" s="1"/>
  <c r="V3556" i="50" s="1"/>
  <c r="AD2127" i="50"/>
  <c r="AD2842" i="50" s="1"/>
  <c r="AD3556" i="50" s="1"/>
  <c r="X2127" i="50"/>
  <c r="AB2127" i="50"/>
  <c r="AB2842" i="50" s="1"/>
  <c r="AB3556" i="50" s="1"/>
  <c r="P1890" i="50"/>
  <c r="P2605" i="50" s="1"/>
  <c r="P3319" i="50" s="1"/>
  <c r="J1890" i="50"/>
  <c r="J2605" i="50" s="1"/>
  <c r="J3319" i="50" s="1"/>
  <c r="P2204" i="50"/>
  <c r="P2918" i="50" s="1"/>
  <c r="AB3370" i="50"/>
  <c r="N1624" i="50"/>
  <c r="AN57" i="49"/>
  <c r="R296" i="50"/>
  <c r="R596" i="50"/>
  <c r="AN103" i="49"/>
  <c r="R618" i="50"/>
  <c r="P618" i="50" s="1"/>
  <c r="R338" i="50"/>
  <c r="R450" i="50"/>
  <c r="AH450" i="50" s="1"/>
  <c r="R519" i="50"/>
  <c r="R274" i="50"/>
  <c r="R694" i="50"/>
  <c r="R225" i="50"/>
  <c r="R464" i="50"/>
  <c r="AH464" i="50" s="1"/>
  <c r="R148" i="50"/>
  <c r="R64" i="50"/>
  <c r="T70" i="49"/>
  <c r="BH70" i="49"/>
  <c r="BP70" i="49" s="1"/>
  <c r="BU70" i="49" s="1"/>
  <c r="AF282" i="50"/>
  <c r="AN285" i="50" s="1"/>
  <c r="AS33" i="49"/>
  <c r="AF128" i="50"/>
  <c r="AF681" i="50"/>
  <c r="BL88" i="49"/>
  <c r="AF499" i="50"/>
  <c r="AS91" i="49"/>
  <c r="AF534" i="50"/>
  <c r="AF260" i="50"/>
  <c r="AN264" i="50" s="1"/>
  <c r="AF631" i="50"/>
  <c r="AI37" i="49"/>
  <c r="AF155" i="50"/>
  <c r="O84" i="49"/>
  <c r="BL84" i="49"/>
  <c r="X1527" i="50"/>
  <c r="X2242" i="50" s="1"/>
  <c r="X2956" i="50" s="1"/>
  <c r="AB1527" i="50"/>
  <c r="AB2242" i="50" s="1"/>
  <c r="AB2956" i="50" s="1"/>
  <c r="T1527" i="50"/>
  <c r="T2242" i="50" s="1"/>
  <c r="T2956" i="50" s="1"/>
  <c r="R647" i="50"/>
  <c r="AX85" i="49"/>
  <c r="F1208" i="50" s="1"/>
  <c r="V1953" i="50"/>
  <c r="T1953" i="50"/>
  <c r="T2668" i="50" s="1"/>
  <c r="T3382" i="50" s="1"/>
  <c r="AH1945" i="50"/>
  <c r="T1945" i="50"/>
  <c r="T2660" i="50" s="1"/>
  <c r="T3374" i="50" s="1"/>
  <c r="AD1945" i="50"/>
  <c r="AD2660" i="50" s="1"/>
  <c r="AD3374" i="50" s="1"/>
  <c r="AB1945" i="50"/>
  <c r="AB2660" i="50" s="1"/>
  <c r="AB3374" i="50" s="1"/>
  <c r="AD195" i="49"/>
  <c r="R1897" i="50"/>
  <c r="AX105" i="49"/>
  <c r="R633" i="50"/>
  <c r="P1675" i="50"/>
  <c r="J1675" i="50"/>
  <c r="L1675" i="50"/>
  <c r="P1766" i="50"/>
  <c r="L1766" i="50"/>
  <c r="N1766" i="50"/>
  <c r="F1766" i="50"/>
  <c r="V1660" i="50"/>
  <c r="T1660" i="50"/>
  <c r="AB1934" i="50"/>
  <c r="AD1934" i="50"/>
  <c r="V1934" i="50"/>
  <c r="Z1934" i="50"/>
  <c r="Z2649" i="50" s="1"/>
  <c r="Z3363" i="50" s="1"/>
  <c r="R703" i="50"/>
  <c r="AX115" i="49"/>
  <c r="AN192" i="49"/>
  <c r="R1877" i="50"/>
  <c r="AD199" i="49"/>
  <c r="AB2640" i="50" s="1"/>
  <c r="AB3354" i="50" s="1"/>
  <c r="R1925" i="50"/>
  <c r="AD2677" i="50"/>
  <c r="AD3391" i="50" s="1"/>
  <c r="AN67" i="49"/>
  <c r="R366" i="50"/>
  <c r="AH366" i="50" s="1"/>
  <c r="AN32" i="49"/>
  <c r="R121" i="50"/>
  <c r="AH121" i="50" s="1"/>
  <c r="R520" i="50"/>
  <c r="AH520" i="50" s="1"/>
  <c r="AN35" i="49"/>
  <c r="R142" i="50"/>
  <c r="AH142" i="50" s="1"/>
  <c r="R471" i="50"/>
  <c r="R527" i="50"/>
  <c r="R575" i="50"/>
  <c r="AH575" i="50" s="1"/>
  <c r="R330" i="50"/>
  <c r="AH330" i="50" s="1"/>
  <c r="R106" i="50"/>
  <c r="J38" i="49"/>
  <c r="BH38" i="49"/>
  <c r="BP38" i="49" s="1"/>
  <c r="BU38" i="49" s="1"/>
  <c r="R526" i="50"/>
  <c r="AD79" i="49"/>
  <c r="BH79" i="49"/>
  <c r="BP79" i="49" s="1"/>
  <c r="BU79" i="49" s="1"/>
  <c r="R281" i="50"/>
  <c r="AH281" i="50" s="1"/>
  <c r="R401" i="50"/>
  <c r="AH401" i="50" s="1"/>
  <c r="R541" i="50"/>
  <c r="AD80" i="49"/>
  <c r="R456" i="50"/>
  <c r="P456" i="50" s="1"/>
  <c r="P1171" i="50" s="1"/>
  <c r="R157" i="50"/>
  <c r="AH157" i="50" s="1"/>
  <c r="AX37" i="49"/>
  <c r="AI50" i="49"/>
  <c r="AF246" i="50"/>
  <c r="AB246" i="50" s="1"/>
  <c r="AF296" i="50"/>
  <c r="AF367" i="50"/>
  <c r="V367" i="50" s="1"/>
  <c r="V1082" i="50" s="1"/>
  <c r="BC67" i="49"/>
  <c r="AF255" i="50"/>
  <c r="V255" i="50" s="1"/>
  <c r="V970" i="50" s="1"/>
  <c r="BC51" i="49"/>
  <c r="AF638" i="50"/>
  <c r="AF555" i="50"/>
  <c r="AI91" i="49"/>
  <c r="AF533" i="50"/>
  <c r="AI63" i="49"/>
  <c r="BL63" i="49"/>
  <c r="AI80" i="49"/>
  <c r="AF456" i="50"/>
  <c r="AS84" i="49"/>
  <c r="AF485" i="50"/>
  <c r="AF687" i="50"/>
  <c r="Z687" i="50" s="1"/>
  <c r="Z1402" i="50" s="1"/>
  <c r="AI45" i="49"/>
  <c r="AF211" i="50"/>
  <c r="AH211" i="50" s="1"/>
  <c r="Y100" i="49"/>
  <c r="BL100" i="49"/>
  <c r="BP100" i="49" s="1"/>
  <c r="BU100" i="49" s="1"/>
  <c r="Z1883" i="50"/>
  <c r="T1883" i="50"/>
  <c r="H2093" i="50"/>
  <c r="H2808" i="50" s="1"/>
  <c r="H3522" i="50" s="1"/>
  <c r="AH2093" i="50"/>
  <c r="F2093" i="50"/>
  <c r="F2808" i="50" s="1"/>
  <c r="F1912" i="50"/>
  <c r="F2627" i="50" s="1"/>
  <c r="P1912" i="50"/>
  <c r="P2627" i="50" s="1"/>
  <c r="P3341" i="50" s="1"/>
  <c r="AN225" i="49"/>
  <c r="R2108" i="50"/>
  <c r="J195" i="49"/>
  <c r="R1895" i="50"/>
  <c r="AB1920" i="50"/>
  <c r="AD1920" i="50"/>
  <c r="Z1920" i="50"/>
  <c r="Z2635" i="50" s="1"/>
  <c r="Z3349" i="50" s="1"/>
  <c r="BL191" i="49"/>
  <c r="BP191" i="49" s="1"/>
  <c r="BU191" i="49" s="1"/>
  <c r="AH1962" i="50"/>
  <c r="L1962" i="50"/>
  <c r="N1962" i="50"/>
  <c r="Y196" i="49"/>
  <c r="AF1903" i="50"/>
  <c r="AH2036" i="50"/>
  <c r="R458" i="50"/>
  <c r="AX80" i="49"/>
  <c r="AB1173" i="50" s="1"/>
  <c r="P2493" i="50"/>
  <c r="P3207" i="50" s="1"/>
  <c r="AN40" i="49"/>
  <c r="R177" i="50"/>
  <c r="J53" i="49"/>
  <c r="BH53" i="49"/>
  <c r="BP53" i="49" s="1"/>
  <c r="BU53" i="49" s="1"/>
  <c r="AD88" i="49"/>
  <c r="R512" i="50"/>
  <c r="J75" i="49"/>
  <c r="BH75" i="49"/>
  <c r="BP75" i="49" s="1"/>
  <c r="BU75" i="49" s="1"/>
  <c r="J34" i="49"/>
  <c r="BH34" i="49"/>
  <c r="BP34" i="49" s="1"/>
  <c r="BU34" i="49" s="1"/>
  <c r="J31" i="49"/>
  <c r="BH31" i="49"/>
  <c r="BP31" i="49" s="1"/>
  <c r="BU31" i="49" s="1"/>
  <c r="AI82" i="49"/>
  <c r="AF470" i="50"/>
  <c r="AS66" i="49"/>
  <c r="AF359" i="50"/>
  <c r="AH359" i="50" s="1"/>
  <c r="AI54" i="49"/>
  <c r="AF274" i="50"/>
  <c r="AI99" i="49"/>
  <c r="AF589" i="50"/>
  <c r="V589" i="50" s="1"/>
  <c r="AI31" i="49"/>
  <c r="AF113" i="50"/>
  <c r="AN117" i="50" s="1"/>
  <c r="AI88" i="49"/>
  <c r="AF512" i="50"/>
  <c r="AB512" i="50" s="1"/>
  <c r="AS92" i="49"/>
  <c r="AF541" i="50"/>
  <c r="AI73" i="49"/>
  <c r="AF407" i="50"/>
  <c r="AB407" i="50" s="1"/>
  <c r="J1804" i="50"/>
  <c r="J2519" i="50" s="1"/>
  <c r="J3233" i="50" s="1"/>
  <c r="L1804" i="50"/>
  <c r="L2519" i="50" s="1"/>
  <c r="L3233" i="50" s="1"/>
  <c r="P1804" i="50"/>
  <c r="P2519" i="50" s="1"/>
  <c r="P3233" i="50" s="1"/>
  <c r="AD2003" i="50"/>
  <c r="AD2718" i="50" s="1"/>
  <c r="AD3432" i="50" s="1"/>
  <c r="X2010" i="50"/>
  <c r="Z2010" i="50"/>
  <c r="AD2010" i="50"/>
  <c r="AB2010" i="50"/>
  <c r="T175" i="49"/>
  <c r="R1756" i="50"/>
  <c r="N1554" i="50"/>
  <c r="F1554" i="50"/>
  <c r="F2269" i="50" s="1"/>
  <c r="F2983" i="50" s="1"/>
  <c r="V2025" i="50"/>
  <c r="Z2024" i="50"/>
  <c r="AB2126" i="50"/>
  <c r="AF1624" i="50"/>
  <c r="AI156" i="49"/>
  <c r="AF1681" i="50"/>
  <c r="AS164" i="49"/>
  <c r="AD172" i="49"/>
  <c r="X2451" i="50" s="1"/>
  <c r="X3165" i="50" s="1"/>
  <c r="R1736" i="50"/>
  <c r="BS133" i="49"/>
  <c r="BB133" i="49"/>
  <c r="BG133" i="49"/>
  <c r="F1903" i="50"/>
  <c r="F2618" i="50" s="1"/>
  <c r="F3332" i="50" s="1"/>
  <c r="J1903" i="50"/>
  <c r="H1903" i="50"/>
  <c r="H2618" i="50" s="1"/>
  <c r="H3332" i="50" s="1"/>
  <c r="AB1818" i="50"/>
  <c r="AB2533" i="50" s="1"/>
  <c r="AB3247" i="50" s="1"/>
  <c r="X1818" i="50"/>
  <c r="X2533" i="50" s="1"/>
  <c r="X3247" i="50" s="1"/>
  <c r="Z1497" i="50"/>
  <c r="O5" i="32"/>
  <c r="O23" i="32"/>
  <c r="AJ16" i="32"/>
  <c r="AJ11" i="32"/>
  <c r="AJ10" i="32" s="1"/>
  <c r="L16" i="32"/>
  <c r="L11" i="32"/>
  <c r="C15" i="51"/>
  <c r="E15" i="51"/>
  <c r="F15" i="51" s="1"/>
  <c r="G15" i="51" s="1"/>
  <c r="H15" i="51" s="1"/>
  <c r="I15" i="51" s="1"/>
  <c r="J15" i="51" s="1"/>
  <c r="K15" i="51" s="1"/>
  <c r="L15" i="51" s="1"/>
  <c r="M15" i="51" s="1"/>
  <c r="N15" i="51" s="1"/>
  <c r="C22" i="51"/>
  <c r="E22" i="51"/>
  <c r="F22" i="51" s="1"/>
  <c r="G22" i="51" s="1"/>
  <c r="H22" i="51" s="1"/>
  <c r="I22" i="51" s="1"/>
  <c r="J22" i="51" s="1"/>
  <c r="K22" i="51" s="1"/>
  <c r="L22" i="51" s="1"/>
  <c r="M22" i="51" s="1"/>
  <c r="N22" i="51" s="1"/>
  <c r="BM116" i="49"/>
  <c r="C1636" i="50"/>
  <c r="C2351" i="50" s="1"/>
  <c r="C3065" i="50"/>
  <c r="D3100" i="50"/>
  <c r="D236" i="50"/>
  <c r="AS200" i="49"/>
  <c r="AF1933" i="50"/>
  <c r="AD220" i="49"/>
  <c r="AB2787" i="50" s="1"/>
  <c r="AB3501" i="50" s="1"/>
  <c r="R2072" i="50"/>
  <c r="AF1456" i="50"/>
  <c r="AI132" i="49"/>
  <c r="AD144" i="49"/>
  <c r="T2255" i="50" s="1"/>
  <c r="R1540" i="50"/>
  <c r="AO1544" i="50" s="1"/>
  <c r="AD2844" i="50"/>
  <c r="AD3558" i="50" s="1"/>
  <c r="O139" i="49"/>
  <c r="AF1503" i="50"/>
  <c r="Z2533" i="50"/>
  <c r="Z3247" i="50" s="1"/>
  <c r="AF1877" i="50"/>
  <c r="AS192" i="49"/>
  <c r="BC28" i="49"/>
  <c r="BL28" i="49"/>
  <c r="T28" i="49"/>
  <c r="BH28" i="49"/>
  <c r="Y27" i="49"/>
  <c r="BL27" i="49"/>
  <c r="BH26" i="49"/>
  <c r="O25" i="49"/>
  <c r="BL25" i="49"/>
  <c r="T22" i="49"/>
  <c r="BH22" i="49"/>
  <c r="BH16" i="49"/>
  <c r="P2696" i="50"/>
  <c r="P3410" i="50" s="1"/>
  <c r="X2785" i="50"/>
  <c r="X3499" i="50" s="1"/>
  <c r="J2177" i="50"/>
  <c r="J2891" i="50" s="1"/>
  <c r="D847" i="50"/>
  <c r="C812" i="50"/>
  <c r="P2323" i="50"/>
  <c r="P3037" i="50" s="1"/>
  <c r="R156" i="50"/>
  <c r="R470" i="50"/>
  <c r="R463" i="50"/>
  <c r="R239" i="50"/>
  <c r="AH239" i="50" s="1"/>
  <c r="R485" i="50"/>
  <c r="R387" i="50"/>
  <c r="P387" i="50" s="1"/>
  <c r="P1102" i="50" s="1"/>
  <c r="R688" i="50"/>
  <c r="AH688" i="50" s="1"/>
  <c r="R625" i="50"/>
  <c r="AH625" i="50" s="1"/>
  <c r="R555" i="50"/>
  <c r="R499" i="50"/>
  <c r="R422" i="50"/>
  <c r="J422" i="50" s="1"/>
  <c r="J1137" i="50" s="1"/>
  <c r="R659" i="50"/>
  <c r="R603" i="50"/>
  <c r="R547" i="50"/>
  <c r="AH547" i="50" s="1"/>
  <c r="R491" i="50"/>
  <c r="R414" i="50"/>
  <c r="AH414" i="50" s="1"/>
  <c r="R358" i="50"/>
  <c r="AH358" i="50" s="1"/>
  <c r="R302" i="50"/>
  <c r="R246" i="50"/>
  <c r="J246" i="50" s="1"/>
  <c r="J961" i="50" s="1"/>
  <c r="R190" i="50"/>
  <c r="R134" i="50"/>
  <c r="AH134" i="50" s="1"/>
  <c r="R477" i="50"/>
  <c r="R666" i="50"/>
  <c r="R610" i="50"/>
  <c r="R554" i="50"/>
  <c r="R498" i="50"/>
  <c r="R421" i="50"/>
  <c r="R365" i="50"/>
  <c r="R309" i="50"/>
  <c r="R253" i="50"/>
  <c r="R197" i="50"/>
  <c r="R141" i="50"/>
  <c r="R478" i="50"/>
  <c r="R324" i="50"/>
  <c r="R702" i="50"/>
  <c r="L702" i="50" s="1"/>
  <c r="L1417" i="50" s="1"/>
  <c r="R646" i="50"/>
  <c r="AH646" i="50" s="1"/>
  <c r="R569" i="50"/>
  <c r="AH569" i="50" s="1"/>
  <c r="R513" i="50"/>
  <c r="L513" i="50" s="1"/>
  <c r="L1228" i="50" s="1"/>
  <c r="R436" i="50"/>
  <c r="R701" i="50"/>
  <c r="R176" i="50"/>
  <c r="AF303" i="50"/>
  <c r="AF289" i="50"/>
  <c r="Z289" i="50" s="1"/>
  <c r="Z1004" i="50" s="1"/>
  <c r="AF275" i="50"/>
  <c r="AH275" i="50" s="1"/>
  <c r="AF254" i="50"/>
  <c r="AF240" i="50"/>
  <c r="AF674" i="50"/>
  <c r="AF436" i="50"/>
  <c r="AF526" i="50"/>
  <c r="AF660" i="50"/>
  <c r="AF618" i="50"/>
  <c r="AF583" i="50"/>
  <c r="AF527" i="50"/>
  <c r="AF471" i="50"/>
  <c r="AF365" i="50"/>
  <c r="AF309" i="50"/>
  <c r="AF288" i="50"/>
  <c r="AF232" i="50"/>
  <c r="AN236" i="50" s="1"/>
  <c r="AF659" i="50"/>
  <c r="AF603" i="50"/>
  <c r="R492" i="50"/>
  <c r="AH492" i="50" s="1"/>
  <c r="R303" i="50"/>
  <c r="AH303" i="50" s="1"/>
  <c r="R1818" i="50"/>
  <c r="Z2262" i="50"/>
  <c r="Z2976" i="50" s="1"/>
  <c r="N50" i="38"/>
  <c r="AF2114" i="50"/>
  <c r="AX112" i="49"/>
  <c r="P1397" i="50" s="1"/>
  <c r="R2084" i="50"/>
  <c r="L2081" i="50"/>
  <c r="L2796" i="50" s="1"/>
  <c r="L3510" i="50" s="1"/>
  <c r="AD1818" i="50"/>
  <c r="AD2533" i="50" s="1"/>
  <c r="AD3247" i="50" s="1"/>
  <c r="T1779" i="50"/>
  <c r="Z2562" i="50"/>
  <c r="Z3276" i="50" s="1"/>
  <c r="Y227" i="49"/>
  <c r="AF2120" i="50"/>
  <c r="AX76" i="49"/>
  <c r="R430" i="50"/>
  <c r="R675" i="50"/>
  <c r="C1993" i="50"/>
  <c r="C2708" i="50" s="1"/>
  <c r="D2077" i="50"/>
  <c r="D2792" i="50" s="1"/>
  <c r="D2021" i="50"/>
  <c r="D2736" i="50" s="1"/>
  <c r="N122" i="35"/>
  <c r="H90" i="35"/>
  <c r="H123" i="35" s="1"/>
  <c r="I54" i="38" s="1"/>
  <c r="G90" i="35"/>
  <c r="G123" i="35" s="1"/>
  <c r="I14" i="38"/>
  <c r="I50" i="38" s="1"/>
  <c r="T101" i="57"/>
  <c r="R93" i="57"/>
  <c r="M13" i="38"/>
  <c r="M50" i="38" s="1"/>
  <c r="M14" i="38"/>
  <c r="C54" i="38"/>
  <c r="D126" i="35"/>
  <c r="D987" i="50"/>
  <c r="D3142" i="50"/>
  <c r="C3254" i="50"/>
  <c r="C1825" i="50"/>
  <c r="C2540" i="50" s="1"/>
  <c r="C1930" i="50"/>
  <c r="C2645" i="50" s="1"/>
  <c r="C3359" i="50"/>
  <c r="D1253" i="50"/>
  <c r="D1979" i="50"/>
  <c r="D2694" i="50" s="1"/>
  <c r="C2014" i="50"/>
  <c r="C2729" i="50" s="1"/>
  <c r="C1288" i="50"/>
  <c r="C3443" i="50"/>
  <c r="D2028" i="50"/>
  <c r="D2743" i="50" s="1"/>
  <c r="C1344" i="50"/>
  <c r="C2070" i="50"/>
  <c r="C2785" i="50" s="1"/>
  <c r="P1447" i="50"/>
  <c r="N1447" i="50"/>
  <c r="N1811" i="50"/>
  <c r="L1811" i="50"/>
  <c r="L2526" i="50" s="1"/>
  <c r="L3240" i="50" s="1"/>
  <c r="AF1567" i="50"/>
  <c r="Y148" i="49"/>
  <c r="AH1681" i="50"/>
  <c r="AF1476" i="50"/>
  <c r="AN1481" i="50" s="1"/>
  <c r="F1481" i="50" s="1"/>
  <c r="Y135" i="49"/>
  <c r="AN149" i="49"/>
  <c r="R1576" i="50"/>
  <c r="J152" i="49"/>
  <c r="R1594" i="50"/>
  <c r="R2017" i="50"/>
  <c r="AN212" i="49"/>
  <c r="F2750" i="50"/>
  <c r="F3464" i="50" s="1"/>
  <c r="P2381" i="50"/>
  <c r="P3095" i="50" s="1"/>
  <c r="T1818" i="50"/>
  <c r="T2533" i="50" s="1"/>
  <c r="AF2064" i="50"/>
  <c r="Y219" i="49"/>
  <c r="AD1625" i="50"/>
  <c r="AD2340" i="50" s="1"/>
  <c r="AD3054" i="50" s="1"/>
  <c r="X1625" i="50"/>
  <c r="X2340" i="50" s="1"/>
  <c r="X3054" i="50" s="1"/>
  <c r="L1702" i="50"/>
  <c r="P1702" i="50"/>
  <c r="G5" i="32"/>
  <c r="R119" i="57"/>
  <c r="T107" i="57"/>
  <c r="S105" i="57"/>
  <c r="K13" i="38"/>
  <c r="K50" i="38" s="1"/>
  <c r="K14" i="38"/>
  <c r="H93" i="35"/>
  <c r="H120" i="35"/>
  <c r="F38" i="35"/>
  <c r="F58" i="35"/>
  <c r="F68" i="35"/>
  <c r="H109" i="35"/>
  <c r="H125" i="35" s="1"/>
  <c r="H83" i="35"/>
  <c r="D88" i="32" s="1"/>
  <c r="C53" i="38"/>
  <c r="N124" i="35"/>
  <c r="C1120" i="50"/>
  <c r="C1846" i="50"/>
  <c r="C2561" i="50" s="1"/>
  <c r="C1853" i="50"/>
  <c r="C2568" i="50" s="1"/>
  <c r="C3282" i="50"/>
  <c r="C1895" i="50"/>
  <c r="C2610" i="50" s="1"/>
  <c r="C1169" i="50"/>
  <c r="C3324" i="50"/>
  <c r="D467" i="50"/>
  <c r="D3331" i="50"/>
  <c r="D1176" i="50"/>
  <c r="C3562" i="50"/>
  <c r="C1407" i="50"/>
  <c r="L2484" i="50"/>
  <c r="L3198" i="50" s="1"/>
  <c r="AF2057" i="50"/>
  <c r="Y218" i="49"/>
  <c r="AN181" i="49"/>
  <c r="R1800" i="50"/>
  <c r="AF1716" i="50"/>
  <c r="AS169" i="49"/>
  <c r="D418" i="50"/>
  <c r="D3282" i="50"/>
  <c r="AV14" i="32"/>
  <c r="V2200" i="50"/>
  <c r="V2914" i="50" s="1"/>
  <c r="J31" i="35"/>
  <c r="J92" i="32"/>
  <c r="AR21" i="61"/>
  <c r="AS21" i="61" s="1"/>
  <c r="T99" i="57"/>
  <c r="G14" i="38"/>
  <c r="G50" i="38" s="1"/>
  <c r="C14" i="38"/>
  <c r="C13" i="38"/>
  <c r="M61" i="35"/>
  <c r="M31" i="35"/>
  <c r="J51" i="35"/>
  <c r="D65" i="32"/>
  <c r="AS27" i="32"/>
  <c r="AF1748" i="50"/>
  <c r="O174" i="49"/>
  <c r="AD2834" i="50"/>
  <c r="AD3548" i="50" s="1"/>
  <c r="AB2731" i="50"/>
  <c r="AB3445" i="50" s="1"/>
  <c r="AI1598" i="50"/>
  <c r="J2092" i="50"/>
  <c r="H2092" i="50"/>
  <c r="N2092" i="50"/>
  <c r="Y26" i="49"/>
  <c r="BL26" i="49"/>
  <c r="J25" i="49"/>
  <c r="K250" i="49" s="1"/>
  <c r="BH25" i="49"/>
  <c r="BQ23" i="49"/>
  <c r="O23" i="49"/>
  <c r="BL23" i="49"/>
  <c r="G119" i="57"/>
  <c r="D1468" i="50"/>
  <c r="D1474" i="50" s="1"/>
  <c r="D32" i="50"/>
  <c r="BC189" i="49"/>
  <c r="AF1857" i="50"/>
  <c r="AD2345" i="50"/>
  <c r="AD3059" i="50" s="1"/>
  <c r="BQ142" i="49"/>
  <c r="P1917" i="50"/>
  <c r="H1917" i="50"/>
  <c r="H2632" i="50" s="1"/>
  <c r="H3346" i="50" s="1"/>
  <c r="S72" i="48"/>
  <c r="BQ109" i="49"/>
  <c r="S114" i="57"/>
  <c r="L119" i="57"/>
  <c r="AV40" i="32"/>
  <c r="D2883" i="50"/>
  <c r="D18" i="50"/>
  <c r="D1482" i="50"/>
  <c r="D2197" i="50" s="1"/>
  <c r="D46" i="50"/>
  <c r="R1637" i="50"/>
  <c r="X2711" i="50"/>
  <c r="X3425" i="50" s="1"/>
  <c r="AD2333" i="50"/>
  <c r="AD3047" i="50" s="1"/>
  <c r="AB2429" i="50"/>
  <c r="AB3143" i="50" s="1"/>
  <c r="L2288" i="50"/>
  <c r="L3002" i="50" s="1"/>
  <c r="N2332" i="50"/>
  <c r="N3046" i="50" s="1"/>
  <c r="BQ139" i="49"/>
  <c r="BQ191" i="49"/>
  <c r="BQ211" i="49"/>
  <c r="AI1629" i="50"/>
  <c r="AI1657" i="50"/>
  <c r="AI1661" i="50"/>
  <c r="AI1675" i="50"/>
  <c r="F2674" i="50"/>
  <c r="F3388" i="50" s="1"/>
  <c r="AB2758" i="50"/>
  <c r="AB3472" i="50" s="1"/>
  <c r="BQ28" i="49"/>
  <c r="Y18" i="49"/>
  <c r="BL18" i="49"/>
  <c r="Y17" i="49"/>
  <c r="BL17" i="49"/>
  <c r="BP17" i="49" s="1"/>
  <c r="BU17" i="49" s="1"/>
  <c r="AI21" i="61"/>
  <c r="T103" i="57"/>
  <c r="D1447" i="50"/>
  <c r="D1453" i="50" s="1"/>
  <c r="D11" i="50"/>
  <c r="D2904" i="50"/>
  <c r="D39" i="50"/>
  <c r="P2645" i="50"/>
  <c r="P3359" i="50" s="1"/>
  <c r="AI1692" i="50"/>
  <c r="AI1713" i="50"/>
  <c r="AI1717" i="50"/>
  <c r="AI1735" i="50"/>
  <c r="AI1744" i="50"/>
  <c r="AI1764" i="50"/>
  <c r="AI1874" i="50"/>
  <c r="AI1892" i="50"/>
  <c r="AI1899" i="50"/>
  <c r="AI1902" i="50"/>
  <c r="AI1913" i="50"/>
  <c r="AI1917" i="50"/>
  <c r="AI2129" i="50"/>
  <c r="AD2597" i="50"/>
  <c r="AD3311" i="50" s="1"/>
  <c r="F2681" i="50"/>
  <c r="F3395" i="50" s="1"/>
  <c r="T2709" i="50"/>
  <c r="T3423" i="50" s="1"/>
  <c r="T2737" i="50"/>
  <c r="T3451" i="50" s="1"/>
  <c r="P2793" i="50"/>
  <c r="P3507" i="50" s="1"/>
  <c r="J2821" i="50"/>
  <c r="J3535" i="50" s="1"/>
  <c r="Y22" i="49"/>
  <c r="BL22" i="49"/>
  <c r="O20" i="49"/>
  <c r="BL20" i="49"/>
  <c r="BQ173" i="49"/>
  <c r="BQ158" i="49"/>
  <c r="BQ193" i="49"/>
  <c r="BQ205" i="49"/>
  <c r="BQ216" i="49"/>
  <c r="BQ224" i="49"/>
  <c r="BQ229" i="49"/>
  <c r="AI1510" i="50"/>
  <c r="AI1521" i="50"/>
  <c r="AI1938" i="50"/>
  <c r="AI2077" i="50"/>
  <c r="AI2135" i="50"/>
  <c r="T2576" i="50"/>
  <c r="T3290" i="50" s="1"/>
  <c r="H2688" i="50"/>
  <c r="H3402" i="50" s="1"/>
  <c r="J2772" i="50"/>
  <c r="J3486" i="50" s="1"/>
  <c r="BQ27" i="49"/>
  <c r="BQ162" i="49"/>
  <c r="BQ141" i="49"/>
  <c r="BQ147" i="49"/>
  <c r="BQ151" i="49"/>
  <c r="BQ155" i="49"/>
  <c r="BQ186" i="49"/>
  <c r="BQ225" i="49"/>
  <c r="AI1450" i="50"/>
  <c r="AI1457" i="50"/>
  <c r="AI1475" i="50"/>
  <c r="AI1479" i="50"/>
  <c r="AI1486" i="50"/>
  <c r="AI1552" i="50"/>
  <c r="AI1556" i="50"/>
  <c r="AI1559" i="50"/>
  <c r="AI1573" i="50"/>
  <c r="AI1584" i="50"/>
  <c r="AI1595" i="50"/>
  <c r="AI1633" i="50"/>
  <c r="AI1640" i="50"/>
  <c r="AI1658" i="50"/>
  <c r="AI1672" i="50"/>
  <c r="AI1696" i="50"/>
  <c r="AI1699" i="50"/>
  <c r="AI1710" i="50"/>
  <c r="AI1714" i="50"/>
  <c r="AI1728" i="50"/>
  <c r="AI1794" i="50"/>
  <c r="AI1885" i="50"/>
  <c r="AI1888" i="50"/>
  <c r="AI1896" i="50"/>
  <c r="AI1969" i="50"/>
  <c r="AI1975" i="50"/>
  <c r="AI1982" i="50"/>
  <c r="AI1987" i="50"/>
  <c r="AI1996" i="50"/>
  <c r="AI2023" i="50"/>
  <c r="AI2058" i="50"/>
  <c r="AI2088" i="50"/>
  <c r="AI2140" i="50"/>
  <c r="AI2144" i="50"/>
  <c r="H2583" i="50"/>
  <c r="H3297" i="50" s="1"/>
  <c r="F2639" i="50"/>
  <c r="F3353" i="50" s="1"/>
  <c r="H2667" i="50"/>
  <c r="H3381" i="50" s="1"/>
  <c r="L2751" i="50"/>
  <c r="L3465" i="50" s="1"/>
  <c r="P2779" i="50"/>
  <c r="P3493" i="50" s="1"/>
  <c r="BH27" i="49"/>
  <c r="AO54" i="50"/>
  <c r="H2449" i="50"/>
  <c r="H3163" i="50" s="1"/>
  <c r="L2449" i="50"/>
  <c r="L3163" i="50" s="1"/>
  <c r="P2449" i="50"/>
  <c r="P3163" i="50" s="1"/>
  <c r="F2193" i="50"/>
  <c r="H2193" i="50"/>
  <c r="H2907" i="50" s="1"/>
  <c r="X2193" i="50"/>
  <c r="X2907" i="50" s="1"/>
  <c r="P2193" i="50"/>
  <c r="P2907" i="50" s="1"/>
  <c r="Z2193" i="50"/>
  <c r="Z2907" i="50" s="1"/>
  <c r="F2249" i="50"/>
  <c r="F2963" i="50" s="1"/>
  <c r="F2648" i="50"/>
  <c r="F3362" i="50" s="1"/>
  <c r="L2529" i="50"/>
  <c r="L3243" i="50" s="1"/>
  <c r="L2296" i="50"/>
  <c r="L3010" i="50" s="1"/>
  <c r="AB2554" i="50"/>
  <c r="AB3268" i="50" s="1"/>
  <c r="L2647" i="50"/>
  <c r="L3361" i="50" s="1"/>
  <c r="X2696" i="50"/>
  <c r="X3410" i="50" s="1"/>
  <c r="J2529" i="50"/>
  <c r="J3243" i="50" s="1"/>
  <c r="P2500" i="50"/>
  <c r="P3214" i="50" s="1"/>
  <c r="L2500" i="50"/>
  <c r="L3214" i="50" s="1"/>
  <c r="AD2193" i="50"/>
  <c r="AD2907" i="50" s="1"/>
  <c r="Z2554" i="50"/>
  <c r="Z3268" i="50" s="1"/>
  <c r="AD2554" i="50"/>
  <c r="AD3268" i="50" s="1"/>
  <c r="T2500" i="50"/>
  <c r="T3214" i="50" s="1"/>
  <c r="AB2837" i="50"/>
  <c r="AB3551" i="50" s="1"/>
  <c r="AD2837" i="50"/>
  <c r="AD3551" i="50" s="1"/>
  <c r="Z2837" i="50"/>
  <c r="Z3551" i="50" s="1"/>
  <c r="AB2526" i="50"/>
  <c r="AB3240" i="50" s="1"/>
  <c r="P2526" i="50"/>
  <c r="P3240" i="50" s="1"/>
  <c r="X2526" i="50"/>
  <c r="X3240" i="50" s="1"/>
  <c r="T2331" i="50"/>
  <c r="T3045" i="50" s="1"/>
  <c r="AD2183" i="50"/>
  <c r="AD2897" i="50" s="1"/>
  <c r="L2241" i="50"/>
  <c r="L2955" i="50" s="1"/>
  <c r="V2241" i="50"/>
  <c r="V2955" i="50" s="1"/>
  <c r="P2438" i="50"/>
  <c r="P3152" i="50" s="1"/>
  <c r="X2459" i="50"/>
  <c r="X3173" i="50" s="1"/>
  <c r="L2550" i="50"/>
  <c r="L3264" i="50" s="1"/>
  <c r="AB2479" i="50"/>
  <c r="Z2479" i="50"/>
  <c r="Z3193" i="50" s="1"/>
  <c r="AD2479" i="50"/>
  <c r="AD3193" i="50" s="1"/>
  <c r="J2498" i="50"/>
  <c r="J3212" i="50" s="1"/>
  <c r="T2498" i="50"/>
  <c r="T3212" i="50" s="1"/>
  <c r="F2226" i="50"/>
  <c r="F2940" i="50" s="1"/>
  <c r="L2802" i="50"/>
  <c r="L3516" i="50" s="1"/>
  <c r="AD2802" i="50"/>
  <c r="AD3516" i="50" s="1"/>
  <c r="V2269" i="50"/>
  <c r="V2983" i="50" s="1"/>
  <c r="T2269" i="50"/>
  <c r="N2746" i="50"/>
  <c r="N3460" i="50" s="1"/>
  <c r="P2436" i="50"/>
  <c r="P3150" i="50" s="1"/>
  <c r="X2436" i="50"/>
  <c r="V2513" i="50"/>
  <c r="V3227" i="50" s="1"/>
  <c r="H2513" i="50"/>
  <c r="H3227" i="50" s="1"/>
  <c r="T2513" i="50"/>
  <c r="T3227" i="50" s="1"/>
  <c r="T2710" i="50"/>
  <c r="T3424" i="50" s="1"/>
  <c r="X2710" i="50"/>
  <c r="X3424" i="50" s="1"/>
  <c r="L2683" i="50"/>
  <c r="L3397" i="50" s="1"/>
  <c r="H2683" i="50"/>
  <c r="H3397" i="50" s="1"/>
  <c r="F2683" i="50"/>
  <c r="F3397" i="50" s="1"/>
  <c r="AB2710" i="50"/>
  <c r="AB3424" i="50" s="1"/>
  <c r="P2647" i="50"/>
  <c r="P3361" i="50" s="1"/>
  <c r="F2647" i="50"/>
  <c r="F3361" i="50" s="1"/>
  <c r="L2260" i="50"/>
  <c r="L2974" i="50" s="1"/>
  <c r="AD2696" i="50"/>
  <c r="AD3410" i="50" s="1"/>
  <c r="N2648" i="50"/>
  <c r="N3362" i="50" s="1"/>
  <c r="H2529" i="50"/>
  <c r="H3243" i="50" s="1"/>
  <c r="N2813" i="50"/>
  <c r="N3527" i="50" s="1"/>
  <c r="P2529" i="50"/>
  <c r="P3243" i="50" s="1"/>
  <c r="T2177" i="50"/>
  <c r="T2891" i="50" s="1"/>
  <c r="Z2177" i="50"/>
  <c r="Z2891" i="50" s="1"/>
  <c r="X2624" i="50"/>
  <c r="X3338" i="50" s="1"/>
  <c r="V2785" i="50"/>
  <c r="V3499" i="50" s="1"/>
  <c r="AD2177" i="50"/>
  <c r="AD2891" i="50" s="1"/>
  <c r="Z2284" i="50"/>
  <c r="Z2998" i="50" s="1"/>
  <c r="X2284" i="50"/>
  <c r="X2998" i="50" s="1"/>
  <c r="P2284" i="50"/>
  <c r="P2998" i="50" s="1"/>
  <c r="N2284" i="50"/>
  <c r="N2998" i="50" s="1"/>
  <c r="J2372" i="50"/>
  <c r="J3086" i="50" s="1"/>
  <c r="X2303" i="50"/>
  <c r="X3017" i="50" s="1"/>
  <c r="F2304" i="50"/>
  <c r="AB2304" i="50"/>
  <c r="AB3018" i="50" s="1"/>
  <c r="AD2276" i="50"/>
  <c r="AD2990" i="50" s="1"/>
  <c r="T2176" i="50"/>
  <c r="V2176" i="50"/>
  <c r="V2890" i="50" s="1"/>
  <c r="AB2176" i="50"/>
  <c r="AB2890" i="50" s="1"/>
  <c r="Z2176" i="50"/>
  <c r="Z2890" i="50" s="1"/>
  <c r="L2176" i="50"/>
  <c r="L2890" i="50" s="1"/>
  <c r="T2547" i="50"/>
  <c r="T3261" i="50" s="1"/>
  <c r="F2529" i="50"/>
  <c r="F3243" i="50" s="1"/>
  <c r="F2813" i="50"/>
  <c r="F3527" i="50" s="1"/>
  <c r="AB2491" i="50"/>
  <c r="AB3205" i="50" s="1"/>
  <c r="Z2710" i="50"/>
  <c r="Z3424" i="50" s="1"/>
  <c r="AD2785" i="50"/>
  <c r="AD3499" i="50" s="1"/>
  <c r="P2513" i="50"/>
  <c r="P3227" i="50" s="1"/>
  <c r="N2513" i="50"/>
  <c r="N3227" i="50" s="1"/>
  <c r="L2654" i="50"/>
  <c r="L3368" i="50" s="1"/>
  <c r="P2654" i="50"/>
  <c r="P3368" i="50" s="1"/>
  <c r="AD2613" i="50"/>
  <c r="AD3327" i="50" s="1"/>
  <c r="V2613" i="50"/>
  <c r="V3327" i="50" s="1"/>
  <c r="L2193" i="50"/>
  <c r="L2907" i="50" s="1"/>
  <c r="AB2529" i="50"/>
  <c r="AB3243" i="50" s="1"/>
  <c r="AB2276" i="50"/>
  <c r="Z2624" i="50"/>
  <c r="Z3338" i="50" s="1"/>
  <c r="N2613" i="50"/>
  <c r="X2304" i="50"/>
  <c r="X3018" i="50" s="1"/>
  <c r="AB2802" i="50"/>
  <c r="AB3516" i="50" s="1"/>
  <c r="H2850" i="50"/>
  <c r="H3564" i="50" s="1"/>
  <c r="F2260" i="50"/>
  <c r="F2974" i="50" s="1"/>
  <c r="L2172" i="50"/>
  <c r="L2886" i="50" s="1"/>
  <c r="J2554" i="50"/>
  <c r="J3268" i="50" s="1"/>
  <c r="H2500" i="50"/>
  <c r="H3214" i="50" s="1"/>
  <c r="P2701" i="50"/>
  <c r="P3415" i="50" s="1"/>
  <c r="T2701" i="50"/>
  <c r="T3415" i="50" s="1"/>
  <c r="T2765" i="50"/>
  <c r="T3479" i="50" s="1"/>
  <c r="AB2765" i="50"/>
  <c r="AB3479" i="50" s="1"/>
  <c r="AB2597" i="50"/>
  <c r="AB3311" i="50" s="1"/>
  <c r="X2821" i="50"/>
  <c r="X3535" i="50" s="1"/>
  <c r="X2641" i="50"/>
  <c r="X3355" i="50" s="1"/>
  <c r="F2466" i="50"/>
  <c r="F3180" i="50" s="1"/>
  <c r="P2466" i="50"/>
  <c r="P3180" i="50" s="1"/>
  <c r="N2466" i="50"/>
  <c r="N3180" i="50" s="1"/>
  <c r="Z2436" i="50"/>
  <c r="Z3150" i="50" s="1"/>
  <c r="J2466" i="50"/>
  <c r="J3180" i="50" s="1"/>
  <c r="H2466" i="50"/>
  <c r="H3180" i="50" s="1"/>
  <c r="X2834" i="50"/>
  <c r="X3548" i="50" s="1"/>
  <c r="T2849" i="50"/>
  <c r="T3563" i="50" s="1"/>
  <c r="X2466" i="50"/>
  <c r="X3180" i="50" s="1"/>
  <c r="X2737" i="50"/>
  <c r="X3451" i="50" s="1"/>
  <c r="L2795" i="50"/>
  <c r="L3509" i="50" s="1"/>
  <c r="AB2737" i="50"/>
  <c r="AB3451" i="50" s="1"/>
  <c r="F2484" i="50"/>
  <c r="F3198" i="50" s="1"/>
  <c r="F2701" i="50"/>
  <c r="F3415" i="50" s="1"/>
  <c r="AB2701" i="50"/>
  <c r="AB3415" i="50" s="1"/>
  <c r="AB2681" i="50"/>
  <c r="AB3395" i="50" s="1"/>
  <c r="T2288" i="50"/>
  <c r="T3002" i="50" s="1"/>
  <c r="Z2681" i="50"/>
  <c r="Z3395" i="50" s="1"/>
  <c r="AD2624" i="50"/>
  <c r="AD3338" i="50" s="1"/>
  <c r="AD2316" i="50"/>
  <c r="AD3030" i="50" s="1"/>
  <c r="Z2316" i="50"/>
  <c r="Z3030" i="50" s="1"/>
  <c r="N2316" i="50"/>
  <c r="N3030" i="50" s="1"/>
  <c r="H2219" i="50"/>
  <c r="H2933" i="50" s="1"/>
  <c r="X2627" i="50"/>
  <c r="X3341" i="50" s="1"/>
  <c r="AD2822" i="50"/>
  <c r="AD3536" i="50" s="1"/>
  <c r="X2822" i="50"/>
  <c r="X3536" i="50" s="1"/>
  <c r="J2225" i="50"/>
  <c r="J2939" i="50" s="1"/>
  <c r="Z2225" i="50"/>
  <c r="Z2939" i="50" s="1"/>
  <c r="H2225" i="50"/>
  <c r="H2939" i="50" s="1"/>
  <c r="X2401" i="50"/>
  <c r="X3115" i="50" s="1"/>
  <c r="Z2401" i="50"/>
  <c r="Z3115" i="50" s="1"/>
  <c r="F2711" i="50"/>
  <c r="F3425" i="50" s="1"/>
  <c r="AD2711" i="50"/>
  <c r="AD3425" i="50" s="1"/>
  <c r="AB2711" i="50"/>
  <c r="AB3425" i="50" s="1"/>
  <c r="J2711" i="50"/>
  <c r="J3425" i="50" s="1"/>
  <c r="N2711" i="50"/>
  <c r="N3425" i="50" s="1"/>
  <c r="N2806" i="50"/>
  <c r="N3520" i="50" s="1"/>
  <c r="L2806" i="50"/>
  <c r="L3520" i="50" s="1"/>
  <c r="Z2806" i="50"/>
  <c r="Z3520" i="50" s="1"/>
  <c r="N2270" i="50"/>
  <c r="N2984" i="50" s="1"/>
  <c r="V2270" i="50"/>
  <c r="V2984" i="50" s="1"/>
  <c r="V2333" i="50"/>
  <c r="V3047" i="50" s="1"/>
  <c r="T2333" i="50"/>
  <c r="T3047" i="50" s="1"/>
  <c r="F2429" i="50"/>
  <c r="F3143" i="50" s="1"/>
  <c r="N2233" i="50"/>
  <c r="N2947" i="50" s="1"/>
  <c r="X2233" i="50"/>
  <c r="X2947" i="50" s="1"/>
  <c r="H2233" i="50"/>
  <c r="H2947" i="50" s="1"/>
  <c r="P2269" i="50"/>
  <c r="P2983" i="50" s="1"/>
  <c r="H2269" i="50"/>
  <c r="H2983" i="50" s="1"/>
  <c r="Z2288" i="50"/>
  <c r="Z3002" i="50" s="1"/>
  <c r="N2288" i="50"/>
  <c r="N3002" i="50" s="1"/>
  <c r="F2288" i="50"/>
  <c r="F3002" i="50" s="1"/>
  <c r="P2708" i="50"/>
  <c r="P3422" i="50" s="1"/>
  <c r="J2708" i="50"/>
  <c r="J3422" i="50" s="1"/>
  <c r="L2708" i="50"/>
  <c r="L3422" i="50" s="1"/>
  <c r="AB2834" i="50"/>
  <c r="AB3548" i="50" s="1"/>
  <c r="J2697" i="50"/>
  <c r="J3411" i="50" s="1"/>
  <c r="F2697" i="50"/>
  <c r="F3411" i="50" s="1"/>
  <c r="V2256" i="50"/>
  <c r="V2970" i="50" s="1"/>
  <c r="AD2256" i="50"/>
  <c r="AD2970" i="50" s="1"/>
  <c r="N2333" i="50"/>
  <c r="N3047" i="50" s="1"/>
  <c r="J2333" i="50"/>
  <c r="Z2821" i="50"/>
  <c r="AD2821" i="50"/>
  <c r="AD3535" i="50" s="1"/>
  <c r="AD2641" i="50"/>
  <c r="AD3355" i="50" s="1"/>
  <c r="T2270" i="50"/>
  <c r="T2984" i="50" s="1"/>
  <c r="AB2333" i="50"/>
  <c r="AB3047" i="50" s="1"/>
  <c r="AB2332" i="50"/>
  <c r="AB3046" i="50" s="1"/>
  <c r="AB2269" i="50"/>
  <c r="AB2983" i="50" s="1"/>
  <c r="V2711" i="50"/>
  <c r="V3425" i="50" s="1"/>
  <c r="X2269" i="50"/>
  <c r="X2983" i="50" s="1"/>
  <c r="AD2484" i="50"/>
  <c r="AD3198" i="50" s="1"/>
  <c r="V2681" i="50"/>
  <c r="V3395" i="50" s="1"/>
  <c r="X2333" i="50"/>
  <c r="X3047" i="50" s="1"/>
  <c r="T2795" i="50"/>
  <c r="T3509" i="50" s="1"/>
  <c r="Z2709" i="50"/>
  <c r="Z3423" i="50" s="1"/>
  <c r="T2225" i="50"/>
  <c r="J2233" i="50"/>
  <c r="J2947" i="50" s="1"/>
  <c r="F2379" i="50"/>
  <c r="F3093" i="50" s="1"/>
  <c r="L2711" i="50"/>
  <c r="L3425" i="50" s="1"/>
  <c r="H2326" i="50"/>
  <c r="H3040" i="50" s="1"/>
  <c r="P2834" i="50"/>
  <c r="P3548" i="50" s="1"/>
  <c r="T2340" i="50"/>
  <c r="V2340" i="50"/>
  <c r="V3054" i="50" s="1"/>
  <c r="V2715" i="50"/>
  <c r="V3429" i="50" s="1"/>
  <c r="P2771" i="50"/>
  <c r="P3485" i="50" s="1"/>
  <c r="F2354" i="50"/>
  <c r="F3068" i="50" s="1"/>
  <c r="L2184" i="50"/>
  <c r="L2898" i="50" s="1"/>
  <c r="P2311" i="50"/>
  <c r="P3025" i="50" s="1"/>
  <c r="J2311" i="50"/>
  <c r="J3025" i="50" s="1"/>
  <c r="J2724" i="50"/>
  <c r="J3438" i="50" s="1"/>
  <c r="L2724" i="50"/>
  <c r="L3438" i="50" s="1"/>
  <c r="AD2724" i="50"/>
  <c r="AD3438" i="50" s="1"/>
  <c r="X2724" i="50"/>
  <c r="X3438" i="50" s="1"/>
  <c r="AB2815" i="50"/>
  <c r="AB3529" i="50" s="1"/>
  <c r="P2597" i="50"/>
  <c r="P3311" i="50" s="1"/>
  <c r="AB2709" i="50"/>
  <c r="AB3423" i="50" s="1"/>
  <c r="P2737" i="50"/>
  <c r="P3451" i="50" s="1"/>
  <c r="H2333" i="50"/>
  <c r="H3047" i="50" s="1"/>
  <c r="X2765" i="50"/>
  <c r="X3479" i="50" s="1"/>
  <c r="AB2821" i="50"/>
  <c r="AB3535" i="50" s="1"/>
  <c r="T2641" i="50"/>
  <c r="X2597" i="50"/>
  <c r="X3311" i="50" s="1"/>
  <c r="T2436" i="50"/>
  <c r="T3150" i="50" s="1"/>
  <c r="AD2436" i="50"/>
  <c r="AD3150" i="50" s="1"/>
  <c r="T2834" i="50"/>
  <c r="T3548" i="50" s="1"/>
  <c r="Z2802" i="50"/>
  <c r="Z3516" i="50" s="1"/>
  <c r="T2715" i="50"/>
  <c r="T3429" i="50" s="1"/>
  <c r="V2436" i="50"/>
  <c r="V3150" i="50" s="1"/>
  <c r="Z2269" i="50"/>
  <c r="Z2983" i="50" s="1"/>
  <c r="T2184" i="50"/>
  <c r="T2898" i="50" s="1"/>
  <c r="Z2333" i="50"/>
  <c r="Z3047" i="50" s="1"/>
  <c r="X2288" i="50"/>
  <c r="X3002" i="50" s="1"/>
  <c r="AD2681" i="50"/>
  <c r="AD3395" i="50" s="1"/>
  <c r="Z2311" i="50"/>
  <c r="Z3025" i="50" s="1"/>
  <c r="V2288" i="50"/>
  <c r="V3002" i="50" s="1"/>
  <c r="H2681" i="50"/>
  <c r="H3395" i="50" s="1"/>
  <c r="H2597" i="50"/>
  <c r="H3311" i="50" s="1"/>
  <c r="AB2288" i="50"/>
  <c r="AB3002" i="50" s="1"/>
  <c r="T2466" i="50"/>
  <c r="T3180" i="50" s="1"/>
  <c r="H2484" i="50"/>
  <c r="H3198" i="50" s="1"/>
  <c r="AB2849" i="50"/>
  <c r="AB3563" i="50" s="1"/>
  <c r="AD2849" i="50"/>
  <c r="AD3563" i="50" s="1"/>
  <c r="F2270" i="50"/>
  <c r="F2984" i="50" s="1"/>
  <c r="T2256" i="50"/>
  <c r="L2354" i="50"/>
  <c r="L3068" i="50" s="1"/>
  <c r="AD2401" i="50"/>
  <c r="AD3115" i="50" s="1"/>
  <c r="Z2424" i="50"/>
  <c r="Z3138" i="50" s="1"/>
  <c r="AD2424" i="50"/>
  <c r="AD3138" i="50" s="1"/>
  <c r="L2163" i="50"/>
  <c r="L2877" i="50" s="1"/>
  <c r="P2163" i="50"/>
  <c r="P2877" i="50" s="1"/>
  <c r="P2275" i="50"/>
  <c r="V2170" i="50"/>
  <c r="V2884" i="50" s="1"/>
  <c r="F2449" i="50"/>
  <c r="F3163" i="50" s="1"/>
  <c r="AB2449" i="50"/>
  <c r="AB3163" i="50" s="1"/>
  <c r="N2449" i="50"/>
  <c r="N3163" i="50" s="1"/>
  <c r="Z2347" i="50"/>
  <c r="Z3061" i="50" s="1"/>
  <c r="J2683" i="50"/>
  <c r="J3397" i="50" s="1"/>
  <c r="P2683" i="50"/>
  <c r="P3397" i="50" s="1"/>
  <c r="Z2270" i="50"/>
  <c r="Z2984" i="50" s="1"/>
  <c r="X2270" i="50"/>
  <c r="X2984" i="50" s="1"/>
  <c r="V2710" i="50"/>
  <c r="V3424" i="50" s="1"/>
  <c r="J2424" i="50"/>
  <c r="J3138" i="50" s="1"/>
  <c r="J2484" i="50"/>
  <c r="J3198" i="50" s="1"/>
  <c r="AD2701" i="50"/>
  <c r="AD3415" i="50" s="1"/>
  <c r="Z2715" i="50"/>
  <c r="Z3429" i="50" s="1"/>
  <c r="AB2401" i="50"/>
  <c r="AB3115" i="50" s="1"/>
  <c r="X2429" i="50"/>
  <c r="X3143" i="50" s="1"/>
  <c r="AB2270" i="50"/>
  <c r="AB2984" i="50" s="1"/>
  <c r="T2802" i="50"/>
  <c r="T3516" i="50" s="1"/>
  <c r="N2473" i="50"/>
  <c r="N3187" i="50" s="1"/>
  <c r="N2368" i="50"/>
  <c r="N3082" i="50" s="1"/>
  <c r="Z2855" i="50"/>
  <c r="Z3569" i="50" s="1"/>
  <c r="H2795" i="50"/>
  <c r="H3509" i="50" s="1"/>
  <c r="N2463" i="50"/>
  <c r="N3177" i="50" s="1"/>
  <c r="P2463" i="50"/>
  <c r="P3177" i="50" s="1"/>
  <c r="P2368" i="50"/>
  <c r="V2724" i="50"/>
  <c r="J2387" i="50"/>
  <c r="P2484" i="50"/>
  <c r="P3198" i="50" s="1"/>
  <c r="V2332" i="50"/>
  <c r="V3046" i="50" s="1"/>
  <c r="H2401" i="50"/>
  <c r="L2401" i="50"/>
  <c r="L3115" i="50" s="1"/>
  <c r="V2599" i="50"/>
  <c r="V3313" i="50" s="1"/>
  <c r="AB2344" i="50"/>
  <c r="AB3058" i="50" s="1"/>
  <c r="V2344" i="50"/>
  <c r="V3058" i="50" s="1"/>
  <c r="Z2344" i="50"/>
  <c r="Z3058" i="50" s="1"/>
  <c r="H2570" i="50"/>
  <c r="H3284" i="50" s="1"/>
  <c r="T2499" i="50"/>
  <c r="T3213" i="50" s="1"/>
  <c r="AB2499" i="50"/>
  <c r="AB3213" i="50" s="1"/>
  <c r="AB2590" i="50"/>
  <c r="AB3304" i="50" s="1"/>
  <c r="V2590" i="50"/>
  <c r="V3304" i="50" s="1"/>
  <c r="L2702" i="50"/>
  <c r="L3416" i="50" s="1"/>
  <c r="V2702" i="50"/>
  <c r="V3416" i="50" s="1"/>
  <c r="X2730" i="50"/>
  <c r="X3444" i="50" s="1"/>
  <c r="N2730" i="50"/>
  <c r="N3444" i="50" s="1"/>
  <c r="T3192" i="50"/>
  <c r="Z2590" i="50"/>
  <c r="Z3304" i="50" s="1"/>
  <c r="H2830" i="50"/>
  <c r="H3544" i="50" s="1"/>
  <c r="L2178" i="50"/>
  <c r="L2892" i="50" s="1"/>
  <c r="T2302" i="50"/>
  <c r="T3016" i="50" s="1"/>
  <c r="AD2302" i="50"/>
  <c r="AD3016" i="50" s="1"/>
  <c r="V2703" i="50"/>
  <c r="V3417" i="50" s="1"/>
  <c r="AD2703" i="50"/>
  <c r="AD3417" i="50" s="1"/>
  <c r="X2519" i="50"/>
  <c r="X3233" i="50" s="1"/>
  <c r="T2389" i="50"/>
  <c r="T3103" i="50" s="1"/>
  <c r="X2389" i="50"/>
  <c r="X3103" i="50" s="1"/>
  <c r="AD2249" i="50"/>
  <c r="AD2963" i="50" s="1"/>
  <c r="Z2249" i="50"/>
  <c r="Z2963" i="50" s="1"/>
  <c r="AB2249" i="50"/>
  <c r="AB2963" i="50" s="1"/>
  <c r="N2249" i="50"/>
  <c r="N2963" i="50" s="1"/>
  <c r="J2249" i="50"/>
  <c r="J2963" i="50" s="1"/>
  <c r="T2529" i="50"/>
  <c r="T3243" i="50" s="1"/>
  <c r="AD2529" i="50"/>
  <c r="V2529" i="50"/>
  <c r="V3243" i="50" s="1"/>
  <c r="F2450" i="50"/>
  <c r="F3164" i="50" s="1"/>
  <c r="AB2450" i="50"/>
  <c r="AB3164" i="50" s="1"/>
  <c r="AD2240" i="50"/>
  <c r="AD2954" i="50" s="1"/>
  <c r="Z2169" i="50"/>
  <c r="Z2883" i="50" s="1"/>
  <c r="T2169" i="50"/>
  <c r="T2883" i="50" s="1"/>
  <c r="X2169" i="50"/>
  <c r="X2883" i="50" s="1"/>
  <c r="AD2206" i="50"/>
  <c r="AD2920" i="50" s="1"/>
  <c r="J2534" i="50"/>
  <c r="J3248" i="50" s="1"/>
  <c r="L2534" i="50"/>
  <c r="L3248" i="50" s="1"/>
  <c r="L2344" i="50"/>
  <c r="L3058" i="50" s="1"/>
  <c r="L2830" i="50"/>
  <c r="L3544" i="50" s="1"/>
  <c r="H2178" i="50"/>
  <c r="H2892" i="50" s="1"/>
  <c r="V2253" i="50"/>
  <c r="V2967" i="50" s="1"/>
  <c r="L2212" i="50"/>
  <c r="L2926" i="50" s="1"/>
  <c r="T2212" i="50"/>
  <c r="N2212" i="50"/>
  <c r="AB2212" i="50"/>
  <c r="V2725" i="50"/>
  <c r="V3439" i="50" s="1"/>
  <c r="J2361" i="50"/>
  <c r="J3075" i="50" s="1"/>
  <c r="AB2361" i="50"/>
  <c r="AB3075" i="50" s="1"/>
  <c r="N2361" i="50"/>
  <c r="N3075" i="50" s="1"/>
  <c r="L2375" i="50"/>
  <c r="L3089" i="50" s="1"/>
  <c r="J2375" i="50"/>
  <c r="J3089" i="50" s="1"/>
  <c r="T2858" i="50"/>
  <c r="T3572" i="50" s="1"/>
  <c r="J2858" i="50"/>
  <c r="J3572" i="50" s="1"/>
  <c r="V2778" i="50"/>
  <c r="V3492" i="50" s="1"/>
  <c r="V2207" i="50"/>
  <c r="V2921" i="50" s="1"/>
  <c r="Z2207" i="50"/>
  <c r="Z2921" i="50" s="1"/>
  <c r="V2445" i="50"/>
  <c r="V3159" i="50" s="1"/>
  <c r="AD2445" i="50"/>
  <c r="AD3159" i="50" s="1"/>
  <c r="X2445" i="50"/>
  <c r="X3159" i="50" s="1"/>
  <c r="AB2445" i="50"/>
  <c r="AB3159" i="50" s="1"/>
  <c r="F2445" i="50"/>
  <c r="F3159" i="50" s="1"/>
  <c r="AB2736" i="50"/>
  <c r="AB3450" i="50" s="1"/>
  <c r="H2416" i="50"/>
  <c r="H3130" i="50" s="1"/>
  <c r="N2416" i="50"/>
  <c r="N3130" i="50" s="1"/>
  <c r="AD2416" i="50"/>
  <c r="AD3130" i="50" s="1"/>
  <c r="T2416" i="50"/>
  <c r="T3130" i="50" s="1"/>
  <c r="N2808" i="50"/>
  <c r="N3522" i="50" s="1"/>
  <c r="V2673" i="50"/>
  <c r="V3387" i="50" s="1"/>
  <c r="AD2165" i="50"/>
  <c r="AD2879" i="50" s="1"/>
  <c r="V2165" i="50"/>
  <c r="V2879" i="50" s="1"/>
  <c r="L2689" i="50"/>
  <c r="P2689" i="50"/>
  <c r="P3403" i="50" s="1"/>
  <c r="H2704" i="50"/>
  <c r="H3418" i="50" s="1"/>
  <c r="N2830" i="50"/>
  <c r="N3544" i="50" s="1"/>
  <c r="AD2843" i="50"/>
  <c r="AD3557" i="50" s="1"/>
  <c r="AB2682" i="50"/>
  <c r="AB3396" i="50" s="1"/>
  <c r="Z2682" i="50"/>
  <c r="Z3396" i="50" s="1"/>
  <c r="T2253" i="50"/>
  <c r="T2967" i="50" s="1"/>
  <c r="AB2689" i="50"/>
  <c r="AB3403" i="50" s="1"/>
  <c r="T2689" i="50"/>
  <c r="T3403" i="50" s="1"/>
  <c r="F2841" i="50"/>
  <c r="F3555" i="50" s="1"/>
  <c r="X2344" i="50"/>
  <c r="X3058" i="50" s="1"/>
  <c r="F2200" i="50"/>
  <c r="F2914" i="50" s="1"/>
  <c r="V2466" i="50"/>
  <c r="V3180" i="50" s="1"/>
  <c r="Z2466" i="50"/>
  <c r="Z3180" i="50" s="1"/>
  <c r="H2340" i="50"/>
  <c r="Z2340" i="50"/>
  <c r="Z3054" i="50" s="1"/>
  <c r="L2340" i="50"/>
  <c r="L3054" i="50" s="1"/>
  <c r="L2715" i="50"/>
  <c r="L3429" i="50" s="1"/>
  <c r="AB2603" i="50"/>
  <c r="AB3317" i="50" s="1"/>
  <c r="N2603" i="50"/>
  <c r="N3317" i="50" s="1"/>
  <c r="P2694" i="50"/>
  <c r="P3408" i="50" s="1"/>
  <c r="AB2694" i="50"/>
  <c r="AB3408" i="50" s="1"/>
  <c r="T2694" i="50"/>
  <c r="T3408" i="50" s="1"/>
  <c r="AD2253" i="50"/>
  <c r="AD2967" i="50" s="1"/>
  <c r="Z2557" i="50"/>
  <c r="Z3271" i="50" s="1"/>
  <c r="F2557" i="50"/>
  <c r="F3271" i="50" s="1"/>
  <c r="L2438" i="50"/>
  <c r="L3152" i="50" s="1"/>
  <c r="Z2848" i="50"/>
  <c r="Z3562" i="50" s="1"/>
  <c r="T2261" i="50"/>
  <c r="T2975" i="50" s="1"/>
  <c r="V2234" i="50"/>
  <c r="V2948" i="50" s="1"/>
  <c r="AB2234" i="50"/>
  <c r="AB2948" i="50" s="1"/>
  <c r="T2234" i="50"/>
  <c r="Z2234" i="50"/>
  <c r="Z2948" i="50" s="1"/>
  <c r="H2477" i="50"/>
  <c r="H3191" i="50" s="1"/>
  <c r="P2477" i="50"/>
  <c r="T2211" i="50"/>
  <c r="Z2449" i="50"/>
  <c r="Z3163" i="50" s="1"/>
  <c r="T2449" i="50"/>
  <c r="T3163" i="50" s="1"/>
  <c r="AB2683" i="50"/>
  <c r="AB3397" i="50" s="1"/>
  <c r="F2415" i="50"/>
  <c r="F3129" i="50" s="1"/>
  <c r="L2415" i="50"/>
  <c r="L3129" i="50" s="1"/>
  <c r="J2830" i="50"/>
  <c r="P2178" i="50"/>
  <c r="P2892" i="50" s="1"/>
  <c r="J2178" i="50"/>
  <c r="J2892" i="50" s="1"/>
  <c r="H2375" i="50"/>
  <c r="H3089" i="50" s="1"/>
  <c r="P2858" i="50"/>
  <c r="P3572" i="50" s="1"/>
  <c r="AD2163" i="50"/>
  <c r="AD2877" i="50" s="1"/>
  <c r="Z2843" i="50"/>
  <c r="Z3557" i="50" s="1"/>
  <c r="L2508" i="50"/>
  <c r="L3222" i="50" s="1"/>
  <c r="N2508" i="50"/>
  <c r="N3222" i="50" s="1"/>
  <c r="P2508" i="50"/>
  <c r="P3222" i="50" s="1"/>
  <c r="F2508" i="50"/>
  <c r="F3222" i="50" s="1"/>
  <c r="J2508" i="50"/>
  <c r="J3222" i="50" s="1"/>
  <c r="Z2437" i="50"/>
  <c r="Z3151" i="50" s="1"/>
  <c r="P2648" i="50"/>
  <c r="P3362" i="50" s="1"/>
  <c r="AB2512" i="50"/>
  <c r="AB3226" i="50" s="1"/>
  <c r="AB2351" i="50"/>
  <c r="AB3065" i="50" s="1"/>
  <c r="AD2351" i="50"/>
  <c r="AD3065" i="50" s="1"/>
  <c r="L2619" i="50"/>
  <c r="L3333" i="50" s="1"/>
  <c r="X2253" i="50"/>
  <c r="X2240" i="50"/>
  <c r="X2954" i="50" s="1"/>
  <c r="Z2683" i="50"/>
  <c r="Z3397" i="50" s="1"/>
  <c r="J2689" i="50"/>
  <c r="J3403" i="50" s="1"/>
  <c r="Z2375" i="50"/>
  <c r="Z3089" i="50" s="1"/>
  <c r="L2570" i="50"/>
  <c r="L3284" i="50" s="1"/>
  <c r="H2858" i="50"/>
  <c r="H3572" i="50" s="1"/>
  <c r="Z2529" i="50"/>
  <c r="Z3243" i="50" s="1"/>
  <c r="N2438" i="50"/>
  <c r="N3152" i="50" s="1"/>
  <c r="AD2590" i="50"/>
  <c r="AD3304" i="50" s="1"/>
  <c r="N2577" i="50"/>
  <c r="H2206" i="50"/>
  <c r="H2920" i="50" s="1"/>
  <c r="H2338" i="50"/>
  <c r="H3052" i="50" s="1"/>
  <c r="AD2683" i="50"/>
  <c r="AD3397" i="50" s="1"/>
  <c r="N2689" i="50"/>
  <c r="N3403" i="50" s="1"/>
  <c r="N2555" i="50"/>
  <c r="N3269" i="50" s="1"/>
  <c r="P2555" i="50"/>
  <c r="P3269" i="50" s="1"/>
  <c r="AD2555" i="50"/>
  <c r="AD3269" i="50" s="1"/>
  <c r="X2324" i="50"/>
  <c r="X3038" i="50" s="1"/>
  <c r="V2816" i="50"/>
  <c r="V3530" i="50" s="1"/>
  <c r="AD2816" i="50"/>
  <c r="AD3530" i="50" s="1"/>
  <c r="H2816" i="50"/>
  <c r="H3530" i="50" s="1"/>
  <c r="N2528" i="50"/>
  <c r="N3242" i="50" s="1"/>
  <c r="L2528" i="50"/>
  <c r="L3242" i="50" s="1"/>
  <c r="F2528" i="50"/>
  <c r="F3242" i="50" s="1"/>
  <c r="H2528" i="50"/>
  <c r="H3242" i="50" s="1"/>
  <c r="J2528" i="50"/>
  <c r="J3242" i="50" s="1"/>
  <c r="AB2289" i="50"/>
  <c r="AB3003" i="50" s="1"/>
  <c r="T2289" i="50"/>
  <c r="T3003" i="50" s="1"/>
  <c r="V2289" i="50"/>
  <c r="V3003" i="50" s="1"/>
  <c r="Z2289" i="50"/>
  <c r="Z3003" i="50" s="1"/>
  <c r="F2289" i="50"/>
  <c r="F3003" i="50" s="1"/>
  <c r="X2289" i="50"/>
  <c r="X3003" i="50" s="1"/>
  <c r="T2185" i="50"/>
  <c r="T2899" i="50" s="1"/>
  <c r="Z2185" i="50"/>
  <c r="Z2899" i="50" s="1"/>
  <c r="P2185" i="50"/>
  <c r="P2899" i="50" s="1"/>
  <c r="L2185" i="50"/>
  <c r="L2899" i="50" s="1"/>
  <c r="T2163" i="50"/>
  <c r="T2877" i="50" s="1"/>
  <c r="V2163" i="50"/>
  <c r="V2877" i="50" s="1"/>
  <c r="AB2163" i="50"/>
  <c r="AB2877" i="50" s="1"/>
  <c r="Z2227" i="50"/>
  <c r="Z2941" i="50" s="1"/>
  <c r="V2730" i="50"/>
  <c r="V3444" i="50" s="1"/>
  <c r="Z2758" i="50"/>
  <c r="Z3472" i="50" s="1"/>
  <c r="T2758" i="50"/>
  <c r="T3472" i="50" s="1"/>
  <c r="V2758" i="50"/>
  <c r="V3472" i="50" s="1"/>
  <c r="AD2758" i="50"/>
  <c r="AB2816" i="50"/>
  <c r="AB3530" i="50" s="1"/>
  <c r="T2816" i="50"/>
  <c r="T3530" i="50" s="1"/>
  <c r="Z2295" i="50"/>
  <c r="Z3009" i="50" s="1"/>
  <c r="AB2295" i="50"/>
  <c r="AB3009" i="50" s="1"/>
  <c r="AD2295" i="50"/>
  <c r="N2820" i="50"/>
  <c r="N3534" i="50" s="1"/>
  <c r="F2820" i="50"/>
  <c r="F3534" i="50" s="1"/>
  <c r="P2820" i="50"/>
  <c r="P3534" i="50" s="1"/>
  <c r="AD2487" i="50"/>
  <c r="AD3201" i="50" s="1"/>
  <c r="Z2487" i="50"/>
  <c r="Z3201" i="50" s="1"/>
  <c r="AB2185" i="50"/>
  <c r="AB2899" i="50" s="1"/>
  <c r="H2820" i="50"/>
  <c r="H3534" i="50" s="1"/>
  <c r="P2289" i="50"/>
  <c r="P3003" i="50" s="1"/>
  <c r="N2289" i="50"/>
  <c r="N3003" i="50" s="1"/>
  <c r="Z2163" i="50"/>
  <c r="Z2877" i="50" s="1"/>
  <c r="H2487" i="50"/>
  <c r="H3201" i="50" s="1"/>
  <c r="T2400" i="50"/>
  <c r="T3114" i="50" s="1"/>
  <c r="AB2400" i="50"/>
  <c r="AB3114" i="50" s="1"/>
  <c r="J2337" i="50"/>
  <c r="J3051" i="50" s="1"/>
  <c r="V2337" i="50"/>
  <c r="V3051" i="50" s="1"/>
  <c r="H2337" i="50"/>
  <c r="H3051" i="50" s="1"/>
  <c r="Z2494" i="50"/>
  <c r="Z3208" i="50" s="1"/>
  <c r="X2494" i="50"/>
  <c r="X3208" i="50" s="1"/>
  <c r="P2494" i="50"/>
  <c r="P3208" i="50" s="1"/>
  <c r="P2367" i="50"/>
  <c r="P3081" i="50" s="1"/>
  <c r="H2367" i="50"/>
  <c r="H3081" i="50" s="1"/>
  <c r="P2505" i="50"/>
  <c r="P3219" i="50" s="1"/>
  <c r="AB2505" i="50"/>
  <c r="AB3219" i="50" s="1"/>
  <c r="AD2505" i="50"/>
  <c r="AD3219" i="50" s="1"/>
  <c r="L2505" i="50"/>
  <c r="L3219" i="50" s="1"/>
  <c r="X2430" i="50"/>
  <c r="X3144" i="50" s="1"/>
  <c r="F2302" i="50"/>
  <c r="F3016" i="50" s="1"/>
  <c r="X2183" i="50"/>
  <c r="X2897" i="50" s="1"/>
  <c r="H2836" i="50"/>
  <c r="H3550" i="50" s="1"/>
  <c r="AB2519" i="50"/>
  <c r="AB3233" i="50" s="1"/>
  <c r="AB2564" i="50"/>
  <c r="AB3278" i="50" s="1"/>
  <c r="P2549" i="50"/>
  <c r="P3263" i="50" s="1"/>
  <c r="N2549" i="50"/>
  <c r="N3263" i="50" s="1"/>
  <c r="X2416" i="50"/>
  <c r="X3130" i="50" s="1"/>
  <c r="P2557" i="50"/>
  <c r="P3271" i="50" s="1"/>
  <c r="AB2557" i="50"/>
  <c r="AB3271" i="50" s="1"/>
  <c r="V2562" i="50"/>
  <c r="V3276" i="50" s="1"/>
  <c r="AD2557" i="50"/>
  <c r="AD3271" i="50" s="1"/>
  <c r="AD2241" i="50"/>
  <c r="AD2955" i="50" s="1"/>
  <c r="AB2260" i="50"/>
  <c r="AB2974" i="50" s="1"/>
  <c r="AD2260" i="50"/>
  <c r="AD2974" i="50" s="1"/>
  <c r="F2760" i="50"/>
  <c r="F3474" i="50" s="1"/>
  <c r="AD2690" i="50"/>
  <c r="AD3404" i="50" s="1"/>
  <c r="F2690" i="50"/>
  <c r="F3404" i="50" s="1"/>
  <c r="T2661" i="50"/>
  <c r="T3375" i="50" s="1"/>
  <c r="N2661" i="50"/>
  <c r="N3375" i="50" s="1"/>
  <c r="H2591" i="50"/>
  <c r="H3305" i="50" s="1"/>
  <c r="AD2722" i="50"/>
  <c r="AD3436" i="50" s="1"/>
  <c r="X2722" i="50"/>
  <c r="X3436" i="50" s="1"/>
  <c r="X2554" i="50"/>
  <c r="X3268" i="50" s="1"/>
  <c r="L2554" i="50"/>
  <c r="L3268" i="50" s="1"/>
  <c r="AD2409" i="50"/>
  <c r="AD3123" i="50" s="1"/>
  <c r="Z2409" i="50"/>
  <c r="Z3123" i="50" s="1"/>
  <c r="AD2312" i="50"/>
  <c r="AD3026" i="50" s="1"/>
  <c r="H2365" i="50"/>
  <c r="H3079" i="50" s="1"/>
  <c r="L2365" i="50"/>
  <c r="L3079" i="50" s="1"/>
  <c r="F2512" i="50"/>
  <c r="F3226" i="50" s="1"/>
  <c r="J2512" i="50"/>
  <c r="J3226" i="50" s="1"/>
  <c r="J2218" i="50"/>
  <c r="J2932" i="50" s="1"/>
  <c r="N2218" i="50"/>
  <c r="N2932" i="50" s="1"/>
  <c r="P2561" i="50"/>
  <c r="P3275" i="50" s="1"/>
  <c r="J2561" i="50"/>
  <c r="J3275" i="50" s="1"/>
  <c r="H2354" i="50"/>
  <c r="H3068" i="50" s="1"/>
  <c r="P2750" i="50"/>
  <c r="P3464" i="50" s="1"/>
  <c r="J2750" i="50"/>
  <c r="J3464" i="50" s="1"/>
  <c r="F2855" i="50"/>
  <c r="F3569" i="50" s="1"/>
  <c r="P2802" i="50"/>
  <c r="P3516" i="50" s="1"/>
  <c r="F2802" i="50"/>
  <c r="F3516" i="50" s="1"/>
  <c r="X2262" i="50"/>
  <c r="X2976" i="50" s="1"/>
  <c r="P2225" i="50"/>
  <c r="P2939" i="50" s="1"/>
  <c r="F2225" i="50"/>
  <c r="F2939" i="50" s="1"/>
  <c r="L2225" i="50"/>
  <c r="J2401" i="50"/>
  <c r="J3115" i="50" s="1"/>
  <c r="V2401" i="50"/>
  <c r="AD2806" i="50"/>
  <c r="AD3520" i="50" s="1"/>
  <c r="L2290" i="50"/>
  <c r="L3004" i="50" s="1"/>
  <c r="AD2233" i="50"/>
  <c r="AD2947" i="50" s="1"/>
  <c r="AB2233" i="50"/>
  <c r="AB2947" i="50" s="1"/>
  <c r="Z2233" i="50"/>
  <c r="Z2947" i="50" s="1"/>
  <c r="J2269" i="50"/>
  <c r="J2983" i="50" s="1"/>
  <c r="L2269" i="50"/>
  <c r="L2983" i="50" s="1"/>
  <c r="L2332" i="50"/>
  <c r="L3046" i="50" s="1"/>
  <c r="AB2746" i="50"/>
  <c r="AB3460" i="50" s="1"/>
  <c r="AD2746" i="50"/>
  <c r="AD3460" i="50" s="1"/>
  <c r="Z2746" i="50"/>
  <c r="Z3460" i="50" s="1"/>
  <c r="F2834" i="50"/>
  <c r="F3548" i="50" s="1"/>
  <c r="N2834" i="50"/>
  <c r="N3548" i="50" s="1"/>
  <c r="F2326" i="50"/>
  <c r="F3040" i="50" s="1"/>
  <c r="P2326" i="50"/>
  <c r="P3040" i="50" s="1"/>
  <c r="J2436" i="50"/>
  <c r="J3150" i="50" s="1"/>
  <c r="L2697" i="50"/>
  <c r="L3411" i="50" s="1"/>
  <c r="L2256" i="50"/>
  <c r="L2970" i="50" s="1"/>
  <c r="Z2256" i="50"/>
  <c r="Z2970" i="50" s="1"/>
  <c r="Z2815" i="50"/>
  <c r="Z3529" i="50" s="1"/>
  <c r="V2815" i="50"/>
  <c r="V3529" i="50" s="1"/>
  <c r="X2815" i="50"/>
  <c r="X3529" i="50" s="1"/>
  <c r="AD2815" i="50"/>
  <c r="AD3529" i="50" s="1"/>
  <c r="L2569" i="50"/>
  <c r="L3283" i="50" s="1"/>
  <c r="H2569" i="50"/>
  <c r="H3283" i="50" s="1"/>
  <c r="P2569" i="50"/>
  <c r="P3283" i="50" s="1"/>
  <c r="J2625" i="50"/>
  <c r="J3339" i="50" s="1"/>
  <c r="N2625" i="50"/>
  <c r="N3339" i="50" s="1"/>
  <c r="L2625" i="50"/>
  <c r="L3339" i="50" s="1"/>
  <c r="P2653" i="50"/>
  <c r="P3367" i="50" s="1"/>
  <c r="J2681" i="50"/>
  <c r="J3395" i="50" s="1"/>
  <c r="P2681" i="50"/>
  <c r="P3395" i="50" s="1"/>
  <c r="X2681" i="50"/>
  <c r="X3395" i="50" s="1"/>
  <c r="H2737" i="50"/>
  <c r="H3451" i="50" s="1"/>
  <c r="F2737" i="50"/>
  <c r="F3451" i="50" s="1"/>
  <c r="L2737" i="50"/>
  <c r="L3451" i="50" s="1"/>
  <c r="J2765" i="50"/>
  <c r="J3479" i="50" s="1"/>
  <c r="N2793" i="50"/>
  <c r="N3507" i="50" s="1"/>
  <c r="L2793" i="50"/>
  <c r="L3507" i="50" s="1"/>
  <c r="F2793" i="50"/>
  <c r="F3507" i="50" s="1"/>
  <c r="P2821" i="50"/>
  <c r="P3535" i="50" s="1"/>
  <c r="F2821" i="50"/>
  <c r="F3535" i="50" s="1"/>
  <c r="L2416" i="50"/>
  <c r="L3130" i="50" s="1"/>
  <c r="J2416" i="50"/>
  <c r="F2416" i="50"/>
  <c r="F3130" i="50" s="1"/>
  <c r="P2416" i="50"/>
  <c r="P3130" i="50" s="1"/>
  <c r="L2162" i="50"/>
  <c r="L2876" i="50" s="1"/>
  <c r="J2162" i="50"/>
  <c r="J2876" i="50" s="1"/>
  <c r="N2162" i="50"/>
  <c r="N2876" i="50" s="1"/>
  <c r="X2381" i="50"/>
  <c r="X3095" i="50" s="1"/>
  <c r="X2163" i="50"/>
  <c r="X2877" i="50" s="1"/>
  <c r="J2185" i="50"/>
  <c r="J2899" i="50" s="1"/>
  <c r="V2185" i="50"/>
  <c r="V2899" i="50" s="1"/>
  <c r="H2519" i="50"/>
  <c r="H3233" i="50" s="1"/>
  <c r="H2464" i="50"/>
  <c r="H3178" i="50" s="1"/>
  <c r="X2564" i="50"/>
  <c r="X3278" i="50" s="1"/>
  <c r="AD2564" i="50"/>
  <c r="AD3278" i="50" s="1"/>
  <c r="V2564" i="50"/>
  <c r="V3278" i="50" s="1"/>
  <c r="T2165" i="50"/>
  <c r="T2879" i="50" s="1"/>
  <c r="AB2165" i="50"/>
  <c r="AB2879" i="50" s="1"/>
  <c r="V2443" i="50"/>
  <c r="V3157" i="50" s="1"/>
  <c r="H2647" i="50"/>
  <c r="H3361" i="50" s="1"/>
  <c r="AB2561" i="50"/>
  <c r="AB3275" i="50" s="1"/>
  <c r="F2486" i="50"/>
  <c r="F3200" i="50" s="1"/>
  <c r="P2486" i="50"/>
  <c r="P3200" i="50" s="1"/>
  <c r="T2464" i="50"/>
  <c r="T3178" i="50" s="1"/>
  <c r="V2554" i="50"/>
  <c r="V3268" i="50" s="1"/>
  <c r="N2536" i="50"/>
  <c r="N3250" i="50" s="1"/>
  <c r="Z2443" i="50"/>
  <c r="Z3157" i="50" s="1"/>
  <c r="V2410" i="50"/>
  <c r="V3124" i="50" s="1"/>
  <c r="Z2627" i="50"/>
  <c r="Z3341" i="50" s="1"/>
  <c r="T2556" i="50"/>
  <c r="T3270" i="50" s="1"/>
  <c r="P2536" i="50"/>
  <c r="P3250" i="50" s="1"/>
  <c r="H2536" i="50"/>
  <c r="H3250" i="50" s="1"/>
  <c r="N2401" i="50"/>
  <c r="N3115" i="50" s="1"/>
  <c r="H2396" i="50"/>
  <c r="J2396" i="50"/>
  <c r="J3110" i="50" s="1"/>
  <c r="X2802" i="50"/>
  <c r="X3516" i="50" s="1"/>
  <c r="J2850" i="50"/>
  <c r="J3564" i="50" s="1"/>
  <c r="F2850" i="50"/>
  <c r="V2260" i="50"/>
  <c r="V2974" i="50" s="1"/>
  <c r="Z2834" i="50"/>
  <c r="Z3548" i="50" s="1"/>
  <c r="AD2561" i="50"/>
  <c r="AD3275" i="50" s="1"/>
  <c r="P2288" i="50"/>
  <c r="P3002" i="50" s="1"/>
  <c r="T2724" i="50"/>
  <c r="T3438" i="50" s="1"/>
  <c r="AD2512" i="50"/>
  <c r="J2661" i="50"/>
  <c r="J3375" i="50" s="1"/>
  <c r="AD2332" i="50"/>
  <c r="AD3046" i="50" s="1"/>
  <c r="H2486" i="50"/>
  <c r="H3200" i="50" s="1"/>
  <c r="X2849" i="50"/>
  <c r="X3563" i="50" s="1"/>
  <c r="Z2849" i="50"/>
  <c r="Z3563" i="50" s="1"/>
  <c r="X2562" i="50"/>
  <c r="X3276" i="50" s="1"/>
  <c r="J2500" i="50"/>
  <c r="Z2737" i="50"/>
  <c r="Z3451" i="50" s="1"/>
  <c r="P2711" i="50"/>
  <c r="P3425" i="50" s="1"/>
  <c r="L2183" i="50"/>
  <c r="L2897" i="50" s="1"/>
  <c r="X2557" i="50"/>
  <c r="X3271" i="50" s="1"/>
  <c r="Z2564" i="50"/>
  <c r="Z3278" i="50" s="1"/>
  <c r="AB2806" i="50"/>
  <c r="AB3520" i="50" s="1"/>
  <c r="T2806" i="50"/>
  <c r="T3520" i="50" s="1"/>
  <c r="F2708" i="50"/>
  <c r="T2316" i="50"/>
  <c r="H2722" i="50"/>
  <c r="H3436" i="50" s="1"/>
  <c r="T2219" i="50"/>
  <c r="T2933" i="50" s="1"/>
  <c r="F2381" i="50"/>
  <c r="F3095" i="50" s="1"/>
  <c r="F2806" i="50"/>
  <c r="Z2165" i="50"/>
  <c r="Z2879" i="50" s="1"/>
  <c r="P2697" i="50"/>
  <c r="P3411" i="50" s="1"/>
  <c r="N2225" i="50"/>
  <c r="N2939" i="50" s="1"/>
  <c r="H2332" i="50"/>
  <c r="H3046" i="50" s="1"/>
  <c r="N2429" i="50"/>
  <c r="N3143" i="50" s="1"/>
  <c r="P2401" i="50"/>
  <c r="P3115" i="50" s="1"/>
  <c r="V2409" i="50"/>
  <c r="V3123" i="50" s="1"/>
  <c r="AB2771" i="50"/>
  <c r="J2771" i="50"/>
  <c r="J3485" i="50" s="1"/>
  <c r="N2311" i="50"/>
  <c r="N3025" i="50" s="1"/>
  <c r="L2311" i="50"/>
  <c r="L3025" i="50" s="1"/>
  <c r="F2746" i="50"/>
  <c r="F3460" i="50" s="1"/>
  <c r="J2270" i="50"/>
  <c r="J2984" i="50" s="1"/>
  <c r="T2750" i="50"/>
  <c r="T3464" i="50" s="1"/>
  <c r="Z2381" i="50"/>
  <c r="Z3095" i="50" s="1"/>
  <c r="T2746" i="50"/>
  <c r="T3460" i="50" s="1"/>
  <c r="H2290" i="50"/>
  <c r="H3004" i="50" s="1"/>
  <c r="L2326" i="50"/>
  <c r="L3040" i="50" s="1"/>
  <c r="P2724" i="50"/>
  <c r="P3438" i="50" s="1"/>
  <c r="P2512" i="50"/>
  <c r="Z2578" i="50"/>
  <c r="Z3292" i="50" s="1"/>
  <c r="Z2556" i="50"/>
  <c r="Z3270" i="50" s="1"/>
  <c r="F2311" i="50"/>
  <c r="F3025" i="50" s="1"/>
  <c r="P2403" i="50"/>
  <c r="P3117" i="50" s="1"/>
  <c r="L2358" i="50"/>
  <c r="L3072" i="50" s="1"/>
  <c r="T2358" i="50"/>
  <c r="T3072" i="50" s="1"/>
  <c r="V2358" i="50"/>
  <c r="V3072" i="50" s="1"/>
  <c r="Z2358" i="50"/>
  <c r="Z3072" i="50" s="1"/>
  <c r="L2226" i="50"/>
  <c r="L2940" i="50" s="1"/>
  <c r="F2457" i="50"/>
  <c r="F3171" i="50" s="1"/>
  <c r="X2394" i="50"/>
  <c r="X3108" i="50" s="1"/>
  <c r="P2641" i="50"/>
  <c r="H2311" i="50"/>
  <c r="H3025" i="50" s="1"/>
  <c r="F2519" i="50"/>
  <c r="Z2332" i="50"/>
  <c r="Z3046" i="50" s="1"/>
  <c r="L2555" i="50"/>
  <c r="L3269" i="50" s="1"/>
  <c r="H2185" i="50"/>
  <c r="H2899" i="50" s="1"/>
  <c r="H2771" i="50"/>
  <c r="H3485" i="50" s="1"/>
  <c r="Z2430" i="50"/>
  <c r="Z3144" i="50" s="1"/>
  <c r="V2849" i="50"/>
  <c r="V3563" i="50" s="1"/>
  <c r="L2690" i="50"/>
  <c r="L3404" i="50" s="1"/>
  <c r="J2690" i="50"/>
  <c r="J3404" i="50" s="1"/>
  <c r="AD2752" i="50"/>
  <c r="AD3466" i="50" s="1"/>
  <c r="P2543" i="50"/>
  <c r="P3257" i="50" s="1"/>
  <c r="V2690" i="50"/>
  <c r="V3404" i="50" s="1"/>
  <c r="X2709" i="50"/>
  <c r="X3423" i="50" s="1"/>
  <c r="L2549" i="50"/>
  <c r="L3263" i="50" s="1"/>
  <c r="X2185" i="50"/>
  <c r="X2899" i="50" s="1"/>
  <c r="V2233" i="50"/>
  <c r="V2947" i="50" s="1"/>
  <c r="H2711" i="50"/>
  <c r="J2673" i="50"/>
  <c r="J3387" i="50" s="1"/>
  <c r="Z2780" i="50"/>
  <c r="Z3494" i="50" s="1"/>
  <c r="Z2793" i="50"/>
  <c r="Z3507" i="50" s="1"/>
  <c r="T2711" i="50"/>
  <c r="P2228" i="50"/>
  <c r="P2942" i="50" s="1"/>
  <c r="P2478" i="50"/>
  <c r="P3192" i="50" s="1"/>
  <c r="N2478" i="50"/>
  <c r="N3192" i="50" s="1"/>
  <c r="F2506" i="50"/>
  <c r="F3220" i="50" s="1"/>
  <c r="L2506" i="50"/>
  <c r="L3220" i="50" s="1"/>
  <c r="AB2563" i="50"/>
  <c r="AB3277" i="50" s="1"/>
  <c r="T2233" i="50"/>
  <c r="T2947" i="50" s="1"/>
  <c r="Z2753" i="50"/>
  <c r="Z3467" i="50" s="1"/>
  <c r="N2520" i="50"/>
  <c r="N3234" i="50" s="1"/>
  <c r="J2599" i="50"/>
  <c r="J3313" i="50" s="1"/>
  <c r="H2436" i="50"/>
  <c r="T2401" i="50"/>
  <c r="P2295" i="50"/>
  <c r="P3009" i="50" s="1"/>
  <c r="J2571" i="50"/>
  <c r="J3285" i="50" s="1"/>
  <c r="H2834" i="50"/>
  <c r="P2332" i="50"/>
  <c r="P3046" i="50" s="1"/>
  <c r="F2394" i="50"/>
  <c r="F3108" i="50" s="1"/>
  <c r="AB2416" i="50"/>
  <c r="AB3130" i="50" s="1"/>
  <c r="N2354" i="50"/>
  <c r="N3068" i="50" s="1"/>
  <c r="X2673" i="50"/>
  <c r="X3387" i="50" s="1"/>
  <c r="L2228" i="50"/>
  <c r="L2942" i="50" s="1"/>
  <c r="L2380" i="50"/>
  <c r="L3094" i="50" s="1"/>
  <c r="F2380" i="50"/>
  <c r="F3094" i="50" s="1"/>
  <c r="N2380" i="50"/>
  <c r="N3094" i="50" s="1"/>
  <c r="P2380" i="50"/>
  <c r="P3094" i="50" s="1"/>
  <c r="J2380" i="50"/>
  <c r="J3094" i="50" s="1"/>
  <c r="H2380" i="50"/>
  <c r="AB2380" i="50"/>
  <c r="AB3094" i="50" s="1"/>
  <c r="P2246" i="50"/>
  <c r="P2960" i="50" s="1"/>
  <c r="X2246" i="50"/>
  <c r="X2960" i="50" s="1"/>
  <c r="X2645" i="50"/>
  <c r="X2744" i="50"/>
  <c r="X3458" i="50" s="1"/>
  <c r="AB2296" i="50"/>
  <c r="AB3010" i="50" s="1"/>
  <c r="H2296" i="50"/>
  <c r="V2296" i="50"/>
  <c r="V3010" i="50" s="1"/>
  <c r="AD2296" i="50"/>
  <c r="AD3010" i="50" s="1"/>
  <c r="F2296" i="50"/>
  <c r="F3010" i="50" s="1"/>
  <c r="X2296" i="50"/>
  <c r="X3010" i="50" s="1"/>
  <c r="T2296" i="50"/>
  <c r="T3010" i="50" s="1"/>
  <c r="J2296" i="50"/>
  <c r="J3010" i="50" s="1"/>
  <c r="AB2407" i="50"/>
  <c r="AB3121" i="50" s="1"/>
  <c r="T2407" i="50"/>
  <c r="T3121" i="50" s="1"/>
  <c r="P2542" i="50"/>
  <c r="P3256" i="50" s="1"/>
  <c r="J2542" i="50"/>
  <c r="T2542" i="50"/>
  <c r="T3256" i="50" s="1"/>
  <c r="H2542" i="50"/>
  <c r="H3256" i="50" s="1"/>
  <c r="X2542" i="50"/>
  <c r="X3256" i="50" s="1"/>
  <c r="H2393" i="50"/>
  <c r="H3107" i="50" s="1"/>
  <c r="Z2393" i="50"/>
  <c r="Z3107" i="50" s="1"/>
  <c r="N2393" i="50"/>
  <c r="N3107" i="50" s="1"/>
  <c r="AB2393" i="50"/>
  <c r="AB3107" i="50" s="1"/>
  <c r="T2393" i="50"/>
  <c r="T3107" i="50" s="1"/>
  <c r="X2393" i="50"/>
  <c r="X3107" i="50" s="1"/>
  <c r="V2585" i="50"/>
  <c r="V3299" i="50" s="1"/>
  <c r="T2585" i="50"/>
  <c r="T3299" i="50" s="1"/>
  <c r="Z2585" i="50"/>
  <c r="Z3299" i="50" s="1"/>
  <c r="F2585" i="50"/>
  <c r="F3299" i="50" s="1"/>
  <c r="N2248" i="50"/>
  <c r="N2962" i="50" s="1"/>
  <c r="T2248" i="50"/>
  <c r="AB2248" i="50"/>
  <c r="AB2962" i="50" s="1"/>
  <c r="AD2248" i="50"/>
  <c r="AD2962" i="50" s="1"/>
  <c r="V2248" i="50"/>
  <c r="V2962" i="50" s="1"/>
  <c r="J2232" i="50"/>
  <c r="J2946" i="50" s="1"/>
  <c r="H2232" i="50"/>
  <c r="H2946" i="50" s="1"/>
  <c r="P2232" i="50"/>
  <c r="P2946" i="50" s="1"/>
  <c r="AB2620" i="50"/>
  <c r="AB3334" i="50" s="1"/>
  <c r="J2465" i="50"/>
  <c r="J3179" i="50" s="1"/>
  <c r="F2465" i="50"/>
  <c r="L2465" i="50"/>
  <c r="L3179" i="50" s="1"/>
  <c r="N2465" i="50"/>
  <c r="N3179" i="50" s="1"/>
  <c r="P2319" i="50"/>
  <c r="P3033" i="50" s="1"/>
  <c r="AB2319" i="50"/>
  <c r="AB3033" i="50" s="1"/>
  <c r="J2319" i="50"/>
  <c r="J3033" i="50" s="1"/>
  <c r="F2319" i="50"/>
  <c r="F3033" i="50" s="1"/>
  <c r="V2319" i="50"/>
  <c r="V3033" i="50" s="1"/>
  <c r="L2319" i="50"/>
  <c r="L3033" i="50" s="1"/>
  <c r="T2319" i="50"/>
  <c r="F2395" i="50"/>
  <c r="F3109" i="50" s="1"/>
  <c r="N2395" i="50"/>
  <c r="N3109" i="50" s="1"/>
  <c r="L2395" i="50"/>
  <c r="L3109" i="50" s="1"/>
  <c r="P2395" i="50"/>
  <c r="P3109" i="50" s="1"/>
  <c r="X2417" i="50"/>
  <c r="X3131" i="50" s="1"/>
  <c r="AD2417" i="50"/>
  <c r="AD3131" i="50" s="1"/>
  <c r="T2417" i="50"/>
  <c r="AB2417" i="50"/>
  <c r="AB3131" i="50" s="1"/>
  <c r="J2417" i="50"/>
  <c r="J3131" i="50" s="1"/>
  <c r="H2417" i="50"/>
  <c r="Z2417" i="50"/>
  <c r="Z3131" i="50" s="1"/>
  <c r="N2417" i="50"/>
  <c r="N3131" i="50" s="1"/>
  <c r="L2417" i="50"/>
  <c r="L3131" i="50" s="1"/>
  <c r="L2458" i="50"/>
  <c r="L3172" i="50" s="1"/>
  <c r="H2458" i="50"/>
  <c r="H3172" i="50" s="1"/>
  <c r="P2458" i="50"/>
  <c r="P3172" i="50" s="1"/>
  <c r="J2458" i="50"/>
  <c r="J3172" i="50" s="1"/>
  <c r="F2458" i="50"/>
  <c r="F2521" i="50"/>
  <c r="F3235" i="50" s="1"/>
  <c r="P2521" i="50"/>
  <c r="P3235" i="50" s="1"/>
  <c r="J2521" i="50"/>
  <c r="J3235" i="50" s="1"/>
  <c r="H2521" i="50"/>
  <c r="H3235" i="50" s="1"/>
  <c r="N2521" i="50"/>
  <c r="N3235" i="50" s="1"/>
  <c r="H2205" i="50"/>
  <c r="H2919" i="50" s="1"/>
  <c r="F2205" i="50"/>
  <c r="V2205" i="50"/>
  <c r="T2205" i="50"/>
  <c r="T2919" i="50" s="1"/>
  <c r="V2718" i="50"/>
  <c r="V3432" i="50" s="1"/>
  <c r="L2718" i="50"/>
  <c r="L3432" i="50" s="1"/>
  <c r="N2718" i="50"/>
  <c r="N3432" i="50" s="1"/>
  <c r="H2718" i="50"/>
  <c r="H3432" i="50" s="1"/>
  <c r="N2645" i="50"/>
  <c r="N3359" i="50" s="1"/>
  <c r="L2645" i="50"/>
  <c r="L3359" i="50" s="1"/>
  <c r="T2645" i="50"/>
  <c r="T3359" i="50" s="1"/>
  <c r="Z2645" i="50"/>
  <c r="Z3359" i="50" s="1"/>
  <c r="J2645" i="50"/>
  <c r="J3359" i="50" s="1"/>
  <c r="J2788" i="50"/>
  <c r="J3502" i="50" s="1"/>
  <c r="T2788" i="50"/>
  <c r="T3502" i="50" s="1"/>
  <c r="AB2788" i="50"/>
  <c r="AB3502" i="50" s="1"/>
  <c r="L2788" i="50"/>
  <c r="L3502" i="50" s="1"/>
  <c r="N2788" i="50"/>
  <c r="N3502" i="50" s="1"/>
  <c r="Z2788" i="50"/>
  <c r="Z3502" i="50" s="1"/>
  <c r="P2788" i="50"/>
  <c r="P3502" i="50" s="1"/>
  <c r="V2788" i="50"/>
  <c r="V3502" i="50" s="1"/>
  <c r="X2788" i="50"/>
  <c r="X3502" i="50" s="1"/>
  <c r="H2788" i="50"/>
  <c r="H3502" i="50" s="1"/>
  <c r="J2576" i="50"/>
  <c r="J3290" i="50" s="1"/>
  <c r="N2576" i="50"/>
  <c r="N3290" i="50" s="1"/>
  <c r="J2604" i="50"/>
  <c r="J3318" i="50" s="1"/>
  <c r="P2604" i="50"/>
  <c r="P3318" i="50" s="1"/>
  <c r="F2604" i="50"/>
  <c r="F3318" i="50" s="1"/>
  <c r="H2604" i="50"/>
  <c r="H3318" i="50" s="1"/>
  <c r="J2632" i="50"/>
  <c r="J3346" i="50" s="1"/>
  <c r="AD2632" i="50"/>
  <c r="AD3346" i="50" s="1"/>
  <c r="L2632" i="50"/>
  <c r="L3346" i="50" s="1"/>
  <c r="N2632" i="50"/>
  <c r="N3346" i="50" s="1"/>
  <c r="L2660" i="50"/>
  <c r="L3374" i="50" s="1"/>
  <c r="J2660" i="50"/>
  <c r="J3374" i="50" s="1"/>
  <c r="F2660" i="50"/>
  <c r="F3374" i="50" s="1"/>
  <c r="P2660" i="50"/>
  <c r="P3374" i="50" s="1"/>
  <c r="N2660" i="50"/>
  <c r="N3374" i="50" s="1"/>
  <c r="P2688" i="50"/>
  <c r="P3402" i="50" s="1"/>
  <c r="H2716" i="50"/>
  <c r="H3430" i="50" s="1"/>
  <c r="N2716" i="50"/>
  <c r="N3430" i="50" s="1"/>
  <c r="L2716" i="50"/>
  <c r="L3430" i="50" s="1"/>
  <c r="P2716" i="50"/>
  <c r="P3430" i="50" s="1"/>
  <c r="F2716" i="50"/>
  <c r="J2716" i="50"/>
  <c r="J3430" i="50" s="1"/>
  <c r="Z2744" i="50"/>
  <c r="Z3458" i="50" s="1"/>
  <c r="L2744" i="50"/>
  <c r="L3458" i="50" s="1"/>
  <c r="H2744" i="50"/>
  <c r="H3458" i="50" s="1"/>
  <c r="N2744" i="50"/>
  <c r="N3458" i="50" s="1"/>
  <c r="F2744" i="50"/>
  <c r="F3458" i="50" s="1"/>
  <c r="T2744" i="50"/>
  <c r="T3458" i="50" s="1"/>
  <c r="P2772" i="50"/>
  <c r="P3486" i="50" s="1"/>
  <c r="N2772" i="50"/>
  <c r="N3486" i="50" s="1"/>
  <c r="H2772" i="50"/>
  <c r="H3486" i="50" s="1"/>
  <c r="Z2800" i="50"/>
  <c r="Z3514" i="50" s="1"/>
  <c r="P2800" i="50"/>
  <c r="P3514" i="50" s="1"/>
  <c r="AB2800" i="50"/>
  <c r="AB3514" i="50" s="1"/>
  <c r="H2800" i="50"/>
  <c r="H3514" i="50" s="1"/>
  <c r="N2800" i="50"/>
  <c r="N3514" i="50" s="1"/>
  <c r="T2800" i="50"/>
  <c r="T3514" i="50" s="1"/>
  <c r="N2828" i="50"/>
  <c r="N3542" i="50" s="1"/>
  <c r="F2828" i="50"/>
  <c r="F3542" i="50" s="1"/>
  <c r="J2828" i="50"/>
  <c r="J3542" i="50" s="1"/>
  <c r="H2828" i="50"/>
  <c r="H3542" i="50" s="1"/>
  <c r="F2856" i="50"/>
  <c r="F3570" i="50" s="1"/>
  <c r="AD2645" i="50"/>
  <c r="AD3359" i="50" s="1"/>
  <c r="F2788" i="50"/>
  <c r="X2248" i="50"/>
  <c r="X2962" i="50" s="1"/>
  <c r="N2542" i="50"/>
  <c r="N3256" i="50" s="1"/>
  <c r="Z2283" i="50"/>
  <c r="Z2997" i="50" s="1"/>
  <c r="F2283" i="50"/>
  <c r="F2997" i="50" s="1"/>
  <c r="AB2283" i="50"/>
  <c r="AB2997" i="50" s="1"/>
  <c r="P2283" i="50"/>
  <c r="P2997" i="50" s="1"/>
  <c r="J2283" i="50"/>
  <c r="T2337" i="50"/>
  <c r="T3051" i="50" s="1"/>
  <c r="AD2337" i="50"/>
  <c r="AD3051" i="50" s="1"/>
  <c r="X2337" i="50"/>
  <c r="X3051" i="50" s="1"/>
  <c r="AD2470" i="50"/>
  <c r="AD3184" i="50" s="1"/>
  <c r="V2470" i="50"/>
  <c r="V3184" i="50" s="1"/>
  <c r="X2470" i="50"/>
  <c r="X3184" i="50" s="1"/>
  <c r="Z2470" i="50"/>
  <c r="H2470" i="50"/>
  <c r="H3184" i="50" s="1"/>
  <c r="AB2470" i="50"/>
  <c r="AB3184" i="50" s="1"/>
  <c r="P2470" i="50"/>
  <c r="P3184" i="50" s="1"/>
  <c r="V2694" i="50"/>
  <c r="J2694" i="50"/>
  <c r="J3408" i="50" s="1"/>
  <c r="AD2694" i="50"/>
  <c r="AD3408" i="50" s="1"/>
  <c r="Z2694" i="50"/>
  <c r="Z3408" i="50" s="1"/>
  <c r="X2694" i="50"/>
  <c r="X3408" i="50" s="1"/>
  <c r="T2766" i="50"/>
  <c r="T3480" i="50" s="1"/>
  <c r="X2766" i="50"/>
  <c r="X3480" i="50" s="1"/>
  <c r="L2766" i="50"/>
  <c r="L3480" i="50" s="1"/>
  <c r="F2766" i="50"/>
  <c r="F3480" i="50" s="1"/>
  <c r="AD2766" i="50"/>
  <c r="AD3480" i="50" s="1"/>
  <c r="V2766" i="50"/>
  <c r="AB2766" i="50"/>
  <c r="AB3480" i="50" s="1"/>
  <c r="P2766" i="50"/>
  <c r="P3480" i="50" s="1"/>
  <c r="Z2766" i="50"/>
  <c r="Z3480" i="50" s="1"/>
  <c r="H2766" i="50"/>
  <c r="H3480" i="50" s="1"/>
  <c r="Z2757" i="50"/>
  <c r="Z3471" i="50" s="1"/>
  <c r="AB2757" i="50"/>
  <c r="AB3471" i="50" s="1"/>
  <c r="V2757" i="50"/>
  <c r="V3471" i="50" s="1"/>
  <c r="AD2757" i="50"/>
  <c r="AD3471" i="50" s="1"/>
  <c r="F2757" i="50"/>
  <c r="T2757" i="50"/>
  <c r="N2598" i="50"/>
  <c r="N3312" i="50" s="1"/>
  <c r="AB2598" i="50"/>
  <c r="AB3312" i="50" s="1"/>
  <c r="V2598" i="50"/>
  <c r="V3312" i="50" s="1"/>
  <c r="AD2745" i="50"/>
  <c r="AD3459" i="50" s="1"/>
  <c r="N2745" i="50"/>
  <c r="N3459" i="50" s="1"/>
  <c r="X2745" i="50"/>
  <c r="X3459" i="50" s="1"/>
  <c r="V2745" i="50"/>
  <c r="V3459" i="50" s="1"/>
  <c r="J2745" i="50"/>
  <c r="J3459" i="50" s="1"/>
  <c r="H2645" i="50"/>
  <c r="H3359" i="50" s="1"/>
  <c r="J2486" i="50"/>
  <c r="H2634" i="50"/>
  <c r="L2634" i="50"/>
  <c r="L3348" i="50" s="1"/>
  <c r="N2492" i="50"/>
  <c r="N3206" i="50" s="1"/>
  <c r="H2492" i="50"/>
  <c r="H3206" i="50" s="1"/>
  <c r="X2492" i="50"/>
  <c r="X3206" i="50" s="1"/>
  <c r="T2492" i="50"/>
  <c r="P2492" i="50"/>
  <c r="P3206" i="50" s="1"/>
  <c r="F2492" i="50"/>
  <c r="F3206" i="50" s="1"/>
  <c r="J2492" i="50"/>
  <c r="T2277" i="50"/>
  <c r="T2991" i="50" s="1"/>
  <c r="L2277" i="50"/>
  <c r="L2991" i="50" s="1"/>
  <c r="V2277" i="50"/>
  <c r="F2277" i="50"/>
  <c r="F2991" i="50" s="1"/>
  <c r="N2277" i="50"/>
  <c r="N2991" i="50" s="1"/>
  <c r="J2277" i="50"/>
  <c r="J2991" i="50" s="1"/>
  <c r="F2575" i="50"/>
  <c r="F3289" i="50" s="1"/>
  <c r="F2659" i="50"/>
  <c r="F3373" i="50" s="1"/>
  <c r="P2752" i="50"/>
  <c r="P3466" i="50" s="1"/>
  <c r="N2752" i="50"/>
  <c r="N3466" i="50" s="1"/>
  <c r="H2752" i="50"/>
  <c r="H3466" i="50" s="1"/>
  <c r="V2752" i="50"/>
  <c r="V3466" i="50" s="1"/>
  <c r="H2254" i="50"/>
  <c r="H2968" i="50" s="1"/>
  <c r="J2318" i="50"/>
  <c r="J3032" i="50" s="1"/>
  <c r="V2499" i="50"/>
  <c r="V3213" i="50" s="1"/>
  <c r="AD2499" i="50"/>
  <c r="AD3213" i="50" s="1"/>
  <c r="X2499" i="50"/>
  <c r="X3213" i="50" s="1"/>
  <c r="Z2499" i="50"/>
  <c r="Z3213" i="50" s="1"/>
  <c r="P2563" i="50"/>
  <c r="P3277" i="50" s="1"/>
  <c r="H2563" i="50"/>
  <c r="H3277" i="50" s="1"/>
  <c r="AD2666" i="50"/>
  <c r="AD3380" i="50" s="1"/>
  <c r="H2666" i="50"/>
  <c r="H3380" i="50" s="1"/>
  <c r="F2666" i="50"/>
  <c r="F3380" i="50" s="1"/>
  <c r="J2247" i="50"/>
  <c r="J2961" i="50" s="1"/>
  <c r="V2247" i="50"/>
  <c r="V2961" i="50" s="1"/>
  <c r="X2291" i="50"/>
  <c r="X3005" i="50" s="1"/>
  <c r="J2339" i="50"/>
  <c r="J3053" i="50" s="1"/>
  <c r="P2339" i="50"/>
  <c r="P3053" i="50" s="1"/>
  <c r="H2339" i="50"/>
  <c r="H3053" i="50" s="1"/>
  <c r="N2339" i="50"/>
  <c r="N3053" i="50" s="1"/>
  <c r="J2668" i="50"/>
  <c r="J3382" i="50" s="1"/>
  <c r="L2668" i="50"/>
  <c r="L3382" i="50" s="1"/>
  <c r="F2668" i="50"/>
  <c r="F3382" i="50" s="1"/>
  <c r="P2668" i="50"/>
  <c r="P3382" i="50" s="1"/>
  <c r="AD2227" i="50"/>
  <c r="AD2941" i="50" s="1"/>
  <c r="X2227" i="50"/>
  <c r="X2941" i="50" s="1"/>
  <c r="P2345" i="50"/>
  <c r="P3059" i="50" s="1"/>
  <c r="H2345" i="50"/>
  <c r="H3059" i="50" s="1"/>
  <c r="V2345" i="50"/>
  <c r="V3059" i="50" s="1"/>
  <c r="T2345" i="50"/>
  <c r="T3059" i="50" s="1"/>
  <c r="AB2345" i="50"/>
  <c r="AB3059" i="50" s="1"/>
  <c r="L2652" i="50"/>
  <c r="L3366" i="50" s="1"/>
  <c r="P2527" i="50"/>
  <c r="P3241" i="50" s="1"/>
  <c r="J2527" i="50"/>
  <c r="J3241" i="50" s="1"/>
  <c r="AB2841" i="50"/>
  <c r="AB3555" i="50" s="1"/>
  <c r="L2841" i="50"/>
  <c r="L3555" i="50" s="1"/>
  <c r="N2590" i="50"/>
  <c r="N3304" i="50" s="1"/>
  <c r="J2590" i="50"/>
  <c r="J3304" i="50" s="1"/>
  <c r="F2590" i="50"/>
  <c r="L2590" i="50"/>
  <c r="L3304" i="50" s="1"/>
  <c r="T2590" i="50"/>
  <c r="P2618" i="50"/>
  <c r="P3332" i="50" s="1"/>
  <c r="N2618" i="50"/>
  <c r="N3332" i="50" s="1"/>
  <c r="J2618" i="50"/>
  <c r="J3332" i="50" s="1"/>
  <c r="L2618" i="50"/>
  <c r="L3332" i="50" s="1"/>
  <c r="H2646" i="50"/>
  <c r="H3360" i="50" s="1"/>
  <c r="L2646" i="50"/>
  <c r="L3360" i="50" s="1"/>
  <c r="N2646" i="50"/>
  <c r="N3360" i="50" s="1"/>
  <c r="J2646" i="50"/>
  <c r="J3360" i="50" s="1"/>
  <c r="F2646" i="50"/>
  <c r="J2674" i="50"/>
  <c r="J3388" i="50" s="1"/>
  <c r="H2674" i="50"/>
  <c r="H3388" i="50" s="1"/>
  <c r="AB2674" i="50"/>
  <c r="AB3388" i="50" s="1"/>
  <c r="L2674" i="50"/>
  <c r="L3388" i="50" s="1"/>
  <c r="N2674" i="50"/>
  <c r="N3388" i="50" s="1"/>
  <c r="T2674" i="50"/>
  <c r="T3388" i="50" s="1"/>
  <c r="AB2702" i="50"/>
  <c r="AB3416" i="50" s="1"/>
  <c r="H2702" i="50"/>
  <c r="P2702" i="50"/>
  <c r="P3416" i="50" s="1"/>
  <c r="T2702" i="50"/>
  <c r="T3416" i="50" s="1"/>
  <c r="N2702" i="50"/>
  <c r="N3416" i="50" s="1"/>
  <c r="Z2702" i="50"/>
  <c r="Z3416" i="50" s="1"/>
  <c r="AD2702" i="50"/>
  <c r="AD3416" i="50" s="1"/>
  <c r="F2730" i="50"/>
  <c r="F3444" i="50" s="1"/>
  <c r="J2730" i="50"/>
  <c r="J3444" i="50" s="1"/>
  <c r="L2730" i="50"/>
  <c r="L3444" i="50" s="1"/>
  <c r="H2730" i="50"/>
  <c r="H3444" i="50" s="1"/>
  <c r="J2758" i="50"/>
  <c r="J3472" i="50" s="1"/>
  <c r="N2758" i="50"/>
  <c r="N3472" i="50" s="1"/>
  <c r="H2758" i="50"/>
  <c r="H3472" i="50" s="1"/>
  <c r="J2786" i="50"/>
  <c r="J3500" i="50" s="1"/>
  <c r="H2786" i="50"/>
  <c r="H3500" i="50" s="1"/>
  <c r="N2786" i="50"/>
  <c r="N3500" i="50" s="1"/>
  <c r="L2786" i="50"/>
  <c r="L3500" i="50" s="1"/>
  <c r="J2814" i="50"/>
  <c r="J3528" i="50" s="1"/>
  <c r="P2814" i="50"/>
  <c r="P3528" i="50" s="1"/>
  <c r="L2814" i="50"/>
  <c r="L3528" i="50" s="1"/>
  <c r="V2814" i="50"/>
  <c r="X2814" i="50"/>
  <c r="X3528" i="50" s="1"/>
  <c r="F2814" i="50"/>
  <c r="F3528" i="50" s="1"/>
  <c r="H2814" i="50"/>
  <c r="H3528" i="50" s="1"/>
  <c r="J2842" i="50"/>
  <c r="J3556" i="50" s="1"/>
  <c r="H2842" i="50"/>
  <c r="H3556" i="50" s="1"/>
  <c r="F2842" i="50"/>
  <c r="L2842" i="50"/>
  <c r="L3556" i="50" s="1"/>
  <c r="T2842" i="50"/>
  <c r="Z2337" i="50"/>
  <c r="Z3051" i="50" s="1"/>
  <c r="L2268" i="50"/>
  <c r="L2982" i="50" s="1"/>
  <c r="X2205" i="50"/>
  <c r="X2919" i="50" s="1"/>
  <c r="Z2745" i="50"/>
  <c r="Z3459" i="50" s="1"/>
  <c r="J2757" i="50"/>
  <c r="J3471" i="50" s="1"/>
  <c r="AD2492" i="50"/>
  <c r="AD3206" i="50" s="1"/>
  <c r="Z2752" i="50"/>
  <c r="Z3466" i="50" s="1"/>
  <c r="Z2277" i="50"/>
  <c r="Z2991" i="50" s="1"/>
  <c r="X2757" i="50"/>
  <c r="X3471" i="50" s="1"/>
  <c r="L2302" i="50"/>
  <c r="L3016" i="50" s="1"/>
  <c r="H2302" i="50"/>
  <c r="H3016" i="50" s="1"/>
  <c r="X2302" i="50"/>
  <c r="X3016" i="50" s="1"/>
  <c r="J2302" i="50"/>
  <c r="N2654" i="50"/>
  <c r="J2654" i="50"/>
  <c r="J3368" i="50" s="1"/>
  <c r="F2254" i="50"/>
  <c r="F2968" i="50" s="1"/>
  <c r="L2337" i="50"/>
  <c r="L3051" i="50" s="1"/>
  <c r="F2337" i="50"/>
  <c r="L2745" i="50"/>
  <c r="L3459" i="50" s="1"/>
  <c r="Z2205" i="50"/>
  <c r="Z2919" i="50" s="1"/>
  <c r="V2393" i="50"/>
  <c r="V3107" i="50" s="1"/>
  <c r="Z2701" i="50"/>
  <c r="AD2268" i="50"/>
  <c r="AD2982" i="50" s="1"/>
  <c r="P2268" i="50"/>
  <c r="P2982" i="50" s="1"/>
  <c r="V2268" i="50"/>
  <c r="V2982" i="50" s="1"/>
  <c r="H2268" i="50"/>
  <c r="H2982" i="50" s="1"/>
  <c r="F2654" i="50"/>
  <c r="F3368" i="50" s="1"/>
  <c r="AB2542" i="50"/>
  <c r="AB3256" i="50" s="1"/>
  <c r="N2634" i="50"/>
  <c r="N3348" i="50" s="1"/>
  <c r="P2393" i="50"/>
  <c r="P3107" i="50" s="1"/>
  <c r="V2331" i="50"/>
  <c r="V3045" i="50" s="1"/>
  <c r="J2331" i="50"/>
  <c r="J3045" i="50" s="1"/>
  <c r="Z2795" i="50"/>
  <c r="Z3509" i="50" s="1"/>
  <c r="P2795" i="50"/>
  <c r="P3509" i="50" s="1"/>
  <c r="P2346" i="50"/>
  <c r="P3060" i="50" s="1"/>
  <c r="H2557" i="50"/>
  <c r="H3271" i="50" s="1"/>
  <c r="N2557" i="50"/>
  <c r="N3271" i="50" s="1"/>
  <c r="F2330" i="50"/>
  <c r="F3044" i="50" s="1"/>
  <c r="H2330" i="50"/>
  <c r="H3044" i="50" s="1"/>
  <c r="AD2442" i="50"/>
  <c r="AD3156" i="50" s="1"/>
  <c r="J2591" i="50"/>
  <c r="J3305" i="50" s="1"/>
  <c r="N2591" i="50"/>
  <c r="N3305" i="50" s="1"/>
  <c r="F2702" i="50"/>
  <c r="F3416" i="50" s="1"/>
  <c r="H2598" i="50"/>
  <c r="H3312" i="50" s="1"/>
  <c r="AD2542" i="50"/>
  <c r="AD3256" i="50" s="1"/>
  <c r="N2738" i="50"/>
  <c r="N3452" i="50" s="1"/>
  <c r="V2242" i="50"/>
  <c r="V2956" i="50" s="1"/>
  <c r="P2171" i="50"/>
  <c r="P2885" i="50" s="1"/>
  <c r="N2710" i="50"/>
  <c r="N3424" i="50" s="1"/>
  <c r="L2710" i="50"/>
  <c r="L3424" i="50" s="1"/>
  <c r="V2696" i="50"/>
  <c r="V3410" i="50" s="1"/>
  <c r="F2696" i="50"/>
  <c r="F2795" i="50"/>
  <c r="F3509" i="50" s="1"/>
  <c r="F2268" i="50"/>
  <c r="F2982" i="50" s="1"/>
  <c r="V2837" i="50"/>
  <c r="V3551" i="50" s="1"/>
  <c r="N2296" i="50"/>
  <c r="N3010" i="50" s="1"/>
  <c r="AD2346" i="50"/>
  <c r="AD3060" i="50" s="1"/>
  <c r="AD2319" i="50"/>
  <c r="AD3033" i="50" s="1"/>
  <c r="F2248" i="50"/>
  <c r="F2962" i="50" s="1"/>
  <c r="AB2302" i="50"/>
  <c r="F2718" i="50"/>
  <c r="F3432" i="50" s="1"/>
  <c r="T2424" i="50"/>
  <c r="V2424" i="50"/>
  <c r="V3138" i="50" s="1"/>
  <c r="AD2717" i="50"/>
  <c r="AD3431" i="50" s="1"/>
  <c r="V2717" i="50"/>
  <c r="V3431" i="50" s="1"/>
  <c r="N2809" i="50"/>
  <c r="N3523" i="50" s="1"/>
  <c r="AD2780" i="50"/>
  <c r="AD3494" i="50" s="1"/>
  <c r="T2780" i="50"/>
  <c r="T3494" i="50" s="1"/>
  <c r="T2501" i="50"/>
  <c r="T3215" i="50" s="1"/>
  <c r="L2200" i="50"/>
  <c r="L2914" i="50" s="1"/>
  <c r="J2421" i="50"/>
  <c r="J3135" i="50" s="1"/>
  <c r="J2491" i="50"/>
  <c r="J3205" i="50" s="1"/>
  <c r="H2491" i="50"/>
  <c r="H3205" i="50" s="1"/>
  <c r="N2766" i="50"/>
  <c r="N3480" i="50" s="1"/>
  <c r="X2795" i="50"/>
  <c r="X3509" i="50" s="1"/>
  <c r="AD2205" i="50"/>
  <c r="AD2919" i="50" s="1"/>
  <c r="Z2248" i="50"/>
  <c r="Z2962" i="50" s="1"/>
  <c r="F2745" i="50"/>
  <c r="V2659" i="50"/>
  <c r="V3373" i="50" s="1"/>
  <c r="X2576" i="50"/>
  <c r="X3290" i="50" s="1"/>
  <c r="X2590" i="50"/>
  <c r="X3304" i="50" s="1"/>
  <c r="H2841" i="50"/>
  <c r="H3555" i="50" s="1"/>
  <c r="J2248" i="50"/>
  <c r="J2962" i="50" s="1"/>
  <c r="L2492" i="50"/>
  <c r="L3206" i="50" s="1"/>
  <c r="L2486" i="50"/>
  <c r="L3200" i="50" s="1"/>
  <c r="X2752" i="50"/>
  <c r="X3466" i="50" s="1"/>
  <c r="AD2380" i="50"/>
  <c r="AD3094" i="50" s="1"/>
  <c r="V2380" i="50"/>
  <c r="V3094" i="50" s="1"/>
  <c r="V2521" i="50"/>
  <c r="V3235" i="50" s="1"/>
  <c r="AD2828" i="50"/>
  <c r="AD3542" i="50" s="1"/>
  <c r="L2368" i="50"/>
  <c r="L3082" i="50" s="1"/>
  <c r="J2634" i="50"/>
  <c r="J3348" i="50" s="1"/>
  <c r="J2395" i="50"/>
  <c r="J3109" i="50" s="1"/>
  <c r="AB2353" i="50"/>
  <c r="AB3067" i="50" s="1"/>
  <c r="H2480" i="50"/>
  <c r="AB2507" i="50"/>
  <c r="AB3221" i="50" s="1"/>
  <c r="Z2219" i="50"/>
  <c r="Z2933" i="50" s="1"/>
  <c r="N2736" i="50"/>
  <c r="N3450" i="50" s="1"/>
  <c r="T2736" i="50"/>
  <c r="H2162" i="50"/>
  <c r="H2876" i="50" s="1"/>
  <c r="F2162" i="50"/>
  <c r="J2381" i="50"/>
  <c r="J3095" i="50" s="1"/>
  <c r="N2381" i="50"/>
  <c r="N3095" i="50" s="1"/>
  <c r="V2563" i="50"/>
  <c r="V3277" i="50" s="1"/>
  <c r="T2486" i="50"/>
  <c r="T3200" i="50" s="1"/>
  <c r="T2666" i="50"/>
  <c r="T3380" i="50" s="1"/>
  <c r="N2458" i="50"/>
  <c r="N3172" i="50" s="1"/>
  <c r="L2809" i="50"/>
  <c r="L3523" i="50" s="1"/>
  <c r="V2417" i="50"/>
  <c r="V3131" i="50" s="1"/>
  <c r="AD2674" i="50"/>
  <c r="AD3388" i="50" s="1"/>
  <c r="Z2416" i="50"/>
  <c r="Z3130" i="50" s="1"/>
  <c r="L2373" i="50"/>
  <c r="L3087" i="50" s="1"/>
  <c r="L2204" i="50"/>
  <c r="L2918" i="50" s="1"/>
  <c r="F2204" i="50"/>
  <c r="F2918" i="50" s="1"/>
  <c r="H2204" i="50"/>
  <c r="H2918" i="50" s="1"/>
  <c r="J2570" i="50"/>
  <c r="J3284" i="50" s="1"/>
  <c r="AB2570" i="50"/>
  <c r="AB3284" i="50" s="1"/>
  <c r="N2570" i="50"/>
  <c r="N3284" i="50" s="1"/>
  <c r="AD2486" i="50"/>
  <c r="AD3200" i="50" s="1"/>
  <c r="F2736" i="50"/>
  <c r="F3450" i="50" s="1"/>
  <c r="F2652" i="50"/>
  <c r="F3366" i="50" s="1"/>
  <c r="V2674" i="50"/>
  <c r="V3388" i="50" s="1"/>
  <c r="L2584" i="50"/>
  <c r="L3298" i="50" s="1"/>
  <c r="AB2851" i="50"/>
  <c r="AB3565" i="50" s="1"/>
  <c r="AD2851" i="50"/>
  <c r="AD3565" i="50" s="1"/>
  <c r="T2673" i="50"/>
  <c r="T3387" i="50" s="1"/>
  <c r="H2673" i="50"/>
  <c r="H3387" i="50" s="1"/>
  <c r="X2373" i="50"/>
  <c r="X3087" i="50" s="1"/>
  <c r="H2395" i="50"/>
  <c r="H3109" i="50" s="1"/>
  <c r="Z2353" i="50"/>
  <c r="Z3067" i="50" s="1"/>
  <c r="F2323" i="50"/>
  <c r="F2758" i="50"/>
  <c r="H2590" i="50"/>
  <c r="H3304" i="50" s="1"/>
  <c r="P2646" i="50"/>
  <c r="P3360" i="50" s="1"/>
  <c r="N2842" i="50"/>
  <c r="N3556" i="50" s="1"/>
  <c r="P2590" i="50"/>
  <c r="P3304" i="50" s="1"/>
  <c r="J2702" i="50"/>
  <c r="J3416" i="50" s="1"/>
  <c r="P2758" i="50"/>
  <c r="P3472" i="50" s="1"/>
  <c r="T2254" i="50"/>
  <c r="T2968" i="50" s="1"/>
  <c r="Z2730" i="50"/>
  <c r="Z3444" i="50" s="1"/>
  <c r="P2674" i="50"/>
  <c r="P3388" i="50" s="1"/>
  <c r="Z2842" i="50"/>
  <c r="Z3556" i="50" s="1"/>
  <c r="J2563" i="50"/>
  <c r="J3277" i="50" s="1"/>
  <c r="P2730" i="50"/>
  <c r="P3444" i="50" s="1"/>
  <c r="P2842" i="50"/>
  <c r="P3556" i="50" s="1"/>
  <c r="X2842" i="50"/>
  <c r="X3556" i="50" s="1"/>
  <c r="D784" i="50"/>
  <c r="D2939" i="50"/>
  <c r="C1503" i="50"/>
  <c r="C2218" i="50" s="1"/>
  <c r="C777" i="50"/>
  <c r="BL21" i="49"/>
  <c r="J2192" i="50"/>
  <c r="J2906" i="50" s="1"/>
  <c r="AB2192" i="50"/>
  <c r="AB2906" i="50" s="1"/>
  <c r="T2192" i="50"/>
  <c r="T2906" i="50" s="1"/>
  <c r="P2192" i="50"/>
  <c r="P2906" i="50" s="1"/>
  <c r="Z2192" i="50"/>
  <c r="Z2906" i="50" s="1"/>
  <c r="H2192" i="50"/>
  <c r="H2906" i="50" s="1"/>
  <c r="C1524" i="50"/>
  <c r="C2239" i="50" s="1"/>
  <c r="AO89" i="50"/>
  <c r="P137" i="49"/>
  <c r="BM137" i="49"/>
  <c r="BQ137" i="49" s="1"/>
  <c r="D2890" i="50"/>
  <c r="D735" i="50"/>
  <c r="D1454" i="50"/>
  <c r="D728" i="50"/>
  <c r="AD2603" i="50"/>
  <c r="AD3317" i="50" s="1"/>
  <c r="H2450" i="50"/>
  <c r="H3164" i="50" s="1"/>
  <c r="T3030" i="50"/>
  <c r="J2696" i="50"/>
  <c r="J3410" i="50" s="1"/>
  <c r="T2722" i="50"/>
  <c r="T2297" i="50"/>
  <c r="T3011" i="50" s="1"/>
  <c r="J2240" i="50"/>
  <c r="J2954" i="50" s="1"/>
  <c r="L2164" i="50"/>
  <c r="L2878" i="50" s="1"/>
  <c r="AD2661" i="50"/>
  <c r="AD3375" i="50" s="1"/>
  <c r="Z2338" i="50"/>
  <c r="Z3052" i="50" s="1"/>
  <c r="H2387" i="50"/>
  <c r="H3101" i="50" s="1"/>
  <c r="AD2669" i="50"/>
  <c r="AD3383" i="50" s="1"/>
  <c r="V2177" i="50"/>
  <c r="J2722" i="50"/>
  <c r="J3436" i="50" s="1"/>
  <c r="P2687" i="50"/>
  <c r="P3401" i="50" s="1"/>
  <c r="V2450" i="50"/>
  <c r="V3164" i="50" s="1"/>
  <c r="J2541" i="50"/>
  <c r="J3255" i="50" s="1"/>
  <c r="T2669" i="50"/>
  <c r="AD2338" i="50"/>
  <c r="AD3052" i="50" s="1"/>
  <c r="X2338" i="50"/>
  <c r="X3052" i="50" s="1"/>
  <c r="P2177" i="50"/>
  <c r="P2891" i="50" s="1"/>
  <c r="V2633" i="50"/>
  <c r="V3347" i="50" s="1"/>
  <c r="AB2822" i="50"/>
  <c r="AB3536" i="50" s="1"/>
  <c r="V2212" i="50"/>
  <c r="H2212" i="50"/>
  <c r="H2926" i="50" s="1"/>
  <c r="V2556" i="50"/>
  <c r="V3270" i="50" s="1"/>
  <c r="P2212" i="50"/>
  <c r="P2926" i="50" s="1"/>
  <c r="N2177" i="50"/>
  <c r="N2891" i="50" s="1"/>
  <c r="J2323" i="50"/>
  <c r="J3037" i="50" s="1"/>
  <c r="L2547" i="50"/>
  <c r="L3261" i="50" s="1"/>
  <c r="X2501" i="50"/>
  <c r="X3215" i="50" s="1"/>
  <c r="X2599" i="50"/>
  <c r="X3313" i="50" s="1"/>
  <c r="AD2627" i="50"/>
  <c r="AD3341" i="50" s="1"/>
  <c r="L2177" i="50"/>
  <c r="L2891" i="50" s="1"/>
  <c r="N2394" i="50"/>
  <c r="N3108" i="50" s="1"/>
  <c r="N2599" i="50"/>
  <c r="N3313" i="50" s="1"/>
  <c r="P2968" i="50"/>
  <c r="AB2263" i="50"/>
  <c r="AB2977" i="50" s="1"/>
  <c r="Z2501" i="50"/>
  <c r="Z3215" i="50" s="1"/>
  <c r="AD2190" i="50"/>
  <c r="AD2904" i="50" s="1"/>
  <c r="N2626" i="50"/>
  <c r="N3340" i="50" s="1"/>
  <c r="N2408" i="50"/>
  <c r="N3122" i="50" s="1"/>
  <c r="J2493" i="50"/>
  <c r="J3207" i="50" s="1"/>
  <c r="N2487" i="50"/>
  <c r="N3201" i="50" s="1"/>
  <c r="N2547" i="50"/>
  <c r="N3261" i="50" s="1"/>
  <c r="H2547" i="50"/>
  <c r="H3261" i="50" s="1"/>
  <c r="X2556" i="50"/>
  <c r="X3270" i="50" s="1"/>
  <c r="AB2190" i="50"/>
  <c r="AB2904" i="50" s="1"/>
  <c r="J2487" i="50"/>
  <c r="J3201" i="50" s="1"/>
  <c r="V2822" i="50"/>
  <c r="V3536" i="50" s="1"/>
  <c r="H2323" i="50"/>
  <c r="H3037" i="50" s="1"/>
  <c r="AD2235" i="50"/>
  <c r="AD2949" i="50" s="1"/>
  <c r="Z2822" i="50"/>
  <c r="Z3536" i="50" s="1"/>
  <c r="J2785" i="50"/>
  <c r="J3499" i="50" s="1"/>
  <c r="J2200" i="50"/>
  <c r="J2914" i="50" s="1"/>
  <c r="H2781" i="50"/>
  <c r="H3495" i="50" s="1"/>
  <c r="N2164" i="50"/>
  <c r="N2878" i="50" s="1"/>
  <c r="J2585" i="50"/>
  <c r="J3299" i="50" s="1"/>
  <c r="F2338" i="50"/>
  <c r="L2472" i="50"/>
  <c r="L3186" i="50" s="1"/>
  <c r="V2389" i="50"/>
  <c r="V3103" i="50" s="1"/>
  <c r="AD2389" i="50"/>
  <c r="AD3103" i="50" s="1"/>
  <c r="AD2284" i="50"/>
  <c r="AD2998" i="50" s="1"/>
  <c r="T2379" i="50"/>
  <c r="T3093" i="50" s="1"/>
  <c r="J2164" i="50"/>
  <c r="J2878" i="50" s="1"/>
  <c r="Z2407" i="50"/>
  <c r="Z3121" i="50" s="1"/>
  <c r="P2619" i="50"/>
  <c r="P3333" i="50" s="1"/>
  <c r="P2599" i="50"/>
  <c r="AB2843" i="50"/>
  <c r="AB3557" i="50" s="1"/>
  <c r="J2633" i="50"/>
  <c r="J3347" i="50" s="1"/>
  <c r="P2338" i="50"/>
  <c r="P3052" i="50" s="1"/>
  <c r="N2585" i="50"/>
  <c r="N3299" i="50" s="1"/>
  <c r="Z2200" i="50"/>
  <c r="Z2914" i="50" s="1"/>
  <c r="AB2729" i="50"/>
  <c r="AB3443" i="50" s="1"/>
  <c r="F2843" i="50"/>
  <c r="N2494" i="50"/>
  <c r="N3208" i="50" s="1"/>
  <c r="P2179" i="50"/>
  <c r="P2893" i="50" s="1"/>
  <c r="T3369" i="50"/>
  <c r="F2375" i="50"/>
  <c r="F3089" i="50" s="1"/>
  <c r="AD2795" i="50"/>
  <c r="AD3509" i="50" s="1"/>
  <c r="X2277" i="50"/>
  <c r="X2991" i="50" s="1"/>
  <c r="P2375" i="50"/>
  <c r="P3089" i="50" s="1"/>
  <c r="L2379" i="50"/>
  <c r="L3093" i="50" s="1"/>
  <c r="AB2277" i="50"/>
  <c r="AB2991" i="50" s="1"/>
  <c r="F2536" i="50"/>
  <c r="N2631" i="50"/>
  <c r="N3345" i="50" s="1"/>
  <c r="L2389" i="50"/>
  <c r="L3103" i="50" s="1"/>
  <c r="H2368" i="50"/>
  <c r="Z2764" i="50"/>
  <c r="Z3478" i="50" s="1"/>
  <c r="X2844" i="50"/>
  <c r="X3558" i="50" s="1"/>
  <c r="F2407" i="50"/>
  <c r="L2249" i="50"/>
  <c r="L2963" i="50" s="1"/>
  <c r="P2631" i="50"/>
  <c r="P3345" i="50" s="1"/>
  <c r="F2717" i="50"/>
  <c r="F2282" i="50"/>
  <c r="X2177" i="50"/>
  <c r="X2891" i="50" s="1"/>
  <c r="H2575" i="50"/>
  <c r="H3289" i="50" s="1"/>
  <c r="H2438" i="50"/>
  <c r="L2338" i="50"/>
  <c r="L3052" i="50" s="1"/>
  <c r="L2661" i="50"/>
  <c r="L3375" i="50" s="1"/>
  <c r="AD2576" i="50"/>
  <c r="AD3290" i="50" s="1"/>
  <c r="P2661" i="50"/>
  <c r="P3375" i="50" s="1"/>
  <c r="J2198" i="50"/>
  <c r="J2912" i="50" s="1"/>
  <c r="L2575" i="50"/>
  <c r="L3289" i="50" s="1"/>
  <c r="F2549" i="50"/>
  <c r="N2198" i="50"/>
  <c r="N2912" i="50" s="1"/>
  <c r="P2324" i="50"/>
  <c r="P3038" i="50" s="1"/>
  <c r="X2498" i="50"/>
  <c r="X3212" i="50" s="1"/>
  <c r="AB2498" i="50"/>
  <c r="AB3212" i="50" s="1"/>
  <c r="L2191" i="50"/>
  <c r="L2905" i="50" s="1"/>
  <c r="Z2844" i="50"/>
  <c r="Z3558" i="50" s="1"/>
  <c r="H2703" i="50"/>
  <c r="AB2240" i="50"/>
  <c r="Z2785" i="50"/>
  <c r="Z3499" i="50" s="1"/>
  <c r="Z2325" i="50"/>
  <c r="Z3039" i="50" s="1"/>
  <c r="H2283" i="50"/>
  <c r="H2997" i="50" s="1"/>
  <c r="V2249" i="50"/>
  <c r="V2963" i="50" s="1"/>
  <c r="AB2268" i="50"/>
  <c r="AB2982" i="50" s="1"/>
  <c r="N2701" i="50"/>
  <c r="N3415" i="50" s="1"/>
  <c r="T2374" i="50"/>
  <c r="X2515" i="50"/>
  <c r="X3229" i="50" s="1"/>
  <c r="L2283" i="50"/>
  <c r="L2997" i="50" s="1"/>
  <c r="T2249" i="50"/>
  <c r="H2472" i="50"/>
  <c r="H3186" i="50" s="1"/>
  <c r="P2472" i="50"/>
  <c r="P3186" i="50" s="1"/>
  <c r="X2374" i="50"/>
  <c r="X3088" i="50" s="1"/>
  <c r="F2284" i="50"/>
  <c r="V2627" i="50"/>
  <c r="V3341" i="50" s="1"/>
  <c r="N2283" i="50"/>
  <c r="N2997" i="50" s="1"/>
  <c r="Z2858" i="50"/>
  <c r="Z3572" i="50" s="1"/>
  <c r="V2515" i="50"/>
  <c r="V3229" i="50" s="1"/>
  <c r="AD2493" i="50"/>
  <c r="AD3207" i="50" s="1"/>
  <c r="AB2284" i="50"/>
  <c r="AB2998" i="50" s="1"/>
  <c r="AB2605" i="50"/>
  <c r="AB3319" i="50" s="1"/>
  <c r="H2415" i="50"/>
  <c r="H3129" i="50" s="1"/>
  <c r="F2240" i="50"/>
  <c r="H2403" i="50"/>
  <c r="H3117" i="50" s="1"/>
  <c r="J2764" i="50"/>
  <c r="J3478" i="50" s="1"/>
  <c r="X2828" i="50"/>
  <c r="X3542" i="50" s="1"/>
  <c r="L2820" i="50"/>
  <c r="L3534" i="50" s="1"/>
  <c r="H2346" i="50"/>
  <c r="H2240" i="50"/>
  <c r="H2954" i="50" s="1"/>
  <c r="L2764" i="50"/>
  <c r="L3478" i="50" s="1"/>
  <c r="N2240" i="50"/>
  <c r="N2954" i="50" s="1"/>
  <c r="X2605" i="50"/>
  <c r="X3319" i="50" s="1"/>
  <c r="J2415" i="50"/>
  <c r="J3129" i="50" s="1"/>
  <c r="N2696" i="50"/>
  <c r="N3410" i="50" s="1"/>
  <c r="H2696" i="50"/>
  <c r="H3410" i="50" s="1"/>
  <c r="N2675" i="50"/>
  <c r="N3389" i="50" s="1"/>
  <c r="Z2722" i="50"/>
  <c r="Z3436" i="50" s="1"/>
  <c r="C9" i="70"/>
  <c r="AB2703" i="50"/>
  <c r="AB3417" i="50" s="1"/>
  <c r="P2703" i="50"/>
  <c r="P3417" i="50" s="1"/>
  <c r="L2703" i="50"/>
  <c r="L3417" i="50" s="1"/>
  <c r="J2268" i="50"/>
  <c r="J2982" i="50" s="1"/>
  <c r="X2331" i="50"/>
  <c r="J2701" i="50"/>
  <c r="J3415" i="50" s="1"/>
  <c r="AB2795" i="50"/>
  <c r="AB3509" i="50" s="1"/>
  <c r="T2346" i="50"/>
  <c r="T3060" i="50" s="1"/>
  <c r="V2802" i="50"/>
  <c r="P2361" i="50"/>
  <c r="P3075" i="50" s="1"/>
  <c r="AB2760" i="50"/>
  <c r="AB3474" i="50" s="1"/>
  <c r="AD2540" i="50"/>
  <c r="AD3254" i="50" s="1"/>
  <c r="T2260" i="50"/>
  <c r="H2668" i="50"/>
  <c r="H3382" i="50" s="1"/>
  <c r="X2603" i="50"/>
  <c r="X3317" i="50" s="1"/>
  <c r="AD2428" i="50"/>
  <c r="AD3142" i="50" s="1"/>
  <c r="V2428" i="50"/>
  <c r="V3142" i="50" s="1"/>
  <c r="N2247" i="50"/>
  <c r="N2961" i="50" s="1"/>
  <c r="V2764" i="50"/>
  <c r="V3478" i="50" s="1"/>
  <c r="J2389" i="50"/>
  <c r="J3103" i="50" s="1"/>
  <c r="L2717" i="50"/>
  <c r="L3431" i="50" s="1"/>
  <c r="P2164" i="50"/>
  <c r="P2878" i="50" s="1"/>
  <c r="AD2297" i="50"/>
  <c r="AD3011" i="50" s="1"/>
  <c r="Z2389" i="50"/>
  <c r="Z3103" i="50" s="1"/>
  <c r="Z2498" i="50"/>
  <c r="Z3212" i="50" s="1"/>
  <c r="AB2661" i="50"/>
  <c r="AB3375" i="50" s="1"/>
  <c r="H2249" i="50"/>
  <c r="H2963" i="50" s="1"/>
  <c r="P2249" i="50"/>
  <c r="P2963" i="50" s="1"/>
  <c r="AD2520" i="50"/>
  <c r="AD3234" i="50" s="1"/>
  <c r="J2463" i="50"/>
  <c r="J3177" i="50" s="1"/>
  <c r="P2296" i="50"/>
  <c r="P3010" i="50" s="1"/>
  <c r="T2554" i="50"/>
  <c r="F2836" i="50"/>
  <c r="N2836" i="50"/>
  <c r="N3550" i="50" s="1"/>
  <c r="V2372" i="50"/>
  <c r="V3086" i="50" s="1"/>
  <c r="L2239" i="50"/>
  <c r="L2953" i="50" s="1"/>
  <c r="AB2659" i="50"/>
  <c r="AB3373" i="50" s="1"/>
  <c r="Z2576" i="50"/>
  <c r="Z3290" i="50" s="1"/>
  <c r="N2387" i="50"/>
  <c r="N3101" i="50" s="1"/>
  <c r="L2387" i="50"/>
  <c r="L3101" i="50" s="1"/>
  <c r="L2267" i="50"/>
  <c r="H2267" i="50"/>
  <c r="H2981" i="50" s="1"/>
  <c r="AD2731" i="50"/>
  <c r="AD3445" i="50" s="1"/>
  <c r="AB2464" i="50"/>
  <c r="AB3178" i="50" s="1"/>
  <c r="T2338" i="50"/>
  <c r="J2841" i="50"/>
  <c r="J3555" i="50" s="1"/>
  <c r="N2841" i="50"/>
  <c r="N3555" i="50" s="1"/>
  <c r="H2289" i="50"/>
  <c r="H2661" i="50"/>
  <c r="H3375" i="50" s="1"/>
  <c r="J2816" i="50"/>
  <c r="H2248" i="50"/>
  <c r="H2962" i="50" s="1"/>
  <c r="H2555" i="50"/>
  <c r="H3269" i="50" s="1"/>
  <c r="Z2767" i="50"/>
  <c r="Z3481" i="50" s="1"/>
  <c r="P2673" i="50"/>
  <c r="P3387" i="50" s="1"/>
  <c r="H2687" i="50"/>
  <c r="H3401" i="50" s="1"/>
  <c r="T2387" i="50"/>
  <c r="X2491" i="50"/>
  <c r="X3205" i="50" s="1"/>
  <c r="N2185" i="50"/>
  <c r="V2240" i="50"/>
  <c r="V2954" i="50" s="1"/>
  <c r="Z2240" i="50"/>
  <c r="Z2954" i="50" s="1"/>
  <c r="AB2585" i="50"/>
  <c r="AB3299" i="50" s="1"/>
  <c r="L2372" i="50"/>
  <c r="L3086" i="50" s="1"/>
  <c r="AB2430" i="50"/>
  <c r="AB3144" i="50" s="1"/>
  <c r="Z2438" i="50"/>
  <c r="Z3152" i="50" s="1"/>
  <c r="P2206" i="50"/>
  <c r="P2920" i="50" s="1"/>
  <c r="AD2379" i="50"/>
  <c r="AD3093" i="50" s="1"/>
  <c r="AB2562" i="50"/>
  <c r="AB3276" i="50" s="1"/>
  <c r="P2633" i="50"/>
  <c r="P3347" i="50" s="1"/>
  <c r="AB2752" i="50"/>
  <c r="AB3466" i="50" s="1"/>
  <c r="P2541" i="50"/>
  <c r="P3255" i="50" s="1"/>
  <c r="P2303" i="50"/>
  <c r="P3017" i="50" s="1"/>
  <c r="L2303" i="50"/>
  <c r="L3017" i="50" s="1"/>
  <c r="AB2667" i="50"/>
  <c r="AB3381" i="50" s="1"/>
  <c r="X2816" i="50"/>
  <c r="AB2500" i="50"/>
  <c r="AB3214" i="50" s="1"/>
  <c r="V2500" i="50"/>
  <c r="V3214" i="50" s="1"/>
  <c r="H2549" i="50"/>
  <c r="H3263" i="50" s="1"/>
  <c r="F3157" i="50"/>
  <c r="AD2710" i="50"/>
  <c r="P2240" i="50"/>
  <c r="P2954" i="50" s="1"/>
  <c r="AB2666" i="50"/>
  <c r="AB3380" i="50" s="1"/>
  <c r="V2666" i="50"/>
  <c r="V3380" i="50" s="1"/>
  <c r="T2557" i="50"/>
  <c r="L2192" i="50"/>
  <c r="L2906" i="50" s="1"/>
  <c r="F2715" i="50"/>
  <c r="V2557" i="50"/>
  <c r="V3271" i="50" s="1"/>
  <c r="H2456" i="50"/>
  <c r="H3170" i="50" s="1"/>
  <c r="F2513" i="50"/>
  <c r="F3227" i="50" s="1"/>
  <c r="J2513" i="50"/>
  <c r="J3227" i="50" s="1"/>
  <c r="L2513" i="50"/>
  <c r="L3227" i="50" s="1"/>
  <c r="P2528" i="50"/>
  <c r="P3242" i="50" s="1"/>
  <c r="H2508" i="50"/>
  <c r="H3222" i="50" s="1"/>
  <c r="Z2828" i="50"/>
  <c r="Z3542" i="50" s="1"/>
  <c r="V2828" i="50"/>
  <c r="V3542" i="50" s="1"/>
  <c r="AD2200" i="50"/>
  <c r="AD2914" i="50" s="1"/>
  <c r="AD2387" i="50"/>
  <c r="AD3101" i="50" s="1"/>
  <c r="C19" i="70"/>
  <c r="C20" i="70" s="1"/>
  <c r="X2633" i="50"/>
  <c r="X3347" i="50" s="1"/>
  <c r="AD2836" i="50"/>
  <c r="AD3550" i="50" s="1"/>
  <c r="V2338" i="50"/>
  <c r="V3052" i="50" s="1"/>
  <c r="X2729" i="50"/>
  <c r="X3443" i="50" s="1"/>
  <c r="AD2324" i="50"/>
  <c r="AD3038" i="50" s="1"/>
  <c r="V2722" i="50"/>
  <c r="V3436" i="50" s="1"/>
  <c r="J2438" i="50"/>
  <c r="J3152" i="50" s="1"/>
  <c r="P2464" i="50"/>
  <c r="P3178" i="50" s="1"/>
  <c r="H2802" i="50"/>
  <c r="H3516" i="50" s="1"/>
  <c r="H2501" i="50"/>
  <c r="H3215" i="50" s="1"/>
  <c r="J2557" i="50"/>
  <c r="J3271" i="50" s="1"/>
  <c r="Z2660" i="50"/>
  <c r="Z3374" i="50" s="1"/>
  <c r="P2856" i="50"/>
  <c r="P3570" i="50" s="1"/>
  <c r="F2611" i="50"/>
  <c r="F3325" i="50" s="1"/>
  <c r="H2226" i="50"/>
  <c r="L2403" i="50"/>
  <c r="L3117" i="50" s="1"/>
  <c r="L2498" i="50"/>
  <c r="L3212" i="50" s="1"/>
  <c r="T2682" i="50"/>
  <c r="T3396" i="50" s="1"/>
  <c r="X2316" i="50"/>
  <c r="X3030" i="50" s="1"/>
  <c r="V2729" i="50"/>
  <c r="V3443" i="50" s="1"/>
  <c r="V2373" i="50"/>
  <c r="V3087" i="50" s="1"/>
  <c r="L2828" i="50"/>
  <c r="X2632" i="50"/>
  <c r="X3346" i="50" s="1"/>
  <c r="P2828" i="50"/>
  <c r="P3542" i="50" s="1"/>
  <c r="H2422" i="50"/>
  <c r="H3136" i="50" s="1"/>
  <c r="L2856" i="50"/>
  <c r="L3570" i="50" s="1"/>
  <c r="L2800" i="50"/>
  <c r="L3514" i="50" s="1"/>
  <c r="F2800" i="50"/>
  <c r="F2772" i="50"/>
  <c r="P2744" i="50"/>
  <c r="P3458" i="50" s="1"/>
  <c r="J2744" i="50"/>
  <c r="J3458" i="50" s="1"/>
  <c r="F2632" i="50"/>
  <c r="N2604" i="50"/>
  <c r="N3318" i="50" s="1"/>
  <c r="L2576" i="50"/>
  <c r="L3290" i="50" s="1"/>
  <c r="N2501" i="50"/>
  <c r="N3215" i="50" s="1"/>
  <c r="L2421" i="50"/>
  <c r="L3135" i="50" s="1"/>
  <c r="J2262" i="50"/>
  <c r="J2976" i="50" s="1"/>
  <c r="J2464" i="50"/>
  <c r="J3178" i="50" s="1"/>
  <c r="P2576" i="50"/>
  <c r="P3290" i="50" s="1"/>
  <c r="AD2855" i="50"/>
  <c r="AD3569" i="50" s="1"/>
  <c r="X2165" i="50"/>
  <c r="X2879" i="50" s="1"/>
  <c r="N2464" i="50"/>
  <c r="N3178" i="50" s="1"/>
  <c r="N2219" i="50"/>
  <c r="N2933" i="50" s="1"/>
  <c r="J2688" i="50"/>
  <c r="J3402" i="50" s="1"/>
  <c r="H2576" i="50"/>
  <c r="H3290" i="50" s="1"/>
  <c r="N2527" i="50"/>
  <c r="N3241" i="50" s="1"/>
  <c r="Z2423" i="50"/>
  <c r="Z3137" i="50" s="1"/>
  <c r="F2345" i="50"/>
  <c r="F2493" i="50"/>
  <c r="J2666" i="50"/>
  <c r="P2666" i="50"/>
  <c r="P3380" i="50" s="1"/>
  <c r="AB2722" i="50"/>
  <c r="AB3436" i="50" s="1"/>
  <c r="L2219" i="50"/>
  <c r="L2933" i="50" s="1"/>
  <c r="V2219" i="50"/>
  <c r="V2933" i="50" s="1"/>
  <c r="H2421" i="50"/>
  <c r="H3135" i="50" s="1"/>
  <c r="L2673" i="50"/>
  <c r="L3387" i="50" s="1"/>
  <c r="P2501" i="50"/>
  <c r="P3215" i="50" s="1"/>
  <c r="H2184" i="50"/>
  <c r="H2898" i="50" s="1"/>
  <c r="N2779" i="50"/>
  <c r="N3493" i="50" s="1"/>
  <c r="J2583" i="50"/>
  <c r="J3297" i="50" s="1"/>
  <c r="P2639" i="50"/>
  <c r="P3353" i="50" s="1"/>
  <c r="J2779" i="50"/>
  <c r="J3493" i="50" s="1"/>
  <c r="F2723" i="50"/>
  <c r="F3437" i="50" s="1"/>
  <c r="AD2212" i="50"/>
  <c r="F2212" i="50"/>
  <c r="F2835" i="50"/>
  <c r="N2751" i="50"/>
  <c r="N3465" i="50" s="1"/>
  <c r="F2583" i="50"/>
  <c r="J2639" i="50"/>
  <c r="J3353" i="50" s="1"/>
  <c r="H2751" i="50"/>
  <c r="H3465" i="50" s="1"/>
  <c r="L2807" i="50"/>
  <c r="L3521" i="50" s="1"/>
  <c r="F2779" i="50"/>
  <c r="P2723" i="50"/>
  <c r="P3437" i="50" s="1"/>
  <c r="V2800" i="50"/>
  <c r="AD2563" i="50"/>
  <c r="AD3277" i="50" s="1"/>
  <c r="V2227" i="50"/>
  <c r="V2941" i="50" s="1"/>
  <c r="AD2556" i="50"/>
  <c r="AD3270" i="50" s="1"/>
  <c r="AD2430" i="50"/>
  <c r="AD3144" i="50" s="1"/>
  <c r="T2430" i="50"/>
  <c r="Z2666" i="50"/>
  <c r="Z3380" i="50" s="1"/>
  <c r="V3115" i="50"/>
  <c r="T2227" i="50"/>
  <c r="X2212" i="50"/>
  <c r="AB2247" i="50"/>
  <c r="AB2961" i="50" s="1"/>
  <c r="AB2316" i="50"/>
  <c r="AB3030" i="50" s="1"/>
  <c r="X2753" i="50"/>
  <c r="X3467" i="50" s="1"/>
  <c r="H2627" i="50"/>
  <c r="H3341" i="50" s="1"/>
  <c r="F2584" i="50"/>
  <c r="P2718" i="50"/>
  <c r="P3432" i="50" s="1"/>
  <c r="H2652" i="50"/>
  <c r="X2375" i="50"/>
  <c r="X3089" i="50" s="1"/>
  <c r="N2402" i="50"/>
  <c r="N3116" i="50" s="1"/>
  <c r="AB2673" i="50"/>
  <c r="AB3387" i="50" s="1"/>
  <c r="P2365" i="50"/>
  <c r="P3079" i="50" s="1"/>
  <c r="J2358" i="50"/>
  <c r="V2682" i="50"/>
  <c r="V3396" i="50" s="1"/>
  <c r="N2505" i="50"/>
  <c r="N3219" i="50" s="1"/>
  <c r="P2851" i="50"/>
  <c r="P3565" i="50" s="1"/>
  <c r="F2851" i="50"/>
  <c r="P2394" i="50"/>
  <c r="P3108" i="50" s="1"/>
  <c r="H2599" i="50"/>
  <c r="H3313" i="50" s="1"/>
  <c r="T2312" i="50"/>
  <c r="AB2409" i="50"/>
  <c r="AB3123" i="50" s="1"/>
  <c r="L2844" i="50"/>
  <c r="L3558" i="50" s="1"/>
  <c r="AB2632" i="50"/>
  <c r="AB3346" i="50" s="1"/>
  <c r="P2354" i="50"/>
  <c r="P3068" i="50" s="1"/>
  <c r="L2408" i="50"/>
  <c r="L3122" i="50" s="1"/>
  <c r="V2578" i="50"/>
  <c r="V3292" i="50" s="1"/>
  <c r="P2457" i="50"/>
  <c r="P3171" i="50" s="1"/>
  <c r="P2402" i="50"/>
  <c r="P3116" i="50" s="1"/>
  <c r="X2312" i="50"/>
  <c r="X3026" i="50" s="1"/>
  <c r="AD2353" i="50"/>
  <c r="AD3067" i="50" s="1"/>
  <c r="AD2344" i="50"/>
  <c r="X2855" i="50"/>
  <c r="X3569" i="50" s="1"/>
  <c r="V2855" i="50"/>
  <c r="V3569" i="50" s="1"/>
  <c r="Z2750" i="50"/>
  <c r="Z3464" i="50" s="1"/>
  <c r="AD2750" i="50"/>
  <c r="AD3464" i="50" s="1"/>
  <c r="N2639" i="50"/>
  <c r="N3353" i="50" s="1"/>
  <c r="L2696" i="50"/>
  <c r="L3410" i="50" s="1"/>
  <c r="X2507" i="50"/>
  <c r="X3221" i="50" s="1"/>
  <c r="AD2507" i="50"/>
  <c r="AD3221" i="50" s="1"/>
  <c r="AB2750" i="50"/>
  <c r="AB3464" i="50" s="1"/>
  <c r="N2295" i="50"/>
  <c r="N3009" i="50" s="1"/>
  <c r="N2673" i="50"/>
  <c r="N3387" i="50" s="1"/>
  <c r="J2802" i="50"/>
  <c r="J3516" i="50" s="1"/>
  <c r="T2402" i="50"/>
  <c r="J2212" i="50"/>
  <c r="J2926" i="50" s="1"/>
  <c r="AD2793" i="50"/>
  <c r="T2375" i="50"/>
  <c r="T3089" i="50" s="1"/>
  <c r="T2235" i="50"/>
  <c r="T2949" i="50" s="1"/>
  <c r="X2235" i="50"/>
  <c r="X2949" i="50" s="1"/>
  <c r="J39" i="48"/>
  <c r="J2718" i="50"/>
  <c r="P2422" i="50"/>
  <c r="P3136" i="50" s="1"/>
  <c r="J2228" i="50"/>
  <c r="J2942" i="50" s="1"/>
  <c r="F2569" i="50"/>
  <c r="N2491" i="50"/>
  <c r="N3205" i="50" s="1"/>
  <c r="J2569" i="50"/>
  <c r="J3283" i="50" s="1"/>
  <c r="H2821" i="50"/>
  <c r="H3535" i="50" s="1"/>
  <c r="H2793" i="50"/>
  <c r="H3507" i="50" s="1"/>
  <c r="P2625" i="50"/>
  <c r="P3339" i="50" s="1"/>
  <c r="L2849" i="50"/>
  <c r="L3563" i="50" s="1"/>
  <c r="N2765" i="50"/>
  <c r="N3479" i="50" s="1"/>
  <c r="F2653" i="50"/>
  <c r="V2394" i="50"/>
  <c r="V3108" i="50" s="1"/>
  <c r="H2571" i="50"/>
  <c r="H3285" i="50" s="1"/>
  <c r="Z2599" i="50"/>
  <c r="Z3313" i="50" s="1"/>
  <c r="P2584" i="50"/>
  <c r="P3298" i="50" s="1"/>
  <c r="V2228" i="50"/>
  <c r="V2942" i="50" s="1"/>
  <c r="P2487" i="50"/>
  <c r="P3201" i="50" s="1"/>
  <c r="H2785" i="50"/>
  <c r="H3499" i="50" s="1"/>
  <c r="H2855" i="50"/>
  <c r="H3569" i="50" s="1"/>
  <c r="H2540" i="50"/>
  <c r="H3254" i="50" s="1"/>
  <c r="L2659" i="50"/>
  <c r="L3373" i="50" s="1"/>
  <c r="F2752" i="50"/>
  <c r="J128" i="48"/>
  <c r="M71" i="48"/>
  <c r="L2669" i="50"/>
  <c r="L3383" i="50" s="1"/>
  <c r="J2450" i="50"/>
  <c r="J3164" i="50" s="1"/>
  <c r="L2284" i="50"/>
  <c r="L2998" i="50" s="1"/>
  <c r="V2284" i="50"/>
  <c r="V2998" i="50" s="1"/>
  <c r="T2633" i="50"/>
  <c r="V2316" i="50"/>
  <c r="V3030" i="50" s="1"/>
  <c r="J2379" i="50"/>
  <c r="F2316" i="50"/>
  <c r="AB2520" i="50"/>
  <c r="AB3234" i="50" s="1"/>
  <c r="N2619" i="50"/>
  <c r="N3333" i="50" s="1"/>
  <c r="AB2325" i="50"/>
  <c r="AB3039" i="50" s="1"/>
  <c r="AB2785" i="50"/>
  <c r="AB3499" i="50" s="1"/>
  <c r="AD2585" i="50"/>
  <c r="AD3299" i="50" s="1"/>
  <c r="X2379" i="50"/>
  <c r="X3093" i="50" s="1"/>
  <c r="N2633" i="50"/>
  <c r="N3347" i="50" s="1"/>
  <c r="T2170" i="50"/>
  <c r="T2603" i="50"/>
  <c r="X2682" i="50"/>
  <c r="X3396" i="50" s="1"/>
  <c r="L2843" i="50"/>
  <c r="L3557" i="50" s="1"/>
  <c r="N2843" i="50"/>
  <c r="N3557" i="50" s="1"/>
  <c r="L2179" i="50"/>
  <c r="L2893" i="50" s="1"/>
  <c r="N2179" i="50"/>
  <c r="N2893" i="50" s="1"/>
  <c r="H2596" i="50"/>
  <c r="F2179" i="50"/>
  <c r="J2179" i="50"/>
  <c r="J2893" i="50" s="1"/>
  <c r="F2463" i="50"/>
  <c r="F3177" i="50" s="1"/>
  <c r="F2164" i="50"/>
  <c r="J2717" i="50"/>
  <c r="J3431" i="50" s="1"/>
  <c r="J2260" i="50"/>
  <c r="J2974" i="50" s="1"/>
  <c r="J2316" i="50"/>
  <c r="J3030" i="50" s="1"/>
  <c r="J2631" i="50"/>
  <c r="J3345" i="50" s="1"/>
  <c r="H2260" i="50"/>
  <c r="H2974" i="50" s="1"/>
  <c r="J2760" i="50"/>
  <c r="J3474" i="50" s="1"/>
  <c r="F2739" i="50"/>
  <c r="T2844" i="50"/>
  <c r="T3558" i="50" s="1"/>
  <c r="P2813" i="50"/>
  <c r="P3527" i="50" s="1"/>
  <c r="P2407" i="50"/>
  <c r="P3121" i="50" s="1"/>
  <c r="L2428" i="50"/>
  <c r="L3142" i="50" s="1"/>
  <c r="L2813" i="50"/>
  <c r="L3527" i="50" s="1"/>
  <c r="L2407" i="50"/>
  <c r="L3121" i="50" s="1"/>
  <c r="F2263" i="50"/>
  <c r="L2541" i="50"/>
  <c r="L3255" i="50" s="1"/>
  <c r="P2450" i="50"/>
  <c r="P3164" i="50" s="1"/>
  <c r="T2785" i="50"/>
  <c r="F2372" i="50"/>
  <c r="F3086" i="50" s="1"/>
  <c r="T2240" i="50"/>
  <c r="T2954" i="50" s="1"/>
  <c r="AB2177" i="50"/>
  <c r="AB2891" i="50" s="1"/>
  <c r="T2491" i="50"/>
  <c r="T3205" i="50" s="1"/>
  <c r="Z2520" i="50"/>
  <c r="Z3234" i="50" s="1"/>
  <c r="H2717" i="50"/>
  <c r="H3431" i="50" s="1"/>
  <c r="T2361" i="50"/>
  <c r="H2463" i="50"/>
  <c r="H3177" i="50" s="1"/>
  <c r="T2515" i="50"/>
  <c r="AD2491" i="50"/>
  <c r="AD3205" i="50" s="1"/>
  <c r="H2407" i="50"/>
  <c r="H3121" i="50" s="1"/>
  <c r="AB2858" i="50"/>
  <c r="AB3572" i="50" s="1"/>
  <c r="X2268" i="50"/>
  <c r="N2268" i="50"/>
  <c r="N2982" i="50" s="1"/>
  <c r="L2701" i="50"/>
  <c r="L3415" i="50" s="1"/>
  <c r="H2701" i="50"/>
  <c r="H3415" i="50" s="1"/>
  <c r="V2701" i="50"/>
  <c r="V3415" i="50" s="1"/>
  <c r="V2603" i="50"/>
  <c r="V3317" i="50" s="1"/>
  <c r="AD2858" i="50"/>
  <c r="AD3572" i="50" s="1"/>
  <c r="H2284" i="50"/>
  <c r="H2998" i="50" s="1"/>
  <c r="AB2389" i="50"/>
  <c r="AB3103" i="50" s="1"/>
  <c r="X2858" i="50"/>
  <c r="X3572" i="50" s="1"/>
  <c r="AB2744" i="50"/>
  <c r="AB3458" i="50" s="1"/>
  <c r="AD2633" i="50"/>
  <c r="AD3347" i="50" s="1"/>
  <c r="N2346" i="50"/>
  <c r="N3060" i="50" s="1"/>
  <c r="F2498" i="50"/>
  <c r="J2820" i="50"/>
  <c r="AD2494" i="50"/>
  <c r="AD3208" i="50" s="1"/>
  <c r="N2415" i="50"/>
  <c r="N3129" i="50" s="1"/>
  <c r="F2403" i="50"/>
  <c r="H2235" i="50"/>
  <c r="X2260" i="50"/>
  <c r="X2974" i="50" s="1"/>
  <c r="N2795" i="50"/>
  <c r="N3509" i="50" s="1"/>
  <c r="AB2443" i="50"/>
  <c r="L2536" i="50"/>
  <c r="L3250" i="50" s="1"/>
  <c r="J2703" i="50"/>
  <c r="J3417" i="50" s="1"/>
  <c r="N2703" i="50"/>
  <c r="N3417" i="50" s="1"/>
  <c r="AD2331" i="50"/>
  <c r="AD3045" i="50" s="1"/>
  <c r="L2316" i="50"/>
  <c r="L3030" i="50" s="1"/>
  <c r="F2472" i="50"/>
  <c r="N2379" i="50"/>
  <c r="N3093" i="50" s="1"/>
  <c r="N2375" i="50"/>
  <c r="N3089" i="50" s="1"/>
  <c r="H2361" i="50"/>
  <c r="N2407" i="50"/>
  <c r="N3121" i="50" s="1"/>
  <c r="J2407" i="50"/>
  <c r="J3121" i="50" s="1"/>
  <c r="X2717" i="50"/>
  <c r="X3431" i="50" s="1"/>
  <c r="X2361" i="50"/>
  <c r="X3075" i="50" s="1"/>
  <c r="P2260" i="50"/>
  <c r="P2974" i="50" s="1"/>
  <c r="V2297" i="50"/>
  <c r="V3011" i="50" s="1"/>
  <c r="H2191" i="50"/>
  <c r="P2247" i="50"/>
  <c r="P2961" i="50" s="1"/>
  <c r="Z2368" i="50"/>
  <c r="Z3082" i="50" s="1"/>
  <c r="L2463" i="50"/>
  <c r="L3177" i="50" s="1"/>
  <c r="AD2407" i="50"/>
  <c r="AD3121" i="50" s="1"/>
  <c r="V2346" i="50"/>
  <c r="V3060" i="50" s="1"/>
  <c r="J2836" i="50"/>
  <c r="J3550" i="50" s="1"/>
  <c r="L2836" i="50"/>
  <c r="L3550" i="50" s="1"/>
  <c r="AB2372" i="50"/>
  <c r="AB3086" i="50" s="1"/>
  <c r="AB2197" i="50"/>
  <c r="AB2911" i="50" s="1"/>
  <c r="P2387" i="50"/>
  <c r="P3101" i="50" s="1"/>
  <c r="AD2743" i="50"/>
  <c r="V2743" i="50"/>
  <c r="V3457" i="50" s="1"/>
  <c r="X2669" i="50"/>
  <c r="X3383" i="50" s="1"/>
  <c r="X2247" i="50"/>
  <c r="X2961" i="50" s="1"/>
  <c r="Z2247" i="50"/>
  <c r="Z2961" i="50" s="1"/>
  <c r="H2619" i="50"/>
  <c r="H3333" i="50" s="1"/>
  <c r="Z2731" i="50"/>
  <c r="T2564" i="50"/>
  <c r="T3278" i="50" s="1"/>
  <c r="V2325" i="50"/>
  <c r="Z2450" i="50"/>
  <c r="Z3164" i="50" s="1"/>
  <c r="X2487" i="50"/>
  <c r="X3201" i="50" s="1"/>
  <c r="L2687" i="50"/>
  <c r="L3401" i="50" s="1"/>
  <c r="N2263" i="50"/>
  <c r="N2977" i="50" s="1"/>
  <c r="V2491" i="50"/>
  <c r="V3205" i="50" s="1"/>
  <c r="AD2450" i="50"/>
  <c r="AD3164" i="50" s="1"/>
  <c r="J2282" i="50"/>
  <c r="J2996" i="50" s="1"/>
  <c r="T2438" i="50"/>
  <c r="T3152" i="50" s="1"/>
  <c r="N2206" i="50"/>
  <c r="N2920" i="50" s="1"/>
  <c r="AD2562" i="50"/>
  <c r="AD3276" i="50" s="1"/>
  <c r="P2277" i="50"/>
  <c r="P2991" i="50" s="1"/>
  <c r="H2633" i="50"/>
  <c r="H3347" i="50" s="1"/>
  <c r="H2585" i="50"/>
  <c r="H3299" i="50" s="1"/>
  <c r="T2471" i="50"/>
  <c r="T3185" i="50" s="1"/>
  <c r="L2557" i="50"/>
  <c r="J2354" i="50"/>
  <c r="J3068" i="50" s="1"/>
  <c r="J2743" i="50"/>
  <c r="J3457" i="50" s="1"/>
  <c r="F2197" i="50"/>
  <c r="X2200" i="50"/>
  <c r="X2914" i="50" s="1"/>
  <c r="T2200" i="50"/>
  <c r="T2914" i="50" s="1"/>
  <c r="T2520" i="50"/>
  <c r="T2324" i="50"/>
  <c r="T3038" i="50" s="1"/>
  <c r="AB2599" i="50"/>
  <c r="AB3313" i="50" s="1"/>
  <c r="V2298" i="50"/>
  <c r="V3012" i="50" s="1"/>
  <c r="N2583" i="50"/>
  <c r="N3297" i="50" s="1"/>
  <c r="N2688" i="50"/>
  <c r="N3402" i="50" s="1"/>
  <c r="F2563" i="50"/>
  <c r="H2402" i="50"/>
  <c r="H3116" i="50" s="1"/>
  <c r="J2408" i="50"/>
  <c r="J3122" i="50" s="1"/>
  <c r="H2197" i="50"/>
  <c r="H2911" i="50" s="1"/>
  <c r="V2190" i="50"/>
  <c r="V2904" i="50" s="1"/>
  <c r="AD2219" i="50"/>
  <c r="AD2933" i="50" s="1"/>
  <c r="J2856" i="50"/>
  <c r="J3570" i="50" s="1"/>
  <c r="F2576" i="50"/>
  <c r="H2177" i="50"/>
  <c r="H2891" i="50" s="1"/>
  <c r="N2856" i="50"/>
  <c r="N3570" i="50" s="1"/>
  <c r="J2800" i="50"/>
  <c r="J3514" i="50" s="1"/>
  <c r="L2772" i="50"/>
  <c r="L3486" i="50" s="1"/>
  <c r="L2688" i="50"/>
  <c r="L3402" i="50" s="1"/>
  <c r="F2688" i="50"/>
  <c r="H2660" i="50"/>
  <c r="L2604" i="50"/>
  <c r="L3318" i="50" s="1"/>
  <c r="P2491" i="50"/>
  <c r="P3205" i="50" s="1"/>
  <c r="L2501" i="50"/>
  <c r="L3215" i="50" s="1"/>
  <c r="L2345" i="50"/>
  <c r="L3059" i="50" s="1"/>
  <c r="J2501" i="50"/>
  <c r="J3215" i="50" s="1"/>
  <c r="X2666" i="50"/>
  <c r="X3380" i="50" s="1"/>
  <c r="F2527" i="50"/>
  <c r="F3241" i="50" s="1"/>
  <c r="P2583" i="50"/>
  <c r="P3297" i="50" s="1"/>
  <c r="AB2627" i="50"/>
  <c r="AB3341" i="50" s="1"/>
  <c r="P2695" i="50"/>
  <c r="P3409" i="50" s="1"/>
  <c r="N2563" i="50"/>
  <c r="N3277" i="50" s="1"/>
  <c r="J2751" i="50"/>
  <c r="J3465" i="50" s="1"/>
  <c r="X2639" i="50"/>
  <c r="X3353" i="50" s="1"/>
  <c r="Z2639" i="50"/>
  <c r="Z3353" i="50" s="1"/>
  <c r="T2822" i="50"/>
  <c r="N2807" i="50"/>
  <c r="N3521" i="50" s="1"/>
  <c r="L2723" i="50"/>
  <c r="L3437" i="50" s="1"/>
  <c r="F2673" i="50"/>
  <c r="X2263" i="50"/>
  <c r="X2977" i="50" s="1"/>
  <c r="AB2227" i="50"/>
  <c r="AB2941" i="50" s="1"/>
  <c r="P2200" i="50"/>
  <c r="P2914" i="50" s="1"/>
  <c r="N2200" i="50"/>
  <c r="N2914" i="50" s="1"/>
  <c r="T2247" i="50"/>
  <c r="T2961" i="50" s="1"/>
  <c r="H2247" i="50"/>
  <c r="H2961" i="50" s="1"/>
  <c r="AD2325" i="50"/>
  <c r="AD3039" i="50" s="1"/>
  <c r="AD2501" i="50"/>
  <c r="AD3215" i="50" s="1"/>
  <c r="T2627" i="50"/>
  <c r="N2254" i="50"/>
  <c r="N2968" i="50" s="1"/>
  <c r="P2844" i="50"/>
  <c r="P3558" i="50" s="1"/>
  <c r="F2408" i="50"/>
  <c r="X2750" i="50"/>
  <c r="X3464" i="50" s="1"/>
  <c r="AB2855" i="50"/>
  <c r="AB3569" i="50" s="1"/>
  <c r="T2855" i="50"/>
  <c r="M127" i="48"/>
  <c r="T2632" i="50"/>
  <c r="T3346" i="50" s="1"/>
  <c r="H2639" i="50"/>
  <c r="H3353" i="50" s="1"/>
  <c r="L2540" i="50"/>
  <c r="L3254" i="50" s="1"/>
  <c r="Z2235" i="50"/>
  <c r="Z2949" i="50" s="1"/>
  <c r="V2235" i="50"/>
  <c r="T2421" i="50"/>
  <c r="T3135" i="50" s="1"/>
  <c r="N2571" i="50"/>
  <c r="N3285" i="50" s="1"/>
  <c r="M99" i="48"/>
  <c r="L2318" i="50"/>
  <c r="L3032" i="50" s="1"/>
  <c r="L2781" i="50"/>
  <c r="L3495" i="50" s="1"/>
  <c r="P2190" i="50"/>
  <c r="P2904" i="50" s="1"/>
  <c r="AO61" i="50"/>
  <c r="K116" i="49"/>
  <c r="BH23" i="49"/>
  <c r="F2913" i="50"/>
  <c r="BI116" i="49"/>
  <c r="D2953" i="50"/>
  <c r="D1524" i="50"/>
  <c r="F2239" i="50"/>
  <c r="T2239" i="50"/>
  <c r="AD2242" i="50"/>
  <c r="AD2956" i="50" s="1"/>
  <c r="BG142" i="49"/>
  <c r="BB116" i="49"/>
  <c r="J2239" i="50"/>
  <c r="J2953" i="50" s="1"/>
  <c r="Z2239" i="50"/>
  <c r="Z2953" i="50" s="1"/>
  <c r="AD2239" i="50"/>
  <c r="AD2953" i="50" s="1"/>
  <c r="Z2242" i="50"/>
  <c r="Z2956" i="50" s="1"/>
  <c r="H142" i="49"/>
  <c r="AH48" i="50"/>
  <c r="D25" i="70"/>
  <c r="H3258" i="50"/>
  <c r="R3258" i="50" s="1"/>
  <c r="R2544" i="50"/>
  <c r="AF2362" i="50"/>
  <c r="T3076" i="50"/>
  <c r="J3082" i="50"/>
  <c r="T3046" i="50"/>
  <c r="AM1581" i="50"/>
  <c r="J3047" i="50"/>
  <c r="AB3558" i="50"/>
  <c r="AF2705" i="50"/>
  <c r="T3419" i="50"/>
  <c r="T3283" i="50"/>
  <c r="J2977" i="50"/>
  <c r="H23" i="32"/>
  <c r="F23" i="32"/>
  <c r="N3404" i="50"/>
  <c r="H3125" i="50"/>
  <c r="AF2173" i="50"/>
  <c r="F3363" i="50"/>
  <c r="Z3496" i="50"/>
  <c r="Z3356" i="50"/>
  <c r="AD2185" i="50"/>
  <c r="AD2899" i="50" s="1"/>
  <c r="V430" i="50"/>
  <c r="Z430" i="50"/>
  <c r="Z1145" i="50" s="1"/>
  <c r="AD430" i="50"/>
  <c r="AH430" i="50"/>
  <c r="AB2828" i="50"/>
  <c r="AB3542" i="50" s="1"/>
  <c r="T3538" i="50"/>
  <c r="AD3538" i="50"/>
  <c r="AD3257" i="50"/>
  <c r="P3082" i="50"/>
  <c r="AB2887" i="50"/>
  <c r="J3101" i="50"/>
  <c r="X3513" i="50"/>
  <c r="N2981" i="50"/>
  <c r="J3473" i="50"/>
  <c r="Z3069" i="50"/>
  <c r="AB2880" i="50"/>
  <c r="Z3104" i="50"/>
  <c r="X3104" i="50"/>
  <c r="AB3104" i="50"/>
  <c r="N3291" i="50"/>
  <c r="V3293" i="50"/>
  <c r="Z3293" i="50"/>
  <c r="H2996" i="50"/>
  <c r="H3398" i="50"/>
  <c r="J3363" i="50"/>
  <c r="AB2621" i="50"/>
  <c r="Z2241" i="50"/>
  <c r="L41" i="50"/>
  <c r="J41" i="50"/>
  <c r="P41" i="50"/>
  <c r="N41" i="50"/>
  <c r="F41" i="50"/>
  <c r="H41" i="50"/>
  <c r="L28" i="50"/>
  <c r="J28" i="50"/>
  <c r="P28" i="50"/>
  <c r="N28" i="50"/>
  <c r="N743" i="50" s="1"/>
  <c r="H28" i="50"/>
  <c r="F28" i="50"/>
  <c r="AH28" i="50"/>
  <c r="X1661" i="50"/>
  <c r="Z1661" i="50"/>
  <c r="AD1661" i="50"/>
  <c r="AH1661" i="50"/>
  <c r="AB1661" i="50"/>
  <c r="X619" i="50"/>
  <c r="X1334" i="50" s="1"/>
  <c r="AD619" i="50"/>
  <c r="AD1334" i="50" s="1"/>
  <c r="Z619" i="50"/>
  <c r="Z1334" i="50" s="1"/>
  <c r="V619" i="50"/>
  <c r="V1334" i="50" s="1"/>
  <c r="AH619" i="50"/>
  <c r="T619" i="50"/>
  <c r="AD2375" i="50"/>
  <c r="Z3012" i="50"/>
  <c r="X2702" i="50"/>
  <c r="H2261" i="50"/>
  <c r="K27" i="51"/>
  <c r="J3544" i="50"/>
  <c r="P3083" i="50"/>
  <c r="J3188" i="50"/>
  <c r="H3188" i="50"/>
  <c r="AB3272" i="50"/>
  <c r="L3125" i="50"/>
  <c r="X3419" i="50"/>
  <c r="V3566" i="50"/>
  <c r="X2990" i="50"/>
  <c r="X2887" i="50"/>
  <c r="AD2887" i="50"/>
  <c r="AD3233" i="50"/>
  <c r="X3433" i="50"/>
  <c r="L3496" i="50"/>
  <c r="N3496" i="50"/>
  <c r="L3363" i="50"/>
  <c r="H3363" i="50"/>
  <c r="L2760" i="50"/>
  <c r="V2991" i="50"/>
  <c r="P2456" i="50"/>
  <c r="X2464" i="50"/>
  <c r="AD2067" i="50"/>
  <c r="X2067" i="50"/>
  <c r="AH2067" i="50"/>
  <c r="AD2169" i="50"/>
  <c r="Z2561" i="50"/>
  <c r="AD2709" i="50"/>
  <c r="L3419" i="50"/>
  <c r="H2414" i="50"/>
  <c r="N3327" i="50"/>
  <c r="N2600" i="50"/>
  <c r="AD2277" i="50"/>
  <c r="AB379" i="50"/>
  <c r="AB1094" i="50" s="1"/>
  <c r="V379" i="50"/>
  <c r="V1094" i="50" s="1"/>
  <c r="Z379" i="50"/>
  <c r="Z1094" i="50" s="1"/>
  <c r="AD379" i="50"/>
  <c r="AD1094" i="50" s="1"/>
  <c r="T379" i="50"/>
  <c r="T1094" i="50" s="1"/>
  <c r="X379" i="50"/>
  <c r="X1094" i="50" s="1"/>
  <c r="AH379" i="50"/>
  <c r="F486" i="50"/>
  <c r="AB6" i="50"/>
  <c r="Z6" i="50"/>
  <c r="V6" i="50"/>
  <c r="AD6" i="50"/>
  <c r="T6" i="50"/>
  <c r="X6" i="50"/>
  <c r="P3237" i="50"/>
  <c r="H3115" i="50"/>
  <c r="Z3125" i="50"/>
  <c r="Z3202" i="50"/>
  <c r="V2306" i="50"/>
  <c r="H2278" i="50"/>
  <c r="R2278" i="50" s="1"/>
  <c r="J2288" i="50"/>
  <c r="J3002" i="50" s="1"/>
  <c r="L2712" i="50"/>
  <c r="N2668" i="50"/>
  <c r="H2432" i="50"/>
  <c r="H2318" i="50"/>
  <c r="AB492" i="50"/>
  <c r="AB1207" i="50" s="1"/>
  <c r="Z492" i="50"/>
  <c r="Z1207" i="50" s="1"/>
  <c r="T492" i="50"/>
  <c r="T1207" i="50" s="1"/>
  <c r="V492" i="50"/>
  <c r="V1207" i="50" s="1"/>
  <c r="AD492" i="50"/>
  <c r="AD1207" i="50" s="1"/>
  <c r="X492" i="50"/>
  <c r="X1207" i="50" s="1"/>
  <c r="L359" i="50"/>
  <c r="L1074" i="50" s="1"/>
  <c r="J359" i="50"/>
  <c r="J1074" i="50" s="1"/>
  <c r="P359" i="50"/>
  <c r="P1074" i="50" s="1"/>
  <c r="N359" i="50"/>
  <c r="N1074" i="50" s="1"/>
  <c r="F359" i="50"/>
  <c r="H359" i="50"/>
  <c r="H1074" i="50" s="1"/>
  <c r="P2591" i="50"/>
  <c r="T2505" i="50"/>
  <c r="Z2467" i="50"/>
  <c r="P2747" i="50"/>
  <c r="P3461" i="50" s="1"/>
  <c r="L363" i="50"/>
  <c r="J363" i="50"/>
  <c r="P363" i="50"/>
  <c r="N363" i="50"/>
  <c r="F363" i="50"/>
  <c r="H363" i="50"/>
  <c r="X2505" i="50"/>
  <c r="X3219" i="50" s="1"/>
  <c r="Z2570" i="50"/>
  <c r="H2199" i="50"/>
  <c r="AB2388" i="50"/>
  <c r="AB233" i="50"/>
  <c r="AB948" i="50" s="1"/>
  <c r="Z233" i="50"/>
  <c r="Z948" i="50" s="1"/>
  <c r="V233" i="50"/>
  <c r="V948" i="50" s="1"/>
  <c r="AD233" i="50"/>
  <c r="AD948" i="50" s="1"/>
  <c r="T233" i="50"/>
  <c r="T948" i="50" s="1"/>
  <c r="X233" i="50"/>
  <c r="X948" i="50" s="1"/>
  <c r="AB261" i="50"/>
  <c r="AB976" i="50" s="1"/>
  <c r="Z261" i="50"/>
  <c r="Z976" i="50" s="1"/>
  <c r="AD261" i="50"/>
  <c r="AD976" i="50" s="1"/>
  <c r="T261" i="50"/>
  <c r="T976" i="50" s="1"/>
  <c r="V261" i="50"/>
  <c r="V976" i="50" s="1"/>
  <c r="X261" i="50"/>
  <c r="X976" i="50" s="1"/>
  <c r="L227" i="50"/>
  <c r="L942" i="50" s="1"/>
  <c r="J227" i="50"/>
  <c r="J942" i="50" s="1"/>
  <c r="P227" i="50"/>
  <c r="P942" i="50" s="1"/>
  <c r="N227" i="50"/>
  <c r="N942" i="50" s="1"/>
  <c r="F227" i="50"/>
  <c r="H227" i="50"/>
  <c r="H942" i="50" s="1"/>
  <c r="L304" i="50"/>
  <c r="L1019" i="50" s="1"/>
  <c r="J304" i="50"/>
  <c r="J1019" i="50" s="1"/>
  <c r="P304" i="50"/>
  <c r="P1019" i="50" s="1"/>
  <c r="N304" i="50"/>
  <c r="N1019" i="50" s="1"/>
  <c r="F304" i="50"/>
  <c r="H304" i="50"/>
  <c r="H1019" i="50" s="1"/>
  <c r="L317" i="50"/>
  <c r="L1032" i="50" s="1"/>
  <c r="J317" i="50"/>
  <c r="J1032" i="50" s="1"/>
  <c r="P317" i="50"/>
  <c r="P1032" i="50" s="1"/>
  <c r="N317" i="50"/>
  <c r="N1032" i="50" s="1"/>
  <c r="T317" i="50"/>
  <c r="T1032" i="50" s="1"/>
  <c r="F317" i="50"/>
  <c r="H317" i="50"/>
  <c r="H1032" i="50" s="1"/>
  <c r="L402" i="50"/>
  <c r="L1117" i="50" s="1"/>
  <c r="J402" i="50"/>
  <c r="J1117" i="50" s="1"/>
  <c r="P402" i="50"/>
  <c r="P1117" i="50" s="1"/>
  <c r="N402" i="50"/>
  <c r="N1117" i="50" s="1"/>
  <c r="F402" i="50"/>
  <c r="H402" i="50"/>
  <c r="H1117" i="50" s="1"/>
  <c r="L344" i="50"/>
  <c r="L1059" i="50" s="1"/>
  <c r="J344" i="50"/>
  <c r="J1059" i="50" s="1"/>
  <c r="P344" i="50"/>
  <c r="P1059" i="50" s="1"/>
  <c r="N344" i="50"/>
  <c r="N1059" i="50" s="1"/>
  <c r="H344" i="50"/>
  <c r="H1059" i="50" s="1"/>
  <c r="F344" i="50"/>
  <c r="L99" i="50"/>
  <c r="L814" i="50" s="1"/>
  <c r="J99" i="50"/>
  <c r="J814" i="50" s="1"/>
  <c r="P99" i="50"/>
  <c r="P814" i="50" s="1"/>
  <c r="N99" i="50"/>
  <c r="N814" i="50" s="1"/>
  <c r="F99" i="50"/>
  <c r="H99" i="50"/>
  <c r="H814" i="50" s="1"/>
  <c r="AB239" i="50"/>
  <c r="AB954" i="50" s="1"/>
  <c r="V239" i="50"/>
  <c r="V954" i="50" s="1"/>
  <c r="Z239" i="50"/>
  <c r="Z954" i="50" s="1"/>
  <c r="AD239" i="50"/>
  <c r="AD954" i="50" s="1"/>
  <c r="T239" i="50"/>
  <c r="T954" i="50" s="1"/>
  <c r="X239" i="50"/>
  <c r="X954" i="50" s="1"/>
  <c r="AB547" i="50"/>
  <c r="AB1262" i="50" s="1"/>
  <c r="V547" i="50"/>
  <c r="V1262" i="50" s="1"/>
  <c r="Z547" i="50"/>
  <c r="Z1262" i="50" s="1"/>
  <c r="T547" i="50"/>
  <c r="T1262" i="50" s="1"/>
  <c r="AD547" i="50"/>
  <c r="AD1262" i="50" s="1"/>
  <c r="X547" i="50"/>
  <c r="X1262" i="50" s="1"/>
  <c r="AB569" i="50"/>
  <c r="AB1284" i="50" s="1"/>
  <c r="V569" i="50"/>
  <c r="V1284" i="50" s="1"/>
  <c r="Z569" i="50"/>
  <c r="Z1284" i="50" s="1"/>
  <c r="AD569" i="50"/>
  <c r="AD1284" i="50" s="1"/>
  <c r="T569" i="50"/>
  <c r="T1284" i="50" s="1"/>
  <c r="X569" i="50"/>
  <c r="X1284" i="50" s="1"/>
  <c r="AB428" i="50"/>
  <c r="AB1143" i="50" s="1"/>
  <c r="Z428" i="50"/>
  <c r="Z1143" i="50" s="1"/>
  <c r="V428" i="50"/>
  <c r="V1143" i="50" s="1"/>
  <c r="AD428" i="50"/>
  <c r="AD1143" i="50" s="1"/>
  <c r="T428" i="50"/>
  <c r="T1143" i="50" s="1"/>
  <c r="X428" i="50"/>
  <c r="X1143" i="50" s="1"/>
  <c r="AB450" i="50"/>
  <c r="AB1165" i="50" s="1"/>
  <c r="Z450" i="50"/>
  <c r="Z1165" i="50" s="1"/>
  <c r="V450" i="50"/>
  <c r="V1165" i="50" s="1"/>
  <c r="AD450" i="50"/>
  <c r="AD1165" i="50" s="1"/>
  <c r="T450" i="50"/>
  <c r="T1165" i="50" s="1"/>
  <c r="X450" i="50"/>
  <c r="X1165" i="50" s="1"/>
  <c r="AB393" i="50"/>
  <c r="AB1108" i="50" s="1"/>
  <c r="V393" i="50"/>
  <c r="V1108" i="50" s="1"/>
  <c r="Z393" i="50"/>
  <c r="Z1108" i="50" s="1"/>
  <c r="T393" i="50"/>
  <c r="T1108" i="50" s="1"/>
  <c r="AD393" i="50"/>
  <c r="AD1108" i="50" s="1"/>
  <c r="X393" i="50"/>
  <c r="X1108" i="50" s="1"/>
  <c r="AB415" i="50"/>
  <c r="AB1130" i="50" s="1"/>
  <c r="T415" i="50"/>
  <c r="T1130" i="50" s="1"/>
  <c r="Z415" i="50"/>
  <c r="Z1130" i="50" s="1"/>
  <c r="V415" i="50"/>
  <c r="V1130" i="50" s="1"/>
  <c r="AD415" i="50"/>
  <c r="AD1130" i="50" s="1"/>
  <c r="X415" i="50"/>
  <c r="X1130" i="50" s="1"/>
  <c r="AB414" i="50"/>
  <c r="AB1129" i="50" s="1"/>
  <c r="Z414" i="50"/>
  <c r="Z1129" i="50" s="1"/>
  <c r="V414" i="50"/>
  <c r="V1129" i="50" s="1"/>
  <c r="T414" i="50"/>
  <c r="T1129" i="50" s="1"/>
  <c r="AD414" i="50"/>
  <c r="AD1129" i="50" s="1"/>
  <c r="X414" i="50"/>
  <c r="X1129" i="50" s="1"/>
  <c r="L276" i="50"/>
  <c r="L991" i="50" s="1"/>
  <c r="J276" i="50"/>
  <c r="J991" i="50" s="1"/>
  <c r="P276" i="50"/>
  <c r="P991" i="50" s="1"/>
  <c r="N276" i="50"/>
  <c r="N991" i="50" s="1"/>
  <c r="F276" i="50"/>
  <c r="H276" i="50"/>
  <c r="H991" i="50" s="1"/>
  <c r="L316" i="50"/>
  <c r="L1031" i="50" s="1"/>
  <c r="J316" i="50"/>
  <c r="J1031" i="50" s="1"/>
  <c r="P316" i="50"/>
  <c r="P1031" i="50" s="1"/>
  <c r="N316" i="50"/>
  <c r="N1031" i="50" s="1"/>
  <c r="H316" i="50"/>
  <c r="H1031" i="50" s="1"/>
  <c r="F316" i="50"/>
  <c r="L428" i="50"/>
  <c r="L1143" i="50" s="1"/>
  <c r="J428" i="50"/>
  <c r="J1143" i="50" s="1"/>
  <c r="P428" i="50"/>
  <c r="P1143" i="50" s="1"/>
  <c r="N428" i="50"/>
  <c r="N1143" i="50" s="1"/>
  <c r="H428" i="50"/>
  <c r="H1143" i="50" s="1"/>
  <c r="F428" i="50"/>
  <c r="L673" i="50"/>
  <c r="L1388" i="50" s="1"/>
  <c r="J673" i="50"/>
  <c r="J1388" i="50" s="1"/>
  <c r="P673" i="50"/>
  <c r="P1388" i="50" s="1"/>
  <c r="N673" i="50"/>
  <c r="N1388" i="50" s="1"/>
  <c r="F673" i="50"/>
  <c r="F1388" i="50" s="1"/>
  <c r="H673" i="50"/>
  <c r="H1388" i="50" s="1"/>
  <c r="V2750" i="50"/>
  <c r="F2402" i="50"/>
  <c r="F2298" i="50"/>
  <c r="P2824" i="50"/>
  <c r="H2288" i="50"/>
  <c r="H3002" i="50" s="1"/>
  <c r="P2270" i="50"/>
  <c r="P2984" i="50" s="1"/>
  <c r="N2348" i="50"/>
  <c r="L353" i="50"/>
  <c r="L1068" i="50" s="1"/>
  <c r="J353" i="50"/>
  <c r="J1068" i="50" s="1"/>
  <c r="P353" i="50"/>
  <c r="P1068" i="50" s="1"/>
  <c r="N353" i="50"/>
  <c r="N1068" i="50" s="1"/>
  <c r="F353" i="50"/>
  <c r="H353" i="50"/>
  <c r="H1068" i="50" s="1"/>
  <c r="BP158" i="49"/>
  <c r="AB1771" i="50"/>
  <c r="V1771" i="50"/>
  <c r="J2254" i="50"/>
  <c r="J2968" i="50" s="1"/>
  <c r="J2430" i="50"/>
  <c r="J3144" i="50" s="1"/>
  <c r="AB66" i="50"/>
  <c r="AB781" i="50" s="1"/>
  <c r="Z66" i="50"/>
  <c r="Z781" i="50" s="1"/>
  <c r="V66" i="50"/>
  <c r="V781" i="50" s="1"/>
  <c r="AD66" i="50"/>
  <c r="AD781" i="50" s="1"/>
  <c r="T66" i="50"/>
  <c r="T781" i="50" s="1"/>
  <c r="X66" i="50"/>
  <c r="X781" i="50" s="1"/>
  <c r="L192" i="50"/>
  <c r="L907" i="50" s="1"/>
  <c r="P192" i="50"/>
  <c r="P907" i="50" s="1"/>
  <c r="J192" i="50"/>
  <c r="J907" i="50" s="1"/>
  <c r="N192" i="50"/>
  <c r="N907" i="50" s="1"/>
  <c r="F192" i="50"/>
  <c r="H192" i="50"/>
  <c r="H907" i="50" s="1"/>
  <c r="AH192" i="50"/>
  <c r="L115" i="50"/>
  <c r="L830" i="50" s="1"/>
  <c r="J115" i="50"/>
  <c r="J830" i="50" s="1"/>
  <c r="P115" i="50"/>
  <c r="P830" i="50" s="1"/>
  <c r="N115" i="50"/>
  <c r="N830" i="50" s="1"/>
  <c r="F115" i="50"/>
  <c r="H115" i="50"/>
  <c r="H830" i="50" s="1"/>
  <c r="AH115" i="50"/>
  <c r="AD1925" i="50"/>
  <c r="Z1925" i="50"/>
  <c r="X1925" i="50"/>
  <c r="AH2038" i="50"/>
  <c r="AD2038" i="50"/>
  <c r="T2135" i="50"/>
  <c r="Z2135" i="50"/>
  <c r="AB2135" i="50"/>
  <c r="V2135" i="50"/>
  <c r="X2135" i="50"/>
  <c r="AD2135" i="50"/>
  <c r="F1960" i="50"/>
  <c r="P1960" i="50"/>
  <c r="J1960" i="50"/>
  <c r="H1960" i="50"/>
  <c r="L1960" i="50"/>
  <c r="AH1960" i="50"/>
  <c r="T2044" i="50"/>
  <c r="AD2044" i="50"/>
  <c r="X2044" i="50"/>
  <c r="V2044" i="50"/>
  <c r="AB2044" i="50"/>
  <c r="Z2044" i="50"/>
  <c r="T2094" i="50"/>
  <c r="AB2094" i="50"/>
  <c r="X2094" i="50"/>
  <c r="Z2094" i="50"/>
  <c r="V2094" i="50"/>
  <c r="AD2094" i="50"/>
  <c r="L211" i="50"/>
  <c r="L926" i="50" s="1"/>
  <c r="J211" i="50"/>
  <c r="J926" i="50" s="1"/>
  <c r="P211" i="50"/>
  <c r="P926" i="50" s="1"/>
  <c r="N211" i="50"/>
  <c r="N926" i="50" s="1"/>
  <c r="F211" i="50"/>
  <c r="H211" i="50"/>
  <c r="H926" i="50" s="1"/>
  <c r="L379" i="50"/>
  <c r="L1094" i="50" s="1"/>
  <c r="J379" i="50"/>
  <c r="J1094" i="50" s="1"/>
  <c r="P379" i="50"/>
  <c r="P1094" i="50" s="1"/>
  <c r="N379" i="50"/>
  <c r="N1094" i="50" s="1"/>
  <c r="F379" i="50"/>
  <c r="H379" i="50"/>
  <c r="H1094" i="50" s="1"/>
  <c r="L275" i="50"/>
  <c r="L990" i="50" s="1"/>
  <c r="J275" i="50"/>
  <c r="J990" i="50" s="1"/>
  <c r="P275" i="50"/>
  <c r="P990" i="50" s="1"/>
  <c r="N275" i="50"/>
  <c r="N990" i="50" s="1"/>
  <c r="F275" i="50"/>
  <c r="H275" i="50"/>
  <c r="H990" i="50" s="1"/>
  <c r="L63" i="50"/>
  <c r="L778" i="50" s="1"/>
  <c r="J63" i="50"/>
  <c r="J778" i="50" s="1"/>
  <c r="P63" i="50"/>
  <c r="P778" i="50" s="1"/>
  <c r="N63" i="50"/>
  <c r="N778" i="50" s="1"/>
  <c r="F63" i="50"/>
  <c r="H63" i="50"/>
  <c r="H778" i="50" s="1"/>
  <c r="J3565" i="50"/>
  <c r="Z3062" i="50"/>
  <c r="AB688" i="50"/>
  <c r="AB1403" i="50" s="1"/>
  <c r="Z688" i="50"/>
  <c r="Z1403" i="50" s="1"/>
  <c r="V688" i="50"/>
  <c r="V1403" i="50" s="1"/>
  <c r="T688" i="50"/>
  <c r="T1403" i="50" s="1"/>
  <c r="AD688" i="50"/>
  <c r="AD1403" i="50" s="1"/>
  <c r="X688" i="50"/>
  <c r="X1403" i="50" s="1"/>
  <c r="AB317" i="50"/>
  <c r="AB1032" i="50" s="1"/>
  <c r="Z317" i="50"/>
  <c r="Z1032" i="50" s="1"/>
  <c r="AD317" i="50"/>
  <c r="AD1032" i="50" s="1"/>
  <c r="V317" i="50"/>
  <c r="V1032" i="50" s="1"/>
  <c r="X317" i="50"/>
  <c r="X1032" i="50" s="1"/>
  <c r="AB373" i="50"/>
  <c r="AB1088" i="50" s="1"/>
  <c r="Z373" i="50"/>
  <c r="Z1088" i="50" s="1"/>
  <c r="T373" i="50"/>
  <c r="T1088" i="50" s="1"/>
  <c r="AD373" i="50"/>
  <c r="AD1088" i="50" s="1"/>
  <c r="V373" i="50"/>
  <c r="V1088" i="50" s="1"/>
  <c r="X373" i="50"/>
  <c r="X1088" i="50" s="1"/>
  <c r="L171" i="50"/>
  <c r="L886" i="50" s="1"/>
  <c r="J171" i="50"/>
  <c r="J886" i="50" s="1"/>
  <c r="P171" i="50"/>
  <c r="P886" i="50" s="1"/>
  <c r="N171" i="50"/>
  <c r="N886" i="50" s="1"/>
  <c r="F171" i="50"/>
  <c r="H171" i="50"/>
  <c r="H886" i="50" s="1"/>
  <c r="AB204" i="50"/>
  <c r="AB919" i="50" s="1"/>
  <c r="Z204" i="50"/>
  <c r="Z919" i="50" s="1"/>
  <c r="V204" i="50"/>
  <c r="V919" i="50" s="1"/>
  <c r="AD204" i="50"/>
  <c r="AD919" i="50" s="1"/>
  <c r="T204" i="50"/>
  <c r="T919" i="50" s="1"/>
  <c r="X204" i="50"/>
  <c r="X919" i="50" s="1"/>
  <c r="AB540" i="50"/>
  <c r="AB1255" i="50" s="1"/>
  <c r="Z540" i="50"/>
  <c r="Z1255" i="50" s="1"/>
  <c r="AD540" i="50"/>
  <c r="AD1255" i="50" s="1"/>
  <c r="T540" i="50"/>
  <c r="T1255" i="50" s="1"/>
  <c r="V540" i="50"/>
  <c r="V1255" i="50" s="1"/>
  <c r="X540" i="50"/>
  <c r="X1255" i="50" s="1"/>
  <c r="AB169" i="50"/>
  <c r="AB884" i="50" s="1"/>
  <c r="V169" i="50"/>
  <c r="V884" i="50" s="1"/>
  <c r="Z169" i="50"/>
  <c r="Z884" i="50" s="1"/>
  <c r="AD169" i="50"/>
  <c r="AD884" i="50" s="1"/>
  <c r="T169" i="50"/>
  <c r="T884" i="50" s="1"/>
  <c r="X169" i="50"/>
  <c r="X884" i="50" s="1"/>
  <c r="AB505" i="50"/>
  <c r="AB1220" i="50" s="1"/>
  <c r="V505" i="50"/>
  <c r="V1220" i="50" s="1"/>
  <c r="T505" i="50"/>
  <c r="T1220" i="50" s="1"/>
  <c r="Z505" i="50"/>
  <c r="Z1220" i="50" s="1"/>
  <c r="AD505" i="50"/>
  <c r="AD1220" i="50" s="1"/>
  <c r="X505" i="50"/>
  <c r="X1220" i="50" s="1"/>
  <c r="J374" i="50"/>
  <c r="J1089" i="50" s="1"/>
  <c r="P374" i="50"/>
  <c r="P1089" i="50" s="1"/>
  <c r="L374" i="50"/>
  <c r="L1089" i="50" s="1"/>
  <c r="N374" i="50"/>
  <c r="N1089" i="50" s="1"/>
  <c r="F374" i="50"/>
  <c r="H374" i="50"/>
  <c r="H1089" i="50" s="1"/>
  <c r="L395" i="50"/>
  <c r="L1110" i="50" s="1"/>
  <c r="P395" i="50"/>
  <c r="P1110" i="50" s="1"/>
  <c r="J395" i="50"/>
  <c r="J1110" i="50" s="1"/>
  <c r="N395" i="50"/>
  <c r="N1110" i="50" s="1"/>
  <c r="F395" i="50"/>
  <c r="H395" i="50"/>
  <c r="H1110" i="50" s="1"/>
  <c r="AH204" i="50"/>
  <c r="T2571" i="50"/>
  <c r="T3285" i="50" s="1"/>
  <c r="V1696" i="50"/>
  <c r="AD1696" i="50"/>
  <c r="L381" i="50"/>
  <c r="L1096" i="50" s="1"/>
  <c r="J381" i="50"/>
  <c r="J1096" i="50" s="1"/>
  <c r="P381" i="50"/>
  <c r="P1096" i="50" s="1"/>
  <c r="N381" i="50"/>
  <c r="N1096" i="50" s="1"/>
  <c r="F381" i="50"/>
  <c r="H381" i="50"/>
  <c r="H1096" i="50" s="1"/>
  <c r="AH381" i="50"/>
  <c r="P388" i="50"/>
  <c r="L367" i="50"/>
  <c r="L1082" i="50" s="1"/>
  <c r="P367" i="50"/>
  <c r="P1082" i="50" s="1"/>
  <c r="J367" i="50"/>
  <c r="J1082" i="50" s="1"/>
  <c r="N367" i="50"/>
  <c r="N1082" i="50" s="1"/>
  <c r="F367" i="50"/>
  <c r="H367" i="50"/>
  <c r="H1082" i="50" s="1"/>
  <c r="AH367" i="50"/>
  <c r="L248" i="50"/>
  <c r="L963" i="50" s="1"/>
  <c r="J248" i="50"/>
  <c r="J963" i="50" s="1"/>
  <c r="P248" i="50"/>
  <c r="P963" i="50" s="1"/>
  <c r="N248" i="50"/>
  <c r="N963" i="50" s="1"/>
  <c r="F248" i="50"/>
  <c r="H248" i="50"/>
  <c r="H963" i="50" s="1"/>
  <c r="AH248" i="50"/>
  <c r="L185" i="50"/>
  <c r="L900" i="50" s="1"/>
  <c r="J185" i="50"/>
  <c r="J900" i="50" s="1"/>
  <c r="P185" i="50"/>
  <c r="P900" i="50" s="1"/>
  <c r="N185" i="50"/>
  <c r="N900" i="50" s="1"/>
  <c r="F185" i="50"/>
  <c r="H185" i="50"/>
  <c r="H900" i="50" s="1"/>
  <c r="AH185" i="50"/>
  <c r="L108" i="50"/>
  <c r="L823" i="50" s="1"/>
  <c r="J108" i="50"/>
  <c r="J823" i="50" s="1"/>
  <c r="P108" i="50"/>
  <c r="P823" i="50" s="1"/>
  <c r="N108" i="50"/>
  <c r="N823" i="50" s="1"/>
  <c r="F108" i="50"/>
  <c r="H108" i="50"/>
  <c r="H823" i="50" s="1"/>
  <c r="AB143" i="50"/>
  <c r="AB858" i="50" s="1"/>
  <c r="Z143" i="50"/>
  <c r="Z858" i="50" s="1"/>
  <c r="T143" i="50"/>
  <c r="T858" i="50" s="1"/>
  <c r="V143" i="50"/>
  <c r="V858" i="50" s="1"/>
  <c r="AD143" i="50"/>
  <c r="AD858" i="50" s="1"/>
  <c r="X143" i="50"/>
  <c r="X858" i="50" s="1"/>
  <c r="L2464" i="50"/>
  <c r="N2053" i="50"/>
  <c r="F2053" i="50"/>
  <c r="AN54" i="50"/>
  <c r="AB83" i="50"/>
  <c r="Z83" i="50"/>
  <c r="AD83" i="50"/>
  <c r="V83" i="50"/>
  <c r="T83" i="50"/>
  <c r="X83" i="50"/>
  <c r="AB625" i="50"/>
  <c r="AB1340" i="50" s="1"/>
  <c r="V625" i="50"/>
  <c r="V1340" i="50" s="1"/>
  <c r="Z625" i="50"/>
  <c r="Z1340" i="50" s="1"/>
  <c r="AD625" i="50"/>
  <c r="AD1340" i="50" s="1"/>
  <c r="T625" i="50"/>
  <c r="T1340" i="50" s="1"/>
  <c r="X625" i="50"/>
  <c r="X1340" i="50" s="1"/>
  <c r="AB268" i="50"/>
  <c r="Z268" i="50"/>
  <c r="V268" i="50"/>
  <c r="T268" i="50"/>
  <c r="AD268" i="50"/>
  <c r="X268" i="50"/>
  <c r="AD1891" i="50"/>
  <c r="L364" i="50"/>
  <c r="L1079" i="50" s="1"/>
  <c r="J364" i="50"/>
  <c r="J1079" i="50" s="1"/>
  <c r="P364" i="50"/>
  <c r="P1079" i="50" s="1"/>
  <c r="N364" i="50"/>
  <c r="N1079" i="50" s="1"/>
  <c r="H364" i="50"/>
  <c r="H1079" i="50" s="1"/>
  <c r="F364" i="50"/>
  <c r="L184" i="50"/>
  <c r="L899" i="50" s="1"/>
  <c r="J184" i="50"/>
  <c r="J899" i="50" s="1"/>
  <c r="P184" i="50"/>
  <c r="P899" i="50" s="1"/>
  <c r="N184" i="50"/>
  <c r="N899" i="50" s="1"/>
  <c r="F184" i="50"/>
  <c r="H184" i="50"/>
  <c r="H899" i="50" s="1"/>
  <c r="L198" i="50"/>
  <c r="L913" i="50" s="1"/>
  <c r="J198" i="50"/>
  <c r="J913" i="50" s="1"/>
  <c r="P198" i="50"/>
  <c r="P913" i="50" s="1"/>
  <c r="N198" i="50"/>
  <c r="N913" i="50" s="1"/>
  <c r="F198" i="50"/>
  <c r="H198" i="50"/>
  <c r="H913" i="50" s="1"/>
  <c r="J219" i="50"/>
  <c r="L219" i="50"/>
  <c r="L934" i="50" s="1"/>
  <c r="P219" i="50"/>
  <c r="N219" i="50"/>
  <c r="F219" i="50"/>
  <c r="H219" i="50"/>
  <c r="AD2649" i="50"/>
  <c r="AB114" i="50"/>
  <c r="AB829" i="50" s="1"/>
  <c r="Z114" i="50"/>
  <c r="Z829" i="50" s="1"/>
  <c r="V114" i="50"/>
  <c r="V829" i="50" s="1"/>
  <c r="AD114" i="50"/>
  <c r="AD829" i="50" s="1"/>
  <c r="T114" i="50"/>
  <c r="T829" i="50" s="1"/>
  <c r="X114" i="50"/>
  <c r="X829" i="50" s="1"/>
  <c r="AB142" i="50"/>
  <c r="AB857" i="50" s="1"/>
  <c r="Z142" i="50"/>
  <c r="Z857" i="50" s="1"/>
  <c r="V142" i="50"/>
  <c r="V857" i="50" s="1"/>
  <c r="AD142" i="50"/>
  <c r="AD857" i="50" s="1"/>
  <c r="T142" i="50"/>
  <c r="T857" i="50" s="1"/>
  <c r="X142" i="50"/>
  <c r="X857" i="50" s="1"/>
  <c r="AB388" i="50"/>
  <c r="AB1103" i="50" s="1"/>
  <c r="Z388" i="50"/>
  <c r="V388" i="50"/>
  <c r="AD388" i="50"/>
  <c r="T388" i="50"/>
  <c r="T1103" i="50" s="1"/>
  <c r="X388" i="50"/>
  <c r="L143" i="50"/>
  <c r="L858" i="50" s="1"/>
  <c r="J143" i="50"/>
  <c r="J858" i="50" s="1"/>
  <c r="P143" i="50"/>
  <c r="P858" i="50" s="1"/>
  <c r="N143" i="50"/>
  <c r="N858" i="50" s="1"/>
  <c r="F143" i="50"/>
  <c r="H143" i="50"/>
  <c r="H858" i="50" s="1"/>
  <c r="L283" i="50"/>
  <c r="L998" i="50" s="1"/>
  <c r="P283" i="50"/>
  <c r="P998" i="50" s="1"/>
  <c r="J283" i="50"/>
  <c r="J998" i="50" s="1"/>
  <c r="N283" i="50"/>
  <c r="N998" i="50" s="1"/>
  <c r="F283" i="50"/>
  <c r="H283" i="50"/>
  <c r="H998" i="50" s="1"/>
  <c r="AB464" i="50"/>
  <c r="AB1179" i="50" s="1"/>
  <c r="Z464" i="50"/>
  <c r="Z1179" i="50" s="1"/>
  <c r="V464" i="50"/>
  <c r="V1179" i="50" s="1"/>
  <c r="AD464" i="50"/>
  <c r="AD1179" i="50" s="1"/>
  <c r="T464" i="50"/>
  <c r="T1179" i="50" s="1"/>
  <c r="X464" i="50"/>
  <c r="X1179" i="50" s="1"/>
  <c r="L247" i="50"/>
  <c r="L962" i="50" s="1"/>
  <c r="J247" i="50"/>
  <c r="J962" i="50" s="1"/>
  <c r="P247" i="50"/>
  <c r="P962" i="50" s="1"/>
  <c r="N247" i="50"/>
  <c r="N962" i="50" s="1"/>
  <c r="F247" i="50"/>
  <c r="H247" i="50"/>
  <c r="H962" i="50" s="1"/>
  <c r="AB435" i="50"/>
  <c r="AB1150" i="50" s="1"/>
  <c r="V435" i="50"/>
  <c r="V1150" i="50" s="1"/>
  <c r="Z435" i="50"/>
  <c r="Z1150" i="50" s="1"/>
  <c r="AD435" i="50"/>
  <c r="AD1150" i="50" s="1"/>
  <c r="T435" i="50"/>
  <c r="T1150" i="50" s="1"/>
  <c r="X435" i="50"/>
  <c r="X1150" i="50" s="1"/>
  <c r="AB457" i="50"/>
  <c r="AB1172" i="50" s="1"/>
  <c r="Z457" i="50"/>
  <c r="Z1172" i="50" s="1"/>
  <c r="T457" i="50"/>
  <c r="T1172" i="50" s="1"/>
  <c r="V457" i="50"/>
  <c r="V1172" i="50" s="1"/>
  <c r="AD457" i="50"/>
  <c r="AD1172" i="50" s="1"/>
  <c r="X457" i="50"/>
  <c r="X1172" i="50" s="1"/>
  <c r="AB652" i="50"/>
  <c r="AB1367" i="50" s="1"/>
  <c r="Z652" i="50"/>
  <c r="Z1367" i="50" s="1"/>
  <c r="AD652" i="50"/>
  <c r="AD1367" i="50" s="1"/>
  <c r="T652" i="50"/>
  <c r="T1367" i="50" s="1"/>
  <c r="V652" i="50"/>
  <c r="V1367" i="50" s="1"/>
  <c r="X652" i="50"/>
  <c r="X1367" i="50" s="1"/>
  <c r="AB562" i="50"/>
  <c r="AB1277" i="50" s="1"/>
  <c r="Z562" i="50"/>
  <c r="Z1277" i="50" s="1"/>
  <c r="AD562" i="50"/>
  <c r="AD1277" i="50" s="1"/>
  <c r="T562" i="50"/>
  <c r="T1277" i="50" s="1"/>
  <c r="V562" i="50"/>
  <c r="V1277" i="50" s="1"/>
  <c r="X562" i="50"/>
  <c r="X1277" i="50" s="1"/>
  <c r="AB281" i="50"/>
  <c r="AB996" i="50" s="1"/>
  <c r="V281" i="50"/>
  <c r="V996" i="50" s="1"/>
  <c r="Z281" i="50"/>
  <c r="Z996" i="50" s="1"/>
  <c r="AD281" i="50"/>
  <c r="AD996" i="50" s="1"/>
  <c r="T281" i="50"/>
  <c r="T996" i="50" s="1"/>
  <c r="X281" i="50"/>
  <c r="X996" i="50" s="1"/>
  <c r="AB646" i="50"/>
  <c r="AB1361" i="50" s="1"/>
  <c r="Z646" i="50"/>
  <c r="Z1361" i="50" s="1"/>
  <c r="AD646" i="50"/>
  <c r="AD1361" i="50" s="1"/>
  <c r="T646" i="50"/>
  <c r="T1361" i="50" s="1"/>
  <c r="V646" i="50"/>
  <c r="V1361" i="50" s="1"/>
  <c r="X646" i="50"/>
  <c r="X1361" i="50" s="1"/>
  <c r="AB548" i="50"/>
  <c r="AB1263" i="50" s="1"/>
  <c r="Z548" i="50"/>
  <c r="Z1263" i="50" s="1"/>
  <c r="T548" i="50"/>
  <c r="T1263" i="50" s="1"/>
  <c r="V548" i="50"/>
  <c r="V1263" i="50" s="1"/>
  <c r="AD548" i="50"/>
  <c r="AD1263" i="50" s="1"/>
  <c r="X548" i="50"/>
  <c r="X1263" i="50" s="1"/>
  <c r="Z150" i="50"/>
  <c r="Z865" i="50" s="1"/>
  <c r="AB150" i="50"/>
  <c r="AB865" i="50" s="1"/>
  <c r="V150" i="50"/>
  <c r="V865" i="50" s="1"/>
  <c r="AD150" i="50"/>
  <c r="AD865" i="50" s="1"/>
  <c r="T150" i="50"/>
  <c r="T865" i="50" s="1"/>
  <c r="X150" i="50"/>
  <c r="X865" i="50" s="1"/>
  <c r="AB330" i="50"/>
  <c r="AB1045" i="50" s="1"/>
  <c r="Z330" i="50"/>
  <c r="Z1045" i="50" s="1"/>
  <c r="V330" i="50"/>
  <c r="V1045" i="50" s="1"/>
  <c r="AD330" i="50"/>
  <c r="AD1045" i="50" s="1"/>
  <c r="T330" i="50"/>
  <c r="T1045" i="50" s="1"/>
  <c r="X330" i="50"/>
  <c r="X1045" i="50" s="1"/>
  <c r="L204" i="50"/>
  <c r="L919" i="50" s="1"/>
  <c r="J204" i="50"/>
  <c r="J919" i="50" s="1"/>
  <c r="P204" i="50"/>
  <c r="P919" i="50" s="1"/>
  <c r="N204" i="50"/>
  <c r="N919" i="50" s="1"/>
  <c r="H204" i="50"/>
  <c r="H919" i="50" s="1"/>
  <c r="F204" i="50"/>
  <c r="L680" i="50"/>
  <c r="F680" i="50"/>
  <c r="N3524" i="50"/>
  <c r="L1528" i="50"/>
  <c r="L1529" i="50" s="1"/>
  <c r="L1530" i="50" s="1"/>
  <c r="J1528" i="50"/>
  <c r="AB108" i="50"/>
  <c r="AB823" i="50" s="1"/>
  <c r="Z108" i="50"/>
  <c r="Z823" i="50" s="1"/>
  <c r="V108" i="50"/>
  <c r="V823" i="50" s="1"/>
  <c r="AD108" i="50"/>
  <c r="AD823" i="50" s="1"/>
  <c r="T108" i="50"/>
  <c r="T823" i="50" s="1"/>
  <c r="X108" i="50"/>
  <c r="X823" i="50" s="1"/>
  <c r="L360" i="50"/>
  <c r="L1075" i="50" s="1"/>
  <c r="J360" i="50"/>
  <c r="J1075" i="50" s="1"/>
  <c r="P360" i="50"/>
  <c r="P1075" i="50" s="1"/>
  <c r="N360" i="50"/>
  <c r="N1075" i="50" s="1"/>
  <c r="F360" i="50"/>
  <c r="H360" i="50"/>
  <c r="H1075" i="50" s="1"/>
  <c r="AH360" i="50"/>
  <c r="L241" i="50"/>
  <c r="L956" i="50" s="1"/>
  <c r="J241" i="50"/>
  <c r="J956" i="50" s="1"/>
  <c r="P241" i="50"/>
  <c r="P956" i="50" s="1"/>
  <c r="N241" i="50"/>
  <c r="N956" i="50" s="1"/>
  <c r="F241" i="50"/>
  <c r="H241" i="50"/>
  <c r="H956" i="50" s="1"/>
  <c r="AH241" i="50"/>
  <c r="L178" i="50"/>
  <c r="L893" i="50" s="1"/>
  <c r="J178" i="50"/>
  <c r="J893" i="50" s="1"/>
  <c r="P178" i="50"/>
  <c r="P893" i="50" s="1"/>
  <c r="N178" i="50"/>
  <c r="N893" i="50" s="1"/>
  <c r="F178" i="50"/>
  <c r="H178" i="50"/>
  <c r="H893" i="50" s="1"/>
  <c r="L101" i="50"/>
  <c r="L816" i="50" s="1"/>
  <c r="J101" i="50"/>
  <c r="J816" i="50" s="1"/>
  <c r="P101" i="50"/>
  <c r="P816" i="50" s="1"/>
  <c r="N101" i="50"/>
  <c r="N816" i="50" s="1"/>
  <c r="F101" i="50"/>
  <c r="H101" i="50"/>
  <c r="H816" i="50" s="1"/>
  <c r="AH101" i="50"/>
  <c r="AB136" i="50"/>
  <c r="AB851" i="50" s="1"/>
  <c r="Z136" i="50"/>
  <c r="Z851" i="50" s="1"/>
  <c r="V136" i="50"/>
  <c r="V851" i="50" s="1"/>
  <c r="AD136" i="50"/>
  <c r="AD851" i="50" s="1"/>
  <c r="T136" i="50"/>
  <c r="T851" i="50" s="1"/>
  <c r="X136" i="50"/>
  <c r="X851" i="50" s="1"/>
  <c r="L1857" i="50"/>
  <c r="J1857" i="50"/>
  <c r="P1857" i="50"/>
  <c r="F1857" i="50"/>
  <c r="F1770" i="50"/>
  <c r="J1770" i="50"/>
  <c r="N1770" i="50"/>
  <c r="H1770" i="50"/>
  <c r="P1770" i="50"/>
  <c r="L1770" i="50"/>
  <c r="V1939" i="50"/>
  <c r="T1939" i="50"/>
  <c r="AB1939" i="50"/>
  <c r="AD1939" i="50"/>
  <c r="X1939" i="50"/>
  <c r="Z1939" i="50"/>
  <c r="L2074" i="50"/>
  <c r="AH2074" i="50"/>
  <c r="H2074" i="50"/>
  <c r="P2074" i="50"/>
  <c r="J2074" i="50"/>
  <c r="N2074" i="50"/>
  <c r="L76" i="50"/>
  <c r="J76" i="50"/>
  <c r="N76" i="50"/>
  <c r="P76" i="50"/>
  <c r="F76" i="50"/>
  <c r="H76" i="50"/>
  <c r="AB69" i="50"/>
  <c r="Z69" i="50"/>
  <c r="V69" i="50"/>
  <c r="AD69" i="50"/>
  <c r="T69" i="50"/>
  <c r="X69" i="50"/>
  <c r="AB48" i="50"/>
  <c r="Z48" i="50"/>
  <c r="V48" i="50"/>
  <c r="AD48" i="50"/>
  <c r="T48" i="50"/>
  <c r="X48" i="50"/>
  <c r="L7" i="50"/>
  <c r="J7" i="50"/>
  <c r="P7" i="50"/>
  <c r="N7" i="50"/>
  <c r="F7" i="50"/>
  <c r="H7" i="50"/>
  <c r="L128" i="50"/>
  <c r="L843" i="50" s="1"/>
  <c r="J128" i="50"/>
  <c r="J843" i="50" s="1"/>
  <c r="P128" i="50"/>
  <c r="P843" i="50" s="1"/>
  <c r="N128" i="50"/>
  <c r="N843" i="50" s="1"/>
  <c r="F128" i="50"/>
  <c r="H128" i="50"/>
  <c r="H843" i="50" s="1"/>
  <c r="AB386" i="50"/>
  <c r="AB1101" i="50" s="1"/>
  <c r="Z386" i="50"/>
  <c r="Z1101" i="50" s="1"/>
  <c r="V386" i="50"/>
  <c r="V1101" i="50" s="1"/>
  <c r="T386" i="50"/>
  <c r="T1101" i="50" s="1"/>
  <c r="AD386" i="50"/>
  <c r="AD1101" i="50" s="1"/>
  <c r="X386" i="50"/>
  <c r="X1101" i="50" s="1"/>
  <c r="AB520" i="50"/>
  <c r="AB1235" i="50" s="1"/>
  <c r="Z520" i="50"/>
  <c r="Z1235" i="50" s="1"/>
  <c r="V520" i="50"/>
  <c r="V1235" i="50" s="1"/>
  <c r="T520" i="50"/>
  <c r="T1235" i="50" s="1"/>
  <c r="AD520" i="50"/>
  <c r="AD1235" i="50" s="1"/>
  <c r="X520" i="50"/>
  <c r="X1235" i="50" s="1"/>
  <c r="AB345" i="50"/>
  <c r="AB1060" i="50" s="1"/>
  <c r="Z345" i="50"/>
  <c r="Z1060" i="50" s="1"/>
  <c r="V345" i="50"/>
  <c r="V1060" i="50" s="1"/>
  <c r="AD345" i="50"/>
  <c r="AD1060" i="50" s="1"/>
  <c r="X345" i="50"/>
  <c r="X1060" i="50" s="1"/>
  <c r="AB408" i="50"/>
  <c r="AB1123" i="50" s="1"/>
  <c r="Z408" i="50"/>
  <c r="Z1123" i="50" s="1"/>
  <c r="V408" i="50"/>
  <c r="V1123" i="50" s="1"/>
  <c r="AD408" i="50"/>
  <c r="AD1123" i="50" s="1"/>
  <c r="T408" i="50"/>
  <c r="T1123" i="50" s="1"/>
  <c r="X408" i="50"/>
  <c r="X1123" i="50" s="1"/>
  <c r="L199" i="50"/>
  <c r="L914" i="50" s="1"/>
  <c r="J199" i="50"/>
  <c r="J914" i="50" s="1"/>
  <c r="P199" i="50"/>
  <c r="P914" i="50" s="1"/>
  <c r="N199" i="50"/>
  <c r="N914" i="50" s="1"/>
  <c r="F199" i="50"/>
  <c r="H199" i="50"/>
  <c r="H914" i="50" s="1"/>
  <c r="L255" i="50"/>
  <c r="L970" i="50" s="1"/>
  <c r="P255" i="50"/>
  <c r="P970" i="50" s="1"/>
  <c r="J255" i="50"/>
  <c r="J970" i="50" s="1"/>
  <c r="N255" i="50"/>
  <c r="N970" i="50" s="1"/>
  <c r="F255" i="50"/>
  <c r="H255" i="50"/>
  <c r="H970" i="50" s="1"/>
  <c r="L332" i="50"/>
  <c r="L1047" i="50" s="1"/>
  <c r="J332" i="50"/>
  <c r="J1047" i="50" s="1"/>
  <c r="P332" i="50"/>
  <c r="P1047" i="50" s="1"/>
  <c r="N332" i="50"/>
  <c r="N1047" i="50" s="1"/>
  <c r="F332" i="50"/>
  <c r="H332" i="50"/>
  <c r="H1047" i="50" s="1"/>
  <c r="AB127" i="50"/>
  <c r="AB842" i="50" s="1"/>
  <c r="V127" i="50"/>
  <c r="V842" i="50" s="1"/>
  <c r="Z127" i="50"/>
  <c r="Z842" i="50" s="1"/>
  <c r="AD127" i="50"/>
  <c r="AD842" i="50" s="1"/>
  <c r="T127" i="50"/>
  <c r="T842" i="50" s="1"/>
  <c r="X127" i="50"/>
  <c r="X842" i="50" s="1"/>
  <c r="AB316" i="50"/>
  <c r="AB1031" i="50" s="1"/>
  <c r="Z316" i="50"/>
  <c r="Z1031" i="50" s="1"/>
  <c r="V316" i="50"/>
  <c r="V1031" i="50" s="1"/>
  <c r="AD316" i="50"/>
  <c r="AD1031" i="50" s="1"/>
  <c r="T316" i="50"/>
  <c r="T1031" i="50" s="1"/>
  <c r="X316" i="50"/>
  <c r="X1031" i="50" s="1"/>
  <c r="AB617" i="50"/>
  <c r="AB1332" i="50" s="1"/>
  <c r="V617" i="50"/>
  <c r="V1332" i="50" s="1"/>
  <c r="Z617" i="50"/>
  <c r="Z1332" i="50" s="1"/>
  <c r="T617" i="50"/>
  <c r="T1332" i="50" s="1"/>
  <c r="AD617" i="50"/>
  <c r="AD1332" i="50" s="1"/>
  <c r="X617" i="50"/>
  <c r="X1332" i="50" s="1"/>
  <c r="AB122" i="50"/>
  <c r="AB837" i="50" s="1"/>
  <c r="Z122" i="50"/>
  <c r="Z837" i="50" s="1"/>
  <c r="V122" i="50"/>
  <c r="V837" i="50" s="1"/>
  <c r="AD122" i="50"/>
  <c r="AD837" i="50" s="1"/>
  <c r="T122" i="50"/>
  <c r="T837" i="50" s="1"/>
  <c r="X122" i="50"/>
  <c r="X837" i="50" s="1"/>
  <c r="L297" i="50"/>
  <c r="L1012" i="50" s="1"/>
  <c r="J297" i="50"/>
  <c r="J1012" i="50" s="1"/>
  <c r="P297" i="50"/>
  <c r="P1012" i="50" s="1"/>
  <c r="N297" i="50"/>
  <c r="N1012" i="50" s="1"/>
  <c r="F297" i="50"/>
  <c r="H297" i="50"/>
  <c r="H1012" i="50" s="1"/>
  <c r="L325" i="50"/>
  <c r="L1040" i="50" s="1"/>
  <c r="J325" i="50"/>
  <c r="J1040" i="50" s="1"/>
  <c r="P325" i="50"/>
  <c r="P1040" i="50" s="1"/>
  <c r="N325" i="50"/>
  <c r="N1040" i="50" s="1"/>
  <c r="F325" i="50"/>
  <c r="H325" i="50"/>
  <c r="H1040" i="50" s="1"/>
  <c r="Z1652" i="50"/>
  <c r="AN1656" i="50"/>
  <c r="V1741" i="50"/>
  <c r="Z1741" i="50"/>
  <c r="F1616" i="50"/>
  <c r="N1616" i="50"/>
  <c r="AB1910" i="50"/>
  <c r="V1910" i="50"/>
  <c r="X1959" i="50"/>
  <c r="Z1959" i="50"/>
  <c r="Z1785" i="50"/>
  <c r="X1785" i="50"/>
  <c r="AB101" i="50"/>
  <c r="AB816" i="50" s="1"/>
  <c r="Z101" i="50"/>
  <c r="Z816" i="50" s="1"/>
  <c r="T101" i="50"/>
  <c r="T816" i="50" s="1"/>
  <c r="V101" i="50"/>
  <c r="V816" i="50" s="1"/>
  <c r="AD101" i="50"/>
  <c r="AD816" i="50" s="1"/>
  <c r="X101" i="50"/>
  <c r="X816" i="50" s="1"/>
  <c r="L234" i="50"/>
  <c r="L949" i="50" s="1"/>
  <c r="J234" i="50"/>
  <c r="J949" i="50" s="1"/>
  <c r="P234" i="50"/>
  <c r="P949" i="50" s="1"/>
  <c r="N234" i="50"/>
  <c r="N949" i="50" s="1"/>
  <c r="F234" i="50"/>
  <c r="H234" i="50"/>
  <c r="H949" i="50" s="1"/>
  <c r="AH234" i="50"/>
  <c r="AB381" i="50"/>
  <c r="AB1096" i="50" s="1"/>
  <c r="Z381" i="50"/>
  <c r="Z1096" i="50" s="1"/>
  <c r="V381" i="50"/>
  <c r="V1096" i="50" s="1"/>
  <c r="T381" i="50"/>
  <c r="T1096" i="50" s="1"/>
  <c r="AD381" i="50"/>
  <c r="AD1096" i="50" s="1"/>
  <c r="X381" i="50"/>
  <c r="X1096" i="50" s="1"/>
  <c r="L66" i="50"/>
  <c r="L781" i="50" s="1"/>
  <c r="J66" i="50"/>
  <c r="J781" i="50" s="1"/>
  <c r="P66" i="50"/>
  <c r="P781" i="50" s="1"/>
  <c r="N66" i="50"/>
  <c r="N781" i="50" s="1"/>
  <c r="F66" i="50"/>
  <c r="H66" i="50"/>
  <c r="H781" i="50" s="1"/>
  <c r="AH66" i="50"/>
  <c r="AB129" i="50"/>
  <c r="AB844" i="50" s="1"/>
  <c r="Z129" i="50"/>
  <c r="Z844" i="50" s="1"/>
  <c r="V129" i="50"/>
  <c r="V844" i="50" s="1"/>
  <c r="T129" i="50"/>
  <c r="T844" i="50" s="1"/>
  <c r="AD129" i="50"/>
  <c r="AD844" i="50" s="1"/>
  <c r="X129" i="50"/>
  <c r="X844" i="50" s="1"/>
  <c r="AH129" i="50"/>
  <c r="Z2001" i="50"/>
  <c r="AD2001" i="50"/>
  <c r="T2001" i="50"/>
  <c r="X2001" i="50"/>
  <c r="AH2001" i="50"/>
  <c r="AB2001" i="50"/>
  <c r="V2001" i="50"/>
  <c r="X1834" i="50"/>
  <c r="AB1834" i="50"/>
  <c r="T1834" i="50"/>
  <c r="AD1834" i="50"/>
  <c r="Z1834" i="50"/>
  <c r="V1834" i="50"/>
  <c r="X2064" i="50"/>
  <c r="T2064" i="50"/>
  <c r="AD2064" i="50"/>
  <c r="AH2064" i="50"/>
  <c r="Z2064" i="50"/>
  <c r="AB2064" i="50"/>
  <c r="V2064" i="50"/>
  <c r="Z2459" i="50"/>
  <c r="Z2190" i="50"/>
  <c r="X1850" i="50"/>
  <c r="T1468" i="50"/>
  <c r="AF1807" i="50"/>
  <c r="BL159" i="49"/>
  <c r="H475" i="50"/>
  <c r="AF1750" i="50"/>
  <c r="BC222" i="49"/>
  <c r="R2065" i="50"/>
  <c r="AF1819" i="50"/>
  <c r="BH112" i="49"/>
  <c r="L622" i="50"/>
  <c r="J622" i="50"/>
  <c r="P622" i="50"/>
  <c r="N622" i="50"/>
  <c r="H622" i="50"/>
  <c r="F622" i="50"/>
  <c r="L538" i="50"/>
  <c r="J538" i="50"/>
  <c r="P538" i="50"/>
  <c r="N538" i="50"/>
  <c r="H538" i="50"/>
  <c r="F538" i="50"/>
  <c r="L545" i="50"/>
  <c r="J545" i="50"/>
  <c r="P545" i="50"/>
  <c r="N545" i="50"/>
  <c r="F545" i="50"/>
  <c r="H545" i="50"/>
  <c r="L608" i="50"/>
  <c r="J608" i="50"/>
  <c r="P608" i="50"/>
  <c r="N608" i="50"/>
  <c r="F608" i="50"/>
  <c r="H608" i="50"/>
  <c r="L629" i="50"/>
  <c r="J629" i="50"/>
  <c r="P629" i="50"/>
  <c r="N629" i="50"/>
  <c r="F629" i="50"/>
  <c r="H629" i="50"/>
  <c r="L573" i="50"/>
  <c r="J573" i="50"/>
  <c r="P573" i="50"/>
  <c r="N573" i="50"/>
  <c r="F573" i="50"/>
  <c r="H573" i="50"/>
  <c r="AB244" i="50"/>
  <c r="Z244" i="50"/>
  <c r="V244" i="50"/>
  <c r="AD244" i="50"/>
  <c r="T244" i="50"/>
  <c r="X244" i="50"/>
  <c r="AB279" i="50"/>
  <c r="Z279" i="50"/>
  <c r="V279" i="50"/>
  <c r="AD279" i="50"/>
  <c r="T279" i="50"/>
  <c r="X279" i="50"/>
  <c r="AD615" i="50"/>
  <c r="AB350" i="50"/>
  <c r="AB1065" i="50" s="1"/>
  <c r="Z350" i="50"/>
  <c r="Z1065" i="50" s="1"/>
  <c r="V350" i="50"/>
  <c r="V1065" i="50" s="1"/>
  <c r="AD350" i="50"/>
  <c r="AD1065" i="50" s="1"/>
  <c r="T350" i="50"/>
  <c r="T1065" i="50" s="1"/>
  <c r="X350" i="50"/>
  <c r="X1065" i="50" s="1"/>
  <c r="AB580" i="50"/>
  <c r="Z580" i="50"/>
  <c r="V580" i="50"/>
  <c r="T580" i="50"/>
  <c r="AD580" i="50"/>
  <c r="X580" i="50"/>
  <c r="V343" i="50"/>
  <c r="V1058" i="50" s="1"/>
  <c r="AB629" i="50"/>
  <c r="T629" i="50"/>
  <c r="AB623" i="50"/>
  <c r="AB1338" i="50" s="1"/>
  <c r="V623" i="50"/>
  <c r="V1338" i="50" s="1"/>
  <c r="Z623" i="50"/>
  <c r="Z1338" i="50" s="1"/>
  <c r="AD623" i="50"/>
  <c r="AD1338" i="50" s="1"/>
  <c r="T623" i="50"/>
  <c r="T1338" i="50" s="1"/>
  <c r="X623" i="50"/>
  <c r="X1338" i="50" s="1"/>
  <c r="AB329" i="50"/>
  <c r="AB1044" i="50" s="1"/>
  <c r="V329" i="50"/>
  <c r="V1044" i="50" s="1"/>
  <c r="Z329" i="50"/>
  <c r="Z1044" i="50" s="1"/>
  <c r="T329" i="50"/>
  <c r="T1044" i="50" s="1"/>
  <c r="AD329" i="50"/>
  <c r="AD1044" i="50" s="1"/>
  <c r="X329" i="50"/>
  <c r="X1044" i="50" s="1"/>
  <c r="AB538" i="50"/>
  <c r="Z538" i="50"/>
  <c r="V538" i="50"/>
  <c r="AD538" i="50"/>
  <c r="T538" i="50"/>
  <c r="X538" i="50"/>
  <c r="AB672" i="50"/>
  <c r="AB1387" i="50" s="1"/>
  <c r="V672" i="50"/>
  <c r="V1387" i="50" s="1"/>
  <c r="Z672" i="50"/>
  <c r="Z1387" i="50" s="1"/>
  <c r="AD672" i="50"/>
  <c r="AD1387" i="50" s="1"/>
  <c r="T672" i="50"/>
  <c r="T1387" i="50" s="1"/>
  <c r="X672" i="50"/>
  <c r="X1387" i="50" s="1"/>
  <c r="AB286" i="50"/>
  <c r="Z286" i="50"/>
  <c r="V286" i="50"/>
  <c r="AD286" i="50"/>
  <c r="T286" i="50"/>
  <c r="X286" i="50"/>
  <c r="L174" i="50"/>
  <c r="J174" i="50"/>
  <c r="P174" i="50"/>
  <c r="N174" i="50"/>
  <c r="F174" i="50"/>
  <c r="H174" i="50"/>
  <c r="L105" i="50"/>
  <c r="L820" i="50" s="1"/>
  <c r="J105" i="50"/>
  <c r="J820" i="50" s="1"/>
  <c r="P105" i="50"/>
  <c r="P820" i="50" s="1"/>
  <c r="N105" i="50"/>
  <c r="N820" i="50" s="1"/>
  <c r="F105" i="50"/>
  <c r="H105" i="50"/>
  <c r="H820" i="50" s="1"/>
  <c r="L70" i="50"/>
  <c r="L785" i="50" s="1"/>
  <c r="P70" i="50"/>
  <c r="P785" i="50" s="1"/>
  <c r="N70" i="50"/>
  <c r="N785" i="50" s="1"/>
  <c r="J70" i="50"/>
  <c r="J785" i="50" s="1"/>
  <c r="F70" i="50"/>
  <c r="H70" i="50"/>
  <c r="H785" i="50" s="1"/>
  <c r="L188" i="50"/>
  <c r="J188" i="50"/>
  <c r="P188" i="50"/>
  <c r="N188" i="50"/>
  <c r="F188" i="50"/>
  <c r="H188" i="50"/>
  <c r="J343" i="50"/>
  <c r="J1058" i="50" s="1"/>
  <c r="L343" i="50"/>
  <c r="L1058" i="50" s="1"/>
  <c r="P343" i="50"/>
  <c r="P1058" i="50" s="1"/>
  <c r="N343" i="50"/>
  <c r="N1058" i="50" s="1"/>
  <c r="F343" i="50"/>
  <c r="H343" i="50"/>
  <c r="H1058" i="50" s="1"/>
  <c r="L181" i="50"/>
  <c r="J181" i="50"/>
  <c r="P181" i="50"/>
  <c r="N181" i="50"/>
  <c r="F181" i="50"/>
  <c r="H181" i="50"/>
  <c r="AB62" i="50"/>
  <c r="Z62" i="50"/>
  <c r="V62" i="50"/>
  <c r="AD62" i="50"/>
  <c r="T62" i="50"/>
  <c r="X62" i="50"/>
  <c r="Z97" i="50"/>
  <c r="AB202" i="50"/>
  <c r="Z202" i="50"/>
  <c r="V202" i="50"/>
  <c r="AD202" i="50"/>
  <c r="T202" i="50"/>
  <c r="X202" i="50"/>
  <c r="AB643" i="50"/>
  <c r="Z643" i="50"/>
  <c r="V643" i="50"/>
  <c r="AD643" i="50"/>
  <c r="T643" i="50"/>
  <c r="X643" i="50"/>
  <c r="AB266" i="50"/>
  <c r="AB981" i="50" s="1"/>
  <c r="Z266" i="50"/>
  <c r="Z981" i="50" s="1"/>
  <c r="V266" i="50"/>
  <c r="V981" i="50" s="1"/>
  <c r="AD266" i="50"/>
  <c r="AD981" i="50" s="1"/>
  <c r="T266" i="50"/>
  <c r="T981" i="50" s="1"/>
  <c r="X266" i="50"/>
  <c r="X981" i="50" s="1"/>
  <c r="AB496" i="50"/>
  <c r="Z496" i="50"/>
  <c r="V496" i="50"/>
  <c r="T496" i="50"/>
  <c r="AD496" i="50"/>
  <c r="X496" i="50"/>
  <c r="AB259" i="50"/>
  <c r="AB974" i="50" s="1"/>
  <c r="V259" i="50"/>
  <c r="V974" i="50" s="1"/>
  <c r="T259" i="50"/>
  <c r="T974" i="50" s="1"/>
  <c r="Z259" i="50"/>
  <c r="Z974" i="50" s="1"/>
  <c r="AD259" i="50"/>
  <c r="AD974" i="50" s="1"/>
  <c r="X259" i="50"/>
  <c r="X974" i="50" s="1"/>
  <c r="AB545" i="50"/>
  <c r="Z545" i="50"/>
  <c r="V545" i="50"/>
  <c r="AD545" i="50"/>
  <c r="T545" i="50"/>
  <c r="X545" i="50"/>
  <c r="AB370" i="50"/>
  <c r="Z370" i="50"/>
  <c r="V370" i="50"/>
  <c r="AD370" i="50"/>
  <c r="T370" i="50"/>
  <c r="X370" i="50"/>
  <c r="AB539" i="50"/>
  <c r="AB1254" i="50" s="1"/>
  <c r="V539" i="50"/>
  <c r="V1254" i="50" s="1"/>
  <c r="Z539" i="50"/>
  <c r="Z1254" i="50" s="1"/>
  <c r="AD539" i="50"/>
  <c r="AD1254" i="50" s="1"/>
  <c r="T539" i="50"/>
  <c r="T1254" i="50" s="1"/>
  <c r="X539" i="50"/>
  <c r="X1254" i="50" s="1"/>
  <c r="AB392" i="50"/>
  <c r="AB1107" i="50" s="1"/>
  <c r="Z392" i="50"/>
  <c r="Z1107" i="50" s="1"/>
  <c r="V392" i="50"/>
  <c r="V1107" i="50" s="1"/>
  <c r="AD392" i="50"/>
  <c r="AD1107" i="50" s="1"/>
  <c r="T392" i="50"/>
  <c r="T1107" i="50" s="1"/>
  <c r="X392" i="50"/>
  <c r="X1107" i="50" s="1"/>
  <c r="AB195" i="50"/>
  <c r="Z195" i="50"/>
  <c r="V195" i="50"/>
  <c r="AD195" i="50"/>
  <c r="T195" i="50"/>
  <c r="X195" i="50"/>
  <c r="V581" i="50"/>
  <c r="V1296" i="50" s="1"/>
  <c r="X581" i="50"/>
  <c r="X1296" i="50" s="1"/>
  <c r="AB301" i="50"/>
  <c r="AB1016" i="50" s="1"/>
  <c r="V301" i="50"/>
  <c r="V1016" i="50" s="1"/>
  <c r="Z301" i="50"/>
  <c r="T301" i="50"/>
  <c r="AD301" i="50"/>
  <c r="AD1016" i="50" s="1"/>
  <c r="X301" i="50"/>
  <c r="X1016" i="50" s="1"/>
  <c r="L13" i="50"/>
  <c r="J13" i="50"/>
  <c r="P13" i="50"/>
  <c r="F13" i="50"/>
  <c r="N13" i="50"/>
  <c r="H13" i="50"/>
  <c r="L328" i="50"/>
  <c r="J328" i="50"/>
  <c r="P328" i="50"/>
  <c r="N328" i="50"/>
  <c r="F328" i="50"/>
  <c r="H328" i="50"/>
  <c r="L357" i="50"/>
  <c r="L1072" i="50" s="1"/>
  <c r="J357" i="50"/>
  <c r="J1072" i="50" s="1"/>
  <c r="P357" i="50"/>
  <c r="P1072" i="50" s="1"/>
  <c r="N357" i="50"/>
  <c r="N1072" i="50" s="1"/>
  <c r="F357" i="50"/>
  <c r="H357" i="50"/>
  <c r="H1072" i="50" s="1"/>
  <c r="L433" i="50"/>
  <c r="J433" i="50"/>
  <c r="P433" i="50"/>
  <c r="N433" i="50"/>
  <c r="F433" i="50"/>
  <c r="H433" i="50"/>
  <c r="L370" i="50"/>
  <c r="J370" i="50"/>
  <c r="P370" i="50"/>
  <c r="N370" i="50"/>
  <c r="F370" i="50"/>
  <c r="H370" i="50"/>
  <c r="L371" i="50"/>
  <c r="L1086" i="50" s="1"/>
  <c r="J371" i="50"/>
  <c r="J1086" i="50" s="1"/>
  <c r="P371" i="50"/>
  <c r="P1086" i="50" s="1"/>
  <c r="N371" i="50"/>
  <c r="N1086" i="50" s="1"/>
  <c r="F371" i="50"/>
  <c r="H371" i="50"/>
  <c r="H1086" i="50" s="1"/>
  <c r="L84" i="50"/>
  <c r="L799" i="50" s="1"/>
  <c r="J84" i="50"/>
  <c r="J799" i="50" s="1"/>
  <c r="P84" i="50"/>
  <c r="P799" i="50" s="1"/>
  <c r="N84" i="50"/>
  <c r="N799" i="50" s="1"/>
  <c r="H84" i="50"/>
  <c r="H799" i="50" s="1"/>
  <c r="F84" i="50"/>
  <c r="P496" i="50"/>
  <c r="AB188" i="50"/>
  <c r="Z188" i="50"/>
  <c r="V188" i="50"/>
  <c r="AD188" i="50"/>
  <c r="T188" i="50"/>
  <c r="X188" i="50"/>
  <c r="AB118" i="50"/>
  <c r="Z118" i="50"/>
  <c r="V118" i="50"/>
  <c r="AD118" i="50"/>
  <c r="T118" i="50"/>
  <c r="X118" i="50"/>
  <c r="AB559" i="50"/>
  <c r="Z559" i="50"/>
  <c r="V559" i="50"/>
  <c r="AD559" i="50"/>
  <c r="T559" i="50"/>
  <c r="X559" i="50"/>
  <c r="AB294" i="50"/>
  <c r="AB1009" i="50" s="1"/>
  <c r="Z294" i="50"/>
  <c r="Z1009" i="50" s="1"/>
  <c r="V294" i="50"/>
  <c r="V1009" i="50" s="1"/>
  <c r="AD294" i="50"/>
  <c r="AD1009" i="50" s="1"/>
  <c r="T294" i="50"/>
  <c r="T1009" i="50" s="1"/>
  <c r="X294" i="50"/>
  <c r="X1009" i="50" s="1"/>
  <c r="AB524" i="50"/>
  <c r="Z524" i="50"/>
  <c r="V524" i="50"/>
  <c r="T524" i="50"/>
  <c r="AD524" i="50"/>
  <c r="X524" i="50"/>
  <c r="AB287" i="50"/>
  <c r="AB1002" i="50" s="1"/>
  <c r="V287" i="50"/>
  <c r="V1002" i="50" s="1"/>
  <c r="Z287" i="50"/>
  <c r="Z1002" i="50" s="1"/>
  <c r="T287" i="50"/>
  <c r="T1002" i="50" s="1"/>
  <c r="AD287" i="50"/>
  <c r="AD1002" i="50" s="1"/>
  <c r="X287" i="50"/>
  <c r="X1002" i="50" s="1"/>
  <c r="V461" i="50"/>
  <c r="AB482" i="50"/>
  <c r="Z482" i="50"/>
  <c r="V482" i="50"/>
  <c r="AD482" i="50"/>
  <c r="T482" i="50"/>
  <c r="X482" i="50"/>
  <c r="AB566" i="50"/>
  <c r="Z566" i="50"/>
  <c r="V566" i="50"/>
  <c r="T566" i="50"/>
  <c r="AD566" i="50"/>
  <c r="X566" i="50"/>
  <c r="AB314" i="50"/>
  <c r="Z314" i="50"/>
  <c r="V314" i="50"/>
  <c r="AD314" i="50"/>
  <c r="X314" i="50"/>
  <c r="Z497" i="50"/>
  <c r="Z1212" i="50" s="1"/>
  <c r="AB420" i="50"/>
  <c r="AB1135" i="50" s="1"/>
  <c r="Z420" i="50"/>
  <c r="Z1135" i="50" s="1"/>
  <c r="V420" i="50"/>
  <c r="V1135" i="50" s="1"/>
  <c r="AD420" i="50"/>
  <c r="AD1135" i="50" s="1"/>
  <c r="T420" i="50"/>
  <c r="T1135" i="50" s="1"/>
  <c r="X420" i="50"/>
  <c r="X1135" i="50" s="1"/>
  <c r="L42" i="50"/>
  <c r="L757" i="50" s="1"/>
  <c r="J42" i="50"/>
  <c r="J757" i="50" s="1"/>
  <c r="P42" i="50"/>
  <c r="P757" i="50" s="1"/>
  <c r="N42" i="50"/>
  <c r="N757" i="50" s="1"/>
  <c r="F42" i="50"/>
  <c r="H42" i="50"/>
  <c r="H757" i="50" s="1"/>
  <c r="L111" i="50"/>
  <c r="J111" i="50"/>
  <c r="P111" i="50"/>
  <c r="N111" i="50"/>
  <c r="F111" i="50"/>
  <c r="H111" i="50"/>
  <c r="L126" i="50"/>
  <c r="L841" i="50" s="1"/>
  <c r="J126" i="50"/>
  <c r="J841" i="50" s="1"/>
  <c r="P126" i="50"/>
  <c r="P841" i="50" s="1"/>
  <c r="N126" i="50"/>
  <c r="N841" i="50" s="1"/>
  <c r="H126" i="50"/>
  <c r="H841" i="50" s="1"/>
  <c r="F126" i="50"/>
  <c r="P244" i="50"/>
  <c r="L287" i="50"/>
  <c r="L1002" i="50" s="1"/>
  <c r="J287" i="50"/>
  <c r="J1002" i="50" s="1"/>
  <c r="P287" i="50"/>
  <c r="P1002" i="50" s="1"/>
  <c r="N287" i="50"/>
  <c r="N1002" i="50" s="1"/>
  <c r="F287" i="50"/>
  <c r="H287" i="50"/>
  <c r="H1002" i="50" s="1"/>
  <c r="L196" i="50"/>
  <c r="L911" i="50" s="1"/>
  <c r="J196" i="50"/>
  <c r="J911" i="50" s="1"/>
  <c r="P196" i="50"/>
  <c r="P911" i="50" s="1"/>
  <c r="N196" i="50"/>
  <c r="N911" i="50" s="1"/>
  <c r="H196" i="50"/>
  <c r="H911" i="50" s="1"/>
  <c r="F196" i="50"/>
  <c r="L140" i="50"/>
  <c r="L855" i="50" s="1"/>
  <c r="J140" i="50"/>
  <c r="J855" i="50" s="1"/>
  <c r="P140" i="50"/>
  <c r="P855" i="50" s="1"/>
  <c r="N140" i="50"/>
  <c r="N855" i="50" s="1"/>
  <c r="H140" i="50"/>
  <c r="H855" i="50" s="1"/>
  <c r="F140" i="50"/>
  <c r="AB104" i="50"/>
  <c r="Z104" i="50"/>
  <c r="V104" i="50"/>
  <c r="AD104" i="50"/>
  <c r="T104" i="50"/>
  <c r="X104" i="50"/>
  <c r="Z20" i="50"/>
  <c r="V20" i="50"/>
  <c r="AD20" i="50"/>
  <c r="X20" i="50"/>
  <c r="AB475" i="50"/>
  <c r="Z475" i="50"/>
  <c r="V475" i="50"/>
  <c r="AD475" i="50"/>
  <c r="T475" i="50"/>
  <c r="X475" i="50"/>
  <c r="AB210" i="50"/>
  <c r="AB925" i="50" s="1"/>
  <c r="Z210" i="50"/>
  <c r="Z925" i="50" s="1"/>
  <c r="V210" i="50"/>
  <c r="V925" i="50" s="1"/>
  <c r="AD210" i="50"/>
  <c r="AD925" i="50" s="1"/>
  <c r="T210" i="50"/>
  <c r="T925" i="50" s="1"/>
  <c r="X210" i="50"/>
  <c r="X925" i="50" s="1"/>
  <c r="AB440" i="50"/>
  <c r="Z440" i="50"/>
  <c r="V440" i="50"/>
  <c r="AD440" i="50"/>
  <c r="T440" i="50"/>
  <c r="X440" i="50"/>
  <c r="AB203" i="50"/>
  <c r="AB918" i="50" s="1"/>
  <c r="AD203" i="50"/>
  <c r="AD918" i="50" s="1"/>
  <c r="AB489" i="50"/>
  <c r="Z489" i="50"/>
  <c r="V489" i="50"/>
  <c r="AD489" i="50"/>
  <c r="T489" i="50"/>
  <c r="X489" i="50"/>
  <c r="AB594" i="50"/>
  <c r="Z594" i="50"/>
  <c r="V594" i="50"/>
  <c r="AD594" i="50"/>
  <c r="T594" i="50"/>
  <c r="X594" i="50"/>
  <c r="AB595" i="50"/>
  <c r="AB1310" i="50" s="1"/>
  <c r="V595" i="50"/>
  <c r="V1310" i="50" s="1"/>
  <c r="Z595" i="50"/>
  <c r="Z1310" i="50" s="1"/>
  <c r="AD595" i="50"/>
  <c r="AD1310" i="50" s="1"/>
  <c r="T595" i="50"/>
  <c r="T1310" i="50" s="1"/>
  <c r="X595" i="50"/>
  <c r="X1310" i="50" s="1"/>
  <c r="AB462" i="50"/>
  <c r="AB1177" i="50" s="1"/>
  <c r="Z462" i="50"/>
  <c r="Z1177" i="50" s="1"/>
  <c r="V462" i="50"/>
  <c r="V1177" i="50" s="1"/>
  <c r="AD462" i="50"/>
  <c r="AD1177" i="50" s="1"/>
  <c r="T462" i="50"/>
  <c r="T1177" i="50" s="1"/>
  <c r="X462" i="50"/>
  <c r="X1177" i="50" s="1"/>
  <c r="AB371" i="50"/>
  <c r="AB1086" i="50" s="1"/>
  <c r="V371" i="50"/>
  <c r="V1086" i="50" s="1"/>
  <c r="Z371" i="50"/>
  <c r="Z1086" i="50" s="1"/>
  <c r="AD371" i="50"/>
  <c r="AD1086" i="50" s="1"/>
  <c r="T371" i="50"/>
  <c r="T1086" i="50" s="1"/>
  <c r="X371" i="50"/>
  <c r="X1086" i="50" s="1"/>
  <c r="AB665" i="50"/>
  <c r="AB1380" i="50" s="1"/>
  <c r="T665" i="50"/>
  <c r="T1380" i="50" s="1"/>
  <c r="L55" i="50"/>
  <c r="J55" i="50"/>
  <c r="N55" i="50"/>
  <c r="F55" i="50"/>
  <c r="P55" i="50"/>
  <c r="H55" i="50"/>
  <c r="L146" i="50"/>
  <c r="J146" i="50"/>
  <c r="N146" i="50"/>
  <c r="P146" i="50"/>
  <c r="F146" i="50"/>
  <c r="H146" i="50"/>
  <c r="L189" i="50"/>
  <c r="L904" i="50" s="1"/>
  <c r="J189" i="50"/>
  <c r="J904" i="50" s="1"/>
  <c r="P189" i="50"/>
  <c r="P904" i="50" s="1"/>
  <c r="N189" i="50"/>
  <c r="N904" i="50" s="1"/>
  <c r="F189" i="50"/>
  <c r="H189" i="50"/>
  <c r="H904" i="50" s="1"/>
  <c r="L251" i="50"/>
  <c r="J251" i="50"/>
  <c r="P251" i="50"/>
  <c r="N251" i="50"/>
  <c r="F251" i="50"/>
  <c r="H251" i="50"/>
  <c r="P266" i="50"/>
  <c r="P981" i="50" s="1"/>
  <c r="P272" i="50"/>
  <c r="J315" i="50"/>
  <c r="J1030" i="50" s="1"/>
  <c r="L315" i="50"/>
  <c r="L1030" i="50" s="1"/>
  <c r="P315" i="50"/>
  <c r="P1030" i="50" s="1"/>
  <c r="N315" i="50"/>
  <c r="N1030" i="50" s="1"/>
  <c r="F315" i="50"/>
  <c r="H315" i="50"/>
  <c r="H1030" i="50" s="1"/>
  <c r="L419" i="50"/>
  <c r="J419" i="50"/>
  <c r="P419" i="50"/>
  <c r="N419" i="50"/>
  <c r="F419" i="50"/>
  <c r="H419" i="50"/>
  <c r="V21" i="32"/>
  <c r="V24" i="32"/>
  <c r="X15" i="32"/>
  <c r="V35" i="32"/>
  <c r="V30" i="32"/>
  <c r="AB2254" i="50"/>
  <c r="L2520" i="50"/>
  <c r="F2505" i="50"/>
  <c r="X2365" i="50"/>
  <c r="V2746" i="50"/>
  <c r="P1615" i="50"/>
  <c r="V2421" i="50"/>
  <c r="N2561" i="50"/>
  <c r="H1715" i="50"/>
  <c r="AD1967" i="50"/>
  <c r="M98" i="35"/>
  <c r="V2059" i="50"/>
  <c r="F1715" i="50"/>
  <c r="N2802" i="50"/>
  <c r="N2204" i="50"/>
  <c r="N2918" i="50" s="1"/>
  <c r="N2695" i="50"/>
  <c r="P2786" i="50"/>
  <c r="Z2677" i="50"/>
  <c r="P2733" i="50"/>
  <c r="T2815" i="50"/>
  <c r="P2621" i="50"/>
  <c r="N2814" i="50"/>
  <c r="R484" i="50"/>
  <c r="R373" i="50"/>
  <c r="L44" i="50"/>
  <c r="L759" i="50" s="1"/>
  <c r="J44" i="50"/>
  <c r="J759" i="50" s="1"/>
  <c r="P44" i="50"/>
  <c r="P759" i="50" s="1"/>
  <c r="N44" i="50"/>
  <c r="N759" i="50" s="1"/>
  <c r="F44" i="50"/>
  <c r="H44" i="50"/>
  <c r="H759" i="50" s="1"/>
  <c r="R408" i="50"/>
  <c r="L37" i="50"/>
  <c r="L752" i="50" s="1"/>
  <c r="J37" i="50"/>
  <c r="J752" i="50" s="1"/>
  <c r="P37" i="50"/>
  <c r="P752" i="50" s="1"/>
  <c r="N37" i="50"/>
  <c r="N752" i="50" s="1"/>
  <c r="F37" i="50"/>
  <c r="H37" i="50"/>
  <c r="H752" i="50" s="1"/>
  <c r="R261" i="50"/>
  <c r="L58" i="50"/>
  <c r="L773" i="50" s="1"/>
  <c r="J58" i="50"/>
  <c r="J773" i="50" s="1"/>
  <c r="P58" i="50"/>
  <c r="P773" i="50" s="1"/>
  <c r="N58" i="50"/>
  <c r="N773" i="50" s="1"/>
  <c r="F58" i="50"/>
  <c r="H58" i="50"/>
  <c r="H773" i="50" s="1"/>
  <c r="R267" i="50"/>
  <c r="L43" i="50"/>
  <c r="L758" i="50" s="1"/>
  <c r="J43" i="50"/>
  <c r="J758" i="50" s="1"/>
  <c r="P43" i="50"/>
  <c r="P758" i="50" s="1"/>
  <c r="N43" i="50"/>
  <c r="N758" i="50" s="1"/>
  <c r="F43" i="50"/>
  <c r="H43" i="50"/>
  <c r="H758" i="50" s="1"/>
  <c r="R380" i="50"/>
  <c r="R310" i="50"/>
  <c r="R254" i="50"/>
  <c r="R191" i="50"/>
  <c r="R135" i="50"/>
  <c r="J79" i="50"/>
  <c r="J794" i="50" s="1"/>
  <c r="P79" i="50"/>
  <c r="P794" i="50" s="1"/>
  <c r="L79" i="50"/>
  <c r="L794" i="50" s="1"/>
  <c r="N79" i="50"/>
  <c r="N794" i="50" s="1"/>
  <c r="F79" i="50"/>
  <c r="H79" i="50"/>
  <c r="H794" i="50" s="1"/>
  <c r="R576" i="50"/>
  <c r="R652" i="50"/>
  <c r="R407" i="50"/>
  <c r="R183" i="50"/>
  <c r="R394" i="50"/>
  <c r="R667" i="50"/>
  <c r="R632" i="50"/>
  <c r="R597" i="50"/>
  <c r="R562" i="50"/>
  <c r="R506" i="50"/>
  <c r="R429" i="50"/>
  <c r="J57" i="50"/>
  <c r="J772" i="50" s="1"/>
  <c r="L57" i="50"/>
  <c r="L772" i="50" s="1"/>
  <c r="P57" i="50"/>
  <c r="P772" i="50" s="1"/>
  <c r="N57" i="50"/>
  <c r="N772" i="50" s="1"/>
  <c r="F57" i="50"/>
  <c r="H57" i="50"/>
  <c r="H772" i="50" s="1"/>
  <c r="L16" i="50"/>
  <c r="L731" i="50" s="1"/>
  <c r="J16" i="50"/>
  <c r="J731" i="50" s="1"/>
  <c r="P16" i="50"/>
  <c r="P731" i="50" s="1"/>
  <c r="N16" i="50"/>
  <c r="N731" i="50" s="1"/>
  <c r="F16" i="50"/>
  <c r="H16" i="50"/>
  <c r="H731" i="50" s="1"/>
  <c r="R645" i="50"/>
  <c r="R589" i="50"/>
  <c r="R533" i="50"/>
  <c r="R400" i="50"/>
  <c r="R260" i="50"/>
  <c r="L92" i="50"/>
  <c r="L807" i="50" s="1"/>
  <c r="J92" i="50"/>
  <c r="J807" i="50" s="1"/>
  <c r="P92" i="50"/>
  <c r="P807" i="50" s="1"/>
  <c r="N92" i="50"/>
  <c r="N807" i="50" s="1"/>
  <c r="H92" i="50"/>
  <c r="H807" i="50" s="1"/>
  <c r="F92" i="50"/>
  <c r="L8" i="50"/>
  <c r="J8" i="50"/>
  <c r="P8" i="50"/>
  <c r="N8" i="50"/>
  <c r="H8" i="50"/>
  <c r="F8" i="50"/>
  <c r="AB38" i="50"/>
  <c r="Z38" i="50"/>
  <c r="Z753" i="50" s="1"/>
  <c r="V38" i="50"/>
  <c r="V753" i="50" s="1"/>
  <c r="AD38" i="50"/>
  <c r="T38" i="50"/>
  <c r="X38" i="50"/>
  <c r="X753" i="50" s="1"/>
  <c r="AF576" i="50"/>
  <c r="AF554" i="50"/>
  <c r="AF604" i="50"/>
  <c r="L94" i="50"/>
  <c r="L809" i="50" s="1"/>
  <c r="J94" i="50"/>
  <c r="J809" i="50" s="1"/>
  <c r="P94" i="50"/>
  <c r="P809" i="50" s="1"/>
  <c r="N94" i="50"/>
  <c r="N809" i="50" s="1"/>
  <c r="F94" i="50"/>
  <c r="H94" i="50"/>
  <c r="H809" i="50" s="1"/>
  <c r="N45" i="50"/>
  <c r="N760" i="50" s="1"/>
  <c r="AF387" i="50"/>
  <c r="AF338" i="50"/>
  <c r="AF324" i="50"/>
  <c r="AF226" i="50"/>
  <c r="AF205" i="50"/>
  <c r="AF191" i="50"/>
  <c r="AF177" i="50"/>
  <c r="AF163" i="50"/>
  <c r="AF149" i="50"/>
  <c r="AF100" i="50"/>
  <c r="AB79" i="50"/>
  <c r="AB794" i="50" s="1"/>
  <c r="V79" i="50"/>
  <c r="V794" i="50" s="1"/>
  <c r="T79" i="50"/>
  <c r="T794" i="50" s="1"/>
  <c r="Z79" i="50"/>
  <c r="Z794" i="50" s="1"/>
  <c r="AD79" i="50"/>
  <c r="AD794" i="50" s="1"/>
  <c r="X79" i="50"/>
  <c r="X794" i="50" s="1"/>
  <c r="AB58" i="50"/>
  <c r="AB773" i="50" s="1"/>
  <c r="Z58" i="50"/>
  <c r="Z773" i="50" s="1"/>
  <c r="V58" i="50"/>
  <c r="V773" i="50" s="1"/>
  <c r="AD58" i="50"/>
  <c r="AD773" i="50" s="1"/>
  <c r="T58" i="50"/>
  <c r="T773" i="50" s="1"/>
  <c r="X58" i="50"/>
  <c r="X773" i="50" s="1"/>
  <c r="AB30" i="50"/>
  <c r="AB745" i="50" s="1"/>
  <c r="Z30" i="50"/>
  <c r="Z745" i="50" s="1"/>
  <c r="V30" i="50"/>
  <c r="V745" i="50" s="1"/>
  <c r="AD30" i="50"/>
  <c r="AD745" i="50" s="1"/>
  <c r="T30" i="50"/>
  <c r="T745" i="50" s="1"/>
  <c r="X30" i="50"/>
  <c r="X745" i="50" s="1"/>
  <c r="AF695" i="50"/>
  <c r="AF610" i="50"/>
  <c r="L17" i="50"/>
  <c r="L732" i="50" s="1"/>
  <c r="J17" i="50"/>
  <c r="J732" i="50" s="1"/>
  <c r="P17" i="50"/>
  <c r="P732" i="50" s="1"/>
  <c r="N17" i="50"/>
  <c r="N732" i="50" s="1"/>
  <c r="F17" i="50"/>
  <c r="H17" i="50"/>
  <c r="H732" i="50" s="1"/>
  <c r="AF190" i="50"/>
  <c r="AF632" i="50"/>
  <c r="AF701" i="50"/>
  <c r="AF645" i="50"/>
  <c r="AF449" i="50"/>
  <c r="AF253" i="50"/>
  <c r="AF197" i="50"/>
  <c r="AB57" i="50"/>
  <c r="AB772" i="50" s="1"/>
  <c r="V57" i="50"/>
  <c r="V772" i="50" s="1"/>
  <c r="Z57" i="50"/>
  <c r="Z772" i="50" s="1"/>
  <c r="AD57" i="50"/>
  <c r="AD772" i="50" s="1"/>
  <c r="T57" i="50"/>
  <c r="T772" i="50" s="1"/>
  <c r="X57" i="50"/>
  <c r="X772" i="50" s="1"/>
  <c r="BL106" i="49"/>
  <c r="BP106" i="49" s="1"/>
  <c r="BU106" i="49" s="1"/>
  <c r="AF590" i="50"/>
  <c r="AB9" i="50"/>
  <c r="Z9" i="50"/>
  <c r="V9" i="50"/>
  <c r="AD9" i="50"/>
  <c r="T9" i="50"/>
  <c r="X9" i="50"/>
  <c r="AF624" i="50"/>
  <c r="AF568" i="50"/>
  <c r="AF372" i="50"/>
  <c r="AF176" i="50"/>
  <c r="AF120" i="50"/>
  <c r="BL96" i="49"/>
  <c r="AF597" i="50"/>
  <c r="AB16" i="50"/>
  <c r="AB731" i="50" s="1"/>
  <c r="Z16" i="50"/>
  <c r="Z731" i="50" s="1"/>
  <c r="V16" i="50"/>
  <c r="V731" i="50" s="1"/>
  <c r="T16" i="50"/>
  <c r="T731" i="50" s="1"/>
  <c r="AD16" i="50"/>
  <c r="AD731" i="50" s="1"/>
  <c r="X16" i="50"/>
  <c r="X731" i="50" s="1"/>
  <c r="AF519" i="50"/>
  <c r="AF463" i="50"/>
  <c r="AF323" i="50"/>
  <c r="AF267" i="50"/>
  <c r="AB71" i="50"/>
  <c r="AB786" i="50" s="1"/>
  <c r="V71" i="50"/>
  <c r="V786" i="50" s="1"/>
  <c r="Z71" i="50"/>
  <c r="Z786" i="50" s="1"/>
  <c r="AD71" i="50"/>
  <c r="AD786" i="50" s="1"/>
  <c r="T71" i="50"/>
  <c r="T786" i="50" s="1"/>
  <c r="X71" i="50"/>
  <c r="X786" i="50" s="1"/>
  <c r="F2501" i="50"/>
  <c r="AI216" i="49"/>
  <c r="AX217" i="49"/>
  <c r="AB2768" i="50" s="1"/>
  <c r="AB3482" i="50" s="1"/>
  <c r="R1853" i="50"/>
  <c r="Y198" i="49"/>
  <c r="R472" i="50"/>
  <c r="AX220" i="49"/>
  <c r="AI201" i="49"/>
  <c r="R1801" i="50"/>
  <c r="R1849" i="50"/>
  <c r="AX88" i="49"/>
  <c r="AI229" i="49"/>
  <c r="T177" i="49"/>
  <c r="AB2485" i="50" s="1"/>
  <c r="AB3199" i="50" s="1"/>
  <c r="AS223" i="49"/>
  <c r="D71" i="32"/>
  <c r="F2844" i="50"/>
  <c r="F3558" i="50" s="1"/>
  <c r="L657" i="50"/>
  <c r="J657" i="50"/>
  <c r="P657" i="50"/>
  <c r="N657" i="50"/>
  <c r="F657" i="50"/>
  <c r="H657" i="50"/>
  <c r="L685" i="50"/>
  <c r="J685" i="50"/>
  <c r="P685" i="50"/>
  <c r="N685" i="50"/>
  <c r="F685" i="50"/>
  <c r="H685" i="50"/>
  <c r="L671" i="50"/>
  <c r="J671" i="50"/>
  <c r="P671" i="50"/>
  <c r="N671" i="50"/>
  <c r="F671" i="50"/>
  <c r="H671" i="50"/>
  <c r="L594" i="50"/>
  <c r="J594" i="50"/>
  <c r="P594" i="50"/>
  <c r="N594" i="50"/>
  <c r="H594" i="50"/>
  <c r="F594" i="50"/>
  <c r="L454" i="50"/>
  <c r="P454" i="50"/>
  <c r="J454" i="50"/>
  <c r="N454" i="50"/>
  <c r="F454" i="50"/>
  <c r="H454" i="50"/>
  <c r="L587" i="50"/>
  <c r="J587" i="50"/>
  <c r="P587" i="50"/>
  <c r="N587" i="50"/>
  <c r="F587" i="50"/>
  <c r="H587" i="50"/>
  <c r="L636" i="50"/>
  <c r="J636" i="50"/>
  <c r="P636" i="50"/>
  <c r="N636" i="50"/>
  <c r="F636" i="50"/>
  <c r="H636" i="50"/>
  <c r="AB181" i="50"/>
  <c r="Z181" i="50"/>
  <c r="V181" i="50"/>
  <c r="AD181" i="50"/>
  <c r="T181" i="50"/>
  <c r="X181" i="50"/>
  <c r="AB35" i="50"/>
  <c r="AB750" i="50" s="1"/>
  <c r="Z35" i="50"/>
  <c r="Z750" i="50" s="1"/>
  <c r="V35" i="50"/>
  <c r="V750" i="50" s="1"/>
  <c r="AD35" i="50"/>
  <c r="AD750" i="50" s="1"/>
  <c r="T35" i="50"/>
  <c r="T750" i="50" s="1"/>
  <c r="X35" i="50"/>
  <c r="X750" i="50" s="1"/>
  <c r="AB251" i="50"/>
  <c r="Z251" i="50"/>
  <c r="V251" i="50"/>
  <c r="AD251" i="50"/>
  <c r="T251" i="50"/>
  <c r="X251" i="50"/>
  <c r="AB699" i="50"/>
  <c r="AB1414" i="50" s="1"/>
  <c r="Z699" i="50"/>
  <c r="Z1414" i="50" s="1"/>
  <c r="V699" i="50"/>
  <c r="V1414" i="50" s="1"/>
  <c r="AD699" i="50"/>
  <c r="AD1414" i="50" s="1"/>
  <c r="T699" i="50"/>
  <c r="T1414" i="50" s="1"/>
  <c r="X699" i="50"/>
  <c r="X1414" i="50" s="1"/>
  <c r="AB293" i="50"/>
  <c r="Z293" i="50"/>
  <c r="V293" i="50"/>
  <c r="AD293" i="50"/>
  <c r="T293" i="50"/>
  <c r="X293" i="50"/>
  <c r="AB56" i="50"/>
  <c r="AB771" i="50" s="1"/>
  <c r="V56" i="50"/>
  <c r="V771" i="50" s="1"/>
  <c r="Z56" i="50"/>
  <c r="Z771" i="50" s="1"/>
  <c r="AD56" i="50"/>
  <c r="AD771" i="50" s="1"/>
  <c r="T56" i="50"/>
  <c r="T771" i="50" s="1"/>
  <c r="X56" i="50"/>
  <c r="X771" i="50" s="1"/>
  <c r="AB308" i="50"/>
  <c r="AB1023" i="50" s="1"/>
  <c r="Z308" i="50"/>
  <c r="Z1023" i="50" s="1"/>
  <c r="V308" i="50"/>
  <c r="V1023" i="50" s="1"/>
  <c r="AD308" i="50"/>
  <c r="AD1023" i="50" s="1"/>
  <c r="T308" i="50"/>
  <c r="T1023" i="50" s="1"/>
  <c r="X308" i="50"/>
  <c r="X1023" i="50" s="1"/>
  <c r="AB504" i="50"/>
  <c r="AB1219" i="50" s="1"/>
  <c r="V504" i="50"/>
  <c r="V1219" i="50" s="1"/>
  <c r="Z504" i="50"/>
  <c r="Z1219" i="50" s="1"/>
  <c r="AD504" i="50"/>
  <c r="AD1219" i="50" s="1"/>
  <c r="T504" i="50"/>
  <c r="T1219" i="50" s="1"/>
  <c r="X504" i="50"/>
  <c r="X1219" i="50" s="1"/>
  <c r="AB224" i="50"/>
  <c r="AB939" i="50" s="1"/>
  <c r="Z224" i="50"/>
  <c r="Z939" i="50" s="1"/>
  <c r="V224" i="50"/>
  <c r="V939" i="50" s="1"/>
  <c r="AD224" i="50"/>
  <c r="AD939" i="50" s="1"/>
  <c r="T224" i="50"/>
  <c r="T939" i="50" s="1"/>
  <c r="X224" i="50"/>
  <c r="X939" i="50" s="1"/>
  <c r="AB357" i="50"/>
  <c r="AB1072" i="50" s="1"/>
  <c r="V357" i="50"/>
  <c r="V1072" i="50" s="1"/>
  <c r="Z357" i="50"/>
  <c r="Z1072" i="50" s="1"/>
  <c r="AD357" i="50"/>
  <c r="AD1072" i="50" s="1"/>
  <c r="T357" i="50"/>
  <c r="T1072" i="50" s="1"/>
  <c r="X357" i="50"/>
  <c r="X1072" i="50" s="1"/>
  <c r="AB574" i="50"/>
  <c r="AB1289" i="50" s="1"/>
  <c r="V574" i="50"/>
  <c r="V1289" i="50" s="1"/>
  <c r="Z574" i="50"/>
  <c r="Z1289" i="50" s="1"/>
  <c r="AD574" i="50"/>
  <c r="AD1289" i="50" s="1"/>
  <c r="T574" i="50"/>
  <c r="T1289" i="50" s="1"/>
  <c r="X574" i="50"/>
  <c r="X1289" i="50" s="1"/>
  <c r="L286" i="50"/>
  <c r="J286" i="50"/>
  <c r="P286" i="50"/>
  <c r="N286" i="50"/>
  <c r="F286" i="50"/>
  <c r="H286" i="50"/>
  <c r="L217" i="50"/>
  <c r="L932" i="50" s="1"/>
  <c r="J217" i="50"/>
  <c r="J932" i="50" s="1"/>
  <c r="P217" i="50"/>
  <c r="P932" i="50" s="1"/>
  <c r="N217" i="50"/>
  <c r="N932" i="50" s="1"/>
  <c r="F217" i="50"/>
  <c r="H217" i="50"/>
  <c r="H932" i="50" s="1"/>
  <c r="L167" i="50"/>
  <c r="J167" i="50"/>
  <c r="P167" i="50"/>
  <c r="N167" i="50"/>
  <c r="F167" i="50"/>
  <c r="H167" i="50"/>
  <c r="L182" i="50"/>
  <c r="J182" i="50"/>
  <c r="P182" i="50"/>
  <c r="N182" i="50"/>
  <c r="H182" i="50"/>
  <c r="F182" i="50"/>
  <c r="L300" i="50"/>
  <c r="J300" i="50"/>
  <c r="P300" i="50"/>
  <c r="N300" i="50"/>
  <c r="F300" i="50"/>
  <c r="H300" i="50"/>
  <c r="L468" i="50"/>
  <c r="J468" i="50"/>
  <c r="P468" i="50"/>
  <c r="N468" i="50"/>
  <c r="F468" i="50"/>
  <c r="H468" i="50"/>
  <c r="AB209" i="50"/>
  <c r="Z209" i="50"/>
  <c r="V209" i="50"/>
  <c r="AD209" i="50"/>
  <c r="T209" i="50"/>
  <c r="X209" i="50"/>
  <c r="AB307" i="50"/>
  <c r="Z307" i="50"/>
  <c r="V307" i="50"/>
  <c r="AD307" i="50"/>
  <c r="T307" i="50"/>
  <c r="X307" i="50"/>
  <c r="AB42" i="50"/>
  <c r="AB757" i="50" s="1"/>
  <c r="Z42" i="50"/>
  <c r="Z757" i="50" s="1"/>
  <c r="V42" i="50"/>
  <c r="V757" i="50" s="1"/>
  <c r="T42" i="50"/>
  <c r="T757" i="50" s="1"/>
  <c r="AD42" i="50"/>
  <c r="AD757" i="50" s="1"/>
  <c r="X42" i="50"/>
  <c r="X757" i="50" s="1"/>
  <c r="AB378" i="50"/>
  <c r="AB1093" i="50" s="1"/>
  <c r="Z378" i="50"/>
  <c r="Z1093" i="50" s="1"/>
  <c r="V378" i="50"/>
  <c r="V1093" i="50" s="1"/>
  <c r="AD378" i="50"/>
  <c r="AD1093" i="50" s="1"/>
  <c r="T378" i="50"/>
  <c r="T1093" i="50" s="1"/>
  <c r="X378" i="50"/>
  <c r="X1093" i="50" s="1"/>
  <c r="AB608" i="50"/>
  <c r="AD608" i="50"/>
  <c r="AB111" i="50"/>
  <c r="Z111" i="50"/>
  <c r="V111" i="50"/>
  <c r="AD111" i="50"/>
  <c r="T111" i="50"/>
  <c r="X111" i="50"/>
  <c r="AB664" i="50"/>
  <c r="Z664" i="50"/>
  <c r="V664" i="50"/>
  <c r="T664" i="50"/>
  <c r="AD664" i="50"/>
  <c r="X664" i="50"/>
  <c r="AB49" i="50"/>
  <c r="Z49" i="50"/>
  <c r="V49" i="50"/>
  <c r="AD49" i="50"/>
  <c r="T49" i="50"/>
  <c r="X49" i="50"/>
  <c r="AB651" i="50"/>
  <c r="AB1366" i="50" s="1"/>
  <c r="V651" i="50"/>
  <c r="V1366" i="50" s="1"/>
  <c r="Z651" i="50"/>
  <c r="Z1366" i="50" s="1"/>
  <c r="AD651" i="50"/>
  <c r="AD1366" i="50" s="1"/>
  <c r="T651" i="50"/>
  <c r="T1366" i="50" s="1"/>
  <c r="X651" i="50"/>
  <c r="X1366" i="50" s="1"/>
  <c r="AB532" i="50"/>
  <c r="AB1247" i="50" s="1"/>
  <c r="V532" i="50"/>
  <c r="V1247" i="50" s="1"/>
  <c r="Z532" i="50"/>
  <c r="Z1247" i="50" s="1"/>
  <c r="AD532" i="50"/>
  <c r="AD1247" i="50" s="1"/>
  <c r="T532" i="50"/>
  <c r="T1247" i="50" s="1"/>
  <c r="X532" i="50"/>
  <c r="X1247" i="50" s="1"/>
  <c r="AB650" i="50"/>
  <c r="Z650" i="50"/>
  <c r="V650" i="50"/>
  <c r="AD650" i="50"/>
  <c r="T650" i="50"/>
  <c r="X650" i="50"/>
  <c r="AB700" i="50"/>
  <c r="AB1415" i="50" s="1"/>
  <c r="V700" i="50"/>
  <c r="V1415" i="50" s="1"/>
  <c r="Z700" i="50"/>
  <c r="Z1415" i="50" s="1"/>
  <c r="AD700" i="50"/>
  <c r="AD1415" i="50" s="1"/>
  <c r="T700" i="50"/>
  <c r="T1415" i="50" s="1"/>
  <c r="X700" i="50"/>
  <c r="X1415" i="50" s="1"/>
  <c r="AB245" i="50"/>
  <c r="AB960" i="50" s="1"/>
  <c r="V245" i="50"/>
  <c r="V960" i="50" s="1"/>
  <c r="Z245" i="50"/>
  <c r="Z960" i="50" s="1"/>
  <c r="T245" i="50"/>
  <c r="T960" i="50" s="1"/>
  <c r="AD245" i="50"/>
  <c r="AD960" i="50" s="1"/>
  <c r="X245" i="50"/>
  <c r="X960" i="50" s="1"/>
  <c r="L90" i="50"/>
  <c r="J90" i="50"/>
  <c r="P90" i="50"/>
  <c r="N90" i="50"/>
  <c r="F90" i="50"/>
  <c r="H90" i="50"/>
  <c r="L440" i="50"/>
  <c r="J440" i="50"/>
  <c r="P440" i="50"/>
  <c r="N440" i="50"/>
  <c r="F440" i="50"/>
  <c r="H440" i="50"/>
  <c r="L83" i="50"/>
  <c r="J83" i="50"/>
  <c r="P83" i="50"/>
  <c r="F83" i="50"/>
  <c r="N83" i="50"/>
  <c r="H83" i="50"/>
  <c r="L322" i="50"/>
  <c r="L1037" i="50" s="1"/>
  <c r="J322" i="50"/>
  <c r="J1037" i="50" s="1"/>
  <c r="P322" i="50"/>
  <c r="P1037" i="50" s="1"/>
  <c r="N322" i="50"/>
  <c r="N1037" i="50" s="1"/>
  <c r="H322" i="50"/>
  <c r="H1037" i="50" s="1"/>
  <c r="F322" i="50"/>
  <c r="L147" i="50"/>
  <c r="L862" i="50" s="1"/>
  <c r="J147" i="50"/>
  <c r="J862" i="50" s="1"/>
  <c r="P147" i="50"/>
  <c r="P862" i="50" s="1"/>
  <c r="N147" i="50"/>
  <c r="N862" i="50" s="1"/>
  <c r="F147" i="50"/>
  <c r="H147" i="50"/>
  <c r="H862" i="50" s="1"/>
  <c r="L209" i="50"/>
  <c r="J209" i="50"/>
  <c r="P209" i="50"/>
  <c r="N209" i="50"/>
  <c r="F209" i="50"/>
  <c r="H209" i="50"/>
  <c r="L461" i="50"/>
  <c r="J461" i="50"/>
  <c r="P461" i="50"/>
  <c r="N461" i="50"/>
  <c r="F461" i="50"/>
  <c r="H461" i="50"/>
  <c r="L252" i="50"/>
  <c r="L967" i="50" s="1"/>
  <c r="J252" i="50"/>
  <c r="J967" i="50" s="1"/>
  <c r="P252" i="50"/>
  <c r="P967" i="50" s="1"/>
  <c r="N252" i="50"/>
  <c r="N967" i="50" s="1"/>
  <c r="H252" i="50"/>
  <c r="H967" i="50" s="1"/>
  <c r="F252" i="50"/>
  <c r="AB27" i="50"/>
  <c r="Z27" i="50"/>
  <c r="AD27" i="50"/>
  <c r="T27" i="50"/>
  <c r="V27" i="50"/>
  <c r="X27" i="50"/>
  <c r="AB230" i="50"/>
  <c r="Z230" i="50"/>
  <c r="V230" i="50"/>
  <c r="AD230" i="50"/>
  <c r="T230" i="50"/>
  <c r="X230" i="50"/>
  <c r="AB678" i="50"/>
  <c r="Z678" i="50"/>
  <c r="V678" i="50"/>
  <c r="T678" i="50"/>
  <c r="AD678" i="50"/>
  <c r="X678" i="50"/>
  <c r="AB406" i="50"/>
  <c r="AB1121" i="50" s="1"/>
  <c r="Z406" i="50"/>
  <c r="Z1121" i="50" s="1"/>
  <c r="V406" i="50"/>
  <c r="V1121" i="50" s="1"/>
  <c r="AD406" i="50"/>
  <c r="AD1121" i="50" s="1"/>
  <c r="T406" i="50"/>
  <c r="T1121" i="50" s="1"/>
  <c r="X406" i="50"/>
  <c r="X1121" i="50" s="1"/>
  <c r="AB636" i="50"/>
  <c r="Z636" i="50"/>
  <c r="V636" i="50"/>
  <c r="T636" i="50"/>
  <c r="AD636" i="50"/>
  <c r="X636" i="50"/>
  <c r="AB573" i="50"/>
  <c r="Z573" i="50"/>
  <c r="V573" i="50"/>
  <c r="AD573" i="50"/>
  <c r="T573" i="50"/>
  <c r="X573" i="50"/>
  <c r="AB196" i="50"/>
  <c r="AB911" i="50" s="1"/>
  <c r="Z196" i="50"/>
  <c r="Z911" i="50" s="1"/>
  <c r="V196" i="50"/>
  <c r="V911" i="50" s="1"/>
  <c r="AD196" i="50"/>
  <c r="AD911" i="50" s="1"/>
  <c r="T196" i="50"/>
  <c r="T911" i="50" s="1"/>
  <c r="X196" i="50"/>
  <c r="X911" i="50" s="1"/>
  <c r="AB567" i="50"/>
  <c r="AB1282" i="50" s="1"/>
  <c r="V567" i="50"/>
  <c r="V1282" i="50" s="1"/>
  <c r="Z567" i="50"/>
  <c r="Z1282" i="50" s="1"/>
  <c r="AD567" i="50"/>
  <c r="AD1282" i="50" s="1"/>
  <c r="T567" i="50"/>
  <c r="T1282" i="50" s="1"/>
  <c r="X567" i="50"/>
  <c r="X1282" i="50" s="1"/>
  <c r="AH217" i="50"/>
  <c r="AB560" i="50"/>
  <c r="AB1275" i="50" s="1"/>
  <c r="V560" i="50"/>
  <c r="V1275" i="50" s="1"/>
  <c r="Z560" i="50"/>
  <c r="Z1275" i="50" s="1"/>
  <c r="AD560" i="50"/>
  <c r="AD1275" i="50" s="1"/>
  <c r="T560" i="50"/>
  <c r="T1275" i="50" s="1"/>
  <c r="X560" i="50"/>
  <c r="X1275" i="50" s="1"/>
  <c r="AB105" i="50"/>
  <c r="AB820" i="50" s="1"/>
  <c r="V105" i="50"/>
  <c r="V820" i="50" s="1"/>
  <c r="Z105" i="50"/>
  <c r="Z820" i="50" s="1"/>
  <c r="AD105" i="50"/>
  <c r="AD820" i="50" s="1"/>
  <c r="T105" i="50"/>
  <c r="T820" i="50" s="1"/>
  <c r="X105" i="50"/>
  <c r="X820" i="50" s="1"/>
  <c r="AB609" i="50"/>
  <c r="AB1324" i="50" s="1"/>
  <c r="V609" i="50"/>
  <c r="V1324" i="50" s="1"/>
  <c r="Z609" i="50"/>
  <c r="Z1324" i="50" s="1"/>
  <c r="AD609" i="50"/>
  <c r="AD1324" i="50" s="1"/>
  <c r="T609" i="50"/>
  <c r="T1324" i="50" s="1"/>
  <c r="X609" i="50"/>
  <c r="X1324" i="50" s="1"/>
  <c r="AB385" i="50"/>
  <c r="AB1100" i="50" s="1"/>
  <c r="V385" i="50"/>
  <c r="V1100" i="50" s="1"/>
  <c r="Z385" i="50"/>
  <c r="Z1100" i="50" s="1"/>
  <c r="AD385" i="50"/>
  <c r="AD1100" i="50" s="1"/>
  <c r="T385" i="50"/>
  <c r="T1100" i="50" s="1"/>
  <c r="X385" i="50"/>
  <c r="X1100" i="50" s="1"/>
  <c r="L118" i="50"/>
  <c r="J118" i="50"/>
  <c r="N118" i="50"/>
  <c r="P118" i="50"/>
  <c r="F118" i="50"/>
  <c r="H118" i="50"/>
  <c r="L161" i="50"/>
  <c r="L876" i="50" s="1"/>
  <c r="J161" i="50"/>
  <c r="J876" i="50" s="1"/>
  <c r="P161" i="50"/>
  <c r="P876" i="50" s="1"/>
  <c r="N161" i="50"/>
  <c r="N876" i="50" s="1"/>
  <c r="F161" i="50"/>
  <c r="H161" i="50"/>
  <c r="H876" i="50" s="1"/>
  <c r="L223" i="50"/>
  <c r="J223" i="50"/>
  <c r="P223" i="50"/>
  <c r="N223" i="50"/>
  <c r="F223" i="50"/>
  <c r="H223" i="50"/>
  <c r="L238" i="50"/>
  <c r="L953" i="50" s="1"/>
  <c r="J238" i="50"/>
  <c r="J953" i="50" s="1"/>
  <c r="P238" i="50"/>
  <c r="P953" i="50" s="1"/>
  <c r="N238" i="50"/>
  <c r="N953" i="50" s="1"/>
  <c r="H238" i="50"/>
  <c r="H953" i="50" s="1"/>
  <c r="F238" i="50"/>
  <c r="L398" i="50"/>
  <c r="J398" i="50"/>
  <c r="P398" i="50"/>
  <c r="N398" i="50"/>
  <c r="F398" i="50"/>
  <c r="H398" i="50"/>
  <c r="P399" i="50"/>
  <c r="P1114" i="50" s="1"/>
  <c r="L489" i="50"/>
  <c r="J489" i="50"/>
  <c r="P489" i="50"/>
  <c r="N489" i="50"/>
  <c r="F489" i="50"/>
  <c r="H489" i="50"/>
  <c r="L125" i="50"/>
  <c r="J125" i="50"/>
  <c r="P125" i="50"/>
  <c r="N125" i="50"/>
  <c r="F125" i="50"/>
  <c r="H125" i="50"/>
  <c r="AB216" i="50"/>
  <c r="Z216" i="50"/>
  <c r="V216" i="50"/>
  <c r="AD216" i="50"/>
  <c r="T216" i="50"/>
  <c r="X216" i="50"/>
  <c r="AB146" i="50"/>
  <c r="Z146" i="50"/>
  <c r="V146" i="50"/>
  <c r="AD146" i="50"/>
  <c r="T146" i="50"/>
  <c r="X146" i="50"/>
  <c r="AB587" i="50"/>
  <c r="Z587" i="50"/>
  <c r="V587" i="50"/>
  <c r="AD587" i="50"/>
  <c r="T587" i="50"/>
  <c r="X587" i="50"/>
  <c r="AB322" i="50"/>
  <c r="AB1037" i="50" s="1"/>
  <c r="Z322" i="50"/>
  <c r="Z1037" i="50" s="1"/>
  <c r="V322" i="50"/>
  <c r="V1037" i="50" s="1"/>
  <c r="AD322" i="50"/>
  <c r="AD1037" i="50" s="1"/>
  <c r="T322" i="50"/>
  <c r="T1037" i="50" s="1"/>
  <c r="X322" i="50"/>
  <c r="X1037" i="50" s="1"/>
  <c r="AB552" i="50"/>
  <c r="Z552" i="50"/>
  <c r="V552" i="50"/>
  <c r="T552" i="50"/>
  <c r="AD552" i="50"/>
  <c r="X552" i="50"/>
  <c r="AB315" i="50"/>
  <c r="AB1030" i="50" s="1"/>
  <c r="V315" i="50"/>
  <c r="V1030" i="50" s="1"/>
  <c r="T315" i="50"/>
  <c r="T1030" i="50" s="1"/>
  <c r="Z315" i="50"/>
  <c r="Z1030" i="50" s="1"/>
  <c r="AD315" i="50"/>
  <c r="AD1030" i="50" s="1"/>
  <c r="X315" i="50"/>
  <c r="X1030" i="50" s="1"/>
  <c r="AB601" i="50"/>
  <c r="Z601" i="50"/>
  <c r="V601" i="50"/>
  <c r="AD601" i="50"/>
  <c r="T601" i="50"/>
  <c r="X601" i="50"/>
  <c r="AB252" i="50"/>
  <c r="AB967" i="50" s="1"/>
  <c r="Z252" i="50"/>
  <c r="Z967" i="50" s="1"/>
  <c r="V252" i="50"/>
  <c r="V967" i="50" s="1"/>
  <c r="AD252" i="50"/>
  <c r="AD967" i="50" s="1"/>
  <c r="T252" i="50"/>
  <c r="T967" i="50" s="1"/>
  <c r="X252" i="50"/>
  <c r="X967" i="50" s="1"/>
  <c r="AB685" i="50"/>
  <c r="Z685" i="50"/>
  <c r="V685" i="50"/>
  <c r="AD685" i="50"/>
  <c r="T685" i="50"/>
  <c r="X685" i="50"/>
  <c r="AB588" i="50"/>
  <c r="V588" i="50"/>
  <c r="Z588" i="50"/>
  <c r="AD588" i="50"/>
  <c r="T588" i="50"/>
  <c r="X588" i="50"/>
  <c r="AB525" i="50"/>
  <c r="AB1240" i="50" s="1"/>
  <c r="V525" i="50"/>
  <c r="V1240" i="50" s="1"/>
  <c r="Z525" i="50"/>
  <c r="Z1240" i="50" s="1"/>
  <c r="AD525" i="50"/>
  <c r="AD1240" i="50" s="1"/>
  <c r="T525" i="50"/>
  <c r="T1240" i="50" s="1"/>
  <c r="X525" i="50"/>
  <c r="X1240" i="50" s="1"/>
  <c r="AB622" i="50"/>
  <c r="Z622" i="50"/>
  <c r="V622" i="50"/>
  <c r="T622" i="50"/>
  <c r="AD622" i="50"/>
  <c r="X622" i="50"/>
  <c r="L258" i="50"/>
  <c r="J258" i="50"/>
  <c r="P258" i="50"/>
  <c r="N258" i="50"/>
  <c r="F258" i="50"/>
  <c r="H258" i="50"/>
  <c r="L301" i="50"/>
  <c r="L1016" i="50" s="1"/>
  <c r="J301" i="50"/>
  <c r="J1016" i="50" s="1"/>
  <c r="P301" i="50"/>
  <c r="P1016" i="50" s="1"/>
  <c r="N301" i="50"/>
  <c r="N1016" i="50" s="1"/>
  <c r="F301" i="50"/>
  <c r="H301" i="50"/>
  <c r="H1016" i="50" s="1"/>
  <c r="L377" i="50"/>
  <c r="J377" i="50"/>
  <c r="P377" i="50"/>
  <c r="N377" i="50"/>
  <c r="F377" i="50"/>
  <c r="H377" i="50"/>
  <c r="L378" i="50"/>
  <c r="L1093" i="50" s="1"/>
  <c r="J378" i="50"/>
  <c r="J1093" i="50" s="1"/>
  <c r="P378" i="50"/>
  <c r="P1093" i="50" s="1"/>
  <c r="N378" i="50"/>
  <c r="N1093" i="50" s="1"/>
  <c r="H378" i="50"/>
  <c r="H1093" i="50" s="1"/>
  <c r="F378" i="50"/>
  <c r="L426" i="50"/>
  <c r="J426" i="50"/>
  <c r="P426" i="50"/>
  <c r="N426" i="50"/>
  <c r="F426" i="50"/>
  <c r="H426" i="50"/>
  <c r="L112" i="50"/>
  <c r="L827" i="50" s="1"/>
  <c r="J112" i="50"/>
  <c r="J827" i="50" s="1"/>
  <c r="P112" i="50"/>
  <c r="P827" i="50" s="1"/>
  <c r="N112" i="50"/>
  <c r="N827" i="50" s="1"/>
  <c r="H112" i="50"/>
  <c r="H827" i="50" s="1"/>
  <c r="F112" i="50"/>
  <c r="L308" i="50"/>
  <c r="L1023" i="50" s="1"/>
  <c r="J308" i="50"/>
  <c r="J1023" i="50" s="1"/>
  <c r="P308" i="50"/>
  <c r="P1023" i="50" s="1"/>
  <c r="N308" i="50"/>
  <c r="N1023" i="50" s="1"/>
  <c r="H308" i="50"/>
  <c r="H1023" i="50" s="1"/>
  <c r="F308" i="50"/>
  <c r="Z3216" i="50"/>
  <c r="J2290" i="50"/>
  <c r="L156" i="50"/>
  <c r="L871" i="50" s="1"/>
  <c r="J156" i="50"/>
  <c r="J871" i="50" s="1"/>
  <c r="P156" i="50"/>
  <c r="P871" i="50" s="1"/>
  <c r="N156" i="50"/>
  <c r="N871" i="50" s="1"/>
  <c r="F156" i="50"/>
  <c r="H156" i="50"/>
  <c r="H871" i="50" s="1"/>
  <c r="J331" i="50"/>
  <c r="J1046" i="50" s="1"/>
  <c r="L331" i="50"/>
  <c r="L1046" i="50" s="1"/>
  <c r="P331" i="50"/>
  <c r="P1046" i="50" s="1"/>
  <c r="N331" i="50"/>
  <c r="N1046" i="50" s="1"/>
  <c r="F331" i="50"/>
  <c r="H331" i="50"/>
  <c r="H1046" i="50" s="1"/>
  <c r="L268" i="50"/>
  <c r="L983" i="50" s="1"/>
  <c r="J268" i="50"/>
  <c r="J983" i="50" s="1"/>
  <c r="P268" i="50"/>
  <c r="P983" i="50" s="1"/>
  <c r="N268" i="50"/>
  <c r="N983" i="50" s="1"/>
  <c r="F268" i="50"/>
  <c r="H268" i="50"/>
  <c r="H983" i="50" s="1"/>
  <c r="L205" i="50"/>
  <c r="L920" i="50" s="1"/>
  <c r="J205" i="50"/>
  <c r="J920" i="50" s="1"/>
  <c r="P205" i="50"/>
  <c r="P920" i="50" s="1"/>
  <c r="N205" i="50"/>
  <c r="N920" i="50" s="1"/>
  <c r="F205" i="50"/>
  <c r="H205" i="50"/>
  <c r="H920" i="50" s="1"/>
  <c r="L149" i="50"/>
  <c r="L864" i="50" s="1"/>
  <c r="J149" i="50"/>
  <c r="J864" i="50" s="1"/>
  <c r="P149" i="50"/>
  <c r="P864" i="50" s="1"/>
  <c r="N149" i="50"/>
  <c r="N864" i="50" s="1"/>
  <c r="F149" i="50"/>
  <c r="H149" i="50"/>
  <c r="H864" i="50" s="1"/>
  <c r="L93" i="50"/>
  <c r="L808" i="50" s="1"/>
  <c r="J93" i="50"/>
  <c r="J808" i="50" s="1"/>
  <c r="P93" i="50"/>
  <c r="P808" i="50" s="1"/>
  <c r="N93" i="50"/>
  <c r="N808" i="50" s="1"/>
  <c r="F93" i="50"/>
  <c r="H93" i="50"/>
  <c r="H808" i="50" s="1"/>
  <c r="L520" i="50"/>
  <c r="L1235" i="50" s="1"/>
  <c r="J520" i="50"/>
  <c r="J1235" i="50" s="1"/>
  <c r="P520" i="50"/>
  <c r="P1235" i="50" s="1"/>
  <c r="N520" i="50"/>
  <c r="N1235" i="50" s="1"/>
  <c r="F520" i="50"/>
  <c r="H520" i="50"/>
  <c r="H1235" i="50" s="1"/>
  <c r="L596" i="50"/>
  <c r="L1311" i="50" s="1"/>
  <c r="J596" i="50"/>
  <c r="J1311" i="50" s="1"/>
  <c r="P596" i="50"/>
  <c r="P1311" i="50" s="1"/>
  <c r="N596" i="50"/>
  <c r="N1311" i="50" s="1"/>
  <c r="F596" i="50"/>
  <c r="F1311" i="50" s="1"/>
  <c r="H596" i="50"/>
  <c r="H1311" i="50" s="1"/>
  <c r="L351" i="50"/>
  <c r="L1066" i="50" s="1"/>
  <c r="J351" i="50"/>
  <c r="J1066" i="50" s="1"/>
  <c r="P351" i="50"/>
  <c r="P1066" i="50" s="1"/>
  <c r="N351" i="50"/>
  <c r="N1066" i="50" s="1"/>
  <c r="F351" i="50"/>
  <c r="H351" i="50"/>
  <c r="H1066" i="50" s="1"/>
  <c r="L127" i="50"/>
  <c r="L842" i="50" s="1"/>
  <c r="J127" i="50"/>
  <c r="J842" i="50" s="1"/>
  <c r="P127" i="50"/>
  <c r="P842" i="50" s="1"/>
  <c r="N127" i="50"/>
  <c r="N842" i="50" s="1"/>
  <c r="F127" i="50"/>
  <c r="H127" i="50"/>
  <c r="H842" i="50" s="1"/>
  <c r="L170" i="50"/>
  <c r="L885" i="50" s="1"/>
  <c r="J170" i="50"/>
  <c r="J885" i="50" s="1"/>
  <c r="P170" i="50"/>
  <c r="P885" i="50" s="1"/>
  <c r="N170" i="50"/>
  <c r="N885" i="50" s="1"/>
  <c r="F170" i="50"/>
  <c r="H170" i="50"/>
  <c r="H885" i="50" s="1"/>
  <c r="L114" i="50"/>
  <c r="L829" i="50" s="1"/>
  <c r="J114" i="50"/>
  <c r="J829" i="50" s="1"/>
  <c r="P114" i="50"/>
  <c r="P829" i="50" s="1"/>
  <c r="N114" i="50"/>
  <c r="N829" i="50" s="1"/>
  <c r="F114" i="50"/>
  <c r="H114" i="50"/>
  <c r="H829" i="50" s="1"/>
  <c r="L30" i="50"/>
  <c r="L745" i="50" s="1"/>
  <c r="J30" i="50"/>
  <c r="J745" i="50" s="1"/>
  <c r="P30" i="50"/>
  <c r="P745" i="50" s="1"/>
  <c r="N30" i="50"/>
  <c r="N745" i="50" s="1"/>
  <c r="F30" i="50"/>
  <c r="H30" i="50"/>
  <c r="H745" i="50" s="1"/>
  <c r="L618" i="50"/>
  <c r="N618" i="50"/>
  <c r="F618" i="50"/>
  <c r="J415" i="50"/>
  <c r="J1130" i="50" s="1"/>
  <c r="L415" i="50"/>
  <c r="L1130" i="50" s="1"/>
  <c r="P415" i="50"/>
  <c r="P1130" i="50" s="1"/>
  <c r="N415" i="50"/>
  <c r="N1130" i="50" s="1"/>
  <c r="F415" i="50"/>
  <c r="H415" i="50"/>
  <c r="H1130" i="50" s="1"/>
  <c r="L512" i="50"/>
  <c r="L1227" i="50" s="1"/>
  <c r="J512" i="50"/>
  <c r="P512" i="50"/>
  <c r="N512" i="50"/>
  <c r="F512" i="50"/>
  <c r="H512" i="50"/>
  <c r="L51" i="50"/>
  <c r="L766" i="50" s="1"/>
  <c r="J51" i="50"/>
  <c r="J766" i="50" s="1"/>
  <c r="P51" i="50"/>
  <c r="P766" i="50" s="1"/>
  <c r="N51" i="50"/>
  <c r="N766" i="50" s="1"/>
  <c r="F51" i="50"/>
  <c r="H51" i="50"/>
  <c r="H766" i="50" s="1"/>
  <c r="L485" i="50"/>
  <c r="L1200" i="50" s="1"/>
  <c r="J485" i="50"/>
  <c r="J1200" i="50" s="1"/>
  <c r="P485" i="50"/>
  <c r="P1200" i="50" s="1"/>
  <c r="N485" i="50"/>
  <c r="N1200" i="50" s="1"/>
  <c r="F485" i="50"/>
  <c r="H485" i="50"/>
  <c r="H1200" i="50" s="1"/>
  <c r="J387" i="50"/>
  <c r="J1102" i="50" s="1"/>
  <c r="J688" i="50"/>
  <c r="J1403" i="50" s="1"/>
  <c r="L688" i="50"/>
  <c r="L1403" i="50" s="1"/>
  <c r="P688" i="50"/>
  <c r="P1403" i="50" s="1"/>
  <c r="N688" i="50"/>
  <c r="N1403" i="50" s="1"/>
  <c r="F688" i="50"/>
  <c r="F1403" i="50" s="1"/>
  <c r="H688" i="50"/>
  <c r="H1403" i="50" s="1"/>
  <c r="L625" i="50"/>
  <c r="L1340" i="50" s="1"/>
  <c r="J625" i="50"/>
  <c r="J1340" i="50" s="1"/>
  <c r="P625" i="50"/>
  <c r="P1340" i="50" s="1"/>
  <c r="N625" i="50"/>
  <c r="N1340" i="50" s="1"/>
  <c r="F625" i="50"/>
  <c r="F1340" i="50" s="1"/>
  <c r="H625" i="50"/>
  <c r="H1340" i="50" s="1"/>
  <c r="L555" i="50"/>
  <c r="L1270" i="50" s="1"/>
  <c r="J555" i="50"/>
  <c r="J1270" i="50" s="1"/>
  <c r="P555" i="50"/>
  <c r="P1270" i="50" s="1"/>
  <c r="N555" i="50"/>
  <c r="N1270" i="50" s="1"/>
  <c r="F555" i="50"/>
  <c r="F1270" i="50" s="1"/>
  <c r="H555" i="50"/>
  <c r="H1270" i="50" s="1"/>
  <c r="L499" i="50"/>
  <c r="L1214" i="50" s="1"/>
  <c r="J499" i="50"/>
  <c r="J1214" i="50" s="1"/>
  <c r="P499" i="50"/>
  <c r="P1214" i="50" s="1"/>
  <c r="N499" i="50"/>
  <c r="N1214" i="50" s="1"/>
  <c r="F499" i="50"/>
  <c r="H499" i="50"/>
  <c r="H1214" i="50" s="1"/>
  <c r="L422" i="50"/>
  <c r="L1137" i="50" s="1"/>
  <c r="F422" i="50"/>
  <c r="L659" i="50"/>
  <c r="L1374" i="50" s="1"/>
  <c r="J659" i="50"/>
  <c r="J1374" i="50" s="1"/>
  <c r="P659" i="50"/>
  <c r="P1374" i="50" s="1"/>
  <c r="N659" i="50"/>
  <c r="N1374" i="50" s="1"/>
  <c r="F659" i="50"/>
  <c r="F1374" i="50" s="1"/>
  <c r="H659" i="50"/>
  <c r="H1374" i="50" s="1"/>
  <c r="L603" i="50"/>
  <c r="L1318" i="50" s="1"/>
  <c r="J603" i="50"/>
  <c r="J1318" i="50" s="1"/>
  <c r="P603" i="50"/>
  <c r="P1318" i="50" s="1"/>
  <c r="N603" i="50"/>
  <c r="N1318" i="50" s="1"/>
  <c r="F603" i="50"/>
  <c r="F1318" i="50" s="1"/>
  <c r="H603" i="50"/>
  <c r="H1318" i="50" s="1"/>
  <c r="L547" i="50"/>
  <c r="L1262" i="50" s="1"/>
  <c r="J547" i="50"/>
  <c r="J1262" i="50" s="1"/>
  <c r="P547" i="50"/>
  <c r="P1262" i="50" s="1"/>
  <c r="N547" i="50"/>
  <c r="N1262" i="50" s="1"/>
  <c r="F547" i="50"/>
  <c r="F1262" i="50" s="1"/>
  <c r="H547" i="50"/>
  <c r="H1262" i="50" s="1"/>
  <c r="L491" i="50"/>
  <c r="L1206" i="50" s="1"/>
  <c r="J491" i="50"/>
  <c r="J1206" i="50" s="1"/>
  <c r="P491" i="50"/>
  <c r="P1206" i="50" s="1"/>
  <c r="N491" i="50"/>
  <c r="N1206" i="50" s="1"/>
  <c r="F491" i="50"/>
  <c r="H491" i="50"/>
  <c r="H1206" i="50" s="1"/>
  <c r="L414" i="50"/>
  <c r="L1129" i="50" s="1"/>
  <c r="J414" i="50"/>
  <c r="J1129" i="50" s="1"/>
  <c r="P414" i="50"/>
  <c r="P1129" i="50" s="1"/>
  <c r="N414" i="50"/>
  <c r="N1129" i="50" s="1"/>
  <c r="H414" i="50"/>
  <c r="H1129" i="50" s="1"/>
  <c r="F414" i="50"/>
  <c r="L358" i="50"/>
  <c r="L1073" i="50" s="1"/>
  <c r="J358" i="50"/>
  <c r="J1073" i="50" s="1"/>
  <c r="P358" i="50"/>
  <c r="P1073" i="50" s="1"/>
  <c r="N358" i="50"/>
  <c r="N1073" i="50" s="1"/>
  <c r="H358" i="50"/>
  <c r="H1073" i="50" s="1"/>
  <c r="F358" i="50"/>
  <c r="L302" i="50"/>
  <c r="L1017" i="50" s="1"/>
  <c r="J302" i="50"/>
  <c r="J1017" i="50" s="1"/>
  <c r="P302" i="50"/>
  <c r="P1017" i="50" s="1"/>
  <c r="N302" i="50"/>
  <c r="N1017" i="50" s="1"/>
  <c r="H302" i="50"/>
  <c r="H1017" i="50" s="1"/>
  <c r="F302" i="50"/>
  <c r="L246" i="50"/>
  <c r="L961" i="50" s="1"/>
  <c r="H246" i="50"/>
  <c r="H961" i="50" s="1"/>
  <c r="L190" i="50"/>
  <c r="L905" i="50" s="1"/>
  <c r="J190" i="50"/>
  <c r="J905" i="50" s="1"/>
  <c r="P190" i="50"/>
  <c r="P905" i="50" s="1"/>
  <c r="N190" i="50"/>
  <c r="N905" i="50" s="1"/>
  <c r="H190" i="50"/>
  <c r="H905" i="50" s="1"/>
  <c r="F190" i="50"/>
  <c r="L134" i="50"/>
  <c r="L849" i="50" s="1"/>
  <c r="J134" i="50"/>
  <c r="J849" i="50" s="1"/>
  <c r="P134" i="50"/>
  <c r="P849" i="50" s="1"/>
  <c r="N134" i="50"/>
  <c r="N849" i="50" s="1"/>
  <c r="H134" i="50"/>
  <c r="H849" i="50" s="1"/>
  <c r="F134" i="50"/>
  <c r="L78" i="50"/>
  <c r="L793" i="50" s="1"/>
  <c r="J78" i="50"/>
  <c r="J793" i="50" s="1"/>
  <c r="P78" i="50"/>
  <c r="P793" i="50" s="1"/>
  <c r="N78" i="50"/>
  <c r="N793" i="50" s="1"/>
  <c r="H78" i="50"/>
  <c r="H793" i="50" s="1"/>
  <c r="F78" i="50"/>
  <c r="AB73" i="50"/>
  <c r="AB788" i="50" s="1"/>
  <c r="Z73" i="50"/>
  <c r="Z788" i="50" s="1"/>
  <c r="V73" i="50"/>
  <c r="V788" i="50" s="1"/>
  <c r="T73" i="50"/>
  <c r="T788" i="50" s="1"/>
  <c r="AD73" i="50"/>
  <c r="AD788" i="50" s="1"/>
  <c r="X73" i="50"/>
  <c r="X788" i="50" s="1"/>
  <c r="L694" i="50"/>
  <c r="L1409" i="50" s="1"/>
  <c r="J694" i="50"/>
  <c r="J1409" i="50" s="1"/>
  <c r="P694" i="50"/>
  <c r="P1409" i="50" s="1"/>
  <c r="N694" i="50"/>
  <c r="N1409" i="50" s="1"/>
  <c r="F694" i="50"/>
  <c r="F1409" i="50" s="1"/>
  <c r="H694" i="50"/>
  <c r="H1409" i="50" s="1"/>
  <c r="J638" i="50"/>
  <c r="J1353" i="50" s="1"/>
  <c r="L638" i="50"/>
  <c r="L1353" i="50" s="1"/>
  <c r="P638" i="50"/>
  <c r="P1353" i="50" s="1"/>
  <c r="N638" i="50"/>
  <c r="N1353" i="50" s="1"/>
  <c r="F638" i="50"/>
  <c r="F1353" i="50" s="1"/>
  <c r="H638" i="50"/>
  <c r="H1353" i="50" s="1"/>
  <c r="L582" i="50"/>
  <c r="L1297" i="50" s="1"/>
  <c r="J582" i="50"/>
  <c r="J1297" i="50" s="1"/>
  <c r="P582" i="50"/>
  <c r="P1297" i="50" s="1"/>
  <c r="N582" i="50"/>
  <c r="N1297" i="50" s="1"/>
  <c r="F582" i="50"/>
  <c r="F1297" i="50" s="1"/>
  <c r="H582" i="50"/>
  <c r="H1297" i="50" s="1"/>
  <c r="J526" i="50"/>
  <c r="J1241" i="50" s="1"/>
  <c r="L526" i="50"/>
  <c r="L1241" i="50" s="1"/>
  <c r="P526" i="50"/>
  <c r="P1241" i="50" s="1"/>
  <c r="N526" i="50"/>
  <c r="N1241" i="50" s="1"/>
  <c r="F526" i="50"/>
  <c r="F1241" i="50" s="1"/>
  <c r="H526" i="50"/>
  <c r="H1241" i="50" s="1"/>
  <c r="L449" i="50"/>
  <c r="J449" i="50"/>
  <c r="P449" i="50"/>
  <c r="N449" i="50"/>
  <c r="F449" i="50"/>
  <c r="H449" i="50"/>
  <c r="J393" i="50"/>
  <c r="J1108" i="50" s="1"/>
  <c r="L393" i="50"/>
  <c r="L1108" i="50" s="1"/>
  <c r="P393" i="50"/>
  <c r="P1108" i="50" s="1"/>
  <c r="N393" i="50"/>
  <c r="N1108" i="50" s="1"/>
  <c r="F393" i="50"/>
  <c r="H393" i="50"/>
  <c r="H1108" i="50" s="1"/>
  <c r="L337" i="50"/>
  <c r="J337" i="50"/>
  <c r="P337" i="50"/>
  <c r="N337" i="50"/>
  <c r="F337" i="50"/>
  <c r="H337" i="50"/>
  <c r="L281" i="50"/>
  <c r="L996" i="50" s="1"/>
  <c r="H281" i="50"/>
  <c r="H996" i="50" s="1"/>
  <c r="L225" i="50"/>
  <c r="L940" i="50" s="1"/>
  <c r="J225" i="50"/>
  <c r="J940" i="50" s="1"/>
  <c r="P225" i="50"/>
  <c r="P940" i="50" s="1"/>
  <c r="N225" i="50"/>
  <c r="N940" i="50" s="1"/>
  <c r="F225" i="50"/>
  <c r="H225" i="50"/>
  <c r="H940" i="50" s="1"/>
  <c r="J169" i="50"/>
  <c r="L169" i="50"/>
  <c r="L884" i="50" s="1"/>
  <c r="P169" i="50"/>
  <c r="N169" i="50"/>
  <c r="F169" i="50"/>
  <c r="H169" i="50"/>
  <c r="H884" i="50" s="1"/>
  <c r="L113" i="50"/>
  <c r="J113" i="50"/>
  <c r="P113" i="50"/>
  <c r="N113" i="50"/>
  <c r="F113" i="50"/>
  <c r="H113" i="50"/>
  <c r="J29" i="50"/>
  <c r="J744" i="50" s="1"/>
  <c r="L29" i="50"/>
  <c r="L744" i="50" s="1"/>
  <c r="P29" i="50"/>
  <c r="P744" i="50" s="1"/>
  <c r="N29" i="50"/>
  <c r="N744" i="50" s="1"/>
  <c r="F29" i="50"/>
  <c r="H29" i="50"/>
  <c r="H744" i="50" s="1"/>
  <c r="L478" i="50"/>
  <c r="L1193" i="50" s="1"/>
  <c r="J478" i="50"/>
  <c r="J1193" i="50" s="1"/>
  <c r="P478" i="50"/>
  <c r="P1193" i="50" s="1"/>
  <c r="N478" i="50"/>
  <c r="N1193" i="50" s="1"/>
  <c r="F478" i="50"/>
  <c r="H478" i="50"/>
  <c r="H1193" i="50" s="1"/>
  <c r="L324" i="50"/>
  <c r="L1039" i="50" s="1"/>
  <c r="J324" i="50"/>
  <c r="J1039" i="50" s="1"/>
  <c r="P324" i="50"/>
  <c r="P1039" i="50" s="1"/>
  <c r="N324" i="50"/>
  <c r="N1039" i="50" s="1"/>
  <c r="F324" i="50"/>
  <c r="H324" i="50"/>
  <c r="H1039" i="50" s="1"/>
  <c r="J702" i="50"/>
  <c r="J1417" i="50" s="1"/>
  <c r="P702" i="50"/>
  <c r="P1417" i="50" s="1"/>
  <c r="L646" i="50"/>
  <c r="L1361" i="50" s="1"/>
  <c r="J646" i="50"/>
  <c r="J1361" i="50" s="1"/>
  <c r="P646" i="50"/>
  <c r="P1361" i="50" s="1"/>
  <c r="N646" i="50"/>
  <c r="N1361" i="50" s="1"/>
  <c r="F646" i="50"/>
  <c r="F1361" i="50" s="1"/>
  <c r="H646" i="50"/>
  <c r="H1361" i="50" s="1"/>
  <c r="L569" i="50"/>
  <c r="L1284" i="50" s="1"/>
  <c r="J569" i="50"/>
  <c r="J1284" i="50" s="1"/>
  <c r="P569" i="50"/>
  <c r="P1284" i="50" s="1"/>
  <c r="N569" i="50"/>
  <c r="N1284" i="50" s="1"/>
  <c r="F569" i="50"/>
  <c r="F1284" i="50" s="1"/>
  <c r="H569" i="50"/>
  <c r="H1284" i="50" s="1"/>
  <c r="L436" i="50"/>
  <c r="L1151" i="50" s="1"/>
  <c r="J436" i="50"/>
  <c r="J1151" i="50" s="1"/>
  <c r="P436" i="50"/>
  <c r="P1151" i="50" s="1"/>
  <c r="N436" i="50"/>
  <c r="N1151" i="50" s="1"/>
  <c r="F436" i="50"/>
  <c r="H436" i="50"/>
  <c r="H1151" i="50" s="1"/>
  <c r="L701" i="50"/>
  <c r="L1416" i="50" s="1"/>
  <c r="J701" i="50"/>
  <c r="J1416" i="50" s="1"/>
  <c r="P701" i="50"/>
  <c r="P1416" i="50" s="1"/>
  <c r="N701" i="50"/>
  <c r="N1416" i="50" s="1"/>
  <c r="F701" i="50"/>
  <c r="F1416" i="50" s="1"/>
  <c r="H701" i="50"/>
  <c r="H1416" i="50" s="1"/>
  <c r="N456" i="50"/>
  <c r="N1171" i="50" s="1"/>
  <c r="L176" i="50"/>
  <c r="L891" i="50" s="1"/>
  <c r="J176" i="50"/>
  <c r="J891" i="50" s="1"/>
  <c r="P176" i="50"/>
  <c r="P891" i="50" s="1"/>
  <c r="N176" i="50"/>
  <c r="N891" i="50" s="1"/>
  <c r="H176" i="50"/>
  <c r="H891" i="50" s="1"/>
  <c r="F176" i="50"/>
  <c r="L64" i="50"/>
  <c r="L779" i="50" s="1"/>
  <c r="J64" i="50"/>
  <c r="J779" i="50" s="1"/>
  <c r="P64" i="50"/>
  <c r="P779" i="50" s="1"/>
  <c r="N64" i="50"/>
  <c r="N779" i="50" s="1"/>
  <c r="H64" i="50"/>
  <c r="H779" i="50" s="1"/>
  <c r="F64" i="50"/>
  <c r="AB94" i="50"/>
  <c r="AB809" i="50" s="1"/>
  <c r="Z94" i="50"/>
  <c r="Z809" i="50" s="1"/>
  <c r="V94" i="50"/>
  <c r="V809" i="50" s="1"/>
  <c r="AD94" i="50"/>
  <c r="AD809" i="50" s="1"/>
  <c r="T94" i="50"/>
  <c r="T809" i="50" s="1"/>
  <c r="X94" i="50"/>
  <c r="X809" i="50" s="1"/>
  <c r="AB87" i="50"/>
  <c r="AB802" i="50" s="1"/>
  <c r="Z87" i="50"/>
  <c r="Z802" i="50" s="1"/>
  <c r="T87" i="50"/>
  <c r="T802" i="50" s="1"/>
  <c r="V87" i="50"/>
  <c r="V802" i="50" s="1"/>
  <c r="AD87" i="50"/>
  <c r="AD802" i="50" s="1"/>
  <c r="X87" i="50"/>
  <c r="X802" i="50" s="1"/>
  <c r="J346" i="50"/>
  <c r="J1061" i="50" s="1"/>
  <c r="L346" i="50"/>
  <c r="L1061" i="50" s="1"/>
  <c r="P346" i="50"/>
  <c r="P1061" i="50" s="1"/>
  <c r="T346" i="50"/>
  <c r="T1061" i="50" s="1"/>
  <c r="N346" i="50"/>
  <c r="N1061" i="50" s="1"/>
  <c r="F346" i="50"/>
  <c r="H346" i="50"/>
  <c r="H1061" i="50" s="1"/>
  <c r="L311" i="50"/>
  <c r="L1026" i="50" s="1"/>
  <c r="P311" i="50"/>
  <c r="P1026" i="50" s="1"/>
  <c r="N311" i="50"/>
  <c r="N1026" i="50" s="1"/>
  <c r="J311" i="50"/>
  <c r="J1026" i="50" s="1"/>
  <c r="F311" i="50"/>
  <c r="H311" i="50"/>
  <c r="H1026" i="50" s="1"/>
  <c r="L290" i="50"/>
  <c r="L1005" i="50" s="1"/>
  <c r="J290" i="50"/>
  <c r="J1005" i="50" s="1"/>
  <c r="P290" i="50"/>
  <c r="P1005" i="50" s="1"/>
  <c r="N290" i="50"/>
  <c r="N1005" i="50" s="1"/>
  <c r="F290" i="50"/>
  <c r="H290" i="50"/>
  <c r="H1005" i="50" s="1"/>
  <c r="L269" i="50"/>
  <c r="L984" i="50" s="1"/>
  <c r="J269" i="50"/>
  <c r="J984" i="50" s="1"/>
  <c r="P269" i="50"/>
  <c r="P984" i="50" s="1"/>
  <c r="N269" i="50"/>
  <c r="N984" i="50" s="1"/>
  <c r="F269" i="50"/>
  <c r="H269" i="50"/>
  <c r="H984" i="50" s="1"/>
  <c r="L220" i="50"/>
  <c r="L935" i="50" s="1"/>
  <c r="J220" i="50"/>
  <c r="J935" i="50" s="1"/>
  <c r="P220" i="50"/>
  <c r="P935" i="50" s="1"/>
  <c r="N220" i="50"/>
  <c r="N935" i="50" s="1"/>
  <c r="F220" i="50"/>
  <c r="H220" i="50"/>
  <c r="H935" i="50" s="1"/>
  <c r="L206" i="50"/>
  <c r="L921" i="50" s="1"/>
  <c r="J206" i="50"/>
  <c r="J921" i="50" s="1"/>
  <c r="P206" i="50"/>
  <c r="P921" i="50" s="1"/>
  <c r="N206" i="50"/>
  <c r="N921" i="50" s="1"/>
  <c r="F206" i="50"/>
  <c r="H206" i="50"/>
  <c r="H921" i="50" s="1"/>
  <c r="L157" i="50"/>
  <c r="L872" i="50" s="1"/>
  <c r="J157" i="50"/>
  <c r="J872" i="50" s="1"/>
  <c r="P157" i="50"/>
  <c r="P872" i="50" s="1"/>
  <c r="N157" i="50"/>
  <c r="N872" i="50" s="1"/>
  <c r="F157" i="50"/>
  <c r="H157" i="50"/>
  <c r="H872" i="50" s="1"/>
  <c r="L129" i="50"/>
  <c r="L844" i="50" s="1"/>
  <c r="J129" i="50"/>
  <c r="J844" i="50" s="1"/>
  <c r="P129" i="50"/>
  <c r="P844" i="50" s="1"/>
  <c r="N129" i="50"/>
  <c r="N844" i="50" s="1"/>
  <c r="F129" i="50"/>
  <c r="H129" i="50"/>
  <c r="H844" i="50" s="1"/>
  <c r="AB24" i="50"/>
  <c r="AB739" i="50" s="1"/>
  <c r="Z24" i="50"/>
  <c r="Z739" i="50" s="1"/>
  <c r="V24" i="50"/>
  <c r="V739" i="50" s="1"/>
  <c r="AD24" i="50"/>
  <c r="AD739" i="50" s="1"/>
  <c r="T24" i="50"/>
  <c r="T739" i="50" s="1"/>
  <c r="X24" i="50"/>
  <c r="X739" i="50" s="1"/>
  <c r="AB582" i="50"/>
  <c r="AB1297" i="50" s="1"/>
  <c r="Z582" i="50"/>
  <c r="Z1297" i="50" s="1"/>
  <c r="V582" i="50"/>
  <c r="V1297" i="50" s="1"/>
  <c r="AD582" i="50"/>
  <c r="AD1297" i="50" s="1"/>
  <c r="T582" i="50"/>
  <c r="T1297" i="50" s="1"/>
  <c r="X582" i="50"/>
  <c r="X1297" i="50" s="1"/>
  <c r="AB358" i="50"/>
  <c r="AB1073" i="50" s="1"/>
  <c r="Z358" i="50"/>
  <c r="Z1073" i="50" s="1"/>
  <c r="V358" i="50"/>
  <c r="V1073" i="50" s="1"/>
  <c r="T358" i="50"/>
  <c r="T1073" i="50" s="1"/>
  <c r="AD358" i="50"/>
  <c r="AD1073" i="50" s="1"/>
  <c r="X358" i="50"/>
  <c r="X1073" i="50" s="1"/>
  <c r="AB134" i="50"/>
  <c r="AB849" i="50" s="1"/>
  <c r="Z134" i="50"/>
  <c r="Z849" i="50" s="1"/>
  <c r="V134" i="50"/>
  <c r="V849" i="50" s="1"/>
  <c r="AD134" i="50"/>
  <c r="AD849" i="50" s="1"/>
  <c r="T134" i="50"/>
  <c r="T849" i="50" s="1"/>
  <c r="X134" i="50"/>
  <c r="X849" i="50" s="1"/>
  <c r="AB409" i="50"/>
  <c r="AB1124" i="50" s="1"/>
  <c r="Z409" i="50"/>
  <c r="Z1124" i="50" s="1"/>
  <c r="V409" i="50"/>
  <c r="V1124" i="50" s="1"/>
  <c r="T409" i="50"/>
  <c r="T1124" i="50" s="1"/>
  <c r="AD409" i="50"/>
  <c r="AD1124" i="50" s="1"/>
  <c r="X409" i="50"/>
  <c r="X1124" i="50" s="1"/>
  <c r="AB395" i="50"/>
  <c r="AB1110" i="50" s="1"/>
  <c r="Z395" i="50"/>
  <c r="Z1110" i="50" s="1"/>
  <c r="AD395" i="50"/>
  <c r="AD1110" i="50" s="1"/>
  <c r="T395" i="50"/>
  <c r="T1110" i="50" s="1"/>
  <c r="V395" i="50"/>
  <c r="V1110" i="50" s="1"/>
  <c r="X395" i="50"/>
  <c r="X1110" i="50" s="1"/>
  <c r="L87" i="50"/>
  <c r="L802" i="50" s="1"/>
  <c r="J87" i="50"/>
  <c r="J802" i="50" s="1"/>
  <c r="P87" i="50"/>
  <c r="P802" i="50" s="1"/>
  <c r="N87" i="50"/>
  <c r="N802" i="50" s="1"/>
  <c r="F87" i="50"/>
  <c r="H87" i="50"/>
  <c r="H802" i="50" s="1"/>
  <c r="P38" i="50"/>
  <c r="N38" i="50"/>
  <c r="N753" i="50" s="1"/>
  <c r="AB366" i="50"/>
  <c r="AB1081" i="50" s="1"/>
  <c r="Z366" i="50"/>
  <c r="Z1081" i="50" s="1"/>
  <c r="V366" i="50"/>
  <c r="V1081" i="50" s="1"/>
  <c r="AD366" i="50"/>
  <c r="AD1081" i="50" s="1"/>
  <c r="T366" i="50"/>
  <c r="T1081" i="50" s="1"/>
  <c r="X366" i="50"/>
  <c r="X1081" i="50" s="1"/>
  <c r="V352" i="50"/>
  <c r="V1067" i="50" s="1"/>
  <c r="AB303" i="50"/>
  <c r="AB1018" i="50" s="1"/>
  <c r="V303" i="50"/>
  <c r="V1018" i="50" s="1"/>
  <c r="T303" i="50"/>
  <c r="T1018" i="50" s="1"/>
  <c r="Z303" i="50"/>
  <c r="Z1018" i="50" s="1"/>
  <c r="AD303" i="50"/>
  <c r="AD1018" i="50" s="1"/>
  <c r="X303" i="50"/>
  <c r="X1018" i="50" s="1"/>
  <c r="V289" i="50"/>
  <c r="V1004" i="50" s="1"/>
  <c r="AD289" i="50"/>
  <c r="AD1004" i="50" s="1"/>
  <c r="AB275" i="50"/>
  <c r="AB990" i="50" s="1"/>
  <c r="Z275" i="50"/>
  <c r="Z990" i="50" s="1"/>
  <c r="V275" i="50"/>
  <c r="V990" i="50" s="1"/>
  <c r="T275" i="50"/>
  <c r="T990" i="50" s="1"/>
  <c r="AD275" i="50"/>
  <c r="AD990" i="50" s="1"/>
  <c r="X275" i="50"/>
  <c r="X990" i="50" s="1"/>
  <c r="AB254" i="50"/>
  <c r="AB969" i="50" s="1"/>
  <c r="Z254" i="50"/>
  <c r="Z969" i="50" s="1"/>
  <c r="V254" i="50"/>
  <c r="V969" i="50" s="1"/>
  <c r="AD254" i="50"/>
  <c r="AD969" i="50" s="1"/>
  <c r="T254" i="50"/>
  <c r="T969" i="50" s="1"/>
  <c r="X254" i="50"/>
  <c r="X969" i="50" s="1"/>
  <c r="AB240" i="50"/>
  <c r="AB955" i="50" s="1"/>
  <c r="Z240" i="50"/>
  <c r="Z955" i="50" s="1"/>
  <c r="V240" i="50"/>
  <c r="V955" i="50" s="1"/>
  <c r="T240" i="50"/>
  <c r="T955" i="50" s="1"/>
  <c r="AD240" i="50"/>
  <c r="AD955" i="50" s="1"/>
  <c r="X240" i="50"/>
  <c r="X955" i="50" s="1"/>
  <c r="AB128" i="50"/>
  <c r="AB843" i="50" s="1"/>
  <c r="Z128" i="50"/>
  <c r="Z843" i="50" s="1"/>
  <c r="V128" i="50"/>
  <c r="V843" i="50" s="1"/>
  <c r="T128" i="50"/>
  <c r="T843" i="50" s="1"/>
  <c r="AD128" i="50"/>
  <c r="AD843" i="50" s="1"/>
  <c r="X128" i="50"/>
  <c r="X843" i="50" s="1"/>
  <c r="AB72" i="50"/>
  <c r="AB787" i="50" s="1"/>
  <c r="Z72" i="50"/>
  <c r="Z787" i="50" s="1"/>
  <c r="V72" i="50"/>
  <c r="V787" i="50" s="1"/>
  <c r="T72" i="50"/>
  <c r="T787" i="50" s="1"/>
  <c r="AD72" i="50"/>
  <c r="AD787" i="50" s="1"/>
  <c r="X72" i="50"/>
  <c r="X787" i="50" s="1"/>
  <c r="AB51" i="50"/>
  <c r="AB766" i="50" s="1"/>
  <c r="Z51" i="50"/>
  <c r="Z766" i="50" s="1"/>
  <c r="V51" i="50"/>
  <c r="V766" i="50" s="1"/>
  <c r="T51" i="50"/>
  <c r="T766" i="50" s="1"/>
  <c r="AD51" i="50"/>
  <c r="AD766" i="50" s="1"/>
  <c r="X51" i="50"/>
  <c r="X766" i="50" s="1"/>
  <c r="AB23" i="50"/>
  <c r="AB738" i="50" s="1"/>
  <c r="Z23" i="50"/>
  <c r="Z738" i="50" s="1"/>
  <c r="V23" i="50"/>
  <c r="V738" i="50" s="1"/>
  <c r="T23" i="50"/>
  <c r="T738" i="50" s="1"/>
  <c r="AD23" i="50"/>
  <c r="AD738" i="50" s="1"/>
  <c r="X23" i="50"/>
  <c r="X738" i="50" s="1"/>
  <c r="AB674" i="50"/>
  <c r="AB1389" i="50" s="1"/>
  <c r="Z674" i="50"/>
  <c r="Z1389" i="50" s="1"/>
  <c r="AD674" i="50"/>
  <c r="AD1389" i="50" s="1"/>
  <c r="T674" i="50"/>
  <c r="T1389" i="50" s="1"/>
  <c r="V674" i="50"/>
  <c r="V1389" i="50" s="1"/>
  <c r="X674" i="50"/>
  <c r="X1389" i="50" s="1"/>
  <c r="AB274" i="50"/>
  <c r="AB989" i="50" s="1"/>
  <c r="Z274" i="50"/>
  <c r="Z989" i="50" s="1"/>
  <c r="V274" i="50"/>
  <c r="V989" i="50" s="1"/>
  <c r="AD274" i="50"/>
  <c r="AD989" i="50" s="1"/>
  <c r="T274" i="50"/>
  <c r="T989" i="50" s="1"/>
  <c r="X274" i="50"/>
  <c r="X989" i="50" s="1"/>
  <c r="AB50" i="50"/>
  <c r="AB765" i="50" s="1"/>
  <c r="Z50" i="50"/>
  <c r="Z765" i="50" s="1"/>
  <c r="V50" i="50"/>
  <c r="V765" i="50" s="1"/>
  <c r="AD50" i="50"/>
  <c r="AD765" i="50" s="1"/>
  <c r="T50" i="50"/>
  <c r="T765" i="50" s="1"/>
  <c r="X50" i="50"/>
  <c r="X765" i="50" s="1"/>
  <c r="AB367" i="50"/>
  <c r="AB1082" i="50" s="1"/>
  <c r="Z367" i="50"/>
  <c r="Z1082" i="50" s="1"/>
  <c r="X367" i="50"/>
  <c r="X1082" i="50" s="1"/>
  <c r="AB353" i="50"/>
  <c r="AB1068" i="50" s="1"/>
  <c r="Z353" i="50"/>
  <c r="Z1068" i="50" s="1"/>
  <c r="V353" i="50"/>
  <c r="V1068" i="50" s="1"/>
  <c r="T353" i="50"/>
  <c r="T1068" i="50" s="1"/>
  <c r="AD353" i="50"/>
  <c r="AD1068" i="50" s="1"/>
  <c r="X353" i="50"/>
  <c r="X1068" i="50" s="1"/>
  <c r="AB339" i="50"/>
  <c r="AB1054" i="50" s="1"/>
  <c r="Z339" i="50"/>
  <c r="Z1054" i="50" s="1"/>
  <c r="AD339" i="50"/>
  <c r="AD1054" i="50" s="1"/>
  <c r="V339" i="50"/>
  <c r="V1054" i="50" s="1"/>
  <c r="T339" i="50"/>
  <c r="T1054" i="50" s="1"/>
  <c r="X339" i="50"/>
  <c r="X1054" i="50" s="1"/>
  <c r="AB325" i="50"/>
  <c r="AB1040" i="50" s="1"/>
  <c r="Z325" i="50"/>
  <c r="Z1040" i="50" s="1"/>
  <c r="V325" i="50"/>
  <c r="V1040" i="50" s="1"/>
  <c r="AD325" i="50"/>
  <c r="AD1040" i="50" s="1"/>
  <c r="T325" i="50"/>
  <c r="T1040" i="50" s="1"/>
  <c r="X325" i="50"/>
  <c r="X1040" i="50" s="1"/>
  <c r="AB311" i="50"/>
  <c r="AB1026" i="50" s="1"/>
  <c r="Z311" i="50"/>
  <c r="Z1026" i="50" s="1"/>
  <c r="T311" i="50"/>
  <c r="T1026" i="50" s="1"/>
  <c r="V311" i="50"/>
  <c r="V1026" i="50" s="1"/>
  <c r="AD311" i="50"/>
  <c r="AD1026" i="50" s="1"/>
  <c r="X311" i="50"/>
  <c r="X1026" i="50" s="1"/>
  <c r="AB297" i="50"/>
  <c r="AB1012" i="50" s="1"/>
  <c r="Z297" i="50"/>
  <c r="Z1012" i="50" s="1"/>
  <c r="V297" i="50"/>
  <c r="V1012" i="50" s="1"/>
  <c r="T297" i="50"/>
  <c r="T1012" i="50" s="1"/>
  <c r="AD297" i="50"/>
  <c r="AD1012" i="50" s="1"/>
  <c r="X297" i="50"/>
  <c r="X1012" i="50" s="1"/>
  <c r="AB283" i="50"/>
  <c r="AB998" i="50" s="1"/>
  <c r="Z283" i="50"/>
  <c r="Z998" i="50" s="1"/>
  <c r="T283" i="50"/>
  <c r="T998" i="50" s="1"/>
  <c r="AD283" i="50"/>
  <c r="AD998" i="50" s="1"/>
  <c r="V283" i="50"/>
  <c r="V998" i="50" s="1"/>
  <c r="X283" i="50"/>
  <c r="X998" i="50" s="1"/>
  <c r="AB269" i="50"/>
  <c r="AB984" i="50" s="1"/>
  <c r="T269" i="50"/>
  <c r="T984" i="50" s="1"/>
  <c r="V269" i="50"/>
  <c r="V984" i="50" s="1"/>
  <c r="Z269" i="50"/>
  <c r="Z984" i="50" s="1"/>
  <c r="AD269" i="50"/>
  <c r="AD984" i="50" s="1"/>
  <c r="X269" i="50"/>
  <c r="X984" i="50" s="1"/>
  <c r="AB255" i="50"/>
  <c r="AB970" i="50" s="1"/>
  <c r="AD255" i="50"/>
  <c r="AD970" i="50" s="1"/>
  <c r="AB241" i="50"/>
  <c r="AB956" i="50" s="1"/>
  <c r="Z241" i="50"/>
  <c r="Z956" i="50" s="1"/>
  <c r="V241" i="50"/>
  <c r="V956" i="50" s="1"/>
  <c r="T241" i="50"/>
  <c r="T956" i="50" s="1"/>
  <c r="AD241" i="50"/>
  <c r="AD956" i="50" s="1"/>
  <c r="X241" i="50"/>
  <c r="X956" i="50" s="1"/>
  <c r="AB227" i="50"/>
  <c r="AB942" i="50" s="1"/>
  <c r="Z227" i="50"/>
  <c r="Z942" i="50" s="1"/>
  <c r="T227" i="50"/>
  <c r="T942" i="50" s="1"/>
  <c r="AD227" i="50"/>
  <c r="AD942" i="50" s="1"/>
  <c r="V227" i="50"/>
  <c r="V942" i="50" s="1"/>
  <c r="X227" i="50"/>
  <c r="X942" i="50" s="1"/>
  <c r="AB213" i="50"/>
  <c r="AB928" i="50" s="1"/>
  <c r="T213" i="50"/>
  <c r="T928" i="50" s="1"/>
  <c r="Z213" i="50"/>
  <c r="Z928" i="50" s="1"/>
  <c r="V213" i="50"/>
  <c r="V928" i="50" s="1"/>
  <c r="AD213" i="50"/>
  <c r="AD928" i="50" s="1"/>
  <c r="X213" i="50"/>
  <c r="X928" i="50" s="1"/>
  <c r="AB199" i="50"/>
  <c r="AB914" i="50" s="1"/>
  <c r="Z199" i="50"/>
  <c r="Z914" i="50" s="1"/>
  <c r="T199" i="50"/>
  <c r="T914" i="50" s="1"/>
  <c r="V199" i="50"/>
  <c r="V914" i="50" s="1"/>
  <c r="AD199" i="50"/>
  <c r="AD914" i="50" s="1"/>
  <c r="X199" i="50"/>
  <c r="X914" i="50" s="1"/>
  <c r="AB185" i="50"/>
  <c r="AB900" i="50" s="1"/>
  <c r="Z185" i="50"/>
  <c r="Z900" i="50" s="1"/>
  <c r="V185" i="50"/>
  <c r="V900" i="50" s="1"/>
  <c r="T185" i="50"/>
  <c r="T900" i="50" s="1"/>
  <c r="AD185" i="50"/>
  <c r="AD900" i="50" s="1"/>
  <c r="X185" i="50"/>
  <c r="X900" i="50" s="1"/>
  <c r="AB171" i="50"/>
  <c r="AB886" i="50" s="1"/>
  <c r="Z171" i="50"/>
  <c r="Z886" i="50" s="1"/>
  <c r="T171" i="50"/>
  <c r="T886" i="50" s="1"/>
  <c r="AD171" i="50"/>
  <c r="AD886" i="50" s="1"/>
  <c r="V171" i="50"/>
  <c r="V886" i="50" s="1"/>
  <c r="X171" i="50"/>
  <c r="X886" i="50" s="1"/>
  <c r="AB157" i="50"/>
  <c r="AB872" i="50" s="1"/>
  <c r="T157" i="50"/>
  <c r="T872" i="50" s="1"/>
  <c r="Z157" i="50"/>
  <c r="Z872" i="50" s="1"/>
  <c r="V157" i="50"/>
  <c r="V872" i="50" s="1"/>
  <c r="AD157" i="50"/>
  <c r="AD872" i="50" s="1"/>
  <c r="X157" i="50"/>
  <c r="X872" i="50" s="1"/>
  <c r="L10" i="50"/>
  <c r="J10" i="50"/>
  <c r="P10" i="50"/>
  <c r="N10" i="50"/>
  <c r="F10" i="50"/>
  <c r="H10" i="50"/>
  <c r="AB638" i="50"/>
  <c r="AB1353" i="50" s="1"/>
  <c r="Z638" i="50"/>
  <c r="Z1353" i="50" s="1"/>
  <c r="V638" i="50"/>
  <c r="V1353" i="50" s="1"/>
  <c r="AD638" i="50"/>
  <c r="AD1353" i="50" s="1"/>
  <c r="T638" i="50"/>
  <c r="T1353" i="50" s="1"/>
  <c r="X638" i="50"/>
  <c r="X1353" i="50" s="1"/>
  <c r="AB660" i="50"/>
  <c r="AB1375" i="50" s="1"/>
  <c r="Z660" i="50"/>
  <c r="Z1375" i="50" s="1"/>
  <c r="T660" i="50"/>
  <c r="T1375" i="50" s="1"/>
  <c r="V660" i="50"/>
  <c r="V1375" i="50" s="1"/>
  <c r="AD660" i="50"/>
  <c r="AD1375" i="50" s="1"/>
  <c r="X660" i="50"/>
  <c r="X1375" i="50" s="1"/>
  <c r="AB611" i="50"/>
  <c r="AB1326" i="50" s="1"/>
  <c r="Z611" i="50"/>
  <c r="Z1326" i="50" s="1"/>
  <c r="V611" i="50"/>
  <c r="V1326" i="50" s="1"/>
  <c r="T611" i="50"/>
  <c r="T1326" i="50" s="1"/>
  <c r="AD611" i="50"/>
  <c r="AD1326" i="50" s="1"/>
  <c r="X611" i="50"/>
  <c r="X1326" i="50" s="1"/>
  <c r="AB555" i="50"/>
  <c r="AB1270" i="50" s="1"/>
  <c r="Z555" i="50"/>
  <c r="Z1270" i="50" s="1"/>
  <c r="V555" i="50"/>
  <c r="V1270" i="50" s="1"/>
  <c r="T555" i="50"/>
  <c r="T1270" i="50" s="1"/>
  <c r="AD555" i="50"/>
  <c r="AD1270" i="50" s="1"/>
  <c r="X555" i="50"/>
  <c r="X1270" i="50" s="1"/>
  <c r="AB499" i="50"/>
  <c r="AB1214" i="50" s="1"/>
  <c r="Z499" i="50"/>
  <c r="Z1214" i="50" s="1"/>
  <c r="V499" i="50"/>
  <c r="V1214" i="50" s="1"/>
  <c r="T499" i="50"/>
  <c r="T1214" i="50" s="1"/>
  <c r="AD499" i="50"/>
  <c r="AD1214" i="50" s="1"/>
  <c r="X499" i="50"/>
  <c r="X1214" i="50" s="1"/>
  <c r="AB443" i="50"/>
  <c r="AB1158" i="50" s="1"/>
  <c r="AD443" i="50"/>
  <c r="AD1158" i="50" s="1"/>
  <c r="AB561" i="50"/>
  <c r="AB1276" i="50" s="1"/>
  <c r="V561" i="50"/>
  <c r="V1276" i="50" s="1"/>
  <c r="T561" i="50"/>
  <c r="T1276" i="50" s="1"/>
  <c r="Z561" i="50"/>
  <c r="Z1276" i="50" s="1"/>
  <c r="AD561" i="50"/>
  <c r="AD1276" i="50" s="1"/>
  <c r="X561" i="50"/>
  <c r="X1276" i="50" s="1"/>
  <c r="AB365" i="50"/>
  <c r="AB1080" i="50" s="1"/>
  <c r="V365" i="50"/>
  <c r="V1080" i="50" s="1"/>
  <c r="Z365" i="50"/>
  <c r="Z1080" i="50" s="1"/>
  <c r="T365" i="50"/>
  <c r="T1080" i="50" s="1"/>
  <c r="AD365" i="50"/>
  <c r="AD1080" i="50" s="1"/>
  <c r="X365" i="50"/>
  <c r="X1080" i="50" s="1"/>
  <c r="AB309" i="50"/>
  <c r="AB1024" i="50" s="1"/>
  <c r="V309" i="50"/>
  <c r="V1024" i="50" s="1"/>
  <c r="Z309" i="50"/>
  <c r="Z1024" i="50" s="1"/>
  <c r="AD309" i="50"/>
  <c r="AD1024" i="50" s="1"/>
  <c r="T309" i="50"/>
  <c r="T1024" i="50" s="1"/>
  <c r="X309" i="50"/>
  <c r="X1024" i="50" s="1"/>
  <c r="AB113" i="50"/>
  <c r="V113" i="50"/>
  <c r="V828" i="50" s="1"/>
  <c r="Z113" i="50"/>
  <c r="AD113" i="50"/>
  <c r="T113" i="50"/>
  <c r="T828" i="50" s="1"/>
  <c r="X113" i="50"/>
  <c r="X828" i="50" s="1"/>
  <c r="AB29" i="50"/>
  <c r="AB744" i="50" s="1"/>
  <c r="V29" i="50"/>
  <c r="Z29" i="50"/>
  <c r="Z744" i="50" s="1"/>
  <c r="AD29" i="50"/>
  <c r="T29" i="50"/>
  <c r="T744" i="50" s="1"/>
  <c r="X29" i="50"/>
  <c r="AB506" i="50"/>
  <c r="AB1221" i="50" s="1"/>
  <c r="Z506" i="50"/>
  <c r="Z1221" i="50" s="1"/>
  <c r="AD506" i="50"/>
  <c r="AD1221" i="50" s="1"/>
  <c r="T506" i="50"/>
  <c r="T1221" i="50" s="1"/>
  <c r="V506" i="50"/>
  <c r="V1221" i="50" s="1"/>
  <c r="X506" i="50"/>
  <c r="X1221" i="50" s="1"/>
  <c r="AB680" i="50"/>
  <c r="AB1395" i="50" s="1"/>
  <c r="Z680" i="50"/>
  <c r="Z1395" i="50" s="1"/>
  <c r="AD680" i="50"/>
  <c r="AD1395" i="50" s="1"/>
  <c r="V680" i="50"/>
  <c r="V1395" i="50" s="1"/>
  <c r="T680" i="50"/>
  <c r="T1395" i="50" s="1"/>
  <c r="X680" i="50"/>
  <c r="X1395" i="50" s="1"/>
  <c r="AB484" i="50"/>
  <c r="AB1199" i="50" s="1"/>
  <c r="Z484" i="50"/>
  <c r="Z1199" i="50" s="1"/>
  <c r="V484" i="50"/>
  <c r="V1199" i="50" s="1"/>
  <c r="AD484" i="50"/>
  <c r="AD1199" i="50" s="1"/>
  <c r="T484" i="50"/>
  <c r="T1199" i="50" s="1"/>
  <c r="X484" i="50"/>
  <c r="X1199" i="50" s="1"/>
  <c r="AB288" i="50"/>
  <c r="AB1003" i="50" s="1"/>
  <c r="Z288" i="50"/>
  <c r="Z1003" i="50" s="1"/>
  <c r="V288" i="50"/>
  <c r="V1003" i="50" s="1"/>
  <c r="AD288" i="50"/>
  <c r="AD1003" i="50" s="1"/>
  <c r="T288" i="50"/>
  <c r="T1003" i="50" s="1"/>
  <c r="X288" i="50"/>
  <c r="X1003" i="50" s="1"/>
  <c r="AB232" i="50"/>
  <c r="AB947" i="50" s="1"/>
  <c r="Z232" i="50"/>
  <c r="Z947" i="50" s="1"/>
  <c r="V232" i="50"/>
  <c r="V947" i="50" s="1"/>
  <c r="AD232" i="50"/>
  <c r="AD947" i="50" s="1"/>
  <c r="T232" i="50"/>
  <c r="T947" i="50" s="1"/>
  <c r="X232" i="50"/>
  <c r="X947" i="50" s="1"/>
  <c r="AB36" i="50"/>
  <c r="AB751" i="50" s="1"/>
  <c r="Z36" i="50"/>
  <c r="Z751" i="50" s="1"/>
  <c r="V36" i="50"/>
  <c r="V751" i="50" s="1"/>
  <c r="AD36" i="50"/>
  <c r="AD751" i="50" s="1"/>
  <c r="T36" i="50"/>
  <c r="T751" i="50" s="1"/>
  <c r="X36" i="50"/>
  <c r="X751" i="50" s="1"/>
  <c r="AB513" i="50"/>
  <c r="AB1228" i="50" s="1"/>
  <c r="V513" i="50"/>
  <c r="V1228" i="50" s="1"/>
  <c r="Z513" i="50"/>
  <c r="Z1228" i="50" s="1"/>
  <c r="AD513" i="50"/>
  <c r="AD1228" i="50" s="1"/>
  <c r="T513" i="50"/>
  <c r="T1228" i="50" s="1"/>
  <c r="X513" i="50"/>
  <c r="X1228" i="50" s="1"/>
  <c r="V687" i="50"/>
  <c r="V1402" i="50" s="1"/>
  <c r="AB631" i="50"/>
  <c r="AB1346" i="50" s="1"/>
  <c r="Z631" i="50"/>
  <c r="Z1346" i="50" s="1"/>
  <c r="V631" i="50"/>
  <c r="V1346" i="50" s="1"/>
  <c r="T631" i="50"/>
  <c r="T1346" i="50" s="1"/>
  <c r="AD631" i="50"/>
  <c r="AD1346" i="50" s="1"/>
  <c r="X631" i="50"/>
  <c r="X1346" i="50" s="1"/>
  <c r="AB575" i="50"/>
  <c r="AB1290" i="50" s="1"/>
  <c r="Z575" i="50"/>
  <c r="Z1290" i="50" s="1"/>
  <c r="V575" i="50"/>
  <c r="V1290" i="50" s="1"/>
  <c r="T575" i="50"/>
  <c r="T1290" i="50" s="1"/>
  <c r="AD575" i="50"/>
  <c r="AD1290" i="50" s="1"/>
  <c r="X575" i="50"/>
  <c r="X1290" i="50" s="1"/>
  <c r="AB183" i="50"/>
  <c r="AB898" i="50" s="1"/>
  <c r="V183" i="50"/>
  <c r="V898" i="50" s="1"/>
  <c r="Z183" i="50"/>
  <c r="Z898" i="50" s="1"/>
  <c r="AD183" i="50"/>
  <c r="AD898" i="50" s="1"/>
  <c r="T183" i="50"/>
  <c r="T898" i="50" s="1"/>
  <c r="X183" i="50"/>
  <c r="X898" i="50" s="1"/>
  <c r="AB43" i="50"/>
  <c r="AB758" i="50" s="1"/>
  <c r="V43" i="50"/>
  <c r="V758" i="50" s="1"/>
  <c r="Z43" i="50"/>
  <c r="Z758" i="50" s="1"/>
  <c r="AD43" i="50"/>
  <c r="AD758" i="50" s="1"/>
  <c r="T43" i="50"/>
  <c r="T758" i="50" s="1"/>
  <c r="X43" i="50"/>
  <c r="X758" i="50" s="1"/>
  <c r="AB34" i="50"/>
  <c r="Z34" i="50"/>
  <c r="V34" i="50"/>
  <c r="AD34" i="50"/>
  <c r="T34" i="50"/>
  <c r="X34" i="50"/>
  <c r="L323" i="50"/>
  <c r="L1038" i="50" s="1"/>
  <c r="J323" i="50"/>
  <c r="J1038" i="50" s="1"/>
  <c r="P323" i="50"/>
  <c r="P1038" i="50" s="1"/>
  <c r="N323" i="50"/>
  <c r="N1038" i="50" s="1"/>
  <c r="F323" i="50"/>
  <c r="H323" i="50"/>
  <c r="H1038" i="50" s="1"/>
  <c r="L72" i="50"/>
  <c r="L787" i="50" s="1"/>
  <c r="J72" i="50"/>
  <c r="J787" i="50" s="1"/>
  <c r="P72" i="50"/>
  <c r="P787" i="50" s="1"/>
  <c r="N72" i="50"/>
  <c r="N787" i="50" s="1"/>
  <c r="F72" i="50"/>
  <c r="H72" i="50"/>
  <c r="H787" i="50" s="1"/>
  <c r="Z1793" i="50"/>
  <c r="X1793" i="50"/>
  <c r="AB1506" i="50"/>
  <c r="X1506" i="50"/>
  <c r="Z1506" i="50"/>
  <c r="AD1506" i="50"/>
  <c r="Z1856" i="50"/>
  <c r="L100" i="50"/>
  <c r="L815" i="50" s="1"/>
  <c r="J100" i="50"/>
  <c r="J815" i="50" s="1"/>
  <c r="P100" i="50"/>
  <c r="P815" i="50" s="1"/>
  <c r="N100" i="50"/>
  <c r="N815" i="50" s="1"/>
  <c r="F100" i="50"/>
  <c r="H100" i="50"/>
  <c r="H815" i="50" s="1"/>
  <c r="AX142" i="49"/>
  <c r="P2586" i="50"/>
  <c r="P3300" i="50" s="1"/>
  <c r="L1539" i="50"/>
  <c r="F2032" i="50"/>
  <c r="AF1931" i="50"/>
  <c r="BL173" i="49"/>
  <c r="BP173" i="49" s="1"/>
  <c r="BU173" i="49" s="1"/>
  <c r="AI160" i="49"/>
  <c r="L1812" i="50"/>
  <c r="BH45" i="49"/>
  <c r="BP45" i="49" s="1"/>
  <c r="BU45" i="49" s="1"/>
  <c r="R237" i="50"/>
  <c r="BH24" i="49"/>
  <c r="P678" i="50"/>
  <c r="L531" i="50"/>
  <c r="J531" i="50"/>
  <c r="P531" i="50"/>
  <c r="N531" i="50"/>
  <c r="F531" i="50"/>
  <c r="H531" i="50"/>
  <c r="L552" i="50"/>
  <c r="J552" i="50"/>
  <c r="P552" i="50"/>
  <c r="N552" i="50"/>
  <c r="F552" i="50"/>
  <c r="H552" i="50"/>
  <c r="L510" i="50"/>
  <c r="J510" i="50"/>
  <c r="P510" i="50"/>
  <c r="N510" i="50"/>
  <c r="F510" i="50"/>
  <c r="H510" i="50"/>
  <c r="L601" i="50"/>
  <c r="J601" i="50"/>
  <c r="P601" i="50"/>
  <c r="N601" i="50"/>
  <c r="F601" i="50"/>
  <c r="H601" i="50"/>
  <c r="L650" i="50"/>
  <c r="J650" i="50"/>
  <c r="P650" i="50"/>
  <c r="N650" i="50"/>
  <c r="H650" i="50"/>
  <c r="F650" i="50"/>
  <c r="L699" i="50"/>
  <c r="L1414" i="50" s="1"/>
  <c r="J699" i="50"/>
  <c r="J1414" i="50" s="1"/>
  <c r="P699" i="50"/>
  <c r="P1414" i="50" s="1"/>
  <c r="N699" i="50"/>
  <c r="N1414" i="50" s="1"/>
  <c r="F699" i="50"/>
  <c r="F1414" i="50" s="1"/>
  <c r="H699" i="50"/>
  <c r="H1414" i="50" s="1"/>
  <c r="L566" i="50"/>
  <c r="J566" i="50"/>
  <c r="P566" i="50"/>
  <c r="N566" i="50"/>
  <c r="H566" i="50"/>
  <c r="F566" i="50"/>
  <c r="AB658" i="50"/>
  <c r="AB1373" i="50" s="1"/>
  <c r="AB2215" i="50" s="1"/>
  <c r="V658" i="50"/>
  <c r="V1373" i="50" s="1"/>
  <c r="V2215" i="50" s="1"/>
  <c r="Z658" i="50"/>
  <c r="Z1373" i="50" s="1"/>
  <c r="Z2215" i="50" s="1"/>
  <c r="AD658" i="50"/>
  <c r="AD1373" i="50" s="1"/>
  <c r="AD2215" i="50" s="1"/>
  <c r="T658" i="50"/>
  <c r="T1373" i="50" s="1"/>
  <c r="X658" i="50"/>
  <c r="X1373" i="50" s="1"/>
  <c r="X2215" i="50" s="1"/>
  <c r="AB391" i="50"/>
  <c r="Z391" i="50"/>
  <c r="V391" i="50"/>
  <c r="AD391" i="50"/>
  <c r="T391" i="50"/>
  <c r="X391" i="50"/>
  <c r="AB126" i="50"/>
  <c r="AB841" i="50" s="1"/>
  <c r="Z126" i="50"/>
  <c r="Z841" i="50" s="1"/>
  <c r="V126" i="50"/>
  <c r="V841" i="50" s="1"/>
  <c r="AD126" i="50"/>
  <c r="AD841" i="50" s="1"/>
  <c r="T126" i="50"/>
  <c r="T841" i="50" s="1"/>
  <c r="X126" i="50"/>
  <c r="X841" i="50" s="1"/>
  <c r="AB356" i="50"/>
  <c r="Z356" i="50"/>
  <c r="V356" i="50"/>
  <c r="T356" i="50"/>
  <c r="AD356" i="50"/>
  <c r="X356" i="50"/>
  <c r="AB119" i="50"/>
  <c r="AB834" i="50" s="1"/>
  <c r="V119" i="50"/>
  <c r="V834" i="50" s="1"/>
  <c r="Z119" i="50"/>
  <c r="Z834" i="50" s="1"/>
  <c r="AD119" i="50"/>
  <c r="AD834" i="50" s="1"/>
  <c r="T119" i="50"/>
  <c r="T834" i="50" s="1"/>
  <c r="X119" i="50"/>
  <c r="X834" i="50" s="1"/>
  <c r="AB405" i="50"/>
  <c r="Z405" i="50"/>
  <c r="V405" i="50"/>
  <c r="AD405" i="50"/>
  <c r="T405" i="50"/>
  <c r="X405" i="50"/>
  <c r="AB258" i="50"/>
  <c r="Z258" i="50"/>
  <c r="V258" i="50"/>
  <c r="AD258" i="50"/>
  <c r="T258" i="50"/>
  <c r="X258" i="50"/>
  <c r="AB342" i="50"/>
  <c r="Z342" i="50"/>
  <c r="V342" i="50"/>
  <c r="AD342" i="50"/>
  <c r="X342" i="50"/>
  <c r="AB616" i="50"/>
  <c r="AB1331" i="50" s="1"/>
  <c r="V616" i="50"/>
  <c r="V1331" i="50" s="1"/>
  <c r="Z616" i="50"/>
  <c r="Z1331" i="50" s="1"/>
  <c r="AD616" i="50"/>
  <c r="AD1331" i="50" s="1"/>
  <c r="T616" i="50"/>
  <c r="T1331" i="50" s="1"/>
  <c r="X616" i="50"/>
  <c r="X1331" i="50" s="1"/>
  <c r="AB427" i="50"/>
  <c r="AB1142" i="50" s="1"/>
  <c r="V427" i="50"/>
  <c r="V1142" i="50" s="1"/>
  <c r="Z427" i="50"/>
  <c r="Z1142" i="50" s="1"/>
  <c r="AD427" i="50"/>
  <c r="AD1142" i="50" s="1"/>
  <c r="T427" i="50"/>
  <c r="T1142" i="50" s="1"/>
  <c r="X427" i="50"/>
  <c r="X1142" i="50" s="1"/>
  <c r="AB398" i="50"/>
  <c r="Z398" i="50"/>
  <c r="V398" i="50"/>
  <c r="AD398" i="50"/>
  <c r="T398" i="50"/>
  <c r="X398" i="50"/>
  <c r="AD602" i="50"/>
  <c r="AD1317" i="50" s="1"/>
  <c r="L342" i="50"/>
  <c r="J342" i="50"/>
  <c r="P342" i="50"/>
  <c r="T342" i="50"/>
  <c r="N342" i="50"/>
  <c r="F342" i="50"/>
  <c r="H342" i="50"/>
  <c r="J412" i="50"/>
  <c r="N329" i="50"/>
  <c r="N1044" i="50" s="1"/>
  <c r="L279" i="50"/>
  <c r="J279" i="50"/>
  <c r="P279" i="50"/>
  <c r="N279" i="50"/>
  <c r="F279" i="50"/>
  <c r="H279" i="50"/>
  <c r="L294" i="50"/>
  <c r="L1009" i="50" s="1"/>
  <c r="P294" i="50"/>
  <c r="P1009" i="50" s="1"/>
  <c r="J294" i="50"/>
  <c r="J1009" i="50" s="1"/>
  <c r="N294" i="50"/>
  <c r="N1009" i="50" s="1"/>
  <c r="H294" i="50"/>
  <c r="H1009" i="50" s="1"/>
  <c r="F294" i="50"/>
  <c r="J119" i="50"/>
  <c r="J834" i="50" s="1"/>
  <c r="L119" i="50"/>
  <c r="L834" i="50" s="1"/>
  <c r="P119" i="50"/>
  <c r="P834" i="50" s="1"/>
  <c r="N119" i="50"/>
  <c r="N834" i="50" s="1"/>
  <c r="F119" i="50"/>
  <c r="H119" i="50"/>
  <c r="H834" i="50" s="1"/>
  <c r="L97" i="50"/>
  <c r="J97" i="50"/>
  <c r="P97" i="50"/>
  <c r="N97" i="50"/>
  <c r="F97" i="50"/>
  <c r="H97" i="50"/>
  <c r="L503" i="50"/>
  <c r="F503" i="50"/>
  <c r="AB160" i="50"/>
  <c r="Z160" i="50"/>
  <c r="V160" i="50"/>
  <c r="AD160" i="50"/>
  <c r="T160" i="50"/>
  <c r="X160" i="50"/>
  <c r="AB657" i="50"/>
  <c r="Z657" i="50"/>
  <c r="V657" i="50"/>
  <c r="AD657" i="50"/>
  <c r="T657" i="50"/>
  <c r="X657" i="50"/>
  <c r="AB419" i="50"/>
  <c r="Z419" i="50"/>
  <c r="V419" i="50"/>
  <c r="AD419" i="50"/>
  <c r="T419" i="50"/>
  <c r="X419" i="50"/>
  <c r="AB154" i="50"/>
  <c r="AB869" i="50" s="1"/>
  <c r="Z154" i="50"/>
  <c r="Z869" i="50" s="1"/>
  <c r="V154" i="50"/>
  <c r="V869" i="50" s="1"/>
  <c r="AD154" i="50"/>
  <c r="AD869" i="50" s="1"/>
  <c r="T154" i="50"/>
  <c r="T869" i="50" s="1"/>
  <c r="X154" i="50"/>
  <c r="X869" i="50" s="1"/>
  <c r="AB272" i="50"/>
  <c r="Z272" i="50"/>
  <c r="V272" i="50"/>
  <c r="AD272" i="50"/>
  <c r="T272" i="50"/>
  <c r="X272" i="50"/>
  <c r="AB28" i="50"/>
  <c r="AB743" i="50" s="1"/>
  <c r="Z28" i="50"/>
  <c r="Z743" i="50" s="1"/>
  <c r="V28" i="50"/>
  <c r="V743" i="50" s="1"/>
  <c r="AD28" i="50"/>
  <c r="AD743" i="50" s="1"/>
  <c r="T28" i="50"/>
  <c r="T743" i="50" s="1"/>
  <c r="X28" i="50"/>
  <c r="X743" i="50" s="1"/>
  <c r="AB321" i="50"/>
  <c r="Z321" i="50"/>
  <c r="V321" i="50"/>
  <c r="AD321" i="50"/>
  <c r="T321" i="50"/>
  <c r="X321" i="50"/>
  <c r="AB84" i="50"/>
  <c r="AB799" i="50" s="1"/>
  <c r="Z84" i="50"/>
  <c r="V84" i="50"/>
  <c r="V799" i="50" s="1"/>
  <c r="AD84" i="50"/>
  <c r="T84" i="50"/>
  <c r="T799" i="50" s="1"/>
  <c r="X84" i="50"/>
  <c r="AD364" i="50"/>
  <c r="AD1079" i="50" s="1"/>
  <c r="AB454" i="50"/>
  <c r="Z454" i="50"/>
  <c r="V454" i="50"/>
  <c r="AD454" i="50"/>
  <c r="T454" i="50"/>
  <c r="X454" i="50"/>
  <c r="AB280" i="50"/>
  <c r="AB995" i="50" s="1"/>
  <c r="Z280" i="50"/>
  <c r="Z995" i="50" s="1"/>
  <c r="V280" i="50"/>
  <c r="V995" i="50" s="1"/>
  <c r="AD280" i="50"/>
  <c r="AD995" i="50" s="1"/>
  <c r="T280" i="50"/>
  <c r="T995" i="50" s="1"/>
  <c r="X280" i="50"/>
  <c r="X995" i="50" s="1"/>
  <c r="AB448" i="50"/>
  <c r="AB1163" i="50" s="1"/>
  <c r="Z448" i="50"/>
  <c r="Z1163" i="50" s="1"/>
  <c r="V448" i="50"/>
  <c r="V1163" i="50" s="1"/>
  <c r="AD448" i="50"/>
  <c r="AD1163" i="50" s="1"/>
  <c r="T448" i="50"/>
  <c r="T1163" i="50" s="1"/>
  <c r="X448" i="50"/>
  <c r="X1163" i="50" s="1"/>
  <c r="N349" i="50"/>
  <c r="L202" i="50"/>
  <c r="J202" i="50"/>
  <c r="P202" i="50"/>
  <c r="N202" i="50"/>
  <c r="F202" i="50"/>
  <c r="H202" i="50"/>
  <c r="L133" i="50"/>
  <c r="L848" i="50" s="1"/>
  <c r="J133" i="50"/>
  <c r="J848" i="50" s="1"/>
  <c r="P133" i="50"/>
  <c r="P848" i="50" s="1"/>
  <c r="N133" i="50"/>
  <c r="N848" i="50" s="1"/>
  <c r="F133" i="50"/>
  <c r="H133" i="50"/>
  <c r="H848" i="50" s="1"/>
  <c r="L195" i="50"/>
  <c r="J195" i="50"/>
  <c r="P195" i="50"/>
  <c r="N195" i="50"/>
  <c r="F195" i="50"/>
  <c r="H195" i="50"/>
  <c r="L98" i="50"/>
  <c r="L813" i="50" s="1"/>
  <c r="J98" i="50"/>
  <c r="J813" i="50" s="1"/>
  <c r="P98" i="50"/>
  <c r="P813" i="50" s="1"/>
  <c r="N98" i="50"/>
  <c r="N813" i="50" s="1"/>
  <c r="F98" i="50"/>
  <c r="H98" i="50"/>
  <c r="H813" i="50" s="1"/>
  <c r="L104" i="50"/>
  <c r="J104" i="50"/>
  <c r="N104" i="50"/>
  <c r="P104" i="50"/>
  <c r="F104" i="50"/>
  <c r="H104" i="50"/>
  <c r="L259" i="50"/>
  <c r="L974" i="50" s="1"/>
  <c r="J259" i="50"/>
  <c r="J974" i="50" s="1"/>
  <c r="P259" i="50"/>
  <c r="P974" i="50" s="1"/>
  <c r="N259" i="50"/>
  <c r="N974" i="50" s="1"/>
  <c r="F259" i="50"/>
  <c r="H259" i="50"/>
  <c r="H974" i="50" s="1"/>
  <c r="L336" i="50"/>
  <c r="L1051" i="50" s="1"/>
  <c r="J336" i="50"/>
  <c r="J1051" i="50" s="1"/>
  <c r="P336" i="50"/>
  <c r="P1051" i="50" s="1"/>
  <c r="N336" i="50"/>
  <c r="N1051" i="50" s="1"/>
  <c r="H336" i="50"/>
  <c r="H1051" i="50" s="1"/>
  <c r="F336" i="50"/>
  <c r="L153" i="50"/>
  <c r="J153" i="50"/>
  <c r="P153" i="50"/>
  <c r="N153" i="50"/>
  <c r="F153" i="50"/>
  <c r="H153" i="50"/>
  <c r="AB125" i="50"/>
  <c r="Z125" i="50"/>
  <c r="V125" i="50"/>
  <c r="AD125" i="50"/>
  <c r="T125" i="50"/>
  <c r="X125" i="50"/>
  <c r="AB335" i="50"/>
  <c r="Z335" i="50"/>
  <c r="V335" i="50"/>
  <c r="AD335" i="50"/>
  <c r="T335" i="50"/>
  <c r="X335" i="50"/>
  <c r="AB70" i="50"/>
  <c r="AB785" i="50" s="1"/>
  <c r="Z70" i="50"/>
  <c r="Z785" i="50" s="1"/>
  <c r="V70" i="50"/>
  <c r="V785" i="50" s="1"/>
  <c r="AD70" i="50"/>
  <c r="AD785" i="50" s="1"/>
  <c r="T70" i="50"/>
  <c r="T785" i="50" s="1"/>
  <c r="X70" i="50"/>
  <c r="X785" i="50" s="1"/>
  <c r="AB300" i="50"/>
  <c r="Z300" i="50"/>
  <c r="V300" i="50"/>
  <c r="AD300" i="50"/>
  <c r="T300" i="50"/>
  <c r="X300" i="50"/>
  <c r="AB63" i="50"/>
  <c r="AB778" i="50" s="1"/>
  <c r="Z63" i="50"/>
  <c r="Z778" i="50" s="1"/>
  <c r="V63" i="50"/>
  <c r="V778" i="50" s="1"/>
  <c r="AD63" i="50"/>
  <c r="AD778" i="50" s="1"/>
  <c r="T63" i="50"/>
  <c r="T778" i="50" s="1"/>
  <c r="X63" i="50"/>
  <c r="X778" i="50" s="1"/>
  <c r="AB223" i="50"/>
  <c r="Z223" i="50"/>
  <c r="V223" i="50"/>
  <c r="AD223" i="50"/>
  <c r="T223" i="50"/>
  <c r="X223" i="50"/>
  <c r="AB692" i="50"/>
  <c r="AB1407" i="50" s="1"/>
  <c r="Z692" i="50"/>
  <c r="Z1407" i="50" s="1"/>
  <c r="V692" i="50"/>
  <c r="V1407" i="50" s="1"/>
  <c r="T692" i="50"/>
  <c r="T1407" i="50" s="1"/>
  <c r="AD692" i="50"/>
  <c r="AD1407" i="50" s="1"/>
  <c r="X692" i="50"/>
  <c r="X1407" i="50" s="1"/>
  <c r="AB217" i="50"/>
  <c r="AB932" i="50" s="1"/>
  <c r="V217" i="50"/>
  <c r="V932" i="50" s="1"/>
  <c r="Z217" i="50"/>
  <c r="Z932" i="50" s="1"/>
  <c r="T217" i="50"/>
  <c r="T932" i="50" s="1"/>
  <c r="AD217" i="50"/>
  <c r="AD932" i="50" s="1"/>
  <c r="X217" i="50"/>
  <c r="X932" i="50" s="1"/>
  <c r="AB336" i="50"/>
  <c r="AB1051" i="50" s="1"/>
  <c r="Z336" i="50"/>
  <c r="Z1051" i="50" s="1"/>
  <c r="V336" i="50"/>
  <c r="V1051" i="50" s="1"/>
  <c r="AD336" i="50"/>
  <c r="AD1051" i="50" s="1"/>
  <c r="T336" i="50"/>
  <c r="T1051" i="50" s="1"/>
  <c r="X336" i="50"/>
  <c r="X1051" i="50" s="1"/>
  <c r="AB546" i="50"/>
  <c r="AB1261" i="50" s="1"/>
  <c r="V546" i="50"/>
  <c r="V1261" i="50" s="1"/>
  <c r="Z546" i="50"/>
  <c r="Z1261" i="50" s="1"/>
  <c r="AD546" i="50"/>
  <c r="AD1261" i="50" s="1"/>
  <c r="T546" i="50"/>
  <c r="T1261" i="50" s="1"/>
  <c r="X546" i="50"/>
  <c r="X1261" i="50" s="1"/>
  <c r="AB189" i="50"/>
  <c r="AB904" i="50" s="1"/>
  <c r="V189" i="50"/>
  <c r="V904" i="50" s="1"/>
  <c r="Z189" i="50"/>
  <c r="Z904" i="50" s="1"/>
  <c r="T189" i="50"/>
  <c r="T904" i="50" s="1"/>
  <c r="AD189" i="50"/>
  <c r="AD904" i="50" s="1"/>
  <c r="X189" i="50"/>
  <c r="X904" i="50" s="1"/>
  <c r="L230" i="50"/>
  <c r="J230" i="50"/>
  <c r="P230" i="50"/>
  <c r="N230" i="50"/>
  <c r="F230" i="50"/>
  <c r="H230" i="50"/>
  <c r="L273" i="50"/>
  <c r="L988" i="50" s="1"/>
  <c r="J273" i="50"/>
  <c r="J988" i="50" s="1"/>
  <c r="P273" i="50"/>
  <c r="P988" i="50" s="1"/>
  <c r="N273" i="50"/>
  <c r="N988" i="50" s="1"/>
  <c r="F273" i="50"/>
  <c r="H273" i="50"/>
  <c r="H988" i="50" s="1"/>
  <c r="L321" i="50"/>
  <c r="J321" i="50"/>
  <c r="P321" i="50"/>
  <c r="N321" i="50"/>
  <c r="F321" i="50"/>
  <c r="H321" i="50"/>
  <c r="L350" i="50"/>
  <c r="L1065" i="50" s="1"/>
  <c r="J350" i="50"/>
  <c r="J1065" i="50" s="1"/>
  <c r="P350" i="50"/>
  <c r="P1065" i="50" s="1"/>
  <c r="N350" i="50"/>
  <c r="N1065" i="50" s="1"/>
  <c r="H350" i="50"/>
  <c r="H1065" i="50" s="1"/>
  <c r="F350" i="50"/>
  <c r="L56" i="50"/>
  <c r="L771" i="50" s="1"/>
  <c r="J56" i="50"/>
  <c r="J771" i="50" s="1"/>
  <c r="P56" i="50"/>
  <c r="P771" i="50" s="1"/>
  <c r="N56" i="50"/>
  <c r="N771" i="50" s="1"/>
  <c r="H56" i="50"/>
  <c r="H771" i="50" s="1"/>
  <c r="F56" i="50"/>
  <c r="L447" i="50"/>
  <c r="J447" i="50"/>
  <c r="P447" i="50"/>
  <c r="N447" i="50"/>
  <c r="F447" i="50"/>
  <c r="H447" i="50"/>
  <c r="L265" i="50"/>
  <c r="J265" i="50"/>
  <c r="P265" i="50"/>
  <c r="N265" i="50"/>
  <c r="F265" i="50"/>
  <c r="H265" i="50"/>
  <c r="AB55" i="50"/>
  <c r="Z55" i="50"/>
  <c r="V55" i="50"/>
  <c r="AD55" i="50"/>
  <c r="T55" i="50"/>
  <c r="X55" i="50"/>
  <c r="AB167" i="50"/>
  <c r="Z167" i="50"/>
  <c r="V167" i="50"/>
  <c r="AD167" i="50"/>
  <c r="T167" i="50"/>
  <c r="X167" i="50"/>
  <c r="AB7" i="50"/>
  <c r="Z7" i="50"/>
  <c r="V7" i="50"/>
  <c r="AD7" i="50"/>
  <c r="T7" i="50"/>
  <c r="X7" i="50"/>
  <c r="AB139" i="50"/>
  <c r="Z139" i="50"/>
  <c r="V139" i="50"/>
  <c r="AD139" i="50"/>
  <c r="T139" i="50"/>
  <c r="X139" i="50"/>
  <c r="AB671" i="50"/>
  <c r="Z671" i="50"/>
  <c r="V671" i="50"/>
  <c r="AD671" i="50"/>
  <c r="T671" i="50"/>
  <c r="X671" i="50"/>
  <c r="AB265" i="50"/>
  <c r="Z265" i="50"/>
  <c r="V265" i="50"/>
  <c r="AD265" i="50"/>
  <c r="T265" i="50"/>
  <c r="X265" i="50"/>
  <c r="AB21" i="50"/>
  <c r="Z21" i="50"/>
  <c r="V21" i="50"/>
  <c r="AD21" i="50"/>
  <c r="T21" i="50"/>
  <c r="X21" i="50"/>
  <c r="Z441" i="50"/>
  <c r="Z1156" i="50" s="1"/>
  <c r="AB273" i="50"/>
  <c r="AB988" i="50" s="1"/>
  <c r="V273" i="50"/>
  <c r="V988" i="50" s="1"/>
  <c r="Z273" i="50"/>
  <c r="Z988" i="50" s="1"/>
  <c r="T273" i="50"/>
  <c r="T988" i="50" s="1"/>
  <c r="AD273" i="50"/>
  <c r="AD988" i="50" s="1"/>
  <c r="X273" i="50"/>
  <c r="X988" i="50" s="1"/>
  <c r="AB426" i="50"/>
  <c r="Z426" i="50"/>
  <c r="V426" i="50"/>
  <c r="AD426" i="50"/>
  <c r="T426" i="50"/>
  <c r="X426" i="50"/>
  <c r="AB637" i="50"/>
  <c r="AB1352" i="50" s="1"/>
  <c r="V637" i="50"/>
  <c r="V1352" i="50" s="1"/>
  <c r="Z637" i="50"/>
  <c r="Z1352" i="50" s="1"/>
  <c r="AD637" i="50"/>
  <c r="AD1352" i="50" s="1"/>
  <c r="T637" i="50"/>
  <c r="T1352" i="50" s="1"/>
  <c r="X637" i="50"/>
  <c r="X1352" i="50" s="1"/>
  <c r="AB518" i="50"/>
  <c r="AB1233" i="50" s="1"/>
  <c r="V518" i="50"/>
  <c r="V1233" i="50" s="1"/>
  <c r="Z518" i="50"/>
  <c r="Z1233" i="50" s="1"/>
  <c r="AD518" i="50"/>
  <c r="AD1233" i="50" s="1"/>
  <c r="T518" i="50"/>
  <c r="T1233" i="50" s="1"/>
  <c r="X518" i="50"/>
  <c r="X1233" i="50" s="1"/>
  <c r="L314" i="50"/>
  <c r="N314" i="50"/>
  <c r="L384" i="50"/>
  <c r="J384" i="50"/>
  <c r="P384" i="50"/>
  <c r="N384" i="50"/>
  <c r="F384" i="50"/>
  <c r="H384" i="50"/>
  <c r="L413" i="50"/>
  <c r="L1128" i="50" s="1"/>
  <c r="J413" i="50"/>
  <c r="J1128" i="50" s="1"/>
  <c r="P413" i="50"/>
  <c r="P1128" i="50" s="1"/>
  <c r="N413" i="50"/>
  <c r="N1128" i="50" s="1"/>
  <c r="F413" i="50"/>
  <c r="H413" i="50"/>
  <c r="H1128" i="50" s="1"/>
  <c r="L49" i="50"/>
  <c r="L764" i="50" s="1"/>
  <c r="J49" i="50"/>
  <c r="P49" i="50"/>
  <c r="P764" i="50" s="1"/>
  <c r="N49" i="50"/>
  <c r="F49" i="50"/>
  <c r="H49" i="50"/>
  <c r="L62" i="50"/>
  <c r="J62" i="50"/>
  <c r="P62" i="50"/>
  <c r="N62" i="50"/>
  <c r="F62" i="50"/>
  <c r="H62" i="50"/>
  <c r="J91" i="50"/>
  <c r="P91" i="50"/>
  <c r="L91" i="50"/>
  <c r="N91" i="50"/>
  <c r="F91" i="50"/>
  <c r="H91" i="50"/>
  <c r="L482" i="50"/>
  <c r="J482" i="50"/>
  <c r="P482" i="50"/>
  <c r="N482" i="50"/>
  <c r="F482" i="50"/>
  <c r="H482" i="50"/>
  <c r="L391" i="50"/>
  <c r="J391" i="50"/>
  <c r="P391" i="50"/>
  <c r="N391" i="50"/>
  <c r="F391" i="50"/>
  <c r="H391" i="50"/>
  <c r="V17" i="32"/>
  <c r="V25" i="32"/>
  <c r="V34" i="32"/>
  <c r="V31" i="32"/>
  <c r="V40" i="32"/>
  <c r="V26" i="32"/>
  <c r="L1615" i="50"/>
  <c r="P2540" i="50"/>
  <c r="R568" i="50"/>
  <c r="R435" i="50"/>
  <c r="R65" i="50"/>
  <c r="R289" i="50"/>
  <c r="R233" i="50"/>
  <c r="R653" i="50"/>
  <c r="R155" i="50"/>
  <c r="R352" i="50"/>
  <c r="R282" i="50"/>
  <c r="R226" i="50"/>
  <c r="R163" i="50"/>
  <c r="R107" i="50"/>
  <c r="R681" i="50"/>
  <c r="R443" i="50"/>
  <c r="R540" i="50"/>
  <c r="R295" i="50"/>
  <c r="L71" i="50"/>
  <c r="L786" i="50" s="1"/>
  <c r="J71" i="50"/>
  <c r="J786" i="50" s="1"/>
  <c r="P71" i="50"/>
  <c r="P786" i="50" s="1"/>
  <c r="N71" i="50"/>
  <c r="N786" i="50" s="1"/>
  <c r="F71" i="50"/>
  <c r="H71" i="50"/>
  <c r="H786" i="50" s="1"/>
  <c r="L50" i="50"/>
  <c r="L765" i="50" s="1"/>
  <c r="J50" i="50"/>
  <c r="J765" i="50" s="1"/>
  <c r="P50" i="50"/>
  <c r="P765" i="50" s="1"/>
  <c r="N50" i="50"/>
  <c r="N765" i="50" s="1"/>
  <c r="H50" i="50"/>
  <c r="H765" i="50" s="1"/>
  <c r="F50" i="50"/>
  <c r="AF218" i="50"/>
  <c r="R695" i="50"/>
  <c r="R639" i="50"/>
  <c r="R604" i="50"/>
  <c r="R590" i="50"/>
  <c r="R534" i="50"/>
  <c r="R457" i="50"/>
  <c r="L9" i="50"/>
  <c r="J9" i="50"/>
  <c r="P9" i="50"/>
  <c r="N9" i="50"/>
  <c r="F9" i="50"/>
  <c r="H9" i="50"/>
  <c r="R345" i="50"/>
  <c r="AB45" i="50"/>
  <c r="T45" i="50"/>
  <c r="V45" i="50"/>
  <c r="V760" i="50" s="1"/>
  <c r="Z45" i="50"/>
  <c r="Z760" i="50" s="1"/>
  <c r="AD45" i="50"/>
  <c r="X45" i="50"/>
  <c r="R617" i="50"/>
  <c r="R561" i="50"/>
  <c r="R505" i="50"/>
  <c r="R372" i="50"/>
  <c r="R288" i="50"/>
  <c r="R232" i="50"/>
  <c r="R120" i="50"/>
  <c r="AB59" i="50"/>
  <c r="Z59" i="50"/>
  <c r="T59" i="50"/>
  <c r="AD59" i="50"/>
  <c r="V59" i="50"/>
  <c r="V774" i="50" s="1"/>
  <c r="X59" i="50"/>
  <c r="AF442" i="50"/>
  <c r="AB80" i="50"/>
  <c r="AB795" i="50" s="1"/>
  <c r="Z80" i="50"/>
  <c r="Z795" i="50" s="1"/>
  <c r="V80" i="50"/>
  <c r="V795" i="50" s="1"/>
  <c r="AD80" i="50"/>
  <c r="AD795" i="50" s="1"/>
  <c r="T80" i="50"/>
  <c r="T795" i="50" s="1"/>
  <c r="X80" i="50"/>
  <c r="X795" i="50" s="1"/>
  <c r="AF106" i="50"/>
  <c r="AB17" i="50"/>
  <c r="AB732" i="50" s="1"/>
  <c r="Z17" i="50"/>
  <c r="Z732" i="50" s="1"/>
  <c r="V17" i="50"/>
  <c r="V732" i="50" s="1"/>
  <c r="T17" i="50"/>
  <c r="T732" i="50" s="1"/>
  <c r="AD17" i="50"/>
  <c r="AD732" i="50" s="1"/>
  <c r="X17" i="50"/>
  <c r="X732" i="50" s="1"/>
  <c r="L80" i="50"/>
  <c r="L795" i="50" s="1"/>
  <c r="J80" i="50"/>
  <c r="J795" i="50" s="1"/>
  <c r="P80" i="50"/>
  <c r="P795" i="50" s="1"/>
  <c r="N80" i="50"/>
  <c r="N795" i="50" s="1"/>
  <c r="F80" i="50"/>
  <c r="H80" i="50"/>
  <c r="H795" i="50" s="1"/>
  <c r="L59" i="50"/>
  <c r="J59" i="50"/>
  <c r="P59" i="50"/>
  <c r="P774" i="50" s="1"/>
  <c r="N59" i="50"/>
  <c r="F59" i="50"/>
  <c r="H59" i="50"/>
  <c r="L31" i="50"/>
  <c r="L746" i="50" s="1"/>
  <c r="J31" i="50"/>
  <c r="J746" i="50" s="1"/>
  <c r="P31" i="50"/>
  <c r="P746" i="50" s="1"/>
  <c r="N31" i="50"/>
  <c r="N746" i="50" s="1"/>
  <c r="F31" i="50"/>
  <c r="H31" i="50"/>
  <c r="H746" i="50" s="1"/>
  <c r="AF394" i="50"/>
  <c r="AF380" i="50"/>
  <c r="AF331" i="50"/>
  <c r="AF219" i="50"/>
  <c r="AF198" i="50"/>
  <c r="AF184" i="50"/>
  <c r="AF170" i="50"/>
  <c r="AF156" i="50"/>
  <c r="AF107" i="50"/>
  <c r="AB93" i="50"/>
  <c r="AB808" i="50" s="1"/>
  <c r="Z93" i="50"/>
  <c r="Z808" i="50" s="1"/>
  <c r="AD93" i="50"/>
  <c r="AD808" i="50" s="1"/>
  <c r="T93" i="50"/>
  <c r="T808" i="50" s="1"/>
  <c r="V93" i="50"/>
  <c r="V808" i="50" s="1"/>
  <c r="X93" i="50"/>
  <c r="X808" i="50" s="1"/>
  <c r="AF65" i="50"/>
  <c r="AB44" i="50"/>
  <c r="AB759" i="50" s="1"/>
  <c r="Z44" i="50"/>
  <c r="Z759" i="50" s="1"/>
  <c r="V44" i="50"/>
  <c r="V759" i="50" s="1"/>
  <c r="T44" i="50"/>
  <c r="T759" i="50" s="1"/>
  <c r="AD44" i="50"/>
  <c r="AD759" i="50" s="1"/>
  <c r="X44" i="50"/>
  <c r="X759" i="50" s="1"/>
  <c r="AF702" i="50"/>
  <c r="AF212" i="50"/>
  <c r="AF498" i="50"/>
  <c r="AF302" i="50"/>
  <c r="AB78" i="50"/>
  <c r="AB793" i="50" s="1"/>
  <c r="Z78" i="50"/>
  <c r="Z793" i="50" s="1"/>
  <c r="V78" i="50"/>
  <c r="V793" i="50" s="1"/>
  <c r="AD78" i="50"/>
  <c r="AD793" i="50" s="1"/>
  <c r="T78" i="50"/>
  <c r="T793" i="50" s="1"/>
  <c r="X78" i="50"/>
  <c r="X793" i="50" s="1"/>
  <c r="AF639" i="50"/>
  <c r="AF673" i="50"/>
  <c r="AF477" i="50"/>
  <c r="AF421" i="50"/>
  <c r="AF225" i="50"/>
  <c r="AF422" i="50"/>
  <c r="AF596" i="50"/>
  <c r="AF400" i="50"/>
  <c r="AF344" i="50"/>
  <c r="AF148" i="50"/>
  <c r="AB92" i="50"/>
  <c r="AB807" i="50" s="1"/>
  <c r="Z92" i="50"/>
  <c r="Z807" i="50" s="1"/>
  <c r="V92" i="50"/>
  <c r="V807" i="50" s="1"/>
  <c r="AD92" i="50"/>
  <c r="AD807" i="50" s="1"/>
  <c r="T92" i="50"/>
  <c r="T807" i="50" s="1"/>
  <c r="X92" i="50"/>
  <c r="X807" i="50" s="1"/>
  <c r="AB8" i="50"/>
  <c r="Z8" i="50"/>
  <c r="V8" i="50"/>
  <c r="AD8" i="50"/>
  <c r="T8" i="50"/>
  <c r="X8" i="50"/>
  <c r="AF429" i="50"/>
  <c r="AF491" i="50"/>
  <c r="AF351" i="50"/>
  <c r="AF295" i="50"/>
  <c r="AF99" i="50"/>
  <c r="AB15" i="50"/>
  <c r="AB730" i="50" s="1"/>
  <c r="V15" i="50"/>
  <c r="V730" i="50" s="1"/>
  <c r="Z15" i="50"/>
  <c r="Z730" i="50" s="1"/>
  <c r="AD15" i="50"/>
  <c r="AD730" i="50" s="1"/>
  <c r="T15" i="50"/>
  <c r="T730" i="50" s="1"/>
  <c r="X15" i="50"/>
  <c r="X730" i="50" s="1"/>
  <c r="T2010" i="50"/>
  <c r="AI186" i="49"/>
  <c r="AI199" i="49"/>
  <c r="R416" i="50"/>
  <c r="Y210" i="49"/>
  <c r="R2086" i="50"/>
  <c r="AF1868" i="50"/>
  <c r="AX91" i="49"/>
  <c r="J1250" i="50" s="1"/>
  <c r="R1847" i="50"/>
  <c r="R1841" i="50"/>
  <c r="Y82" i="48"/>
  <c r="L615" i="50"/>
  <c r="J615" i="50"/>
  <c r="P615" i="50"/>
  <c r="N615" i="50"/>
  <c r="F615" i="50"/>
  <c r="H615" i="50"/>
  <c r="L664" i="50"/>
  <c r="J664" i="50"/>
  <c r="P664" i="50"/>
  <c r="N664" i="50"/>
  <c r="F664" i="50"/>
  <c r="H664" i="50"/>
  <c r="L643" i="50"/>
  <c r="J643" i="50"/>
  <c r="P643" i="50"/>
  <c r="N643" i="50"/>
  <c r="F643" i="50"/>
  <c r="H643" i="50"/>
  <c r="L692" i="50"/>
  <c r="L1407" i="50" s="1"/>
  <c r="J692" i="50"/>
  <c r="J1407" i="50" s="1"/>
  <c r="P692" i="50"/>
  <c r="P1407" i="50" s="1"/>
  <c r="N692" i="50"/>
  <c r="N1407" i="50" s="1"/>
  <c r="F692" i="50"/>
  <c r="F1407" i="50" s="1"/>
  <c r="H692" i="50"/>
  <c r="H1407" i="50" s="1"/>
  <c r="L559" i="50"/>
  <c r="J559" i="50"/>
  <c r="P559" i="50"/>
  <c r="N559" i="50"/>
  <c r="F559" i="50"/>
  <c r="H559" i="50"/>
  <c r="L524" i="50"/>
  <c r="J524" i="50"/>
  <c r="P524" i="50"/>
  <c r="N524" i="50"/>
  <c r="F524" i="50"/>
  <c r="H524" i="50"/>
  <c r="L517" i="50"/>
  <c r="J517" i="50"/>
  <c r="P517" i="50"/>
  <c r="N517" i="50"/>
  <c r="F517" i="50"/>
  <c r="H517" i="50"/>
  <c r="AB77" i="50"/>
  <c r="AB792" i="50" s="1"/>
  <c r="Z77" i="50"/>
  <c r="V77" i="50"/>
  <c r="V792" i="50" s="1"/>
  <c r="AD77" i="50"/>
  <c r="T77" i="50"/>
  <c r="T792" i="50" s="1"/>
  <c r="X77" i="50"/>
  <c r="L580" i="50"/>
  <c r="J580" i="50"/>
  <c r="P580" i="50"/>
  <c r="N580" i="50"/>
  <c r="F580" i="50"/>
  <c r="H580" i="50"/>
  <c r="AB132" i="50"/>
  <c r="Z132" i="50"/>
  <c r="V132" i="50"/>
  <c r="AD132" i="50"/>
  <c r="T132" i="50"/>
  <c r="X132" i="50"/>
  <c r="Z174" i="50"/>
  <c r="X174" i="50"/>
  <c r="AB503" i="50"/>
  <c r="Z503" i="50"/>
  <c r="V503" i="50"/>
  <c r="AD503" i="50"/>
  <c r="T503" i="50"/>
  <c r="X503" i="50"/>
  <c r="AB238" i="50"/>
  <c r="AB953" i="50" s="1"/>
  <c r="Z238" i="50"/>
  <c r="Z953" i="50" s="1"/>
  <c r="V238" i="50"/>
  <c r="V953" i="50" s="1"/>
  <c r="AD238" i="50"/>
  <c r="AD953" i="50" s="1"/>
  <c r="T238" i="50"/>
  <c r="T953" i="50" s="1"/>
  <c r="X238" i="50"/>
  <c r="X953" i="50" s="1"/>
  <c r="AB468" i="50"/>
  <c r="Z468" i="50"/>
  <c r="V468" i="50"/>
  <c r="T468" i="50"/>
  <c r="AD468" i="50"/>
  <c r="X468" i="50"/>
  <c r="AB231" i="50"/>
  <c r="AB946" i="50" s="1"/>
  <c r="V231" i="50"/>
  <c r="V946" i="50" s="1"/>
  <c r="Z231" i="50"/>
  <c r="Z946" i="50" s="1"/>
  <c r="T231" i="50"/>
  <c r="T946" i="50" s="1"/>
  <c r="AD231" i="50"/>
  <c r="AD946" i="50" s="1"/>
  <c r="X231" i="50"/>
  <c r="X946" i="50" s="1"/>
  <c r="AB517" i="50"/>
  <c r="Z517" i="50"/>
  <c r="V517" i="50"/>
  <c r="AD517" i="50"/>
  <c r="T517" i="50"/>
  <c r="X517" i="50"/>
  <c r="AB14" i="50"/>
  <c r="Z14" i="50"/>
  <c r="V14" i="50"/>
  <c r="AD14" i="50"/>
  <c r="T14" i="50"/>
  <c r="X14" i="50"/>
  <c r="AB511" i="50"/>
  <c r="AB1226" i="50" s="1"/>
  <c r="V511" i="50"/>
  <c r="V1226" i="50" s="1"/>
  <c r="Z511" i="50"/>
  <c r="Z1226" i="50" s="1"/>
  <c r="AD511" i="50"/>
  <c r="AD1226" i="50" s="1"/>
  <c r="T511" i="50"/>
  <c r="T1226" i="50" s="1"/>
  <c r="X511" i="50"/>
  <c r="X1226" i="50" s="1"/>
  <c r="AB133" i="50"/>
  <c r="AB848" i="50" s="1"/>
  <c r="V133" i="50"/>
  <c r="V848" i="50" s="1"/>
  <c r="AD133" i="50"/>
  <c r="AD848" i="50" s="1"/>
  <c r="Z133" i="50"/>
  <c r="Z848" i="50" s="1"/>
  <c r="T133" i="50"/>
  <c r="T848" i="50" s="1"/>
  <c r="X133" i="50"/>
  <c r="X848" i="50" s="1"/>
  <c r="AB41" i="50"/>
  <c r="V41" i="50"/>
  <c r="Z41" i="50"/>
  <c r="AD41" i="50"/>
  <c r="T41" i="50"/>
  <c r="X41" i="50"/>
  <c r="AB553" i="50"/>
  <c r="AB1268" i="50" s="1"/>
  <c r="V553" i="50"/>
  <c r="V1268" i="50" s="1"/>
  <c r="Z553" i="50"/>
  <c r="Z1268" i="50" s="1"/>
  <c r="AD553" i="50"/>
  <c r="AD1268" i="50" s="1"/>
  <c r="T553" i="50"/>
  <c r="T1268" i="50" s="1"/>
  <c r="X553" i="50"/>
  <c r="X1268" i="50" s="1"/>
  <c r="AB630" i="50"/>
  <c r="AB1345" i="50" s="1"/>
  <c r="V630" i="50"/>
  <c r="V1345" i="50" s="1"/>
  <c r="Z630" i="50"/>
  <c r="Z1345" i="50" s="1"/>
  <c r="AD630" i="50"/>
  <c r="AD1345" i="50" s="1"/>
  <c r="T630" i="50"/>
  <c r="T1345" i="50" s="1"/>
  <c r="X630" i="50"/>
  <c r="X1345" i="50" s="1"/>
  <c r="AB693" i="50"/>
  <c r="AB1408" i="50" s="1"/>
  <c r="V693" i="50"/>
  <c r="V1408" i="50" s="1"/>
  <c r="Z693" i="50"/>
  <c r="Z1408" i="50" s="1"/>
  <c r="AD693" i="50"/>
  <c r="AD1408" i="50" s="1"/>
  <c r="T693" i="50"/>
  <c r="T1408" i="50" s="1"/>
  <c r="X693" i="50"/>
  <c r="X1408" i="50" s="1"/>
  <c r="L20" i="50"/>
  <c r="N20" i="50"/>
  <c r="P20" i="50"/>
  <c r="F20" i="50"/>
  <c r="H20" i="50"/>
  <c r="L48" i="50"/>
  <c r="J48" i="50"/>
  <c r="N48" i="50"/>
  <c r="P48" i="50"/>
  <c r="F48" i="50"/>
  <c r="H48" i="50"/>
  <c r="L405" i="50"/>
  <c r="J405" i="50"/>
  <c r="P405" i="50"/>
  <c r="N405" i="50"/>
  <c r="F405" i="50"/>
  <c r="H405" i="50"/>
  <c r="J231" i="50"/>
  <c r="J946" i="50" s="1"/>
  <c r="L231" i="50"/>
  <c r="L946" i="50" s="1"/>
  <c r="P231" i="50"/>
  <c r="P946" i="50" s="1"/>
  <c r="N231" i="50"/>
  <c r="N946" i="50" s="1"/>
  <c r="F231" i="50"/>
  <c r="H231" i="50"/>
  <c r="H946" i="50" s="1"/>
  <c r="L224" i="50"/>
  <c r="L939" i="50" s="1"/>
  <c r="J224" i="50"/>
  <c r="J939" i="50" s="1"/>
  <c r="P224" i="50"/>
  <c r="P939" i="50" s="1"/>
  <c r="N224" i="50"/>
  <c r="N939" i="50" s="1"/>
  <c r="H224" i="50"/>
  <c r="H939" i="50" s="1"/>
  <c r="F224" i="50"/>
  <c r="AB13" i="50"/>
  <c r="Z13" i="50"/>
  <c r="V13" i="50"/>
  <c r="AD13" i="50"/>
  <c r="T13" i="50"/>
  <c r="X13" i="50"/>
  <c r="AB90" i="50"/>
  <c r="Z90" i="50"/>
  <c r="V90" i="50"/>
  <c r="AD90" i="50"/>
  <c r="T90" i="50"/>
  <c r="X90" i="50"/>
  <c r="AB531" i="50"/>
  <c r="Z531" i="50"/>
  <c r="V531" i="50"/>
  <c r="AD531" i="50"/>
  <c r="T531" i="50"/>
  <c r="X531" i="50"/>
  <c r="AB384" i="50"/>
  <c r="Z384" i="50"/>
  <c r="V384" i="50"/>
  <c r="AD384" i="50"/>
  <c r="T384" i="50"/>
  <c r="X384" i="50"/>
  <c r="AB147" i="50"/>
  <c r="AB862" i="50" s="1"/>
  <c r="V147" i="50"/>
  <c r="V862" i="50" s="1"/>
  <c r="T147" i="50"/>
  <c r="T862" i="50" s="1"/>
  <c r="Z147" i="50"/>
  <c r="Z862" i="50" s="1"/>
  <c r="AD147" i="50"/>
  <c r="AD862" i="50" s="1"/>
  <c r="X147" i="50"/>
  <c r="X862" i="50" s="1"/>
  <c r="AB433" i="50"/>
  <c r="Z433" i="50"/>
  <c r="V433" i="50"/>
  <c r="AD433" i="50"/>
  <c r="T433" i="50"/>
  <c r="X433" i="50"/>
  <c r="AB161" i="50"/>
  <c r="AB876" i="50" s="1"/>
  <c r="V161" i="50"/>
  <c r="V876" i="50" s="1"/>
  <c r="Z161" i="50"/>
  <c r="Z876" i="50" s="1"/>
  <c r="T161" i="50"/>
  <c r="T876" i="50" s="1"/>
  <c r="AD161" i="50"/>
  <c r="AD876" i="50" s="1"/>
  <c r="X161" i="50"/>
  <c r="X876" i="50" s="1"/>
  <c r="AB644" i="50"/>
  <c r="AB1359" i="50" s="1"/>
  <c r="V644" i="50"/>
  <c r="V1359" i="50" s="1"/>
  <c r="Z644" i="50"/>
  <c r="Z1359" i="50" s="1"/>
  <c r="AD644" i="50"/>
  <c r="AD1359" i="50" s="1"/>
  <c r="T644" i="50"/>
  <c r="T1359" i="50" s="1"/>
  <c r="X644" i="50"/>
  <c r="X1359" i="50" s="1"/>
  <c r="AB455" i="50"/>
  <c r="AB1170" i="50" s="1"/>
  <c r="V455" i="50"/>
  <c r="V1170" i="50" s="1"/>
  <c r="Z455" i="50"/>
  <c r="Z1170" i="50" s="1"/>
  <c r="AD455" i="50"/>
  <c r="AD1170" i="50" s="1"/>
  <c r="T455" i="50"/>
  <c r="T1170" i="50" s="1"/>
  <c r="X455" i="50"/>
  <c r="X1170" i="50" s="1"/>
  <c r="L6" i="50"/>
  <c r="J6" i="50"/>
  <c r="P6" i="50"/>
  <c r="N6" i="50"/>
  <c r="F6" i="50"/>
  <c r="H6" i="50"/>
  <c r="L245" i="50"/>
  <c r="L960" i="50" s="1"/>
  <c r="J245" i="50"/>
  <c r="J960" i="50" s="1"/>
  <c r="P245" i="50"/>
  <c r="P960" i="50" s="1"/>
  <c r="N245" i="50"/>
  <c r="N960" i="50" s="1"/>
  <c r="F245" i="50"/>
  <c r="H245" i="50"/>
  <c r="H960" i="50" s="1"/>
  <c r="L307" i="50"/>
  <c r="J307" i="50"/>
  <c r="P307" i="50"/>
  <c r="N307" i="50"/>
  <c r="F307" i="50"/>
  <c r="H307" i="50"/>
  <c r="L210" i="50"/>
  <c r="L925" i="50" s="1"/>
  <c r="J210" i="50"/>
  <c r="J925" i="50" s="1"/>
  <c r="P210" i="50"/>
  <c r="P925" i="50" s="1"/>
  <c r="N210" i="50"/>
  <c r="N925" i="50" s="1"/>
  <c r="H210" i="50"/>
  <c r="H925" i="50" s="1"/>
  <c r="F210" i="50"/>
  <c r="L216" i="50"/>
  <c r="J216" i="50"/>
  <c r="P216" i="50"/>
  <c r="N216" i="50"/>
  <c r="F216" i="50"/>
  <c r="H216" i="50"/>
  <c r="L293" i="50"/>
  <c r="J293" i="50"/>
  <c r="P293" i="50"/>
  <c r="N293" i="50"/>
  <c r="F293" i="50"/>
  <c r="H293" i="50"/>
  <c r="L168" i="50"/>
  <c r="L883" i="50" s="1"/>
  <c r="J168" i="50"/>
  <c r="J883" i="50" s="1"/>
  <c r="P168" i="50"/>
  <c r="P883" i="50" s="1"/>
  <c r="N168" i="50"/>
  <c r="N883" i="50" s="1"/>
  <c r="H168" i="50"/>
  <c r="H883" i="50" s="1"/>
  <c r="F168" i="50"/>
  <c r="AB76" i="50"/>
  <c r="Z76" i="50"/>
  <c r="V76" i="50"/>
  <c r="AD76" i="50"/>
  <c r="T76" i="50"/>
  <c r="X76" i="50"/>
  <c r="V237" i="50"/>
  <c r="AB447" i="50"/>
  <c r="Z447" i="50"/>
  <c r="V447" i="50"/>
  <c r="AD447" i="50"/>
  <c r="T447" i="50"/>
  <c r="X447" i="50"/>
  <c r="AB182" i="50"/>
  <c r="AB897" i="50" s="1"/>
  <c r="Z182" i="50"/>
  <c r="Z897" i="50" s="1"/>
  <c r="V182" i="50"/>
  <c r="V897" i="50" s="1"/>
  <c r="AD182" i="50"/>
  <c r="AD897" i="50" s="1"/>
  <c r="T182" i="50"/>
  <c r="T897" i="50" s="1"/>
  <c r="X182" i="50"/>
  <c r="X897" i="50" s="1"/>
  <c r="AB412" i="50"/>
  <c r="Z412" i="50"/>
  <c r="V412" i="50"/>
  <c r="T412" i="50"/>
  <c r="AD412" i="50"/>
  <c r="X412" i="50"/>
  <c r="AB175" i="50"/>
  <c r="AB890" i="50" s="1"/>
  <c r="V175" i="50"/>
  <c r="V890" i="50" s="1"/>
  <c r="Z175" i="50"/>
  <c r="Z890" i="50" s="1"/>
  <c r="T175" i="50"/>
  <c r="T890" i="50" s="1"/>
  <c r="AD175" i="50"/>
  <c r="AD890" i="50" s="1"/>
  <c r="X175" i="50"/>
  <c r="X890" i="50" s="1"/>
  <c r="AB349" i="50"/>
  <c r="Z349" i="50"/>
  <c r="V349" i="50"/>
  <c r="AD349" i="50"/>
  <c r="X349" i="50"/>
  <c r="AB112" i="50"/>
  <c r="AB827" i="50" s="1"/>
  <c r="Z112" i="50"/>
  <c r="Z827" i="50" s="1"/>
  <c r="V112" i="50"/>
  <c r="V827" i="50" s="1"/>
  <c r="AD112" i="50"/>
  <c r="AD827" i="50" s="1"/>
  <c r="T112" i="50"/>
  <c r="T827" i="50" s="1"/>
  <c r="X112" i="50"/>
  <c r="X827" i="50" s="1"/>
  <c r="AB413" i="50"/>
  <c r="AB1128" i="50" s="1"/>
  <c r="V413" i="50"/>
  <c r="V1128" i="50" s="1"/>
  <c r="Z413" i="50"/>
  <c r="Z1128" i="50" s="1"/>
  <c r="AD413" i="50"/>
  <c r="AD1128" i="50" s="1"/>
  <c r="T413" i="50"/>
  <c r="T1128" i="50" s="1"/>
  <c r="X413" i="50"/>
  <c r="X1128" i="50" s="1"/>
  <c r="AB686" i="50"/>
  <c r="AB1401" i="50" s="1"/>
  <c r="V686" i="50"/>
  <c r="V1401" i="50" s="1"/>
  <c r="Z686" i="50"/>
  <c r="Z1401" i="50" s="1"/>
  <c r="AD686" i="50"/>
  <c r="AD1401" i="50" s="1"/>
  <c r="T686" i="50"/>
  <c r="T1401" i="50" s="1"/>
  <c r="X686" i="50"/>
  <c r="X1401" i="50" s="1"/>
  <c r="AB434" i="50"/>
  <c r="AB1149" i="50" s="1"/>
  <c r="Z434" i="50"/>
  <c r="Z1149" i="50" s="1"/>
  <c r="V434" i="50"/>
  <c r="V1149" i="50" s="1"/>
  <c r="AD434" i="50"/>
  <c r="AD1149" i="50" s="1"/>
  <c r="T434" i="50"/>
  <c r="T1149" i="50" s="1"/>
  <c r="X434" i="50"/>
  <c r="X1149" i="50" s="1"/>
  <c r="AB679" i="50"/>
  <c r="AB1394" i="50" s="1"/>
  <c r="V679" i="50"/>
  <c r="V1394" i="50" s="1"/>
  <c r="Z679" i="50"/>
  <c r="Z1394" i="50" s="1"/>
  <c r="AD679" i="50"/>
  <c r="AD1394" i="50" s="1"/>
  <c r="T679" i="50"/>
  <c r="T1394" i="50" s="1"/>
  <c r="X679" i="50"/>
  <c r="X1394" i="50" s="1"/>
  <c r="L27" i="50"/>
  <c r="J27" i="50"/>
  <c r="P27" i="50"/>
  <c r="F27" i="50"/>
  <c r="N27" i="50"/>
  <c r="H27" i="50"/>
  <c r="L356" i="50"/>
  <c r="J356" i="50"/>
  <c r="P356" i="50"/>
  <c r="N356" i="50"/>
  <c r="F356" i="50"/>
  <c r="H356" i="50"/>
  <c r="L385" i="50"/>
  <c r="L1100" i="50" s="1"/>
  <c r="J385" i="50"/>
  <c r="J1100" i="50" s="1"/>
  <c r="P385" i="50"/>
  <c r="P1100" i="50" s="1"/>
  <c r="N385" i="50"/>
  <c r="N1100" i="50" s="1"/>
  <c r="F385" i="50"/>
  <c r="H385" i="50"/>
  <c r="H1100" i="50" s="1"/>
  <c r="L21" i="50"/>
  <c r="J21" i="50"/>
  <c r="P21" i="50"/>
  <c r="N21" i="50"/>
  <c r="F21" i="50"/>
  <c r="H21" i="50"/>
  <c r="L132" i="50"/>
  <c r="J132" i="50"/>
  <c r="N132" i="50"/>
  <c r="P132" i="50"/>
  <c r="F132" i="50"/>
  <c r="H132" i="50"/>
  <c r="L175" i="50"/>
  <c r="L890" i="50" s="1"/>
  <c r="J175" i="50"/>
  <c r="J890" i="50" s="1"/>
  <c r="P175" i="50"/>
  <c r="P890" i="50" s="1"/>
  <c r="N175" i="50"/>
  <c r="N890" i="50" s="1"/>
  <c r="F175" i="50"/>
  <c r="H175" i="50"/>
  <c r="H890" i="50" s="1"/>
  <c r="L335" i="50"/>
  <c r="J335" i="50"/>
  <c r="P335" i="50"/>
  <c r="N335" i="50"/>
  <c r="F335" i="50"/>
  <c r="H335" i="50"/>
  <c r="L280" i="50"/>
  <c r="L995" i="50" s="1"/>
  <c r="J280" i="50"/>
  <c r="J995" i="50" s="1"/>
  <c r="P280" i="50"/>
  <c r="P995" i="50" s="1"/>
  <c r="N280" i="50"/>
  <c r="N995" i="50" s="1"/>
  <c r="H280" i="50"/>
  <c r="H995" i="50" s="1"/>
  <c r="F280" i="50"/>
  <c r="AB153" i="50"/>
  <c r="Z153" i="50"/>
  <c r="V153" i="50"/>
  <c r="AD153" i="50"/>
  <c r="T153" i="50"/>
  <c r="X153" i="50"/>
  <c r="AB363" i="50"/>
  <c r="Z363" i="50"/>
  <c r="V363" i="50"/>
  <c r="AD363" i="50"/>
  <c r="T363" i="50"/>
  <c r="X363" i="50"/>
  <c r="AB98" i="50"/>
  <c r="AB813" i="50" s="1"/>
  <c r="Z98" i="50"/>
  <c r="Z813" i="50" s="1"/>
  <c r="V98" i="50"/>
  <c r="V813" i="50" s="1"/>
  <c r="T98" i="50"/>
  <c r="T813" i="50" s="1"/>
  <c r="AD98" i="50"/>
  <c r="AD813" i="50" s="1"/>
  <c r="X98" i="50"/>
  <c r="X813" i="50" s="1"/>
  <c r="AB328" i="50"/>
  <c r="Z328" i="50"/>
  <c r="V328" i="50"/>
  <c r="T328" i="50"/>
  <c r="AD328" i="50"/>
  <c r="X328" i="50"/>
  <c r="AB91" i="50"/>
  <c r="AB806" i="50" s="1"/>
  <c r="V91" i="50"/>
  <c r="V806" i="50" s="1"/>
  <c r="AD91" i="50"/>
  <c r="AD806" i="50" s="1"/>
  <c r="T91" i="50"/>
  <c r="T806" i="50" s="1"/>
  <c r="Z91" i="50"/>
  <c r="Z806" i="50" s="1"/>
  <c r="X91" i="50"/>
  <c r="X806" i="50" s="1"/>
  <c r="AB377" i="50"/>
  <c r="Z377" i="50"/>
  <c r="V377" i="50"/>
  <c r="AD377" i="50"/>
  <c r="T377" i="50"/>
  <c r="X377" i="50"/>
  <c r="AB140" i="50"/>
  <c r="AB855" i="50" s="1"/>
  <c r="Z140" i="50"/>
  <c r="Z855" i="50" s="1"/>
  <c r="V140" i="50"/>
  <c r="V855" i="50" s="1"/>
  <c r="AD140" i="50"/>
  <c r="AD855" i="50" s="1"/>
  <c r="T140" i="50"/>
  <c r="T855" i="50" s="1"/>
  <c r="X140" i="50"/>
  <c r="X855" i="50" s="1"/>
  <c r="AB168" i="50"/>
  <c r="AB883" i="50" s="1"/>
  <c r="Z168" i="50"/>
  <c r="Z883" i="50" s="1"/>
  <c r="V168" i="50"/>
  <c r="V883" i="50" s="1"/>
  <c r="AD168" i="50"/>
  <c r="AD883" i="50" s="1"/>
  <c r="T168" i="50"/>
  <c r="T883" i="50" s="1"/>
  <c r="X168" i="50"/>
  <c r="X883" i="50" s="1"/>
  <c r="AB510" i="50"/>
  <c r="Z510" i="50"/>
  <c r="V510" i="50"/>
  <c r="T510" i="50"/>
  <c r="AD510" i="50"/>
  <c r="X510" i="50"/>
  <c r="AB490" i="50"/>
  <c r="AB1205" i="50" s="1"/>
  <c r="V490" i="50"/>
  <c r="V1205" i="50" s="1"/>
  <c r="Z490" i="50"/>
  <c r="Z1205" i="50" s="1"/>
  <c r="AD490" i="50"/>
  <c r="AD1205" i="50" s="1"/>
  <c r="T490" i="50"/>
  <c r="T1205" i="50" s="1"/>
  <c r="X490" i="50"/>
  <c r="X1205" i="50" s="1"/>
  <c r="AB399" i="50"/>
  <c r="AB1114" i="50" s="1"/>
  <c r="V399" i="50"/>
  <c r="V1114" i="50" s="1"/>
  <c r="Z399" i="50"/>
  <c r="Z1114" i="50" s="1"/>
  <c r="AD399" i="50"/>
  <c r="AD1114" i="50" s="1"/>
  <c r="T399" i="50"/>
  <c r="T1114" i="50" s="1"/>
  <c r="X399" i="50"/>
  <c r="X1114" i="50" s="1"/>
  <c r="L77" i="50"/>
  <c r="L792" i="50" s="1"/>
  <c r="J77" i="50"/>
  <c r="J792" i="50" s="1"/>
  <c r="P77" i="50"/>
  <c r="P792" i="50" s="1"/>
  <c r="N77" i="50"/>
  <c r="N792" i="50" s="1"/>
  <c r="F77" i="50"/>
  <c r="H77" i="50"/>
  <c r="H792" i="50" s="1"/>
  <c r="L139" i="50"/>
  <c r="J139" i="50"/>
  <c r="P139" i="50"/>
  <c r="N139" i="50"/>
  <c r="F139" i="50"/>
  <c r="H139" i="50"/>
  <c r="L154" i="50"/>
  <c r="L869" i="50" s="1"/>
  <c r="J154" i="50"/>
  <c r="J869" i="50" s="1"/>
  <c r="P154" i="50"/>
  <c r="P869" i="50" s="1"/>
  <c r="N154" i="50"/>
  <c r="N869" i="50" s="1"/>
  <c r="H154" i="50"/>
  <c r="H869" i="50" s="1"/>
  <c r="F154" i="50"/>
  <c r="L160" i="50"/>
  <c r="J160" i="50"/>
  <c r="N160" i="50"/>
  <c r="P160" i="50"/>
  <c r="F160" i="50"/>
  <c r="H160" i="50"/>
  <c r="J203" i="50"/>
  <c r="J918" i="50" s="1"/>
  <c r="L203" i="50"/>
  <c r="L918" i="50" s="1"/>
  <c r="P203" i="50"/>
  <c r="P918" i="50" s="1"/>
  <c r="N203" i="50"/>
  <c r="N918" i="50" s="1"/>
  <c r="F203" i="50"/>
  <c r="H203" i="50"/>
  <c r="H918" i="50" s="1"/>
  <c r="L69" i="50"/>
  <c r="J69" i="50"/>
  <c r="P69" i="50"/>
  <c r="F69" i="50"/>
  <c r="N69" i="50"/>
  <c r="H69" i="50"/>
  <c r="L392" i="50"/>
  <c r="L1107" i="50" s="1"/>
  <c r="J392" i="50"/>
  <c r="J1107" i="50" s="1"/>
  <c r="P392" i="50"/>
  <c r="P1107" i="50" s="1"/>
  <c r="N392" i="50"/>
  <c r="N1107" i="50" s="1"/>
  <c r="H392" i="50"/>
  <c r="H1107" i="50" s="1"/>
  <c r="F392" i="50"/>
  <c r="N2724" i="50"/>
  <c r="N2319" i="50"/>
  <c r="N2723" i="50"/>
  <c r="P366" i="50"/>
  <c r="P1081" i="50" s="1"/>
  <c r="L296" i="50"/>
  <c r="J296" i="50"/>
  <c r="P296" i="50"/>
  <c r="N296" i="50"/>
  <c r="F296" i="50"/>
  <c r="H296" i="50"/>
  <c r="L240" i="50"/>
  <c r="L955" i="50" s="1"/>
  <c r="J240" i="50"/>
  <c r="J955" i="50" s="1"/>
  <c r="P240" i="50"/>
  <c r="P955" i="50" s="1"/>
  <c r="N240" i="50"/>
  <c r="N955" i="50" s="1"/>
  <c r="F240" i="50"/>
  <c r="H240" i="50"/>
  <c r="H955" i="50" s="1"/>
  <c r="L177" i="50"/>
  <c r="L892" i="50" s="1"/>
  <c r="J177" i="50"/>
  <c r="J892" i="50" s="1"/>
  <c r="P177" i="50"/>
  <c r="P892" i="50" s="1"/>
  <c r="N177" i="50"/>
  <c r="N892" i="50" s="1"/>
  <c r="F177" i="50"/>
  <c r="H177" i="50"/>
  <c r="H892" i="50" s="1"/>
  <c r="L121" i="50"/>
  <c r="J121" i="50"/>
  <c r="P121" i="50"/>
  <c r="N121" i="50"/>
  <c r="F121" i="50"/>
  <c r="H121" i="50"/>
  <c r="L470" i="50"/>
  <c r="L1185" i="50" s="1"/>
  <c r="J470" i="50"/>
  <c r="J1185" i="50" s="1"/>
  <c r="P470" i="50"/>
  <c r="P1185" i="50" s="1"/>
  <c r="N470" i="50"/>
  <c r="N1185" i="50" s="1"/>
  <c r="H470" i="50"/>
  <c r="H1185" i="50" s="1"/>
  <c r="F470" i="50"/>
  <c r="L463" i="50"/>
  <c r="L1178" i="50" s="1"/>
  <c r="J463" i="50"/>
  <c r="J1178" i="50" s="1"/>
  <c r="P463" i="50"/>
  <c r="P1178" i="50" s="1"/>
  <c r="N463" i="50"/>
  <c r="N1178" i="50" s="1"/>
  <c r="F463" i="50"/>
  <c r="H463" i="50"/>
  <c r="H1178" i="50" s="1"/>
  <c r="L239" i="50"/>
  <c r="L954" i="50" s="1"/>
  <c r="J239" i="50"/>
  <c r="J954" i="50" s="1"/>
  <c r="P239" i="50"/>
  <c r="P954" i="50" s="1"/>
  <c r="N239" i="50"/>
  <c r="N954" i="50" s="1"/>
  <c r="F239" i="50"/>
  <c r="H239" i="50"/>
  <c r="H954" i="50" s="1"/>
  <c r="L15" i="50"/>
  <c r="L730" i="50" s="1"/>
  <c r="J15" i="50"/>
  <c r="J730" i="50" s="1"/>
  <c r="P15" i="50"/>
  <c r="P730" i="50" s="1"/>
  <c r="N15" i="50"/>
  <c r="N730" i="50" s="1"/>
  <c r="F15" i="50"/>
  <c r="H15" i="50"/>
  <c r="H730" i="50" s="1"/>
  <c r="L35" i="50"/>
  <c r="L750" i="50" s="1"/>
  <c r="J35" i="50"/>
  <c r="J750" i="50" s="1"/>
  <c r="P35" i="50"/>
  <c r="P750" i="50" s="1"/>
  <c r="N35" i="50"/>
  <c r="N750" i="50" s="1"/>
  <c r="F35" i="50"/>
  <c r="H35" i="50"/>
  <c r="H750" i="50" s="1"/>
  <c r="L142" i="50"/>
  <c r="J142" i="50"/>
  <c r="P142" i="50"/>
  <c r="N142" i="50"/>
  <c r="F142" i="50"/>
  <c r="H142" i="50"/>
  <c r="L86" i="50"/>
  <c r="L801" i="50" s="1"/>
  <c r="J86" i="50"/>
  <c r="J801" i="50" s="1"/>
  <c r="P86" i="50"/>
  <c r="P801" i="50" s="1"/>
  <c r="N86" i="50"/>
  <c r="N801" i="50" s="1"/>
  <c r="F86" i="50"/>
  <c r="H86" i="50"/>
  <c r="H801" i="50" s="1"/>
  <c r="N548" i="50"/>
  <c r="N1263" i="50" s="1"/>
  <c r="L624" i="50"/>
  <c r="L1339" i="50" s="1"/>
  <c r="J624" i="50"/>
  <c r="J1339" i="50" s="1"/>
  <c r="P624" i="50"/>
  <c r="P1339" i="50" s="1"/>
  <c r="N624" i="50"/>
  <c r="N1339" i="50" s="1"/>
  <c r="F624" i="50"/>
  <c r="F1339" i="50" s="1"/>
  <c r="H624" i="50"/>
  <c r="H1339" i="50" s="1"/>
  <c r="L14" i="50"/>
  <c r="L729" i="50" s="1"/>
  <c r="J14" i="50"/>
  <c r="J729" i="50" s="1"/>
  <c r="P14" i="50"/>
  <c r="N14" i="50"/>
  <c r="N729" i="50" s="1"/>
  <c r="F14" i="50"/>
  <c r="H14" i="50"/>
  <c r="H729" i="50" s="1"/>
  <c r="L471" i="50"/>
  <c r="L1186" i="50" s="1"/>
  <c r="J471" i="50"/>
  <c r="J1186" i="50" s="1"/>
  <c r="P471" i="50"/>
  <c r="P1186" i="50" s="1"/>
  <c r="N471" i="50"/>
  <c r="N1186" i="50" s="1"/>
  <c r="F471" i="50"/>
  <c r="H471" i="50"/>
  <c r="H1186" i="50" s="1"/>
  <c r="L338" i="50"/>
  <c r="L1053" i="50" s="1"/>
  <c r="J338" i="50"/>
  <c r="J1053" i="50" s="1"/>
  <c r="P338" i="50"/>
  <c r="P1053" i="50" s="1"/>
  <c r="N338" i="50"/>
  <c r="N1053" i="50" s="1"/>
  <c r="F338" i="50"/>
  <c r="H338" i="50"/>
  <c r="H1053" i="50" s="1"/>
  <c r="J660" i="50"/>
  <c r="J1375" i="50" s="1"/>
  <c r="L660" i="50"/>
  <c r="L1375" i="50" s="1"/>
  <c r="P660" i="50"/>
  <c r="P1375" i="50" s="1"/>
  <c r="N660" i="50"/>
  <c r="N1375" i="50" s="1"/>
  <c r="F660" i="50"/>
  <c r="F1375" i="50" s="1"/>
  <c r="H660" i="50"/>
  <c r="H1375" i="50" s="1"/>
  <c r="L583" i="50"/>
  <c r="J583" i="50"/>
  <c r="P583" i="50"/>
  <c r="P1298" i="50" s="1"/>
  <c r="N583" i="50"/>
  <c r="F583" i="50"/>
  <c r="H583" i="50"/>
  <c r="L527" i="50"/>
  <c r="L1242" i="50" s="1"/>
  <c r="J527" i="50"/>
  <c r="J1242" i="50" s="1"/>
  <c r="P527" i="50"/>
  <c r="P1242" i="50" s="1"/>
  <c r="N527" i="50"/>
  <c r="N1242" i="50" s="1"/>
  <c r="F527" i="50"/>
  <c r="F1242" i="50" s="1"/>
  <c r="H527" i="50"/>
  <c r="H1242" i="50" s="1"/>
  <c r="J450" i="50"/>
  <c r="J1165" i="50" s="1"/>
  <c r="L687" i="50"/>
  <c r="L1402" i="50" s="1"/>
  <c r="J687" i="50"/>
  <c r="J1402" i="50" s="1"/>
  <c r="P687" i="50"/>
  <c r="P1402" i="50" s="1"/>
  <c r="N687" i="50"/>
  <c r="N1402" i="50" s="1"/>
  <c r="F687" i="50"/>
  <c r="F1402" i="50" s="1"/>
  <c r="H687" i="50"/>
  <c r="H1402" i="50" s="1"/>
  <c r="L631" i="50"/>
  <c r="L1346" i="50" s="1"/>
  <c r="J631" i="50"/>
  <c r="J1346" i="50" s="1"/>
  <c r="P631" i="50"/>
  <c r="P1346" i="50" s="1"/>
  <c r="N631" i="50"/>
  <c r="N1346" i="50" s="1"/>
  <c r="F631" i="50"/>
  <c r="F1346" i="50" s="1"/>
  <c r="H631" i="50"/>
  <c r="H1346" i="50" s="1"/>
  <c r="L575" i="50"/>
  <c r="L1290" i="50" s="1"/>
  <c r="F575" i="50"/>
  <c r="F1290" i="50" s="1"/>
  <c r="L519" i="50"/>
  <c r="L1234" i="50" s="1"/>
  <c r="J519" i="50"/>
  <c r="J1234" i="50" s="1"/>
  <c r="P519" i="50"/>
  <c r="P1234" i="50" s="1"/>
  <c r="N519" i="50"/>
  <c r="N1234" i="50" s="1"/>
  <c r="F519" i="50"/>
  <c r="H519" i="50"/>
  <c r="H1234" i="50" s="1"/>
  <c r="L442" i="50"/>
  <c r="L1157" i="50" s="1"/>
  <c r="J442" i="50"/>
  <c r="J1157" i="50" s="1"/>
  <c r="P442" i="50"/>
  <c r="P1157" i="50" s="1"/>
  <c r="N442" i="50"/>
  <c r="N1157" i="50" s="1"/>
  <c r="H442" i="50"/>
  <c r="H1157" i="50" s="1"/>
  <c r="F442" i="50"/>
  <c r="L386" i="50"/>
  <c r="J386" i="50"/>
  <c r="P386" i="50"/>
  <c r="N386" i="50"/>
  <c r="H386" i="50"/>
  <c r="F386" i="50"/>
  <c r="L330" i="50"/>
  <c r="L1045" i="50" s="1"/>
  <c r="J330" i="50"/>
  <c r="J1045" i="50" s="1"/>
  <c r="P330" i="50"/>
  <c r="P1045" i="50" s="1"/>
  <c r="N330" i="50"/>
  <c r="N1045" i="50" s="1"/>
  <c r="H330" i="50"/>
  <c r="H1045" i="50" s="1"/>
  <c r="F330" i="50"/>
  <c r="L274" i="50"/>
  <c r="L989" i="50" s="1"/>
  <c r="J274" i="50"/>
  <c r="J989" i="50" s="1"/>
  <c r="P274" i="50"/>
  <c r="P989" i="50" s="1"/>
  <c r="N274" i="50"/>
  <c r="N989" i="50" s="1"/>
  <c r="H274" i="50"/>
  <c r="H989" i="50" s="1"/>
  <c r="F274" i="50"/>
  <c r="L218" i="50"/>
  <c r="L933" i="50" s="1"/>
  <c r="J218" i="50"/>
  <c r="J933" i="50" s="1"/>
  <c r="P218" i="50"/>
  <c r="P933" i="50" s="1"/>
  <c r="N218" i="50"/>
  <c r="N933" i="50" s="1"/>
  <c r="H218" i="50"/>
  <c r="H933" i="50" s="1"/>
  <c r="F218" i="50"/>
  <c r="L162" i="50"/>
  <c r="J162" i="50"/>
  <c r="P162" i="50"/>
  <c r="N162" i="50"/>
  <c r="H162" i="50"/>
  <c r="F162" i="50"/>
  <c r="L106" i="50"/>
  <c r="L821" i="50" s="1"/>
  <c r="J106" i="50"/>
  <c r="J821" i="50" s="1"/>
  <c r="P106" i="50"/>
  <c r="P821" i="50" s="1"/>
  <c r="N106" i="50"/>
  <c r="N821" i="50" s="1"/>
  <c r="H106" i="50"/>
  <c r="H821" i="50" s="1"/>
  <c r="F106" i="50"/>
  <c r="L22" i="50"/>
  <c r="L737" i="50" s="1"/>
  <c r="J22" i="50"/>
  <c r="J737" i="50" s="1"/>
  <c r="P22" i="50"/>
  <c r="P737" i="50" s="1"/>
  <c r="N22" i="50"/>
  <c r="N737" i="50" s="1"/>
  <c r="H22" i="50"/>
  <c r="H737" i="50" s="1"/>
  <c r="F22" i="50"/>
  <c r="L409" i="50"/>
  <c r="L1124" i="50" s="1"/>
  <c r="J409" i="50"/>
  <c r="J1124" i="50" s="1"/>
  <c r="P409" i="50"/>
  <c r="P1124" i="50" s="1"/>
  <c r="N409" i="50"/>
  <c r="N1124" i="50" s="1"/>
  <c r="F409" i="50"/>
  <c r="H409" i="50"/>
  <c r="H1124" i="50" s="1"/>
  <c r="L477" i="50"/>
  <c r="L1192" i="50" s="1"/>
  <c r="J477" i="50"/>
  <c r="J1192" i="50" s="1"/>
  <c r="P477" i="50"/>
  <c r="P1192" i="50" s="1"/>
  <c r="N477" i="50"/>
  <c r="N1192" i="50" s="1"/>
  <c r="F477" i="50"/>
  <c r="H477" i="50"/>
  <c r="H1192" i="50" s="1"/>
  <c r="L666" i="50"/>
  <c r="L1381" i="50" s="1"/>
  <c r="J666" i="50"/>
  <c r="J1381" i="50" s="1"/>
  <c r="P666" i="50"/>
  <c r="P1381" i="50" s="1"/>
  <c r="N666" i="50"/>
  <c r="N1381" i="50" s="1"/>
  <c r="F666" i="50"/>
  <c r="F1381" i="50" s="1"/>
  <c r="H666" i="50"/>
  <c r="H1381" i="50" s="1"/>
  <c r="J610" i="50"/>
  <c r="J1325" i="50" s="1"/>
  <c r="L610" i="50"/>
  <c r="L1325" i="50" s="1"/>
  <c r="P610" i="50"/>
  <c r="P1325" i="50" s="1"/>
  <c r="N610" i="50"/>
  <c r="N1325" i="50" s="1"/>
  <c r="F610" i="50"/>
  <c r="F1325" i="50" s="1"/>
  <c r="H610" i="50"/>
  <c r="H1325" i="50" s="1"/>
  <c r="L554" i="50"/>
  <c r="L1269" i="50" s="1"/>
  <c r="J554" i="50"/>
  <c r="J1269" i="50" s="1"/>
  <c r="P554" i="50"/>
  <c r="P1269" i="50" s="1"/>
  <c r="N554" i="50"/>
  <c r="N1269" i="50" s="1"/>
  <c r="F554" i="50"/>
  <c r="F1269" i="50" s="1"/>
  <c r="H554" i="50"/>
  <c r="H1269" i="50" s="1"/>
  <c r="J498" i="50"/>
  <c r="J1213" i="50" s="1"/>
  <c r="P498" i="50"/>
  <c r="P1213" i="50" s="1"/>
  <c r="N498" i="50"/>
  <c r="N1213" i="50" s="1"/>
  <c r="L498" i="50"/>
  <c r="L1213" i="50" s="1"/>
  <c r="F498" i="50"/>
  <c r="H498" i="50"/>
  <c r="H1213" i="50" s="1"/>
  <c r="L421" i="50"/>
  <c r="L1136" i="50" s="1"/>
  <c r="J421" i="50"/>
  <c r="J1136" i="50" s="1"/>
  <c r="P421" i="50"/>
  <c r="P1136" i="50" s="1"/>
  <c r="N421" i="50"/>
  <c r="N1136" i="50" s="1"/>
  <c r="F421" i="50"/>
  <c r="H421" i="50"/>
  <c r="H1136" i="50" s="1"/>
  <c r="J365" i="50"/>
  <c r="J1080" i="50" s="1"/>
  <c r="L365" i="50"/>
  <c r="L1080" i="50" s="1"/>
  <c r="P365" i="50"/>
  <c r="P1080" i="50" s="1"/>
  <c r="N365" i="50"/>
  <c r="N1080" i="50" s="1"/>
  <c r="F365" i="50"/>
  <c r="H365" i="50"/>
  <c r="H1080" i="50" s="1"/>
  <c r="L309" i="50"/>
  <c r="L1024" i="50" s="1"/>
  <c r="J309" i="50"/>
  <c r="J1024" i="50" s="1"/>
  <c r="P309" i="50"/>
  <c r="P1024" i="50" s="1"/>
  <c r="N309" i="50"/>
  <c r="N1024" i="50" s="1"/>
  <c r="F309" i="50"/>
  <c r="H309" i="50"/>
  <c r="H1024" i="50" s="1"/>
  <c r="J253" i="50"/>
  <c r="J968" i="50" s="1"/>
  <c r="L253" i="50"/>
  <c r="L968" i="50" s="1"/>
  <c r="P253" i="50"/>
  <c r="P968" i="50" s="1"/>
  <c r="N253" i="50"/>
  <c r="N968" i="50" s="1"/>
  <c r="F253" i="50"/>
  <c r="H253" i="50"/>
  <c r="H968" i="50" s="1"/>
  <c r="L197" i="50"/>
  <c r="L912" i="50" s="1"/>
  <c r="J197" i="50"/>
  <c r="J912" i="50" s="1"/>
  <c r="P197" i="50"/>
  <c r="P912" i="50" s="1"/>
  <c r="N197" i="50"/>
  <c r="N912" i="50" s="1"/>
  <c r="F197" i="50"/>
  <c r="H197" i="50"/>
  <c r="H912" i="50" s="1"/>
  <c r="J141" i="50"/>
  <c r="J856" i="50" s="1"/>
  <c r="L141" i="50"/>
  <c r="L856" i="50" s="1"/>
  <c r="P141" i="50"/>
  <c r="P856" i="50" s="1"/>
  <c r="N141" i="50"/>
  <c r="N856" i="50" s="1"/>
  <c r="F141" i="50"/>
  <c r="H141" i="50"/>
  <c r="H856" i="50" s="1"/>
  <c r="L85" i="50"/>
  <c r="L800" i="50" s="1"/>
  <c r="J85" i="50"/>
  <c r="J800" i="50" s="1"/>
  <c r="P85" i="50"/>
  <c r="P800" i="50" s="1"/>
  <c r="N85" i="50"/>
  <c r="N800" i="50" s="1"/>
  <c r="F85" i="50"/>
  <c r="H85" i="50"/>
  <c r="H800" i="50" s="1"/>
  <c r="AB666" i="50"/>
  <c r="AB1381" i="50" s="1"/>
  <c r="Z666" i="50"/>
  <c r="Z1381" i="50" s="1"/>
  <c r="V666" i="50"/>
  <c r="V1381" i="50" s="1"/>
  <c r="AD666" i="50"/>
  <c r="AD1381" i="50" s="1"/>
  <c r="T666" i="50"/>
  <c r="T1381" i="50" s="1"/>
  <c r="X666" i="50"/>
  <c r="X1381" i="50" s="1"/>
  <c r="L401" i="50"/>
  <c r="L1116" i="50" s="1"/>
  <c r="J401" i="50"/>
  <c r="J1116" i="50" s="1"/>
  <c r="P401" i="50"/>
  <c r="P1116" i="50" s="1"/>
  <c r="N401" i="50"/>
  <c r="N1116" i="50" s="1"/>
  <c r="F401" i="50"/>
  <c r="H401" i="50"/>
  <c r="H1116" i="50" s="1"/>
  <c r="L23" i="50"/>
  <c r="L738" i="50" s="1"/>
  <c r="J23" i="50"/>
  <c r="J738" i="50" s="1"/>
  <c r="P23" i="50"/>
  <c r="P738" i="50" s="1"/>
  <c r="N23" i="50"/>
  <c r="N738" i="50" s="1"/>
  <c r="F23" i="50"/>
  <c r="H23" i="50"/>
  <c r="H738" i="50" s="1"/>
  <c r="J674" i="50"/>
  <c r="J1389" i="50" s="1"/>
  <c r="L611" i="50"/>
  <c r="J611" i="50"/>
  <c r="P611" i="50"/>
  <c r="N611" i="50"/>
  <c r="N1326" i="50" s="1"/>
  <c r="F611" i="50"/>
  <c r="H611" i="50"/>
  <c r="L541" i="50"/>
  <c r="L1256" i="50" s="1"/>
  <c r="J541" i="50"/>
  <c r="J1256" i="50" s="1"/>
  <c r="P541" i="50"/>
  <c r="P1256" i="50" s="1"/>
  <c r="N541" i="50"/>
  <c r="N1256" i="50" s="1"/>
  <c r="F541" i="50"/>
  <c r="F1256" i="50" s="1"/>
  <c r="H541" i="50"/>
  <c r="H1256" i="50" s="1"/>
  <c r="L464" i="50"/>
  <c r="L1179" i="50" s="1"/>
  <c r="J464" i="50"/>
  <c r="J1179" i="50" s="1"/>
  <c r="P464" i="50"/>
  <c r="P1179" i="50" s="1"/>
  <c r="N464" i="50"/>
  <c r="N1179" i="50" s="1"/>
  <c r="F464" i="50"/>
  <c r="H464" i="50"/>
  <c r="H1179" i="50" s="1"/>
  <c r="F212" i="50"/>
  <c r="L148" i="50"/>
  <c r="L863" i="50" s="1"/>
  <c r="J148" i="50"/>
  <c r="J863" i="50" s="1"/>
  <c r="P148" i="50"/>
  <c r="P863" i="50" s="1"/>
  <c r="N148" i="50"/>
  <c r="N863" i="50" s="1"/>
  <c r="H148" i="50"/>
  <c r="H863" i="50" s="1"/>
  <c r="F148" i="50"/>
  <c r="L36" i="50"/>
  <c r="P36" i="50"/>
  <c r="J36" i="50"/>
  <c r="N36" i="50"/>
  <c r="H36" i="50"/>
  <c r="F36" i="50"/>
  <c r="AB115" i="50"/>
  <c r="AB830" i="50" s="1"/>
  <c r="Z115" i="50"/>
  <c r="Z830" i="50" s="1"/>
  <c r="T115" i="50"/>
  <c r="T830" i="50" s="1"/>
  <c r="AD115" i="50"/>
  <c r="AD830" i="50" s="1"/>
  <c r="V115" i="50"/>
  <c r="V830" i="50" s="1"/>
  <c r="X115" i="50"/>
  <c r="X830" i="50" s="1"/>
  <c r="AB31" i="50"/>
  <c r="AB746" i="50" s="1"/>
  <c r="Z31" i="50"/>
  <c r="Z746" i="50" s="1"/>
  <c r="T31" i="50"/>
  <c r="T746" i="50" s="1"/>
  <c r="V31" i="50"/>
  <c r="V746" i="50" s="1"/>
  <c r="AD31" i="50"/>
  <c r="AD746" i="50" s="1"/>
  <c r="X31" i="50"/>
  <c r="X746" i="50" s="1"/>
  <c r="AB52" i="50"/>
  <c r="AB767" i="50" s="1"/>
  <c r="Z52" i="50"/>
  <c r="V52" i="50"/>
  <c r="V767" i="50" s="1"/>
  <c r="AD52" i="50"/>
  <c r="T52" i="50"/>
  <c r="T767" i="50" s="1"/>
  <c r="X52" i="50"/>
  <c r="L339" i="50"/>
  <c r="L1054" i="50" s="1"/>
  <c r="J339" i="50"/>
  <c r="J1054" i="50" s="1"/>
  <c r="P339" i="50"/>
  <c r="P1054" i="50" s="1"/>
  <c r="N339" i="50"/>
  <c r="N1054" i="50" s="1"/>
  <c r="F339" i="50"/>
  <c r="H339" i="50"/>
  <c r="H1054" i="50" s="1"/>
  <c r="L318" i="50"/>
  <c r="L1033" i="50" s="1"/>
  <c r="J318" i="50"/>
  <c r="J1033" i="50" s="1"/>
  <c r="P318" i="50"/>
  <c r="P1033" i="50" s="1"/>
  <c r="N318" i="50"/>
  <c r="N1033" i="50" s="1"/>
  <c r="T318" i="50"/>
  <c r="T1033" i="50" s="1"/>
  <c r="F318" i="50"/>
  <c r="H318" i="50"/>
  <c r="H1033" i="50" s="1"/>
  <c r="L262" i="50"/>
  <c r="L977" i="50" s="1"/>
  <c r="J262" i="50"/>
  <c r="J977" i="50" s="1"/>
  <c r="P262" i="50"/>
  <c r="P977" i="50" s="1"/>
  <c r="N262" i="50"/>
  <c r="N977" i="50" s="1"/>
  <c r="F262" i="50"/>
  <c r="H262" i="50"/>
  <c r="H977" i="50" s="1"/>
  <c r="L213" i="50"/>
  <c r="L928" i="50" s="1"/>
  <c r="J213" i="50"/>
  <c r="J928" i="50" s="1"/>
  <c r="P213" i="50"/>
  <c r="P928" i="50" s="1"/>
  <c r="N213" i="50"/>
  <c r="N928" i="50" s="1"/>
  <c r="F213" i="50"/>
  <c r="H213" i="50"/>
  <c r="H928" i="50" s="1"/>
  <c r="L164" i="50"/>
  <c r="L879" i="50" s="1"/>
  <c r="J164" i="50"/>
  <c r="J879" i="50" s="1"/>
  <c r="P164" i="50"/>
  <c r="P879" i="50" s="1"/>
  <c r="N164" i="50"/>
  <c r="N879" i="50" s="1"/>
  <c r="F164" i="50"/>
  <c r="H164" i="50"/>
  <c r="H879" i="50" s="1"/>
  <c r="L150" i="50"/>
  <c r="L865" i="50" s="1"/>
  <c r="J150" i="50"/>
  <c r="J865" i="50" s="1"/>
  <c r="P150" i="50"/>
  <c r="P865" i="50" s="1"/>
  <c r="N150" i="50"/>
  <c r="N865" i="50" s="1"/>
  <c r="F150" i="50"/>
  <c r="H150" i="50"/>
  <c r="H865" i="50" s="1"/>
  <c r="L136" i="50"/>
  <c r="L851" i="50" s="1"/>
  <c r="J136" i="50"/>
  <c r="J851" i="50" s="1"/>
  <c r="P136" i="50"/>
  <c r="P851" i="50" s="1"/>
  <c r="N136" i="50"/>
  <c r="N851" i="50" s="1"/>
  <c r="F136" i="50"/>
  <c r="H136" i="50"/>
  <c r="H851" i="50" s="1"/>
  <c r="L122" i="50"/>
  <c r="L837" i="50" s="1"/>
  <c r="J122" i="50"/>
  <c r="J837" i="50" s="1"/>
  <c r="P122" i="50"/>
  <c r="P837" i="50" s="1"/>
  <c r="N122" i="50"/>
  <c r="N837" i="50" s="1"/>
  <c r="F122" i="50"/>
  <c r="H122" i="50"/>
  <c r="H837" i="50" s="1"/>
  <c r="AB10" i="50"/>
  <c r="Z10" i="50"/>
  <c r="V10" i="50"/>
  <c r="AD10" i="50"/>
  <c r="T10" i="50"/>
  <c r="X10" i="50"/>
  <c r="AB694" i="50"/>
  <c r="AB1409" i="50" s="1"/>
  <c r="Z694" i="50"/>
  <c r="Z1409" i="50" s="1"/>
  <c r="V694" i="50"/>
  <c r="V1409" i="50" s="1"/>
  <c r="AD694" i="50"/>
  <c r="AD1409" i="50" s="1"/>
  <c r="T694" i="50"/>
  <c r="T1409" i="50" s="1"/>
  <c r="X694" i="50"/>
  <c r="X1409" i="50" s="1"/>
  <c r="AB470" i="50"/>
  <c r="AB1185" i="50" s="1"/>
  <c r="Z470" i="50"/>
  <c r="Z1185" i="50" s="1"/>
  <c r="AD470" i="50"/>
  <c r="AD1185" i="50" s="1"/>
  <c r="T470" i="50"/>
  <c r="T1185" i="50" s="1"/>
  <c r="V470" i="50"/>
  <c r="V1185" i="50" s="1"/>
  <c r="X470" i="50"/>
  <c r="X1185" i="50" s="1"/>
  <c r="Z246" i="50"/>
  <c r="Z961" i="50" s="1"/>
  <c r="X246" i="50"/>
  <c r="X961" i="50" s="1"/>
  <c r="AB22" i="50"/>
  <c r="AB737" i="50" s="1"/>
  <c r="Z22" i="50"/>
  <c r="Z737" i="50" s="1"/>
  <c r="V22" i="50"/>
  <c r="V737" i="50" s="1"/>
  <c r="AD22" i="50"/>
  <c r="AD737" i="50" s="1"/>
  <c r="T22" i="50"/>
  <c r="T737" i="50" s="1"/>
  <c r="X22" i="50"/>
  <c r="X737" i="50" s="1"/>
  <c r="AB402" i="50"/>
  <c r="AB1117" i="50" s="1"/>
  <c r="Z402" i="50"/>
  <c r="Z1117" i="50" s="1"/>
  <c r="V402" i="50"/>
  <c r="V1117" i="50" s="1"/>
  <c r="T402" i="50"/>
  <c r="T1117" i="50" s="1"/>
  <c r="AD402" i="50"/>
  <c r="AD1117" i="50" s="1"/>
  <c r="X402" i="50"/>
  <c r="X1117" i="50" s="1"/>
  <c r="L73" i="50"/>
  <c r="L788" i="50" s="1"/>
  <c r="J73" i="50"/>
  <c r="J788" i="50" s="1"/>
  <c r="P73" i="50"/>
  <c r="P788" i="50" s="1"/>
  <c r="N73" i="50"/>
  <c r="N788" i="50" s="1"/>
  <c r="F73" i="50"/>
  <c r="H73" i="50"/>
  <c r="H788" i="50" s="1"/>
  <c r="L52" i="50"/>
  <c r="J52" i="50"/>
  <c r="J767" i="50" s="1"/>
  <c r="P52" i="50"/>
  <c r="N52" i="50"/>
  <c r="N767" i="50" s="1"/>
  <c r="F52" i="50"/>
  <c r="H52" i="50"/>
  <c r="H767" i="50" s="1"/>
  <c r="AB401" i="50"/>
  <c r="Z401" i="50"/>
  <c r="T401" i="50"/>
  <c r="V401" i="50"/>
  <c r="AD401" i="50"/>
  <c r="X401" i="50"/>
  <c r="Z359" i="50"/>
  <c r="X359" i="50"/>
  <c r="AB310" i="50"/>
  <c r="Z310" i="50"/>
  <c r="V310" i="50"/>
  <c r="AD310" i="50"/>
  <c r="T310" i="50"/>
  <c r="X310" i="50"/>
  <c r="AB296" i="50"/>
  <c r="AB1011" i="50" s="1"/>
  <c r="Z296" i="50"/>
  <c r="Z1011" i="50" s="1"/>
  <c r="V296" i="50"/>
  <c r="V1011" i="50" s="1"/>
  <c r="T296" i="50"/>
  <c r="T1011" i="50" s="1"/>
  <c r="AD296" i="50"/>
  <c r="AD1011" i="50" s="1"/>
  <c r="X296" i="50"/>
  <c r="X1011" i="50" s="1"/>
  <c r="AB282" i="50"/>
  <c r="AB997" i="50" s="1"/>
  <c r="Z282" i="50"/>
  <c r="Z997" i="50" s="1"/>
  <c r="V282" i="50"/>
  <c r="V997" i="50" s="1"/>
  <c r="AD282" i="50"/>
  <c r="AD997" i="50" s="1"/>
  <c r="T282" i="50"/>
  <c r="T997" i="50" s="1"/>
  <c r="X282" i="50"/>
  <c r="X997" i="50" s="1"/>
  <c r="AB247" i="50"/>
  <c r="Z247" i="50"/>
  <c r="V247" i="50"/>
  <c r="T247" i="50"/>
  <c r="AD247" i="50"/>
  <c r="X247" i="50"/>
  <c r="AB135" i="50"/>
  <c r="AB850" i="50" s="1"/>
  <c r="Z135" i="50"/>
  <c r="Z850" i="50" s="1"/>
  <c r="V135" i="50"/>
  <c r="V850" i="50" s="1"/>
  <c r="T135" i="50"/>
  <c r="T850" i="50" s="1"/>
  <c r="AD135" i="50"/>
  <c r="AD850" i="50" s="1"/>
  <c r="X135" i="50"/>
  <c r="X850" i="50" s="1"/>
  <c r="AB121" i="50"/>
  <c r="AB836" i="50" s="1"/>
  <c r="Z121" i="50"/>
  <c r="Z836" i="50" s="1"/>
  <c r="V121" i="50"/>
  <c r="V836" i="50" s="1"/>
  <c r="AD121" i="50"/>
  <c r="AD836" i="50" s="1"/>
  <c r="T121" i="50"/>
  <c r="T836" i="50" s="1"/>
  <c r="X121" i="50"/>
  <c r="X836" i="50" s="1"/>
  <c r="AB86" i="50"/>
  <c r="AB801" i="50" s="1"/>
  <c r="Z86" i="50"/>
  <c r="Z801" i="50" s="1"/>
  <c r="V86" i="50"/>
  <c r="V801" i="50" s="1"/>
  <c r="AD86" i="50"/>
  <c r="AD801" i="50" s="1"/>
  <c r="T86" i="50"/>
  <c r="T801" i="50" s="1"/>
  <c r="X86" i="50"/>
  <c r="X801" i="50" s="1"/>
  <c r="AB37" i="50"/>
  <c r="AB752" i="50" s="1"/>
  <c r="Z37" i="50"/>
  <c r="Z752" i="50" s="1"/>
  <c r="AD37" i="50"/>
  <c r="AD752" i="50" s="1"/>
  <c r="T37" i="50"/>
  <c r="T752" i="50" s="1"/>
  <c r="V37" i="50"/>
  <c r="V752" i="50" s="1"/>
  <c r="X37" i="50"/>
  <c r="X752" i="50" s="1"/>
  <c r="AB681" i="50"/>
  <c r="AB1396" i="50" s="1"/>
  <c r="V681" i="50"/>
  <c r="V1396" i="50" s="1"/>
  <c r="Z681" i="50"/>
  <c r="Z1396" i="50" s="1"/>
  <c r="AD681" i="50"/>
  <c r="AD1396" i="50" s="1"/>
  <c r="T681" i="50"/>
  <c r="T1396" i="50" s="1"/>
  <c r="X681" i="50"/>
  <c r="X1396" i="50" s="1"/>
  <c r="AB667" i="50"/>
  <c r="AB1382" i="50" s="1"/>
  <c r="Z667" i="50"/>
  <c r="Z1382" i="50" s="1"/>
  <c r="V667" i="50"/>
  <c r="V1382" i="50" s="1"/>
  <c r="T667" i="50"/>
  <c r="T1382" i="50" s="1"/>
  <c r="AD667" i="50"/>
  <c r="AD1382" i="50" s="1"/>
  <c r="X667" i="50"/>
  <c r="X1382" i="50" s="1"/>
  <c r="AB162" i="50"/>
  <c r="AB877" i="50" s="1"/>
  <c r="Z162" i="50"/>
  <c r="Z877" i="50" s="1"/>
  <c r="V162" i="50"/>
  <c r="V877" i="50" s="1"/>
  <c r="AD162" i="50"/>
  <c r="AD877" i="50" s="1"/>
  <c r="T162" i="50"/>
  <c r="T877" i="50" s="1"/>
  <c r="X162" i="50"/>
  <c r="X877" i="50" s="1"/>
  <c r="Z374" i="50"/>
  <c r="Z1089" i="50" s="1"/>
  <c r="AB374" i="50"/>
  <c r="AB1089" i="50" s="1"/>
  <c r="V374" i="50"/>
  <c r="V1089" i="50" s="1"/>
  <c r="T374" i="50"/>
  <c r="T1089" i="50" s="1"/>
  <c r="AD374" i="50"/>
  <c r="AD1089" i="50" s="1"/>
  <c r="X374" i="50"/>
  <c r="X1089" i="50" s="1"/>
  <c r="AB360" i="50"/>
  <c r="AB1075" i="50" s="1"/>
  <c r="Z360" i="50"/>
  <c r="Z1075" i="50" s="1"/>
  <c r="V360" i="50"/>
  <c r="V1075" i="50" s="1"/>
  <c r="AD360" i="50"/>
  <c r="AD1075" i="50" s="1"/>
  <c r="T360" i="50"/>
  <c r="T1075" i="50" s="1"/>
  <c r="X360" i="50"/>
  <c r="X1075" i="50" s="1"/>
  <c r="AB346" i="50"/>
  <c r="AB1061" i="50" s="1"/>
  <c r="Z346" i="50"/>
  <c r="Z1061" i="50" s="1"/>
  <c r="V346" i="50"/>
  <c r="V1061" i="50" s="1"/>
  <c r="AD346" i="50"/>
  <c r="AD1061" i="50" s="1"/>
  <c r="X346" i="50"/>
  <c r="X1061" i="50" s="1"/>
  <c r="AB332" i="50"/>
  <c r="AB1047" i="50" s="1"/>
  <c r="Z332" i="50"/>
  <c r="Z1047" i="50" s="1"/>
  <c r="V332" i="50"/>
  <c r="V1047" i="50" s="1"/>
  <c r="AD332" i="50"/>
  <c r="AD1047" i="50" s="1"/>
  <c r="T332" i="50"/>
  <c r="T1047" i="50" s="1"/>
  <c r="X332" i="50"/>
  <c r="X1047" i="50" s="1"/>
  <c r="AB318" i="50"/>
  <c r="AB1033" i="50" s="1"/>
  <c r="Z318" i="50"/>
  <c r="Z1033" i="50" s="1"/>
  <c r="V318" i="50"/>
  <c r="V1033" i="50" s="1"/>
  <c r="AD318" i="50"/>
  <c r="AD1033" i="50" s="1"/>
  <c r="X318" i="50"/>
  <c r="X1033" i="50" s="1"/>
  <c r="AB304" i="50"/>
  <c r="AB1019" i="50" s="1"/>
  <c r="Z304" i="50"/>
  <c r="Z1019" i="50" s="1"/>
  <c r="V304" i="50"/>
  <c r="V1019" i="50" s="1"/>
  <c r="AD304" i="50"/>
  <c r="AD1019" i="50" s="1"/>
  <c r="T304" i="50"/>
  <c r="T1019" i="50" s="1"/>
  <c r="X304" i="50"/>
  <c r="X1019" i="50" s="1"/>
  <c r="AB290" i="50"/>
  <c r="AB1005" i="50" s="1"/>
  <c r="Z290" i="50"/>
  <c r="Z1005" i="50" s="1"/>
  <c r="V290" i="50"/>
  <c r="V1005" i="50" s="1"/>
  <c r="AD290" i="50"/>
  <c r="AD1005" i="50" s="1"/>
  <c r="T290" i="50"/>
  <c r="T1005" i="50" s="1"/>
  <c r="X290" i="50"/>
  <c r="X1005" i="50" s="1"/>
  <c r="AB276" i="50"/>
  <c r="AB991" i="50" s="1"/>
  <c r="Z276" i="50"/>
  <c r="Z991" i="50" s="1"/>
  <c r="V276" i="50"/>
  <c r="V991" i="50" s="1"/>
  <c r="AD276" i="50"/>
  <c r="AD991" i="50" s="1"/>
  <c r="T276" i="50"/>
  <c r="T991" i="50" s="1"/>
  <c r="X276" i="50"/>
  <c r="X991" i="50" s="1"/>
  <c r="AB262" i="50"/>
  <c r="AB977" i="50" s="1"/>
  <c r="Z262" i="50"/>
  <c r="Z977" i="50" s="1"/>
  <c r="V262" i="50"/>
  <c r="V977" i="50" s="1"/>
  <c r="AD262" i="50"/>
  <c r="AD977" i="50" s="1"/>
  <c r="T262" i="50"/>
  <c r="T977" i="50" s="1"/>
  <c r="X262" i="50"/>
  <c r="X977" i="50" s="1"/>
  <c r="AB248" i="50"/>
  <c r="AB963" i="50" s="1"/>
  <c r="Z248" i="50"/>
  <c r="Z963" i="50" s="1"/>
  <c r="V248" i="50"/>
  <c r="V963" i="50" s="1"/>
  <c r="AD248" i="50"/>
  <c r="AD963" i="50" s="1"/>
  <c r="T248" i="50"/>
  <c r="T963" i="50" s="1"/>
  <c r="X248" i="50"/>
  <c r="X963" i="50" s="1"/>
  <c r="AB234" i="50"/>
  <c r="AB949" i="50" s="1"/>
  <c r="Z234" i="50"/>
  <c r="Z949" i="50" s="1"/>
  <c r="V234" i="50"/>
  <c r="V949" i="50" s="1"/>
  <c r="AD234" i="50"/>
  <c r="AD949" i="50" s="1"/>
  <c r="T234" i="50"/>
  <c r="T949" i="50" s="1"/>
  <c r="X234" i="50"/>
  <c r="X949" i="50" s="1"/>
  <c r="AB220" i="50"/>
  <c r="AB935" i="50" s="1"/>
  <c r="Z220" i="50"/>
  <c r="Z935" i="50" s="1"/>
  <c r="V220" i="50"/>
  <c r="V935" i="50" s="1"/>
  <c r="AD220" i="50"/>
  <c r="AD935" i="50" s="1"/>
  <c r="T220" i="50"/>
  <c r="T935" i="50" s="1"/>
  <c r="X220" i="50"/>
  <c r="X935" i="50" s="1"/>
  <c r="AB206" i="50"/>
  <c r="AB921" i="50" s="1"/>
  <c r="Z206" i="50"/>
  <c r="Z921" i="50" s="1"/>
  <c r="V206" i="50"/>
  <c r="V921" i="50" s="1"/>
  <c r="AD206" i="50"/>
  <c r="AD921" i="50" s="1"/>
  <c r="T206" i="50"/>
  <c r="T921" i="50" s="1"/>
  <c r="X206" i="50"/>
  <c r="X921" i="50" s="1"/>
  <c r="AB192" i="50"/>
  <c r="AB907" i="50" s="1"/>
  <c r="Z192" i="50"/>
  <c r="Z907" i="50" s="1"/>
  <c r="V192" i="50"/>
  <c r="V907" i="50" s="1"/>
  <c r="AD192" i="50"/>
  <c r="AD907" i="50" s="1"/>
  <c r="T192" i="50"/>
  <c r="T907" i="50" s="1"/>
  <c r="X192" i="50"/>
  <c r="X907" i="50" s="1"/>
  <c r="AB178" i="50"/>
  <c r="AB893" i="50" s="1"/>
  <c r="Z178" i="50"/>
  <c r="Z893" i="50" s="1"/>
  <c r="V178" i="50"/>
  <c r="V893" i="50" s="1"/>
  <c r="AD178" i="50"/>
  <c r="AD893" i="50" s="1"/>
  <c r="T178" i="50"/>
  <c r="T893" i="50" s="1"/>
  <c r="X178" i="50"/>
  <c r="X893" i="50" s="1"/>
  <c r="AB164" i="50"/>
  <c r="AB879" i="50" s="1"/>
  <c r="Z164" i="50"/>
  <c r="Z879" i="50" s="1"/>
  <c r="V164" i="50"/>
  <c r="V879" i="50" s="1"/>
  <c r="AD164" i="50"/>
  <c r="AD879" i="50" s="1"/>
  <c r="T164" i="50"/>
  <c r="T879" i="50" s="1"/>
  <c r="X164" i="50"/>
  <c r="X879" i="50" s="1"/>
  <c r="L24" i="50"/>
  <c r="L739" i="50" s="1"/>
  <c r="J24" i="50"/>
  <c r="J739" i="50" s="1"/>
  <c r="P24" i="50"/>
  <c r="P739" i="50" s="1"/>
  <c r="N24" i="50"/>
  <c r="N739" i="50" s="1"/>
  <c r="F24" i="50"/>
  <c r="H24" i="50"/>
  <c r="H739" i="50" s="1"/>
  <c r="AB436" i="50"/>
  <c r="AB1151" i="50" s="1"/>
  <c r="Z436" i="50"/>
  <c r="Z1151" i="50" s="1"/>
  <c r="V436" i="50"/>
  <c r="V1151" i="50" s="1"/>
  <c r="AD436" i="50"/>
  <c r="AD1151" i="50" s="1"/>
  <c r="T436" i="50"/>
  <c r="T1151" i="50" s="1"/>
  <c r="X436" i="50"/>
  <c r="X1151" i="50" s="1"/>
  <c r="AB526" i="50"/>
  <c r="AB1241" i="50" s="1"/>
  <c r="Z526" i="50"/>
  <c r="Z1241" i="50" s="1"/>
  <c r="V526" i="50"/>
  <c r="V1241" i="50" s="1"/>
  <c r="AD526" i="50"/>
  <c r="AD1241" i="50" s="1"/>
  <c r="T526" i="50"/>
  <c r="T1241" i="50" s="1"/>
  <c r="X526" i="50"/>
  <c r="X1241" i="50" s="1"/>
  <c r="AB653" i="50"/>
  <c r="AB1368" i="50" s="1"/>
  <c r="Z653" i="50"/>
  <c r="Z1368" i="50" s="1"/>
  <c r="V653" i="50"/>
  <c r="V1368" i="50" s="1"/>
  <c r="AD653" i="50"/>
  <c r="AD1368" i="50" s="1"/>
  <c r="T653" i="50"/>
  <c r="T1368" i="50" s="1"/>
  <c r="X653" i="50"/>
  <c r="X1368" i="50" s="1"/>
  <c r="AB618" i="50"/>
  <c r="AB1333" i="50" s="1"/>
  <c r="Z618" i="50"/>
  <c r="Z1333" i="50" s="1"/>
  <c r="AD618" i="50"/>
  <c r="AD1333" i="50" s="1"/>
  <c r="T618" i="50"/>
  <c r="T1333" i="50" s="1"/>
  <c r="V618" i="50"/>
  <c r="V1333" i="50" s="1"/>
  <c r="X618" i="50"/>
  <c r="X1333" i="50" s="1"/>
  <c r="AB583" i="50"/>
  <c r="AB1298" i="50" s="1"/>
  <c r="V583" i="50"/>
  <c r="V1298" i="50" s="1"/>
  <c r="Z583" i="50"/>
  <c r="Z1298" i="50" s="1"/>
  <c r="T583" i="50"/>
  <c r="T1298" i="50" s="1"/>
  <c r="AD583" i="50"/>
  <c r="AD1298" i="50" s="1"/>
  <c r="X583" i="50"/>
  <c r="X1298" i="50" s="1"/>
  <c r="AB527" i="50"/>
  <c r="AB1242" i="50" s="1"/>
  <c r="V527" i="50"/>
  <c r="V1242" i="50" s="1"/>
  <c r="T527" i="50"/>
  <c r="T1242" i="50" s="1"/>
  <c r="Z527" i="50"/>
  <c r="Z1242" i="50" s="1"/>
  <c r="AD527" i="50"/>
  <c r="AD1242" i="50" s="1"/>
  <c r="X527" i="50"/>
  <c r="X1242" i="50" s="1"/>
  <c r="AB471" i="50"/>
  <c r="AB1186" i="50" s="1"/>
  <c r="V471" i="50"/>
  <c r="V1186" i="50" s="1"/>
  <c r="Z471" i="50"/>
  <c r="Z1186" i="50" s="1"/>
  <c r="T471" i="50"/>
  <c r="T1186" i="50" s="1"/>
  <c r="AD471" i="50"/>
  <c r="AD1186" i="50" s="1"/>
  <c r="X471" i="50"/>
  <c r="X1186" i="50" s="1"/>
  <c r="T589" i="50"/>
  <c r="AB533" i="50"/>
  <c r="Z533" i="50"/>
  <c r="V533" i="50"/>
  <c r="T533" i="50"/>
  <c r="AD533" i="50"/>
  <c r="X533" i="50"/>
  <c r="AB337" i="50"/>
  <c r="V337" i="50"/>
  <c r="V1052" i="50" s="1"/>
  <c r="Z337" i="50"/>
  <c r="AD337" i="50"/>
  <c r="AD1052" i="50" s="1"/>
  <c r="T337" i="50"/>
  <c r="X337" i="50"/>
  <c r="X1052" i="50" s="1"/>
  <c r="AB141" i="50"/>
  <c r="AB856" i="50" s="1"/>
  <c r="V141" i="50"/>
  <c r="V856" i="50" s="1"/>
  <c r="Z141" i="50"/>
  <c r="Z856" i="50" s="1"/>
  <c r="AD141" i="50"/>
  <c r="AD856" i="50" s="1"/>
  <c r="T141" i="50"/>
  <c r="T856" i="50" s="1"/>
  <c r="X141" i="50"/>
  <c r="X856" i="50" s="1"/>
  <c r="AB85" i="50"/>
  <c r="AB800" i="50" s="1"/>
  <c r="V85" i="50"/>
  <c r="V800" i="50" s="1"/>
  <c r="Z85" i="50"/>
  <c r="Z800" i="50" s="1"/>
  <c r="AD85" i="50"/>
  <c r="AD800" i="50" s="1"/>
  <c r="T85" i="50"/>
  <c r="T800" i="50" s="1"/>
  <c r="X85" i="50"/>
  <c r="X800" i="50" s="1"/>
  <c r="AB534" i="50"/>
  <c r="Z534" i="50"/>
  <c r="AD534" i="50"/>
  <c r="T534" i="50"/>
  <c r="V534" i="50"/>
  <c r="X534" i="50"/>
  <c r="AB478" i="50"/>
  <c r="AB1193" i="50" s="1"/>
  <c r="Z478" i="50"/>
  <c r="Z1193" i="50" s="1"/>
  <c r="AD478" i="50"/>
  <c r="AD1193" i="50" s="1"/>
  <c r="T478" i="50"/>
  <c r="T1193" i="50" s="1"/>
  <c r="V478" i="50"/>
  <c r="V1193" i="50" s="1"/>
  <c r="X478" i="50"/>
  <c r="X1193" i="50" s="1"/>
  <c r="Z512" i="50"/>
  <c r="X512" i="50"/>
  <c r="AB456" i="50"/>
  <c r="Z456" i="50"/>
  <c r="V456" i="50"/>
  <c r="AD456" i="50"/>
  <c r="T456" i="50"/>
  <c r="X456" i="50"/>
  <c r="AB260" i="50"/>
  <c r="AB975" i="50" s="1"/>
  <c r="Z260" i="50"/>
  <c r="Z975" i="50" s="1"/>
  <c r="V260" i="50"/>
  <c r="V975" i="50" s="1"/>
  <c r="AD260" i="50"/>
  <c r="AD975" i="50" s="1"/>
  <c r="T260" i="50"/>
  <c r="T975" i="50" s="1"/>
  <c r="X260" i="50"/>
  <c r="X975" i="50" s="1"/>
  <c r="AB64" i="50"/>
  <c r="AB779" i="50" s="1"/>
  <c r="Z64" i="50"/>
  <c r="V64" i="50"/>
  <c r="V779" i="50" s="1"/>
  <c r="AD64" i="50"/>
  <c r="T64" i="50"/>
  <c r="T779" i="50" s="1"/>
  <c r="X64" i="50"/>
  <c r="AB541" i="50"/>
  <c r="AB1256" i="50" s="1"/>
  <c r="Z541" i="50"/>
  <c r="Z1256" i="50" s="1"/>
  <c r="V541" i="50"/>
  <c r="V1256" i="50" s="1"/>
  <c r="AD541" i="50"/>
  <c r="AD1256" i="50" s="1"/>
  <c r="T541" i="50"/>
  <c r="T1256" i="50" s="1"/>
  <c r="X541" i="50"/>
  <c r="X1256" i="50" s="1"/>
  <c r="AB485" i="50"/>
  <c r="Z485" i="50"/>
  <c r="Z1200" i="50" s="1"/>
  <c r="V485" i="50"/>
  <c r="V1200" i="50" s="1"/>
  <c r="AD485" i="50"/>
  <c r="AD1200" i="50" s="1"/>
  <c r="T485" i="50"/>
  <c r="T1200" i="50" s="1"/>
  <c r="X485" i="50"/>
  <c r="X1200" i="50" s="1"/>
  <c r="AB659" i="50"/>
  <c r="AB1374" i="50" s="1"/>
  <c r="V659" i="50"/>
  <c r="V1374" i="50" s="1"/>
  <c r="Z659" i="50"/>
  <c r="Z1374" i="50" s="1"/>
  <c r="T659" i="50"/>
  <c r="T1374" i="50" s="1"/>
  <c r="AD659" i="50"/>
  <c r="AD1374" i="50" s="1"/>
  <c r="X659" i="50"/>
  <c r="X1374" i="50" s="1"/>
  <c r="AB603" i="50"/>
  <c r="AB1318" i="50" s="1"/>
  <c r="V603" i="50"/>
  <c r="V1318" i="50" s="1"/>
  <c r="Z603" i="50"/>
  <c r="Z1318" i="50" s="1"/>
  <c r="T603" i="50"/>
  <c r="T1318" i="50" s="1"/>
  <c r="AD603" i="50"/>
  <c r="AD1318" i="50" s="1"/>
  <c r="X603" i="50"/>
  <c r="X1318" i="50" s="1"/>
  <c r="V407" i="50"/>
  <c r="X407" i="50"/>
  <c r="AB211" i="50"/>
  <c r="V211" i="50"/>
  <c r="Z211" i="50"/>
  <c r="AD211" i="50"/>
  <c r="T211" i="50"/>
  <c r="X211" i="50"/>
  <c r="AB155" i="50"/>
  <c r="V155" i="50"/>
  <c r="Z155" i="50"/>
  <c r="AD155" i="50"/>
  <c r="T155" i="50"/>
  <c r="X155" i="50"/>
  <c r="L492" i="50"/>
  <c r="L1207" i="50" s="1"/>
  <c r="J492" i="50"/>
  <c r="J1207" i="50" s="1"/>
  <c r="P492" i="50"/>
  <c r="P1207" i="50" s="1"/>
  <c r="N492" i="50"/>
  <c r="N1207" i="50" s="1"/>
  <c r="F492" i="50"/>
  <c r="H492" i="50"/>
  <c r="H1207" i="50" s="1"/>
  <c r="J2611" i="50"/>
  <c r="AD36" i="32"/>
  <c r="AD31" i="32"/>
  <c r="AB483" i="50"/>
  <c r="AB1198" i="50" s="1"/>
  <c r="V483" i="50"/>
  <c r="V1198" i="50" s="1"/>
  <c r="Z483" i="50"/>
  <c r="Z1198" i="50" s="1"/>
  <c r="AD483" i="50"/>
  <c r="AD1198" i="50" s="1"/>
  <c r="T483" i="50"/>
  <c r="T1198" i="50" s="1"/>
  <c r="J700" i="50"/>
  <c r="J1415" i="50" s="1"/>
  <c r="L700" i="50"/>
  <c r="L1415" i="50" s="1"/>
  <c r="P700" i="50"/>
  <c r="P1415" i="50" s="1"/>
  <c r="N700" i="50"/>
  <c r="N1415" i="50" s="1"/>
  <c r="H700" i="50"/>
  <c r="H1415" i="50" s="1"/>
  <c r="F700" i="50"/>
  <c r="F1415" i="50" s="1"/>
  <c r="L672" i="50"/>
  <c r="L1387" i="50" s="1"/>
  <c r="J672" i="50"/>
  <c r="J1387" i="50" s="1"/>
  <c r="P672" i="50"/>
  <c r="P1387" i="50" s="1"/>
  <c r="N672" i="50"/>
  <c r="N1387" i="50" s="1"/>
  <c r="H672" i="50"/>
  <c r="H1387" i="50" s="1"/>
  <c r="F672" i="50"/>
  <c r="F1387" i="50" s="1"/>
  <c r="J644" i="50"/>
  <c r="J1359" i="50" s="1"/>
  <c r="L644" i="50"/>
  <c r="L1359" i="50" s="1"/>
  <c r="P644" i="50"/>
  <c r="P1359" i="50" s="1"/>
  <c r="N644" i="50"/>
  <c r="N1359" i="50" s="1"/>
  <c r="H644" i="50"/>
  <c r="H1359" i="50" s="1"/>
  <c r="F644" i="50"/>
  <c r="F1359" i="50" s="1"/>
  <c r="L616" i="50"/>
  <c r="L1331" i="50" s="1"/>
  <c r="J616" i="50"/>
  <c r="J1331" i="50" s="1"/>
  <c r="P616" i="50"/>
  <c r="P1331" i="50" s="1"/>
  <c r="N616" i="50"/>
  <c r="N1331" i="50" s="1"/>
  <c r="H616" i="50"/>
  <c r="H1331" i="50" s="1"/>
  <c r="F616" i="50"/>
  <c r="F1331" i="50" s="1"/>
  <c r="J588" i="50"/>
  <c r="J1303" i="50" s="1"/>
  <c r="L588" i="50"/>
  <c r="L1303" i="50" s="1"/>
  <c r="P588" i="50"/>
  <c r="P1303" i="50" s="1"/>
  <c r="N588" i="50"/>
  <c r="N1303" i="50" s="1"/>
  <c r="H588" i="50"/>
  <c r="H1303" i="50" s="1"/>
  <c r="F588" i="50"/>
  <c r="F1303" i="50" s="1"/>
  <c r="L560" i="50"/>
  <c r="L1275" i="50" s="1"/>
  <c r="J560" i="50"/>
  <c r="J1275" i="50" s="1"/>
  <c r="P560" i="50"/>
  <c r="P1275" i="50" s="1"/>
  <c r="N560" i="50"/>
  <c r="N1275" i="50" s="1"/>
  <c r="H560" i="50"/>
  <c r="H1275" i="50" s="1"/>
  <c r="F560" i="50"/>
  <c r="F1275" i="50" s="1"/>
  <c r="J532" i="50"/>
  <c r="J1247" i="50" s="1"/>
  <c r="L532" i="50"/>
  <c r="L1247" i="50" s="1"/>
  <c r="P532" i="50"/>
  <c r="P1247" i="50" s="1"/>
  <c r="N532" i="50"/>
  <c r="N1247" i="50" s="1"/>
  <c r="H532" i="50"/>
  <c r="H1247" i="50" s="1"/>
  <c r="F532" i="50"/>
  <c r="F1247" i="50" s="1"/>
  <c r="L504" i="50"/>
  <c r="L1219" i="50" s="1"/>
  <c r="J504" i="50"/>
  <c r="J1219" i="50" s="1"/>
  <c r="P504" i="50"/>
  <c r="P1219" i="50" s="1"/>
  <c r="N504" i="50"/>
  <c r="N1219" i="50" s="1"/>
  <c r="H504" i="50"/>
  <c r="H1219" i="50" s="1"/>
  <c r="F504" i="50"/>
  <c r="J476" i="50"/>
  <c r="J1191" i="50" s="1"/>
  <c r="L476" i="50"/>
  <c r="L1191" i="50" s="1"/>
  <c r="P476" i="50"/>
  <c r="P1191" i="50" s="1"/>
  <c r="N476" i="50"/>
  <c r="N1191" i="50" s="1"/>
  <c r="F476" i="50"/>
  <c r="H476" i="50"/>
  <c r="H1191" i="50" s="1"/>
  <c r="L448" i="50"/>
  <c r="L1163" i="50" s="1"/>
  <c r="J448" i="50"/>
  <c r="J1163" i="50" s="1"/>
  <c r="P448" i="50"/>
  <c r="P1163" i="50" s="1"/>
  <c r="N448" i="50"/>
  <c r="N1163" i="50" s="1"/>
  <c r="H448" i="50"/>
  <c r="H1163" i="50" s="1"/>
  <c r="F448" i="50"/>
  <c r="L420" i="50"/>
  <c r="L1135" i="50" s="1"/>
  <c r="J420" i="50"/>
  <c r="J1135" i="50" s="1"/>
  <c r="P420" i="50"/>
  <c r="P1135" i="50" s="1"/>
  <c r="N420" i="50"/>
  <c r="N1135" i="50" s="1"/>
  <c r="H420" i="50"/>
  <c r="H1135" i="50" s="1"/>
  <c r="F420" i="50"/>
  <c r="AB476" i="50"/>
  <c r="AB1191" i="50" s="1"/>
  <c r="V476" i="50"/>
  <c r="V1191" i="50" s="1"/>
  <c r="Z476" i="50"/>
  <c r="Z1191" i="50" s="1"/>
  <c r="AD476" i="50"/>
  <c r="AD1191" i="50" s="1"/>
  <c r="T476" i="50"/>
  <c r="T1191" i="50" s="1"/>
  <c r="L693" i="50"/>
  <c r="L1408" i="50" s="1"/>
  <c r="J693" i="50"/>
  <c r="J1408" i="50" s="1"/>
  <c r="P693" i="50"/>
  <c r="P1408" i="50" s="1"/>
  <c r="N693" i="50"/>
  <c r="N1408" i="50" s="1"/>
  <c r="F693" i="50"/>
  <c r="F1408" i="50" s="1"/>
  <c r="H693" i="50"/>
  <c r="H1408" i="50" s="1"/>
  <c r="L665" i="50"/>
  <c r="L1380" i="50" s="1"/>
  <c r="J665" i="50"/>
  <c r="J1380" i="50" s="1"/>
  <c r="P665" i="50"/>
  <c r="P1380" i="50" s="1"/>
  <c r="N665" i="50"/>
  <c r="N1380" i="50" s="1"/>
  <c r="F665" i="50"/>
  <c r="F1380" i="50" s="1"/>
  <c r="H665" i="50"/>
  <c r="H1380" i="50" s="1"/>
  <c r="L637" i="50"/>
  <c r="L1352" i="50" s="1"/>
  <c r="J637" i="50"/>
  <c r="J1352" i="50" s="1"/>
  <c r="P637" i="50"/>
  <c r="P1352" i="50" s="1"/>
  <c r="N637" i="50"/>
  <c r="N1352" i="50" s="1"/>
  <c r="F637" i="50"/>
  <c r="F1352" i="50" s="1"/>
  <c r="H637" i="50"/>
  <c r="H1352" i="50" s="1"/>
  <c r="L609" i="50"/>
  <c r="L1324" i="50" s="1"/>
  <c r="J609" i="50"/>
  <c r="J1324" i="50" s="1"/>
  <c r="P609" i="50"/>
  <c r="P1324" i="50" s="1"/>
  <c r="N609" i="50"/>
  <c r="N1324" i="50" s="1"/>
  <c r="F609" i="50"/>
  <c r="F1324" i="50" s="1"/>
  <c r="H609" i="50"/>
  <c r="H1324" i="50" s="1"/>
  <c r="L581" i="50"/>
  <c r="L1296" i="50" s="1"/>
  <c r="J581" i="50"/>
  <c r="J1296" i="50" s="1"/>
  <c r="P581" i="50"/>
  <c r="P1296" i="50" s="1"/>
  <c r="N581" i="50"/>
  <c r="N1296" i="50" s="1"/>
  <c r="F581" i="50"/>
  <c r="F1296" i="50" s="1"/>
  <c r="H581" i="50"/>
  <c r="H1296" i="50" s="1"/>
  <c r="L553" i="50"/>
  <c r="L1268" i="50" s="1"/>
  <c r="J553" i="50"/>
  <c r="J1268" i="50" s="1"/>
  <c r="P553" i="50"/>
  <c r="P1268" i="50" s="1"/>
  <c r="N553" i="50"/>
  <c r="N1268" i="50" s="1"/>
  <c r="F553" i="50"/>
  <c r="F1268" i="50" s="1"/>
  <c r="H553" i="50"/>
  <c r="H1268" i="50" s="1"/>
  <c r="L525" i="50"/>
  <c r="L1240" i="50" s="1"/>
  <c r="J525" i="50"/>
  <c r="J1240" i="50" s="1"/>
  <c r="P525" i="50"/>
  <c r="P1240" i="50" s="1"/>
  <c r="N525" i="50"/>
  <c r="N1240" i="50" s="1"/>
  <c r="F525" i="50"/>
  <c r="F1240" i="50" s="1"/>
  <c r="H525" i="50"/>
  <c r="H1240" i="50" s="1"/>
  <c r="L497" i="50"/>
  <c r="L1212" i="50" s="1"/>
  <c r="J497" i="50"/>
  <c r="J1212" i="50" s="1"/>
  <c r="P497" i="50"/>
  <c r="P1212" i="50" s="1"/>
  <c r="N497" i="50"/>
  <c r="N1212" i="50" s="1"/>
  <c r="F497" i="50"/>
  <c r="H497" i="50"/>
  <c r="H1212" i="50" s="1"/>
  <c r="L469" i="50"/>
  <c r="L1184" i="50" s="1"/>
  <c r="J469" i="50"/>
  <c r="J1184" i="50" s="1"/>
  <c r="P469" i="50"/>
  <c r="P1184" i="50" s="1"/>
  <c r="N469" i="50"/>
  <c r="N1184" i="50" s="1"/>
  <c r="F469" i="50"/>
  <c r="H469" i="50"/>
  <c r="H1184" i="50" s="1"/>
  <c r="L441" i="50"/>
  <c r="L1156" i="50" s="1"/>
  <c r="J441" i="50"/>
  <c r="J1156" i="50" s="1"/>
  <c r="P441" i="50"/>
  <c r="P1156" i="50" s="1"/>
  <c r="N441" i="50"/>
  <c r="N1156" i="50" s="1"/>
  <c r="F441" i="50"/>
  <c r="H441" i="50"/>
  <c r="H1156" i="50" s="1"/>
  <c r="J26" i="49"/>
  <c r="K251" i="49" s="1"/>
  <c r="AC55" i="48"/>
  <c r="AE55" i="48" s="1"/>
  <c r="AB469" i="50"/>
  <c r="AB1184" i="50" s="1"/>
  <c r="V469" i="50"/>
  <c r="V1184" i="50" s="1"/>
  <c r="Z469" i="50"/>
  <c r="Z1184" i="50" s="1"/>
  <c r="AD469" i="50"/>
  <c r="AD1184" i="50" s="1"/>
  <c r="T469" i="50"/>
  <c r="T1184" i="50" s="1"/>
  <c r="L686" i="50"/>
  <c r="L1401" i="50" s="1"/>
  <c r="J686" i="50"/>
  <c r="J1401" i="50" s="1"/>
  <c r="P686" i="50"/>
  <c r="P1401" i="50" s="1"/>
  <c r="N686" i="50"/>
  <c r="N1401" i="50" s="1"/>
  <c r="H686" i="50"/>
  <c r="H1401" i="50" s="1"/>
  <c r="F686" i="50"/>
  <c r="F1401" i="50" s="1"/>
  <c r="L658" i="50"/>
  <c r="L1373" i="50" s="1"/>
  <c r="L2215" i="50" s="1"/>
  <c r="J658" i="50"/>
  <c r="J1373" i="50" s="1"/>
  <c r="J2215" i="50" s="1"/>
  <c r="J2929" i="50" s="1"/>
  <c r="P658" i="50"/>
  <c r="P1373" i="50" s="1"/>
  <c r="P2215" i="50" s="1"/>
  <c r="N658" i="50"/>
  <c r="N1373" i="50" s="1"/>
  <c r="N2215" i="50" s="1"/>
  <c r="H658" i="50"/>
  <c r="H1373" i="50" s="1"/>
  <c r="H2215" i="50" s="1"/>
  <c r="F658" i="50"/>
  <c r="F1373" i="50" s="1"/>
  <c r="L630" i="50"/>
  <c r="L1345" i="50" s="1"/>
  <c r="J630" i="50"/>
  <c r="J1345" i="50" s="1"/>
  <c r="P630" i="50"/>
  <c r="P1345" i="50" s="1"/>
  <c r="N630" i="50"/>
  <c r="N1345" i="50" s="1"/>
  <c r="H630" i="50"/>
  <c r="H1345" i="50" s="1"/>
  <c r="F630" i="50"/>
  <c r="F1345" i="50" s="1"/>
  <c r="L602" i="50"/>
  <c r="L1317" i="50" s="1"/>
  <c r="J602" i="50"/>
  <c r="J1317" i="50" s="1"/>
  <c r="P602" i="50"/>
  <c r="P1317" i="50" s="1"/>
  <c r="N602" i="50"/>
  <c r="N1317" i="50" s="1"/>
  <c r="H602" i="50"/>
  <c r="H1317" i="50" s="1"/>
  <c r="F602" i="50"/>
  <c r="F1317" i="50" s="1"/>
  <c r="L574" i="50"/>
  <c r="L1289" i="50" s="1"/>
  <c r="J574" i="50"/>
  <c r="J1289" i="50" s="1"/>
  <c r="P574" i="50"/>
  <c r="P1289" i="50" s="1"/>
  <c r="N574" i="50"/>
  <c r="N1289" i="50" s="1"/>
  <c r="H574" i="50"/>
  <c r="H1289" i="50" s="1"/>
  <c r="F574" i="50"/>
  <c r="F1289" i="50" s="1"/>
  <c r="L546" i="50"/>
  <c r="L1261" i="50" s="1"/>
  <c r="J546" i="50"/>
  <c r="J1261" i="50" s="1"/>
  <c r="P546" i="50"/>
  <c r="P1261" i="50" s="1"/>
  <c r="N546" i="50"/>
  <c r="N1261" i="50" s="1"/>
  <c r="H546" i="50"/>
  <c r="H1261" i="50" s="1"/>
  <c r="F546" i="50"/>
  <c r="F1261" i="50" s="1"/>
  <c r="L518" i="50"/>
  <c r="L1233" i="50" s="1"/>
  <c r="J518" i="50"/>
  <c r="J1233" i="50" s="1"/>
  <c r="P518" i="50"/>
  <c r="P1233" i="50" s="1"/>
  <c r="N518" i="50"/>
  <c r="N1233" i="50" s="1"/>
  <c r="H518" i="50"/>
  <c r="H1233" i="50" s="1"/>
  <c r="F518" i="50"/>
  <c r="L490" i="50"/>
  <c r="L1205" i="50" s="1"/>
  <c r="J490" i="50"/>
  <c r="J1205" i="50" s="1"/>
  <c r="P490" i="50"/>
  <c r="P1205" i="50" s="1"/>
  <c r="N490" i="50"/>
  <c r="N1205" i="50" s="1"/>
  <c r="H490" i="50"/>
  <c r="H1205" i="50" s="1"/>
  <c r="F490" i="50"/>
  <c r="L462" i="50"/>
  <c r="L1177" i="50" s="1"/>
  <c r="J462" i="50"/>
  <c r="J1177" i="50" s="1"/>
  <c r="P462" i="50"/>
  <c r="P1177" i="50" s="1"/>
  <c r="N462" i="50"/>
  <c r="N1177" i="50" s="1"/>
  <c r="H462" i="50"/>
  <c r="H1177" i="50" s="1"/>
  <c r="F462" i="50"/>
  <c r="L434" i="50"/>
  <c r="L1149" i="50" s="1"/>
  <c r="J434" i="50"/>
  <c r="J1149" i="50" s="1"/>
  <c r="P434" i="50"/>
  <c r="P1149" i="50" s="1"/>
  <c r="N434" i="50"/>
  <c r="N1149" i="50" s="1"/>
  <c r="H434" i="50"/>
  <c r="H1149" i="50" s="1"/>
  <c r="F434" i="50"/>
  <c r="X483" i="50"/>
  <c r="X1198" i="50" s="1"/>
  <c r="X469" i="50"/>
  <c r="X1184" i="50" s="1"/>
  <c r="L679" i="50"/>
  <c r="L1394" i="50" s="1"/>
  <c r="J679" i="50"/>
  <c r="J1394" i="50" s="1"/>
  <c r="P679" i="50"/>
  <c r="P1394" i="50" s="1"/>
  <c r="N679" i="50"/>
  <c r="N1394" i="50" s="1"/>
  <c r="F679" i="50"/>
  <c r="F1394" i="50" s="1"/>
  <c r="H679" i="50"/>
  <c r="H1394" i="50" s="1"/>
  <c r="L651" i="50"/>
  <c r="L1366" i="50" s="1"/>
  <c r="J651" i="50"/>
  <c r="J1366" i="50" s="1"/>
  <c r="P651" i="50"/>
  <c r="P1366" i="50" s="1"/>
  <c r="N651" i="50"/>
  <c r="N1366" i="50" s="1"/>
  <c r="F651" i="50"/>
  <c r="F1366" i="50" s="1"/>
  <c r="H651" i="50"/>
  <c r="H1366" i="50" s="1"/>
  <c r="L623" i="50"/>
  <c r="L1338" i="50" s="1"/>
  <c r="J623" i="50"/>
  <c r="J1338" i="50" s="1"/>
  <c r="P623" i="50"/>
  <c r="P1338" i="50" s="1"/>
  <c r="N623" i="50"/>
  <c r="N1338" i="50" s="1"/>
  <c r="F623" i="50"/>
  <c r="F1338" i="50" s="1"/>
  <c r="H623" i="50"/>
  <c r="H1338" i="50" s="1"/>
  <c r="L595" i="50"/>
  <c r="L1310" i="50" s="1"/>
  <c r="J595" i="50"/>
  <c r="J1310" i="50" s="1"/>
  <c r="P595" i="50"/>
  <c r="P1310" i="50" s="1"/>
  <c r="N595" i="50"/>
  <c r="N1310" i="50" s="1"/>
  <c r="F595" i="50"/>
  <c r="F1310" i="50" s="1"/>
  <c r="H595" i="50"/>
  <c r="H1310" i="50" s="1"/>
  <c r="L567" i="50"/>
  <c r="L1282" i="50" s="1"/>
  <c r="J567" i="50"/>
  <c r="J1282" i="50" s="1"/>
  <c r="P567" i="50"/>
  <c r="P1282" i="50" s="1"/>
  <c r="N567" i="50"/>
  <c r="N1282" i="50" s="1"/>
  <c r="F567" i="50"/>
  <c r="F1282" i="50" s="1"/>
  <c r="H567" i="50"/>
  <c r="H1282" i="50" s="1"/>
  <c r="L539" i="50"/>
  <c r="L1254" i="50" s="1"/>
  <c r="P539" i="50"/>
  <c r="P1254" i="50" s="1"/>
  <c r="J539" i="50"/>
  <c r="J1254" i="50" s="1"/>
  <c r="N539" i="50"/>
  <c r="N1254" i="50" s="1"/>
  <c r="F539" i="50"/>
  <c r="F1254" i="50" s="1"/>
  <c r="H539" i="50"/>
  <c r="H1254" i="50" s="1"/>
  <c r="L511" i="50"/>
  <c r="L1226" i="50" s="1"/>
  <c r="J511" i="50"/>
  <c r="J1226" i="50" s="1"/>
  <c r="P511" i="50"/>
  <c r="P1226" i="50" s="1"/>
  <c r="N511" i="50"/>
  <c r="N1226" i="50" s="1"/>
  <c r="F511" i="50"/>
  <c r="H511" i="50"/>
  <c r="H1226" i="50" s="1"/>
  <c r="L483" i="50"/>
  <c r="L1198" i="50" s="1"/>
  <c r="J483" i="50"/>
  <c r="J1198" i="50" s="1"/>
  <c r="P483" i="50"/>
  <c r="P1198" i="50" s="1"/>
  <c r="N483" i="50"/>
  <c r="N1198" i="50" s="1"/>
  <c r="F483" i="50"/>
  <c r="H483" i="50"/>
  <c r="H1198" i="50" s="1"/>
  <c r="J455" i="50"/>
  <c r="J1170" i="50" s="1"/>
  <c r="L455" i="50"/>
  <c r="L1170" i="50" s="1"/>
  <c r="P455" i="50"/>
  <c r="P1170" i="50" s="1"/>
  <c r="N455" i="50"/>
  <c r="N1170" i="50" s="1"/>
  <c r="F455" i="50"/>
  <c r="H455" i="50"/>
  <c r="H1170" i="50" s="1"/>
  <c r="L427" i="50"/>
  <c r="L1142" i="50" s="1"/>
  <c r="J427" i="50"/>
  <c r="J1142" i="50" s="1"/>
  <c r="P427" i="50"/>
  <c r="P1142" i="50" s="1"/>
  <c r="N427" i="50"/>
  <c r="N1142" i="50" s="1"/>
  <c r="F427" i="50"/>
  <c r="H427" i="50"/>
  <c r="H1142" i="50" s="1"/>
  <c r="S38" i="48"/>
  <c r="O13" i="49" s="1"/>
  <c r="J20" i="49"/>
  <c r="K245" i="49" s="1"/>
  <c r="BH245" i="49" s="1"/>
  <c r="BP245" i="49" s="1"/>
  <c r="BU245" i="49" s="1"/>
  <c r="AF16" i="72" l="1"/>
  <c r="AF17" i="72"/>
  <c r="V21" i="72"/>
  <c r="I23" i="72"/>
  <c r="W19" i="72"/>
  <c r="J18" i="72"/>
  <c r="X25" i="72"/>
  <c r="K16" i="72"/>
  <c r="G24" i="72"/>
  <c r="R23" i="72"/>
  <c r="N23" i="72"/>
  <c r="X21" i="72"/>
  <c r="U21" i="72"/>
  <c r="H23" i="72"/>
  <c r="V19" i="72"/>
  <c r="I18" i="72"/>
  <c r="W25" i="72"/>
  <c r="J16" i="72"/>
  <c r="G23" i="72"/>
  <c r="U19" i="72"/>
  <c r="H18" i="72"/>
  <c r="V25" i="72"/>
  <c r="I16" i="72"/>
  <c r="S21" i="72"/>
  <c r="F23" i="72"/>
  <c r="T19" i="72"/>
  <c r="G18" i="72"/>
  <c r="U25" i="72"/>
  <c r="T25" i="72"/>
  <c r="Q21" i="72"/>
  <c r="R19" i="72"/>
  <c r="S25" i="72"/>
  <c r="A23" i="72"/>
  <c r="D18" i="72"/>
  <c r="E16" i="72"/>
  <c r="L19" i="72"/>
  <c r="O24" i="72"/>
  <c r="L24" i="72"/>
  <c r="T23" i="72"/>
  <c r="E24" i="72"/>
  <c r="S16" i="72"/>
  <c r="L23" i="72"/>
  <c r="X19" i="72"/>
  <c r="T21" i="72"/>
  <c r="R21" i="72"/>
  <c r="E23" i="72"/>
  <c r="S19" i="72"/>
  <c r="F18" i="72"/>
  <c r="G16" i="72"/>
  <c r="D23" i="72"/>
  <c r="E18" i="72"/>
  <c r="P21" i="72"/>
  <c r="Q19" i="72"/>
  <c r="R25" i="72"/>
  <c r="M25" i="72"/>
  <c r="N22" i="72"/>
  <c r="L22" i="72"/>
  <c r="X23" i="72"/>
  <c r="V18" i="72"/>
  <c r="F24" i="72"/>
  <c r="S18" i="72"/>
  <c r="A24" i="72"/>
  <c r="A17" i="72"/>
  <c r="Z19" i="72"/>
  <c r="O21" i="72"/>
  <c r="P19" i="72"/>
  <c r="A18" i="72"/>
  <c r="Q25" i="72"/>
  <c r="N21" i="72"/>
  <c r="O19" i="72"/>
  <c r="P25" i="72"/>
  <c r="A16" i="72"/>
  <c r="M21" i="72"/>
  <c r="AA24" i="72"/>
  <c r="N19" i="72"/>
  <c r="O25" i="72"/>
  <c r="Y22" i="72"/>
  <c r="L21" i="72"/>
  <c r="Z24" i="72"/>
  <c r="M19" i="72"/>
  <c r="AA20" i="72"/>
  <c r="K21" i="72"/>
  <c r="Z20" i="72"/>
  <c r="AA17" i="72"/>
  <c r="M22" i="72"/>
  <c r="AA18" i="72"/>
  <c r="M20" i="72"/>
  <c r="Y16" i="72"/>
  <c r="I20" i="72"/>
  <c r="S23" i="72"/>
  <c r="F20" i="72"/>
  <c r="M23" i="72"/>
  <c r="Y19" i="72"/>
  <c r="AA22" i="72"/>
  <c r="N25" i="72"/>
  <c r="Y24" i="72"/>
  <c r="A25" i="72"/>
  <c r="Z23" i="72"/>
  <c r="L20" i="72"/>
  <c r="F22" i="72"/>
  <c r="A22" i="72"/>
  <c r="P18" i="72"/>
  <c r="N18" i="72"/>
  <c r="L18" i="72"/>
  <c r="Z22" i="72"/>
  <c r="X22" i="72"/>
  <c r="AA23" i="72"/>
  <c r="K20" i="72"/>
  <c r="T18" i="72"/>
  <c r="E20" i="72"/>
  <c r="R16" i="72"/>
  <c r="AA19" i="72"/>
  <c r="Y25" i="72"/>
  <c r="W22" i="72"/>
  <c r="J21" i="72"/>
  <c r="X24" i="72"/>
  <c r="K19" i="72"/>
  <c r="Y20" i="72"/>
  <c r="L25" i="72"/>
  <c r="I21" i="72"/>
  <c r="W24" i="72"/>
  <c r="J19" i="72"/>
  <c r="X20" i="72"/>
  <c r="K25" i="72"/>
  <c r="Y17" i="72"/>
  <c r="U22" i="72"/>
  <c r="H21" i="72"/>
  <c r="V24" i="72"/>
  <c r="I19" i="72"/>
  <c r="W20" i="72"/>
  <c r="J25" i="72"/>
  <c r="T22" i="72"/>
  <c r="G21" i="72"/>
  <c r="U24" i="72"/>
  <c r="H19" i="72"/>
  <c r="V20" i="72"/>
  <c r="I25" i="72"/>
  <c r="W17" i="72"/>
  <c r="Y23" i="72"/>
  <c r="X18" i="72"/>
  <c r="W16" i="72"/>
  <c r="E22" i="72"/>
  <c r="R18" i="72"/>
  <c r="E17" i="72"/>
  <c r="Q16" i="72"/>
  <c r="Z21" i="72"/>
  <c r="Z25" i="72"/>
  <c r="V22" i="72"/>
  <c r="D24" i="72"/>
  <c r="K23" i="72"/>
  <c r="H24" i="72"/>
  <c r="O16" i="72"/>
  <c r="S22" i="72"/>
  <c r="F21" i="72"/>
  <c r="T24" i="72"/>
  <c r="G19" i="72"/>
  <c r="U20" i="72"/>
  <c r="H25" i="72"/>
  <c r="E21" i="72"/>
  <c r="S24" i="72"/>
  <c r="F19" i="72"/>
  <c r="T20" i="72"/>
  <c r="G25" i="72"/>
  <c r="U17" i="72"/>
  <c r="D19" i="72"/>
  <c r="S17" i="72"/>
  <c r="P24" i="72"/>
  <c r="P20" i="72"/>
  <c r="N24" i="72"/>
  <c r="K22" i="72"/>
  <c r="K24" i="72"/>
  <c r="U23" i="72"/>
  <c r="I17" i="72"/>
  <c r="Q23" i="72"/>
  <c r="O23" i="72"/>
  <c r="Y21" i="72"/>
  <c r="R22" i="72"/>
  <c r="R20" i="72"/>
  <c r="D25" i="72"/>
  <c r="Q17" i="72"/>
  <c r="M24" i="72"/>
  <c r="M17" i="72"/>
  <c r="J20" i="72"/>
  <c r="V16" i="72"/>
  <c r="U16" i="72"/>
  <c r="D20" i="72"/>
  <c r="A20" i="72"/>
  <c r="P16" i="72"/>
  <c r="AA25" i="72"/>
  <c r="J23" i="72"/>
  <c r="Q22" i="72"/>
  <c r="D21" i="72"/>
  <c r="R24" i="72"/>
  <c r="E19" i="72"/>
  <c r="S20" i="72"/>
  <c r="F25" i="72"/>
  <c r="T17" i="72"/>
  <c r="O22" i="72"/>
  <c r="Q20" i="72"/>
  <c r="N20" i="72"/>
  <c r="Z18" i="72"/>
  <c r="Y18" i="72"/>
  <c r="H20" i="72"/>
  <c r="G20" i="72"/>
  <c r="G17" i="72"/>
  <c r="P23" i="72"/>
  <c r="O18" i="72"/>
  <c r="M18" i="72"/>
  <c r="K18" i="72"/>
  <c r="P22" i="72"/>
  <c r="A21" i="72"/>
  <c r="Q24" i="72"/>
  <c r="E25" i="72"/>
  <c r="A19" i="72"/>
  <c r="O20" i="72"/>
  <c r="O17" i="72"/>
  <c r="AA16" i="72"/>
  <c r="U18" i="72"/>
  <c r="D22" i="72"/>
  <c r="Q18" i="72"/>
  <c r="AA21" i="72"/>
  <c r="W21" i="72"/>
  <c r="J22" i="72"/>
  <c r="I22" i="72"/>
  <c r="W23" i="72"/>
  <c r="J24" i="72"/>
  <c r="H22" i="72"/>
  <c r="V23" i="72"/>
  <c r="I24" i="72"/>
  <c r="W18" i="72"/>
  <c r="G22" i="72"/>
  <c r="N1998" i="50"/>
  <c r="N1999" i="50" s="1"/>
  <c r="V3230" i="50"/>
  <c r="J2642" i="50"/>
  <c r="J3356" i="50"/>
  <c r="AM1555" i="50"/>
  <c r="T3566" i="50"/>
  <c r="AF2852" i="50"/>
  <c r="AD2453" i="50"/>
  <c r="AD3167" i="50" s="1"/>
  <c r="AL1619" i="50"/>
  <c r="AM1619" i="50" s="1"/>
  <c r="F2558" i="50"/>
  <c r="F3272" i="50"/>
  <c r="T2586" i="50"/>
  <c r="T3300" i="50" s="1"/>
  <c r="AL1871" i="50"/>
  <c r="AM1871" i="50" s="1"/>
  <c r="V1956" i="50"/>
  <c r="V1957" i="50" s="1"/>
  <c r="V2668" i="50"/>
  <c r="L1480" i="50"/>
  <c r="L1481" i="50" s="1"/>
  <c r="L2190" i="50"/>
  <c r="L2904" i="50" s="1"/>
  <c r="H1655" i="50"/>
  <c r="H1656" i="50" s="1"/>
  <c r="H2366" i="50"/>
  <c r="H3080" i="50" s="1"/>
  <c r="Z2586" i="50"/>
  <c r="Z3300" i="50"/>
  <c r="AF3300" i="50" s="1"/>
  <c r="J2565" i="50"/>
  <c r="R2565" i="50" s="1"/>
  <c r="J3279" i="50"/>
  <c r="AL1553" i="50"/>
  <c r="AM1553" i="50" s="1"/>
  <c r="Z2268" i="50"/>
  <c r="Z2982" i="50" s="1"/>
  <c r="Z2987" i="50" s="1"/>
  <c r="X1886" i="50"/>
  <c r="X1887" i="50" s="1"/>
  <c r="X2596" i="50"/>
  <c r="X3310" i="50" s="1"/>
  <c r="F2677" i="50"/>
  <c r="F3391" i="50"/>
  <c r="T2186" i="50"/>
  <c r="AF2186" i="50" s="1"/>
  <c r="T2900" i="50"/>
  <c r="AF2900" i="50" s="1"/>
  <c r="N1494" i="50"/>
  <c r="T1495" i="50" s="1"/>
  <c r="N2205" i="50"/>
  <c r="N2919" i="50" s="1"/>
  <c r="N2924" i="50" s="1"/>
  <c r="AD1676" i="50"/>
  <c r="AD1677" i="50" s="1"/>
  <c r="AD2388" i="50"/>
  <c r="AD3102" i="50" s="1"/>
  <c r="L2348" i="50"/>
  <c r="R2348" i="50" s="1"/>
  <c r="AL1734" i="50"/>
  <c r="AM1734" i="50" s="1"/>
  <c r="V2449" i="50"/>
  <c r="V3163" i="50" s="1"/>
  <c r="AF3163" i="50" s="1"/>
  <c r="P1921" i="50"/>
  <c r="V1922" i="50" s="1"/>
  <c r="P2632" i="50"/>
  <c r="P3346" i="50" s="1"/>
  <c r="AD2516" i="50"/>
  <c r="AD3230" i="50"/>
  <c r="AL1533" i="50"/>
  <c r="L2248" i="50"/>
  <c r="L2962" i="50" s="1"/>
  <c r="N2239" i="50"/>
  <c r="N2953" i="50" s="1"/>
  <c r="V2278" i="50"/>
  <c r="V2992" i="50"/>
  <c r="Z1886" i="50"/>
  <c r="Z1887" i="50" s="1"/>
  <c r="Z2598" i="50"/>
  <c r="Z3312" i="50" s="1"/>
  <c r="P1655" i="50"/>
  <c r="P1656" i="50" s="1"/>
  <c r="P2366" i="50"/>
  <c r="P3080" i="50" s="1"/>
  <c r="N2180" i="50"/>
  <c r="N2894" i="50"/>
  <c r="N2896" i="50" s="1"/>
  <c r="X2388" i="50"/>
  <c r="X3102" i="50" s="1"/>
  <c r="H2921" i="50"/>
  <c r="H2924" i="50" s="1"/>
  <c r="H2207" i="50"/>
  <c r="J2551" i="50"/>
  <c r="J3265" i="50"/>
  <c r="AD1473" i="50"/>
  <c r="AD2184" i="50"/>
  <c r="AD2898" i="50" s="1"/>
  <c r="AD2903" i="50" s="1"/>
  <c r="F1529" i="50"/>
  <c r="F2242" i="50"/>
  <c r="AB1515" i="50"/>
  <c r="AB1516" i="50" s="1"/>
  <c r="AB2225" i="50"/>
  <c r="AB2939" i="50" s="1"/>
  <c r="AB2945" i="50" s="1"/>
  <c r="V1970" i="50"/>
  <c r="V2683" i="50"/>
  <c r="V3397" i="50" s="1"/>
  <c r="H2047" i="50"/>
  <c r="H2048" i="50" s="1"/>
  <c r="H2759" i="50"/>
  <c r="H3473" i="50" s="1"/>
  <c r="R3473" i="50" s="1"/>
  <c r="P3398" i="50"/>
  <c r="R3398" i="50" s="1"/>
  <c r="AH3398" i="50" s="1"/>
  <c r="R2684" i="50"/>
  <c r="AH2684" i="50" s="1"/>
  <c r="L2775" i="50"/>
  <c r="L3489" i="50"/>
  <c r="AL1751" i="50"/>
  <c r="AM1751" i="50" s="1"/>
  <c r="P1480" i="50"/>
  <c r="P1481" i="50" s="1"/>
  <c r="J3433" i="50"/>
  <c r="T3404" i="50"/>
  <c r="AF3404" i="50" s="1"/>
  <c r="T2425" i="50"/>
  <c r="T3139" i="50" s="1"/>
  <c r="H2719" i="50"/>
  <c r="H3433" i="50" s="1"/>
  <c r="H3435" i="50" s="1"/>
  <c r="V2054" i="50"/>
  <c r="V2055" i="50" s="1"/>
  <c r="V2765" i="50"/>
  <c r="V3479" i="50" s="1"/>
  <c r="H2761" i="50"/>
  <c r="H3475" i="50" s="1"/>
  <c r="Z2054" i="50"/>
  <c r="Z2055" i="50" s="1"/>
  <c r="Z2765" i="50"/>
  <c r="Z3479" i="50" s="1"/>
  <c r="AB1886" i="50"/>
  <c r="AB1887" i="50" s="1"/>
  <c r="AB2596" i="50"/>
  <c r="AB3310" i="50" s="1"/>
  <c r="AL1870" i="50"/>
  <c r="AM1870" i="50" s="1"/>
  <c r="AF2306" i="50"/>
  <c r="AL1454" i="50"/>
  <c r="AM1454" i="50" s="1"/>
  <c r="L2633" i="50"/>
  <c r="L3347" i="50" s="1"/>
  <c r="L1921" i="50"/>
  <c r="P1922" i="50" s="1"/>
  <c r="H3083" i="50"/>
  <c r="R3083" i="50" s="1"/>
  <c r="R2369" i="50"/>
  <c r="J1480" i="50"/>
  <c r="J1481" i="50" s="1"/>
  <c r="N3489" i="50"/>
  <c r="P3559" i="50"/>
  <c r="P3561" i="50" s="1"/>
  <c r="H2131" i="50"/>
  <c r="H2132" i="50" s="1"/>
  <c r="H2844" i="50"/>
  <c r="H3558" i="50" s="1"/>
  <c r="V1676" i="50"/>
  <c r="V1677" i="50" s="1"/>
  <c r="V2387" i="50"/>
  <c r="V3101" i="50" s="1"/>
  <c r="AB1669" i="50"/>
  <c r="AB1670" i="50" s="1"/>
  <c r="AB2381" i="50"/>
  <c r="AB3095" i="50" s="1"/>
  <c r="AF2901" i="50"/>
  <c r="P3355" i="50"/>
  <c r="X3041" i="50"/>
  <c r="AF3041" i="50" s="1"/>
  <c r="AF2327" i="50"/>
  <c r="H2551" i="50"/>
  <c r="R2551" i="50" s="1"/>
  <c r="H3265" i="50"/>
  <c r="R3265" i="50" s="1"/>
  <c r="J2241" i="50"/>
  <c r="J2955" i="50" s="1"/>
  <c r="X2267" i="50"/>
  <c r="X2981" i="50" s="1"/>
  <c r="AL1485" i="50"/>
  <c r="AM1485" i="50" s="1"/>
  <c r="H2200" i="50"/>
  <c r="H2914" i="50" s="1"/>
  <c r="R2914" i="50" s="1"/>
  <c r="X1676" i="50"/>
  <c r="X1677" i="50" s="1"/>
  <c r="H3293" i="50"/>
  <c r="R2579" i="50"/>
  <c r="Z2345" i="50"/>
  <c r="Z3059" i="50" s="1"/>
  <c r="Z3064" i="50" s="1"/>
  <c r="V1515" i="50"/>
  <c r="V1516" i="50" s="1"/>
  <c r="V2225" i="50"/>
  <c r="V2939" i="50" s="1"/>
  <c r="J1620" i="50"/>
  <c r="J1621" i="50" s="1"/>
  <c r="H2348" i="50"/>
  <c r="H3062" i="50"/>
  <c r="N2978" i="50"/>
  <c r="J3160" i="50"/>
  <c r="J2446" i="50"/>
  <c r="J2880" i="50"/>
  <c r="L2047" i="50"/>
  <c r="L2048" i="50" s="1"/>
  <c r="X2800" i="50"/>
  <c r="X3514" i="50" s="1"/>
  <c r="AB2745" i="50"/>
  <c r="AB3459" i="50" s="1"/>
  <c r="Z2033" i="50"/>
  <c r="Z2034" i="50" s="1"/>
  <c r="J1830" i="50"/>
  <c r="J1831" i="50" s="1"/>
  <c r="AB2929" i="50"/>
  <c r="X2789" i="50"/>
  <c r="X3503" i="50" s="1"/>
  <c r="F2633" i="50"/>
  <c r="X1774" i="50"/>
  <c r="X1775" i="50" s="1"/>
  <c r="L2585" i="50"/>
  <c r="L3299" i="50" s="1"/>
  <c r="H1935" i="50"/>
  <c r="H1936" i="50" s="1"/>
  <c r="X1634" i="50"/>
  <c r="X1635" i="50" s="1"/>
  <c r="Z2929" i="50"/>
  <c r="N1830" i="50"/>
  <c r="AL1919" i="50"/>
  <c r="H2929" i="50"/>
  <c r="Z1970" i="50"/>
  <c r="Z1971" i="50" s="1"/>
  <c r="J2655" i="50"/>
  <c r="J3369" i="50" s="1"/>
  <c r="R3369" i="50" s="1"/>
  <c r="L2757" i="50"/>
  <c r="L3471" i="50" s="1"/>
  <c r="AD2054" i="50"/>
  <c r="AD2055" i="50" s="1"/>
  <c r="T1452" i="50"/>
  <c r="AD2801" i="50"/>
  <c r="AD3515" i="50" s="1"/>
  <c r="J1935" i="50"/>
  <c r="J1936" i="50" s="1"/>
  <c r="V2033" i="50"/>
  <c r="V2034" i="50" s="1"/>
  <c r="AL1946" i="50"/>
  <c r="AM1946" i="50" s="1"/>
  <c r="V1662" i="50"/>
  <c r="V1663" i="50" s="1"/>
  <c r="T2033" i="50"/>
  <c r="X1970" i="50"/>
  <c r="X1971" i="50" s="1"/>
  <c r="L2005" i="50"/>
  <c r="L2006" i="50" s="1"/>
  <c r="H1816" i="50"/>
  <c r="H1817" i="50" s="1"/>
  <c r="L3524" i="50"/>
  <c r="L1935" i="50"/>
  <c r="X3440" i="50"/>
  <c r="P1711" i="50"/>
  <c r="P1712" i="50" s="1"/>
  <c r="P1816" i="50"/>
  <c r="T1543" i="50"/>
  <c r="T1544" i="50" s="1"/>
  <c r="Z1676" i="50"/>
  <c r="Z1677" i="50" s="1"/>
  <c r="H1494" i="50"/>
  <c r="H1495" i="50" s="1"/>
  <c r="L2383" i="50"/>
  <c r="L3097" i="50" s="1"/>
  <c r="H3349" i="50"/>
  <c r="T2656" i="50"/>
  <c r="T3370" i="50" s="1"/>
  <c r="V1739" i="50"/>
  <c r="V1740" i="50" s="1"/>
  <c r="L1466" i="50"/>
  <c r="AL1875" i="50"/>
  <c r="AM1875" i="50" s="1"/>
  <c r="AD779" i="50"/>
  <c r="L767" i="50"/>
  <c r="X767" i="50"/>
  <c r="Z767" i="50"/>
  <c r="N764" i="50"/>
  <c r="X779" i="50"/>
  <c r="Z779" i="50"/>
  <c r="P767" i="50"/>
  <c r="AD767" i="50"/>
  <c r="H764" i="50"/>
  <c r="J764" i="50"/>
  <c r="BP19" i="49"/>
  <c r="BU19" i="49" s="1"/>
  <c r="T20" i="50"/>
  <c r="T735" i="50" s="1"/>
  <c r="P743" i="50"/>
  <c r="T753" i="50"/>
  <c r="AB753" i="50"/>
  <c r="Z2170" i="50"/>
  <c r="Z2884" i="50" s="1"/>
  <c r="L2170" i="50"/>
  <c r="L2884" i="50" s="1"/>
  <c r="P753" i="50"/>
  <c r="J743" i="50"/>
  <c r="P729" i="50"/>
  <c r="AD753" i="50"/>
  <c r="H743" i="50"/>
  <c r="L743" i="50"/>
  <c r="AF2166" i="50"/>
  <c r="AD2170" i="50"/>
  <c r="AD2884" i="50" s="1"/>
  <c r="X2170" i="50"/>
  <c r="X2884" i="50" s="1"/>
  <c r="R2908" i="50"/>
  <c r="Z2729" i="50"/>
  <c r="Z3443" i="50" s="1"/>
  <c r="X2778" i="50"/>
  <c r="X3492" i="50" s="1"/>
  <c r="T1292" i="50"/>
  <c r="AF1292" i="50" s="1"/>
  <c r="P1278" i="50"/>
  <c r="BP92" i="49"/>
  <c r="BU92" i="49" s="1"/>
  <c r="L212" i="50"/>
  <c r="L927" i="50" s="1"/>
  <c r="P1326" i="50"/>
  <c r="L674" i="50"/>
  <c r="L1389" i="50" s="1"/>
  <c r="N450" i="50"/>
  <c r="N1165" i="50" s="1"/>
  <c r="P548" i="50"/>
  <c r="P1263" i="50" s="1"/>
  <c r="L387" i="50"/>
  <c r="L1102" i="50" s="1"/>
  <c r="J934" i="50"/>
  <c r="H303" i="50"/>
  <c r="H1018" i="50" s="1"/>
  <c r="J1326" i="50"/>
  <c r="P450" i="50"/>
  <c r="P1165" i="50" s="1"/>
  <c r="L548" i="50"/>
  <c r="L1263" i="50" s="1"/>
  <c r="H513" i="50"/>
  <c r="H1228" i="50" s="1"/>
  <c r="BP88" i="49"/>
  <c r="BU88" i="49" s="1"/>
  <c r="AO152" i="50"/>
  <c r="F303" i="50"/>
  <c r="L1326" i="50"/>
  <c r="L450" i="50"/>
  <c r="L1165" i="50" s="1"/>
  <c r="J548" i="50"/>
  <c r="J1263" i="50" s="1"/>
  <c r="F513" i="50"/>
  <c r="N303" i="50"/>
  <c r="N1018" i="50" s="1"/>
  <c r="H674" i="50"/>
  <c r="H1389" i="50" s="1"/>
  <c r="N513" i="50"/>
  <c r="N1228" i="50" s="1"/>
  <c r="H387" i="50"/>
  <c r="H1102" i="50" s="1"/>
  <c r="H934" i="50"/>
  <c r="AH660" i="50"/>
  <c r="BP109" i="49"/>
  <c r="BU109" i="49" s="1"/>
  <c r="F674" i="50"/>
  <c r="F1389" i="50" s="1"/>
  <c r="P513" i="50"/>
  <c r="P1228" i="50" s="1"/>
  <c r="F387" i="50"/>
  <c r="L303" i="50"/>
  <c r="L1018" i="50" s="1"/>
  <c r="H1326" i="50"/>
  <c r="N674" i="50"/>
  <c r="N1389" i="50" s="1"/>
  <c r="H450" i="50"/>
  <c r="H1165" i="50" s="1"/>
  <c r="H548" i="50"/>
  <c r="H1263" i="50" s="1"/>
  <c r="J513" i="50"/>
  <c r="J1228" i="50" s="1"/>
  <c r="N387" i="50"/>
  <c r="N1102" i="50" s="1"/>
  <c r="N934" i="50"/>
  <c r="P303" i="50"/>
  <c r="P1018" i="50" s="1"/>
  <c r="J303" i="50"/>
  <c r="J1018" i="50" s="1"/>
  <c r="F1326" i="50"/>
  <c r="F450" i="50"/>
  <c r="F548" i="50"/>
  <c r="F1263" i="50" s="1"/>
  <c r="P934" i="50"/>
  <c r="L751" i="50"/>
  <c r="J774" i="50"/>
  <c r="AD774" i="50"/>
  <c r="L774" i="50"/>
  <c r="T774" i="50"/>
  <c r="Z774" i="50"/>
  <c r="AB774" i="50"/>
  <c r="H751" i="50"/>
  <c r="H774" i="50"/>
  <c r="J751" i="50"/>
  <c r="N774" i="50"/>
  <c r="X774" i="50"/>
  <c r="R2194" i="50"/>
  <c r="X736" i="50"/>
  <c r="Z828" i="50"/>
  <c r="AB289" i="50"/>
  <c r="AB1004" i="50" s="1"/>
  <c r="F246" i="50"/>
  <c r="H422" i="50"/>
  <c r="H1137" i="50" s="1"/>
  <c r="H1227" i="50"/>
  <c r="J618" i="50"/>
  <c r="J1333" i="50" s="1"/>
  <c r="X1103" i="50"/>
  <c r="H2190" i="50"/>
  <c r="H2904" i="50" s="1"/>
  <c r="Z2582" i="50"/>
  <c r="Z3296" i="50" s="1"/>
  <c r="Z2725" i="50"/>
  <c r="Z3439" i="50" s="1"/>
  <c r="BP18" i="49"/>
  <c r="BU18" i="49" s="1"/>
  <c r="BP84" i="49"/>
  <c r="BU84" i="49" s="1"/>
  <c r="N2627" i="50"/>
  <c r="N3341" i="50" s="1"/>
  <c r="AM1919" i="50"/>
  <c r="X2732" i="50"/>
  <c r="X3446" i="50" s="1"/>
  <c r="T2662" i="50"/>
  <c r="T3376" i="50" s="1"/>
  <c r="AF3111" i="50"/>
  <c r="X2656" i="50"/>
  <c r="V2312" i="50"/>
  <c r="V3026" i="50" s="1"/>
  <c r="AD736" i="50"/>
  <c r="AB828" i="50"/>
  <c r="T367" i="50"/>
  <c r="T1082" i="50" s="1"/>
  <c r="AF1082" i="50" s="1"/>
  <c r="H702" i="50"/>
  <c r="H1417" i="50" s="1"/>
  <c r="N246" i="50"/>
  <c r="N961" i="50" s="1"/>
  <c r="N422" i="50"/>
  <c r="N1137" i="50" s="1"/>
  <c r="N1227" i="50"/>
  <c r="M123" i="35"/>
  <c r="N54" i="38" s="1"/>
  <c r="F475" i="50"/>
  <c r="F1190" i="50" s="1"/>
  <c r="AD1103" i="50"/>
  <c r="AB2725" i="50"/>
  <c r="AB3439" i="50" s="1"/>
  <c r="N2479" i="50"/>
  <c r="N3193" i="50" s="1"/>
  <c r="AH461" i="50"/>
  <c r="D6" i="32"/>
  <c r="D5" i="32"/>
  <c r="AD367" i="50"/>
  <c r="AD1082" i="50" s="1"/>
  <c r="X289" i="50"/>
  <c r="X1004" i="50" s="1"/>
  <c r="F702" i="50"/>
  <c r="F1417" i="50" s="1"/>
  <c r="P246" i="50"/>
  <c r="P961" i="50" s="1"/>
  <c r="P422" i="50"/>
  <c r="P1137" i="50" s="1"/>
  <c r="P1227" i="50"/>
  <c r="J475" i="50"/>
  <c r="J1190" i="50" s="1"/>
  <c r="V1103" i="50"/>
  <c r="V2375" i="50"/>
  <c r="V3089" i="50" s="1"/>
  <c r="BP16" i="49"/>
  <c r="BU16" i="49" s="1"/>
  <c r="AB961" i="50"/>
  <c r="Z736" i="50"/>
  <c r="T289" i="50"/>
  <c r="T1004" i="50" s="1"/>
  <c r="N702" i="50"/>
  <c r="N1417" i="50" s="1"/>
  <c r="J1227" i="50"/>
  <c r="H618" i="50"/>
  <c r="H1333" i="50" s="1"/>
  <c r="L475" i="50"/>
  <c r="Z1103" i="50"/>
  <c r="P1103" i="50"/>
  <c r="AD1145" i="50"/>
  <c r="T2582" i="50"/>
  <c r="T3296" i="50" s="1"/>
  <c r="N2430" i="50"/>
  <c r="N3144" i="50" s="1"/>
  <c r="Z2662" i="50"/>
  <c r="Z3376" i="50" s="1"/>
  <c r="AL1500" i="50"/>
  <c r="AM1500" i="50" s="1"/>
  <c r="P1935" i="50"/>
  <c r="T1936" i="50" s="1"/>
  <c r="X2479" i="50"/>
  <c r="X3193" i="50" s="1"/>
  <c r="J1886" i="50"/>
  <c r="J1887" i="50" s="1"/>
  <c r="BU142" i="49"/>
  <c r="X2582" i="50"/>
  <c r="X3296" i="50" s="1"/>
  <c r="AB2793" i="50"/>
  <c r="AB3507" i="50" s="1"/>
  <c r="AD2663" i="50"/>
  <c r="AD3377" i="50" s="1"/>
  <c r="AB2410" i="50"/>
  <c r="AB3124" i="50" s="1"/>
  <c r="AL1562" i="50"/>
  <c r="AM1562" i="50" s="1"/>
  <c r="V2236" i="50"/>
  <c r="V2950" i="50" s="1"/>
  <c r="P1799" i="50"/>
  <c r="P2514" i="50" s="1"/>
  <c r="P3228" i="50" s="1"/>
  <c r="N1704" i="50"/>
  <c r="N1705" i="50" s="1"/>
  <c r="R1369" i="50"/>
  <c r="AD1576" i="50"/>
  <c r="Z1576" i="50"/>
  <c r="V1576" i="50"/>
  <c r="AB1576" i="50"/>
  <c r="AB2291" i="50" s="1"/>
  <c r="AB3005" i="50" s="1"/>
  <c r="F1492" i="50"/>
  <c r="F1494" i="50" s="1"/>
  <c r="L1492" i="50"/>
  <c r="L2207" i="50" s="1"/>
  <c r="L2921" i="50" s="1"/>
  <c r="L2924" i="50" s="1"/>
  <c r="P1492" i="50"/>
  <c r="P2207" i="50" s="1"/>
  <c r="P2921" i="50" s="1"/>
  <c r="AD828" i="50"/>
  <c r="AB1860" i="50"/>
  <c r="AB2575" i="50" s="1"/>
  <c r="AB3289" i="50" s="1"/>
  <c r="F1655" i="50"/>
  <c r="P1690" i="50"/>
  <c r="P1691" i="50" s="1"/>
  <c r="AH2121" i="50"/>
  <c r="AB2582" i="50"/>
  <c r="AB3296" i="50" s="1"/>
  <c r="BJ20" i="49"/>
  <c r="M245" i="49"/>
  <c r="BJ245" i="49" s="1"/>
  <c r="Z2778" i="50"/>
  <c r="Z3492" i="50" s="1"/>
  <c r="BJ17" i="49"/>
  <c r="M242" i="49"/>
  <c r="BJ242" i="49" s="1"/>
  <c r="J245" i="49"/>
  <c r="BH251" i="49"/>
  <c r="BP251" i="49" s="1"/>
  <c r="BU251" i="49" s="1"/>
  <c r="J251" i="49"/>
  <c r="BH253" i="49"/>
  <c r="BP253" i="49" s="1"/>
  <c r="BU253" i="49" s="1"/>
  <c r="J253" i="49"/>
  <c r="BJ18" i="49"/>
  <c r="M243" i="49"/>
  <c r="BJ243" i="49" s="1"/>
  <c r="M246" i="49"/>
  <c r="BJ246" i="49" s="1"/>
  <c r="BJ21" i="49"/>
  <c r="J250" i="49"/>
  <c r="BH250" i="49"/>
  <c r="BP250" i="49" s="1"/>
  <c r="BU250" i="49" s="1"/>
  <c r="BJ19" i="49"/>
  <c r="M244" i="49"/>
  <c r="BJ244" i="49" s="1"/>
  <c r="A27" i="72"/>
  <c r="R1320" i="50"/>
  <c r="R1299" i="50"/>
  <c r="D1516" i="50"/>
  <c r="D1509" i="50"/>
  <c r="F1383" i="50"/>
  <c r="X760" i="50"/>
  <c r="T760" i="50"/>
  <c r="AD760" i="50"/>
  <c r="AB760" i="50"/>
  <c r="BP21" i="49"/>
  <c r="BU21" i="49" s="1"/>
  <c r="AH2112" i="50"/>
  <c r="L2112" i="50"/>
  <c r="L2827" i="50" s="1"/>
  <c r="L3541" i="50" s="1"/>
  <c r="J2112" i="50"/>
  <c r="J2827" i="50" s="1"/>
  <c r="J3541" i="50" s="1"/>
  <c r="F2112" i="50"/>
  <c r="F2827" i="50" s="1"/>
  <c r="F3541" i="50" s="1"/>
  <c r="P2112" i="50"/>
  <c r="P2827" i="50" s="1"/>
  <c r="P3541" i="50" s="1"/>
  <c r="N2112" i="50"/>
  <c r="N2827" i="50" s="1"/>
  <c r="N3541" i="50" s="1"/>
  <c r="V174" i="50"/>
  <c r="V889" i="50" s="1"/>
  <c r="H503" i="50"/>
  <c r="J503" i="50"/>
  <c r="T602" i="50"/>
  <c r="T1317" i="50" s="1"/>
  <c r="AB602" i="50"/>
  <c r="AB1317" i="50" s="1"/>
  <c r="X608" i="50"/>
  <c r="Z608" i="50"/>
  <c r="Z1323" i="50" s="1"/>
  <c r="N266" i="50"/>
  <c r="N981" i="50" s="1"/>
  <c r="X665" i="50"/>
  <c r="X1380" i="50" s="1"/>
  <c r="V665" i="50"/>
  <c r="V1380" i="50" s="1"/>
  <c r="X203" i="50"/>
  <c r="X918" i="50" s="1"/>
  <c r="V203" i="50"/>
  <c r="V918" i="50" s="1"/>
  <c r="N244" i="50"/>
  <c r="N959" i="50" s="1"/>
  <c r="AD461" i="50"/>
  <c r="AD1176" i="50" s="1"/>
  <c r="Z581" i="50"/>
  <c r="Z1296" i="50" s="1"/>
  <c r="Z343" i="50"/>
  <c r="Z1058" i="50" s="1"/>
  <c r="AF1058" i="50" s="1"/>
  <c r="N1480" i="50"/>
  <c r="N1481" i="50" s="1"/>
  <c r="P2054" i="50"/>
  <c r="P2055" i="50" s="1"/>
  <c r="P2765" i="50"/>
  <c r="P3479" i="50" s="1"/>
  <c r="H1690" i="50"/>
  <c r="H1691" i="50" s="1"/>
  <c r="H2400" i="50"/>
  <c r="H3114" i="50" s="1"/>
  <c r="H3120" i="50" s="1"/>
  <c r="T1313" i="50"/>
  <c r="AF1313" i="50" s="1"/>
  <c r="T174" i="50"/>
  <c r="AL174" i="50" s="1"/>
  <c r="AB174" i="50"/>
  <c r="AB889" i="50" s="1"/>
  <c r="N503" i="50"/>
  <c r="Z602" i="50"/>
  <c r="Z1317" i="50" s="1"/>
  <c r="T608" i="50"/>
  <c r="F266" i="50"/>
  <c r="J266" i="50"/>
  <c r="J981" i="50" s="1"/>
  <c r="AD665" i="50"/>
  <c r="AD1380" i="50" s="1"/>
  <c r="T203" i="50"/>
  <c r="T918" i="50" s="1"/>
  <c r="H244" i="50"/>
  <c r="H959" i="50" s="1"/>
  <c r="J244" i="50"/>
  <c r="X461" i="50"/>
  <c r="Z461" i="50"/>
  <c r="Z1176" i="50" s="1"/>
  <c r="T581" i="50"/>
  <c r="T1296" i="50" s="1"/>
  <c r="AB581" i="50"/>
  <c r="AB1296" i="50" s="1"/>
  <c r="X343" i="50"/>
  <c r="X1058" i="50" s="1"/>
  <c r="AB343" i="50"/>
  <c r="AB1058" i="50" s="1"/>
  <c r="H2112" i="50"/>
  <c r="H2827" i="50" s="1"/>
  <c r="H3541" i="50" s="1"/>
  <c r="H3547" i="50" s="1"/>
  <c r="AH174" i="50"/>
  <c r="X2033" i="50"/>
  <c r="X2034" i="50" s="1"/>
  <c r="X2746" i="50"/>
  <c r="X3460" i="50" s="1"/>
  <c r="X3463" i="50" s="1"/>
  <c r="AH266" i="50"/>
  <c r="T2796" i="50"/>
  <c r="T3510" i="50" s="1"/>
  <c r="T2083" i="50"/>
  <c r="V2283" i="50"/>
  <c r="V2997" i="50" s="1"/>
  <c r="AL1568" i="50"/>
  <c r="AM1568" i="50" s="1"/>
  <c r="AL1692" i="50"/>
  <c r="AM1692" i="50" s="1"/>
  <c r="V2407" i="50"/>
  <c r="V3121" i="50" s="1"/>
  <c r="AF3121" i="50" s="1"/>
  <c r="AL1493" i="50"/>
  <c r="AM1493" i="50" s="1"/>
  <c r="V2208" i="50"/>
  <c r="V2922" i="50" s="1"/>
  <c r="N2509" i="50"/>
  <c r="AL1794" i="50"/>
  <c r="AM1794" i="50" s="1"/>
  <c r="L1557" i="50"/>
  <c r="L1558" i="50" s="1"/>
  <c r="L2270" i="50"/>
  <c r="L2984" i="50" s="1"/>
  <c r="V2348" i="50"/>
  <c r="V3062" i="50" s="1"/>
  <c r="V1634" i="50"/>
  <c r="V1635" i="50" s="1"/>
  <c r="L2187" i="50"/>
  <c r="R2187" i="50" s="1"/>
  <c r="AH2187" i="50" s="1"/>
  <c r="P406" i="50"/>
  <c r="P1121" i="50" s="1"/>
  <c r="P503" i="50"/>
  <c r="P1218" i="50" s="1"/>
  <c r="X602" i="50"/>
  <c r="X1317" i="50" s="1"/>
  <c r="V602" i="50"/>
  <c r="V1317" i="50" s="1"/>
  <c r="V608" i="50"/>
  <c r="V1323" i="50" s="1"/>
  <c r="H266" i="50"/>
  <c r="H981" i="50" s="1"/>
  <c r="Z665" i="50"/>
  <c r="Z1380" i="50" s="1"/>
  <c r="Z203" i="50"/>
  <c r="Z918" i="50" s="1"/>
  <c r="F244" i="50"/>
  <c r="L244" i="50"/>
  <c r="L249" i="50" s="1"/>
  <c r="T461" i="50"/>
  <c r="T1176" i="50" s="1"/>
  <c r="AB461" i="50"/>
  <c r="AD581" i="50"/>
  <c r="AD1296" i="50" s="1"/>
  <c r="AD343" i="50"/>
  <c r="AD1058" i="50" s="1"/>
  <c r="H1620" i="50"/>
  <c r="H1621" i="50" s="1"/>
  <c r="H2331" i="50"/>
  <c r="H3045" i="50" s="1"/>
  <c r="H2088" i="50"/>
  <c r="H2803" i="50" s="1"/>
  <c r="J2088" i="50"/>
  <c r="F1816" i="50"/>
  <c r="AF2397" i="50"/>
  <c r="F2726" i="50"/>
  <c r="F3440" i="50" s="1"/>
  <c r="R3440" i="50" s="1"/>
  <c r="AL1735" i="50"/>
  <c r="AM1735" i="50" s="1"/>
  <c r="AH689" i="50"/>
  <c r="AL1629" i="50"/>
  <c r="AM1629" i="50" s="1"/>
  <c r="H2344" i="50"/>
  <c r="H3058" i="50" s="1"/>
  <c r="AD1973" i="50"/>
  <c r="AD2688" i="50" s="1"/>
  <c r="AD3402" i="50" s="1"/>
  <c r="Z1973" i="50"/>
  <c r="Z2688" i="50" s="1"/>
  <c r="Z3402" i="50" s="1"/>
  <c r="AO1698" i="50"/>
  <c r="T1698" i="50" s="1"/>
  <c r="P1694" i="50"/>
  <c r="AH1597" i="50"/>
  <c r="J1597" i="50"/>
  <c r="J2312" i="50" s="1"/>
  <c r="J3026" i="50" s="1"/>
  <c r="AH1521" i="50"/>
  <c r="L1521" i="50"/>
  <c r="L1522" i="50" s="1"/>
  <c r="L1523" i="50" s="1"/>
  <c r="L1955" i="50"/>
  <c r="L1956" i="50" s="1"/>
  <c r="L1957" i="50" s="1"/>
  <c r="AH1955" i="50"/>
  <c r="L1716" i="50"/>
  <c r="L2431" i="50" s="1"/>
  <c r="L3145" i="50" s="1"/>
  <c r="L3148" i="50" s="1"/>
  <c r="H1716" i="50"/>
  <c r="H2431" i="50" s="1"/>
  <c r="H3145" i="50" s="1"/>
  <c r="N1716" i="50"/>
  <c r="N2431" i="50" s="1"/>
  <c r="N3145" i="50" s="1"/>
  <c r="T1194" i="50"/>
  <c r="AL479" i="50"/>
  <c r="AM479" i="50" s="1"/>
  <c r="AL1842" i="50"/>
  <c r="AM1842" i="50" s="1"/>
  <c r="AL1828" i="50"/>
  <c r="AM1828" i="50" s="1"/>
  <c r="J2543" i="50"/>
  <c r="J3257" i="50" s="1"/>
  <c r="H2600" i="50"/>
  <c r="H3314" i="50" s="1"/>
  <c r="H1886" i="50"/>
  <c r="H1887" i="50" s="1"/>
  <c r="AL1885" i="50"/>
  <c r="AM1885" i="50" s="1"/>
  <c r="AD1949" i="50"/>
  <c r="AB1473" i="50"/>
  <c r="J1536" i="50"/>
  <c r="J1537" i="50" s="1"/>
  <c r="N1711" i="50"/>
  <c r="N1712" i="50" s="1"/>
  <c r="J1655" i="50"/>
  <c r="J1656" i="50" s="1"/>
  <c r="AD1788" i="50"/>
  <c r="AB1550" i="50"/>
  <c r="AB1551" i="50" s="1"/>
  <c r="AF2600" i="50"/>
  <c r="R1222" i="50"/>
  <c r="AL1484" i="50"/>
  <c r="AM1484" i="50" s="1"/>
  <c r="AL1958" i="50"/>
  <c r="AM1958" i="50" s="1"/>
  <c r="R1166" i="50"/>
  <c r="AD1886" i="50"/>
  <c r="AD1887" i="50" s="1"/>
  <c r="N1536" i="50"/>
  <c r="N1537" i="50" s="1"/>
  <c r="T1774" i="50"/>
  <c r="AB2677" i="50"/>
  <c r="AF2677" i="50" s="1"/>
  <c r="AB2131" i="50"/>
  <c r="AB2132" i="50" s="1"/>
  <c r="AH247" i="50"/>
  <c r="T1669" i="50"/>
  <c r="V1669" i="50"/>
  <c r="V1670" i="50" s="1"/>
  <c r="N2005" i="50"/>
  <c r="N2006" i="50" s="1"/>
  <c r="T2827" i="50"/>
  <c r="T3541" i="50" s="1"/>
  <c r="AB1739" i="50"/>
  <c r="AB1740" i="50" s="1"/>
  <c r="N1886" i="50"/>
  <c r="N1887" i="50" s="1"/>
  <c r="Z1557" i="50"/>
  <c r="Z1558" i="50" s="1"/>
  <c r="R2922" i="50"/>
  <c r="AL1574" i="50"/>
  <c r="AM1574" i="50" s="1"/>
  <c r="L1830" i="50"/>
  <c r="L1831" i="50" s="1"/>
  <c r="Z1774" i="50"/>
  <c r="Z1775" i="50" s="1"/>
  <c r="AL1790" i="50"/>
  <c r="N1684" i="50"/>
  <c r="AF15" i="72"/>
  <c r="AD2732" i="50"/>
  <c r="AD3446" i="50" s="1"/>
  <c r="AH638" i="50"/>
  <c r="L2096" i="50"/>
  <c r="L2097" i="50" s="1"/>
  <c r="AD1739" i="50"/>
  <c r="AD1740" i="50" s="1"/>
  <c r="AL1674" i="50"/>
  <c r="AM1674" i="50" s="1"/>
  <c r="AL1448" i="50"/>
  <c r="AM1448" i="50" s="1"/>
  <c r="T1515" i="50"/>
  <c r="AB2261" i="50"/>
  <c r="AB2975" i="50" s="1"/>
  <c r="P2131" i="50"/>
  <c r="P2132" i="50" s="1"/>
  <c r="AL1525" i="50"/>
  <c r="AM1525" i="50" s="1"/>
  <c r="AF2586" i="50"/>
  <c r="AL493" i="50"/>
  <c r="AM493" i="50" s="1"/>
  <c r="AL1477" i="50"/>
  <c r="AM1477" i="50" s="1"/>
  <c r="AL1665" i="50"/>
  <c r="AM1665" i="50" s="1"/>
  <c r="L1977" i="50"/>
  <c r="P1978" i="50" s="1"/>
  <c r="H1557" i="50"/>
  <c r="H1558" i="50" s="1"/>
  <c r="T2013" i="50"/>
  <c r="T2726" i="50"/>
  <c r="AD2676" i="50"/>
  <c r="AD3390" i="50" s="1"/>
  <c r="V2676" i="50"/>
  <c r="V3390" i="50" s="1"/>
  <c r="T2676" i="50"/>
  <c r="T3390" i="50" s="1"/>
  <c r="AD407" i="50"/>
  <c r="AD1122" i="50" s="1"/>
  <c r="V512" i="50"/>
  <c r="X589" i="50"/>
  <c r="X1304" i="50" s="1"/>
  <c r="Z589" i="50"/>
  <c r="Z1304" i="50" s="1"/>
  <c r="V359" i="50"/>
  <c r="V1074" i="50" s="1"/>
  <c r="AD246" i="50"/>
  <c r="AD961" i="50" s="1"/>
  <c r="P212" i="50"/>
  <c r="P927" i="50" s="1"/>
  <c r="P575" i="50"/>
  <c r="P1290" i="50" s="1"/>
  <c r="F1298" i="50"/>
  <c r="L1298" i="50"/>
  <c r="F366" i="50"/>
  <c r="L366" i="50"/>
  <c r="L1081" i="50" s="1"/>
  <c r="T237" i="50"/>
  <c r="T242" i="50" s="1"/>
  <c r="AB237" i="50"/>
  <c r="AB952" i="50" s="1"/>
  <c r="H406" i="50"/>
  <c r="H1121" i="50" s="1"/>
  <c r="L406" i="50"/>
  <c r="L1121" i="50" s="1"/>
  <c r="H314" i="50"/>
  <c r="H1029" i="50" s="1"/>
  <c r="P314" i="50"/>
  <c r="P1029" i="50" s="1"/>
  <c r="T441" i="50"/>
  <c r="T1156" i="50" s="1"/>
  <c r="AB441" i="50"/>
  <c r="AB1156" i="50" s="1"/>
  <c r="F349" i="50"/>
  <c r="F1064" i="50" s="1"/>
  <c r="J349" i="50"/>
  <c r="J1064" i="50" s="1"/>
  <c r="X364" i="50"/>
  <c r="X1079" i="50" s="1"/>
  <c r="Z364" i="50"/>
  <c r="Z1079" i="50" s="1"/>
  <c r="H329" i="50"/>
  <c r="H1044" i="50" s="1"/>
  <c r="J329" i="50"/>
  <c r="J1044" i="50" s="1"/>
  <c r="H678" i="50"/>
  <c r="H1393" i="50" s="1"/>
  <c r="L678" i="50"/>
  <c r="L1393" i="50" s="1"/>
  <c r="AD687" i="50"/>
  <c r="AD1402" i="50" s="1"/>
  <c r="AB687" i="50"/>
  <c r="AB1402" i="50" s="1"/>
  <c r="V443" i="50"/>
  <c r="V1158" i="50" s="1"/>
  <c r="T255" i="50"/>
  <c r="T970" i="50" s="1"/>
  <c r="T352" i="50"/>
  <c r="T1067" i="50" s="1"/>
  <c r="AB352" i="50"/>
  <c r="AB1067" i="50" s="1"/>
  <c r="F456" i="50"/>
  <c r="F1171" i="50" s="1"/>
  <c r="J456" i="50"/>
  <c r="J1171" i="50" s="1"/>
  <c r="H828" i="50"/>
  <c r="F399" i="50"/>
  <c r="H45" i="50"/>
  <c r="H760" i="50" s="1"/>
  <c r="J45" i="50"/>
  <c r="J760" i="50" s="1"/>
  <c r="F272" i="50"/>
  <c r="F987" i="50" s="1"/>
  <c r="L272" i="50"/>
  <c r="T97" i="50"/>
  <c r="T812" i="50" s="1"/>
  <c r="V629" i="50"/>
  <c r="V1344" i="50" s="1"/>
  <c r="X615" i="50"/>
  <c r="X620" i="50" s="1"/>
  <c r="O21" i="49"/>
  <c r="Z756" i="50" s="1"/>
  <c r="S340" i="49"/>
  <c r="S339" i="49"/>
  <c r="S338" i="49"/>
  <c r="S335" i="49"/>
  <c r="S332" i="49"/>
  <c r="S333" i="49"/>
  <c r="S330" i="49"/>
  <c r="S328" i="49"/>
  <c r="S326" i="49"/>
  <c r="S324" i="49"/>
  <c r="S322" i="49"/>
  <c r="S323" i="49"/>
  <c r="S321" i="49"/>
  <c r="S307" i="49"/>
  <c r="S306" i="49"/>
  <c r="S305" i="49"/>
  <c r="S304" i="49"/>
  <c r="S303" i="49"/>
  <c r="S302" i="49"/>
  <c r="S301" i="49"/>
  <c r="S300" i="49"/>
  <c r="S296" i="49"/>
  <c r="S327" i="49"/>
  <c r="S325" i="49"/>
  <c r="S320" i="49"/>
  <c r="S319" i="49"/>
  <c r="S318" i="49"/>
  <c r="S317" i="49"/>
  <c r="S316" i="49"/>
  <c r="S315" i="49"/>
  <c r="S314" i="49"/>
  <c r="S313" i="49"/>
  <c r="S312" i="49"/>
  <c r="S311" i="49"/>
  <c r="S310" i="49"/>
  <c r="S297" i="49"/>
  <c r="S334" i="49"/>
  <c r="S309" i="49"/>
  <c r="S308" i="49"/>
  <c r="S299" i="49"/>
  <c r="S295" i="49"/>
  <c r="S293" i="49"/>
  <c r="S292" i="49"/>
  <c r="S288" i="49"/>
  <c r="S284" i="49"/>
  <c r="S280" i="49"/>
  <c r="S276" i="49"/>
  <c r="S337" i="49"/>
  <c r="S331" i="49"/>
  <c r="S289" i="49"/>
  <c r="S285" i="49"/>
  <c r="S336" i="49"/>
  <c r="S298" i="49"/>
  <c r="S281" i="49"/>
  <c r="S277" i="49"/>
  <c r="S275" i="49"/>
  <c r="S271" i="49"/>
  <c r="S267" i="49"/>
  <c r="S263" i="49"/>
  <c r="S259" i="49"/>
  <c r="S329" i="49"/>
  <c r="S294" i="49"/>
  <c r="S290" i="49"/>
  <c r="S286" i="49"/>
  <c r="S283" i="49"/>
  <c r="S279" i="49"/>
  <c r="S273" i="49"/>
  <c r="S269" i="49"/>
  <c r="S265" i="49"/>
  <c r="S272" i="49"/>
  <c r="S268" i="49"/>
  <c r="S264" i="49"/>
  <c r="S260" i="49"/>
  <c r="S282" i="49"/>
  <c r="S266" i="49"/>
  <c r="S262" i="49"/>
  <c r="S254" i="49"/>
  <c r="S291" i="49"/>
  <c r="S274" i="49"/>
  <c r="S256" i="49"/>
  <c r="S252" i="49"/>
  <c r="S250" i="49"/>
  <c r="S245" i="49"/>
  <c r="S243" i="49"/>
  <c r="S241" i="49"/>
  <c r="S249" i="49"/>
  <c r="S248" i="49"/>
  <c r="S244" i="49"/>
  <c r="S242" i="49"/>
  <c r="S287" i="49"/>
  <c r="S270" i="49"/>
  <c r="S258" i="49"/>
  <c r="S257" i="49"/>
  <c r="S253" i="49"/>
  <c r="S247" i="49"/>
  <c r="S246" i="49"/>
  <c r="S278" i="49"/>
  <c r="S255" i="49"/>
  <c r="S261" i="49"/>
  <c r="Z407" i="50"/>
  <c r="Z410" i="50" s="1"/>
  <c r="AD512" i="50"/>
  <c r="AD589" i="50"/>
  <c r="AD1304" i="50" s="1"/>
  <c r="AB589" i="50"/>
  <c r="AB1304" i="50" s="1"/>
  <c r="T359" i="50"/>
  <c r="T361" i="50" s="1"/>
  <c r="V246" i="50"/>
  <c r="V961" i="50" s="1"/>
  <c r="H212" i="50"/>
  <c r="H927" i="50" s="1"/>
  <c r="J212" i="50"/>
  <c r="J927" i="50" s="1"/>
  <c r="H575" i="50"/>
  <c r="H1290" i="50" s="1"/>
  <c r="J575" i="50"/>
  <c r="J1290" i="50" s="1"/>
  <c r="N366" i="50"/>
  <c r="N1081" i="50" s="1"/>
  <c r="AD237" i="50"/>
  <c r="AD242" i="50" s="1"/>
  <c r="N406" i="50"/>
  <c r="F314" i="50"/>
  <c r="F1029" i="50" s="1"/>
  <c r="J314" i="50"/>
  <c r="AD441" i="50"/>
  <c r="AD1156" i="50" s="1"/>
  <c r="T349" i="50"/>
  <c r="L349" i="50"/>
  <c r="L1064" i="50" s="1"/>
  <c r="T364" i="50"/>
  <c r="T1079" i="50" s="1"/>
  <c r="AB364" i="50"/>
  <c r="AB1079" i="50" s="1"/>
  <c r="F329" i="50"/>
  <c r="F1044" i="50" s="1"/>
  <c r="L329" i="50"/>
  <c r="L1044" i="50" s="1"/>
  <c r="N678" i="50"/>
  <c r="N1393" i="50" s="1"/>
  <c r="T687" i="50"/>
  <c r="T1402" i="50" s="1"/>
  <c r="X443" i="50"/>
  <c r="X1158" i="50" s="1"/>
  <c r="Z443" i="50"/>
  <c r="Z1158" i="50" s="1"/>
  <c r="X255" i="50"/>
  <c r="X970" i="50" s="1"/>
  <c r="Z255" i="50"/>
  <c r="Z970" i="50" s="1"/>
  <c r="AD352" i="50"/>
  <c r="AD1067" i="50" s="1"/>
  <c r="H456" i="50"/>
  <c r="H1171" i="50" s="1"/>
  <c r="L456" i="50"/>
  <c r="L1171" i="50" s="1"/>
  <c r="P884" i="50"/>
  <c r="P281" i="50"/>
  <c r="P996" i="50" s="1"/>
  <c r="N399" i="50"/>
  <c r="N1114" i="50" s="1"/>
  <c r="F45" i="50"/>
  <c r="F760" i="50" s="1"/>
  <c r="L45" i="50"/>
  <c r="L760" i="50" s="1"/>
  <c r="N272" i="50"/>
  <c r="N987" i="50" s="1"/>
  <c r="AD497" i="50"/>
  <c r="AD1212" i="50" s="1"/>
  <c r="AD97" i="50"/>
  <c r="AD812" i="50" s="1"/>
  <c r="X629" i="50"/>
  <c r="X1344" i="50" s="1"/>
  <c r="Z629" i="50"/>
  <c r="Z1344" i="50" s="1"/>
  <c r="T615" i="50"/>
  <c r="T620" i="50" s="1"/>
  <c r="AB615" i="50"/>
  <c r="AB1330" i="50" s="1"/>
  <c r="J2990" i="50"/>
  <c r="R2990" i="50" s="1"/>
  <c r="X3314" i="50"/>
  <c r="AF3314" i="50" s="1"/>
  <c r="L3559" i="50"/>
  <c r="L3561" i="50" s="1"/>
  <c r="R2845" i="50"/>
  <c r="AH2705" i="50"/>
  <c r="T2640" i="50"/>
  <c r="T3354" i="50" s="1"/>
  <c r="N2421" i="50"/>
  <c r="N3135" i="50" s="1"/>
  <c r="N3141" i="50" s="1"/>
  <c r="V2640" i="50"/>
  <c r="V3354" i="50" s="1"/>
  <c r="X2676" i="50"/>
  <c r="X3390" i="50" s="1"/>
  <c r="AH666" i="50"/>
  <c r="N1557" i="50"/>
  <c r="N1558" i="50" s="1"/>
  <c r="N2269" i="50"/>
  <c r="N2983" i="50" s="1"/>
  <c r="R2983" i="50" s="1"/>
  <c r="X2725" i="50"/>
  <c r="X3439" i="50" s="1"/>
  <c r="F1610" i="50"/>
  <c r="F2325" i="50" s="1"/>
  <c r="R2208" i="50"/>
  <c r="X2801" i="50"/>
  <c r="X3515" i="50" s="1"/>
  <c r="X3519" i="50" s="1"/>
  <c r="R2362" i="50"/>
  <c r="AH2362" i="50" s="1"/>
  <c r="AL1846" i="50"/>
  <c r="AM1846" i="50" s="1"/>
  <c r="H2561" i="50"/>
  <c r="H3275" i="50" s="1"/>
  <c r="T1742" i="50"/>
  <c r="T2457" i="50" s="1"/>
  <c r="T3171" i="50" s="1"/>
  <c r="N2047" i="50"/>
  <c r="N2048" i="50" s="1"/>
  <c r="N2757" i="50"/>
  <c r="N3471" i="50" s="1"/>
  <c r="N3477" i="50" s="1"/>
  <c r="AO222" i="50"/>
  <c r="AD2261" i="50"/>
  <c r="AD2975" i="50" s="1"/>
  <c r="AD2980" i="50" s="1"/>
  <c r="N2558" i="50"/>
  <c r="R2558" i="50" s="1"/>
  <c r="N3405" i="50"/>
  <c r="R3405" i="50" s="1"/>
  <c r="R2691" i="50"/>
  <c r="T1327" i="50"/>
  <c r="AD3139" i="50"/>
  <c r="T2268" i="50"/>
  <c r="T2982" i="50" s="1"/>
  <c r="T1557" i="50"/>
  <c r="P2299" i="50"/>
  <c r="R2299" i="50" s="1"/>
  <c r="F2642" i="50"/>
  <c r="R2642" i="50" s="1"/>
  <c r="AL1927" i="50"/>
  <c r="AM1927" i="50" s="1"/>
  <c r="V1886" i="50"/>
  <c r="V1887" i="50" s="1"/>
  <c r="V2597" i="50"/>
  <c r="V3311" i="50" s="1"/>
  <c r="AF3311" i="50" s="1"/>
  <c r="T2172" i="50"/>
  <c r="T2886" i="50" s="1"/>
  <c r="AL1457" i="50"/>
  <c r="AM1457" i="50" s="1"/>
  <c r="H1977" i="50"/>
  <c r="L1978" i="50" s="1"/>
  <c r="H2689" i="50"/>
  <c r="H3403" i="50" s="1"/>
  <c r="V2108" i="50"/>
  <c r="V2823" i="50" s="1"/>
  <c r="V3537" i="50" s="1"/>
  <c r="AD2108" i="50"/>
  <c r="AD2823" i="50" s="1"/>
  <c r="AD3537" i="50" s="1"/>
  <c r="T1980" i="50"/>
  <c r="T2695" i="50" s="1"/>
  <c r="T3409" i="50" s="1"/>
  <c r="AD1980" i="50"/>
  <c r="AD2695" i="50" s="1"/>
  <c r="AD3409" i="50" s="1"/>
  <c r="Z1980" i="50"/>
  <c r="Z2695" i="50" s="1"/>
  <c r="Z3409" i="50" s="1"/>
  <c r="AB1980" i="50"/>
  <c r="AB2695" i="50" s="1"/>
  <c r="AB3409" i="50" s="1"/>
  <c r="V2437" i="50"/>
  <c r="V3151" i="50" s="1"/>
  <c r="L2437" i="50"/>
  <c r="L3151" i="50" s="1"/>
  <c r="T2437" i="50"/>
  <c r="T3151" i="50" s="1"/>
  <c r="AD2437" i="50"/>
  <c r="AD3151" i="50" s="1"/>
  <c r="R3076" i="50"/>
  <c r="X2008" i="50"/>
  <c r="X2723" i="50" s="1"/>
  <c r="X3437" i="50" s="1"/>
  <c r="AB2008" i="50"/>
  <c r="V2008" i="50"/>
  <c r="T2008" i="50"/>
  <c r="T2723" i="50" s="1"/>
  <c r="T3437" i="50" s="1"/>
  <c r="AH2008" i="50"/>
  <c r="J2432" i="50"/>
  <c r="R2432" i="50" s="1"/>
  <c r="J3146" i="50"/>
  <c r="X2382" i="50"/>
  <c r="X3096" i="50" s="1"/>
  <c r="Z2382" i="50"/>
  <c r="Z3096" i="50" s="1"/>
  <c r="V2382" i="50"/>
  <c r="V3096" i="50" s="1"/>
  <c r="AD2382" i="50"/>
  <c r="AD3096" i="50" s="1"/>
  <c r="N2310" i="50"/>
  <c r="N3024" i="50" s="1"/>
  <c r="T2310" i="50"/>
  <c r="T3024" i="50" s="1"/>
  <c r="F2310" i="50"/>
  <c r="F3024" i="50" s="1"/>
  <c r="P2310" i="50"/>
  <c r="P3024" i="50" s="1"/>
  <c r="L2310" i="50"/>
  <c r="L3024" i="50" s="1"/>
  <c r="N3111" i="50"/>
  <c r="R3111" i="50" s="1"/>
  <c r="AH3111" i="50" s="1"/>
  <c r="R2397" i="50"/>
  <c r="AL1461" i="50"/>
  <c r="AM1461" i="50" s="1"/>
  <c r="F2176" i="50"/>
  <c r="F2890" i="50" s="1"/>
  <c r="AL1496" i="50"/>
  <c r="AM1496" i="50" s="1"/>
  <c r="L2211" i="50"/>
  <c r="L2925" i="50" s="1"/>
  <c r="F2166" i="50"/>
  <c r="AL1451" i="50"/>
  <c r="AM1451" i="50" s="1"/>
  <c r="AD2310" i="50"/>
  <c r="AD3024" i="50" s="1"/>
  <c r="T2006" i="50"/>
  <c r="T2719" i="50"/>
  <c r="AF2719" i="50" s="1"/>
  <c r="L2404" i="50"/>
  <c r="L3118" i="50" s="1"/>
  <c r="L3120" i="50" s="1"/>
  <c r="H2166" i="50"/>
  <c r="H2880" i="50"/>
  <c r="T407" i="50"/>
  <c r="T1122" i="50" s="1"/>
  <c r="T512" i="50"/>
  <c r="T1227" i="50" s="1"/>
  <c r="AD359" i="50"/>
  <c r="AL359" i="50" s="1"/>
  <c r="AM359" i="50" s="1"/>
  <c r="AB359" i="50"/>
  <c r="AB1074" i="50" s="1"/>
  <c r="T246" i="50"/>
  <c r="T961" i="50" s="1"/>
  <c r="N212" i="50"/>
  <c r="N927" i="50" s="1"/>
  <c r="N575" i="50"/>
  <c r="N1290" i="50" s="1"/>
  <c r="H366" i="50"/>
  <c r="H1081" i="50" s="1"/>
  <c r="J366" i="50"/>
  <c r="J1081" i="50" s="1"/>
  <c r="X237" i="50"/>
  <c r="F406" i="50"/>
  <c r="J406" i="50"/>
  <c r="J1121" i="50" s="1"/>
  <c r="T314" i="50"/>
  <c r="T319" i="50" s="1"/>
  <c r="X441" i="50"/>
  <c r="X1156" i="50" s="1"/>
  <c r="V441" i="50"/>
  <c r="V1156" i="50" s="1"/>
  <c r="H349" i="50"/>
  <c r="P349" i="50"/>
  <c r="V364" i="50"/>
  <c r="V1079" i="50" s="1"/>
  <c r="P329" i="50"/>
  <c r="P1044" i="50" s="1"/>
  <c r="F678" i="50"/>
  <c r="F1393" i="50" s="1"/>
  <c r="J678" i="50"/>
  <c r="J1393" i="50" s="1"/>
  <c r="X687" i="50"/>
  <c r="X1402" i="50" s="1"/>
  <c r="X352" i="50"/>
  <c r="X1067" i="50" s="1"/>
  <c r="J884" i="50"/>
  <c r="F281" i="50"/>
  <c r="F996" i="50" s="1"/>
  <c r="J281" i="50"/>
  <c r="J996" i="50" s="1"/>
  <c r="H399" i="50"/>
  <c r="H1114" i="50" s="1"/>
  <c r="J399" i="50"/>
  <c r="J1114" i="50" s="1"/>
  <c r="P45" i="50"/>
  <c r="P760" i="50" s="1"/>
  <c r="H272" i="50"/>
  <c r="H987" i="50" s="1"/>
  <c r="J272" i="50"/>
  <c r="J987" i="50" s="1"/>
  <c r="X497" i="50"/>
  <c r="X1212" i="50" s="1"/>
  <c r="V497" i="50"/>
  <c r="V1212" i="50" s="1"/>
  <c r="X97" i="50"/>
  <c r="X812" i="50" s="1"/>
  <c r="V97" i="50"/>
  <c r="V812" i="50" s="1"/>
  <c r="V615" i="50"/>
  <c r="V1330" i="50" s="1"/>
  <c r="L3055" i="50"/>
  <c r="P3363" i="50"/>
  <c r="AF706" i="50"/>
  <c r="AB2764" i="50"/>
  <c r="AB3478" i="50" s="1"/>
  <c r="AB3484" i="50" s="1"/>
  <c r="P2437" i="50"/>
  <c r="P3151" i="50" s="1"/>
  <c r="J2437" i="50"/>
  <c r="J3151" i="50" s="1"/>
  <c r="X2450" i="50"/>
  <c r="X3164" i="50" s="1"/>
  <c r="AF3164" i="50" s="1"/>
  <c r="AD2498" i="50"/>
  <c r="AD3212" i="50" s="1"/>
  <c r="X2345" i="50"/>
  <c r="X3059" i="50" s="1"/>
  <c r="H2541" i="50"/>
  <c r="H3255" i="50" s="1"/>
  <c r="X2486" i="50"/>
  <c r="X3200" i="50" s="1"/>
  <c r="Z2388" i="50"/>
  <c r="Z3102" i="50" s="1"/>
  <c r="P2302" i="50"/>
  <c r="P3016" i="50" s="1"/>
  <c r="T2388" i="50"/>
  <c r="T3102" i="50" s="1"/>
  <c r="AB2437" i="50"/>
  <c r="AB3151" i="50" s="1"/>
  <c r="N2926" i="50"/>
  <c r="G15" i="72"/>
  <c r="AH478" i="50"/>
  <c r="X1980" i="50"/>
  <c r="X2695" i="50" s="1"/>
  <c r="X3409" i="50" s="1"/>
  <c r="N1512" i="50"/>
  <c r="N2227" i="50" s="1"/>
  <c r="N2941" i="50" s="1"/>
  <c r="N2945" i="50" s="1"/>
  <c r="AF2271" i="50"/>
  <c r="V1781" i="50"/>
  <c r="AB1782" i="50" s="1"/>
  <c r="V1592" i="50"/>
  <c r="V1593" i="50" s="1"/>
  <c r="AD2019" i="50"/>
  <c r="AD2020" i="50" s="1"/>
  <c r="AN1747" i="50"/>
  <c r="F1747" i="50" s="1"/>
  <c r="AB2435" i="50"/>
  <c r="AB3149" i="50" s="1"/>
  <c r="AB2310" i="50"/>
  <c r="AB3024" i="50" s="1"/>
  <c r="J2540" i="50"/>
  <c r="J3254" i="50" s="1"/>
  <c r="Z2310" i="50"/>
  <c r="Z3024" i="50" s="1"/>
  <c r="F2437" i="50"/>
  <c r="F3151" i="50" s="1"/>
  <c r="T2767" i="50"/>
  <c r="T3481" i="50" s="1"/>
  <c r="J2310" i="50"/>
  <c r="J3024" i="50" s="1"/>
  <c r="AH412" i="50"/>
  <c r="AL1688" i="50"/>
  <c r="AM1688" i="50" s="1"/>
  <c r="V1980" i="50"/>
  <c r="V2695" i="50" s="1"/>
  <c r="V3409" i="50" s="1"/>
  <c r="J2425" i="50"/>
  <c r="J3139" i="50" s="1"/>
  <c r="R3139" i="50" s="1"/>
  <c r="AL1710" i="50"/>
  <c r="AM1710" i="50" s="1"/>
  <c r="F2985" i="50"/>
  <c r="F2987" i="50" s="1"/>
  <c r="R2271" i="50"/>
  <c r="AF2971" i="50"/>
  <c r="AD2008" i="50"/>
  <c r="AD2723" i="50" s="1"/>
  <c r="AD3437" i="50" s="1"/>
  <c r="AF1411" i="50"/>
  <c r="AM1790" i="50"/>
  <c r="J828" i="50"/>
  <c r="N884" i="50"/>
  <c r="N281" i="50"/>
  <c r="N996" i="50" s="1"/>
  <c r="T497" i="50"/>
  <c r="T1212" i="50" s="1"/>
  <c r="AB497" i="50"/>
  <c r="AB1212" i="50" s="1"/>
  <c r="AB97" i="50"/>
  <c r="Z615" i="50"/>
  <c r="Z620" i="50" s="1"/>
  <c r="R2824" i="50"/>
  <c r="H2389" i="50"/>
  <c r="H3103" i="50" s="1"/>
  <c r="AF3369" i="50"/>
  <c r="H2527" i="50"/>
  <c r="H3241" i="50" s="1"/>
  <c r="N1816" i="50"/>
  <c r="N1817" i="50" s="1"/>
  <c r="N2526" i="50"/>
  <c r="N3240" i="50" s="1"/>
  <c r="R3240" i="50" s="1"/>
  <c r="X1145" i="50"/>
  <c r="AH1980" i="50"/>
  <c r="AB1949" i="50"/>
  <c r="Z2108" i="50"/>
  <c r="Z2823" i="50" s="1"/>
  <c r="Z3537" i="50" s="1"/>
  <c r="N2026" i="50"/>
  <c r="N2027" i="50" s="1"/>
  <c r="F1977" i="50"/>
  <c r="J1978" i="50" s="1"/>
  <c r="T2382" i="50"/>
  <c r="T3096" i="50" s="1"/>
  <c r="X2310" i="50"/>
  <c r="X3024" i="50" s="1"/>
  <c r="Z2667" i="50"/>
  <c r="Z3381" i="50" s="1"/>
  <c r="AF3381" i="50" s="1"/>
  <c r="N2437" i="50"/>
  <c r="N3151" i="50" s="1"/>
  <c r="AL1449" i="50"/>
  <c r="AM1449" i="50" s="1"/>
  <c r="F1830" i="50"/>
  <c r="P2229" i="50"/>
  <c r="P2943" i="50" s="1"/>
  <c r="Z2008" i="50"/>
  <c r="Z2012" i="50" s="1"/>
  <c r="Z2013" i="50" s="1"/>
  <c r="AL1806" i="50"/>
  <c r="AM1806" i="50" s="1"/>
  <c r="AB1639" i="50"/>
  <c r="AB2354" i="50" s="1"/>
  <c r="AB3068" i="50" s="1"/>
  <c r="V1639" i="50"/>
  <c r="V2354" i="50" s="1"/>
  <c r="AD1639" i="50"/>
  <c r="AD2354" i="50" s="1"/>
  <c r="AD3068" i="50" s="1"/>
  <c r="AB2374" i="50"/>
  <c r="AB3088" i="50" s="1"/>
  <c r="V2374" i="50"/>
  <c r="V3088" i="50" s="1"/>
  <c r="F1764" i="50"/>
  <c r="F2479" i="50" s="1"/>
  <c r="F3193" i="50" s="1"/>
  <c r="AH1764" i="50"/>
  <c r="V2261" i="50"/>
  <c r="V2975" i="50" s="1"/>
  <c r="N2261" i="50"/>
  <c r="N2975" i="50" s="1"/>
  <c r="X2261" i="50"/>
  <c r="AH1741" i="50"/>
  <c r="T1741" i="50"/>
  <c r="T2456" i="50" s="1"/>
  <c r="T3170" i="50" s="1"/>
  <c r="AB1741" i="50"/>
  <c r="AB2456" i="50" s="1"/>
  <c r="AB3170" i="50" s="1"/>
  <c r="AB1652" i="50"/>
  <c r="AB2367" i="50" s="1"/>
  <c r="AB3081" i="50" s="1"/>
  <c r="AH1652" i="50"/>
  <c r="P2333" i="50"/>
  <c r="P3047" i="50" s="1"/>
  <c r="R3047" i="50" s="1"/>
  <c r="AL1618" i="50"/>
  <c r="AM1618" i="50" s="1"/>
  <c r="P3349" i="50"/>
  <c r="R3349" i="50" s="1"/>
  <c r="R2635" i="50"/>
  <c r="AL1918" i="50"/>
  <c r="AM1918" i="50" s="1"/>
  <c r="AD2197" i="50"/>
  <c r="AD2911" i="50" s="1"/>
  <c r="AF2911" i="50" s="1"/>
  <c r="AL1482" i="50"/>
  <c r="AM1482" i="50" s="1"/>
  <c r="AL1713" i="50"/>
  <c r="AM1713" i="50" s="1"/>
  <c r="N2096" i="50"/>
  <c r="N2097" i="50" s="1"/>
  <c r="P1704" i="50"/>
  <c r="AH513" i="50"/>
  <c r="F2096" i="50"/>
  <c r="F2097" i="50" s="1"/>
  <c r="AH64" i="50"/>
  <c r="T1970" i="50"/>
  <c r="L1459" i="50"/>
  <c r="T1460" i="50" s="1"/>
  <c r="J1805" i="50"/>
  <c r="J2520" i="50" s="1"/>
  <c r="J3234" i="50" s="1"/>
  <c r="P1805" i="50"/>
  <c r="P2520" i="50" s="1"/>
  <c r="P3234" i="50" s="1"/>
  <c r="P3239" i="50" s="1"/>
  <c r="AH307" i="50"/>
  <c r="AD1844" i="50"/>
  <c r="X1543" i="50"/>
  <c r="X1544" i="50" s="1"/>
  <c r="X1606" i="50"/>
  <c r="X1607" i="50" s="1"/>
  <c r="P2005" i="50"/>
  <c r="P2006" i="50" s="1"/>
  <c r="L2535" i="50"/>
  <c r="L3249" i="50" s="1"/>
  <c r="P2096" i="50"/>
  <c r="P2097" i="50" s="1"/>
  <c r="X2764" i="50"/>
  <c r="X3478" i="50" s="1"/>
  <c r="T2162" i="50"/>
  <c r="T2876" i="50" s="1"/>
  <c r="T2882" i="50" s="1"/>
  <c r="X1550" i="50"/>
  <c r="X1551" i="50" s="1"/>
  <c r="AB2264" i="50"/>
  <c r="AB2978" i="50" s="1"/>
  <c r="X1557" i="50"/>
  <c r="X1558" i="50" s="1"/>
  <c r="J1816" i="50"/>
  <c r="J1817" i="50" s="1"/>
  <c r="AH629" i="50"/>
  <c r="H1536" i="50"/>
  <c r="H1537" i="50" s="1"/>
  <c r="F1690" i="50"/>
  <c r="AD2089" i="50"/>
  <c r="AD2090" i="50" s="1"/>
  <c r="R1264" i="50"/>
  <c r="R1355" i="50"/>
  <c r="AL1882" i="50"/>
  <c r="AM1882" i="50" s="1"/>
  <c r="AB1973" i="50"/>
  <c r="AB2688" i="50" s="1"/>
  <c r="AB3402" i="50" s="1"/>
  <c r="R1138" i="50"/>
  <c r="Z1515" i="50"/>
  <c r="Z1516" i="50" s="1"/>
  <c r="AL1595" i="50"/>
  <c r="AM1595" i="50" s="1"/>
  <c r="AL1798" i="50"/>
  <c r="AM1798" i="50" s="1"/>
  <c r="J2131" i="50"/>
  <c r="J2132" i="50" s="1"/>
  <c r="AL1778" i="50"/>
  <c r="AM1778" i="50" s="1"/>
  <c r="R1292" i="50"/>
  <c r="AF1369" i="50"/>
  <c r="AF1166" i="50"/>
  <c r="AH1166" i="50" s="1"/>
  <c r="R1376" i="50"/>
  <c r="N341" i="49"/>
  <c r="BJ241" i="49"/>
  <c r="X2502" i="50"/>
  <c r="X3216" i="50" s="1"/>
  <c r="AF3216" i="50" s="1"/>
  <c r="T3265" i="50"/>
  <c r="AB2309" i="50"/>
  <c r="AB3023" i="50" s="1"/>
  <c r="Z1501" i="50"/>
  <c r="AB2012" i="50"/>
  <c r="AB2013" i="50" s="1"/>
  <c r="AD2612" i="50"/>
  <c r="AD3326" i="50" s="1"/>
  <c r="L1655" i="50"/>
  <c r="L1656" i="50" s="1"/>
  <c r="L1494" i="50"/>
  <c r="P1495" i="50" s="1"/>
  <c r="Z2082" i="50"/>
  <c r="Z2083" i="50" s="1"/>
  <c r="R3293" i="50"/>
  <c r="L1536" i="50"/>
  <c r="L1537" i="50" s="1"/>
  <c r="L2131" i="50"/>
  <c r="L2132" i="50" s="1"/>
  <c r="F2026" i="50"/>
  <c r="F2027" i="50" s="1"/>
  <c r="N1977" i="50"/>
  <c r="T1978" i="50" s="1"/>
  <c r="Z1669" i="50"/>
  <c r="Z1670" i="50" s="1"/>
  <c r="X1592" i="50"/>
  <c r="X1593" i="50" s="1"/>
  <c r="X2019" i="50"/>
  <c r="X2020" i="50" s="1"/>
  <c r="X1949" i="50"/>
  <c r="AB1950" i="50" s="1"/>
  <c r="F1998" i="50"/>
  <c r="F1999" i="50" s="1"/>
  <c r="AM1533" i="50"/>
  <c r="V1543" i="50"/>
  <c r="V1544" i="50" s="1"/>
  <c r="X1515" i="50"/>
  <c r="X1516" i="50" s="1"/>
  <c r="J1690" i="50"/>
  <c r="J1691" i="50" s="1"/>
  <c r="AL1471" i="50"/>
  <c r="AM1471" i="50" s="1"/>
  <c r="AL1714" i="50"/>
  <c r="AM1714" i="50" s="1"/>
  <c r="AL1573" i="50"/>
  <c r="AM1573" i="50" s="1"/>
  <c r="AL1731" i="50"/>
  <c r="AM1731" i="50" s="1"/>
  <c r="AL1772" i="50"/>
  <c r="AM1772" i="50" s="1"/>
  <c r="F2261" i="50"/>
  <c r="F2975" i="50" s="1"/>
  <c r="AH371" i="50"/>
  <c r="AL1682" i="50"/>
  <c r="AM1682" i="50" s="1"/>
  <c r="J1977" i="50"/>
  <c r="N1978" i="50" s="1"/>
  <c r="J2054" i="50"/>
  <c r="J2055" i="50" s="1"/>
  <c r="H2327" i="50"/>
  <c r="H3041" i="50" s="1"/>
  <c r="Z1949" i="50"/>
  <c r="AD1950" i="50" s="1"/>
  <c r="AN138" i="50"/>
  <c r="AO103" i="50"/>
  <c r="N1466" i="50"/>
  <c r="N1467" i="50" s="1"/>
  <c r="L1627" i="50"/>
  <c r="L1628" i="50" s="1"/>
  <c r="L1690" i="50"/>
  <c r="L1691" i="50" s="1"/>
  <c r="AD2033" i="50"/>
  <c r="AD2034" i="50" s="1"/>
  <c r="AL1776" i="50"/>
  <c r="AM1776" i="50" s="1"/>
  <c r="Z2261" i="50"/>
  <c r="Z2975" i="50" s="1"/>
  <c r="AL1836" i="50"/>
  <c r="AM1836" i="50" s="1"/>
  <c r="AL1839" i="50"/>
  <c r="AM1839" i="50" s="1"/>
  <c r="AL1723" i="50"/>
  <c r="AM1723" i="50" s="1"/>
  <c r="AL1609" i="50"/>
  <c r="AM1609" i="50" s="1"/>
  <c r="T2132" i="50"/>
  <c r="T2845" i="50"/>
  <c r="T3559" i="50" s="1"/>
  <c r="AF3559" i="50" s="1"/>
  <c r="F2810" i="50"/>
  <c r="F3524" i="50" s="1"/>
  <c r="U1787" i="50"/>
  <c r="AG1787" i="50" s="1"/>
  <c r="AI1787" i="50" s="1"/>
  <c r="Y26" i="72"/>
  <c r="K14" i="72"/>
  <c r="A15" i="72"/>
  <c r="E15" i="72"/>
  <c r="U14" i="72"/>
  <c r="I15" i="72"/>
  <c r="M26" i="72"/>
  <c r="E14" i="72"/>
  <c r="AA14" i="72"/>
  <c r="S26" i="72"/>
  <c r="A14" i="72"/>
  <c r="A26" i="72"/>
  <c r="G26" i="72"/>
  <c r="W26" i="72"/>
  <c r="U26" i="72"/>
  <c r="I14" i="72"/>
  <c r="Y14" i="72"/>
  <c r="I26" i="72"/>
  <c r="K26" i="72"/>
  <c r="AA26" i="72"/>
  <c r="S14" i="72"/>
  <c r="M14" i="72"/>
  <c r="E26" i="72"/>
  <c r="G14" i="72"/>
  <c r="W14" i="72"/>
  <c r="R1411" i="50"/>
  <c r="A13" i="72"/>
  <c r="A12" i="72"/>
  <c r="A11" i="72"/>
  <c r="AL451" i="50"/>
  <c r="AM451" i="50" s="1"/>
  <c r="V3109" i="50"/>
  <c r="AF1138" i="50"/>
  <c r="L2621" i="50"/>
  <c r="L3335" i="50" s="1"/>
  <c r="J1278" i="50"/>
  <c r="AB1243" i="50"/>
  <c r="R1313" i="50"/>
  <c r="V2621" i="50"/>
  <c r="V3335" i="50" s="1"/>
  <c r="AD2621" i="50"/>
  <c r="AD3335" i="50" s="1"/>
  <c r="BU215" i="49"/>
  <c r="F1278" i="50"/>
  <c r="Z2621" i="50"/>
  <c r="Z3335" i="50" s="1"/>
  <c r="Z1243" i="50"/>
  <c r="L1278" i="50"/>
  <c r="X416" i="50"/>
  <c r="X1131" i="50" s="1"/>
  <c r="Z416" i="50"/>
  <c r="Z1131" i="50" s="1"/>
  <c r="T416" i="50"/>
  <c r="T1131" i="50" s="1"/>
  <c r="V416" i="50"/>
  <c r="V1131" i="50" s="1"/>
  <c r="AB416" i="50"/>
  <c r="AB1131" i="50" s="1"/>
  <c r="AD416" i="50"/>
  <c r="AD1131" i="50" s="1"/>
  <c r="BP41" i="49"/>
  <c r="BU41" i="49" s="1"/>
  <c r="X647" i="50"/>
  <c r="X1362" i="50" s="1"/>
  <c r="Z647" i="50"/>
  <c r="Z1362" i="50" s="1"/>
  <c r="AB647" i="50"/>
  <c r="AB1362" i="50" s="1"/>
  <c r="AD647" i="50"/>
  <c r="AD1362" i="50" s="1"/>
  <c r="V647" i="50"/>
  <c r="V1362" i="50" s="1"/>
  <c r="T647" i="50"/>
  <c r="Z2309" i="50"/>
  <c r="Z3023" i="50" s="1"/>
  <c r="AD2729" i="50"/>
  <c r="AD3443" i="50" s="1"/>
  <c r="AF3443" i="50" s="1"/>
  <c r="AD2309" i="50"/>
  <c r="AD3023" i="50" s="1"/>
  <c r="X2309" i="50"/>
  <c r="X3023" i="50" s="1"/>
  <c r="V2582" i="50"/>
  <c r="V3296" i="50" s="1"/>
  <c r="AF3296" i="50" s="1"/>
  <c r="T2386" i="50"/>
  <c r="T3100" i="50" s="1"/>
  <c r="V2309" i="50"/>
  <c r="V3023" i="50" s="1"/>
  <c r="T2309" i="50"/>
  <c r="H1820" i="50"/>
  <c r="H2535" i="50" s="1"/>
  <c r="H3249" i="50" s="1"/>
  <c r="F1820" i="50"/>
  <c r="F2535" i="50" s="1"/>
  <c r="X2305" i="50"/>
  <c r="X3019" i="50" s="1"/>
  <c r="X3022" i="50" s="1"/>
  <c r="V2305" i="50"/>
  <c r="V3019" i="50" s="1"/>
  <c r="Z2305" i="50"/>
  <c r="Z3019" i="50" s="1"/>
  <c r="Z3022" i="50" s="1"/>
  <c r="J3118" i="50"/>
  <c r="AB2305" i="50"/>
  <c r="AB3019" i="50" s="1"/>
  <c r="N680" i="50"/>
  <c r="N1395" i="50" s="1"/>
  <c r="H388" i="50"/>
  <c r="H1103" i="50" s="1"/>
  <c r="J388" i="50"/>
  <c r="J1103" i="50" s="1"/>
  <c r="V2495" i="50"/>
  <c r="V3209" i="50" s="1"/>
  <c r="R2460" i="50"/>
  <c r="T2305" i="50"/>
  <c r="T3019" i="50" s="1"/>
  <c r="J2739" i="50"/>
  <c r="J3453" i="50" s="1"/>
  <c r="AB2451" i="50"/>
  <c r="AB3165" i="50" s="1"/>
  <c r="F2689" i="50"/>
  <c r="F3403" i="50" s="1"/>
  <c r="L2739" i="50"/>
  <c r="L3453" i="50" s="1"/>
  <c r="BB231" i="49"/>
  <c r="P1820" i="50"/>
  <c r="P2535" i="50" s="1"/>
  <c r="P3249" i="50" s="1"/>
  <c r="V2024" i="50"/>
  <c r="T2024" i="50"/>
  <c r="AB1497" i="50"/>
  <c r="AB1501" i="50" s="1"/>
  <c r="AB1502" i="50" s="1"/>
  <c r="X1497" i="50"/>
  <c r="X1501" i="50" s="1"/>
  <c r="X1502" i="50" s="1"/>
  <c r="T1497" i="50"/>
  <c r="T1501" i="50" s="1"/>
  <c r="T1502" i="50" s="1"/>
  <c r="P2026" i="50"/>
  <c r="P2027" i="50" s="1"/>
  <c r="P2738" i="50"/>
  <c r="P3452" i="50" s="1"/>
  <c r="H38" i="50"/>
  <c r="H753" i="50" s="1"/>
  <c r="J38" i="50"/>
  <c r="J753" i="50" s="1"/>
  <c r="T1016" i="50"/>
  <c r="BD233" i="49" a="1"/>
  <c r="BD233" i="49" s="1"/>
  <c r="N475" i="50"/>
  <c r="N1190" i="50" s="1"/>
  <c r="AH680" i="50"/>
  <c r="P680" i="50"/>
  <c r="P1395" i="50" s="1"/>
  <c r="F388" i="50"/>
  <c r="L388" i="50"/>
  <c r="L1103" i="50" s="1"/>
  <c r="BM231" i="49"/>
  <c r="BP23" i="49"/>
  <c r="BU23" i="49" s="1"/>
  <c r="X2318" i="50"/>
  <c r="X3032" i="50" s="1"/>
  <c r="F2710" i="50"/>
  <c r="F3424" i="50" s="1"/>
  <c r="H2739" i="50"/>
  <c r="H3453" i="50" s="1"/>
  <c r="P2739" i="50"/>
  <c r="P3453" i="50" s="1"/>
  <c r="AH687" i="50"/>
  <c r="X2698" i="50"/>
  <c r="X3412" i="50" s="1"/>
  <c r="AB2698" i="50"/>
  <c r="AB3412" i="50" s="1"/>
  <c r="X1680" i="50"/>
  <c r="X2395" i="50" s="1"/>
  <c r="X3109" i="50" s="1"/>
  <c r="P3524" i="50"/>
  <c r="N1820" i="50"/>
  <c r="N2535" i="50" s="1"/>
  <c r="N3249" i="50" s="1"/>
  <c r="V2452" i="50"/>
  <c r="V3166" i="50" s="1"/>
  <c r="AD2452" i="50"/>
  <c r="AD3166" i="50" s="1"/>
  <c r="AB2452" i="50"/>
  <c r="AB3166" i="50" s="1"/>
  <c r="F38" i="50"/>
  <c r="F753" i="50" s="1"/>
  <c r="Z1016" i="50"/>
  <c r="BP112" i="49"/>
  <c r="BU112" i="49" s="1"/>
  <c r="P475" i="50"/>
  <c r="P1190" i="50" s="1"/>
  <c r="H680" i="50"/>
  <c r="H1395" i="50" s="1"/>
  <c r="N388" i="50"/>
  <c r="N1103" i="50" s="1"/>
  <c r="R2411" i="50"/>
  <c r="BG231" i="49"/>
  <c r="J2394" i="50"/>
  <c r="J3108" i="50" s="1"/>
  <c r="J3113" i="50" s="1"/>
  <c r="L2171" i="50"/>
  <c r="L2885" i="50" s="1"/>
  <c r="P2205" i="50"/>
  <c r="P2919" i="50" s="1"/>
  <c r="V2739" i="50"/>
  <c r="V3453" i="50" s="1"/>
  <c r="AB1680" i="50"/>
  <c r="AB2395" i="50" s="1"/>
  <c r="AB3109" i="50" s="1"/>
  <c r="AD1669" i="50"/>
  <c r="AD1670" i="50" s="1"/>
  <c r="AD2381" i="50"/>
  <c r="AD3095" i="50" s="1"/>
  <c r="J1820" i="50"/>
  <c r="J2535" i="50" s="1"/>
  <c r="J3249" i="50" s="1"/>
  <c r="J2477" i="50"/>
  <c r="J3191" i="50" s="1"/>
  <c r="AB2387" i="50"/>
  <c r="AB3101" i="50" s="1"/>
  <c r="L2765" i="50"/>
  <c r="L3479" i="50" s="1"/>
  <c r="R3479" i="50" s="1"/>
  <c r="AH499" i="50"/>
  <c r="BP227" i="49"/>
  <c r="BU227" i="49" s="1"/>
  <c r="P2033" i="50"/>
  <c r="P2034" i="50" s="1"/>
  <c r="Z1592" i="50"/>
  <c r="Z1593" i="50" s="1"/>
  <c r="Z2442" i="50"/>
  <c r="Z3156" i="50" s="1"/>
  <c r="F40" i="32"/>
  <c r="Z2513" i="50"/>
  <c r="Z3227" i="50" s="1"/>
  <c r="F1716" i="50"/>
  <c r="F2431" i="50" s="1"/>
  <c r="F1597" i="50"/>
  <c r="F2312" i="50" s="1"/>
  <c r="F3026" i="50" s="1"/>
  <c r="Z1550" i="50"/>
  <c r="Z1551" i="50" s="1"/>
  <c r="H1521" i="50"/>
  <c r="P1550" i="50"/>
  <c r="P1551" i="50" s="1"/>
  <c r="AD1557" i="50"/>
  <c r="AD1558" i="50" s="1"/>
  <c r="AL1542" i="50"/>
  <c r="AM1542" i="50" s="1"/>
  <c r="T2453" i="50"/>
  <c r="V2453" i="50"/>
  <c r="V3167" i="50" s="1"/>
  <c r="Z1543" i="50"/>
  <c r="Z1544" i="50" s="1"/>
  <c r="AL1721" i="50"/>
  <c r="AM1721" i="50" s="1"/>
  <c r="P2081" i="50"/>
  <c r="P2796" i="50" s="1"/>
  <c r="P3510" i="50" s="1"/>
  <c r="J2081" i="50"/>
  <c r="J2796" i="50" s="1"/>
  <c r="J3510" i="50" s="1"/>
  <c r="N2081" i="50"/>
  <c r="N2796" i="50" s="1"/>
  <c r="N3510" i="50" s="1"/>
  <c r="F2100" i="50"/>
  <c r="F2815" i="50" s="1"/>
  <c r="F3529" i="50" s="1"/>
  <c r="J2100" i="50"/>
  <c r="J2103" i="50" s="1"/>
  <c r="N2104" i="50" s="1"/>
  <c r="L2100" i="50"/>
  <c r="L2815" i="50" s="1"/>
  <c r="L3529" i="50" s="1"/>
  <c r="AH2100" i="50"/>
  <c r="N2100" i="50"/>
  <c r="N2815" i="50" s="1"/>
  <c r="P2100" i="50"/>
  <c r="P2815" i="50" s="1"/>
  <c r="P3529" i="50" s="1"/>
  <c r="H2100" i="50"/>
  <c r="H2815" i="50" s="1"/>
  <c r="H3529" i="50" s="1"/>
  <c r="J63" i="35"/>
  <c r="J64" i="35" s="1"/>
  <c r="J62" i="35"/>
  <c r="J542" i="50"/>
  <c r="J1257" i="50" s="1"/>
  <c r="L542" i="50"/>
  <c r="L1257" i="50" s="1"/>
  <c r="H542" i="50"/>
  <c r="H1257" i="50" s="1"/>
  <c r="P542" i="50"/>
  <c r="P1257" i="50" s="1"/>
  <c r="N542" i="50"/>
  <c r="N1257" i="50" s="1"/>
  <c r="F542" i="50"/>
  <c r="F1257" i="50" s="1"/>
  <c r="AH1889" i="50"/>
  <c r="T1889" i="50"/>
  <c r="T1893" i="50" s="1"/>
  <c r="T1894" i="50" s="1"/>
  <c r="V1889" i="50"/>
  <c r="V2604" i="50" s="1"/>
  <c r="V3318" i="50" s="1"/>
  <c r="AD1889" i="50"/>
  <c r="AD2604" i="50" s="1"/>
  <c r="AD3318" i="50" s="1"/>
  <c r="Z1889" i="50"/>
  <c r="AB1889" i="50"/>
  <c r="AB2604" i="50" s="1"/>
  <c r="AB3318" i="50" s="1"/>
  <c r="X1889" i="50"/>
  <c r="X2604" i="50" s="1"/>
  <c r="X3318" i="50" s="1"/>
  <c r="X2537" i="50"/>
  <c r="X3251" i="50" s="1"/>
  <c r="Z2537" i="50"/>
  <c r="Z3251" i="50" s="1"/>
  <c r="AB2537" i="50"/>
  <c r="AB3251" i="50" s="1"/>
  <c r="D14" i="32"/>
  <c r="H14" i="32" s="1"/>
  <c r="V1243" i="50"/>
  <c r="N1383" i="50"/>
  <c r="F2038" i="50"/>
  <c r="F2753" i="50" s="1"/>
  <c r="F3467" i="50" s="1"/>
  <c r="H2038" i="50"/>
  <c r="H2753" i="50" s="1"/>
  <c r="H3467" i="50" s="1"/>
  <c r="N2038" i="50"/>
  <c r="N2753" i="50" s="1"/>
  <c r="N3467" i="50" s="1"/>
  <c r="H1659" i="50"/>
  <c r="H2374" i="50" s="1"/>
  <c r="H3088" i="50" s="1"/>
  <c r="H3092" i="50" s="1"/>
  <c r="P1659" i="50"/>
  <c r="P2374" i="50" s="1"/>
  <c r="P3088" i="50" s="1"/>
  <c r="J1659" i="50"/>
  <c r="J2374" i="50" s="1"/>
  <c r="J3088" i="50" s="1"/>
  <c r="L1659" i="50"/>
  <c r="L2374" i="50" s="1"/>
  <c r="L3088" i="50" s="1"/>
  <c r="L3092" i="50" s="1"/>
  <c r="AH1659" i="50"/>
  <c r="N1659" i="50"/>
  <c r="N2374" i="50" s="1"/>
  <c r="N3088" i="50" s="1"/>
  <c r="AO1663" i="50"/>
  <c r="T1663" i="50" s="1"/>
  <c r="F1659" i="50"/>
  <c r="F1662" i="50" s="1"/>
  <c r="Z1560" i="50"/>
  <c r="Z2275" i="50" s="1"/>
  <c r="Z2989" i="50" s="1"/>
  <c r="AD1560" i="50"/>
  <c r="AD2275" i="50" s="1"/>
  <c r="AD2989" i="50" s="1"/>
  <c r="V1560" i="50"/>
  <c r="V2275" i="50" s="1"/>
  <c r="V2989" i="50" s="1"/>
  <c r="AB1560" i="50"/>
  <c r="AB2275" i="50" s="1"/>
  <c r="AB2989" i="50" s="1"/>
  <c r="T1560" i="50"/>
  <c r="X1560" i="50"/>
  <c r="X2275" i="50" s="1"/>
  <c r="X2989" i="50" s="1"/>
  <c r="AH1560" i="50"/>
  <c r="L1486" i="50"/>
  <c r="J1486" i="50"/>
  <c r="AH1486" i="50"/>
  <c r="AO1488" i="50"/>
  <c r="T1488" i="50" s="1"/>
  <c r="J1835" i="50"/>
  <c r="J2550" i="50" s="1"/>
  <c r="J3264" i="50" s="1"/>
  <c r="H1835" i="50"/>
  <c r="N1835" i="50"/>
  <c r="N2550" i="50" s="1"/>
  <c r="T1653" i="50"/>
  <c r="X1653" i="50"/>
  <c r="X2368" i="50" s="1"/>
  <c r="X3082" i="50" s="1"/>
  <c r="AD1653" i="50"/>
  <c r="AD2368" i="50" s="1"/>
  <c r="AD3082" i="50" s="1"/>
  <c r="V1653" i="50"/>
  <c r="V2368" i="50" s="1"/>
  <c r="V3082" i="50" s="1"/>
  <c r="AB1653" i="50"/>
  <c r="AB2368" i="50" s="1"/>
  <c r="AB3082" i="50" s="1"/>
  <c r="AH1653" i="50"/>
  <c r="AB1584" i="50"/>
  <c r="AB2299" i="50" s="1"/>
  <c r="AB3013" i="50" s="1"/>
  <c r="AB3015" i="50" s="1"/>
  <c r="T1584" i="50"/>
  <c r="T1585" i="50" s="1"/>
  <c r="X1584" i="50"/>
  <c r="X2299" i="50" s="1"/>
  <c r="X3013" i="50" s="1"/>
  <c r="X3015" i="50" s="1"/>
  <c r="AH1584" i="50"/>
  <c r="Z1584" i="50"/>
  <c r="Z2299" i="50" s="1"/>
  <c r="V1584" i="50"/>
  <c r="AD1584" i="50"/>
  <c r="AN1586" i="50"/>
  <c r="F1586" i="50" s="1"/>
  <c r="F1967" i="50"/>
  <c r="F2682" i="50" s="1"/>
  <c r="F3396" i="50" s="1"/>
  <c r="F3400" i="50" s="1"/>
  <c r="H1967" i="50"/>
  <c r="H2682" i="50" s="1"/>
  <c r="AH1967" i="50"/>
  <c r="N1967" i="50"/>
  <c r="N2682" i="50" s="1"/>
  <c r="N3396" i="50" s="1"/>
  <c r="J1967" i="50"/>
  <c r="J2682" i="50" s="1"/>
  <c r="J3396" i="50" s="1"/>
  <c r="J3400" i="50" s="1"/>
  <c r="L1967" i="50"/>
  <c r="L2682" i="50" s="1"/>
  <c r="L3396" i="50" s="1"/>
  <c r="P1967" i="50"/>
  <c r="P2682" i="50" s="1"/>
  <c r="P3396" i="50" s="1"/>
  <c r="AD1463" i="50"/>
  <c r="AD2178" i="50" s="1"/>
  <c r="AD2892" i="50" s="1"/>
  <c r="X1463" i="50"/>
  <c r="X2178" i="50" s="1"/>
  <c r="X2892" i="50" s="1"/>
  <c r="V1463" i="50"/>
  <c r="V2178" i="50" s="1"/>
  <c r="T1463" i="50"/>
  <c r="T2178" i="50" s="1"/>
  <c r="T2892" i="50" s="1"/>
  <c r="AB1463" i="50"/>
  <c r="AB2178" i="50" s="1"/>
  <c r="AB2892" i="50" s="1"/>
  <c r="Z1463" i="50"/>
  <c r="Z2178" i="50" s="1"/>
  <c r="Z2892" i="50" s="1"/>
  <c r="F1738" i="50"/>
  <c r="P1738" i="50"/>
  <c r="L1738" i="50"/>
  <c r="N1738" i="50"/>
  <c r="N2453" i="50" s="1"/>
  <c r="N3167" i="50" s="1"/>
  <c r="H1738" i="50"/>
  <c r="AH1738" i="50"/>
  <c r="J1738" i="50"/>
  <c r="X1856" i="50"/>
  <c r="X2571" i="50" s="1"/>
  <c r="X3285" i="50" s="1"/>
  <c r="AD1856" i="50"/>
  <c r="AD2571" i="50" s="1"/>
  <c r="AD3285" i="50" s="1"/>
  <c r="V1856" i="50"/>
  <c r="V2571" i="50" s="1"/>
  <c r="V3285" i="50" s="1"/>
  <c r="Z1605" i="50"/>
  <c r="Z1606" i="50" s="1"/>
  <c r="V1605" i="50"/>
  <c r="V2320" i="50" s="1"/>
  <c r="V3034" i="50" s="1"/>
  <c r="X2066" i="50"/>
  <c r="X2781" i="50" s="1"/>
  <c r="X3495" i="50" s="1"/>
  <c r="V2066" i="50"/>
  <c r="V2781" i="50" s="1"/>
  <c r="V3495" i="50" s="1"/>
  <c r="AH2066" i="50"/>
  <c r="AD2066" i="50"/>
  <c r="AD2781" i="50" s="1"/>
  <c r="AD3495" i="50" s="1"/>
  <c r="T2066" i="50"/>
  <c r="T2781" i="50" s="1"/>
  <c r="T3495" i="50" s="1"/>
  <c r="Z2066" i="50"/>
  <c r="Z2781" i="50" s="1"/>
  <c r="Z3495" i="50" s="1"/>
  <c r="AB2066" i="50"/>
  <c r="AB2781" i="50" s="1"/>
  <c r="AB3495" i="50" s="1"/>
  <c r="T1243" i="50"/>
  <c r="T2621" i="50"/>
  <c r="T3335" i="50" s="1"/>
  <c r="H1383" i="50"/>
  <c r="H1243" i="50"/>
  <c r="AL1561" i="50"/>
  <c r="AM1561" i="50" s="1"/>
  <c r="T500" i="50"/>
  <c r="T1215" i="50" s="1"/>
  <c r="AD500" i="50"/>
  <c r="AD1215" i="50" s="1"/>
  <c r="V500" i="50"/>
  <c r="V1215" i="50" s="1"/>
  <c r="AB500" i="50"/>
  <c r="AB1215" i="50" s="1"/>
  <c r="X500" i="50"/>
  <c r="X1215" i="50" s="1"/>
  <c r="Z500" i="50"/>
  <c r="Z1215" i="50" s="1"/>
  <c r="X1938" i="50"/>
  <c r="X2653" i="50" s="1"/>
  <c r="X3367" i="50" s="1"/>
  <c r="AD1938" i="50"/>
  <c r="AD2653" i="50" s="1"/>
  <c r="AD3367" i="50" s="1"/>
  <c r="L2023" i="50"/>
  <c r="H2023" i="50"/>
  <c r="H2738" i="50" s="1"/>
  <c r="H3452" i="50" s="1"/>
  <c r="L1822" i="50"/>
  <c r="L2537" i="50" s="1"/>
  <c r="L3251" i="50" s="1"/>
  <c r="F1822" i="50"/>
  <c r="F2537" i="50" s="1"/>
  <c r="F3251" i="50" s="1"/>
  <c r="F22" i="32"/>
  <c r="F36" i="32"/>
  <c r="F33" i="32"/>
  <c r="F29" i="32"/>
  <c r="F27" i="32"/>
  <c r="F37" i="32"/>
  <c r="F32" i="32"/>
  <c r="F25" i="32"/>
  <c r="F34" i="32"/>
  <c r="F21" i="32"/>
  <c r="F15" i="32"/>
  <c r="F35" i="32"/>
  <c r="F31" i="32"/>
  <c r="F39" i="32"/>
  <c r="F20" i="32"/>
  <c r="F28" i="32"/>
  <c r="H15" i="32"/>
  <c r="F24" i="32"/>
  <c r="F38" i="32"/>
  <c r="F26" i="32"/>
  <c r="F16" i="32"/>
  <c r="F30" i="32"/>
  <c r="L521" i="50"/>
  <c r="L1236" i="50" s="1"/>
  <c r="F521" i="50"/>
  <c r="F1236" i="50" s="1"/>
  <c r="N521" i="50"/>
  <c r="N1236" i="50" s="1"/>
  <c r="J521" i="50"/>
  <c r="J1236" i="50" s="1"/>
  <c r="H521" i="50"/>
  <c r="H1236" i="50" s="1"/>
  <c r="P521" i="50"/>
  <c r="P1236" i="50" s="1"/>
  <c r="F1667" i="50"/>
  <c r="L1667" i="50"/>
  <c r="L2382" i="50" s="1"/>
  <c r="L3096" i="50" s="1"/>
  <c r="L3099" i="50" s="1"/>
  <c r="H1667" i="50"/>
  <c r="H2382" i="50" s="1"/>
  <c r="H3096" i="50" s="1"/>
  <c r="N1667" i="50"/>
  <c r="P1667" i="50"/>
  <c r="J1667" i="50"/>
  <c r="AH1667" i="50"/>
  <c r="N120" i="35"/>
  <c r="O120" i="35" s="1"/>
  <c r="F51" i="38"/>
  <c r="G126" i="35"/>
  <c r="T1973" i="50"/>
  <c r="T2688" i="50" s="1"/>
  <c r="T3402" i="50" s="1"/>
  <c r="AH1973" i="50"/>
  <c r="H1694" i="50"/>
  <c r="H2409" i="50" s="1"/>
  <c r="H3123" i="50" s="1"/>
  <c r="J1694" i="50"/>
  <c r="J2409" i="50" s="1"/>
  <c r="J3123" i="50" s="1"/>
  <c r="F1694" i="50"/>
  <c r="AH1694" i="50"/>
  <c r="N1694" i="50"/>
  <c r="N2409" i="50" s="1"/>
  <c r="N3123" i="50" s="1"/>
  <c r="N1695" i="50"/>
  <c r="N2410" i="50" s="1"/>
  <c r="N3124" i="50" s="1"/>
  <c r="F1695" i="50"/>
  <c r="P1695" i="50"/>
  <c r="P2410" i="50" s="1"/>
  <c r="P3124" i="50" s="1"/>
  <c r="J1695" i="50"/>
  <c r="J2410" i="50" s="1"/>
  <c r="J3124" i="50" s="1"/>
  <c r="H1695" i="50"/>
  <c r="H2410" i="50" s="1"/>
  <c r="H3124" i="50" s="1"/>
  <c r="L1695" i="50"/>
  <c r="L2410" i="50" s="1"/>
  <c r="AH1695" i="50"/>
  <c r="V2201" i="50"/>
  <c r="V2915" i="50" s="1"/>
  <c r="Z2201" i="50"/>
  <c r="Z2915" i="50" s="1"/>
  <c r="BP152" i="49"/>
  <c r="H1955" i="50"/>
  <c r="J1955" i="50"/>
  <c r="J2670" i="50" s="1"/>
  <c r="J3384" i="50" s="1"/>
  <c r="AH1450" i="50"/>
  <c r="L1450" i="50"/>
  <c r="F1450" i="50"/>
  <c r="H1450" i="50"/>
  <c r="J1450" i="50"/>
  <c r="P1450" i="50"/>
  <c r="P2165" i="50" s="1"/>
  <c r="P2879" i="50" s="1"/>
  <c r="N1450" i="50"/>
  <c r="N2165" i="50" s="1"/>
  <c r="N2879" i="50" s="1"/>
  <c r="N2882" i="50" s="1"/>
  <c r="P1383" i="50"/>
  <c r="AO1523" i="50"/>
  <c r="T1523" i="50" s="1"/>
  <c r="AB1938" i="50"/>
  <c r="AB2653" i="50" s="1"/>
  <c r="AB3367" i="50" s="1"/>
  <c r="BP194" i="49"/>
  <c r="BU194" i="49" s="1"/>
  <c r="AO1453" i="50"/>
  <c r="T1453" i="50" s="1"/>
  <c r="BP52" i="49"/>
  <c r="BU52" i="49" s="1"/>
  <c r="L1998" i="50"/>
  <c r="L1999" i="50" s="1"/>
  <c r="P1597" i="50"/>
  <c r="P2312" i="50" s="1"/>
  <c r="P3026" i="50" s="1"/>
  <c r="H1597" i="50"/>
  <c r="H2312" i="50" s="1"/>
  <c r="H3026" i="50" s="1"/>
  <c r="J1521" i="50"/>
  <c r="J2236" i="50" s="1"/>
  <c r="J2950" i="50" s="1"/>
  <c r="J2952" i="50" s="1"/>
  <c r="F1521" i="50"/>
  <c r="F2236" i="50" s="1"/>
  <c r="F2950" i="50" s="1"/>
  <c r="F19" i="32"/>
  <c r="P1955" i="50"/>
  <c r="P1956" i="50" s="1"/>
  <c r="P1957" i="50" s="1"/>
  <c r="N1955" i="50"/>
  <c r="N2670" i="50" s="1"/>
  <c r="N3384" i="50" s="1"/>
  <c r="R2180" i="50"/>
  <c r="BP178" i="49"/>
  <c r="BU178" i="49" s="1"/>
  <c r="H1627" i="50"/>
  <c r="H1628" i="50" s="1"/>
  <c r="F17" i="32"/>
  <c r="R2425" i="50"/>
  <c r="X2453" i="50"/>
  <c r="X3167" i="50" s="1"/>
  <c r="T2470" i="50"/>
  <c r="T3184" i="50" s="1"/>
  <c r="AD1515" i="50"/>
  <c r="AD1516" i="50" s="1"/>
  <c r="N1690" i="50"/>
  <c r="N1691" i="50" s="1"/>
  <c r="T1938" i="50"/>
  <c r="T2653" i="50" s="1"/>
  <c r="T3367" i="50" s="1"/>
  <c r="V1973" i="50"/>
  <c r="V2688" i="50" s="1"/>
  <c r="V3402" i="50" s="1"/>
  <c r="AD2201" i="50"/>
  <c r="AD2915" i="50" s="1"/>
  <c r="X2201" i="50"/>
  <c r="X2915" i="50" s="1"/>
  <c r="AL1556" i="50"/>
  <c r="AM1556" i="50" s="1"/>
  <c r="AL1518" i="50"/>
  <c r="AM1518" i="50" s="1"/>
  <c r="AH1906" i="50"/>
  <c r="J1989" i="50"/>
  <c r="P1989" i="50"/>
  <c r="F1989" i="50"/>
  <c r="L1989" i="50"/>
  <c r="N1989" i="50"/>
  <c r="AD25" i="32"/>
  <c r="AD37" i="32"/>
  <c r="AD34" i="32"/>
  <c r="AD26" i="32"/>
  <c r="AD27" i="32"/>
  <c r="AD35" i="32"/>
  <c r="AD21" i="32"/>
  <c r="AD28" i="32"/>
  <c r="AD39" i="32"/>
  <c r="AD29" i="32"/>
  <c r="AD40" i="32"/>
  <c r="AD41" i="32"/>
  <c r="AD32" i="32"/>
  <c r="AD24" i="32"/>
  <c r="AD38" i="32"/>
  <c r="AD30" i="32"/>
  <c r="AD19" i="32"/>
  <c r="AB23" i="32"/>
  <c r="AD20" i="32"/>
  <c r="AF15" i="32"/>
  <c r="AD22" i="32"/>
  <c r="H1278" i="50"/>
  <c r="L1383" i="50"/>
  <c r="X1243" i="50"/>
  <c r="AB1840" i="50"/>
  <c r="AB2555" i="50" s="1"/>
  <c r="AB3269" i="50" s="1"/>
  <c r="Z1840" i="50"/>
  <c r="Z2555" i="50" s="1"/>
  <c r="Z3269" i="50" s="1"/>
  <c r="V1840" i="50"/>
  <c r="V2555" i="50" s="1"/>
  <c r="V3269" i="50" s="1"/>
  <c r="X1840" i="50"/>
  <c r="X2555" i="50" s="1"/>
  <c r="X3269" i="50" s="1"/>
  <c r="AH1840" i="50"/>
  <c r="J1780" i="50"/>
  <c r="H1780" i="50"/>
  <c r="H2495" i="50" s="1"/>
  <c r="H3209" i="50" s="1"/>
  <c r="P1780" i="50"/>
  <c r="L1780" i="50"/>
  <c r="AB1517" i="50"/>
  <c r="AB2232" i="50" s="1"/>
  <c r="AB2946" i="50" s="1"/>
  <c r="AB2952" i="50" s="1"/>
  <c r="V1517" i="50"/>
  <c r="V2232" i="50" s="1"/>
  <c r="V2946" i="50" s="1"/>
  <c r="Z1517" i="50"/>
  <c r="Z2232" i="50" s="1"/>
  <c r="Z2946" i="50" s="1"/>
  <c r="AD1517" i="50"/>
  <c r="J1727" i="50"/>
  <c r="J2442" i="50" s="1"/>
  <c r="J3156" i="50" s="1"/>
  <c r="L1727" i="50"/>
  <c r="L2442" i="50" s="1"/>
  <c r="L3156" i="50" s="1"/>
  <c r="F1727" i="50"/>
  <c r="F2442" i="50" s="1"/>
  <c r="F3156" i="50" s="1"/>
  <c r="P1727" i="50"/>
  <c r="P2442" i="50" s="1"/>
  <c r="P3156" i="50" s="1"/>
  <c r="N1727" i="50"/>
  <c r="N2442" i="50" s="1"/>
  <c r="H1727" i="50"/>
  <c r="H2442" i="50" s="1"/>
  <c r="H3156" i="50" s="1"/>
  <c r="AH1727" i="50"/>
  <c r="H1995" i="50"/>
  <c r="H2710" i="50" s="1"/>
  <c r="H3424" i="50" s="1"/>
  <c r="P1995" i="50"/>
  <c r="J1995" i="50"/>
  <c r="J2710" i="50" s="1"/>
  <c r="J3424" i="50" s="1"/>
  <c r="AH1995" i="50"/>
  <c r="X2236" i="50"/>
  <c r="X2950" i="50" s="1"/>
  <c r="X2952" i="50" s="1"/>
  <c r="T2236" i="50"/>
  <c r="T2950" i="50" s="1"/>
  <c r="J2059" i="50"/>
  <c r="J2774" i="50" s="1"/>
  <c r="J3488" i="50" s="1"/>
  <c r="J3491" i="50" s="1"/>
  <c r="P2059" i="50"/>
  <c r="P2774" i="50" s="1"/>
  <c r="H2059" i="50"/>
  <c r="H2774" i="50" s="1"/>
  <c r="H3488" i="50" s="1"/>
  <c r="L2059" i="50"/>
  <c r="N2059" i="50"/>
  <c r="F2059" i="50"/>
  <c r="V1596" i="50"/>
  <c r="V2311" i="50" s="1"/>
  <c r="V3025" i="50" s="1"/>
  <c r="X1596" i="50"/>
  <c r="X2311" i="50" s="1"/>
  <c r="AB1596" i="50"/>
  <c r="AB2311" i="50" s="1"/>
  <c r="AB3025" i="50" s="1"/>
  <c r="AD1596" i="50"/>
  <c r="AD2311" i="50" s="1"/>
  <c r="AD3025" i="50" s="1"/>
  <c r="AH1596" i="50"/>
  <c r="AN1642" i="50"/>
  <c r="F1642" i="50" s="1"/>
  <c r="T1637" i="50"/>
  <c r="T2352" i="50" s="1"/>
  <c r="T3066" i="50" s="1"/>
  <c r="X1637" i="50"/>
  <c r="V1637" i="50"/>
  <c r="V2352" i="50" s="1"/>
  <c r="V3066" i="50" s="1"/>
  <c r="Z1637" i="50"/>
  <c r="Z2352" i="50" s="1"/>
  <c r="Z3066" i="50" s="1"/>
  <c r="AB1637" i="50"/>
  <c r="AB2352" i="50" s="1"/>
  <c r="AB3066" i="50" s="1"/>
  <c r="AD1637" i="50"/>
  <c r="Z2670" i="50"/>
  <c r="Z3384" i="50" s="1"/>
  <c r="X2670" i="50"/>
  <c r="X3384" i="50" s="1"/>
  <c r="T2670" i="50"/>
  <c r="V2670" i="50"/>
  <c r="V3384" i="50" s="1"/>
  <c r="AB2670" i="50"/>
  <c r="AB3384" i="50" s="1"/>
  <c r="AD2670" i="50"/>
  <c r="AD3384" i="50" s="1"/>
  <c r="N1278" i="50"/>
  <c r="T2537" i="50"/>
  <c r="AD1243" i="50"/>
  <c r="J1383" i="50"/>
  <c r="F18" i="32"/>
  <c r="J1243" i="50"/>
  <c r="L1243" i="50"/>
  <c r="AD2288" i="50"/>
  <c r="AD3002" i="50" s="1"/>
  <c r="AF3002" i="50" s="1"/>
  <c r="AH674" i="50"/>
  <c r="J2803" i="50"/>
  <c r="J3517" i="50" s="1"/>
  <c r="J1515" i="50"/>
  <c r="J1516" i="50" s="1"/>
  <c r="AB1452" i="50"/>
  <c r="BU144" i="49"/>
  <c r="X1973" i="50"/>
  <c r="X2688" i="50" s="1"/>
  <c r="X3402" i="50" s="1"/>
  <c r="J1494" i="50"/>
  <c r="L1495" i="50" s="1"/>
  <c r="J2023" i="50"/>
  <c r="N1822" i="50"/>
  <c r="N2537" i="50" s="1"/>
  <c r="N3251" i="50" s="1"/>
  <c r="X1522" i="50"/>
  <c r="X1523" i="50" s="1"/>
  <c r="L1694" i="50"/>
  <c r="L2409" i="50" s="1"/>
  <c r="L3123" i="50" s="1"/>
  <c r="AD1592" i="50"/>
  <c r="AD1593" i="50" s="1"/>
  <c r="AB1606" i="50"/>
  <c r="AB1607" i="50" s="1"/>
  <c r="Z1893" i="50"/>
  <c r="Z1894" i="50" s="1"/>
  <c r="V2548" i="50"/>
  <c r="V3262" i="50" s="1"/>
  <c r="BU177" i="49"/>
  <c r="AF1320" i="50"/>
  <c r="AH1320" i="50" s="1"/>
  <c r="AL423" i="50"/>
  <c r="AM423" i="50" s="1"/>
  <c r="Z1938" i="50"/>
  <c r="Z2653" i="50" s="1"/>
  <c r="Z3367" i="50" s="1"/>
  <c r="T2442" i="50"/>
  <c r="T3156" i="50" s="1"/>
  <c r="BU222" i="49"/>
  <c r="J1716" i="50"/>
  <c r="J2431" i="50" s="1"/>
  <c r="J3145" i="50" s="1"/>
  <c r="L1597" i="50"/>
  <c r="L2312" i="50" s="1"/>
  <c r="L3026" i="50" s="1"/>
  <c r="N1521" i="50"/>
  <c r="P1521" i="50"/>
  <c r="BP219" i="49"/>
  <c r="BU219" i="49" s="1"/>
  <c r="AF2257" i="50"/>
  <c r="AH2257" i="50" s="1"/>
  <c r="F1955" i="50"/>
  <c r="F2670" i="50" s="1"/>
  <c r="P1970" i="50"/>
  <c r="P1971" i="50" s="1"/>
  <c r="AB1557" i="50"/>
  <c r="AB1558" i="50" s="1"/>
  <c r="BP136" i="49"/>
  <c r="BU152" i="49"/>
  <c r="AB2453" i="50"/>
  <c r="AB3167" i="50" s="1"/>
  <c r="AH531" i="50"/>
  <c r="AL1617" i="50"/>
  <c r="AM1617" i="50" s="1"/>
  <c r="AL1708" i="50"/>
  <c r="AM1708" i="50" s="1"/>
  <c r="AL1769" i="50"/>
  <c r="AM1769" i="50" s="1"/>
  <c r="AH1938" i="50"/>
  <c r="Z2453" i="50"/>
  <c r="Z3167" i="50" s="1"/>
  <c r="AL1755" i="50"/>
  <c r="AM1755" i="50" s="1"/>
  <c r="K126" i="35"/>
  <c r="L51" i="38"/>
  <c r="H591" i="50"/>
  <c r="H1306" i="50" s="1"/>
  <c r="P591" i="50"/>
  <c r="P1306" i="50" s="1"/>
  <c r="J591" i="50"/>
  <c r="J1306" i="50" s="1"/>
  <c r="F591" i="50"/>
  <c r="F1306" i="50" s="1"/>
  <c r="L591" i="50"/>
  <c r="L1306" i="50" s="1"/>
  <c r="N591" i="50"/>
  <c r="N1306" i="50" s="1"/>
  <c r="N1890" i="50"/>
  <c r="N2605" i="50" s="1"/>
  <c r="N3319" i="50" s="1"/>
  <c r="F1890" i="50"/>
  <c r="F2605" i="50" s="1"/>
  <c r="F3319" i="50" s="1"/>
  <c r="L1890" i="50"/>
  <c r="L2605" i="50" s="1"/>
  <c r="L3319" i="50" s="1"/>
  <c r="H1890" i="50"/>
  <c r="H2605" i="50" s="1"/>
  <c r="H3319" i="50" s="1"/>
  <c r="AD703" i="50"/>
  <c r="AD1418" i="50" s="1"/>
  <c r="X703" i="50"/>
  <c r="V703" i="50"/>
  <c r="V1418" i="50" s="1"/>
  <c r="AB703" i="50"/>
  <c r="AB1418" i="50" s="1"/>
  <c r="AH500" i="50"/>
  <c r="H689" i="50"/>
  <c r="H1404" i="50" s="1"/>
  <c r="N689" i="50"/>
  <c r="N1404" i="50" s="1"/>
  <c r="J689" i="50"/>
  <c r="J1404" i="50" s="1"/>
  <c r="L689" i="50"/>
  <c r="L1404" i="50" s="1"/>
  <c r="F689" i="50"/>
  <c r="F1404" i="50" s="1"/>
  <c r="P689" i="50"/>
  <c r="P1404" i="50" s="1"/>
  <c r="N1941" i="50"/>
  <c r="N2656" i="50" s="1"/>
  <c r="N3370" i="50" s="1"/>
  <c r="L1941" i="50"/>
  <c r="F1941" i="50"/>
  <c r="J1941" i="50"/>
  <c r="AH1941" i="50"/>
  <c r="P1941" i="50"/>
  <c r="H1941" i="50"/>
  <c r="H2656" i="50" s="1"/>
  <c r="H3370" i="50" s="1"/>
  <c r="T2201" i="50"/>
  <c r="T2915" i="50" s="1"/>
  <c r="AH1822" i="50"/>
  <c r="AD1913" i="50"/>
  <c r="AB1913" i="50"/>
  <c r="AB2628" i="50" s="1"/>
  <c r="AB3342" i="50" s="1"/>
  <c r="T1913" i="50"/>
  <c r="T2628" i="50" s="1"/>
  <c r="T3342" i="50" s="1"/>
  <c r="X1913" i="50"/>
  <c r="X2628" i="50" s="1"/>
  <c r="X3342" i="50" s="1"/>
  <c r="AH1913" i="50"/>
  <c r="Z1913" i="50"/>
  <c r="Z2628" i="50" s="1"/>
  <c r="V1913" i="50"/>
  <c r="V2628" i="50" s="1"/>
  <c r="V3342" i="50" s="1"/>
  <c r="T1639" i="50"/>
  <c r="T2354" i="50" s="1"/>
  <c r="T3068" i="50" s="1"/>
  <c r="Z1639" i="50"/>
  <c r="Z2354" i="50" s="1"/>
  <c r="Z3068" i="50" s="1"/>
  <c r="X1639" i="50"/>
  <c r="X2354" i="50" s="1"/>
  <c r="X3068" i="50" s="1"/>
  <c r="AH1639" i="50"/>
  <c r="N1610" i="50"/>
  <c r="N2325" i="50" s="1"/>
  <c r="N3039" i="50" s="1"/>
  <c r="L1610" i="50"/>
  <c r="L2325" i="50" s="1"/>
  <c r="L3039" i="50" s="1"/>
  <c r="L3043" i="50" s="1"/>
  <c r="H1610" i="50"/>
  <c r="H2325" i="50" s="1"/>
  <c r="H3039" i="50" s="1"/>
  <c r="P1610" i="50"/>
  <c r="P2325" i="50" s="1"/>
  <c r="P3039" i="50" s="1"/>
  <c r="P3043" i="50" s="1"/>
  <c r="J1610" i="50"/>
  <c r="J2325" i="50" s="1"/>
  <c r="J3039" i="50" s="1"/>
  <c r="AB1904" i="50"/>
  <c r="AB2619" i="50" s="1"/>
  <c r="AB3333" i="50" s="1"/>
  <c r="X1904" i="50"/>
  <c r="X2619" i="50" s="1"/>
  <c r="X3333" i="50" s="1"/>
  <c r="Z1904" i="50"/>
  <c r="Z2619" i="50" s="1"/>
  <c r="Z3333" i="50" s="1"/>
  <c r="AD1904" i="50"/>
  <c r="AD2619" i="50" s="1"/>
  <c r="AD3333" i="50" s="1"/>
  <c r="AH1904" i="50"/>
  <c r="V1742" i="50"/>
  <c r="V2457" i="50" s="1"/>
  <c r="V3171" i="50" s="1"/>
  <c r="AH1742" i="50"/>
  <c r="AD1742" i="50"/>
  <c r="AD2457" i="50" s="1"/>
  <c r="AD3171" i="50" s="1"/>
  <c r="AB1742" i="50"/>
  <c r="AB2457" i="50" s="1"/>
  <c r="AB3171" i="50" s="1"/>
  <c r="X1742" i="50"/>
  <c r="X2457" i="50" s="1"/>
  <c r="X3171" i="50" s="1"/>
  <c r="L1764" i="50"/>
  <c r="L1767" i="50" s="1"/>
  <c r="J1764" i="50"/>
  <c r="J2479" i="50" s="1"/>
  <c r="J3193" i="50" s="1"/>
  <c r="H1764" i="50"/>
  <c r="H2479" i="50" s="1"/>
  <c r="H3193" i="50" s="1"/>
  <c r="AB1465" i="50"/>
  <c r="AB2180" i="50" s="1"/>
  <c r="AB2894" i="50" s="1"/>
  <c r="T1465" i="50"/>
  <c r="AD1465" i="50"/>
  <c r="AD2180" i="50" s="1"/>
  <c r="AD2894" i="50" s="1"/>
  <c r="Z1465" i="50"/>
  <c r="AH1465" i="50"/>
  <c r="X1465" i="50"/>
  <c r="F1455" i="50"/>
  <c r="F2170" i="50" s="1"/>
  <c r="P1455" i="50"/>
  <c r="P2170" i="50" s="1"/>
  <c r="P2884" i="50" s="1"/>
  <c r="J1455" i="50"/>
  <c r="J2170" i="50" s="1"/>
  <c r="J2884" i="50" s="1"/>
  <c r="H1455" i="50"/>
  <c r="H2170" i="50" s="1"/>
  <c r="H2884" i="50" s="1"/>
  <c r="H2889" i="50" s="1"/>
  <c r="AD1528" i="50"/>
  <c r="AD1529" i="50" s="1"/>
  <c r="AD1530" i="50" s="1"/>
  <c r="Z1528" i="50"/>
  <c r="Z1529" i="50" s="1"/>
  <c r="Z1530" i="50" s="1"/>
  <c r="AH1528" i="50"/>
  <c r="AB1528" i="50"/>
  <c r="AB1529" i="50" s="1"/>
  <c r="AB1530" i="50" s="1"/>
  <c r="V1528" i="50"/>
  <c r="V1529" i="50" s="1"/>
  <c r="V1530" i="50" s="1"/>
  <c r="AN1530" i="50"/>
  <c r="F1530" i="50" s="1"/>
  <c r="X1528" i="50"/>
  <c r="X1529" i="50" s="1"/>
  <c r="T1528" i="50"/>
  <c r="T1529" i="50" s="1"/>
  <c r="T1652" i="50"/>
  <c r="T2367" i="50" s="1"/>
  <c r="T3081" i="50" s="1"/>
  <c r="AD1652" i="50"/>
  <c r="AD2367" i="50" s="1"/>
  <c r="AD3081" i="50" s="1"/>
  <c r="X1652" i="50"/>
  <c r="X2367" i="50" s="1"/>
  <c r="X3081" i="50" s="1"/>
  <c r="N1243" i="50"/>
  <c r="J2261" i="50"/>
  <c r="J2975" i="50" s="1"/>
  <c r="V2537" i="50"/>
  <c r="V3251" i="50" s="1"/>
  <c r="N1662" i="50"/>
  <c r="N1663" i="50" s="1"/>
  <c r="P1243" i="50"/>
  <c r="AO1614" i="50"/>
  <c r="T1614" i="50" s="1"/>
  <c r="AD2537" i="50"/>
  <c r="AD3251" i="50" s="1"/>
  <c r="J2792" i="50"/>
  <c r="J3506" i="50" s="1"/>
  <c r="H2792" i="50"/>
  <c r="H3506" i="50" s="1"/>
  <c r="Z2792" i="50"/>
  <c r="Z3506" i="50" s="1"/>
  <c r="X2589" i="50"/>
  <c r="X3303" i="50" s="1"/>
  <c r="AB2792" i="50"/>
  <c r="AB3506" i="50" s="1"/>
  <c r="P2792" i="50"/>
  <c r="P3506" i="50" s="1"/>
  <c r="X2792" i="50"/>
  <c r="X3506" i="50" s="1"/>
  <c r="AD2589" i="50"/>
  <c r="AD3303" i="50" s="1"/>
  <c r="N2792" i="50"/>
  <c r="N3506" i="50" s="1"/>
  <c r="V2792" i="50"/>
  <c r="V3506" i="50" s="1"/>
  <c r="V2589" i="50"/>
  <c r="V3303" i="50" s="1"/>
  <c r="AD2792" i="50"/>
  <c r="AD3506" i="50" s="1"/>
  <c r="F2792" i="50"/>
  <c r="T2792" i="50"/>
  <c r="T3506" i="50" s="1"/>
  <c r="AB2162" i="50"/>
  <c r="AB2876" i="50" s="1"/>
  <c r="AB2882" i="50" s="1"/>
  <c r="AD2827" i="50"/>
  <c r="AD3541" i="50" s="1"/>
  <c r="AB2827" i="50"/>
  <c r="AB3541" i="50" s="1"/>
  <c r="Z2162" i="50"/>
  <c r="Z2876" i="50" s="1"/>
  <c r="AD2386" i="50"/>
  <c r="AD3100" i="50" s="1"/>
  <c r="Z2827" i="50"/>
  <c r="Z3541" i="50" s="1"/>
  <c r="X2386" i="50"/>
  <c r="X3100" i="50" s="1"/>
  <c r="BJ16" i="49"/>
  <c r="M116" i="49"/>
  <c r="AL1513" i="50"/>
  <c r="AM1513" i="50" s="1"/>
  <c r="Z2418" i="50"/>
  <c r="Z3132" i="50" s="1"/>
  <c r="T1418" i="50"/>
  <c r="X2663" i="50"/>
  <c r="X3377" i="50" s="1"/>
  <c r="X3379" i="50" s="1"/>
  <c r="V2859" i="50"/>
  <c r="V3573" i="50" s="1"/>
  <c r="AF2845" i="50"/>
  <c r="AH2845" i="50" s="1"/>
  <c r="H2054" i="50"/>
  <c r="H2055" i="50" s="1"/>
  <c r="AL1709" i="50"/>
  <c r="AM1709" i="50" s="1"/>
  <c r="Z2831" i="50"/>
  <c r="Z3545" i="50" s="1"/>
  <c r="AL1545" i="50"/>
  <c r="AM1545" i="50" s="1"/>
  <c r="AH694" i="50"/>
  <c r="BU189" i="49"/>
  <c r="BU197" i="49"/>
  <c r="Z1285" i="50"/>
  <c r="L1327" i="50"/>
  <c r="H1327" i="50"/>
  <c r="N1327" i="50"/>
  <c r="J1327" i="50"/>
  <c r="H1194" i="50"/>
  <c r="R1194" i="50" s="1"/>
  <c r="V2831" i="50"/>
  <c r="V3545" i="50" s="1"/>
  <c r="AF3160" i="50"/>
  <c r="H2481" i="50"/>
  <c r="H3195" i="50" s="1"/>
  <c r="X2551" i="50"/>
  <c r="AF2551" i="50" s="1"/>
  <c r="AL1580" i="50"/>
  <c r="AM1580" i="50" s="1"/>
  <c r="P3566" i="50"/>
  <c r="R3566" i="50" s="1"/>
  <c r="R2852" i="50"/>
  <c r="AH2852" i="50" s="1"/>
  <c r="P2250" i="50"/>
  <c r="P2964" i="50" s="1"/>
  <c r="P2966" i="50" s="1"/>
  <c r="P1536" i="50"/>
  <c r="P1537" i="50" s="1"/>
  <c r="F2628" i="50"/>
  <c r="R2628" i="50" s="1"/>
  <c r="F2964" i="50"/>
  <c r="P2047" i="50"/>
  <c r="P2048" i="50" s="1"/>
  <c r="AL1601" i="50"/>
  <c r="AM1601" i="50" s="1"/>
  <c r="R1215" i="50"/>
  <c r="AL1470" i="50"/>
  <c r="AM1470" i="50" s="1"/>
  <c r="AL1898" i="50"/>
  <c r="AM1898" i="50" s="1"/>
  <c r="AF3524" i="50"/>
  <c r="T2778" i="50"/>
  <c r="T3492" i="50" s="1"/>
  <c r="X2225" i="50"/>
  <c r="X2939" i="50" s="1"/>
  <c r="X2945" i="50" s="1"/>
  <c r="AL1884" i="50"/>
  <c r="AM1884" i="50" s="1"/>
  <c r="AB2985" i="50"/>
  <c r="AF2985" i="50" s="1"/>
  <c r="AL1478" i="50"/>
  <c r="AM1478" i="50" s="1"/>
  <c r="P2417" i="50"/>
  <c r="P3131" i="50" s="1"/>
  <c r="AO180" i="50"/>
  <c r="AH555" i="50"/>
  <c r="AH485" i="50"/>
  <c r="AB2556" i="50"/>
  <c r="AB3270" i="50" s="1"/>
  <c r="AF3270" i="50" s="1"/>
  <c r="AB1781" i="50"/>
  <c r="AB2108" i="50"/>
  <c r="AB2823" i="50" s="1"/>
  <c r="AB3537" i="50" s="1"/>
  <c r="H1466" i="50"/>
  <c r="H1467" i="50" s="1"/>
  <c r="Z3230" i="50"/>
  <c r="AL1604" i="50"/>
  <c r="AM1604" i="50" s="1"/>
  <c r="L1886" i="50"/>
  <c r="L1887" i="50" s="1"/>
  <c r="AN19" i="50"/>
  <c r="AL1888" i="50"/>
  <c r="AM1888" i="50" s="1"/>
  <c r="R2726" i="50"/>
  <c r="N2400" i="50"/>
  <c r="N3114" i="50" s="1"/>
  <c r="T2082" i="50"/>
  <c r="F1669" i="50"/>
  <c r="X1860" i="50"/>
  <c r="X2575" i="50" s="1"/>
  <c r="X3289" i="50" s="1"/>
  <c r="H1711" i="50"/>
  <c r="H1712" i="50" s="1"/>
  <c r="X2108" i="50"/>
  <c r="X2823" i="50" s="1"/>
  <c r="X3537" i="50" s="1"/>
  <c r="AF2810" i="50"/>
  <c r="AL1664" i="50"/>
  <c r="AM1664" i="50" s="1"/>
  <c r="AL1864" i="50"/>
  <c r="AM1864" i="50" s="1"/>
  <c r="H2096" i="50"/>
  <c r="H2097" i="50" s="1"/>
  <c r="L1809" i="50"/>
  <c r="L1550" i="50"/>
  <c r="L1551" i="50" s="1"/>
  <c r="H1529" i="50"/>
  <c r="H1530" i="50" s="1"/>
  <c r="AD1550" i="50"/>
  <c r="AD1551" i="50" s="1"/>
  <c r="X1473" i="50"/>
  <c r="AB1474" i="50" s="1"/>
  <c r="AF2579" i="50"/>
  <c r="AH2579" i="50" s="1"/>
  <c r="AL1657" i="50"/>
  <c r="AM1657" i="50" s="1"/>
  <c r="F2712" i="50"/>
  <c r="F3426" i="50" s="1"/>
  <c r="AL1630" i="50"/>
  <c r="AM1630" i="50" s="1"/>
  <c r="R3069" i="50"/>
  <c r="AL1612" i="50"/>
  <c r="AM1612" i="50" s="1"/>
  <c r="AL1728" i="50"/>
  <c r="AM1728" i="50" s="1"/>
  <c r="AL1854" i="50"/>
  <c r="AM1854" i="50" s="1"/>
  <c r="AL1563" i="50"/>
  <c r="AM1563" i="50" s="1"/>
  <c r="AL1658" i="50"/>
  <c r="AM1658" i="50" s="1"/>
  <c r="X2278" i="50"/>
  <c r="AF2278" i="50" s="1"/>
  <c r="AH2278" i="50" s="1"/>
  <c r="J3041" i="50"/>
  <c r="AL1650" i="50"/>
  <c r="AM1650" i="50" s="1"/>
  <c r="AL1765" i="50"/>
  <c r="AM1765" i="50" s="1"/>
  <c r="R2474" i="50"/>
  <c r="AD2082" i="50"/>
  <c r="AD2083" i="50" s="1"/>
  <c r="AL1640" i="50"/>
  <c r="AM1640" i="50" s="1"/>
  <c r="AL1519" i="50"/>
  <c r="AM1519" i="50" s="1"/>
  <c r="R3048" i="50"/>
  <c r="AF3566" i="50"/>
  <c r="AH456" i="50"/>
  <c r="AH296" i="50"/>
  <c r="Z2019" i="50"/>
  <c r="Z2020" i="50" s="1"/>
  <c r="AL1848" i="50"/>
  <c r="AM1848" i="50" s="1"/>
  <c r="AL1678" i="50"/>
  <c r="AM1678" i="50" s="1"/>
  <c r="T2691" i="50"/>
  <c r="T3405" i="50" s="1"/>
  <c r="L1936" i="50"/>
  <c r="P1936" i="50"/>
  <c r="V2376" i="50"/>
  <c r="V3090" i="50" s="1"/>
  <c r="AL1510" i="50"/>
  <c r="AM1510" i="50" s="1"/>
  <c r="AH346" i="50"/>
  <c r="V2180" i="50"/>
  <c r="L2530" i="50"/>
  <c r="L3244" i="50" s="1"/>
  <c r="L2229" i="50"/>
  <c r="AL1514" i="50"/>
  <c r="AM1514" i="50" s="1"/>
  <c r="T2649" i="50"/>
  <c r="T3363" i="50" s="1"/>
  <c r="H2807" i="50"/>
  <c r="H3521" i="50" s="1"/>
  <c r="H3526" i="50" s="1"/>
  <c r="AL1926" i="50"/>
  <c r="AM1926" i="50" s="1"/>
  <c r="AL1791" i="50"/>
  <c r="AM1791" i="50" s="1"/>
  <c r="J1550" i="50"/>
  <c r="J1551" i="50" s="1"/>
  <c r="AL1758" i="50"/>
  <c r="AM1758" i="50" s="1"/>
  <c r="R2355" i="50"/>
  <c r="AL1672" i="50"/>
  <c r="AM1672" i="50" s="1"/>
  <c r="T1676" i="50"/>
  <c r="P2173" i="50"/>
  <c r="P2887" i="50" s="1"/>
  <c r="F1935" i="50"/>
  <c r="AL1930" i="50"/>
  <c r="AM1930" i="50" s="1"/>
  <c r="AL1531" i="50"/>
  <c r="AM1531" i="50" s="1"/>
  <c r="AL1954" i="50"/>
  <c r="AM1954" i="50" s="1"/>
  <c r="AN278" i="50"/>
  <c r="V2691" i="50"/>
  <c r="V3405" i="50" s="1"/>
  <c r="AL1499" i="50"/>
  <c r="AM1499" i="50" s="1"/>
  <c r="AL1687" i="50"/>
  <c r="AM1687" i="50" s="1"/>
  <c r="X2402" i="50"/>
  <c r="X3116" i="50" s="1"/>
  <c r="D1488" i="50"/>
  <c r="K4" i="72"/>
  <c r="AH1299" i="50"/>
  <c r="R1341" i="50"/>
  <c r="AF1201" i="50"/>
  <c r="I10" i="72"/>
  <c r="R1180" i="50"/>
  <c r="BQ116" i="49"/>
  <c r="BP93" i="49"/>
  <c r="BU93" i="49" s="1"/>
  <c r="BP29" i="49"/>
  <c r="BU29" i="49" s="1"/>
  <c r="L412" i="50"/>
  <c r="L1127" i="50" s="1"/>
  <c r="J496" i="50"/>
  <c r="J1211" i="50" s="1"/>
  <c r="L496" i="50"/>
  <c r="L1211" i="50" s="1"/>
  <c r="H412" i="50"/>
  <c r="H1127" i="50" s="1"/>
  <c r="F412" i="50"/>
  <c r="F1127" i="50" s="1"/>
  <c r="H496" i="50"/>
  <c r="H501" i="50" s="1"/>
  <c r="N412" i="50"/>
  <c r="N1127" i="50" s="1"/>
  <c r="F496" i="50"/>
  <c r="F1211" i="50" s="1"/>
  <c r="N496" i="50"/>
  <c r="N1211" i="50" s="1"/>
  <c r="H34" i="50"/>
  <c r="H749" i="50" s="1"/>
  <c r="F34" i="50"/>
  <c r="F749" i="50" s="1"/>
  <c r="N34" i="50"/>
  <c r="N749" i="50" s="1"/>
  <c r="P34" i="50"/>
  <c r="P749" i="50" s="1"/>
  <c r="J34" i="50"/>
  <c r="L34" i="50"/>
  <c r="L749" i="50" s="1"/>
  <c r="H736" i="50"/>
  <c r="N736" i="50"/>
  <c r="P736" i="50"/>
  <c r="L736" i="50"/>
  <c r="AF2194" i="50"/>
  <c r="T3167" i="50"/>
  <c r="F2999" i="50"/>
  <c r="R2999" i="50" s="1"/>
  <c r="R2285" i="50"/>
  <c r="R2334" i="50"/>
  <c r="R2446" i="50"/>
  <c r="AF2355" i="50"/>
  <c r="AF2446" i="50"/>
  <c r="O8" i="72"/>
  <c r="E4" i="72"/>
  <c r="Q6" i="72"/>
  <c r="S4" i="72"/>
  <c r="W3" i="72"/>
  <c r="I7" i="72"/>
  <c r="AF8" i="72"/>
  <c r="W7" i="72"/>
  <c r="W4" i="72"/>
  <c r="AF5" i="72"/>
  <c r="AL1779" i="50"/>
  <c r="AM1779" i="50" s="1"/>
  <c r="T2494" i="50"/>
  <c r="T3208" i="50" s="1"/>
  <c r="AF3208" i="50" s="1"/>
  <c r="R2719" i="50"/>
  <c r="L3433" i="50"/>
  <c r="L3435" i="50" s="1"/>
  <c r="J2005" i="50"/>
  <c r="J2006" i="50" s="1"/>
  <c r="J2715" i="50"/>
  <c r="J3429" i="50" s="1"/>
  <c r="AD1821" i="50"/>
  <c r="AD2536" i="50" s="1"/>
  <c r="AD3250" i="50" s="1"/>
  <c r="AH1821" i="50"/>
  <c r="Z1821" i="50"/>
  <c r="Z2536" i="50" s="1"/>
  <c r="Z3250" i="50" s="1"/>
  <c r="AB1821" i="50"/>
  <c r="AB2536" i="50" s="1"/>
  <c r="AB3250" i="50" s="1"/>
  <c r="V1821" i="50"/>
  <c r="V2536" i="50" s="1"/>
  <c r="V3250" i="50" s="1"/>
  <c r="T1821" i="50"/>
  <c r="T2536" i="50" s="1"/>
  <c r="AL1763" i="50"/>
  <c r="AM1763" i="50" s="1"/>
  <c r="F2478" i="50"/>
  <c r="F3192" i="50" s="1"/>
  <c r="T2071" i="50"/>
  <c r="X2071" i="50"/>
  <c r="AD2071" i="50"/>
  <c r="AD2786" i="50" s="1"/>
  <c r="AD3500" i="50" s="1"/>
  <c r="V2071" i="50"/>
  <c r="V2786" i="50" s="1"/>
  <c r="V3500" i="50" s="1"/>
  <c r="Z2071" i="50"/>
  <c r="AH2071" i="50"/>
  <c r="AB2071" i="50"/>
  <c r="AB2786" i="50" s="1"/>
  <c r="AB3500" i="50" s="1"/>
  <c r="F1784" i="50"/>
  <c r="F1788" i="50" s="1"/>
  <c r="P1784" i="50"/>
  <c r="P2499" i="50" s="1"/>
  <c r="P3213" i="50" s="1"/>
  <c r="H1784" i="50"/>
  <c r="H2499" i="50" s="1"/>
  <c r="H3213" i="50" s="1"/>
  <c r="AO1789" i="50"/>
  <c r="F1789" i="50" s="1"/>
  <c r="L1784" i="50"/>
  <c r="J1784" i="50"/>
  <c r="N1784" i="50"/>
  <c r="N2499" i="50" s="1"/>
  <c r="N3213" i="50" s="1"/>
  <c r="AH1784" i="50"/>
  <c r="X2003" i="50"/>
  <c r="X2718" i="50" s="1"/>
  <c r="X3432" i="50" s="1"/>
  <c r="T2003" i="50"/>
  <c r="T2718" i="50" s="1"/>
  <c r="T3432" i="50" s="1"/>
  <c r="AB2003" i="50"/>
  <c r="AB2718" i="50" s="1"/>
  <c r="AB3432" i="50" s="1"/>
  <c r="AH2003" i="50"/>
  <c r="Z2003" i="50"/>
  <c r="Z2718" i="50" s="1"/>
  <c r="Z3432" i="50" s="1"/>
  <c r="X2635" i="50"/>
  <c r="X3349" i="50" s="1"/>
  <c r="AL1749" i="50"/>
  <c r="AM1749" i="50" s="1"/>
  <c r="Z2386" i="50"/>
  <c r="Z3100" i="50" s="1"/>
  <c r="Z3106" i="50" s="1"/>
  <c r="AB2386" i="50"/>
  <c r="AB3100" i="50" s="1"/>
  <c r="T2460" i="50"/>
  <c r="T3174" i="50" s="1"/>
  <c r="AF921" i="50"/>
  <c r="AF977" i="50"/>
  <c r="AF1075" i="50"/>
  <c r="AB1598" i="50"/>
  <c r="AB1599" i="50" s="1"/>
  <c r="AB1600" i="50" s="1"/>
  <c r="Z1598" i="50"/>
  <c r="Z1599" i="50" s="1"/>
  <c r="V1598" i="50"/>
  <c r="V2313" i="50" s="1"/>
  <c r="V3027" i="50" s="1"/>
  <c r="AD1598" i="50"/>
  <c r="X1598" i="50"/>
  <c r="T1598" i="50"/>
  <c r="T1599" i="50" s="1"/>
  <c r="AN1600" i="50"/>
  <c r="F1600" i="50" s="1"/>
  <c r="AH1598" i="50"/>
  <c r="V1793" i="50"/>
  <c r="V2508" i="50" s="1"/>
  <c r="V3222" i="50" s="1"/>
  <c r="T1793" i="50"/>
  <c r="T2508" i="50" s="1"/>
  <c r="T3222" i="50" s="1"/>
  <c r="AD1793" i="50"/>
  <c r="AD2508" i="50" s="1"/>
  <c r="AD3222" i="50" s="1"/>
  <c r="AD3225" i="50" s="1"/>
  <c r="AB1793" i="50"/>
  <c r="AB2508" i="50" s="1"/>
  <c r="AB3222" i="50" s="1"/>
  <c r="AB3225" i="50" s="1"/>
  <c r="AN1796" i="50"/>
  <c r="F1796" i="50" s="1"/>
  <c r="AH1793" i="50"/>
  <c r="L2627" i="50"/>
  <c r="L3341" i="50" s="1"/>
  <c r="J2627" i="50"/>
  <c r="J3341" i="50" s="1"/>
  <c r="T3377" i="50"/>
  <c r="AD2105" i="50"/>
  <c r="AD2820" i="50" s="1"/>
  <c r="AD3534" i="50" s="1"/>
  <c r="T2105" i="50"/>
  <c r="T2820" i="50" s="1"/>
  <c r="T3534" i="50" s="1"/>
  <c r="Z2105" i="50"/>
  <c r="Z2820" i="50" s="1"/>
  <c r="Z3534" i="50" s="1"/>
  <c r="X2105" i="50"/>
  <c r="X2820" i="50" s="1"/>
  <c r="X3534" i="50" s="1"/>
  <c r="V2105" i="50"/>
  <c r="V2820" i="50" s="1"/>
  <c r="V3534" i="50" s="1"/>
  <c r="AB2105" i="50"/>
  <c r="AB2820" i="50" s="1"/>
  <c r="AB3534" i="50" s="1"/>
  <c r="AH2105" i="50"/>
  <c r="V2263" i="50"/>
  <c r="V2977" i="50" s="1"/>
  <c r="V1550" i="50"/>
  <c r="V1551" i="50" s="1"/>
  <c r="P1627" i="50"/>
  <c r="P1628" i="50" s="1"/>
  <c r="P2337" i="50"/>
  <c r="P3051" i="50" s="1"/>
  <c r="P3057" i="50" s="1"/>
  <c r="AN26" i="50"/>
  <c r="AH20" i="50"/>
  <c r="H2680" i="50"/>
  <c r="H3394" i="50" s="1"/>
  <c r="AE117" i="48"/>
  <c r="AA117" i="48"/>
  <c r="AA120" i="48"/>
  <c r="AF3018" i="50"/>
  <c r="N2088" i="50"/>
  <c r="N2803" i="50" s="1"/>
  <c r="N3517" i="50" s="1"/>
  <c r="P2088" i="50"/>
  <c r="P2803" i="50" s="1"/>
  <c r="P3517" i="50" s="1"/>
  <c r="AH2088" i="50"/>
  <c r="F2088" i="50"/>
  <c r="L2088" i="50"/>
  <c r="L2803" i="50" s="1"/>
  <c r="L3517" i="50" s="1"/>
  <c r="H2236" i="50"/>
  <c r="H2950" i="50" s="1"/>
  <c r="H1522" i="50"/>
  <c r="H1523" i="50" s="1"/>
  <c r="N2358" i="50"/>
  <c r="N3072" i="50" s="1"/>
  <c r="P1886" i="50"/>
  <c r="P1887" i="50" s="1"/>
  <c r="P2596" i="50"/>
  <c r="P3310" i="50" s="1"/>
  <c r="P1752" i="50"/>
  <c r="P1753" i="50" s="1"/>
  <c r="H1752" i="50"/>
  <c r="H2467" i="50" s="1"/>
  <c r="H3181" i="50" s="1"/>
  <c r="H3183" i="50" s="1"/>
  <c r="N1752" i="50"/>
  <c r="F1752" i="50"/>
  <c r="L1752" i="50"/>
  <c r="L2467" i="50" s="1"/>
  <c r="L3181" i="50" s="1"/>
  <c r="J1752" i="50"/>
  <c r="J1753" i="50" s="1"/>
  <c r="L1754" i="50" s="1"/>
  <c r="AH1752" i="50"/>
  <c r="AO1754" i="50"/>
  <c r="T1754" i="50" s="1"/>
  <c r="T549" i="50"/>
  <c r="AD549" i="50"/>
  <c r="AD1264" i="50" s="1"/>
  <c r="AB549" i="50"/>
  <c r="AB1264" i="50" s="1"/>
  <c r="V549" i="50"/>
  <c r="V1264" i="50" s="1"/>
  <c r="X549" i="50"/>
  <c r="X1264" i="50" s="1"/>
  <c r="Z549" i="50"/>
  <c r="Z1264" i="50" s="1"/>
  <c r="AH549" i="50"/>
  <c r="AD2115" i="50"/>
  <c r="AD2830" i="50" s="1"/>
  <c r="AD3544" i="50" s="1"/>
  <c r="AH2115" i="50"/>
  <c r="T2115" i="50"/>
  <c r="T2830" i="50" s="1"/>
  <c r="T3544" i="50" s="1"/>
  <c r="AB2115" i="50"/>
  <c r="AB2830" i="50" s="1"/>
  <c r="AB3544" i="50" s="1"/>
  <c r="Z2115" i="50"/>
  <c r="Z2830" i="50" s="1"/>
  <c r="Z3544" i="50" s="1"/>
  <c r="X2115" i="50"/>
  <c r="X2830" i="50" s="1"/>
  <c r="X3544" i="50" s="1"/>
  <c r="V2115" i="50"/>
  <c r="V2830" i="50" s="1"/>
  <c r="V3544" i="50" s="1"/>
  <c r="Z1473" i="50"/>
  <c r="AD1474" i="50" s="1"/>
  <c r="Z2183" i="50"/>
  <c r="Z2897" i="50" s="1"/>
  <c r="Z2903" i="50" s="1"/>
  <c r="AL1491" i="50"/>
  <c r="AM1491" i="50" s="1"/>
  <c r="T2206" i="50"/>
  <c r="T2920" i="50" s="1"/>
  <c r="AF2920" i="50" s="1"/>
  <c r="X2859" i="50"/>
  <c r="X3573" i="50" s="1"/>
  <c r="Z2859" i="50"/>
  <c r="Z3573" i="50" s="1"/>
  <c r="H2523" i="50"/>
  <c r="H3237" i="50" s="1"/>
  <c r="H3239" i="50" s="1"/>
  <c r="Z2803" i="50"/>
  <c r="Z3517" i="50" s="1"/>
  <c r="Z2089" i="50"/>
  <c r="Z2090" i="50" s="1"/>
  <c r="X2607" i="50"/>
  <c r="X3321" i="50" s="1"/>
  <c r="AB2607" i="50"/>
  <c r="AB3321" i="50" s="1"/>
  <c r="AB3323" i="50" s="1"/>
  <c r="V2607" i="50"/>
  <c r="V3321" i="50" s="1"/>
  <c r="AD2607" i="50"/>
  <c r="AD3321" i="50" s="1"/>
  <c r="Z2607" i="50"/>
  <c r="Z3321" i="50" s="1"/>
  <c r="T2607" i="50"/>
  <c r="N2614" i="50"/>
  <c r="N3328" i="50" s="1"/>
  <c r="AN89" i="50"/>
  <c r="AH83" i="50"/>
  <c r="X2126" i="50"/>
  <c r="X2841" i="50" s="1"/>
  <c r="X3555" i="50" s="1"/>
  <c r="X3561" i="50" s="1"/>
  <c r="T2126" i="50"/>
  <c r="AD2126" i="50"/>
  <c r="AD2841" i="50" s="1"/>
  <c r="AD3555" i="50" s="1"/>
  <c r="AD3561" i="50" s="1"/>
  <c r="Z2126" i="50"/>
  <c r="AH2126" i="50"/>
  <c r="V2126" i="50"/>
  <c r="Z2360" i="50"/>
  <c r="Z3074" i="50" s="1"/>
  <c r="AD2360" i="50"/>
  <c r="AD3074" i="50" s="1"/>
  <c r="T2360" i="50"/>
  <c r="T3074" i="50" s="1"/>
  <c r="J3365" i="50"/>
  <c r="T2943" i="50"/>
  <c r="AF2943" i="50" s="1"/>
  <c r="AF2229" i="50"/>
  <c r="Z2614" i="50"/>
  <c r="Z3328" i="50" s="1"/>
  <c r="T2516" i="50"/>
  <c r="AF2516" i="50" s="1"/>
  <c r="AF893" i="50"/>
  <c r="AF949" i="50"/>
  <c r="AF1005" i="50"/>
  <c r="P3279" i="50"/>
  <c r="P2383" i="50"/>
  <c r="P3097" i="50" s="1"/>
  <c r="V2383" i="50"/>
  <c r="V3097" i="50" s="1"/>
  <c r="X3048" i="50"/>
  <c r="AF2334" i="50"/>
  <c r="AL1730" i="50"/>
  <c r="AM1730" i="50" s="1"/>
  <c r="AL1507" i="50"/>
  <c r="AM1507" i="50" s="1"/>
  <c r="X1222" i="50"/>
  <c r="AF1222" i="50" s="1"/>
  <c r="AH1222" i="50" s="1"/>
  <c r="AL507" i="50"/>
  <c r="AM507" i="50" s="1"/>
  <c r="BQ231" i="49"/>
  <c r="C29" i="51"/>
  <c r="P1473" i="50"/>
  <c r="V1474" i="50" s="1"/>
  <c r="P2183" i="50"/>
  <c r="P2897" i="50" s="1"/>
  <c r="P2903" i="50" s="1"/>
  <c r="AL1469" i="50"/>
  <c r="AM1469" i="50" s="1"/>
  <c r="F2184" i="50"/>
  <c r="F2898" i="50" s="1"/>
  <c r="R2898" i="50" s="1"/>
  <c r="Z2589" i="50"/>
  <c r="Z3303" i="50" s="1"/>
  <c r="T2589" i="50"/>
  <c r="T3303" i="50" s="1"/>
  <c r="AD1707" i="50"/>
  <c r="AD2422" i="50" s="1"/>
  <c r="AD3136" i="50" s="1"/>
  <c r="AD3141" i="50" s="1"/>
  <c r="AB1707" i="50"/>
  <c r="AH1707" i="50"/>
  <c r="X1707" i="50"/>
  <c r="X2422" i="50" s="1"/>
  <c r="X3136" i="50" s="1"/>
  <c r="X3141" i="50" s="1"/>
  <c r="Z1707" i="50"/>
  <c r="AN1712" i="50"/>
  <c r="F1712" i="50" s="1"/>
  <c r="V1707" i="50"/>
  <c r="V2422" i="50" s="1"/>
  <c r="V3136" i="50" s="1"/>
  <c r="T1707" i="50"/>
  <c r="T2422" i="50" s="1"/>
  <c r="T3136" i="50" s="1"/>
  <c r="H1550" i="50"/>
  <c r="H1551" i="50" s="1"/>
  <c r="AL1548" i="50"/>
  <c r="AM1548" i="50" s="1"/>
  <c r="AL1944" i="50"/>
  <c r="AM1944" i="50" s="1"/>
  <c r="V1949" i="50"/>
  <c r="Z1950" i="50" s="1"/>
  <c r="N1655" i="50"/>
  <c r="N1656" i="50" s="1"/>
  <c r="N2366" i="50"/>
  <c r="N3080" i="50" s="1"/>
  <c r="R3080" i="50" s="1"/>
  <c r="N1473" i="50"/>
  <c r="N2183" i="50"/>
  <c r="N2897" i="50" s="1"/>
  <c r="X2222" i="50"/>
  <c r="X2936" i="50" s="1"/>
  <c r="BP25" i="49"/>
  <c r="BU25" i="49" s="1"/>
  <c r="P1529" i="50"/>
  <c r="P1530" i="50" s="1"/>
  <c r="N1809" i="50"/>
  <c r="N1810" i="50" s="1"/>
  <c r="H2005" i="50"/>
  <c r="H2006" i="50" s="1"/>
  <c r="Z2801" i="50"/>
  <c r="Z3515" i="50" s="1"/>
  <c r="T2801" i="50"/>
  <c r="T3515" i="50" s="1"/>
  <c r="R3543" i="50"/>
  <c r="AF2940" i="50"/>
  <c r="X2827" i="50"/>
  <c r="X3541" i="50" s="1"/>
  <c r="AB2803" i="50"/>
  <c r="AB3517" i="50" s="1"/>
  <c r="V2803" i="50"/>
  <c r="V3517" i="50" s="1"/>
  <c r="T2803" i="50"/>
  <c r="Z1535" i="50"/>
  <c r="V1535" i="50"/>
  <c r="X1535" i="50"/>
  <c r="AH1535" i="50"/>
  <c r="AD1535" i="50"/>
  <c r="AD1536" i="50" s="1"/>
  <c r="AD1537" i="50" s="1"/>
  <c r="AB1535" i="50"/>
  <c r="AB2250" i="50" s="1"/>
  <c r="AB2964" i="50" s="1"/>
  <c r="AB2966" i="50" s="1"/>
  <c r="T1535" i="50"/>
  <c r="AN1537" i="50"/>
  <c r="F1537" i="50" s="1"/>
  <c r="J1867" i="50"/>
  <c r="L1867" i="50"/>
  <c r="H1867" i="50"/>
  <c r="AH1867" i="50"/>
  <c r="F1867" i="50"/>
  <c r="P1867" i="50"/>
  <c r="AO1873" i="50"/>
  <c r="N1867" i="50"/>
  <c r="T1813" i="50"/>
  <c r="V1813" i="50"/>
  <c r="V2528" i="50" s="1"/>
  <c r="V3242" i="50" s="1"/>
  <c r="AD1813" i="50"/>
  <c r="AD2528" i="50" s="1"/>
  <c r="AD3242" i="50" s="1"/>
  <c r="Z1813" i="50"/>
  <c r="Z2528" i="50" s="1"/>
  <c r="Z3242" i="50" s="1"/>
  <c r="X1813" i="50"/>
  <c r="X2528" i="50" s="1"/>
  <c r="X3242" i="50" s="1"/>
  <c r="AB1813" i="50"/>
  <c r="AB2528" i="50" s="1"/>
  <c r="AB3242" i="50" s="1"/>
  <c r="AH1813" i="50"/>
  <c r="V1464" i="50"/>
  <c r="AB1464" i="50"/>
  <c r="X1464" i="50"/>
  <c r="T1464" i="50"/>
  <c r="AD1464" i="50"/>
  <c r="Z1464" i="50"/>
  <c r="AN1467" i="50"/>
  <c r="F1467" i="50" s="1"/>
  <c r="AH1464" i="50"/>
  <c r="Z2036" i="50"/>
  <c r="V2036" i="50"/>
  <c r="T2036" i="50"/>
  <c r="AB2036" i="50"/>
  <c r="X2036" i="50"/>
  <c r="AD1953" i="50"/>
  <c r="Z1953" i="50"/>
  <c r="AB1953" i="50"/>
  <c r="X1953" i="50"/>
  <c r="AH1953" i="50"/>
  <c r="AD2803" i="50"/>
  <c r="AD3517" i="50" s="1"/>
  <c r="P1892" i="50"/>
  <c r="P2607" i="50" s="1"/>
  <c r="P3321" i="50" s="1"/>
  <c r="L1892" i="50"/>
  <c r="L2607" i="50" s="1"/>
  <c r="L3321" i="50" s="1"/>
  <c r="N1892" i="50"/>
  <c r="N2607" i="50" s="1"/>
  <c r="N3321" i="50" s="1"/>
  <c r="F1892" i="50"/>
  <c r="J1892" i="50"/>
  <c r="J2607" i="50" s="1"/>
  <c r="J3321" i="50" s="1"/>
  <c r="AH1892" i="50"/>
  <c r="H1892" i="50"/>
  <c r="T1876" i="50"/>
  <c r="AD1876" i="50"/>
  <c r="AD2591" i="50" s="1"/>
  <c r="AD3305" i="50" s="1"/>
  <c r="AB1876" i="50"/>
  <c r="AB2591" i="50" s="1"/>
  <c r="AB3305" i="50" s="1"/>
  <c r="X1876" i="50"/>
  <c r="X2591" i="50" s="1"/>
  <c r="X3305" i="50" s="1"/>
  <c r="V1876" i="50"/>
  <c r="V2591" i="50" s="1"/>
  <c r="V3305" i="50" s="1"/>
  <c r="Z1876" i="50"/>
  <c r="Z2591" i="50" s="1"/>
  <c r="Z3305" i="50" s="1"/>
  <c r="AH1876" i="50"/>
  <c r="AL1668" i="50"/>
  <c r="AM1668" i="50" s="1"/>
  <c r="AB2123" i="50"/>
  <c r="V2123" i="50"/>
  <c r="V2838" i="50" s="1"/>
  <c r="V3552" i="50" s="1"/>
  <c r="X2123" i="50"/>
  <c r="X2838" i="50" s="1"/>
  <c r="X3552" i="50" s="1"/>
  <c r="T2123" i="50"/>
  <c r="AD2123" i="50"/>
  <c r="AD2838" i="50" s="1"/>
  <c r="AD3552" i="50" s="1"/>
  <c r="Z2123" i="50"/>
  <c r="Z2838" i="50" s="1"/>
  <c r="Z3552" i="50" s="1"/>
  <c r="AD1603" i="50"/>
  <c r="T1603" i="50"/>
  <c r="AN1607" i="50"/>
  <c r="F1607" i="50" s="1"/>
  <c r="AL1511" i="50"/>
  <c r="AM1511" i="50" s="1"/>
  <c r="BP188" i="49"/>
  <c r="BU188" i="49" s="1"/>
  <c r="AL1504" i="50"/>
  <c r="AM1504" i="50" s="1"/>
  <c r="AL1827" i="50"/>
  <c r="AM1827" i="50" s="1"/>
  <c r="X2831" i="50"/>
  <c r="AF1271" i="50"/>
  <c r="AH1271" i="50" s="1"/>
  <c r="AH640" i="50"/>
  <c r="T640" i="50"/>
  <c r="V640" i="50"/>
  <c r="V1355" i="50" s="1"/>
  <c r="X640" i="50"/>
  <c r="X1355" i="50" s="1"/>
  <c r="AB640" i="50"/>
  <c r="AB1355" i="50" s="1"/>
  <c r="AD640" i="50"/>
  <c r="AD1355" i="50" s="1"/>
  <c r="Z640" i="50"/>
  <c r="Z1355" i="50" s="1"/>
  <c r="L53" i="35"/>
  <c r="L54" i="35" s="1"/>
  <c r="L52" i="35"/>
  <c r="BU151" i="49"/>
  <c r="X1285" i="50"/>
  <c r="AF2747" i="50"/>
  <c r="AH1645" i="50"/>
  <c r="L1645" i="50"/>
  <c r="H1645" i="50"/>
  <c r="H2360" i="50" s="1"/>
  <c r="H3074" i="50" s="1"/>
  <c r="N1645" i="50"/>
  <c r="N2360" i="50" s="1"/>
  <c r="N3074" i="50" s="1"/>
  <c r="P1645" i="50"/>
  <c r="P2360" i="50" s="1"/>
  <c r="P3074" i="50" s="1"/>
  <c r="P3078" i="50" s="1"/>
  <c r="J1645" i="50"/>
  <c r="J2360" i="50" s="1"/>
  <c r="J3074" i="50" s="1"/>
  <c r="F1645" i="50"/>
  <c r="F1648" i="50" s="1"/>
  <c r="Z1483" i="50"/>
  <c r="V1483" i="50"/>
  <c r="AB1483" i="50"/>
  <c r="X1483" i="50"/>
  <c r="AD1483" i="50"/>
  <c r="T1483" i="50"/>
  <c r="AH1483" i="50"/>
  <c r="AN1488" i="50"/>
  <c r="F1488" i="50" s="1"/>
  <c r="X2467" i="50"/>
  <c r="X3181" i="50" s="1"/>
  <c r="AB2467" i="50"/>
  <c r="AB3181" i="50" s="1"/>
  <c r="AF710" i="50"/>
  <c r="V2801" i="50"/>
  <c r="V3515" i="50" s="1"/>
  <c r="J196" i="49"/>
  <c r="K233" i="49" s="1" a="1"/>
  <c r="K233" i="49" s="1"/>
  <c r="R1902" i="50"/>
  <c r="AO1908" i="50" s="1"/>
  <c r="E53" i="35"/>
  <c r="D52" i="35"/>
  <c r="L619" i="50"/>
  <c r="L1334" i="50" s="1"/>
  <c r="N619" i="50"/>
  <c r="N1334" i="50" s="1"/>
  <c r="F619" i="50"/>
  <c r="F1334" i="50" s="1"/>
  <c r="H619" i="50"/>
  <c r="H1334" i="50" s="1"/>
  <c r="J619" i="50"/>
  <c r="J1334" i="50" s="1"/>
  <c r="P619" i="50"/>
  <c r="P1334" i="50" s="1"/>
  <c r="AB2102" i="50"/>
  <c r="X2102" i="50"/>
  <c r="X2817" i="50" s="1"/>
  <c r="X3531" i="50" s="1"/>
  <c r="Z2102" i="50"/>
  <c r="Z2817" i="50" s="1"/>
  <c r="Z3531" i="50" s="1"/>
  <c r="V2102" i="50"/>
  <c r="V2817" i="50" s="1"/>
  <c r="V3531" i="50" s="1"/>
  <c r="AD2102" i="50"/>
  <c r="AD2817" i="50" s="1"/>
  <c r="T2102" i="50"/>
  <c r="J2677" i="50"/>
  <c r="J3391" i="50" s="1"/>
  <c r="N1753" i="50"/>
  <c r="AH1744" i="50"/>
  <c r="J1744" i="50"/>
  <c r="H1744" i="50"/>
  <c r="F1744" i="50"/>
  <c r="N1744" i="50"/>
  <c r="L1744" i="50"/>
  <c r="P1744" i="50"/>
  <c r="AO1747" i="50"/>
  <c r="T1747" i="50" s="1"/>
  <c r="N1550" i="50"/>
  <c r="N1551" i="50" s="1"/>
  <c r="AB1850" i="50"/>
  <c r="AH1850" i="50"/>
  <c r="AD1850" i="50"/>
  <c r="V1850" i="50"/>
  <c r="AN1852" i="50"/>
  <c r="F1852" i="50" s="1"/>
  <c r="Z1850" i="50"/>
  <c r="T1850" i="50"/>
  <c r="AD1615" i="50"/>
  <c r="X1615" i="50"/>
  <c r="Z1615" i="50"/>
  <c r="V1615" i="50"/>
  <c r="T1615" i="50"/>
  <c r="AH1615" i="50"/>
  <c r="AN1621" i="50"/>
  <c r="F1621" i="50" s="1"/>
  <c r="AB1615" i="50"/>
  <c r="AB3489" i="50"/>
  <c r="AF3489" i="50" s="1"/>
  <c r="AF2775" i="50"/>
  <c r="AL1643" i="50"/>
  <c r="AM1643" i="50" s="1"/>
  <c r="T2614" i="50"/>
  <c r="F2014" i="50"/>
  <c r="F2729" i="50" s="1"/>
  <c r="F3443" i="50" s="1"/>
  <c r="N2014" i="50"/>
  <c r="N2729" i="50" s="1"/>
  <c r="N3443" i="50" s="1"/>
  <c r="L2014" i="50"/>
  <c r="L2729" i="50" s="1"/>
  <c r="L3443" i="50" s="1"/>
  <c r="H2014" i="50"/>
  <c r="H2729" i="50" s="1"/>
  <c r="H3443" i="50" s="1"/>
  <c r="J2014" i="50"/>
  <c r="J2729" i="50" s="1"/>
  <c r="J3443" i="50" s="1"/>
  <c r="AH2014" i="50"/>
  <c r="P2014" i="50"/>
  <c r="P2729" i="50" s="1"/>
  <c r="P3443" i="50" s="1"/>
  <c r="AL1861" i="50"/>
  <c r="AM1861" i="50" s="1"/>
  <c r="AA64" i="48"/>
  <c r="AE64" i="48"/>
  <c r="AD2222" i="50"/>
  <c r="AD2936" i="50" s="1"/>
  <c r="T2922" i="50"/>
  <c r="L43" i="35"/>
  <c r="L44" i="35" s="1"/>
  <c r="L42" i="35"/>
  <c r="L1590" i="50"/>
  <c r="L1592" i="50" s="1"/>
  <c r="P1590" i="50"/>
  <c r="P2305" i="50" s="1"/>
  <c r="P3019" i="50" s="1"/>
  <c r="AH1590" i="50"/>
  <c r="F1590" i="50"/>
  <c r="N1590" i="50"/>
  <c r="N2305" i="50" s="1"/>
  <c r="N3019" i="50" s="1"/>
  <c r="N3022" i="50" s="1"/>
  <c r="J1590" i="50"/>
  <c r="H1590" i="50"/>
  <c r="AO1593" i="50"/>
  <c r="T1593" i="50" s="1"/>
  <c r="V1285" i="50"/>
  <c r="AL1622" i="50"/>
  <c r="AM1622" i="50" s="1"/>
  <c r="F1961" i="50"/>
  <c r="F1963" i="50" s="1"/>
  <c r="F1964" i="50" s="1"/>
  <c r="H1961" i="50"/>
  <c r="H2676" i="50" s="1"/>
  <c r="H3390" i="50" s="1"/>
  <c r="N1961" i="50"/>
  <c r="N2676" i="50" s="1"/>
  <c r="N3390" i="50" s="1"/>
  <c r="L1961" i="50"/>
  <c r="L2676" i="50" s="1"/>
  <c r="L3390" i="50" s="1"/>
  <c r="P1961" i="50"/>
  <c r="P2676" i="50" s="1"/>
  <c r="P3390" i="50" s="1"/>
  <c r="AH1961" i="50"/>
  <c r="J1961" i="50"/>
  <c r="J2676" i="50" s="1"/>
  <c r="J3390" i="50" s="1"/>
  <c r="V2093" i="50"/>
  <c r="V2808" i="50" s="1"/>
  <c r="V3522" i="50" s="1"/>
  <c r="T2093" i="50"/>
  <c r="T2808" i="50" s="1"/>
  <c r="T3522" i="50" s="1"/>
  <c r="Z2093" i="50"/>
  <c r="Z2808" i="50" s="1"/>
  <c r="Z3522" i="50" s="1"/>
  <c r="AD2093" i="50"/>
  <c r="AD2808" i="50" s="1"/>
  <c r="AD3522" i="50" s="1"/>
  <c r="X2093" i="50"/>
  <c r="X2808" i="50" s="1"/>
  <c r="X3522" i="50" s="1"/>
  <c r="AB2093" i="50"/>
  <c r="AB2808" i="50" s="1"/>
  <c r="AB3522" i="50" s="1"/>
  <c r="X689" i="50"/>
  <c r="X1404" i="50" s="1"/>
  <c r="Z689" i="50"/>
  <c r="Z1404" i="50" s="1"/>
  <c r="AD689" i="50"/>
  <c r="AD1404" i="50" s="1"/>
  <c r="AB689" i="50"/>
  <c r="AB1404" i="50" s="1"/>
  <c r="T689" i="50"/>
  <c r="V689" i="50"/>
  <c r="V1404" i="50" s="1"/>
  <c r="X668" i="50"/>
  <c r="X1383" i="50" s="1"/>
  <c r="AB668" i="50"/>
  <c r="AB1383" i="50" s="1"/>
  <c r="AD668" i="50"/>
  <c r="AD1383" i="50" s="1"/>
  <c r="Z668" i="50"/>
  <c r="Z1383" i="50" s="1"/>
  <c r="V668" i="50"/>
  <c r="V1383" i="50" s="1"/>
  <c r="AH668" i="50"/>
  <c r="T668" i="50"/>
  <c r="T1383" i="50" s="1"/>
  <c r="BP26" i="49"/>
  <c r="BU26" i="49" s="1"/>
  <c r="C50" i="38"/>
  <c r="AB2801" i="50"/>
  <c r="AB3515" i="50" s="1"/>
  <c r="AN313" i="50"/>
  <c r="BU185" i="49"/>
  <c r="V2082" i="50"/>
  <c r="V2083" i="50" s="1"/>
  <c r="V3265" i="50"/>
  <c r="AD1960" i="50"/>
  <c r="V1960" i="50"/>
  <c r="X1960" i="50"/>
  <c r="X2675" i="50" s="1"/>
  <c r="X3389" i="50" s="1"/>
  <c r="AB1960" i="50"/>
  <c r="Z1960" i="50"/>
  <c r="Z2675" i="50" s="1"/>
  <c r="Z3389" i="50" s="1"/>
  <c r="T1960" i="50"/>
  <c r="J1638" i="50"/>
  <c r="J2353" i="50" s="1"/>
  <c r="J3067" i="50" s="1"/>
  <c r="H1638" i="50"/>
  <c r="H2353" i="50" s="1"/>
  <c r="H3067" i="50" s="1"/>
  <c r="N1638" i="50"/>
  <c r="N2353" i="50" s="1"/>
  <c r="N3067" i="50" s="1"/>
  <c r="AH1638" i="50"/>
  <c r="F1638" i="50"/>
  <c r="F2353" i="50" s="1"/>
  <c r="F3067" i="50" s="1"/>
  <c r="P1638" i="50"/>
  <c r="P2353" i="50" s="1"/>
  <c r="P3067" i="50" s="1"/>
  <c r="L1638" i="50"/>
  <c r="L2353" i="50" s="1"/>
  <c r="L3067" i="50" s="1"/>
  <c r="V1693" i="50"/>
  <c r="V2408" i="50" s="1"/>
  <c r="V3122" i="50" s="1"/>
  <c r="X1693" i="50"/>
  <c r="T1693" i="50"/>
  <c r="AB1693" i="50"/>
  <c r="Z1693" i="50"/>
  <c r="AH1693" i="50"/>
  <c r="AD1693" i="50"/>
  <c r="AD2408" i="50" s="1"/>
  <c r="AN1698" i="50"/>
  <c r="F1698" i="50" s="1"/>
  <c r="AH318" i="50"/>
  <c r="AO320" i="50"/>
  <c r="BU167" i="49"/>
  <c r="Z1757" i="50"/>
  <c r="T1757" i="50"/>
  <c r="AB1757" i="50"/>
  <c r="AD1757" i="50"/>
  <c r="X1757" i="50"/>
  <c r="V1757" i="50"/>
  <c r="AH1757" i="50"/>
  <c r="Z1152" i="50"/>
  <c r="F1911" i="50"/>
  <c r="F2626" i="50" s="1"/>
  <c r="L1911" i="50"/>
  <c r="L2626" i="50" s="1"/>
  <c r="L3340" i="50" s="1"/>
  <c r="AH1911" i="50"/>
  <c r="J1911" i="50"/>
  <c r="J2626" i="50" s="1"/>
  <c r="J3340" i="50" s="1"/>
  <c r="H1911" i="50"/>
  <c r="H2626" i="50" s="1"/>
  <c r="H3340" i="50" s="1"/>
  <c r="N2201" i="50"/>
  <c r="N2915" i="50" s="1"/>
  <c r="N1487" i="50"/>
  <c r="X3538" i="50"/>
  <c r="AF3538" i="50" s="1"/>
  <c r="AF2824" i="50"/>
  <c r="AH2824" i="50" s="1"/>
  <c r="AL1569" i="50"/>
  <c r="AM1569" i="50" s="1"/>
  <c r="Z2544" i="50"/>
  <c r="AL1829" i="50"/>
  <c r="AM1829" i="50" s="1"/>
  <c r="X1152" i="50"/>
  <c r="AL1825" i="50"/>
  <c r="AM1825" i="50" s="1"/>
  <c r="J2775" i="50"/>
  <c r="J3489" i="50" s="1"/>
  <c r="AB1152" i="50"/>
  <c r="AB1194" i="50"/>
  <c r="Z1911" i="50"/>
  <c r="Z2626" i="50" s="1"/>
  <c r="Z3340" i="50" s="1"/>
  <c r="X1911" i="50"/>
  <c r="X2626" i="50" s="1"/>
  <c r="X3340" i="50" s="1"/>
  <c r="AB1911" i="50"/>
  <c r="AB2626" i="50" s="1"/>
  <c r="AB3340" i="50" s="1"/>
  <c r="V1911" i="50"/>
  <c r="V2626" i="50" s="1"/>
  <c r="V3340" i="50" s="1"/>
  <c r="AD1911" i="50"/>
  <c r="AD2626" i="50" s="1"/>
  <c r="T1911" i="50"/>
  <c r="T2626" i="50" s="1"/>
  <c r="T3340" i="50" s="1"/>
  <c r="AL1797" i="50"/>
  <c r="AM1797" i="50" s="1"/>
  <c r="T2473" i="50"/>
  <c r="T3187" i="50" s="1"/>
  <c r="U1758" i="50"/>
  <c r="AG1758" i="50" s="1"/>
  <c r="AI1758" i="50" s="1"/>
  <c r="T1341" i="50"/>
  <c r="AF1341" i="50" s="1"/>
  <c r="AF2264" i="50"/>
  <c r="T2978" i="50"/>
  <c r="AF2978" i="50" s="1"/>
  <c r="AD2831" i="50"/>
  <c r="AD3545" i="50" s="1"/>
  <c r="T1285" i="50"/>
  <c r="H3006" i="50"/>
  <c r="R3006" i="50" s="1"/>
  <c r="Z2676" i="50"/>
  <c r="Z3390" i="50" s="1"/>
  <c r="AB2676" i="50"/>
  <c r="AB3390" i="50" s="1"/>
  <c r="L1559" i="50"/>
  <c r="F1559" i="50"/>
  <c r="P1559" i="50"/>
  <c r="N1559" i="50"/>
  <c r="J1559" i="50"/>
  <c r="AO1565" i="50"/>
  <c r="T1565" i="50" s="1"/>
  <c r="H1559" i="50"/>
  <c r="AD1700" i="50"/>
  <c r="AD2415" i="50" s="1"/>
  <c r="AD3129" i="50" s="1"/>
  <c r="X1700" i="50"/>
  <c r="X2415" i="50" s="1"/>
  <c r="X3129" i="50" s="1"/>
  <c r="AH1700" i="50"/>
  <c r="V1700" i="50"/>
  <c r="V2415" i="50" s="1"/>
  <c r="V3129" i="50" s="1"/>
  <c r="Z1700" i="50"/>
  <c r="Z2415" i="50" s="1"/>
  <c r="Z3129" i="50" s="1"/>
  <c r="T1700" i="50"/>
  <c r="AB1700" i="50"/>
  <c r="AB2415" i="50" s="1"/>
  <c r="AB3129" i="50" s="1"/>
  <c r="V1860" i="50"/>
  <c r="V2575" i="50" s="1"/>
  <c r="V3289" i="50" s="1"/>
  <c r="AD1860" i="50"/>
  <c r="AD2575" i="50" s="1"/>
  <c r="AD3289" i="50" s="1"/>
  <c r="AN1866" i="50"/>
  <c r="AH1860" i="50"/>
  <c r="AH2141" i="50"/>
  <c r="AB2141" i="50"/>
  <c r="AB2856" i="50" s="1"/>
  <c r="AB3570" i="50" s="1"/>
  <c r="X2141" i="50"/>
  <c r="X2856" i="50" s="1"/>
  <c r="X3570" i="50" s="1"/>
  <c r="V2141" i="50"/>
  <c r="V2856" i="50" s="1"/>
  <c r="V3570" i="50" s="1"/>
  <c r="T2141" i="50"/>
  <c r="T2856" i="50" s="1"/>
  <c r="T3570" i="50" s="1"/>
  <c r="Z2141" i="50"/>
  <c r="Z2856" i="50" s="1"/>
  <c r="Z3570" i="50" s="1"/>
  <c r="AD2141" i="50"/>
  <c r="AD2856" i="50" s="1"/>
  <c r="AD3570" i="50" s="1"/>
  <c r="F1673" i="50"/>
  <c r="N1673" i="50"/>
  <c r="N2388" i="50" s="1"/>
  <c r="N3102" i="50" s="1"/>
  <c r="P1673" i="50"/>
  <c r="P2388" i="50" s="1"/>
  <c r="P3102" i="50" s="1"/>
  <c r="J1673" i="50"/>
  <c r="J2388" i="50" s="1"/>
  <c r="J3102" i="50" s="1"/>
  <c r="H1673" i="50"/>
  <c r="H2388" i="50" s="1"/>
  <c r="H3102" i="50" s="1"/>
  <c r="AH1673" i="50"/>
  <c r="L1673" i="50"/>
  <c r="L2388" i="50" s="1"/>
  <c r="L3102" i="50" s="1"/>
  <c r="AO173" i="50"/>
  <c r="AD2059" i="50"/>
  <c r="AD2774" i="50" s="1"/>
  <c r="AD3488" i="50" s="1"/>
  <c r="Z2059" i="50"/>
  <c r="Z2774" i="50" s="1"/>
  <c r="Z3488" i="50" s="1"/>
  <c r="T2059" i="50"/>
  <c r="T2774" i="50" s="1"/>
  <c r="T3488" i="50" s="1"/>
  <c r="X2059" i="50"/>
  <c r="X2774" i="50" s="1"/>
  <c r="X3488" i="50" s="1"/>
  <c r="AB2059" i="50"/>
  <c r="AB2774" i="50" s="1"/>
  <c r="AB3488" i="50" s="1"/>
  <c r="AH2059" i="50"/>
  <c r="AL1547" i="50"/>
  <c r="AM1547" i="50" s="1"/>
  <c r="F1550" i="50"/>
  <c r="V3510" i="50"/>
  <c r="T1910" i="50"/>
  <c r="AD1910" i="50"/>
  <c r="AH1910" i="50"/>
  <c r="X1910" i="50"/>
  <c r="Z1910" i="50"/>
  <c r="L1947" i="50"/>
  <c r="P1947" i="50"/>
  <c r="N1947" i="50"/>
  <c r="J1947" i="50"/>
  <c r="AH1947" i="50"/>
  <c r="F1947" i="50"/>
  <c r="H1947" i="50"/>
  <c r="H2201" i="50"/>
  <c r="H2915" i="50" s="1"/>
  <c r="H1487" i="50"/>
  <c r="H1488" i="50" s="1"/>
  <c r="T2292" i="50"/>
  <c r="T3006" i="50" s="1"/>
  <c r="T1152" i="50"/>
  <c r="H2775" i="50"/>
  <c r="H3489" i="50" s="1"/>
  <c r="Z1327" i="50"/>
  <c r="X2803" i="50"/>
  <c r="X3517" i="50" s="1"/>
  <c r="AB1327" i="50"/>
  <c r="F2063" i="50"/>
  <c r="F2778" i="50" s="1"/>
  <c r="F3492" i="50" s="1"/>
  <c r="P2063" i="50"/>
  <c r="P2778" i="50" s="1"/>
  <c r="P3492" i="50" s="1"/>
  <c r="L2063" i="50"/>
  <c r="N2063" i="50"/>
  <c r="J2063" i="50"/>
  <c r="J2778" i="50" s="1"/>
  <c r="J3492" i="50" s="1"/>
  <c r="AH2063" i="50"/>
  <c r="H2063" i="50"/>
  <c r="H2778" i="50" s="1"/>
  <c r="H3492" i="50" s="1"/>
  <c r="J1473" i="50"/>
  <c r="N1474" i="50" s="1"/>
  <c r="AL1633" i="50"/>
  <c r="AM1633" i="50" s="1"/>
  <c r="J2936" i="50"/>
  <c r="R2936" i="50" s="1"/>
  <c r="R2222" i="50"/>
  <c r="Z1780" i="50"/>
  <c r="Z1781" i="50" s="1"/>
  <c r="X1780" i="50"/>
  <c r="X2495" i="50" s="1"/>
  <c r="X3209" i="50" s="1"/>
  <c r="X3211" i="50" s="1"/>
  <c r="T1780" i="50"/>
  <c r="AB1285" i="50"/>
  <c r="X1932" i="50"/>
  <c r="X2647" i="50" s="1"/>
  <c r="X3361" i="50" s="1"/>
  <c r="Z1932" i="50"/>
  <c r="Z2647" i="50" s="1"/>
  <c r="Z3361" i="50" s="1"/>
  <c r="AD1932" i="50"/>
  <c r="AD2647" i="50" s="1"/>
  <c r="AD3361" i="50" s="1"/>
  <c r="T1932" i="50"/>
  <c r="AB1932" i="50"/>
  <c r="AB2647" i="50" s="1"/>
  <c r="AH1932" i="50"/>
  <c r="V1932" i="50"/>
  <c r="V2647" i="50" s="1"/>
  <c r="V3361" i="50" s="1"/>
  <c r="W42" i="32"/>
  <c r="X23" i="32"/>
  <c r="N1737" i="50"/>
  <c r="N2452" i="50" s="1"/>
  <c r="N3166" i="50" s="1"/>
  <c r="F1737" i="50"/>
  <c r="F2452" i="50" s="1"/>
  <c r="F3166" i="50" s="1"/>
  <c r="L1737" i="50"/>
  <c r="L2452" i="50" s="1"/>
  <c r="L3166" i="50" s="1"/>
  <c r="P1737" i="50"/>
  <c r="P2452" i="50" s="1"/>
  <c r="P3166" i="50" s="1"/>
  <c r="AH1737" i="50"/>
  <c r="H1737" i="50"/>
  <c r="H2452" i="50" s="1"/>
  <c r="H3166" i="50" s="1"/>
  <c r="J1737" i="50"/>
  <c r="J2452" i="50" s="1"/>
  <c r="J3166" i="50" s="1"/>
  <c r="AH1724" i="50"/>
  <c r="V1724" i="50"/>
  <c r="X1724" i="50"/>
  <c r="AB1724" i="50"/>
  <c r="Z1724" i="50"/>
  <c r="AD1724" i="50"/>
  <c r="AD1725" i="50" s="1"/>
  <c r="AD1726" i="50" s="1"/>
  <c r="AN1726" i="50"/>
  <c r="F1726" i="50" s="1"/>
  <c r="T1724" i="50"/>
  <c r="AF9" i="72"/>
  <c r="T1860" i="50"/>
  <c r="T2575" i="50" s="1"/>
  <c r="T3289" i="50" s="1"/>
  <c r="AD2131" i="50"/>
  <c r="AD2132" i="50" s="1"/>
  <c r="Z1725" i="50"/>
  <c r="Z1726" i="50" s="1"/>
  <c r="AF707" i="50"/>
  <c r="AF3461" i="50"/>
  <c r="BI231" i="49"/>
  <c r="AH521" i="50"/>
  <c r="T521" i="50"/>
  <c r="V521" i="50"/>
  <c r="V1236" i="50" s="1"/>
  <c r="AD521" i="50"/>
  <c r="AD1236" i="50" s="1"/>
  <c r="AB521" i="50"/>
  <c r="AB1236" i="50" s="1"/>
  <c r="X521" i="50"/>
  <c r="X1236" i="50" s="1"/>
  <c r="Z521" i="50"/>
  <c r="Z1236" i="50" s="1"/>
  <c r="X472" i="50"/>
  <c r="X1187" i="50" s="1"/>
  <c r="AD472" i="50"/>
  <c r="AD1187" i="50" s="1"/>
  <c r="Z472" i="50"/>
  <c r="Z1187" i="50" s="1"/>
  <c r="AB472" i="50"/>
  <c r="AB1187" i="50" s="1"/>
  <c r="T472" i="50"/>
  <c r="T1187" i="50" s="1"/>
  <c r="V472" i="50"/>
  <c r="V1187" i="50" s="1"/>
  <c r="AL1951" i="50"/>
  <c r="AM1951" i="50" s="1"/>
  <c r="J2039" i="50"/>
  <c r="J2040" i="50" s="1"/>
  <c r="J2041" i="50" s="1"/>
  <c r="H2039" i="50"/>
  <c r="AH2039" i="50"/>
  <c r="P2039" i="50"/>
  <c r="P2754" i="50" s="1"/>
  <c r="P3468" i="50" s="1"/>
  <c r="P3470" i="50" s="1"/>
  <c r="L2039" i="50"/>
  <c r="L2754" i="50" s="1"/>
  <c r="L3468" i="50" s="1"/>
  <c r="L3470" i="50" s="1"/>
  <c r="N2039" i="50"/>
  <c r="F2039" i="50"/>
  <c r="AH437" i="50"/>
  <c r="F437" i="50"/>
  <c r="H437" i="50"/>
  <c r="H1152" i="50" s="1"/>
  <c r="J437" i="50"/>
  <c r="J1152" i="50" s="1"/>
  <c r="L437" i="50"/>
  <c r="L1152" i="50" s="1"/>
  <c r="P437" i="50"/>
  <c r="P1152" i="50" s="1"/>
  <c r="N437" i="50"/>
  <c r="N1152" i="50" s="1"/>
  <c r="AL1906" i="50"/>
  <c r="AM1906" i="50" s="1"/>
  <c r="F2621" i="50"/>
  <c r="F3335" i="50" s="1"/>
  <c r="AL1855" i="50"/>
  <c r="AM1855" i="50" s="1"/>
  <c r="N1948" i="50"/>
  <c r="AH1948" i="50"/>
  <c r="J1948" i="50"/>
  <c r="P1948" i="50"/>
  <c r="P2663" i="50" s="1"/>
  <c r="P3377" i="50" s="1"/>
  <c r="F1948" i="50"/>
  <c r="H1948" i="50"/>
  <c r="H2663" i="50" s="1"/>
  <c r="H3377" i="50" s="1"/>
  <c r="L1948" i="50"/>
  <c r="T1815" i="50"/>
  <c r="AB1815" i="50"/>
  <c r="V1815" i="50"/>
  <c r="X1815" i="50"/>
  <c r="AD1815" i="50"/>
  <c r="AD2530" i="50" s="1"/>
  <c r="AD3244" i="50" s="1"/>
  <c r="AH1815" i="50"/>
  <c r="Z1815" i="50"/>
  <c r="Z2530" i="50" s="1"/>
  <c r="Z3244" i="50" s="1"/>
  <c r="AD1680" i="50"/>
  <c r="AD2395" i="50" s="1"/>
  <c r="Z1680" i="50"/>
  <c r="Z2395" i="50" s="1"/>
  <c r="Z3109" i="50" s="1"/>
  <c r="AH1680" i="50"/>
  <c r="T1680" i="50"/>
  <c r="T2395" i="50" s="1"/>
  <c r="T3109" i="50" s="1"/>
  <c r="AH1447" i="50"/>
  <c r="V1447" i="50"/>
  <c r="V1452" i="50" s="1"/>
  <c r="V1453" i="50" s="1"/>
  <c r="AD1447" i="50"/>
  <c r="X1447" i="50"/>
  <c r="AN1453" i="50"/>
  <c r="F1453" i="50" s="1"/>
  <c r="P2116" i="50"/>
  <c r="P2831" i="50" s="1"/>
  <c r="P3545" i="50" s="1"/>
  <c r="L2116" i="50"/>
  <c r="L2831" i="50" s="1"/>
  <c r="L3545" i="50" s="1"/>
  <c r="F2116" i="50"/>
  <c r="F2831" i="50" s="1"/>
  <c r="F3545" i="50" s="1"/>
  <c r="H2116" i="50"/>
  <c r="H2831" i="50" s="1"/>
  <c r="H3545" i="50" s="1"/>
  <c r="N2116" i="50"/>
  <c r="N2831" i="50" s="1"/>
  <c r="N3545" i="50" s="1"/>
  <c r="J2116" i="50"/>
  <c r="AH2116" i="50"/>
  <c r="F1327" i="50"/>
  <c r="V2520" i="50"/>
  <c r="V3234" i="50" s="1"/>
  <c r="AB2831" i="50"/>
  <c r="AB3545" i="50" s="1"/>
  <c r="P1327" i="50"/>
  <c r="AD1327" i="50"/>
  <c r="L2614" i="50"/>
  <c r="L3328" i="50" s="1"/>
  <c r="AL1589" i="50"/>
  <c r="AM1589" i="50" s="1"/>
  <c r="T542" i="50"/>
  <c r="T543" i="50" s="1"/>
  <c r="V542" i="50"/>
  <c r="V1257" i="50" s="1"/>
  <c r="AH542" i="50"/>
  <c r="X542" i="50"/>
  <c r="X1257" i="50" s="1"/>
  <c r="Z542" i="50"/>
  <c r="Z1257" i="50" s="1"/>
  <c r="AB542" i="50"/>
  <c r="AB1257" i="50" s="1"/>
  <c r="AD542" i="50"/>
  <c r="AD1257" i="50" s="1"/>
  <c r="J2264" i="50"/>
  <c r="J2978" i="50" s="1"/>
  <c r="L1473" i="50"/>
  <c r="P1474" i="50" s="1"/>
  <c r="X2558" i="50"/>
  <c r="X3272" i="50" s="1"/>
  <c r="AL1762" i="50"/>
  <c r="AM1762" i="50" s="1"/>
  <c r="X3062" i="50"/>
  <c r="AH90" i="50"/>
  <c r="AO96" i="50"/>
  <c r="AL1552" i="50"/>
  <c r="AM1552" i="50" s="1"/>
  <c r="V1557" i="50"/>
  <c r="V1558" i="50" s="1"/>
  <c r="T661" i="50"/>
  <c r="T1376" i="50" s="1"/>
  <c r="V661" i="50"/>
  <c r="V1376" i="50" s="1"/>
  <c r="AD661" i="50"/>
  <c r="AD1376" i="50" s="1"/>
  <c r="AB661" i="50"/>
  <c r="AB1376" i="50" s="1"/>
  <c r="X661" i="50"/>
  <c r="X1376" i="50" s="1"/>
  <c r="Z661" i="50"/>
  <c r="Z1376" i="50" s="1"/>
  <c r="AD1285" i="50"/>
  <c r="Z1634" i="50"/>
  <c r="Z1635" i="50" s="1"/>
  <c r="V1152" i="50"/>
  <c r="AH1835" i="50"/>
  <c r="AN1838" i="50"/>
  <c r="F1838" i="50" s="1"/>
  <c r="Z1835" i="50"/>
  <c r="Z2550" i="50" s="1"/>
  <c r="Z3264" i="50" s="1"/>
  <c r="V1835" i="50"/>
  <c r="V2550" i="50" s="1"/>
  <c r="V3264" i="50" s="1"/>
  <c r="X1835" i="50"/>
  <c r="X1837" i="50" s="1"/>
  <c r="X1838" i="50" s="1"/>
  <c r="AD1835" i="50"/>
  <c r="AD2550" i="50" s="1"/>
  <c r="AD3264" i="50" s="1"/>
  <c r="T1835" i="50"/>
  <c r="T1837" i="50" s="1"/>
  <c r="AB1835" i="50"/>
  <c r="AB2550" i="50" s="1"/>
  <c r="AB3264" i="50" s="1"/>
  <c r="AD1862" i="50"/>
  <c r="AD2577" i="50" s="1"/>
  <c r="AD3291" i="50" s="1"/>
  <c r="X1862" i="50"/>
  <c r="X2577" i="50" s="1"/>
  <c r="X3291" i="50" s="1"/>
  <c r="AB1862" i="50"/>
  <c r="AB2577" i="50" s="1"/>
  <c r="AB3291" i="50" s="1"/>
  <c r="AB3295" i="50" s="1"/>
  <c r="Z1862" i="50"/>
  <c r="Z1865" i="50" s="1"/>
  <c r="Z1866" i="50" s="1"/>
  <c r="AH1862" i="50"/>
  <c r="T1862" i="50"/>
  <c r="T1865" i="50" s="1"/>
  <c r="T1866" i="50" s="1"/>
  <c r="V1862" i="50"/>
  <c r="V2577" i="50" s="1"/>
  <c r="T465" i="50"/>
  <c r="V465" i="50"/>
  <c r="V1180" i="50" s="1"/>
  <c r="X465" i="50"/>
  <c r="X1180" i="50" s="1"/>
  <c r="Z465" i="50"/>
  <c r="Z1180" i="50" s="1"/>
  <c r="AD465" i="50"/>
  <c r="AD1180" i="50" s="1"/>
  <c r="AB465" i="50"/>
  <c r="AB1180" i="50" s="1"/>
  <c r="AD514" i="50"/>
  <c r="AD1229" i="50" s="1"/>
  <c r="Z514" i="50"/>
  <c r="Z1229" i="50" s="1"/>
  <c r="AB514" i="50"/>
  <c r="AB1229" i="50" s="1"/>
  <c r="T514" i="50"/>
  <c r="V514" i="50"/>
  <c r="V1229" i="50" s="1"/>
  <c r="X514" i="50"/>
  <c r="X515" i="50" s="1"/>
  <c r="AB3400" i="50"/>
  <c r="AB2926" i="50"/>
  <c r="V2183" i="50"/>
  <c r="V2897" i="50" s="1"/>
  <c r="V2903" i="50" s="1"/>
  <c r="AH512" i="50"/>
  <c r="AN250" i="50"/>
  <c r="BU186" i="49"/>
  <c r="AH611" i="50"/>
  <c r="BP181" i="49"/>
  <c r="BU181" i="49" s="1"/>
  <c r="X2082" i="50"/>
  <c r="X2083" i="50" s="1"/>
  <c r="P1718" i="50"/>
  <c r="BP169" i="49"/>
  <c r="BU169" i="49" s="1"/>
  <c r="L2523" i="50"/>
  <c r="L3237" i="50" s="1"/>
  <c r="R3027" i="50"/>
  <c r="AL1924" i="50"/>
  <c r="AM1924" i="50" s="1"/>
  <c r="AB2024" i="50"/>
  <c r="AD2024" i="50"/>
  <c r="X2025" i="50"/>
  <c r="T2025" i="50"/>
  <c r="AD2025" i="50"/>
  <c r="X2024" i="50"/>
  <c r="Z2025" i="50"/>
  <c r="AB2025" i="50"/>
  <c r="AH2025" i="50"/>
  <c r="AH2024" i="50"/>
  <c r="V1497" i="50"/>
  <c r="V1501" i="50" s="1"/>
  <c r="V1502" i="50" s="1"/>
  <c r="AD1497" i="50"/>
  <c r="AD1501" i="50" s="1"/>
  <c r="AD1502" i="50" s="1"/>
  <c r="AH1497" i="50"/>
  <c r="AN1502" i="50"/>
  <c r="F1502" i="50" s="1"/>
  <c r="AH444" i="50"/>
  <c r="X444" i="50"/>
  <c r="X1159" i="50" s="1"/>
  <c r="AD444" i="50"/>
  <c r="AD1159" i="50" s="1"/>
  <c r="T444" i="50"/>
  <c r="AB444" i="50"/>
  <c r="AB1159" i="50" s="1"/>
  <c r="Z444" i="50"/>
  <c r="Z1159" i="50" s="1"/>
  <c r="V444" i="50"/>
  <c r="V1159" i="50" s="1"/>
  <c r="F2796" i="50"/>
  <c r="F3510" i="50" s="1"/>
  <c r="T2754" i="50"/>
  <c r="AB2754" i="50"/>
  <c r="AB3468" i="50" s="1"/>
  <c r="V2754" i="50"/>
  <c r="V3468" i="50" s="1"/>
  <c r="Z2754" i="50"/>
  <c r="Z3468" i="50" s="1"/>
  <c r="X2754" i="50"/>
  <c r="X3468" i="50" s="1"/>
  <c r="AD2754" i="50"/>
  <c r="AD3468" i="50" s="1"/>
  <c r="J2107" i="50"/>
  <c r="J2822" i="50" s="1"/>
  <c r="J3536" i="50" s="1"/>
  <c r="AH2107" i="50"/>
  <c r="H2107" i="50"/>
  <c r="H2822" i="50" s="1"/>
  <c r="H3536" i="50" s="1"/>
  <c r="L2107" i="50"/>
  <c r="L2822" i="50" s="1"/>
  <c r="L3536" i="50" s="1"/>
  <c r="N2107" i="50"/>
  <c r="N2822" i="50" s="1"/>
  <c r="N3536" i="50" s="1"/>
  <c r="P2107" i="50"/>
  <c r="P2822" i="50" s="1"/>
  <c r="P3536" i="50" s="1"/>
  <c r="F2107" i="50"/>
  <c r="F2822" i="50" s="1"/>
  <c r="AL1475" i="50"/>
  <c r="AM1475" i="50" s="1"/>
  <c r="F1480" i="50"/>
  <c r="X1972" i="50"/>
  <c r="X2687" i="50" s="1"/>
  <c r="X3401" i="50" s="1"/>
  <c r="AH1972" i="50"/>
  <c r="Z1972" i="50"/>
  <c r="Z2687" i="50" s="1"/>
  <c r="Z3401" i="50" s="1"/>
  <c r="V1972" i="50"/>
  <c r="T1972" i="50"/>
  <c r="AD1972" i="50"/>
  <c r="AD2687" i="50" s="1"/>
  <c r="AD3401" i="50" s="1"/>
  <c r="AB1972" i="50"/>
  <c r="Z2663" i="50"/>
  <c r="Z3377" i="50" s="1"/>
  <c r="Z3379" i="50" s="1"/>
  <c r="V2663" i="50"/>
  <c r="V3377" i="50" s="1"/>
  <c r="V3379" i="50" s="1"/>
  <c r="AB2663" i="50"/>
  <c r="AB3377" i="50" s="1"/>
  <c r="AB3379" i="50" s="1"/>
  <c r="AH1699" i="50"/>
  <c r="AB1699" i="50"/>
  <c r="AB2414" i="50" s="1"/>
  <c r="AB3128" i="50" s="1"/>
  <c r="T1699" i="50"/>
  <c r="Z1699" i="50"/>
  <c r="V1699" i="50"/>
  <c r="V2414" i="50" s="1"/>
  <c r="V3128" i="50" s="1"/>
  <c r="AN1705" i="50"/>
  <c r="F1705" i="50" s="1"/>
  <c r="AD1699" i="50"/>
  <c r="X1699" i="50"/>
  <c r="X2414" i="50" s="1"/>
  <c r="X3128" i="50" s="1"/>
  <c r="F1805" i="50"/>
  <c r="F2520" i="50" s="1"/>
  <c r="F3234" i="50" s="1"/>
  <c r="AO1810" i="50"/>
  <c r="T1810" i="50" s="1"/>
  <c r="AH1805" i="50"/>
  <c r="AL1583" i="50"/>
  <c r="AM1583" i="50" s="1"/>
  <c r="Z1194" i="50"/>
  <c r="V1327" i="50"/>
  <c r="P2775" i="50"/>
  <c r="P3489" i="50" s="1"/>
  <c r="F1874" i="50"/>
  <c r="AH1874" i="50"/>
  <c r="N1874" i="50"/>
  <c r="N2589" i="50" s="1"/>
  <c r="N3303" i="50" s="1"/>
  <c r="P1874" i="50"/>
  <c r="P2589" i="50" s="1"/>
  <c r="P3303" i="50" s="1"/>
  <c r="L1874" i="50"/>
  <c r="L2589" i="50" s="1"/>
  <c r="L3303" i="50" s="1"/>
  <c r="H1874" i="50"/>
  <c r="H2589" i="50" s="1"/>
  <c r="H3303" i="50" s="1"/>
  <c r="J1874" i="50"/>
  <c r="J2589" i="50" s="1"/>
  <c r="J3303" i="50" s="1"/>
  <c r="N2778" i="50"/>
  <c r="N3492" i="50" s="1"/>
  <c r="AD1194" i="50"/>
  <c r="AD1916" i="50"/>
  <c r="AD2631" i="50" s="1"/>
  <c r="AD3345" i="50" s="1"/>
  <c r="T1916" i="50"/>
  <c r="V1916" i="50"/>
  <c r="Z1916" i="50"/>
  <c r="Z2631" i="50" s="1"/>
  <c r="Z3345" i="50" s="1"/>
  <c r="Z3351" i="50" s="1"/>
  <c r="X1916" i="50"/>
  <c r="AB1916" i="50"/>
  <c r="AB2631" i="50" s="1"/>
  <c r="AB3345" i="50" s="1"/>
  <c r="AH1916" i="50"/>
  <c r="H2183" i="50"/>
  <c r="H2897" i="50" s="1"/>
  <c r="H2903" i="50" s="1"/>
  <c r="H1473" i="50"/>
  <c r="L1474" i="50" s="1"/>
  <c r="T2558" i="50"/>
  <c r="T3272" i="50" s="1"/>
  <c r="U1783" i="50"/>
  <c r="AG1783" i="50" s="1"/>
  <c r="AI1783" i="50" s="1"/>
  <c r="F1512" i="50"/>
  <c r="AH1512" i="50"/>
  <c r="H1512" i="50"/>
  <c r="L1512" i="50"/>
  <c r="L2227" i="50" s="1"/>
  <c r="L2941" i="50" s="1"/>
  <c r="P1512" i="50"/>
  <c r="AO1516" i="50"/>
  <c r="T1516" i="50" s="1"/>
  <c r="AB1759" i="50"/>
  <c r="AB2474" i="50" s="1"/>
  <c r="AB3188" i="50" s="1"/>
  <c r="V1759" i="50"/>
  <c r="AD1759" i="50"/>
  <c r="X1759" i="50"/>
  <c r="X2474" i="50" s="1"/>
  <c r="X3188" i="50" s="1"/>
  <c r="Z1759" i="50"/>
  <c r="AH1759" i="50"/>
  <c r="K231" i="49"/>
  <c r="R3381" i="50"/>
  <c r="AH365" i="50"/>
  <c r="AH659" i="50"/>
  <c r="X2110" i="50"/>
  <c r="AD2111" i="50" s="1"/>
  <c r="AB1788" i="50"/>
  <c r="AB1789" i="50" s="1"/>
  <c r="BU182" i="49"/>
  <c r="V1982" i="50"/>
  <c r="AD1982" i="50"/>
  <c r="AD2697" i="50" s="1"/>
  <c r="T1982" i="50"/>
  <c r="AB1982" i="50"/>
  <c r="AB2697" i="50" s="1"/>
  <c r="AB3411" i="50" s="1"/>
  <c r="Z1982" i="50"/>
  <c r="X1982" i="50"/>
  <c r="X2697" i="50" s="1"/>
  <c r="X3411" i="50" s="1"/>
  <c r="AH1982" i="50"/>
  <c r="AB1989" i="50"/>
  <c r="V1989" i="50"/>
  <c r="AD1989" i="50"/>
  <c r="Z1989" i="50"/>
  <c r="T1989" i="50"/>
  <c r="X1989" i="50"/>
  <c r="Z1993" i="50"/>
  <c r="Z2708" i="50" s="1"/>
  <c r="Z3422" i="50" s="1"/>
  <c r="AD1993" i="50"/>
  <c r="AD2708" i="50" s="1"/>
  <c r="AD3422" i="50" s="1"/>
  <c r="AB1993" i="50"/>
  <c r="AB2708" i="50" s="1"/>
  <c r="AB3422" i="50" s="1"/>
  <c r="X1993" i="50"/>
  <c r="X2708" i="50" s="1"/>
  <c r="X3422" i="50" s="1"/>
  <c r="V1993" i="50"/>
  <c r="V2708" i="50" s="1"/>
  <c r="V3422" i="50" s="1"/>
  <c r="AH1993" i="50"/>
  <c r="T1993" i="50"/>
  <c r="T2708" i="50" s="1"/>
  <c r="T3422" i="50" s="1"/>
  <c r="H2306" i="50"/>
  <c r="AL1591" i="50"/>
  <c r="AM1591" i="50" s="1"/>
  <c r="H2796" i="50"/>
  <c r="H3510" i="50" s="1"/>
  <c r="N1671" i="50"/>
  <c r="L1671" i="50"/>
  <c r="L2386" i="50" s="1"/>
  <c r="P1671" i="50"/>
  <c r="P2386" i="50" s="1"/>
  <c r="P3100" i="50" s="1"/>
  <c r="F1671" i="50"/>
  <c r="AO1677" i="50"/>
  <c r="T1677" i="50" s="1"/>
  <c r="J1671" i="50"/>
  <c r="J2386" i="50" s="1"/>
  <c r="J3100" i="50" s="1"/>
  <c r="AH1671" i="50"/>
  <c r="H1671" i="50"/>
  <c r="P570" i="50"/>
  <c r="P1285" i="50" s="1"/>
  <c r="F570" i="50"/>
  <c r="F1285" i="50" s="1"/>
  <c r="H570" i="50"/>
  <c r="H1285" i="50" s="1"/>
  <c r="J570" i="50"/>
  <c r="J1285" i="50" s="1"/>
  <c r="L570" i="50"/>
  <c r="L1285" i="50" s="1"/>
  <c r="N570" i="50"/>
  <c r="N1285" i="50" s="1"/>
  <c r="H2621" i="50"/>
  <c r="H3335" i="50" s="1"/>
  <c r="BP111" i="49"/>
  <c r="BU111" i="49" s="1"/>
  <c r="AL1546" i="50"/>
  <c r="T1550" i="50"/>
  <c r="J1863" i="50"/>
  <c r="F1863" i="50"/>
  <c r="P1863" i="50"/>
  <c r="H1863" i="50"/>
  <c r="N1863" i="50"/>
  <c r="AO1866" i="50"/>
  <c r="L1863" i="50"/>
  <c r="AH1863" i="50"/>
  <c r="AB2348" i="50"/>
  <c r="AB3062" i="50" s="1"/>
  <c r="AB1634" i="50"/>
  <c r="AB1635" i="50" s="1"/>
  <c r="F2614" i="50"/>
  <c r="F3328" i="50" s="1"/>
  <c r="AL1899" i="50"/>
  <c r="AM1899" i="50" s="1"/>
  <c r="F1886" i="50"/>
  <c r="F1887" i="50" s="1"/>
  <c r="AL1881" i="50"/>
  <c r="AM1881" i="50" s="1"/>
  <c r="AL1549" i="50"/>
  <c r="AM1549" i="50" s="1"/>
  <c r="F2264" i="50"/>
  <c r="F1473" i="50"/>
  <c r="J1474" i="50" s="1"/>
  <c r="T3433" i="50"/>
  <c r="AF3433" i="50" s="1"/>
  <c r="T2222" i="50"/>
  <c r="T2936" i="50" s="1"/>
  <c r="N1956" i="50"/>
  <c r="N1957" i="50" s="1"/>
  <c r="AL1783" i="50"/>
  <c r="AM1783" i="50" s="1"/>
  <c r="BU136" i="49"/>
  <c r="BU174" i="49"/>
  <c r="AD1634" i="50"/>
  <c r="AD1635" i="50" s="1"/>
  <c r="R2611" i="50"/>
  <c r="R3115" i="50"/>
  <c r="AF2655" i="50"/>
  <c r="U118" i="49" a="1"/>
  <c r="U118" i="49" s="1"/>
  <c r="AF2543" i="50"/>
  <c r="L806" i="50"/>
  <c r="R2837" i="50"/>
  <c r="X1171" i="50"/>
  <c r="Z1171" i="50"/>
  <c r="T1249" i="50"/>
  <c r="T1248" i="50"/>
  <c r="L857" i="50"/>
  <c r="T729" i="50"/>
  <c r="AB729" i="50"/>
  <c r="AD870" i="50"/>
  <c r="P2213" i="50"/>
  <c r="J2966" i="50"/>
  <c r="AF3047" i="50"/>
  <c r="V926" i="50"/>
  <c r="V1227" i="50"/>
  <c r="T962" i="50"/>
  <c r="Z1025" i="50"/>
  <c r="Z1116" i="50"/>
  <c r="H877" i="50"/>
  <c r="L1101" i="50"/>
  <c r="L836" i="50"/>
  <c r="P1011" i="50"/>
  <c r="R2667" i="50"/>
  <c r="R2829" i="50"/>
  <c r="T2612" i="50"/>
  <c r="T3326" i="50" s="1"/>
  <c r="V2606" i="50"/>
  <c r="V3320" i="50" s="1"/>
  <c r="AD2291" i="50"/>
  <c r="AD3005" i="50" s="1"/>
  <c r="R3187" i="50"/>
  <c r="V2291" i="50"/>
  <c r="V3005" i="50" s="1"/>
  <c r="AD2886" i="50"/>
  <c r="AF2886" i="50" s="1"/>
  <c r="R3242" i="50"/>
  <c r="X926" i="50"/>
  <c r="X1025" i="50"/>
  <c r="X1116" i="50"/>
  <c r="L877" i="50"/>
  <c r="H1101" i="50"/>
  <c r="X1303" i="50"/>
  <c r="V1303" i="50"/>
  <c r="T764" i="50"/>
  <c r="AB764" i="50"/>
  <c r="V983" i="50"/>
  <c r="V3257" i="50"/>
  <c r="Z2612" i="50"/>
  <c r="Z3326" i="50" s="1"/>
  <c r="Z2255" i="50"/>
  <c r="Z2969" i="50" s="1"/>
  <c r="Z2973" i="50" s="1"/>
  <c r="R2311" i="50"/>
  <c r="T2606" i="50"/>
  <c r="T3320" i="50" s="1"/>
  <c r="AB2347" i="50"/>
  <c r="AB3061" i="50" s="1"/>
  <c r="AB1025" i="50"/>
  <c r="T1303" i="50"/>
  <c r="Z983" i="50"/>
  <c r="L3351" i="50"/>
  <c r="R2767" i="50"/>
  <c r="Z926" i="50"/>
  <c r="AB1122" i="50"/>
  <c r="AB1227" i="50"/>
  <c r="V1304" i="50"/>
  <c r="AD962" i="50"/>
  <c r="AB962" i="50"/>
  <c r="V1025" i="50"/>
  <c r="T1116" i="50"/>
  <c r="J877" i="50"/>
  <c r="J1101" i="50"/>
  <c r="H836" i="50"/>
  <c r="J836" i="50"/>
  <c r="N1011" i="50"/>
  <c r="P2910" i="50"/>
  <c r="Z1303" i="50"/>
  <c r="X764" i="50"/>
  <c r="Z764" i="50"/>
  <c r="T983" i="50"/>
  <c r="Z2606" i="50"/>
  <c r="Z3320" i="50" s="1"/>
  <c r="X2612" i="50"/>
  <c r="X3326" i="50" s="1"/>
  <c r="P3120" i="50"/>
  <c r="AF3072" i="50"/>
  <c r="R2449" i="50"/>
  <c r="AF2304" i="50"/>
  <c r="R2697" i="50"/>
  <c r="R2529" i="50"/>
  <c r="AF2506" i="50"/>
  <c r="J3316" i="50"/>
  <c r="AB2612" i="50"/>
  <c r="AB3326" i="50" s="1"/>
  <c r="V2347" i="50"/>
  <c r="V3061" i="50" s="1"/>
  <c r="V3064" i="50" s="1"/>
  <c r="V2612" i="50"/>
  <c r="V3326" i="50" s="1"/>
  <c r="X2347" i="50"/>
  <c r="X3061" i="50" s="1"/>
  <c r="AF2799" i="50"/>
  <c r="AF3334" i="50"/>
  <c r="AB926" i="50"/>
  <c r="T1025" i="50"/>
  <c r="AB1116" i="50"/>
  <c r="N877" i="50"/>
  <c r="N1101" i="50"/>
  <c r="N836" i="50"/>
  <c r="J1011" i="50"/>
  <c r="X983" i="50"/>
  <c r="AF2709" i="50"/>
  <c r="R3395" i="50"/>
  <c r="R2172" i="50"/>
  <c r="X2606" i="50"/>
  <c r="X3320" i="50" s="1"/>
  <c r="Z2291" i="50"/>
  <c r="Z3005" i="50" s="1"/>
  <c r="T926" i="50"/>
  <c r="V962" i="50"/>
  <c r="AD1116" i="50"/>
  <c r="H1011" i="50"/>
  <c r="AB1303" i="50"/>
  <c r="AD764" i="50"/>
  <c r="X2255" i="50"/>
  <c r="X2969" i="50" s="1"/>
  <c r="T2291" i="50"/>
  <c r="T3005" i="50" s="1"/>
  <c r="Z118" i="49" a="1"/>
  <c r="Z118" i="49" s="1"/>
  <c r="AD926" i="50"/>
  <c r="X1122" i="50"/>
  <c r="V1122" i="50"/>
  <c r="X1227" i="50"/>
  <c r="Z1227" i="50"/>
  <c r="T1304" i="50"/>
  <c r="X962" i="50"/>
  <c r="Z962" i="50"/>
  <c r="AD1025" i="50"/>
  <c r="X1074" i="50"/>
  <c r="Z1074" i="50"/>
  <c r="V1116" i="50"/>
  <c r="P877" i="50"/>
  <c r="P1101" i="50"/>
  <c r="P836" i="50"/>
  <c r="L1011" i="50"/>
  <c r="AD1303" i="50"/>
  <c r="V764" i="50"/>
  <c r="AD983" i="50"/>
  <c r="AB983" i="50"/>
  <c r="P2980" i="50"/>
  <c r="AF2403" i="50"/>
  <c r="AF2226" i="50"/>
  <c r="R2613" i="50"/>
  <c r="AF2480" i="50"/>
  <c r="AD2347" i="50"/>
  <c r="AD3061" i="50" s="1"/>
  <c r="AF3451" i="50"/>
  <c r="H3082" i="50"/>
  <c r="R3082" i="50" s="1"/>
  <c r="R2368" i="50"/>
  <c r="J3058" i="50"/>
  <c r="R3058" i="50" s="1"/>
  <c r="AF2276" i="50"/>
  <c r="AB2990" i="50"/>
  <c r="AF2990" i="50" s="1"/>
  <c r="T2890" i="50"/>
  <c r="AF2890" i="50" s="1"/>
  <c r="AF2176" i="50"/>
  <c r="AJ118" i="49" a="1"/>
  <c r="AJ118" i="49" s="1"/>
  <c r="T3124" i="50"/>
  <c r="AF3124" i="50" s="1"/>
  <c r="AF2410" i="50"/>
  <c r="H1052" i="50"/>
  <c r="V870" i="50"/>
  <c r="Z1249" i="50"/>
  <c r="Z1248" i="50"/>
  <c r="R2319" i="50"/>
  <c r="L3365" i="50"/>
  <c r="AF2765" i="50"/>
  <c r="R2276" i="50"/>
  <c r="L2948" i="50"/>
  <c r="R2234" i="50"/>
  <c r="F2907" i="50"/>
  <c r="R2907" i="50" s="1"/>
  <c r="R2193" i="50"/>
  <c r="F2317" i="50"/>
  <c r="F3031" i="50" s="1"/>
  <c r="T2610" i="50"/>
  <c r="T3324" i="50" s="1"/>
  <c r="AB2610" i="50"/>
  <c r="AB3324" i="50" s="1"/>
  <c r="AT118" i="49" a="1"/>
  <c r="AT118" i="49" s="1"/>
  <c r="H2890" i="50"/>
  <c r="R2890" i="50" s="1"/>
  <c r="R2176" i="50"/>
  <c r="V3024" i="50"/>
  <c r="AF3348" i="50"/>
  <c r="N3236" i="50"/>
  <c r="R3236" i="50" s="1"/>
  <c r="R2522" i="50"/>
  <c r="T2913" i="50"/>
  <c r="AF2913" i="50" s="1"/>
  <c r="AF2199" i="50"/>
  <c r="H2955" i="50"/>
  <c r="H3137" i="50"/>
  <c r="R3137" i="50" s="1"/>
  <c r="R2423" i="50"/>
  <c r="AB3193" i="50"/>
  <c r="AF3193" i="50" s="1"/>
  <c r="AF2479" i="50"/>
  <c r="H3157" i="50"/>
  <c r="R3157" i="50" s="1"/>
  <c r="R2443" i="50"/>
  <c r="H3024" i="50"/>
  <c r="J1052" i="50"/>
  <c r="X870" i="50"/>
  <c r="AD1171" i="50"/>
  <c r="X1249" i="50"/>
  <c r="X1248" i="50"/>
  <c r="P857" i="50"/>
  <c r="N1121" i="50"/>
  <c r="V729" i="50"/>
  <c r="J806" i="50"/>
  <c r="AB3227" i="50"/>
  <c r="R2414" i="50"/>
  <c r="AF2164" i="50"/>
  <c r="N828" i="50"/>
  <c r="F1395" i="50"/>
  <c r="L1395" i="50"/>
  <c r="V2732" i="50"/>
  <c r="V3446" i="50" s="1"/>
  <c r="L2213" i="50"/>
  <c r="R2711" i="50"/>
  <c r="H3425" i="50"/>
  <c r="R3425" i="50" s="1"/>
  <c r="V3438" i="50"/>
  <c r="AF2724" i="50"/>
  <c r="R2163" i="50"/>
  <c r="R2484" i="50"/>
  <c r="AF3395" i="50"/>
  <c r="R3411" i="50"/>
  <c r="R2947" i="50"/>
  <c r="L2317" i="50"/>
  <c r="L3031" i="50" s="1"/>
  <c r="Z3513" i="50"/>
  <c r="R2178" i="50"/>
  <c r="AF2193" i="50"/>
  <c r="AF2466" i="50"/>
  <c r="AF2848" i="50"/>
  <c r="V2213" i="50"/>
  <c r="V2927" i="50" s="1"/>
  <c r="T2787" i="50"/>
  <c r="T3501" i="50" s="1"/>
  <c r="R2436" i="50"/>
  <c r="H3150" i="50"/>
  <c r="R3150" i="50" s="1"/>
  <c r="V2435" i="50"/>
  <c r="V3149" i="50" s="1"/>
  <c r="T2970" i="50"/>
  <c r="AF2970" i="50" s="1"/>
  <c r="AF2256" i="50"/>
  <c r="Z3535" i="50"/>
  <c r="AF3535" i="50" s="1"/>
  <c r="AF2821" i="50"/>
  <c r="H1164" i="50"/>
  <c r="J1164" i="50"/>
  <c r="N1333" i="50"/>
  <c r="R2326" i="50"/>
  <c r="J897" i="50"/>
  <c r="AT233" i="49" a="1"/>
  <c r="AT233" i="49" s="1"/>
  <c r="R2641" i="50"/>
  <c r="AB3211" i="50"/>
  <c r="R2543" i="50"/>
  <c r="R2577" i="50"/>
  <c r="H3568" i="50"/>
  <c r="AF3551" i="50"/>
  <c r="AF2907" i="50"/>
  <c r="N1052" i="50"/>
  <c r="N1164" i="50"/>
  <c r="R2290" i="50"/>
  <c r="N897" i="50"/>
  <c r="R2786" i="50"/>
  <c r="R2332" i="50"/>
  <c r="AF2207" i="50"/>
  <c r="R2365" i="50"/>
  <c r="AF2561" i="50"/>
  <c r="AF2241" i="50"/>
  <c r="J3092" i="50"/>
  <c r="J3246" i="50"/>
  <c r="L2980" i="50"/>
  <c r="AF2253" i="50"/>
  <c r="R3163" i="50"/>
  <c r="H3548" i="50"/>
  <c r="R3548" i="50" s="1"/>
  <c r="R2834" i="50"/>
  <c r="P3191" i="50"/>
  <c r="AF3191" i="50"/>
  <c r="H3054" i="50"/>
  <c r="R3054" i="50" s="1"/>
  <c r="R2340" i="50"/>
  <c r="P2989" i="50"/>
  <c r="R2275" i="50"/>
  <c r="T3355" i="50"/>
  <c r="AF3355" i="50" s="1"/>
  <c r="AF2641" i="50"/>
  <c r="T3054" i="50"/>
  <c r="AF3054" i="50" s="1"/>
  <c r="AF2340" i="50"/>
  <c r="Z2787" i="50"/>
  <c r="Z3501" i="50" s="1"/>
  <c r="X2787" i="50"/>
  <c r="X3501" i="50" s="1"/>
  <c r="V2787" i="50"/>
  <c r="V3501" i="50" s="1"/>
  <c r="AO118" i="49" a="1"/>
  <c r="AO118" i="49" s="1"/>
  <c r="H2317" i="50"/>
  <c r="H3031" i="50" s="1"/>
  <c r="T2317" i="50"/>
  <c r="T3031" i="50" s="1"/>
  <c r="Z2317" i="50"/>
  <c r="Z3031" i="50" s="1"/>
  <c r="AB2317" i="50"/>
  <c r="AB3031" i="50" s="1"/>
  <c r="V2317" i="50"/>
  <c r="V3031" i="50" s="1"/>
  <c r="V2857" i="50"/>
  <c r="V3571" i="50" s="1"/>
  <c r="X2857" i="50"/>
  <c r="X3571" i="50" s="1"/>
  <c r="T2857" i="50"/>
  <c r="T3571" i="50" s="1"/>
  <c r="AB2794" i="50"/>
  <c r="AB3508" i="50" s="1"/>
  <c r="V2794" i="50"/>
  <c r="AD2794" i="50"/>
  <c r="AD3508" i="50" s="1"/>
  <c r="Z2794" i="50"/>
  <c r="Z3508" i="50" s="1"/>
  <c r="AB2281" i="50"/>
  <c r="AB2995" i="50" s="1"/>
  <c r="AE233" i="49" a="1"/>
  <c r="AE233" i="49" s="1"/>
  <c r="H2213" i="50"/>
  <c r="J2213" i="50"/>
  <c r="N2213" i="50"/>
  <c r="X2213" i="50"/>
  <c r="X2927" i="50" s="1"/>
  <c r="AD2435" i="50"/>
  <c r="AD3149" i="50" s="1"/>
  <c r="X2435" i="50"/>
  <c r="X3149" i="50" s="1"/>
  <c r="T2435" i="50"/>
  <c r="F2900" i="50"/>
  <c r="R2900" i="50" s="1"/>
  <c r="R2186" i="50"/>
  <c r="T3282" i="50"/>
  <c r="AF3282" i="50" s="1"/>
  <c r="AF2568" i="50"/>
  <c r="Z870" i="50"/>
  <c r="AB1200" i="50"/>
  <c r="AF1200" i="50" s="1"/>
  <c r="T1171" i="50"/>
  <c r="AB1171" i="50"/>
  <c r="AD1249" i="50"/>
  <c r="T1052" i="50"/>
  <c r="AB1052" i="50"/>
  <c r="V1248" i="50"/>
  <c r="P751" i="50"/>
  <c r="N1298" i="50"/>
  <c r="N857" i="50"/>
  <c r="R2723" i="50"/>
  <c r="AD729" i="50"/>
  <c r="X792" i="50"/>
  <c r="Z792" i="50"/>
  <c r="H806" i="50"/>
  <c r="P806" i="50"/>
  <c r="T736" i="50"/>
  <c r="AB736" i="50"/>
  <c r="X799" i="50"/>
  <c r="Z799" i="50"/>
  <c r="X744" i="50"/>
  <c r="V744" i="50"/>
  <c r="P828" i="50"/>
  <c r="P1052" i="50"/>
  <c r="P1164" i="50"/>
  <c r="F1333" i="50"/>
  <c r="L1333" i="50"/>
  <c r="H897" i="50"/>
  <c r="L897" i="50"/>
  <c r="R2814" i="50"/>
  <c r="R2228" i="50"/>
  <c r="AD2317" i="50"/>
  <c r="AD3031" i="50" s="1"/>
  <c r="X2967" i="50"/>
  <c r="R2598" i="50"/>
  <c r="AF3180" i="50"/>
  <c r="R2233" i="50"/>
  <c r="AF2737" i="50"/>
  <c r="Z2451" i="50"/>
  <c r="Z3165" i="50" s="1"/>
  <c r="Z2857" i="50"/>
  <c r="Z3571" i="50" s="1"/>
  <c r="T2213" i="50"/>
  <c r="T2927" i="50" s="1"/>
  <c r="AB2213" i="50"/>
  <c r="AB2927" i="50" s="1"/>
  <c r="R2759" i="50"/>
  <c r="R2445" i="50"/>
  <c r="AF2270" i="50"/>
  <c r="AF2624" i="50"/>
  <c r="AD2787" i="50"/>
  <c r="AD3501" i="50" s="1"/>
  <c r="T3040" i="50"/>
  <c r="AF3040" i="50" s="1"/>
  <c r="AF2326" i="50"/>
  <c r="H3110" i="50"/>
  <c r="H3113" i="50" s="1"/>
  <c r="R2396" i="50"/>
  <c r="J3130" i="50"/>
  <c r="R3130" i="50" s="1"/>
  <c r="R2416" i="50"/>
  <c r="AF2613" i="50"/>
  <c r="X2317" i="50"/>
  <c r="X3031" i="50" s="1"/>
  <c r="X3150" i="50"/>
  <c r="AF3150" i="50" s="1"/>
  <c r="AF2436" i="50"/>
  <c r="T2983" i="50"/>
  <c r="AF2983" i="50" s="1"/>
  <c r="AF2269" i="50"/>
  <c r="T3218" i="50"/>
  <c r="T2939" i="50"/>
  <c r="R3180" i="50"/>
  <c r="V2451" i="50"/>
  <c r="V3165" i="50" s="1"/>
  <c r="T2451" i="50"/>
  <c r="T3165" i="50" s="1"/>
  <c r="AD2451" i="50"/>
  <c r="AD3165" i="50" s="1"/>
  <c r="AB2471" i="50"/>
  <c r="AB3185" i="50" s="1"/>
  <c r="Z2471" i="50"/>
  <c r="Z3185" i="50" s="1"/>
  <c r="AD2471" i="50"/>
  <c r="AD3185" i="50" s="1"/>
  <c r="X2471" i="50"/>
  <c r="X3185" i="50" s="1"/>
  <c r="X2610" i="50"/>
  <c r="X3324" i="50" s="1"/>
  <c r="V2610" i="50"/>
  <c r="V3324" i="50" s="1"/>
  <c r="AD2610" i="50"/>
  <c r="AD3324" i="50" s="1"/>
  <c r="Z2610" i="50"/>
  <c r="Z3324" i="50" s="1"/>
  <c r="F3485" i="50"/>
  <c r="R3485" i="50" s="1"/>
  <c r="R2771" i="50"/>
  <c r="AE118" i="49" a="1"/>
  <c r="AE118" i="49" s="1"/>
  <c r="V2221" i="50"/>
  <c r="V2935" i="50" s="1"/>
  <c r="T2221" i="50"/>
  <c r="T2935" i="50" s="1"/>
  <c r="AO233" i="49" a="1"/>
  <c r="AO233" i="49" s="1"/>
  <c r="F2883" i="50"/>
  <c r="R2883" i="50" s="1"/>
  <c r="R2169" i="50"/>
  <c r="V3192" i="50"/>
  <c r="AF3192" i="50" s="1"/>
  <c r="AF2478" i="50"/>
  <c r="T870" i="50"/>
  <c r="AB870" i="50"/>
  <c r="V1171" i="50"/>
  <c r="V1249" i="50"/>
  <c r="AB1249" i="50"/>
  <c r="Z1052" i="50"/>
  <c r="AD1248" i="50"/>
  <c r="AB1248" i="50"/>
  <c r="N751" i="50"/>
  <c r="H1298" i="50"/>
  <c r="J1298" i="50"/>
  <c r="H857" i="50"/>
  <c r="J857" i="50"/>
  <c r="R2724" i="50"/>
  <c r="X729" i="50"/>
  <c r="Z729" i="50"/>
  <c r="AD792" i="50"/>
  <c r="N806" i="50"/>
  <c r="V736" i="50"/>
  <c r="AD799" i="50"/>
  <c r="AD744" i="50"/>
  <c r="L828" i="50"/>
  <c r="L1052" i="50"/>
  <c r="L1164" i="50"/>
  <c r="P1333" i="50"/>
  <c r="P897" i="50"/>
  <c r="R2506" i="50"/>
  <c r="J1395" i="50"/>
  <c r="J2317" i="50"/>
  <c r="R2591" i="50"/>
  <c r="AF3087" i="50"/>
  <c r="AB2732" i="50"/>
  <c r="AB3446" i="50" s="1"/>
  <c r="Z3463" i="50"/>
  <c r="AB3274" i="50"/>
  <c r="R2690" i="50"/>
  <c r="R2466" i="50"/>
  <c r="AF2834" i="50"/>
  <c r="Z2213" i="50"/>
  <c r="Z2927" i="50" s="1"/>
  <c r="AF2443" i="50"/>
  <c r="F2213" i="50"/>
  <c r="R3159" i="50"/>
  <c r="AF2680" i="50"/>
  <c r="AF2333" i="50"/>
  <c r="R2709" i="50"/>
  <c r="AB3016" i="50"/>
  <c r="AF3016" i="50" s="1"/>
  <c r="AF2302" i="50"/>
  <c r="AF2351" i="50"/>
  <c r="AB2857" i="50"/>
  <c r="AB3571" i="50" s="1"/>
  <c r="X2794" i="50"/>
  <c r="X3508" i="50" s="1"/>
  <c r="J3214" i="50"/>
  <c r="R2500" i="50"/>
  <c r="N3487" i="50"/>
  <c r="R2773" i="50"/>
  <c r="R2970" i="50"/>
  <c r="L3124" i="50"/>
  <c r="V2892" i="50"/>
  <c r="Z2435" i="50"/>
  <c r="Z3149" i="50" s="1"/>
  <c r="AD3022" i="50"/>
  <c r="R2830" i="50"/>
  <c r="R2424" i="50"/>
  <c r="T3143" i="50"/>
  <c r="AF3143" i="50" s="1"/>
  <c r="AF2429" i="50"/>
  <c r="N2317" i="50"/>
  <c r="N3031" i="50" s="1"/>
  <c r="V2471" i="50"/>
  <c r="F3018" i="50"/>
  <c r="R3018" i="50" s="1"/>
  <c r="R2304" i="50"/>
  <c r="R3243" i="50"/>
  <c r="AF2802" i="50"/>
  <c r="N2910" i="50"/>
  <c r="T3400" i="50"/>
  <c r="AF2710" i="50"/>
  <c r="R3361" i="50"/>
  <c r="E3" i="72"/>
  <c r="AA4" i="72"/>
  <c r="I6" i="72"/>
  <c r="O4" i="72"/>
  <c r="AF4" i="72"/>
  <c r="D2183" i="50"/>
  <c r="E8" i="72"/>
  <c r="I3" i="72"/>
  <c r="AF3" i="72"/>
  <c r="W5" i="72"/>
  <c r="E6" i="72"/>
  <c r="I5" i="72"/>
  <c r="G7" i="72"/>
  <c r="G6" i="72"/>
  <c r="I4" i="72"/>
  <c r="M8" i="72"/>
  <c r="U4" i="72"/>
  <c r="AF6" i="72"/>
  <c r="AF7" i="72"/>
  <c r="W6" i="72"/>
  <c r="M10" i="72"/>
  <c r="Y4" i="72"/>
  <c r="AF10" i="72"/>
  <c r="E10" i="72"/>
  <c r="E5" i="72"/>
  <c r="AA8" i="72"/>
  <c r="S7" i="72"/>
  <c r="G4" i="72"/>
  <c r="K10" i="72"/>
  <c r="O10" i="72"/>
  <c r="Y8" i="72"/>
  <c r="Q4" i="72"/>
  <c r="A4" i="72"/>
  <c r="D2162" i="50"/>
  <c r="D2176" i="50"/>
  <c r="A10" i="72"/>
  <c r="A9" i="72"/>
  <c r="AF865" i="50"/>
  <c r="AF851" i="50"/>
  <c r="A7" i="72"/>
  <c r="I52" i="38"/>
  <c r="N125" i="35"/>
  <c r="AF1089" i="50"/>
  <c r="AF1117" i="50"/>
  <c r="AF844" i="50"/>
  <c r="AF837" i="50"/>
  <c r="AF858" i="50"/>
  <c r="AF3069" i="50"/>
  <c r="AH3069" i="50" s="1"/>
  <c r="A5" i="72"/>
  <c r="A3" i="72"/>
  <c r="AV41" i="32"/>
  <c r="AW40" i="32"/>
  <c r="M33" i="35"/>
  <c r="L32" i="35"/>
  <c r="J32" i="35"/>
  <c r="J33" i="35"/>
  <c r="J34" i="35" s="1"/>
  <c r="AH1716" i="50"/>
  <c r="X1716" i="50"/>
  <c r="T1716" i="50"/>
  <c r="T2431" i="50" s="1"/>
  <c r="Z1716" i="50"/>
  <c r="AB1716" i="50"/>
  <c r="AD1716" i="50"/>
  <c r="AD2431" i="50" s="1"/>
  <c r="AD3145" i="50" s="1"/>
  <c r="V1716" i="50"/>
  <c r="V2431" i="50" s="1"/>
  <c r="V3145" i="50" s="1"/>
  <c r="T2057" i="50"/>
  <c r="X2057" i="50"/>
  <c r="AH2057" i="50"/>
  <c r="Z2057" i="50"/>
  <c r="AB2057" i="50"/>
  <c r="AD2057" i="50"/>
  <c r="V2057" i="50"/>
  <c r="V2772" i="50" s="1"/>
  <c r="V3486" i="50" s="1"/>
  <c r="H88" i="32"/>
  <c r="D91" i="32"/>
  <c r="J88" i="32"/>
  <c r="P2017" i="50"/>
  <c r="N2017" i="50"/>
  <c r="H2017" i="50"/>
  <c r="L2017" i="50"/>
  <c r="F2017" i="50"/>
  <c r="J2017" i="50"/>
  <c r="J2019" i="50" s="1"/>
  <c r="J2020" i="50" s="1"/>
  <c r="AH2017" i="50"/>
  <c r="AL1811" i="50"/>
  <c r="AM1811" i="50" s="1"/>
  <c r="AD2120" i="50"/>
  <c r="T2120" i="50"/>
  <c r="Z2120" i="50"/>
  <c r="X2120" i="50"/>
  <c r="V2120" i="50"/>
  <c r="AH2120" i="50"/>
  <c r="AB2120" i="50"/>
  <c r="J2084" i="50"/>
  <c r="J2799" i="50" s="1"/>
  <c r="J3513" i="50" s="1"/>
  <c r="N2084" i="50"/>
  <c r="N2799" i="50" s="1"/>
  <c r="N3513" i="50" s="1"/>
  <c r="F2084" i="50"/>
  <c r="F2799" i="50" s="1"/>
  <c r="F3513" i="50" s="1"/>
  <c r="L2084" i="50"/>
  <c r="L2799" i="50" s="1"/>
  <c r="L3513" i="50" s="1"/>
  <c r="H2084" i="50"/>
  <c r="H2799" i="50" s="1"/>
  <c r="H3513" i="50" s="1"/>
  <c r="P2084" i="50"/>
  <c r="P2799" i="50" s="1"/>
  <c r="P3513" i="50" s="1"/>
  <c r="AH2084" i="50"/>
  <c r="AO306" i="50"/>
  <c r="AH470" i="50"/>
  <c r="BP28" i="49"/>
  <c r="BU28" i="49" s="1"/>
  <c r="V2255" i="50"/>
  <c r="V2969" i="50" s="1"/>
  <c r="V2973" i="50" s="1"/>
  <c r="P2072" i="50"/>
  <c r="P2787" i="50" s="1"/>
  <c r="P3501" i="50" s="1"/>
  <c r="F2072" i="50"/>
  <c r="F2787" i="50" s="1"/>
  <c r="F3501" i="50" s="1"/>
  <c r="H2072" i="50"/>
  <c r="H2787" i="50" s="1"/>
  <c r="H3501" i="50" s="1"/>
  <c r="AH2072" i="50"/>
  <c r="J2072" i="50"/>
  <c r="J2787" i="50" s="1"/>
  <c r="J3501" i="50" s="1"/>
  <c r="N2072" i="50"/>
  <c r="N2787" i="50" s="1"/>
  <c r="N3501" i="50" s="1"/>
  <c r="L2072" i="50"/>
  <c r="L2787" i="50" s="1"/>
  <c r="L3501" i="50" s="1"/>
  <c r="AJ15" i="32"/>
  <c r="AL16" i="32" s="1"/>
  <c r="AD2635" i="50"/>
  <c r="AD3349" i="50" s="1"/>
  <c r="J2108" i="50"/>
  <c r="P2108" i="50"/>
  <c r="F2108" i="50"/>
  <c r="N2108" i="50"/>
  <c r="AH2108" i="50"/>
  <c r="H2108" i="50"/>
  <c r="L2108" i="50"/>
  <c r="AH541" i="50"/>
  <c r="AH471" i="50"/>
  <c r="J1925" i="50"/>
  <c r="J2640" i="50" s="1"/>
  <c r="J3354" i="50" s="1"/>
  <c r="AH1925" i="50"/>
  <c r="N1925" i="50"/>
  <c r="F1925" i="50"/>
  <c r="F2640" i="50" s="1"/>
  <c r="F3354" i="50" s="1"/>
  <c r="L1925" i="50"/>
  <c r="L2640" i="50" s="1"/>
  <c r="L3354" i="50" s="1"/>
  <c r="H1925" i="50"/>
  <c r="H2640" i="50" s="1"/>
  <c r="H3354" i="50" s="1"/>
  <c r="P1925" i="50"/>
  <c r="V2649" i="50"/>
  <c r="V3363" i="50" s="1"/>
  <c r="AL1934" i="50"/>
  <c r="AM1934" i="50" s="1"/>
  <c r="P2481" i="50"/>
  <c r="P3195" i="50" s="1"/>
  <c r="P1767" i="50"/>
  <c r="AH633" i="50"/>
  <c r="F633" i="50"/>
  <c r="F1348" i="50" s="1"/>
  <c r="P633" i="50"/>
  <c r="P1348" i="50" s="1"/>
  <c r="H633" i="50"/>
  <c r="H1348" i="50" s="1"/>
  <c r="N633" i="50"/>
  <c r="N1348" i="50" s="1"/>
  <c r="J633" i="50"/>
  <c r="J1348" i="50" s="1"/>
  <c r="L633" i="50"/>
  <c r="L1348" i="50" s="1"/>
  <c r="T1956" i="50"/>
  <c r="T1957" i="50" s="1"/>
  <c r="AN131" i="50"/>
  <c r="AH128" i="50"/>
  <c r="N1627" i="50"/>
  <c r="N1628" i="50" s="1"/>
  <c r="AL1706" i="50"/>
  <c r="L2422" i="50"/>
  <c r="L3136" i="50" s="1"/>
  <c r="L3141" i="50" s="1"/>
  <c r="L1711" i="50"/>
  <c r="L1712" i="50" s="1"/>
  <c r="AN243" i="50"/>
  <c r="BP63" i="49"/>
  <c r="BU63" i="49" s="1"/>
  <c r="AH583" i="50"/>
  <c r="Z2292" i="50"/>
  <c r="AL1577" i="50"/>
  <c r="AL1832" i="50"/>
  <c r="AM1832" i="50" s="1"/>
  <c r="P2201" i="50"/>
  <c r="P2915" i="50" s="1"/>
  <c r="P2917" i="50" s="1"/>
  <c r="P1487" i="50"/>
  <c r="X1799" i="50"/>
  <c r="Z1799" i="50"/>
  <c r="AB1799" i="50"/>
  <c r="T1799" i="50"/>
  <c r="V1799" i="50"/>
  <c r="AD1799" i="50"/>
  <c r="AN1803" i="50"/>
  <c r="F1803" i="50" s="1"/>
  <c r="Z2046" i="50"/>
  <c r="Z2761" i="50" s="1"/>
  <c r="Z3475" i="50" s="1"/>
  <c r="X2046" i="50"/>
  <c r="X2761" i="50" s="1"/>
  <c r="X3475" i="50" s="1"/>
  <c r="V2046" i="50"/>
  <c r="AD2046" i="50"/>
  <c r="AD2761" i="50" s="1"/>
  <c r="AD3475" i="50" s="1"/>
  <c r="AB2046" i="50"/>
  <c r="AB2047" i="50" s="1"/>
  <c r="AB2048" i="50" s="1"/>
  <c r="T2046" i="50"/>
  <c r="T2047" i="50" s="1"/>
  <c r="AH2046" i="50"/>
  <c r="J2638" i="50"/>
  <c r="J3352" i="50" s="1"/>
  <c r="AD2255" i="50"/>
  <c r="AD2969" i="50" s="1"/>
  <c r="AD2973" i="50" s="1"/>
  <c r="T2418" i="50"/>
  <c r="L2743" i="50"/>
  <c r="L3457" i="50" s="1"/>
  <c r="L3463" i="50" s="1"/>
  <c r="L2033" i="50"/>
  <c r="L2034" i="50" s="1"/>
  <c r="N2747" i="50"/>
  <c r="N3461" i="50" s="1"/>
  <c r="N3463" i="50" s="1"/>
  <c r="AH255" i="50"/>
  <c r="H2733" i="50"/>
  <c r="H3447" i="50" s="1"/>
  <c r="J2733" i="50"/>
  <c r="J3447" i="50" s="1"/>
  <c r="J2817" i="50"/>
  <c r="J3531" i="50" s="1"/>
  <c r="F2817" i="50"/>
  <c r="F3531" i="50" s="1"/>
  <c r="F2103" i="50"/>
  <c r="J2104" i="50" s="1"/>
  <c r="AH1983" i="50"/>
  <c r="J1983" i="50"/>
  <c r="F1983" i="50"/>
  <c r="F1984" i="50" s="1"/>
  <c r="F1985" i="50" s="1"/>
  <c r="H1983" i="50"/>
  <c r="H2698" i="50" s="1"/>
  <c r="H3412" i="50" s="1"/>
  <c r="H3414" i="50" s="1"/>
  <c r="N1983" i="50"/>
  <c r="L1983" i="50"/>
  <c r="L2698" i="50" s="1"/>
  <c r="L3412" i="50" s="1"/>
  <c r="L3414" i="50" s="1"/>
  <c r="P1983" i="50"/>
  <c r="AD2495" i="50"/>
  <c r="AD3209" i="50" s="1"/>
  <c r="AD3211" i="50" s="1"/>
  <c r="AD1781" i="50"/>
  <c r="F1466" i="50"/>
  <c r="AL1462" i="50"/>
  <c r="L1683" i="50"/>
  <c r="L1684" i="50" s="1"/>
  <c r="P2502" i="50"/>
  <c r="P3216" i="50" s="1"/>
  <c r="P3218" i="50" s="1"/>
  <c r="P1788" i="50"/>
  <c r="P1789" i="50" s="1"/>
  <c r="AL1602" i="50"/>
  <c r="AL1631" i="50"/>
  <c r="AB1937" i="50"/>
  <c r="AB2652" i="50" s="1"/>
  <c r="AB3366" i="50" s="1"/>
  <c r="X1937" i="50"/>
  <c r="X2652" i="50" s="1"/>
  <c r="X3366" i="50" s="1"/>
  <c r="T1937" i="50"/>
  <c r="T1942" i="50" s="1"/>
  <c r="AH1937" i="50"/>
  <c r="V1937" i="50"/>
  <c r="V2652" i="50" s="1"/>
  <c r="V3366" i="50" s="1"/>
  <c r="AD1937" i="50"/>
  <c r="AD2652" i="50" s="1"/>
  <c r="AD3366" i="50" s="1"/>
  <c r="Z1937" i="50"/>
  <c r="Z2652" i="50" s="1"/>
  <c r="Z3366" i="50" s="1"/>
  <c r="AH1636" i="50"/>
  <c r="F1636" i="50"/>
  <c r="L1636" i="50"/>
  <c r="AO1642" i="50"/>
  <c r="T1642" i="50" s="1"/>
  <c r="J1636" i="50"/>
  <c r="H1636" i="50"/>
  <c r="N1636" i="50"/>
  <c r="P1636" i="50"/>
  <c r="T2859" i="50"/>
  <c r="T3573" i="50" s="1"/>
  <c r="BP20" i="49"/>
  <c r="BU20" i="49" s="1"/>
  <c r="T1717" i="50"/>
  <c r="Z1717" i="50"/>
  <c r="X1717" i="50"/>
  <c r="X2432" i="50" s="1"/>
  <c r="X3146" i="50" s="1"/>
  <c r="AB1717" i="50"/>
  <c r="AD1717" i="50"/>
  <c r="AH1717" i="50"/>
  <c r="V1717" i="50"/>
  <c r="T1575" i="50"/>
  <c r="AB1575" i="50"/>
  <c r="Z1575" i="50"/>
  <c r="V1575" i="50"/>
  <c r="AD1575" i="50"/>
  <c r="AH1575" i="50"/>
  <c r="X1575" i="50"/>
  <c r="AN1579" i="50"/>
  <c r="F1579" i="50" s="1"/>
  <c r="T2908" i="50"/>
  <c r="AF2908" i="50" s="1"/>
  <c r="AL1479" i="50"/>
  <c r="AM1479" i="50" s="1"/>
  <c r="Z2712" i="50"/>
  <c r="Z3426" i="50" s="1"/>
  <c r="AB1592" i="50"/>
  <c r="AB1593" i="50" s="1"/>
  <c r="AB2303" i="50"/>
  <c r="AB3017" i="50" s="1"/>
  <c r="T2733" i="50"/>
  <c r="T3447" i="50" s="1"/>
  <c r="T2020" i="50"/>
  <c r="T2019" i="50"/>
  <c r="H2418" i="50"/>
  <c r="H3132" i="50" s="1"/>
  <c r="H1704" i="50"/>
  <c r="H1705" i="50" s="1"/>
  <c r="AL1666" i="50"/>
  <c r="X1208" i="50"/>
  <c r="AL1492" i="50"/>
  <c r="AM1492" i="50" s="1"/>
  <c r="AB1559" i="50"/>
  <c r="AH1559" i="50"/>
  <c r="AN1565" i="50"/>
  <c r="F1565" i="50" s="1"/>
  <c r="Z1559" i="50"/>
  <c r="AD1559" i="50"/>
  <c r="X1559" i="50"/>
  <c r="T1559" i="50"/>
  <c r="V1559" i="50"/>
  <c r="V2281" i="50"/>
  <c r="V2995" i="50" s="1"/>
  <c r="X2281" i="50"/>
  <c r="X2995" i="50" s="1"/>
  <c r="AD2281" i="50"/>
  <c r="AD2995" i="50" s="1"/>
  <c r="Z2281" i="50"/>
  <c r="Z2995" i="50" s="1"/>
  <c r="AD1173" i="50"/>
  <c r="T1923" i="50"/>
  <c r="AB1923" i="50"/>
  <c r="X1923" i="50"/>
  <c r="V1923" i="50"/>
  <c r="Z1923" i="50"/>
  <c r="Z2638" i="50" s="1"/>
  <c r="Z3352" i="50" s="1"/>
  <c r="AD1923" i="50"/>
  <c r="AD1928" i="50" s="1"/>
  <c r="AH1923" i="50"/>
  <c r="N1833" i="50"/>
  <c r="J1833" i="50"/>
  <c r="J2548" i="50" s="1"/>
  <c r="J3262" i="50" s="1"/>
  <c r="P1833" i="50"/>
  <c r="P2548" i="50" s="1"/>
  <c r="P3262" i="50" s="1"/>
  <c r="P3267" i="50" s="1"/>
  <c r="F1833" i="50"/>
  <c r="H1833" i="50"/>
  <c r="L1833" i="50"/>
  <c r="AH1833" i="50"/>
  <c r="AO1838" i="50"/>
  <c r="T1838" i="50" s="1"/>
  <c r="T1208" i="50"/>
  <c r="AB2712" i="50"/>
  <c r="AB3426" i="50" s="1"/>
  <c r="AD2712" i="50"/>
  <c r="AD3426" i="50" s="1"/>
  <c r="AB1145" i="50"/>
  <c r="J1208" i="50"/>
  <c r="L1208" i="50"/>
  <c r="Z1173" i="50"/>
  <c r="AF900" i="50"/>
  <c r="AF956" i="50"/>
  <c r="AF1012" i="50"/>
  <c r="AF1068" i="50"/>
  <c r="AF1110" i="50"/>
  <c r="R3496" i="50"/>
  <c r="N3127" i="50"/>
  <c r="T3463" i="50"/>
  <c r="BP27" i="49"/>
  <c r="BU27" i="49" s="1"/>
  <c r="A8" i="72"/>
  <c r="AS41" i="32"/>
  <c r="M63" i="35"/>
  <c r="L62" i="35"/>
  <c r="H1800" i="50"/>
  <c r="H2515" i="50" s="1"/>
  <c r="H3229" i="50" s="1"/>
  <c r="P1800" i="50"/>
  <c r="P2515" i="50" s="1"/>
  <c r="P3229" i="50" s="1"/>
  <c r="N1800" i="50"/>
  <c r="N2515" i="50" s="1"/>
  <c r="N3229" i="50" s="1"/>
  <c r="L1800" i="50"/>
  <c r="L2515" i="50" s="1"/>
  <c r="L3229" i="50" s="1"/>
  <c r="J1800" i="50"/>
  <c r="J2515" i="50" s="1"/>
  <c r="J3229" i="50" s="1"/>
  <c r="F1800" i="50"/>
  <c r="AH1800" i="50"/>
  <c r="I51" i="38"/>
  <c r="H126" i="35"/>
  <c r="P1594" i="50"/>
  <c r="N1594" i="50"/>
  <c r="H1594" i="50"/>
  <c r="AH1594" i="50"/>
  <c r="J1594" i="50"/>
  <c r="F1594" i="50"/>
  <c r="F2309" i="50" s="1"/>
  <c r="F3023" i="50" s="1"/>
  <c r="L1594" i="50"/>
  <c r="AO1600" i="50"/>
  <c r="T1600" i="50" s="1"/>
  <c r="T1567" i="50"/>
  <c r="Z1567" i="50"/>
  <c r="AD1567" i="50"/>
  <c r="X1567" i="50"/>
  <c r="V1567" i="50"/>
  <c r="AN1572" i="50"/>
  <c r="F1572" i="50" s="1"/>
  <c r="AB1567" i="50"/>
  <c r="AH1567" i="50"/>
  <c r="AH675" i="50"/>
  <c r="H675" i="50"/>
  <c r="H1390" i="50" s="1"/>
  <c r="P675" i="50"/>
  <c r="P1390" i="50" s="1"/>
  <c r="J675" i="50"/>
  <c r="J1390" i="50" s="1"/>
  <c r="L675" i="50"/>
  <c r="L1390" i="50" s="1"/>
  <c r="F675" i="50"/>
  <c r="F1390" i="50" s="1"/>
  <c r="N675" i="50"/>
  <c r="N1390" i="50" s="1"/>
  <c r="T1397" i="50"/>
  <c r="AD1397" i="50"/>
  <c r="AN292" i="50"/>
  <c r="AH309" i="50"/>
  <c r="AH603" i="50"/>
  <c r="BP22" i="49"/>
  <c r="BU22" i="49" s="1"/>
  <c r="Z1877" i="50"/>
  <c r="AD1877" i="50"/>
  <c r="X1877" i="50"/>
  <c r="V1877" i="50"/>
  <c r="T1877" i="50"/>
  <c r="AB1877" i="50"/>
  <c r="AN1880" i="50"/>
  <c r="AJ18" i="32"/>
  <c r="AL18" i="32" s="1"/>
  <c r="AJ19" i="32"/>
  <c r="AJ17" i="32"/>
  <c r="AL17" i="32" s="1"/>
  <c r="Z1681" i="50"/>
  <c r="T1681" i="50"/>
  <c r="X1681" i="50"/>
  <c r="X2396" i="50" s="1"/>
  <c r="X3110" i="50" s="1"/>
  <c r="V1681" i="50"/>
  <c r="V2396" i="50" s="1"/>
  <c r="V3110" i="50" s="1"/>
  <c r="AB1681" i="50"/>
  <c r="AB2396" i="50" s="1"/>
  <c r="AB3110" i="50" s="1"/>
  <c r="AB3113" i="50" s="1"/>
  <c r="AD1681" i="50"/>
  <c r="AN1684" i="50"/>
  <c r="F1684" i="50" s="1"/>
  <c r="V2740" i="50"/>
  <c r="X3370" i="50"/>
  <c r="AF3370" i="50" s="1"/>
  <c r="AF2656" i="50"/>
  <c r="AB2635" i="50"/>
  <c r="AB3349" i="50" s="1"/>
  <c r="P2162" i="50"/>
  <c r="P2876" i="50" s="1"/>
  <c r="AH526" i="50"/>
  <c r="Z1418" i="50"/>
  <c r="X1418" i="50"/>
  <c r="F2481" i="50"/>
  <c r="F3195" i="50" s="1"/>
  <c r="L2390" i="50"/>
  <c r="L3104" i="50" s="1"/>
  <c r="X1348" i="50"/>
  <c r="AD1348" i="50"/>
  <c r="AB1348" i="50"/>
  <c r="Z1348" i="50"/>
  <c r="V1348" i="50"/>
  <c r="T1348" i="50"/>
  <c r="Z2926" i="50"/>
  <c r="AH240" i="50"/>
  <c r="J2422" i="50"/>
  <c r="J3136" i="50" s="1"/>
  <c r="J3141" i="50" s="1"/>
  <c r="J1711" i="50"/>
  <c r="J1712" i="50" s="1"/>
  <c r="F2201" i="50"/>
  <c r="F1487" i="50"/>
  <c r="J2761" i="50"/>
  <c r="J3475" i="50" s="1"/>
  <c r="J3477" i="50" s="1"/>
  <c r="J2047" i="50"/>
  <c r="J2048" i="50" s="1"/>
  <c r="T1689" i="50"/>
  <c r="AN1691" i="50"/>
  <c r="F1691" i="50" s="1"/>
  <c r="X1689" i="50"/>
  <c r="X1690" i="50" s="1"/>
  <c r="X1691" i="50" s="1"/>
  <c r="AH1689" i="50"/>
  <c r="Z1689" i="50"/>
  <c r="Z1690" i="50" s="1"/>
  <c r="Z1691" i="50" s="1"/>
  <c r="AB1689" i="50"/>
  <c r="AB1690" i="50" s="1"/>
  <c r="AB1691" i="50" s="1"/>
  <c r="V1689" i="50"/>
  <c r="V1690" i="50" s="1"/>
  <c r="V1691" i="50" s="1"/>
  <c r="AD1689" i="50"/>
  <c r="AD2404" i="50" s="1"/>
  <c r="AD3118" i="50" s="1"/>
  <c r="AD3120" i="50" s="1"/>
  <c r="N1718" i="50"/>
  <c r="T1719" i="50" s="1"/>
  <c r="AL1538" i="50"/>
  <c r="AM1538" i="50" s="1"/>
  <c r="F2638" i="50"/>
  <c r="F1536" i="50"/>
  <c r="AL1532" i="50"/>
  <c r="N1459" i="50"/>
  <c r="V1460" i="50" s="1"/>
  <c r="X1826" i="50"/>
  <c r="V1826" i="50"/>
  <c r="Z1826" i="50"/>
  <c r="AB1826" i="50"/>
  <c r="T1826" i="50"/>
  <c r="AD1826" i="50"/>
  <c r="AH1826" i="50"/>
  <c r="AN1831" i="50"/>
  <c r="F1831" i="50" s="1"/>
  <c r="AB2418" i="50"/>
  <c r="AB3132" i="50" s="1"/>
  <c r="H2743" i="50"/>
  <c r="H3457" i="50" s="1"/>
  <c r="H3463" i="50" s="1"/>
  <c r="H2033" i="50"/>
  <c r="H2034" i="50" s="1"/>
  <c r="H1809" i="50"/>
  <c r="H1810" i="50" s="1"/>
  <c r="H2712" i="50"/>
  <c r="H3426" i="50" s="1"/>
  <c r="F2733" i="50"/>
  <c r="F3447" i="50" s="1"/>
  <c r="H2537" i="50"/>
  <c r="P2817" i="50"/>
  <c r="P3531" i="50" s="1"/>
  <c r="N2817" i="50"/>
  <c r="N3531" i="50" s="1"/>
  <c r="N2103" i="50"/>
  <c r="T2104" i="50" s="1"/>
  <c r="T1522" i="50"/>
  <c r="F2383" i="50"/>
  <c r="F3097" i="50" s="1"/>
  <c r="X2383" i="50"/>
  <c r="X3097" i="50" s="1"/>
  <c r="X3099" i="50" s="1"/>
  <c r="AD2383" i="50"/>
  <c r="AD3097" i="50" s="1"/>
  <c r="T2383" i="50"/>
  <c r="Z2383" i="50"/>
  <c r="Z3097" i="50" s="1"/>
  <c r="J2383" i="50"/>
  <c r="J3097" i="50" s="1"/>
  <c r="AB2383" i="50"/>
  <c r="AB3097" i="50" s="1"/>
  <c r="H2383" i="50"/>
  <c r="H3097" i="50" s="1"/>
  <c r="N2383" i="50"/>
  <c r="N3097" i="50" s="1"/>
  <c r="T1739" i="50"/>
  <c r="L1909" i="50"/>
  <c r="N1909" i="50"/>
  <c r="P1909" i="50"/>
  <c r="F1909" i="50"/>
  <c r="J1909" i="50"/>
  <c r="H1909" i="50"/>
  <c r="AH1909" i="50"/>
  <c r="Z1644" i="50"/>
  <c r="X1644" i="50"/>
  <c r="V1644" i="50"/>
  <c r="AB1644" i="50"/>
  <c r="AD1644" i="50"/>
  <c r="AH1644" i="50"/>
  <c r="AN1649" i="50"/>
  <c r="F1649" i="50" s="1"/>
  <c r="T1644" i="50"/>
  <c r="AL1679" i="50"/>
  <c r="H1683" i="50"/>
  <c r="H1684" i="50" s="1"/>
  <c r="N2502" i="50"/>
  <c r="N3216" i="50" s="1"/>
  <c r="F1683" i="50"/>
  <c r="T2526" i="50"/>
  <c r="X2456" i="50"/>
  <c r="X3170" i="50" s="1"/>
  <c r="U1786" i="50"/>
  <c r="AG1786" i="50" s="1"/>
  <c r="AI1786" i="50" s="1"/>
  <c r="AL1786" i="50"/>
  <c r="AM1786" i="50" s="1"/>
  <c r="V1788" i="50"/>
  <c r="V1789" i="50" s="1"/>
  <c r="T2452" i="50"/>
  <c r="V3223" i="50"/>
  <c r="AF3223" i="50" s="1"/>
  <c r="AF2509" i="50"/>
  <c r="F1506" i="50"/>
  <c r="F2221" i="50" s="1"/>
  <c r="L1506" i="50"/>
  <c r="L2221" i="50" s="1"/>
  <c r="L2935" i="50" s="1"/>
  <c r="N1506" i="50"/>
  <c r="N2221" i="50" s="1"/>
  <c r="N2935" i="50" s="1"/>
  <c r="P1506" i="50"/>
  <c r="P2221" i="50" s="1"/>
  <c r="P2935" i="50" s="1"/>
  <c r="AH1506" i="50"/>
  <c r="J1506" i="50"/>
  <c r="J2221" i="50" s="1"/>
  <c r="H1506" i="50"/>
  <c r="H2221" i="50" s="1"/>
  <c r="H2935" i="50" s="1"/>
  <c r="N2144" i="50"/>
  <c r="P2144" i="50"/>
  <c r="P2859" i="50" s="1"/>
  <c r="P3573" i="50" s="1"/>
  <c r="J2144" i="50"/>
  <c r="AH2144" i="50"/>
  <c r="F2144" i="50"/>
  <c r="L2144" i="50"/>
  <c r="H2144" i="50"/>
  <c r="T2320" i="50"/>
  <c r="Z2320" i="50"/>
  <c r="Z3034" i="50" s="1"/>
  <c r="AB2320" i="50"/>
  <c r="AB3034" i="50" s="1"/>
  <c r="AD2320" i="50"/>
  <c r="AD3034" i="50" s="1"/>
  <c r="V2733" i="50"/>
  <c r="V3447" i="50" s="1"/>
  <c r="V2019" i="50"/>
  <c r="V2020" i="50" s="1"/>
  <c r="P2418" i="50"/>
  <c r="P3132" i="50" s="1"/>
  <c r="N2523" i="50"/>
  <c r="N3237" i="50" s="1"/>
  <c r="L1397" i="50"/>
  <c r="X1570" i="50"/>
  <c r="X2285" i="50" s="1"/>
  <c r="X2999" i="50" s="1"/>
  <c r="AB1570" i="50"/>
  <c r="V1570" i="50"/>
  <c r="AD1570" i="50"/>
  <c r="Z1570" i="50"/>
  <c r="AH1570" i="50"/>
  <c r="T1570" i="50"/>
  <c r="Z1208" i="50"/>
  <c r="BP138" i="49"/>
  <c r="BU138" i="49" s="1"/>
  <c r="BH231" i="49"/>
  <c r="BH233" i="49" s="1"/>
  <c r="T3055" i="50"/>
  <c r="AF3055" i="50" s="1"/>
  <c r="AF2341" i="50"/>
  <c r="N1773" i="50"/>
  <c r="F1773" i="50"/>
  <c r="F1774" i="50" s="1"/>
  <c r="P1773" i="50"/>
  <c r="P2488" i="50" s="1"/>
  <c r="P3202" i="50" s="1"/>
  <c r="H1773" i="50"/>
  <c r="H1774" i="50" s="1"/>
  <c r="H1775" i="50" s="1"/>
  <c r="J1773" i="50"/>
  <c r="J1774" i="50" s="1"/>
  <c r="J1775" i="50" s="1"/>
  <c r="AH1773" i="50"/>
  <c r="AO1775" i="50"/>
  <c r="T1775" i="50" s="1"/>
  <c r="L1773" i="50"/>
  <c r="L1774" i="50" s="1"/>
  <c r="L1775" i="50" s="1"/>
  <c r="AD2523" i="50"/>
  <c r="AD3237" i="50" s="1"/>
  <c r="T2523" i="50"/>
  <c r="V2523" i="50"/>
  <c r="V3237" i="50" s="1"/>
  <c r="Z2523" i="50"/>
  <c r="Z3237" i="50" s="1"/>
  <c r="AB2523" i="50"/>
  <c r="AB3237" i="50" s="1"/>
  <c r="AD2220" i="50"/>
  <c r="AD2934" i="50" s="1"/>
  <c r="T2220" i="50"/>
  <c r="Z2220" i="50"/>
  <c r="Z2934" i="50" s="1"/>
  <c r="V2220" i="50"/>
  <c r="V2934" i="50" s="1"/>
  <c r="AB2220" i="50"/>
  <c r="AB2934" i="50" s="1"/>
  <c r="Z2558" i="50"/>
  <c r="Z3272" i="50" s="1"/>
  <c r="T3319" i="50"/>
  <c r="AF3319" i="50" s="1"/>
  <c r="AD1208" i="50"/>
  <c r="AM1701" i="50"/>
  <c r="AV6" i="32"/>
  <c r="AV5" i="32"/>
  <c r="Z2400" i="50"/>
  <c r="Z3114" i="50" s="1"/>
  <c r="T2712" i="50"/>
  <c r="T1999" i="50"/>
  <c r="AL1520" i="50"/>
  <c r="AM1520" i="50" s="1"/>
  <c r="AL1611" i="50"/>
  <c r="AM1611" i="50" s="1"/>
  <c r="V1208" i="50"/>
  <c r="Z1397" i="50"/>
  <c r="AB1397" i="50"/>
  <c r="H1208" i="50"/>
  <c r="AF2642" i="50"/>
  <c r="X2523" i="50"/>
  <c r="X3237" i="50" s="1"/>
  <c r="AF3356" i="50"/>
  <c r="AL1917" i="50"/>
  <c r="AM1917" i="50" s="1"/>
  <c r="H1921" i="50"/>
  <c r="L1922" i="50" s="1"/>
  <c r="J2096" i="50"/>
  <c r="J2097" i="50" s="1"/>
  <c r="J2807" i="50"/>
  <c r="J3521" i="50" s="1"/>
  <c r="J3526" i="50" s="1"/>
  <c r="AD2515" i="50"/>
  <c r="AD3229" i="50" s="1"/>
  <c r="AB2515" i="50"/>
  <c r="AB3229" i="50" s="1"/>
  <c r="Z2515" i="50"/>
  <c r="Z3229" i="50" s="1"/>
  <c r="AD1476" i="50"/>
  <c r="T1476" i="50"/>
  <c r="Z1476" i="50"/>
  <c r="V1476" i="50"/>
  <c r="AB1476" i="50"/>
  <c r="X1476" i="50"/>
  <c r="AH1476" i="50"/>
  <c r="N123" i="35"/>
  <c r="F54" i="38"/>
  <c r="L430" i="50"/>
  <c r="L1145" i="50" s="1"/>
  <c r="F430" i="50"/>
  <c r="F1145" i="50" s="1"/>
  <c r="N430" i="50"/>
  <c r="N1145" i="50" s="1"/>
  <c r="H430" i="50"/>
  <c r="H1145" i="50" s="1"/>
  <c r="P430" i="50"/>
  <c r="P1145" i="50" s="1"/>
  <c r="J430" i="50"/>
  <c r="J1145" i="50" s="1"/>
  <c r="AD2114" i="50"/>
  <c r="AB2114" i="50"/>
  <c r="V2114" i="50"/>
  <c r="X2114" i="50"/>
  <c r="Z2114" i="50"/>
  <c r="T2114" i="50"/>
  <c r="AH2114" i="50"/>
  <c r="AH141" i="50"/>
  <c r="AO145" i="50"/>
  <c r="P11" i="32"/>
  <c r="L10" i="32"/>
  <c r="AS11" i="32"/>
  <c r="AV23" i="32"/>
  <c r="O42" i="32"/>
  <c r="O43" i="32" s="1"/>
  <c r="F1736" i="50"/>
  <c r="J1736" i="50"/>
  <c r="N1736" i="50"/>
  <c r="P1736" i="50"/>
  <c r="H1736" i="50"/>
  <c r="L1736" i="50"/>
  <c r="AH1736" i="50"/>
  <c r="AO1740" i="50"/>
  <c r="T1740" i="50" s="1"/>
  <c r="P1756" i="50"/>
  <c r="F1756" i="50"/>
  <c r="L1756" i="50"/>
  <c r="N1756" i="50"/>
  <c r="H1756" i="50"/>
  <c r="AH1756" i="50"/>
  <c r="J1756" i="50"/>
  <c r="AO1761" i="50"/>
  <c r="J1809" i="50"/>
  <c r="J1810" i="50" s="1"/>
  <c r="AL1804" i="50"/>
  <c r="AM1804" i="50" s="1"/>
  <c r="T1903" i="50"/>
  <c r="X1903" i="50"/>
  <c r="V1903" i="50"/>
  <c r="AH1903" i="50"/>
  <c r="AB1903" i="50"/>
  <c r="AD1903" i="50"/>
  <c r="Z1903" i="50"/>
  <c r="AN1908" i="50"/>
  <c r="N2677" i="50"/>
  <c r="N3391" i="50" s="1"/>
  <c r="N1963" i="50"/>
  <c r="N1964" i="50" s="1"/>
  <c r="P1895" i="50"/>
  <c r="F1895" i="50"/>
  <c r="J1895" i="50"/>
  <c r="L1895" i="50"/>
  <c r="H1895" i="50"/>
  <c r="N1895" i="50"/>
  <c r="AH1895" i="50"/>
  <c r="AO1901" i="50"/>
  <c r="L1877" i="50"/>
  <c r="N1877" i="50"/>
  <c r="F1877" i="50"/>
  <c r="H1877" i="50"/>
  <c r="P1877" i="50"/>
  <c r="AH1877" i="50"/>
  <c r="J1877" i="50"/>
  <c r="AO1880" i="50"/>
  <c r="AH703" i="50"/>
  <c r="H703" i="50"/>
  <c r="H1418" i="50" s="1"/>
  <c r="P703" i="50"/>
  <c r="P1418" i="50" s="1"/>
  <c r="L703" i="50"/>
  <c r="L1418" i="50" s="1"/>
  <c r="N703" i="50"/>
  <c r="N1418" i="50" s="1"/>
  <c r="F703" i="50"/>
  <c r="F1418" i="50" s="1"/>
  <c r="J703" i="50"/>
  <c r="J1418" i="50" s="1"/>
  <c r="AB2649" i="50"/>
  <c r="AB3363" i="50" s="1"/>
  <c r="N2481" i="50"/>
  <c r="N3195" i="50" s="1"/>
  <c r="N3197" i="50" s="1"/>
  <c r="N1767" i="50"/>
  <c r="N1768" i="50" s="1"/>
  <c r="J2390" i="50"/>
  <c r="J3104" i="50" s="1"/>
  <c r="AL1675" i="50"/>
  <c r="AH1897" i="50"/>
  <c r="J1897" i="50"/>
  <c r="J2612" i="50" s="1"/>
  <c r="J3326" i="50" s="1"/>
  <c r="F1897" i="50"/>
  <c r="N1897" i="50"/>
  <c r="N2612" i="50" s="1"/>
  <c r="N3326" i="50" s="1"/>
  <c r="H1897" i="50"/>
  <c r="P1897" i="50"/>
  <c r="P2612" i="50" s="1"/>
  <c r="P3326" i="50" s="1"/>
  <c r="L1897" i="50"/>
  <c r="L2612" i="50" s="1"/>
  <c r="L3326" i="50" s="1"/>
  <c r="AL1945" i="50"/>
  <c r="AM1945" i="50" s="1"/>
  <c r="T1949" i="50"/>
  <c r="X1950" i="50" s="1"/>
  <c r="L1632" i="50"/>
  <c r="L2347" i="50" s="1"/>
  <c r="L3061" i="50" s="1"/>
  <c r="P1632" i="50"/>
  <c r="N1632" i="50"/>
  <c r="J1632" i="50"/>
  <c r="J2347" i="50" s="1"/>
  <c r="J3061" i="50" s="1"/>
  <c r="H1632" i="50"/>
  <c r="F1632" i="50"/>
  <c r="F1634" i="50" s="1"/>
  <c r="AH1632" i="50"/>
  <c r="AO1635" i="50"/>
  <c r="T1635" i="50" s="1"/>
  <c r="Z1654" i="50"/>
  <c r="Z2369" i="50" s="1"/>
  <c r="Z3083" i="50" s="1"/>
  <c r="V1654" i="50"/>
  <c r="AD1654" i="50"/>
  <c r="AD2369" i="50" s="1"/>
  <c r="AD3083" i="50" s="1"/>
  <c r="T1654" i="50"/>
  <c r="X1654" i="50"/>
  <c r="X2369" i="50" s="1"/>
  <c r="X3083" i="50" s="1"/>
  <c r="AB1654" i="50"/>
  <c r="AB2369" i="50" s="1"/>
  <c r="AB3083" i="50" s="1"/>
  <c r="AH1654" i="50"/>
  <c r="J2341" i="50"/>
  <c r="AL1626" i="50"/>
  <c r="AM1626" i="50" s="1"/>
  <c r="J1627" i="50"/>
  <c r="J1628" i="50" s="1"/>
  <c r="AH188" i="50"/>
  <c r="AF2151" i="50"/>
  <c r="AG2151" i="50" s="1"/>
  <c r="F2761" i="50"/>
  <c r="F2047" i="50"/>
  <c r="F2048" i="50" s="1"/>
  <c r="F1729" i="50"/>
  <c r="J1729" i="50"/>
  <c r="N1729" i="50"/>
  <c r="AO1733" i="50"/>
  <c r="T1733" i="50" s="1"/>
  <c r="H1729" i="50"/>
  <c r="P1729" i="50"/>
  <c r="AH1729" i="50"/>
  <c r="L1729" i="50"/>
  <c r="V2418" i="50"/>
  <c r="V3132" i="50" s="1"/>
  <c r="F1459" i="50"/>
  <c r="V2023" i="50"/>
  <c r="AB2023" i="50"/>
  <c r="T2023" i="50"/>
  <c r="AD2023" i="50"/>
  <c r="X2023" i="50"/>
  <c r="AH2023" i="50"/>
  <c r="Z2023" i="50"/>
  <c r="J1878" i="50"/>
  <c r="N1878" i="50"/>
  <c r="N2593" i="50" s="1"/>
  <c r="N3307" i="50" s="1"/>
  <c r="L1878" i="50"/>
  <c r="H1878" i="50"/>
  <c r="H2593" i="50" s="1"/>
  <c r="H3307" i="50" s="1"/>
  <c r="P1878" i="50"/>
  <c r="F1878" i="50"/>
  <c r="AH1878" i="50"/>
  <c r="J2712" i="50"/>
  <c r="J3426" i="50" s="1"/>
  <c r="L2733" i="50"/>
  <c r="L3447" i="50" s="1"/>
  <c r="L2817" i="50"/>
  <c r="L3531" i="50" s="1"/>
  <c r="AH631" i="50"/>
  <c r="F2495" i="50"/>
  <c r="F1781" i="50"/>
  <c r="T1844" i="50"/>
  <c r="Z1739" i="50"/>
  <c r="Z1740" i="50" s="1"/>
  <c r="Z2452" i="50"/>
  <c r="Z3166" i="50" s="1"/>
  <c r="T1729" i="50"/>
  <c r="Z1729" i="50"/>
  <c r="X1729" i="50"/>
  <c r="AB1729" i="50"/>
  <c r="AB2444" i="50" s="1"/>
  <c r="AB3158" i="50" s="1"/>
  <c r="AD1729" i="50"/>
  <c r="V1729" i="50"/>
  <c r="V2444" i="50" s="1"/>
  <c r="V3158" i="50" s="1"/>
  <c r="V3162" i="50" s="1"/>
  <c r="AN1733" i="50"/>
  <c r="F1733" i="50" s="1"/>
  <c r="AL1623" i="50"/>
  <c r="H2502" i="50"/>
  <c r="H3216" i="50" s="1"/>
  <c r="AD2092" i="50"/>
  <c r="AD2807" i="50" s="1"/>
  <c r="AD3521" i="50" s="1"/>
  <c r="AH2092" i="50"/>
  <c r="AB2092" i="50"/>
  <c r="AB2807" i="50" s="1"/>
  <c r="T2092" i="50"/>
  <c r="T2807" i="50" s="1"/>
  <c r="T3521" i="50" s="1"/>
  <c r="Z2092" i="50"/>
  <c r="Z2807" i="50" s="1"/>
  <c r="Z3521" i="50" s="1"/>
  <c r="V2092" i="50"/>
  <c r="V2807" i="50" s="1"/>
  <c r="V3521" i="50" s="1"/>
  <c r="X2092" i="50"/>
  <c r="X2807" i="50" s="1"/>
  <c r="X3521" i="50" s="1"/>
  <c r="L1634" i="50"/>
  <c r="L1635" i="50" s="1"/>
  <c r="AH127" i="50"/>
  <c r="AN33" i="50"/>
  <c r="AH27" i="50"/>
  <c r="AD1812" i="50"/>
  <c r="AD2527" i="50" s="1"/>
  <c r="AD3241" i="50" s="1"/>
  <c r="Z1812" i="50"/>
  <c r="Z2527" i="50" s="1"/>
  <c r="Z3241" i="50" s="1"/>
  <c r="T1812" i="50"/>
  <c r="T2527" i="50" s="1"/>
  <c r="T3241" i="50" s="1"/>
  <c r="AH1812" i="50"/>
  <c r="V1812" i="50"/>
  <c r="V2527" i="50" s="1"/>
  <c r="V3241" i="50" s="1"/>
  <c r="AB1812" i="50"/>
  <c r="AB2527" i="50" s="1"/>
  <c r="AB3241" i="50" s="1"/>
  <c r="X1812" i="50"/>
  <c r="AN1817" i="50"/>
  <c r="F1817" i="50" s="1"/>
  <c r="AB1651" i="50"/>
  <c r="X1651" i="50"/>
  <c r="AD1651" i="50"/>
  <c r="Z1651" i="50"/>
  <c r="Z2366" i="50" s="1"/>
  <c r="Z3080" i="50" s="1"/>
  <c r="V1651" i="50"/>
  <c r="AH1651" i="50"/>
  <c r="T1651" i="50"/>
  <c r="L1605" i="50"/>
  <c r="H1605" i="50"/>
  <c r="H1606" i="50" s="1"/>
  <c r="H1607" i="50" s="1"/>
  <c r="F1605" i="50"/>
  <c r="J1605" i="50"/>
  <c r="J1606" i="50" s="1"/>
  <c r="J1607" i="50" s="1"/>
  <c r="P1605" i="50"/>
  <c r="AH1605" i="50"/>
  <c r="N1605" i="50"/>
  <c r="AO1607" i="50"/>
  <c r="T1607" i="50" s="1"/>
  <c r="D2232" i="50"/>
  <c r="D1523" i="50"/>
  <c r="AB2733" i="50"/>
  <c r="AB3447" i="50" s="1"/>
  <c r="AB2019" i="50"/>
  <c r="AB2020" i="50" s="1"/>
  <c r="L2418" i="50"/>
  <c r="L3132" i="50" s="1"/>
  <c r="L3134" i="50" s="1"/>
  <c r="F1397" i="50"/>
  <c r="V1743" i="50"/>
  <c r="V2458" i="50" s="1"/>
  <c r="T1743" i="50"/>
  <c r="AH1743" i="50"/>
  <c r="AD1743" i="50"/>
  <c r="AD2458" i="50" s="1"/>
  <c r="AD3172" i="50" s="1"/>
  <c r="Z1743" i="50"/>
  <c r="Z2458" i="50" s="1"/>
  <c r="Z3172" i="50" s="1"/>
  <c r="AB1743" i="50"/>
  <c r="AB2458" i="50" s="1"/>
  <c r="AB3172" i="50" s="1"/>
  <c r="AB3176" i="50" s="1"/>
  <c r="X1743" i="50"/>
  <c r="X2458" i="50" s="1"/>
  <c r="X3172" i="50" s="1"/>
  <c r="L1498" i="50"/>
  <c r="L1501" i="50" s="1"/>
  <c r="L1502" i="50" s="1"/>
  <c r="N1498" i="50"/>
  <c r="N1501" i="50" s="1"/>
  <c r="N1502" i="50" s="1"/>
  <c r="J1498" i="50"/>
  <c r="J1501" i="50" s="1"/>
  <c r="J1502" i="50" s="1"/>
  <c r="P1498" i="50"/>
  <c r="P1501" i="50" s="1"/>
  <c r="F1498" i="50"/>
  <c r="H1498" i="50"/>
  <c r="H1501" i="50" s="1"/>
  <c r="H1502" i="50" s="1"/>
  <c r="AO1502" i="50"/>
  <c r="AH1498" i="50"/>
  <c r="J1720" i="50"/>
  <c r="AH1720" i="50"/>
  <c r="P1720" i="50"/>
  <c r="L1720" i="50"/>
  <c r="H1720" i="50"/>
  <c r="AO1726" i="50"/>
  <c r="T1726" i="50" s="1"/>
  <c r="F1720" i="50"/>
  <c r="N1720" i="50"/>
  <c r="T2488" i="50"/>
  <c r="X2488" i="50"/>
  <c r="X3202" i="50" s="1"/>
  <c r="AB2488" i="50"/>
  <c r="AB3202" i="50" s="1"/>
  <c r="AD2488" i="50"/>
  <c r="AD3202" i="50" s="1"/>
  <c r="V2488" i="50"/>
  <c r="V3202" i="50" s="1"/>
  <c r="N1905" i="50"/>
  <c r="N2620" i="50" s="1"/>
  <c r="N3334" i="50" s="1"/>
  <c r="L1905" i="50"/>
  <c r="L2620" i="50" s="1"/>
  <c r="L3334" i="50" s="1"/>
  <c r="H1905" i="50"/>
  <c r="H2620" i="50" s="1"/>
  <c r="H3334" i="50" s="1"/>
  <c r="AH1905" i="50"/>
  <c r="F1905" i="50"/>
  <c r="P1905" i="50"/>
  <c r="J1905" i="50"/>
  <c r="P1505" i="50"/>
  <c r="AO1509" i="50"/>
  <c r="T1509" i="50" s="1"/>
  <c r="H1505" i="50"/>
  <c r="L1505" i="50"/>
  <c r="F1505" i="50"/>
  <c r="N1505" i="50"/>
  <c r="AH1505" i="50"/>
  <c r="J1505" i="50"/>
  <c r="V2558" i="50"/>
  <c r="AL1843" i="50"/>
  <c r="AM1843" i="50" s="1"/>
  <c r="V1844" i="50"/>
  <c r="V1845" i="50" s="1"/>
  <c r="J2523" i="50"/>
  <c r="J3237" i="50" s="1"/>
  <c r="J3239" i="50" s="1"/>
  <c r="T1173" i="50"/>
  <c r="T1145" i="50"/>
  <c r="F29" i="51"/>
  <c r="F41" i="32"/>
  <c r="H41" i="32"/>
  <c r="D42" i="32"/>
  <c r="AH563" i="50"/>
  <c r="V563" i="50"/>
  <c r="V1278" i="50" s="1"/>
  <c r="AD563" i="50"/>
  <c r="AD1278" i="50" s="1"/>
  <c r="X563" i="50"/>
  <c r="X1278" i="50" s="1"/>
  <c r="Z563" i="50"/>
  <c r="Z1278" i="50" s="1"/>
  <c r="T563" i="50"/>
  <c r="T564" i="50" s="1"/>
  <c r="AB563" i="50"/>
  <c r="AB1278" i="50" s="1"/>
  <c r="V2400" i="50"/>
  <c r="V3114" i="50" s="1"/>
  <c r="AL1685" i="50"/>
  <c r="X2712" i="50"/>
  <c r="X3426" i="50" s="1"/>
  <c r="AB1208" i="50"/>
  <c r="J2971" i="50"/>
  <c r="R2971" i="50" s="1"/>
  <c r="AH2971" i="50" s="1"/>
  <c r="X2320" i="50"/>
  <c r="X3034" i="50" s="1"/>
  <c r="N1208" i="50"/>
  <c r="P1208" i="50"/>
  <c r="F1767" i="50"/>
  <c r="AF816" i="50"/>
  <c r="AF823" i="50"/>
  <c r="R3025" i="50"/>
  <c r="AF781" i="50"/>
  <c r="AF3048" i="50"/>
  <c r="A6" i="72"/>
  <c r="H1637" i="50"/>
  <c r="H2352" i="50" s="1"/>
  <c r="H3066" i="50" s="1"/>
  <c r="F1637" i="50"/>
  <c r="L1637" i="50"/>
  <c r="L2352" i="50" s="1"/>
  <c r="L3066" i="50" s="1"/>
  <c r="N1637" i="50"/>
  <c r="N2352" i="50" s="1"/>
  <c r="N3066" i="50" s="1"/>
  <c r="P1637" i="50"/>
  <c r="J1637" i="50"/>
  <c r="J2352" i="50" s="1"/>
  <c r="AH1637" i="50"/>
  <c r="Z1857" i="50"/>
  <c r="Z1858" i="50" s="1"/>
  <c r="AD1859" i="50" s="1"/>
  <c r="AH1857" i="50"/>
  <c r="T1857" i="50"/>
  <c r="V1857" i="50"/>
  <c r="AD1857" i="50"/>
  <c r="X1857" i="50"/>
  <c r="AB1857" i="50"/>
  <c r="AN1859" i="50"/>
  <c r="Z1748" i="50"/>
  <c r="Z2463" i="50" s="1"/>
  <c r="Z3177" i="50" s="1"/>
  <c r="T1748" i="50"/>
  <c r="V1748" i="50"/>
  <c r="V2463" i="50" s="1"/>
  <c r="V3177" i="50" s="1"/>
  <c r="AD1748" i="50"/>
  <c r="AD2463" i="50" s="1"/>
  <c r="AD3177" i="50" s="1"/>
  <c r="X1748" i="50"/>
  <c r="X2463" i="50" s="1"/>
  <c r="X3177" i="50" s="1"/>
  <c r="AB1748" i="50"/>
  <c r="AB2463" i="50" s="1"/>
  <c r="AB3177" i="50" s="1"/>
  <c r="AH1748" i="50"/>
  <c r="J53" i="35"/>
  <c r="J54" i="35" s="1"/>
  <c r="J52" i="35"/>
  <c r="AL1702" i="50"/>
  <c r="AM1702" i="50" s="1"/>
  <c r="L1704" i="50"/>
  <c r="L1705" i="50" s="1"/>
  <c r="T2732" i="50"/>
  <c r="T3446" i="50" s="1"/>
  <c r="Z2732" i="50"/>
  <c r="Z3446" i="50" s="1"/>
  <c r="L1576" i="50"/>
  <c r="P1576" i="50"/>
  <c r="N1576" i="50"/>
  <c r="H1576" i="50"/>
  <c r="J1576" i="50"/>
  <c r="F1576" i="50"/>
  <c r="AH1576" i="50"/>
  <c r="AO1579" i="50"/>
  <c r="T1579" i="50" s="1"/>
  <c r="P1818" i="50"/>
  <c r="F1818" i="50"/>
  <c r="AH1818" i="50"/>
  <c r="H1818" i="50"/>
  <c r="L1818" i="50"/>
  <c r="J1818" i="50"/>
  <c r="N1818" i="50"/>
  <c r="AO1824" i="50"/>
  <c r="T1824" i="50" s="1"/>
  <c r="AH436" i="50"/>
  <c r="AH246" i="50"/>
  <c r="AO250" i="50"/>
  <c r="BD118" i="49" a="1"/>
  <c r="BD118" i="49" s="1"/>
  <c r="T1503" i="50"/>
  <c r="Z1503" i="50"/>
  <c r="Z2218" i="50" s="1"/>
  <c r="Z2932" i="50" s="1"/>
  <c r="AH1503" i="50"/>
  <c r="AD1503" i="50"/>
  <c r="AD2218" i="50" s="1"/>
  <c r="AD2932" i="50" s="1"/>
  <c r="V1503" i="50"/>
  <c r="X1503" i="50"/>
  <c r="X2218" i="50" s="1"/>
  <c r="X2932" i="50" s="1"/>
  <c r="AB1503" i="50"/>
  <c r="AB2218" i="50" s="1"/>
  <c r="AB2932" i="50" s="1"/>
  <c r="AN1509" i="50"/>
  <c r="F1509" i="50" s="1"/>
  <c r="H1540" i="50"/>
  <c r="J1540" i="50"/>
  <c r="L1540" i="50"/>
  <c r="L2255" i="50" s="1"/>
  <c r="L2969" i="50" s="1"/>
  <c r="N1540" i="50"/>
  <c r="N1543" i="50" s="1"/>
  <c r="N1544" i="50" s="1"/>
  <c r="AH1540" i="50"/>
  <c r="F1540" i="50"/>
  <c r="P1540" i="50"/>
  <c r="P2255" i="50" s="1"/>
  <c r="P2969" i="50" s="1"/>
  <c r="T1456" i="50"/>
  <c r="Z1456" i="50"/>
  <c r="AD1456" i="50"/>
  <c r="X1456" i="50"/>
  <c r="AB1456" i="50"/>
  <c r="V1456" i="50"/>
  <c r="AN1460" i="50"/>
  <c r="F1460" i="50" s="1"/>
  <c r="Z1933" i="50"/>
  <c r="Z2648" i="50" s="1"/>
  <c r="Z3362" i="50" s="1"/>
  <c r="AD1933" i="50"/>
  <c r="AD2648" i="50" s="1"/>
  <c r="AD3362" i="50" s="1"/>
  <c r="T1933" i="50"/>
  <c r="AB1933" i="50"/>
  <c r="AB2648" i="50" s="1"/>
  <c r="AB3362" i="50" s="1"/>
  <c r="V1933" i="50"/>
  <c r="V2648" i="50" s="1"/>
  <c r="V3362" i="50" s="1"/>
  <c r="X1933" i="50"/>
  <c r="X2648" i="50" s="1"/>
  <c r="X3362" i="50" s="1"/>
  <c r="AH1933" i="50"/>
  <c r="P16" i="32"/>
  <c r="L18" i="32"/>
  <c r="L17" i="32"/>
  <c r="L19" i="32"/>
  <c r="AS16" i="32"/>
  <c r="AB1624" i="50"/>
  <c r="AN1628" i="50"/>
  <c r="F1628" i="50" s="1"/>
  <c r="X1624" i="50"/>
  <c r="Z1624" i="50"/>
  <c r="T1624" i="50"/>
  <c r="AH1624" i="50"/>
  <c r="AD1624" i="50"/>
  <c r="AD2339" i="50" s="1"/>
  <c r="AD3053" i="50" s="1"/>
  <c r="AD3057" i="50" s="1"/>
  <c r="V1624" i="50"/>
  <c r="V2339" i="50" s="1"/>
  <c r="V3053" i="50" s="1"/>
  <c r="V3057" i="50" s="1"/>
  <c r="AL1554" i="50"/>
  <c r="F1557" i="50"/>
  <c r="AH458" i="50"/>
  <c r="H458" i="50"/>
  <c r="H1173" i="50" s="1"/>
  <c r="L458" i="50"/>
  <c r="L1173" i="50" s="1"/>
  <c r="P458" i="50"/>
  <c r="P1173" i="50" s="1"/>
  <c r="J458" i="50"/>
  <c r="J1173" i="50" s="1"/>
  <c r="N458" i="50"/>
  <c r="N1173" i="50" s="1"/>
  <c r="F458" i="50"/>
  <c r="L2677" i="50"/>
  <c r="AL1962" i="50"/>
  <c r="AM1962" i="50" s="1"/>
  <c r="AL1920" i="50"/>
  <c r="AM1920" i="50" s="1"/>
  <c r="AL1912" i="50"/>
  <c r="AM1912" i="50" s="1"/>
  <c r="AL1883" i="50"/>
  <c r="AM1883" i="50" s="1"/>
  <c r="T1886" i="50"/>
  <c r="T1887" i="50" s="1"/>
  <c r="AH527" i="50"/>
  <c r="AL1660" i="50"/>
  <c r="AM1660" i="50" s="1"/>
  <c r="T1662" i="50"/>
  <c r="L2481" i="50"/>
  <c r="L3195" i="50" s="1"/>
  <c r="P2390" i="50"/>
  <c r="P3104" i="50" s="1"/>
  <c r="AH647" i="50"/>
  <c r="H647" i="50"/>
  <c r="H1362" i="50" s="1"/>
  <c r="L647" i="50"/>
  <c r="L1362" i="50" s="1"/>
  <c r="P647" i="50"/>
  <c r="P1362" i="50" s="1"/>
  <c r="J647" i="50"/>
  <c r="J1362" i="50" s="1"/>
  <c r="N647" i="50"/>
  <c r="N1362" i="50" s="1"/>
  <c r="F647" i="50"/>
  <c r="F1362" i="50" s="1"/>
  <c r="AH274" i="50"/>
  <c r="AO278" i="50"/>
  <c r="AH618" i="50"/>
  <c r="H3244" i="50"/>
  <c r="T3412" i="50"/>
  <c r="L1582" i="50"/>
  <c r="F1582" i="50"/>
  <c r="J1582" i="50"/>
  <c r="H1582" i="50"/>
  <c r="P1582" i="50"/>
  <c r="N1582" i="50"/>
  <c r="AO1586" i="50"/>
  <c r="T1586" i="50" s="1"/>
  <c r="AH1582" i="50"/>
  <c r="N1792" i="50"/>
  <c r="L1792" i="50"/>
  <c r="F1792" i="50"/>
  <c r="P1792" i="50"/>
  <c r="J1792" i="50"/>
  <c r="H1792" i="50"/>
  <c r="AH1792" i="50"/>
  <c r="AO1796" i="50"/>
  <c r="T1796" i="50" s="1"/>
  <c r="F2422" i="50"/>
  <c r="F3136" i="50" s="1"/>
  <c r="F1711" i="50"/>
  <c r="J2173" i="50"/>
  <c r="R2173" i="50" s="1"/>
  <c r="AH2173" i="50" s="1"/>
  <c r="AL1458" i="50"/>
  <c r="AM1458" i="50" s="1"/>
  <c r="AH1456" i="50"/>
  <c r="P2123" i="50"/>
  <c r="L2123" i="50"/>
  <c r="H2123" i="50"/>
  <c r="AH2123" i="50"/>
  <c r="F2123" i="50"/>
  <c r="N2123" i="50"/>
  <c r="J2123" i="50"/>
  <c r="AL1524" i="50"/>
  <c r="AM1524" i="50" s="1"/>
  <c r="N1799" i="50"/>
  <c r="N2514" i="50" s="1"/>
  <c r="N3228" i="50" s="1"/>
  <c r="AH1799" i="50"/>
  <c r="L1799" i="50"/>
  <c r="L2514" i="50" s="1"/>
  <c r="L3228" i="50" s="1"/>
  <c r="H1799" i="50"/>
  <c r="H2514" i="50" s="1"/>
  <c r="H3228" i="50" s="1"/>
  <c r="J1799" i="50"/>
  <c r="J2514" i="50" s="1"/>
  <c r="J3228" i="50" s="1"/>
  <c r="AD2859" i="50"/>
  <c r="AD3573" i="50" s="1"/>
  <c r="H2437" i="50"/>
  <c r="H3151" i="50" s="1"/>
  <c r="AL1722" i="50"/>
  <c r="AM1722" i="50" s="1"/>
  <c r="T2598" i="50"/>
  <c r="T3312" i="50" s="1"/>
  <c r="L2638" i="50"/>
  <c r="L3352" i="50" s="1"/>
  <c r="E29" i="51"/>
  <c r="AB2255" i="50"/>
  <c r="AB2969" i="50" s="1"/>
  <c r="AB1543" i="50"/>
  <c r="AB1544" i="50" s="1"/>
  <c r="J1891" i="50"/>
  <c r="J2606" i="50" s="1"/>
  <c r="J3320" i="50" s="1"/>
  <c r="F1891" i="50"/>
  <c r="P1891" i="50"/>
  <c r="P2606" i="50" s="1"/>
  <c r="P3320" i="50" s="1"/>
  <c r="P3323" i="50" s="1"/>
  <c r="N1891" i="50"/>
  <c r="L1891" i="50"/>
  <c r="H1891" i="50"/>
  <c r="AH1891" i="50"/>
  <c r="AO1894" i="50"/>
  <c r="AL1490" i="50"/>
  <c r="AM1490" i="50" s="1"/>
  <c r="AL1777" i="50"/>
  <c r="AL1625" i="50"/>
  <c r="AM1625" i="50" s="1"/>
  <c r="F1627" i="50"/>
  <c r="X2418" i="50"/>
  <c r="X3132" i="50" s="1"/>
  <c r="X2593" i="50"/>
  <c r="X3307" i="50" s="1"/>
  <c r="T2593" i="50"/>
  <c r="AD2593" i="50"/>
  <c r="AD3307" i="50" s="1"/>
  <c r="AB2593" i="50"/>
  <c r="AB3307" i="50" s="1"/>
  <c r="Z2593" i="50"/>
  <c r="Z3307" i="50" s="1"/>
  <c r="V2593" i="50"/>
  <c r="V3307" i="50" s="1"/>
  <c r="N2844" i="50"/>
  <c r="N3558" i="50" s="1"/>
  <c r="N3561" i="50" s="1"/>
  <c r="N2131" i="50"/>
  <c r="N2132" i="50" s="1"/>
  <c r="J2747" i="50"/>
  <c r="J3461" i="50" s="1"/>
  <c r="J2033" i="50"/>
  <c r="J2034" i="50" s="1"/>
  <c r="J2537" i="50"/>
  <c r="J3251" i="50" s="1"/>
  <c r="AB1896" i="50"/>
  <c r="AH1896" i="50"/>
  <c r="AD1896" i="50"/>
  <c r="V1896" i="50"/>
  <c r="T1896" i="50"/>
  <c r="X1896" i="50"/>
  <c r="Z1896" i="50"/>
  <c r="AN1901" i="50"/>
  <c r="H2817" i="50"/>
  <c r="H3531" i="50" s="1"/>
  <c r="H3533" i="50" s="1"/>
  <c r="V2698" i="50"/>
  <c r="V3412" i="50" s="1"/>
  <c r="AD2698" i="50"/>
  <c r="AD3412" i="50" s="1"/>
  <c r="AH195" i="50"/>
  <c r="AO201" i="50"/>
  <c r="AH182" i="50"/>
  <c r="R707" i="50"/>
  <c r="AH113" i="50"/>
  <c r="AO117" i="50"/>
  <c r="N2495" i="50"/>
  <c r="N3209" i="50" s="1"/>
  <c r="N3211" i="50" s="1"/>
  <c r="N1781" i="50"/>
  <c r="V1782" i="50" s="1"/>
  <c r="P2409" i="50"/>
  <c r="P3123" i="50" s="1"/>
  <c r="X1739" i="50"/>
  <c r="X1740" i="50" s="1"/>
  <c r="X2452" i="50"/>
  <c r="X3166" i="50" s="1"/>
  <c r="AD1543" i="50"/>
  <c r="AD1544" i="50" s="1"/>
  <c r="F2075" i="50"/>
  <c r="F2076" i="50" s="1"/>
  <c r="F2502" i="50"/>
  <c r="AL1787" i="50"/>
  <c r="AM1787" i="50" s="1"/>
  <c r="Z2698" i="50"/>
  <c r="Z3412" i="50" s="1"/>
  <c r="AD2526" i="50"/>
  <c r="AD3240" i="50" s="1"/>
  <c r="AD1820" i="50"/>
  <c r="AD2535" i="50" s="1"/>
  <c r="AD3249" i="50" s="1"/>
  <c r="Z1820" i="50"/>
  <c r="Z2535" i="50" s="1"/>
  <c r="Z3249" i="50" s="1"/>
  <c r="T1820" i="50"/>
  <c r="T2535" i="50" s="1"/>
  <c r="T3249" i="50" s="1"/>
  <c r="V1820" i="50"/>
  <c r="AH1820" i="50"/>
  <c r="X1820" i="50"/>
  <c r="X2535" i="50" s="1"/>
  <c r="X3249" i="50" s="1"/>
  <c r="AB1820" i="50"/>
  <c r="AB2535" i="50" s="1"/>
  <c r="AB3249" i="50" s="1"/>
  <c r="H2010" i="50"/>
  <c r="H2012" i="50" s="1"/>
  <c r="H2013" i="50" s="1"/>
  <c r="N2010" i="50"/>
  <c r="L2010" i="50"/>
  <c r="J2010" i="50"/>
  <c r="F2010" i="50"/>
  <c r="AH2010" i="50"/>
  <c r="P2010" i="50"/>
  <c r="AD2456" i="50"/>
  <c r="AD3170" i="50" s="1"/>
  <c r="AH2098" i="50"/>
  <c r="Z2098" i="50"/>
  <c r="X2098" i="50"/>
  <c r="AD2098" i="50"/>
  <c r="AB2098" i="50"/>
  <c r="T2098" i="50"/>
  <c r="V2098" i="50"/>
  <c r="AH1766" i="50"/>
  <c r="AB1766" i="50"/>
  <c r="AD1766" i="50"/>
  <c r="X1766" i="50"/>
  <c r="V1766" i="50"/>
  <c r="T1766" i="50"/>
  <c r="Z1766" i="50"/>
  <c r="V2460" i="50"/>
  <c r="AL1745" i="50"/>
  <c r="AM1745" i="50" s="1"/>
  <c r="AB2859" i="50"/>
  <c r="AH8" i="50"/>
  <c r="AN12" i="50"/>
  <c r="AH38" i="50"/>
  <c r="R710" i="50"/>
  <c r="L2142" i="50"/>
  <c r="L2857" i="50" s="1"/>
  <c r="L3571" i="50" s="1"/>
  <c r="AH2142" i="50"/>
  <c r="F2142" i="50"/>
  <c r="F2857" i="50" s="1"/>
  <c r="F3571" i="50" s="1"/>
  <c r="H2142" i="50"/>
  <c r="H2857" i="50" s="1"/>
  <c r="H3571" i="50" s="1"/>
  <c r="P2142" i="50"/>
  <c r="P2857" i="50" s="1"/>
  <c r="P3571" i="50" s="1"/>
  <c r="J2142" i="50"/>
  <c r="J2857" i="50" s="1"/>
  <c r="J3571" i="50" s="1"/>
  <c r="N2142" i="50"/>
  <c r="N2857" i="50" s="1"/>
  <c r="N3571" i="50" s="1"/>
  <c r="J2079" i="50"/>
  <c r="N2079" i="50"/>
  <c r="F2079" i="50"/>
  <c r="H2079" i="50"/>
  <c r="L2079" i="50"/>
  <c r="P2079" i="50"/>
  <c r="AH2079" i="50"/>
  <c r="AD1869" i="50"/>
  <c r="AD2584" i="50" s="1"/>
  <c r="AD3298" i="50" s="1"/>
  <c r="T1869" i="50"/>
  <c r="AB1869" i="50"/>
  <c r="AB2584" i="50" s="1"/>
  <c r="AB3298" i="50" s="1"/>
  <c r="AH1869" i="50"/>
  <c r="Z1869" i="50"/>
  <c r="Z2584" i="50" s="1"/>
  <c r="Z3298" i="50" s="1"/>
  <c r="X1869" i="50"/>
  <c r="X2584" i="50" s="1"/>
  <c r="X3298" i="50" s="1"/>
  <c r="V1869" i="50"/>
  <c r="V2584" i="50" s="1"/>
  <c r="V3298" i="50" s="1"/>
  <c r="D2204" i="50"/>
  <c r="D1495" i="50"/>
  <c r="T1592" i="50"/>
  <c r="AL1588" i="50"/>
  <c r="AB2442" i="50"/>
  <c r="AB3156" i="50" s="1"/>
  <c r="Z2733" i="50"/>
  <c r="Z3447" i="50" s="1"/>
  <c r="F2418" i="50"/>
  <c r="F3132" i="50" s="1"/>
  <c r="AL1703" i="50"/>
  <c r="AM1703" i="50" s="1"/>
  <c r="F1704" i="50"/>
  <c r="J2418" i="50"/>
  <c r="J3132" i="50" s="1"/>
  <c r="J1704" i="50"/>
  <c r="J1705" i="50" s="1"/>
  <c r="F2523" i="50"/>
  <c r="F3237" i="50" s="1"/>
  <c r="AL1808" i="50"/>
  <c r="AM1808" i="50" s="1"/>
  <c r="X1173" i="50"/>
  <c r="H1566" i="50"/>
  <c r="AO1572" i="50"/>
  <c r="T1572" i="50" s="1"/>
  <c r="L1566" i="50"/>
  <c r="AH1566" i="50"/>
  <c r="P1566" i="50"/>
  <c r="J1566" i="50"/>
  <c r="N1566" i="50"/>
  <c r="N1571" i="50" s="1"/>
  <c r="N1572" i="50" s="1"/>
  <c r="F1566" i="50"/>
  <c r="V1173" i="50"/>
  <c r="N1397" i="50"/>
  <c r="AL1541" i="50"/>
  <c r="AM1541" i="50" s="1"/>
  <c r="T1608" i="50"/>
  <c r="AB1608" i="50"/>
  <c r="AD1608" i="50"/>
  <c r="AH1608" i="50"/>
  <c r="X1608" i="50"/>
  <c r="Z1608" i="50"/>
  <c r="V1608" i="50"/>
  <c r="AN1614" i="50"/>
  <c r="F1614" i="50" s="1"/>
  <c r="AB2548" i="50"/>
  <c r="AB3262" i="50" s="1"/>
  <c r="AD2548" i="50"/>
  <c r="AD3262" i="50" s="1"/>
  <c r="X2548" i="50"/>
  <c r="X3262" i="50" s="1"/>
  <c r="T2548" i="50"/>
  <c r="T3262" i="50" s="1"/>
  <c r="Z2548" i="50"/>
  <c r="Z3262" i="50" s="1"/>
  <c r="AL1527" i="50"/>
  <c r="AM1527" i="50" s="1"/>
  <c r="H2740" i="50"/>
  <c r="R2740" i="50" s="1"/>
  <c r="H2026" i="50"/>
  <c r="H2027" i="50" s="1"/>
  <c r="H1397" i="50"/>
  <c r="H9" i="51"/>
  <c r="G29" i="51"/>
  <c r="V2712" i="50"/>
  <c r="V3426" i="50" s="1"/>
  <c r="V3428" i="50" s="1"/>
  <c r="V1998" i="50"/>
  <c r="V1999" i="50" s="1"/>
  <c r="J1397" i="50"/>
  <c r="V1397" i="50"/>
  <c r="X1397" i="50"/>
  <c r="R3089" i="50"/>
  <c r="P3351" i="50"/>
  <c r="AF3562" i="50"/>
  <c r="AF3444" i="50"/>
  <c r="R2473" i="50"/>
  <c r="R3311" i="50"/>
  <c r="R2456" i="50"/>
  <c r="R2760" i="50"/>
  <c r="R2375" i="50"/>
  <c r="T3064" i="50"/>
  <c r="R2381" i="50"/>
  <c r="AF3459" i="50"/>
  <c r="R3164" i="50"/>
  <c r="AF2332" i="50"/>
  <c r="AF2519" i="50"/>
  <c r="R2932" i="50"/>
  <c r="X3187" i="50"/>
  <c r="AF3187" i="50" s="1"/>
  <c r="AF2473" i="50"/>
  <c r="AF2793" i="50"/>
  <c r="R2963" i="50"/>
  <c r="AF2192" i="50"/>
  <c r="P3435" i="50"/>
  <c r="AF2849" i="50"/>
  <c r="R2470" i="50"/>
  <c r="R2634" i="50"/>
  <c r="H3017" i="50"/>
  <c r="R2303" i="50"/>
  <c r="AF932" i="50"/>
  <c r="J16" i="49"/>
  <c r="AD3507" i="50"/>
  <c r="AF3507" i="50" s="1"/>
  <c r="AB3157" i="50"/>
  <c r="AF3157" i="50" s="1"/>
  <c r="AF2380" i="50"/>
  <c r="R2557" i="50"/>
  <c r="H3348" i="50"/>
  <c r="H3351" i="50" s="1"/>
  <c r="T3304" i="50"/>
  <c r="AF3304" i="50" s="1"/>
  <c r="AF2590" i="50"/>
  <c r="P3246" i="50"/>
  <c r="AB3485" i="50"/>
  <c r="AF3485" i="50" s="1"/>
  <c r="AF2771" i="50"/>
  <c r="L2939" i="50"/>
  <c r="R2939" i="50" s="1"/>
  <c r="R2225" i="50"/>
  <c r="AD3472" i="50"/>
  <c r="AF3472" i="50" s="1"/>
  <c r="AF2758" i="50"/>
  <c r="AF2437" i="50"/>
  <c r="F2893" i="50"/>
  <c r="R2893" i="50" s="1"/>
  <c r="R2179" i="50"/>
  <c r="N3368" i="50"/>
  <c r="R3368" i="50" s="1"/>
  <c r="R2654" i="50"/>
  <c r="P2967" i="50"/>
  <c r="R2967" i="50" s="1"/>
  <c r="R2253" i="50"/>
  <c r="H2987" i="50"/>
  <c r="AD2987" i="50"/>
  <c r="R2694" i="50"/>
  <c r="R2555" i="50"/>
  <c r="AF2844" i="50"/>
  <c r="H3194" i="50"/>
  <c r="R2480" i="50"/>
  <c r="R2982" i="50"/>
  <c r="R3451" i="50"/>
  <c r="AD3009" i="50"/>
  <c r="AF2295" i="50"/>
  <c r="X3403" i="50"/>
  <c r="AF2689" i="50"/>
  <c r="L3403" i="50"/>
  <c r="T3159" i="50"/>
  <c r="AF2445" i="50"/>
  <c r="F3248" i="50"/>
  <c r="R3248" i="50" s="1"/>
  <c r="R2534" i="50"/>
  <c r="AD3243" i="50"/>
  <c r="AF3243" i="50" s="1"/>
  <c r="AF2529" i="50"/>
  <c r="AF1403" i="50"/>
  <c r="J3561" i="50"/>
  <c r="R3408" i="50"/>
  <c r="R2795" i="50"/>
  <c r="AF3194" i="50"/>
  <c r="AF2773" i="50"/>
  <c r="N3397" i="50"/>
  <c r="R3397" i="50" s="1"/>
  <c r="R2683" i="50"/>
  <c r="T2925" i="50"/>
  <c r="AF2925" i="50" s="1"/>
  <c r="AF2211" i="50"/>
  <c r="T2948" i="50"/>
  <c r="AF2948" i="50" s="1"/>
  <c r="AF2234" i="50"/>
  <c r="X2975" i="50"/>
  <c r="J2910" i="50"/>
  <c r="R2648" i="50"/>
  <c r="R2647" i="50"/>
  <c r="P3407" i="50"/>
  <c r="H3050" i="50"/>
  <c r="R3143" i="50"/>
  <c r="AB2903" i="50"/>
  <c r="X2903" i="50"/>
  <c r="AF3558" i="50"/>
  <c r="AD3442" i="50"/>
  <c r="AB3316" i="50"/>
  <c r="AF2837" i="50"/>
  <c r="R3332" i="50"/>
  <c r="AF2745" i="50"/>
  <c r="F3113" i="50"/>
  <c r="AF2477" i="50"/>
  <c r="AF2806" i="50"/>
  <c r="R2256" i="50"/>
  <c r="R2668" i="50"/>
  <c r="AF3502" i="50"/>
  <c r="AF3557" i="50"/>
  <c r="R3362" i="50"/>
  <c r="AD3316" i="50"/>
  <c r="L3184" i="50"/>
  <c r="R3184" i="50" s="1"/>
  <c r="AF2696" i="50"/>
  <c r="AF3299" i="50"/>
  <c r="N3092" i="50"/>
  <c r="N3134" i="50"/>
  <c r="AF2163" i="50"/>
  <c r="R2401" i="50"/>
  <c r="R2358" i="50"/>
  <c r="J3072" i="50"/>
  <c r="AF2843" i="50"/>
  <c r="R2267" i="50"/>
  <c r="J2987" i="50"/>
  <c r="R3478" i="50"/>
  <c r="AF2620" i="50"/>
  <c r="N3057" i="50"/>
  <c r="P3477" i="50"/>
  <c r="J2997" i="50"/>
  <c r="R2997" i="50" s="1"/>
  <c r="R2283" i="50"/>
  <c r="J3192" i="50"/>
  <c r="R2850" i="50"/>
  <c r="F3564" i="50"/>
  <c r="R3564" i="50" s="1"/>
  <c r="AF2325" i="50"/>
  <c r="V3565" i="50"/>
  <c r="AF3565" i="50" s="1"/>
  <c r="AF2851" i="50"/>
  <c r="AF2393" i="50"/>
  <c r="R3289" i="50"/>
  <c r="AF2416" i="50"/>
  <c r="AF3051" i="50"/>
  <c r="F3430" i="50"/>
  <c r="R3430" i="50" s="1"/>
  <c r="R2716" i="50"/>
  <c r="F2960" i="50"/>
  <c r="R2960" i="50" s="1"/>
  <c r="R2246" i="50"/>
  <c r="N3264" i="50"/>
  <c r="AF2233" i="50"/>
  <c r="T3425" i="50"/>
  <c r="AF3425" i="50" s="1"/>
  <c r="AF2711" i="50"/>
  <c r="P3170" i="50"/>
  <c r="R2652" i="50"/>
  <c r="R3235" i="50"/>
  <c r="H3010" i="50"/>
  <c r="R3010" i="50" s="1"/>
  <c r="R2296" i="50"/>
  <c r="J3460" i="50"/>
  <c r="R3460" i="50" s="1"/>
  <c r="R2746" i="50"/>
  <c r="X3114" i="50"/>
  <c r="AF2828" i="50"/>
  <c r="Z3400" i="50"/>
  <c r="AF2200" i="50"/>
  <c r="AF2815" i="50"/>
  <c r="R2695" i="50"/>
  <c r="AF2750" i="50"/>
  <c r="AF2277" i="50"/>
  <c r="AF2297" i="50"/>
  <c r="AD3424" i="50"/>
  <c r="AF3424" i="50" s="1"/>
  <c r="P2889" i="50"/>
  <c r="J2924" i="50"/>
  <c r="AF2662" i="50"/>
  <c r="AF2569" i="50"/>
  <c r="R3507" i="50"/>
  <c r="R3458" i="50"/>
  <c r="R2809" i="50"/>
  <c r="AF2681" i="50"/>
  <c r="R2519" i="50"/>
  <c r="F3233" i="50"/>
  <c r="R3233" i="50" s="1"/>
  <c r="P3226" i="50"/>
  <c r="R3226" i="50" s="1"/>
  <c r="R2512" i="50"/>
  <c r="F3520" i="50"/>
  <c r="R3520" i="50" s="1"/>
  <c r="R2806" i="50"/>
  <c r="AD3226" i="50"/>
  <c r="AF3226" i="50" s="1"/>
  <c r="AF2512" i="50"/>
  <c r="F3246" i="50"/>
  <c r="AF2564" i="50"/>
  <c r="R2974" i="50"/>
  <c r="AF2634" i="50"/>
  <c r="AD3274" i="50"/>
  <c r="N3148" i="50"/>
  <c r="R3423" i="50"/>
  <c r="R3095" i="50"/>
  <c r="AF3494" i="50"/>
  <c r="T3198" i="50"/>
  <c r="AF3198" i="50" s="1"/>
  <c r="AF2484" i="50"/>
  <c r="R2597" i="50"/>
  <c r="V3106" i="50"/>
  <c r="R2429" i="50"/>
  <c r="AF2730" i="50"/>
  <c r="R2737" i="50"/>
  <c r="R2218" i="50"/>
  <c r="N3456" i="50"/>
  <c r="AB3463" i="50"/>
  <c r="AF3487" i="50"/>
  <c r="N3435" i="50"/>
  <c r="N3365" i="50"/>
  <c r="T3115" i="50"/>
  <c r="AF3115" i="50" s="1"/>
  <c r="AF2401" i="50"/>
  <c r="R2708" i="50"/>
  <c r="F3422" i="50"/>
  <c r="AF2690" i="50"/>
  <c r="V2949" i="50"/>
  <c r="AF2949" i="50" s="1"/>
  <c r="AF2235" i="50"/>
  <c r="J2945" i="50"/>
  <c r="V2945" i="50"/>
  <c r="AF2298" i="50"/>
  <c r="R2813" i="50"/>
  <c r="AF1345" i="50"/>
  <c r="R2802" i="50"/>
  <c r="R2505" i="50"/>
  <c r="AF842" i="50"/>
  <c r="AF1123" i="50"/>
  <c r="AF1235" i="50"/>
  <c r="AF996" i="50"/>
  <c r="AF1172" i="50"/>
  <c r="AF1179" i="50"/>
  <c r="AF857" i="50"/>
  <c r="R2464" i="50"/>
  <c r="R2191" i="50"/>
  <c r="R2659" i="50"/>
  <c r="H3373" i="50"/>
  <c r="R3373" i="50" s="1"/>
  <c r="AF3123" i="50"/>
  <c r="F3522" i="50"/>
  <c r="R3522" i="50" s="1"/>
  <c r="R2808" i="50"/>
  <c r="F3284" i="50"/>
  <c r="R3284" i="50" s="1"/>
  <c r="R2570" i="50"/>
  <c r="J3004" i="50"/>
  <c r="R3004" i="50" s="1"/>
  <c r="R2373" i="50"/>
  <c r="AF2228" i="50"/>
  <c r="N3428" i="50"/>
  <c r="L3271" i="50"/>
  <c r="R3271" i="50" s="1"/>
  <c r="AF3010" i="50"/>
  <c r="N3351" i="50"/>
  <c r="L2981" i="50"/>
  <c r="L2987" i="50" s="1"/>
  <c r="P3365" i="50"/>
  <c r="V3218" i="50"/>
  <c r="AF2702" i="50"/>
  <c r="X3416" i="50"/>
  <c r="AF3416" i="50" s="1"/>
  <c r="AB3561" i="50"/>
  <c r="AF3220" i="50"/>
  <c r="R2603" i="50"/>
  <c r="AF2632" i="50"/>
  <c r="H3366" i="50"/>
  <c r="R3068" i="50"/>
  <c r="Z3445" i="50"/>
  <c r="AF2731" i="50"/>
  <c r="AF2743" i="50"/>
  <c r="AD3457" i="50"/>
  <c r="AD3463" i="50" s="1"/>
  <c r="AF2346" i="50"/>
  <c r="J3127" i="50"/>
  <c r="R2361" i="50"/>
  <c r="H2949" i="50"/>
  <c r="R2235" i="50"/>
  <c r="R2379" i="50"/>
  <c r="J3093" i="50"/>
  <c r="AB3038" i="50"/>
  <c r="AF3038" i="50" s="1"/>
  <c r="AF2324" i="50"/>
  <c r="F2954" i="50"/>
  <c r="R2954" i="50" s="1"/>
  <c r="R2240" i="50"/>
  <c r="F3431" i="50"/>
  <c r="R3431" i="50" s="1"/>
  <c r="R2717" i="50"/>
  <c r="F3347" i="50"/>
  <c r="R3347" i="50" s="1"/>
  <c r="R2633" i="50"/>
  <c r="F3304" i="50"/>
  <c r="R3304" i="50" s="1"/>
  <c r="R2590" i="50"/>
  <c r="J3206" i="50"/>
  <c r="R3206" i="50" s="1"/>
  <c r="R2492" i="50"/>
  <c r="AF2492" i="50"/>
  <c r="T3206" i="50"/>
  <c r="AF3206" i="50" s="1"/>
  <c r="J3200" i="50"/>
  <c r="R3200" i="50" s="1"/>
  <c r="R2486" i="50"/>
  <c r="X3312" i="50"/>
  <c r="AF2766" i="50"/>
  <c r="V3480" i="50"/>
  <c r="AF3480" i="50" s="1"/>
  <c r="Z3184" i="50"/>
  <c r="R2788" i="50"/>
  <c r="F3502" i="50"/>
  <c r="R3502" i="50" s="1"/>
  <c r="F3172" i="50"/>
  <c r="R3172" i="50" s="1"/>
  <c r="R2458" i="50"/>
  <c r="T3131" i="50"/>
  <c r="AF3131" i="50" s="1"/>
  <c r="AF2417" i="50"/>
  <c r="T2946" i="50"/>
  <c r="N3113" i="50"/>
  <c r="T2960" i="50"/>
  <c r="AF2960" i="50" s="1"/>
  <c r="AF2246" i="50"/>
  <c r="Z2945" i="50"/>
  <c r="Z3415" i="50"/>
  <c r="AF3415" i="50" s="1"/>
  <c r="AF2701" i="50"/>
  <c r="X3359" i="50"/>
  <c r="AF3359" i="50" s="1"/>
  <c r="AF2645" i="50"/>
  <c r="AF1226" i="50"/>
  <c r="AF1045" i="50"/>
  <c r="AF1150" i="50"/>
  <c r="R2298" i="50"/>
  <c r="L3474" i="50"/>
  <c r="R2687" i="50"/>
  <c r="F2977" i="50"/>
  <c r="R2263" i="50"/>
  <c r="J3038" i="50"/>
  <c r="R2324" i="50"/>
  <c r="R2816" i="50"/>
  <c r="J3530" i="50"/>
  <c r="R3530" i="50" s="1"/>
  <c r="J3016" i="50"/>
  <c r="J27" i="49"/>
  <c r="J17" i="49"/>
  <c r="R2501" i="50"/>
  <c r="R3109" i="50"/>
  <c r="AF2263" i="50"/>
  <c r="L3057" i="50"/>
  <c r="R2402" i="50"/>
  <c r="AF2570" i="50"/>
  <c r="P3463" i="50"/>
  <c r="R2736" i="50"/>
  <c r="AF3277" i="50"/>
  <c r="R2554" i="50"/>
  <c r="AF2353" i="50"/>
  <c r="AB2981" i="50"/>
  <c r="AF3012" i="50"/>
  <c r="J2903" i="50"/>
  <c r="V3039" i="50"/>
  <c r="AF3039" i="50" s="1"/>
  <c r="R2206" i="50"/>
  <c r="J3534" i="50"/>
  <c r="R3534" i="50" s="1"/>
  <c r="R2820" i="50"/>
  <c r="R3444" i="50"/>
  <c r="AF2379" i="50"/>
  <c r="AF3003" i="50"/>
  <c r="AF2576" i="50"/>
  <c r="AB2954" i="50"/>
  <c r="AF2954" i="50" s="1"/>
  <c r="AF2240" i="50"/>
  <c r="R3009" i="50"/>
  <c r="AF2337" i="50"/>
  <c r="J19" i="49"/>
  <c r="F3037" i="50"/>
  <c r="R3037" i="50" s="1"/>
  <c r="R2323" i="50"/>
  <c r="F2876" i="50"/>
  <c r="T3450" i="50"/>
  <c r="AF2736" i="50"/>
  <c r="F3459" i="50"/>
  <c r="R3459" i="50" s="1"/>
  <c r="R2745" i="50"/>
  <c r="T3138" i="50"/>
  <c r="AF3138" i="50" s="1"/>
  <c r="AF2424" i="50"/>
  <c r="AF2780" i="50"/>
  <c r="F3410" i="50"/>
  <c r="R3410" i="50" s="1"/>
  <c r="R2696" i="50"/>
  <c r="F3051" i="50"/>
  <c r="AF2842" i="50"/>
  <c r="T3556" i="50"/>
  <c r="V3528" i="50"/>
  <c r="AF2814" i="50"/>
  <c r="R2730" i="50"/>
  <c r="R2702" i="50"/>
  <c r="H3416" i="50"/>
  <c r="R3416" i="50" s="1"/>
  <c r="F3360" i="50"/>
  <c r="R3360" i="50" s="1"/>
  <c r="R2646" i="50"/>
  <c r="R2618" i="50"/>
  <c r="T3471" i="50"/>
  <c r="AF3471" i="50" s="1"/>
  <c r="AF2757" i="50"/>
  <c r="V3408" i="50"/>
  <c r="AF2694" i="50"/>
  <c r="F3359" i="50"/>
  <c r="R3359" i="50" s="1"/>
  <c r="R2645" i="50"/>
  <c r="V2919" i="50"/>
  <c r="AF2919" i="50" s="1"/>
  <c r="AF2205" i="50"/>
  <c r="H3131" i="50"/>
  <c r="AF2319" i="50"/>
  <c r="T3033" i="50"/>
  <c r="AF3033" i="50" s="1"/>
  <c r="R2465" i="50"/>
  <c r="F3179" i="50"/>
  <c r="R3179" i="50" s="1"/>
  <c r="T2962" i="50"/>
  <c r="AF2962" i="50" s="1"/>
  <c r="AF2248" i="50"/>
  <c r="J3256" i="50"/>
  <c r="R2542" i="50"/>
  <c r="AF2296" i="50"/>
  <c r="AB3071" i="50"/>
  <c r="R3269" i="50"/>
  <c r="Z3316" i="50"/>
  <c r="R2991" i="50"/>
  <c r="R2387" i="50"/>
  <c r="R3345" i="50"/>
  <c r="P3148" i="50"/>
  <c r="AF3207" i="50"/>
  <c r="T3071" i="50"/>
  <c r="R3339" i="50"/>
  <c r="R3465" i="50"/>
  <c r="N3568" i="50"/>
  <c r="R2248" i="50"/>
  <c r="V2987" i="50"/>
  <c r="AF3261" i="50"/>
  <c r="L2966" i="50"/>
  <c r="R3222" i="50"/>
  <c r="F3472" i="50"/>
  <c r="R3472" i="50" s="1"/>
  <c r="R2758" i="50"/>
  <c r="T3235" i="50"/>
  <c r="AF3235" i="50" s="1"/>
  <c r="AF2521" i="50"/>
  <c r="F3452" i="50"/>
  <c r="F3556" i="50"/>
  <c r="R2842" i="50"/>
  <c r="F3471" i="50"/>
  <c r="R2766" i="50"/>
  <c r="AF2499" i="50"/>
  <c r="R2521" i="50"/>
  <c r="AF2542" i="50"/>
  <c r="R2674" i="50"/>
  <c r="AF3474" i="50"/>
  <c r="AF2372" i="50"/>
  <c r="AF3108" i="50"/>
  <c r="R3563" i="50"/>
  <c r="AB2980" i="50"/>
  <c r="R3523" i="50"/>
  <c r="R2821" i="50"/>
  <c r="N2889" i="50"/>
  <c r="R3053" i="50"/>
  <c r="T3095" i="50"/>
  <c r="R2339" i="50"/>
  <c r="AF3213" i="50"/>
  <c r="F2919" i="50"/>
  <c r="R2395" i="50"/>
  <c r="F2946" i="50"/>
  <c r="R2232" i="50"/>
  <c r="R3388" i="50"/>
  <c r="R2380" i="50"/>
  <c r="H3094" i="50"/>
  <c r="R3094" i="50" s="1"/>
  <c r="N2917" i="50"/>
  <c r="L2910" i="50"/>
  <c r="AF2906" i="50"/>
  <c r="AF746" i="50"/>
  <c r="AF1489" i="50"/>
  <c r="P231" i="49"/>
  <c r="BL137" i="49"/>
  <c r="BP137" i="49" s="1"/>
  <c r="BU137" i="49" s="1"/>
  <c r="AF2879" i="50"/>
  <c r="D1460" i="50"/>
  <c r="D2169" i="50"/>
  <c r="AF1374" i="50"/>
  <c r="AF1186" i="50"/>
  <c r="AF1298" i="50"/>
  <c r="AF1382" i="50"/>
  <c r="AF1011" i="50"/>
  <c r="AF1381" i="50"/>
  <c r="R1325" i="50"/>
  <c r="R1346" i="50"/>
  <c r="AF1352" i="50"/>
  <c r="AF1051" i="50"/>
  <c r="AF778" i="50"/>
  <c r="AF785" i="50"/>
  <c r="AF1331" i="50"/>
  <c r="AF911" i="50"/>
  <c r="AF1415" i="50"/>
  <c r="AF1247" i="50"/>
  <c r="AF1093" i="50"/>
  <c r="AF1289" i="50"/>
  <c r="AF939" i="50"/>
  <c r="AF1023" i="50"/>
  <c r="AF1177" i="50"/>
  <c r="AF925" i="50"/>
  <c r="AF1135" i="50"/>
  <c r="AF1002" i="50"/>
  <c r="V3382" i="50"/>
  <c r="AF1332" i="50"/>
  <c r="AF1340" i="50"/>
  <c r="R2359" i="50"/>
  <c r="R1388" i="50"/>
  <c r="AF1143" i="50"/>
  <c r="AD3218" i="50"/>
  <c r="H2905" i="50"/>
  <c r="H2910" i="50" s="1"/>
  <c r="P3085" i="50"/>
  <c r="AF3509" i="50"/>
  <c r="AN13" i="49"/>
  <c r="S127" i="48"/>
  <c r="AS13" i="49" s="1"/>
  <c r="AF2262" i="50"/>
  <c r="F3122" i="50"/>
  <c r="R3122" i="50" s="1"/>
  <c r="R2408" i="50"/>
  <c r="T3341" i="50"/>
  <c r="AF3341" i="50" s="1"/>
  <c r="AF2627" i="50"/>
  <c r="F3387" i="50"/>
  <c r="R3387" i="50" s="1"/>
  <c r="R2673" i="50"/>
  <c r="T3536" i="50"/>
  <c r="AF3536" i="50" s="1"/>
  <c r="AF2822" i="50"/>
  <c r="F3285" i="50"/>
  <c r="R3285" i="50" s="1"/>
  <c r="R2571" i="50"/>
  <c r="F3205" i="50"/>
  <c r="R2491" i="50"/>
  <c r="R2688" i="50"/>
  <c r="F3402" i="50"/>
  <c r="T3234" i="50"/>
  <c r="R2197" i="50"/>
  <c r="F2911" i="50"/>
  <c r="T2969" i="50"/>
  <c r="AF2247" i="50"/>
  <c r="T3550" i="50"/>
  <c r="AF3550" i="50" s="1"/>
  <c r="AF2836" i="50"/>
  <c r="V3516" i="50"/>
  <c r="AF3516" i="50" s="1"/>
  <c r="R2164" i="50"/>
  <c r="F2878" i="50"/>
  <c r="H3310" i="50"/>
  <c r="AF2409" i="50"/>
  <c r="R2260" i="50"/>
  <c r="S71" i="48"/>
  <c r="Y13" i="49" s="1"/>
  <c r="T13" i="49"/>
  <c r="F3466" i="50"/>
  <c r="R2752" i="50"/>
  <c r="T3116" i="50"/>
  <c r="AD3058" i="50"/>
  <c r="AF3058" i="50" s="1"/>
  <c r="AF2344" i="50"/>
  <c r="F3565" i="50"/>
  <c r="R3565" i="50" s="1"/>
  <c r="R2851" i="50"/>
  <c r="F2925" i="50"/>
  <c r="F2926" i="50"/>
  <c r="R2212" i="50"/>
  <c r="R2226" i="50"/>
  <c r="H2940" i="50"/>
  <c r="R2940" i="50" s="1"/>
  <c r="F3429" i="50"/>
  <c r="R3429" i="50" s="1"/>
  <c r="X3530" i="50"/>
  <c r="AF2816" i="50"/>
  <c r="AF2562" i="50"/>
  <c r="T3101" i="50"/>
  <c r="H3003" i="50"/>
  <c r="R3003" i="50" s="1"/>
  <c r="R2289" i="50"/>
  <c r="T3431" i="50"/>
  <c r="AF3431" i="50" s="1"/>
  <c r="AF2717" i="50"/>
  <c r="T3250" i="50"/>
  <c r="H3060" i="50"/>
  <c r="R2346" i="50"/>
  <c r="T2963" i="50"/>
  <c r="AF2963" i="50" s="1"/>
  <c r="AF2249" i="50"/>
  <c r="T3088" i="50"/>
  <c r="AB3218" i="50"/>
  <c r="AF2563" i="50"/>
  <c r="R2393" i="50"/>
  <c r="F3557" i="50"/>
  <c r="R3557" i="50" s="1"/>
  <c r="R2843" i="50"/>
  <c r="R2599" i="50"/>
  <c r="P3313" i="50"/>
  <c r="F3536" i="50"/>
  <c r="AF2212" i="50"/>
  <c r="T3383" i="50"/>
  <c r="AF3383" i="50" s="1"/>
  <c r="AF2669" i="50"/>
  <c r="H3383" i="50"/>
  <c r="R2669" i="50"/>
  <c r="R2751" i="50"/>
  <c r="AF2722" i="50"/>
  <c r="T3436" i="50"/>
  <c r="AF3436" i="50" s="1"/>
  <c r="R2277" i="50"/>
  <c r="R2428" i="50"/>
  <c r="V2976" i="50"/>
  <c r="AF2547" i="50"/>
  <c r="AF2605" i="50"/>
  <c r="R2575" i="50"/>
  <c r="R2631" i="50"/>
  <c r="R2764" i="50"/>
  <c r="R2744" i="50"/>
  <c r="R2625" i="50"/>
  <c r="R2855" i="50"/>
  <c r="R2415" i="50"/>
  <c r="R3535" i="50"/>
  <c r="AF2788" i="50"/>
  <c r="AF2752" i="50"/>
  <c r="R3142" i="50"/>
  <c r="R2849" i="50"/>
  <c r="AF2858" i="50"/>
  <c r="R2192" i="50"/>
  <c r="R2604" i="50"/>
  <c r="AF2219" i="50"/>
  <c r="AF2715" i="50"/>
  <c r="J21" i="49"/>
  <c r="R1261" i="50"/>
  <c r="R1317" i="50"/>
  <c r="AF1184" i="50"/>
  <c r="AF779" i="50"/>
  <c r="AF800" i="50"/>
  <c r="AF1241" i="50"/>
  <c r="AF1396" i="50"/>
  <c r="AF801" i="50"/>
  <c r="AF997" i="50"/>
  <c r="AF737" i="50"/>
  <c r="N3437" i="50"/>
  <c r="R3437" i="50" s="1"/>
  <c r="F2904" i="50"/>
  <c r="AF1290" i="50"/>
  <c r="AF1214" i="50"/>
  <c r="AF1326" i="50"/>
  <c r="AF1389" i="50"/>
  <c r="AF766" i="50"/>
  <c r="AF843" i="50"/>
  <c r="R1284" i="50"/>
  <c r="R1417" i="50"/>
  <c r="R1297" i="50"/>
  <c r="R1409" i="50"/>
  <c r="R1262" i="50"/>
  <c r="R1374" i="50"/>
  <c r="R1340" i="50"/>
  <c r="AF2459" i="50"/>
  <c r="H3355" i="50"/>
  <c r="AF1031" i="50"/>
  <c r="AF1101" i="50"/>
  <c r="N3526" i="50"/>
  <c r="AF829" i="50"/>
  <c r="AF1129" i="50"/>
  <c r="AF1262" i="50"/>
  <c r="AF976" i="50"/>
  <c r="R2318" i="50"/>
  <c r="T3542" i="50"/>
  <c r="AF3542" i="50" s="1"/>
  <c r="H3075" i="50"/>
  <c r="R3075" i="50" s="1"/>
  <c r="AF3094" i="50"/>
  <c r="AF2764" i="50"/>
  <c r="H3464" i="50"/>
  <c r="R2750" i="50"/>
  <c r="L3260" i="50"/>
  <c r="F2885" i="50"/>
  <c r="R2885" i="50" s="1"/>
  <c r="AF3353" i="50"/>
  <c r="R2219" i="50"/>
  <c r="F2933" i="50"/>
  <c r="F3261" i="50"/>
  <c r="R3261" i="50" s="1"/>
  <c r="R2547" i="50"/>
  <c r="R2463" i="50"/>
  <c r="T3310" i="50"/>
  <c r="AF2596" i="50"/>
  <c r="T3229" i="50"/>
  <c r="AF2785" i="50"/>
  <c r="T3499" i="50"/>
  <c r="AF3499" i="50" s="1"/>
  <c r="F3030" i="50"/>
  <c r="R2316" i="50"/>
  <c r="R2653" i="50"/>
  <c r="F3367" i="50"/>
  <c r="R2731" i="50"/>
  <c r="F3445" i="50"/>
  <c r="R3445" i="50" s="1"/>
  <c r="AF2227" i="50"/>
  <c r="T2941" i="50"/>
  <c r="V3514" i="50"/>
  <c r="AF2800" i="50"/>
  <c r="F3493" i="50"/>
  <c r="R3493" i="50" s="1"/>
  <c r="R2779" i="50"/>
  <c r="J3380" i="50"/>
  <c r="R3380" i="50" s="1"/>
  <c r="R2666" i="50"/>
  <c r="F3207" i="50"/>
  <c r="R3207" i="50" s="1"/>
  <c r="R2493" i="50"/>
  <c r="R2262" i="50"/>
  <c r="F2976" i="50"/>
  <c r="R2632" i="50"/>
  <c r="F3346" i="50"/>
  <c r="R2513" i="50"/>
  <c r="T3052" i="50"/>
  <c r="AF2338" i="50"/>
  <c r="AF2659" i="50"/>
  <c r="F3550" i="50"/>
  <c r="R2836" i="50"/>
  <c r="N3572" i="50"/>
  <c r="R2858" i="50"/>
  <c r="T2974" i="50"/>
  <c r="AF2260" i="50"/>
  <c r="X3045" i="50"/>
  <c r="AF2331" i="50"/>
  <c r="T2997" i="50"/>
  <c r="H3417" i="50"/>
  <c r="R2703" i="50"/>
  <c r="AF2760" i="50"/>
  <c r="F2996" i="50"/>
  <c r="R2996" i="50" s="1"/>
  <c r="R2282" i="50"/>
  <c r="F3250" i="50"/>
  <c r="R3250" i="50" s="1"/>
  <c r="R2536" i="50"/>
  <c r="AF2744" i="50"/>
  <c r="R3318" i="50"/>
  <c r="AF2407" i="50"/>
  <c r="AF3030" i="50"/>
  <c r="R2528" i="50"/>
  <c r="AF2289" i="50"/>
  <c r="AF2599" i="50"/>
  <c r="R2639" i="50"/>
  <c r="AF2493" i="50"/>
  <c r="R2295" i="50"/>
  <c r="AF2578" i="50"/>
  <c r="AF3375" i="50"/>
  <c r="AF2423" i="50"/>
  <c r="R3569" i="50"/>
  <c r="R2487" i="50"/>
  <c r="AF3572" i="50"/>
  <c r="J24" i="49"/>
  <c r="K249" i="49" s="1"/>
  <c r="N24" i="49"/>
  <c r="AF1205" i="50"/>
  <c r="AF883" i="50"/>
  <c r="AF1394" i="50"/>
  <c r="AF1401" i="50"/>
  <c r="AF827" i="50"/>
  <c r="AF890" i="50"/>
  <c r="AF1359" i="50"/>
  <c r="AF862" i="50"/>
  <c r="AF946" i="50"/>
  <c r="AF773" i="50"/>
  <c r="AF1361" i="50"/>
  <c r="AF1277" i="50"/>
  <c r="AF1220" i="50"/>
  <c r="AF884" i="50"/>
  <c r="AF919" i="50"/>
  <c r="Z2977" i="50"/>
  <c r="AF2977" i="50" s="1"/>
  <c r="AF1284" i="50"/>
  <c r="AF954" i="50"/>
  <c r="AF2984" i="50"/>
  <c r="J23" i="49"/>
  <c r="F3499" i="50"/>
  <c r="R3499" i="50" s="1"/>
  <c r="R2785" i="50"/>
  <c r="T3569" i="50"/>
  <c r="AF3569" i="50" s="1"/>
  <c r="AF2855" i="50"/>
  <c r="R2563" i="50"/>
  <c r="F3277" i="50"/>
  <c r="R3277" i="50" s="1"/>
  <c r="AF2358" i="50"/>
  <c r="F3117" i="50"/>
  <c r="R3117" i="50" s="1"/>
  <c r="R2403" i="50"/>
  <c r="X2982" i="50"/>
  <c r="V3201" i="50"/>
  <c r="AF3201" i="50" s="1"/>
  <c r="AF2487" i="50"/>
  <c r="H3208" i="50"/>
  <c r="R2494" i="50"/>
  <c r="AF2795" i="50"/>
  <c r="AF2633" i="50"/>
  <c r="T3347" i="50"/>
  <c r="AF3347" i="50" s="1"/>
  <c r="F3495" i="50"/>
  <c r="R3495" i="50" s="1"/>
  <c r="R2781" i="50"/>
  <c r="F2961" i="50"/>
  <c r="R2247" i="50"/>
  <c r="J3432" i="50"/>
  <c r="R2718" i="50"/>
  <c r="V3068" i="50"/>
  <c r="R2177" i="50"/>
  <c r="F2891" i="50"/>
  <c r="T3144" i="50"/>
  <c r="AF3144" i="50" s="1"/>
  <c r="AF2430" i="50"/>
  <c r="R2583" i="50"/>
  <c r="F3297" i="50"/>
  <c r="R3297" i="50" s="1"/>
  <c r="R2835" i="50"/>
  <c r="F3549" i="50"/>
  <c r="R3549" i="50" s="1"/>
  <c r="T3221" i="50"/>
  <c r="AF3221" i="50" s="1"/>
  <c r="AF2507" i="50"/>
  <c r="R2772" i="50"/>
  <c r="F3486" i="50"/>
  <c r="F3562" i="50"/>
  <c r="R3562" i="50" s="1"/>
  <c r="R2848" i="50"/>
  <c r="AF2557" i="50"/>
  <c r="T3271" i="50"/>
  <c r="AF3271" i="50" s="1"/>
  <c r="AF2438" i="50"/>
  <c r="N2899" i="50"/>
  <c r="R2185" i="50"/>
  <c r="R2841" i="50"/>
  <c r="T3017" i="50"/>
  <c r="AF2554" i="50"/>
  <c r="T3268" i="50"/>
  <c r="R2701" i="50"/>
  <c r="AF2660" i="50"/>
  <c r="R2284" i="50"/>
  <c r="F2998" i="50"/>
  <c r="R2998" i="50" s="1"/>
  <c r="F3263" i="50"/>
  <c r="R3263" i="50" s="1"/>
  <c r="R2549" i="50"/>
  <c r="AF2585" i="50"/>
  <c r="H3152" i="50"/>
  <c r="R3152" i="50" s="1"/>
  <c r="R2438" i="50"/>
  <c r="V2891" i="50"/>
  <c r="AF2177" i="50"/>
  <c r="R3353" i="50"/>
  <c r="AF2389" i="50"/>
  <c r="AF2316" i="50"/>
  <c r="R2856" i="50"/>
  <c r="AF3292" i="50"/>
  <c r="AF2661" i="50"/>
  <c r="AF3137" i="50"/>
  <c r="R2354" i="50"/>
  <c r="AF3215" i="50"/>
  <c r="R2508" i="50"/>
  <c r="AD13" i="49"/>
  <c r="S99" i="48"/>
  <c r="AI13" i="49" s="1"/>
  <c r="V3254" i="50"/>
  <c r="AF3254" i="50" s="1"/>
  <c r="AF2540" i="50"/>
  <c r="H3374" i="50"/>
  <c r="R3374" i="50" s="1"/>
  <c r="R2660" i="50"/>
  <c r="F3290" i="50"/>
  <c r="R2576" i="50"/>
  <c r="R2472" i="50"/>
  <c r="F3186" i="50"/>
  <c r="F3212" i="50"/>
  <c r="R3212" i="50" s="1"/>
  <c r="R2498" i="50"/>
  <c r="T3075" i="50"/>
  <c r="AF3075" i="50" s="1"/>
  <c r="AF2361" i="50"/>
  <c r="F3453" i="50"/>
  <c r="T3317" i="50"/>
  <c r="AF3317" i="50" s="1"/>
  <c r="AF2603" i="50"/>
  <c r="T2884" i="50"/>
  <c r="T3142" i="50"/>
  <c r="AF3142" i="50" s="1"/>
  <c r="AF2428" i="50"/>
  <c r="F3283" i="50"/>
  <c r="R3283" i="50" s="1"/>
  <c r="R2569" i="50"/>
  <c r="F3081" i="50"/>
  <c r="R3081" i="50" s="1"/>
  <c r="R2367" i="50"/>
  <c r="AF2312" i="50"/>
  <c r="T3026" i="50"/>
  <c r="AF3026" i="50" s="1"/>
  <c r="F3298" i="50"/>
  <c r="R3298" i="50" s="1"/>
  <c r="R2584" i="50"/>
  <c r="F3059" i="50"/>
  <c r="R3059" i="50" s="1"/>
  <c r="R2345" i="50"/>
  <c r="F3135" i="50"/>
  <c r="F3514" i="50"/>
  <c r="R3514" i="50" s="1"/>
  <c r="R2800" i="50"/>
  <c r="L3542" i="50"/>
  <c r="R3542" i="50" s="1"/>
  <c r="R2828" i="50"/>
  <c r="AF3374" i="50"/>
  <c r="R2372" i="50"/>
  <c r="AF2491" i="50"/>
  <c r="AD3379" i="50"/>
  <c r="AF2703" i="50"/>
  <c r="T3417" i="50"/>
  <c r="AF3417" i="50" s="1"/>
  <c r="AF2639" i="50"/>
  <c r="F3436" i="50"/>
  <c r="R2722" i="50"/>
  <c r="AF2933" i="50"/>
  <c r="AF2284" i="50"/>
  <c r="T2998" i="50"/>
  <c r="AF2998" i="50" s="1"/>
  <c r="R2661" i="50"/>
  <c r="F3375" i="50"/>
  <c r="R3375" i="50" s="1"/>
  <c r="R2619" i="50"/>
  <c r="F3333" i="50"/>
  <c r="R2407" i="50"/>
  <c r="F3121" i="50"/>
  <c r="AF2373" i="50"/>
  <c r="R2338" i="50"/>
  <c r="F3052" i="50"/>
  <c r="AF2533" i="50"/>
  <c r="T3247" i="50"/>
  <c r="AF3247" i="50" s="1"/>
  <c r="AF2394" i="50"/>
  <c r="F3255" i="50"/>
  <c r="F3260" i="50" s="1"/>
  <c r="R3201" i="50"/>
  <c r="N2966" i="50"/>
  <c r="AF3103" i="50"/>
  <c r="R2249" i="50"/>
  <c r="R3570" i="50"/>
  <c r="AF2165" i="50"/>
  <c r="R2457" i="50"/>
  <c r="R2450" i="50"/>
  <c r="R3129" i="50"/>
  <c r="R2268" i="50"/>
  <c r="R3527" i="50"/>
  <c r="AF2501" i="50"/>
  <c r="R2793" i="50"/>
  <c r="AF2666" i="50"/>
  <c r="R2681" i="50"/>
  <c r="R2199" i="50"/>
  <c r="D2239" i="50"/>
  <c r="D1530" i="50"/>
  <c r="F2956" i="50"/>
  <c r="R2956" i="50" s="1"/>
  <c r="R2242" i="50"/>
  <c r="AF2956" i="50"/>
  <c r="BQ233" i="49" a="1"/>
  <c r="BQ233" i="49" s="1"/>
  <c r="F2953" i="50"/>
  <c r="R2953" i="50" s="1"/>
  <c r="R2239" i="50"/>
  <c r="Z2955" i="50"/>
  <c r="AF2239" i="50"/>
  <c r="T2953" i="50"/>
  <c r="AF2953" i="50" s="1"/>
  <c r="AF2242" i="50"/>
  <c r="AH2242" i="50" s="1"/>
  <c r="AF795" i="50"/>
  <c r="AF794" i="50"/>
  <c r="R2918" i="50"/>
  <c r="R2984" i="50"/>
  <c r="P2987" i="50"/>
  <c r="R3002" i="50"/>
  <c r="AF3387" i="50"/>
  <c r="S16" i="49"/>
  <c r="S20" i="49"/>
  <c r="S24" i="49"/>
  <c r="S29" i="49"/>
  <c r="S33" i="49"/>
  <c r="S37" i="49"/>
  <c r="S41" i="49"/>
  <c r="S45" i="49"/>
  <c r="S49" i="49"/>
  <c r="S53" i="49"/>
  <c r="S57" i="49"/>
  <c r="S61" i="49"/>
  <c r="S65" i="49"/>
  <c r="S69" i="49"/>
  <c r="S73" i="49"/>
  <c r="S18" i="49"/>
  <c r="S23" i="49"/>
  <c r="S30" i="49"/>
  <c r="S35" i="49"/>
  <c r="S40" i="49"/>
  <c r="S46" i="49"/>
  <c r="S51" i="49"/>
  <c r="S56" i="49"/>
  <c r="S62" i="49"/>
  <c r="S67" i="49"/>
  <c r="S72" i="49"/>
  <c r="S77" i="49"/>
  <c r="S81" i="49"/>
  <c r="S85" i="49"/>
  <c r="S89" i="49"/>
  <c r="S93" i="49"/>
  <c r="S97" i="49"/>
  <c r="S101" i="49"/>
  <c r="S105" i="49"/>
  <c r="S109" i="49"/>
  <c r="S113" i="49"/>
  <c r="S19" i="49"/>
  <c r="S25" i="49"/>
  <c r="S31" i="49"/>
  <c r="S36" i="49"/>
  <c r="S42" i="49"/>
  <c r="S47" i="49"/>
  <c r="S52" i="49"/>
  <c r="S58" i="49"/>
  <c r="S63" i="49"/>
  <c r="S68" i="49"/>
  <c r="S74" i="49"/>
  <c r="S78" i="49"/>
  <c r="S82" i="49"/>
  <c r="S86" i="49"/>
  <c r="S90" i="49"/>
  <c r="S94" i="49"/>
  <c r="S98" i="49"/>
  <c r="S102" i="49"/>
  <c r="S106" i="49"/>
  <c r="S110" i="49"/>
  <c r="S114" i="49"/>
  <c r="S21" i="49"/>
  <c r="S27" i="49"/>
  <c r="S32" i="49"/>
  <c r="S38" i="49"/>
  <c r="S43" i="49"/>
  <c r="S48" i="49"/>
  <c r="S54" i="49"/>
  <c r="S59" i="49"/>
  <c r="S64" i="49"/>
  <c r="S70" i="49"/>
  <c r="S75" i="49"/>
  <c r="S79" i="49"/>
  <c r="S83" i="49"/>
  <c r="S87" i="49"/>
  <c r="S91" i="49"/>
  <c r="S95" i="49"/>
  <c r="S99" i="49"/>
  <c r="S103" i="49"/>
  <c r="S107" i="49"/>
  <c r="S111" i="49"/>
  <c r="S115" i="49"/>
  <c r="S17" i="49"/>
  <c r="S39" i="49"/>
  <c r="S60" i="49"/>
  <c r="S80" i="49"/>
  <c r="S96" i="49"/>
  <c r="S112" i="49"/>
  <c r="S22" i="49"/>
  <c r="S44" i="49"/>
  <c r="S66" i="49"/>
  <c r="S84" i="49"/>
  <c r="S100" i="49"/>
  <c r="S28" i="49"/>
  <c r="S50" i="49"/>
  <c r="S71" i="49"/>
  <c r="S88" i="49"/>
  <c r="S104" i="49"/>
  <c r="S76" i="49"/>
  <c r="S92" i="49"/>
  <c r="S34" i="49"/>
  <c r="S108" i="49"/>
  <c r="S55" i="49"/>
  <c r="S141" i="49"/>
  <c r="O137" i="49"/>
  <c r="P233" i="49" s="1" a="1"/>
  <c r="P233" i="49" s="1"/>
  <c r="S215" i="49"/>
  <c r="S201" i="49"/>
  <c r="S151" i="49"/>
  <c r="S204" i="49"/>
  <c r="S177" i="49"/>
  <c r="S221" i="49"/>
  <c r="S189" i="49"/>
  <c r="S149" i="49"/>
  <c r="S190" i="49"/>
  <c r="S137" i="49"/>
  <c r="S196" i="49"/>
  <c r="S200" i="49"/>
  <c r="S133" i="49"/>
  <c r="S208" i="49"/>
  <c r="S144" i="49"/>
  <c r="S143" i="49"/>
  <c r="S188" i="49"/>
  <c r="S153" i="49"/>
  <c r="S217" i="49"/>
  <c r="S224" i="49"/>
  <c r="S168" i="49"/>
  <c r="S183" i="49"/>
  <c r="S159" i="49"/>
  <c r="S213" i="49"/>
  <c r="S171" i="49"/>
  <c r="S216" i="49"/>
  <c r="S225" i="49"/>
  <c r="S176" i="49"/>
  <c r="S209" i="49"/>
  <c r="S160" i="49"/>
  <c r="S145" i="49"/>
  <c r="S146" i="49"/>
  <c r="S170" i="49"/>
  <c r="S165" i="49"/>
  <c r="S138" i="49"/>
  <c r="S210" i="49"/>
  <c r="S161" i="49"/>
  <c r="S140" i="49"/>
  <c r="S150" i="49"/>
  <c r="S192" i="49"/>
  <c r="S194" i="49"/>
  <c r="S199" i="49"/>
  <c r="S157" i="49"/>
  <c r="S202" i="49"/>
  <c r="S174" i="49"/>
  <c r="S136" i="49"/>
  <c r="S205" i="49"/>
  <c r="S184" i="49"/>
  <c r="S226" i="49"/>
  <c r="S162" i="49"/>
  <c r="S193" i="49"/>
  <c r="S175" i="49"/>
  <c r="S228" i="49"/>
  <c r="S206" i="49"/>
  <c r="S139" i="49"/>
  <c r="S155" i="49"/>
  <c r="O128" i="49"/>
  <c r="S214" i="49"/>
  <c r="S169" i="49"/>
  <c r="S131" i="49"/>
  <c r="S173" i="49"/>
  <c r="S179" i="49"/>
  <c r="S207" i="49"/>
  <c r="S227" i="49"/>
  <c r="S185" i="49"/>
  <c r="S182" i="49"/>
  <c r="S218" i="49"/>
  <c r="S156" i="49"/>
  <c r="S132" i="49"/>
  <c r="S166" i="49"/>
  <c r="S134" i="49"/>
  <c r="S222" i="49"/>
  <c r="S186" i="49"/>
  <c r="S164" i="49"/>
  <c r="S180" i="49"/>
  <c r="S212" i="49"/>
  <c r="S178" i="49"/>
  <c r="S211" i="49"/>
  <c r="S135" i="49"/>
  <c r="S154" i="49"/>
  <c r="S167" i="49"/>
  <c r="S223" i="49"/>
  <c r="S163" i="49"/>
  <c r="S191" i="49"/>
  <c r="S172" i="49"/>
  <c r="S198" i="49"/>
  <c r="S187" i="49"/>
  <c r="S203" i="49"/>
  <c r="S152" i="49"/>
  <c r="S181" i="49"/>
  <c r="S147" i="49"/>
  <c r="S148" i="49"/>
  <c r="S220" i="49"/>
  <c r="S195" i="49"/>
  <c r="S229" i="49"/>
  <c r="S158" i="49"/>
  <c r="S142" i="49"/>
  <c r="S230" i="49"/>
  <c r="S219" i="49"/>
  <c r="S197" i="49"/>
  <c r="J18" i="49"/>
  <c r="F1177" i="50"/>
  <c r="R1177" i="50" s="1"/>
  <c r="AL462" i="50"/>
  <c r="AM462" i="50" s="1"/>
  <c r="F1233" i="50"/>
  <c r="R1233" i="50" s="1"/>
  <c r="AL518" i="50"/>
  <c r="AM518" i="50" s="1"/>
  <c r="R1289" i="50"/>
  <c r="R1345" i="50"/>
  <c r="N2929" i="50"/>
  <c r="R1401" i="50"/>
  <c r="AF1191" i="50"/>
  <c r="J22" i="49"/>
  <c r="F1191" i="50"/>
  <c r="R1191" i="50" s="1"/>
  <c r="AL476" i="50"/>
  <c r="AM476" i="50" s="1"/>
  <c r="F1018" i="50"/>
  <c r="AF1256" i="50"/>
  <c r="AF975" i="50"/>
  <c r="AF856" i="50"/>
  <c r="AF1242" i="50"/>
  <c r="AF1368" i="50"/>
  <c r="AF1151" i="50"/>
  <c r="AF879" i="50"/>
  <c r="AF907" i="50"/>
  <c r="AF935" i="50"/>
  <c r="AF963" i="50"/>
  <c r="AF991" i="50"/>
  <c r="AF1019" i="50"/>
  <c r="AF836" i="50"/>
  <c r="F767" i="50"/>
  <c r="AL52" i="50"/>
  <c r="AM52" i="50" s="1"/>
  <c r="AF1409" i="50"/>
  <c r="V725" i="50"/>
  <c r="V1425" i="50" s="1"/>
  <c r="V1439" i="50" s="1"/>
  <c r="F837" i="50"/>
  <c r="R837" i="50" s="1"/>
  <c r="AL122" i="50"/>
  <c r="AM122" i="50" s="1"/>
  <c r="F865" i="50"/>
  <c r="R865" i="50" s="1"/>
  <c r="AL150" i="50"/>
  <c r="AM150" i="50" s="1"/>
  <c r="F928" i="50"/>
  <c r="R928" i="50" s="1"/>
  <c r="AL213" i="50"/>
  <c r="AM213" i="50" s="1"/>
  <c r="F1033" i="50"/>
  <c r="R1033" i="50" s="1"/>
  <c r="AL318" i="50"/>
  <c r="F863" i="50"/>
  <c r="R863" i="50" s="1"/>
  <c r="F737" i="50"/>
  <c r="R737" i="50" s="1"/>
  <c r="AL22" i="50"/>
  <c r="AM22" i="50" s="1"/>
  <c r="F877" i="50"/>
  <c r="AL162" i="50"/>
  <c r="AM162" i="50" s="1"/>
  <c r="F989" i="50"/>
  <c r="R989" i="50" s="1"/>
  <c r="AL274" i="50"/>
  <c r="F1101" i="50"/>
  <c r="AL386" i="50"/>
  <c r="AM386" i="50" s="1"/>
  <c r="N3033" i="50"/>
  <c r="R3033" i="50" s="1"/>
  <c r="F1107" i="50"/>
  <c r="R1107" i="50" s="1"/>
  <c r="AL392" i="50"/>
  <c r="AM392" i="50" s="1"/>
  <c r="F784" i="50"/>
  <c r="F74" i="50"/>
  <c r="AL69" i="50"/>
  <c r="P875" i="50"/>
  <c r="F869" i="50"/>
  <c r="R869" i="50" s="1"/>
  <c r="AL154" i="50"/>
  <c r="AM154" i="50" s="1"/>
  <c r="N854" i="50"/>
  <c r="N144" i="50"/>
  <c r="T1225" i="50"/>
  <c r="X1092" i="50"/>
  <c r="Z1092" i="50"/>
  <c r="AF806" i="50"/>
  <c r="X1043" i="50"/>
  <c r="Z1043" i="50"/>
  <c r="AF813" i="50"/>
  <c r="X1078" i="50"/>
  <c r="Z1078" i="50"/>
  <c r="AD868" i="50"/>
  <c r="F995" i="50"/>
  <c r="R995" i="50" s="1"/>
  <c r="AL280" i="50"/>
  <c r="AM280" i="50" s="1"/>
  <c r="N1050" i="50"/>
  <c r="N340" i="50"/>
  <c r="P847" i="50"/>
  <c r="J736" i="50"/>
  <c r="J25" i="50"/>
  <c r="H26" i="72" s="1"/>
  <c r="H1071" i="50"/>
  <c r="H361" i="50"/>
  <c r="J1071" i="50"/>
  <c r="J361" i="50"/>
  <c r="F32" i="50"/>
  <c r="D6" i="72" s="1"/>
  <c r="AL27" i="50"/>
  <c r="V1064" i="50"/>
  <c r="V1127" i="50"/>
  <c r="AF897" i="50"/>
  <c r="V1162" i="50"/>
  <c r="V81" i="50"/>
  <c r="P1008" i="50"/>
  <c r="F931" i="50"/>
  <c r="F221" i="50"/>
  <c r="AL216" i="50"/>
  <c r="L931" i="50"/>
  <c r="L221" i="50"/>
  <c r="F1022" i="50"/>
  <c r="AL307" i="50"/>
  <c r="L1022" i="50"/>
  <c r="AL6" i="50"/>
  <c r="F11" i="50"/>
  <c r="L11" i="50"/>
  <c r="L12" i="50" s="1"/>
  <c r="AF876" i="50"/>
  <c r="X1148" i="50"/>
  <c r="X438" i="50"/>
  <c r="Z1148" i="50"/>
  <c r="Z438" i="50"/>
  <c r="X1099" i="50"/>
  <c r="Z1099" i="50"/>
  <c r="AD1246" i="50"/>
  <c r="AD536" i="50"/>
  <c r="X805" i="50"/>
  <c r="X95" i="50"/>
  <c r="Z805" i="50"/>
  <c r="Z95" i="50"/>
  <c r="AD728" i="50"/>
  <c r="AD18" i="50"/>
  <c r="Z4" i="72" s="1"/>
  <c r="F939" i="50"/>
  <c r="R939" i="50" s="1"/>
  <c r="AL224" i="50"/>
  <c r="AM224" i="50" s="1"/>
  <c r="F1121" i="50"/>
  <c r="N1120" i="50"/>
  <c r="H53" i="50"/>
  <c r="J53" i="50"/>
  <c r="P25" i="50"/>
  <c r="AF1408" i="50"/>
  <c r="AF1268" i="50"/>
  <c r="Z46" i="50"/>
  <c r="AF848" i="50"/>
  <c r="V1232" i="50"/>
  <c r="V1183" i="50"/>
  <c r="AF953" i="50"/>
  <c r="V1218" i="50"/>
  <c r="V508" i="50"/>
  <c r="V847" i="50"/>
  <c r="V137" i="50"/>
  <c r="F1295" i="50"/>
  <c r="F585" i="50"/>
  <c r="L1295" i="50"/>
  <c r="L585" i="50"/>
  <c r="F1232" i="50"/>
  <c r="AL517" i="50"/>
  <c r="AM517" i="50" s="1"/>
  <c r="L1232" i="50"/>
  <c r="P1239" i="50"/>
  <c r="P529" i="50"/>
  <c r="F1274" i="50"/>
  <c r="L1274" i="50"/>
  <c r="F1358" i="50"/>
  <c r="L1358" i="50"/>
  <c r="P1379" i="50"/>
  <c r="F1330" i="50"/>
  <c r="L1330" i="50"/>
  <c r="P1847" i="50"/>
  <c r="AO1852" i="50"/>
  <c r="J1847" i="50"/>
  <c r="H1847" i="50"/>
  <c r="F1847" i="50"/>
  <c r="L1847" i="50"/>
  <c r="N1847" i="50"/>
  <c r="AH1847" i="50"/>
  <c r="R2148" i="50"/>
  <c r="T2725" i="50"/>
  <c r="AB99" i="50"/>
  <c r="V99" i="50"/>
  <c r="V814" i="50" s="1"/>
  <c r="Z99" i="50"/>
  <c r="Z814" i="50" s="1"/>
  <c r="AD99" i="50"/>
  <c r="AD814" i="50" s="1"/>
  <c r="T99" i="50"/>
  <c r="T814" i="50" s="1"/>
  <c r="X99" i="50"/>
  <c r="X814" i="50" s="1"/>
  <c r="AN103" i="50"/>
  <c r="AH99" i="50"/>
  <c r="AF708" i="50"/>
  <c r="AB429" i="50"/>
  <c r="AB1144" i="50" s="1"/>
  <c r="Z429" i="50"/>
  <c r="Z1144" i="50" s="1"/>
  <c r="T429" i="50"/>
  <c r="T1144" i="50" s="1"/>
  <c r="AD429" i="50"/>
  <c r="AD1144" i="50" s="1"/>
  <c r="V429" i="50"/>
  <c r="V1144" i="50" s="1"/>
  <c r="X429" i="50"/>
  <c r="X1144" i="50" s="1"/>
  <c r="V723" i="50"/>
  <c r="AF807" i="50"/>
  <c r="AB596" i="50"/>
  <c r="AB1311" i="50" s="1"/>
  <c r="Z596" i="50"/>
  <c r="Z1311" i="50" s="1"/>
  <c r="AD596" i="50"/>
  <c r="AD1311" i="50" s="1"/>
  <c r="T596" i="50"/>
  <c r="T1311" i="50" s="1"/>
  <c r="V596" i="50"/>
  <c r="V1311" i="50" s="1"/>
  <c r="X596" i="50"/>
  <c r="X1311" i="50" s="1"/>
  <c r="AH596" i="50"/>
  <c r="AB477" i="50"/>
  <c r="Z477" i="50"/>
  <c r="Z1192" i="50" s="1"/>
  <c r="V477" i="50"/>
  <c r="V1192" i="50" s="1"/>
  <c r="T477" i="50"/>
  <c r="T1192" i="50" s="1"/>
  <c r="AD477" i="50"/>
  <c r="AD1192" i="50" s="1"/>
  <c r="X477" i="50"/>
  <c r="X1192" i="50" s="1"/>
  <c r="AH477" i="50"/>
  <c r="AF793" i="50"/>
  <c r="AB702" i="50"/>
  <c r="AB1417" i="50" s="1"/>
  <c r="Z702" i="50"/>
  <c r="Z1417" i="50" s="1"/>
  <c r="AD702" i="50"/>
  <c r="AD1417" i="50" s="1"/>
  <c r="T702" i="50"/>
  <c r="T1417" i="50" s="1"/>
  <c r="V702" i="50"/>
  <c r="V1417" i="50" s="1"/>
  <c r="X702" i="50"/>
  <c r="X1417" i="50" s="1"/>
  <c r="AH702" i="50"/>
  <c r="AB170" i="50"/>
  <c r="AB885" i="50" s="1"/>
  <c r="Z170" i="50"/>
  <c r="V170" i="50"/>
  <c r="V885" i="50" s="1"/>
  <c r="AD170" i="50"/>
  <c r="AD885" i="50" s="1"/>
  <c r="T170" i="50"/>
  <c r="T885" i="50" s="1"/>
  <c r="X170" i="50"/>
  <c r="AH170" i="50"/>
  <c r="AN173" i="50"/>
  <c r="AB331" i="50"/>
  <c r="AB1046" i="50" s="1"/>
  <c r="Z331" i="50"/>
  <c r="Z1046" i="50" s="1"/>
  <c r="V331" i="50"/>
  <c r="V1046" i="50" s="1"/>
  <c r="AD331" i="50"/>
  <c r="AD1046" i="50" s="1"/>
  <c r="T331" i="50"/>
  <c r="T1046" i="50" s="1"/>
  <c r="X331" i="50"/>
  <c r="X1046" i="50" s="1"/>
  <c r="AH331" i="50"/>
  <c r="F746" i="50"/>
  <c r="R746" i="50" s="1"/>
  <c r="AL31" i="50"/>
  <c r="AM31" i="50" s="1"/>
  <c r="F795" i="50"/>
  <c r="R795" i="50" s="1"/>
  <c r="AL80" i="50"/>
  <c r="AM80" i="50" s="1"/>
  <c r="L372" i="50"/>
  <c r="L1087" i="50" s="1"/>
  <c r="J372" i="50"/>
  <c r="J1087" i="50" s="1"/>
  <c r="P372" i="50"/>
  <c r="P1087" i="50" s="1"/>
  <c r="N372" i="50"/>
  <c r="N1087" i="50" s="1"/>
  <c r="H372" i="50"/>
  <c r="H1087" i="50" s="1"/>
  <c r="F372" i="50"/>
  <c r="AH372" i="50"/>
  <c r="F724" i="50"/>
  <c r="AL9" i="50"/>
  <c r="AM9" i="50" s="1"/>
  <c r="L724" i="50"/>
  <c r="L604" i="50"/>
  <c r="L1319" i="50" s="1"/>
  <c r="J604" i="50"/>
  <c r="J1319" i="50" s="1"/>
  <c r="P604" i="50"/>
  <c r="P1319" i="50" s="1"/>
  <c r="N604" i="50"/>
  <c r="N1319" i="50" s="1"/>
  <c r="F604" i="50"/>
  <c r="F1319" i="50" s="1"/>
  <c r="H604" i="50"/>
  <c r="H1319" i="50" s="1"/>
  <c r="AH604" i="50"/>
  <c r="F786" i="50"/>
  <c r="R786" i="50" s="1"/>
  <c r="AL71" i="50"/>
  <c r="AM71" i="50" s="1"/>
  <c r="L681" i="50"/>
  <c r="L1396" i="50" s="1"/>
  <c r="J681" i="50"/>
  <c r="J1396" i="50" s="1"/>
  <c r="P681" i="50"/>
  <c r="N681" i="50"/>
  <c r="N1396" i="50" s="1"/>
  <c r="F681" i="50"/>
  <c r="F1396" i="50" s="1"/>
  <c r="H681" i="50"/>
  <c r="H1396" i="50" s="1"/>
  <c r="AH681" i="50"/>
  <c r="L282" i="50"/>
  <c r="L997" i="50" s="1"/>
  <c r="J282" i="50"/>
  <c r="J997" i="50" s="1"/>
  <c r="P282" i="50"/>
  <c r="P997" i="50" s="1"/>
  <c r="N282" i="50"/>
  <c r="F282" i="50"/>
  <c r="H282" i="50"/>
  <c r="H997" i="50" s="1"/>
  <c r="AH282" i="50"/>
  <c r="AO285" i="50"/>
  <c r="L233" i="50"/>
  <c r="L948" i="50" s="1"/>
  <c r="J233" i="50"/>
  <c r="J948" i="50" s="1"/>
  <c r="P233" i="50"/>
  <c r="P948" i="50" s="1"/>
  <c r="N233" i="50"/>
  <c r="N948" i="50" s="1"/>
  <c r="F233" i="50"/>
  <c r="H233" i="50"/>
  <c r="H948" i="50" s="1"/>
  <c r="AH233" i="50"/>
  <c r="L568" i="50"/>
  <c r="L1283" i="50" s="1"/>
  <c r="J568" i="50"/>
  <c r="J1283" i="50" s="1"/>
  <c r="P568" i="50"/>
  <c r="P1283" i="50" s="1"/>
  <c r="N568" i="50"/>
  <c r="N1283" i="50" s="1"/>
  <c r="F568" i="50"/>
  <c r="H568" i="50"/>
  <c r="H1283" i="50" s="1"/>
  <c r="AH568" i="50"/>
  <c r="P3254" i="50"/>
  <c r="N1106" i="50"/>
  <c r="H1197" i="50"/>
  <c r="J1197" i="50"/>
  <c r="N1099" i="50"/>
  <c r="AF1233" i="50"/>
  <c r="T1141" i="50"/>
  <c r="AB1141" i="50"/>
  <c r="T980" i="50"/>
  <c r="AB980" i="50"/>
  <c r="V1386" i="50"/>
  <c r="T854" i="50"/>
  <c r="T144" i="50"/>
  <c r="AB854" i="50"/>
  <c r="AB144" i="50"/>
  <c r="V722" i="50"/>
  <c r="T882" i="50"/>
  <c r="AB882" i="50"/>
  <c r="V770" i="50"/>
  <c r="V60" i="50"/>
  <c r="F980" i="50"/>
  <c r="AL265" i="50"/>
  <c r="L980" i="50"/>
  <c r="P1162" i="50"/>
  <c r="P452" i="50"/>
  <c r="F1036" i="50"/>
  <c r="F326" i="50"/>
  <c r="AL321" i="50"/>
  <c r="L1036" i="50"/>
  <c r="L326" i="50"/>
  <c r="F945" i="50"/>
  <c r="AL230" i="50"/>
  <c r="L945" i="50"/>
  <c r="AF1261" i="50"/>
  <c r="T938" i="50"/>
  <c r="AB938" i="50"/>
  <c r="T1015" i="50"/>
  <c r="AB1015" i="50"/>
  <c r="T1050" i="50"/>
  <c r="AB1050" i="50"/>
  <c r="V840" i="50"/>
  <c r="V130" i="50"/>
  <c r="F868" i="50"/>
  <c r="AL153" i="50"/>
  <c r="L868" i="50"/>
  <c r="F974" i="50"/>
  <c r="R974" i="50" s="1"/>
  <c r="AL259" i="50"/>
  <c r="AM259" i="50" s="1"/>
  <c r="N819" i="50"/>
  <c r="F813" i="50"/>
  <c r="R813" i="50" s="1"/>
  <c r="AL98" i="50"/>
  <c r="AM98" i="50" s="1"/>
  <c r="P910" i="50"/>
  <c r="P200" i="50"/>
  <c r="F848" i="50"/>
  <c r="R848" i="50" s="1"/>
  <c r="AL133" i="50"/>
  <c r="AM133" i="50" s="1"/>
  <c r="P917" i="50"/>
  <c r="P207" i="50"/>
  <c r="AD1169" i="50"/>
  <c r="AD459" i="50"/>
  <c r="X1036" i="50"/>
  <c r="Z1036" i="50"/>
  <c r="X987" i="50"/>
  <c r="X277" i="50"/>
  <c r="Z987" i="50"/>
  <c r="Z277" i="50"/>
  <c r="X1134" i="50"/>
  <c r="Z1134" i="50"/>
  <c r="AD1372" i="50"/>
  <c r="AD2214" i="50" s="1"/>
  <c r="AD2928" i="50" s="1"/>
  <c r="X875" i="50"/>
  <c r="Z875" i="50"/>
  <c r="N1218" i="50"/>
  <c r="H812" i="50"/>
  <c r="H102" i="50"/>
  <c r="J812" i="50"/>
  <c r="J102" i="50"/>
  <c r="F1009" i="50"/>
  <c r="R1009" i="50" s="1"/>
  <c r="AL294" i="50"/>
  <c r="AM294" i="50" s="1"/>
  <c r="N994" i="50"/>
  <c r="H1057" i="50"/>
  <c r="P1057" i="50"/>
  <c r="V1113" i="50"/>
  <c r="AF1142" i="50"/>
  <c r="AD1057" i="50"/>
  <c r="X973" i="50"/>
  <c r="X263" i="50"/>
  <c r="Z973" i="50"/>
  <c r="Z263" i="50"/>
  <c r="AD1120" i="50"/>
  <c r="T1071" i="50"/>
  <c r="AD1106" i="50"/>
  <c r="X2929" i="50"/>
  <c r="V2929" i="50"/>
  <c r="N1281" i="50"/>
  <c r="N1365" i="50"/>
  <c r="H1316" i="50"/>
  <c r="J1316" i="50"/>
  <c r="N1225" i="50"/>
  <c r="H1267" i="50"/>
  <c r="H557" i="50"/>
  <c r="J1267" i="50"/>
  <c r="J557" i="50"/>
  <c r="N1246" i="50"/>
  <c r="AH1931" i="50"/>
  <c r="Z1931" i="50"/>
  <c r="T1931" i="50"/>
  <c r="X1931" i="50"/>
  <c r="AD1931" i="50"/>
  <c r="V1931" i="50"/>
  <c r="AB1931" i="50"/>
  <c r="P2243" i="50"/>
  <c r="P2957" i="50" s="1"/>
  <c r="P2959" i="50" s="1"/>
  <c r="AB2243" i="50"/>
  <c r="AB2957" i="50" s="1"/>
  <c r="AY233" i="49" a="1"/>
  <c r="AY233" i="49" s="1"/>
  <c r="H2243" i="50"/>
  <c r="H2957" i="50" s="1"/>
  <c r="Z2243" i="50"/>
  <c r="Z2957" i="50" s="1"/>
  <c r="AB2221" i="50"/>
  <c r="AB2935" i="50" s="1"/>
  <c r="F1038" i="50"/>
  <c r="R1038" i="50" s="1"/>
  <c r="V749" i="50"/>
  <c r="V39" i="50"/>
  <c r="R17" i="72" s="1"/>
  <c r="AF758" i="50"/>
  <c r="AF751" i="50"/>
  <c r="AF1003" i="50"/>
  <c r="AF1395" i="50"/>
  <c r="AF1024" i="50"/>
  <c r="AF1375" i="50"/>
  <c r="AF1353" i="50"/>
  <c r="P725" i="50"/>
  <c r="AF886" i="50"/>
  <c r="AF914" i="50"/>
  <c r="AF942" i="50"/>
  <c r="AF998" i="50"/>
  <c r="AF1026" i="50"/>
  <c r="AF1040" i="50"/>
  <c r="AF765" i="50"/>
  <c r="AF969" i="50"/>
  <c r="AF1018" i="50"/>
  <c r="AF849" i="50"/>
  <c r="AF1297" i="50"/>
  <c r="F844" i="50"/>
  <c r="R844" i="50" s="1"/>
  <c r="AL129" i="50"/>
  <c r="AM129" i="50" s="1"/>
  <c r="F921" i="50"/>
  <c r="R921" i="50" s="1"/>
  <c r="AL206" i="50"/>
  <c r="AM206" i="50" s="1"/>
  <c r="F984" i="50"/>
  <c r="R984" i="50" s="1"/>
  <c r="AL269" i="50"/>
  <c r="AM269" i="50" s="1"/>
  <c r="F1026" i="50"/>
  <c r="R1026" i="50" s="1"/>
  <c r="AL311" i="50"/>
  <c r="AM311" i="50" s="1"/>
  <c r="AF1061" i="50"/>
  <c r="F779" i="50"/>
  <c r="R779" i="50" s="1"/>
  <c r="AL64" i="50"/>
  <c r="AM64" i="50" s="1"/>
  <c r="AF788" i="50"/>
  <c r="F793" i="50"/>
  <c r="R793" i="50" s="1"/>
  <c r="AL78" i="50"/>
  <c r="AM78" i="50" s="1"/>
  <c r="F905" i="50"/>
  <c r="R905" i="50" s="1"/>
  <c r="F1017" i="50"/>
  <c r="R1017" i="50" s="1"/>
  <c r="F1129" i="50"/>
  <c r="R1129" i="50" s="1"/>
  <c r="AL414" i="50"/>
  <c r="AM414" i="50" s="1"/>
  <c r="N3040" i="50"/>
  <c r="F1141" i="50"/>
  <c r="AL426" i="50"/>
  <c r="L1141" i="50"/>
  <c r="F1092" i="50"/>
  <c r="AL377" i="50"/>
  <c r="L1092" i="50"/>
  <c r="F973" i="50"/>
  <c r="AL258" i="50"/>
  <c r="L973" i="50"/>
  <c r="V1337" i="50"/>
  <c r="AF1240" i="50"/>
  <c r="T1400" i="50"/>
  <c r="AB1400" i="50"/>
  <c r="T1316" i="50"/>
  <c r="AB1316" i="50"/>
  <c r="AF1030" i="50"/>
  <c r="AD1267" i="50"/>
  <c r="AB1267" i="50"/>
  <c r="T1302" i="50"/>
  <c r="AB1302" i="50"/>
  <c r="V861" i="50"/>
  <c r="T931" i="50"/>
  <c r="AB931" i="50"/>
  <c r="P840" i="50"/>
  <c r="P130" i="50"/>
  <c r="F1204" i="50"/>
  <c r="F494" i="50"/>
  <c r="AL489" i="50"/>
  <c r="AM489" i="50" s="1"/>
  <c r="L1204" i="50"/>
  <c r="L494" i="50"/>
  <c r="F1113" i="50"/>
  <c r="AL398" i="50"/>
  <c r="L1113" i="50"/>
  <c r="F938" i="50"/>
  <c r="AL223" i="50"/>
  <c r="L938" i="50"/>
  <c r="F833" i="50"/>
  <c r="AL118" i="50"/>
  <c r="L833" i="50"/>
  <c r="AF1324" i="50"/>
  <c r="AF1275" i="50"/>
  <c r="AD1288" i="50"/>
  <c r="X1351" i="50"/>
  <c r="Z1351" i="50"/>
  <c r="X1393" i="50"/>
  <c r="X683" i="50"/>
  <c r="Z1393" i="50"/>
  <c r="Z683" i="50"/>
  <c r="AD945" i="50"/>
  <c r="AD235" i="50"/>
  <c r="X742" i="50"/>
  <c r="X32" i="50"/>
  <c r="Z742" i="50"/>
  <c r="Z32" i="50"/>
  <c r="V6" i="72" s="1"/>
  <c r="H1176" i="50"/>
  <c r="H466" i="50"/>
  <c r="J1176" i="50"/>
  <c r="J466" i="50"/>
  <c r="N924" i="50"/>
  <c r="H88" i="50"/>
  <c r="J88" i="50"/>
  <c r="N1155" i="50"/>
  <c r="H805" i="50"/>
  <c r="H95" i="50"/>
  <c r="J805" i="50"/>
  <c r="J95" i="50"/>
  <c r="AF960" i="50"/>
  <c r="AD1365" i="50"/>
  <c r="AD655" i="50"/>
  <c r="T1379" i="50"/>
  <c r="X826" i="50"/>
  <c r="X116" i="50"/>
  <c r="Z826" i="50"/>
  <c r="Z116" i="50"/>
  <c r="T1323" i="50"/>
  <c r="AF757" i="50"/>
  <c r="X1022" i="50"/>
  <c r="X312" i="50"/>
  <c r="Z1022" i="50"/>
  <c r="Z312" i="50"/>
  <c r="AD924" i="50"/>
  <c r="H1183" i="50"/>
  <c r="J1183" i="50"/>
  <c r="N1015" i="50"/>
  <c r="F897" i="50"/>
  <c r="AL182" i="50"/>
  <c r="N882" i="50"/>
  <c r="N172" i="50"/>
  <c r="N1001" i="50"/>
  <c r="X1008" i="50"/>
  <c r="Z1008" i="50"/>
  <c r="X966" i="50"/>
  <c r="Z966" i="50"/>
  <c r="X896" i="50"/>
  <c r="Z896" i="50"/>
  <c r="N1351" i="50"/>
  <c r="H1302" i="50"/>
  <c r="J1302" i="50"/>
  <c r="N1169" i="50"/>
  <c r="F1309" i="50"/>
  <c r="J1309" i="50"/>
  <c r="N1386" i="50"/>
  <c r="H1400" i="50"/>
  <c r="J1400" i="50"/>
  <c r="N1372" i="50"/>
  <c r="N2214" i="50" s="1"/>
  <c r="N662" i="50"/>
  <c r="J1849" i="50"/>
  <c r="H1849" i="50"/>
  <c r="L1849" i="50"/>
  <c r="P1849" i="50"/>
  <c r="F1849" i="50"/>
  <c r="N1849" i="50"/>
  <c r="AH1849" i="50"/>
  <c r="R2150" i="50"/>
  <c r="AH472" i="50"/>
  <c r="F472" i="50"/>
  <c r="F473" i="50" s="1"/>
  <c r="H472" i="50"/>
  <c r="H1187" i="50" s="1"/>
  <c r="L472" i="50"/>
  <c r="L1187" i="50" s="1"/>
  <c r="P472" i="50"/>
  <c r="P1187" i="50" s="1"/>
  <c r="J472" i="50"/>
  <c r="J1187" i="50" s="1"/>
  <c r="N472" i="50"/>
  <c r="N1187" i="50" s="1"/>
  <c r="AB267" i="50"/>
  <c r="AB982" i="50" s="1"/>
  <c r="V267" i="50"/>
  <c r="V982" i="50" s="1"/>
  <c r="Z267" i="50"/>
  <c r="AD267" i="50"/>
  <c r="AD982" i="50" s="1"/>
  <c r="T267" i="50"/>
  <c r="T982" i="50" s="1"/>
  <c r="X267" i="50"/>
  <c r="X982" i="50" s="1"/>
  <c r="AN271" i="50"/>
  <c r="AB120" i="50"/>
  <c r="AB835" i="50" s="1"/>
  <c r="Z120" i="50"/>
  <c r="Z835" i="50" s="1"/>
  <c r="V120" i="50"/>
  <c r="V835" i="50" s="1"/>
  <c r="AD120" i="50"/>
  <c r="T120" i="50"/>
  <c r="T835" i="50" s="1"/>
  <c r="X120" i="50"/>
  <c r="X835" i="50" s="1"/>
  <c r="AN124" i="50"/>
  <c r="AB624" i="50"/>
  <c r="Z624" i="50"/>
  <c r="Z1339" i="50" s="1"/>
  <c r="AD624" i="50"/>
  <c r="AD1339" i="50" s="1"/>
  <c r="V624" i="50"/>
  <c r="V1339" i="50" s="1"/>
  <c r="T624" i="50"/>
  <c r="X624" i="50"/>
  <c r="X1339" i="50" s="1"/>
  <c r="AH624" i="50"/>
  <c r="V724" i="50"/>
  <c r="AB253" i="50"/>
  <c r="AB968" i="50" s="1"/>
  <c r="V253" i="50"/>
  <c r="V968" i="50" s="1"/>
  <c r="Z253" i="50"/>
  <c r="Z968" i="50" s="1"/>
  <c r="AD253" i="50"/>
  <c r="AD968" i="50" s="1"/>
  <c r="T253" i="50"/>
  <c r="X253" i="50"/>
  <c r="X968" i="50" s="1"/>
  <c r="AN257" i="50"/>
  <c r="AH253" i="50"/>
  <c r="AB632" i="50"/>
  <c r="Z632" i="50"/>
  <c r="Z1347" i="50" s="1"/>
  <c r="V632" i="50"/>
  <c r="V1347" i="50" s="1"/>
  <c r="T632" i="50"/>
  <c r="T1347" i="50" s="1"/>
  <c r="AD632" i="50"/>
  <c r="AD1347" i="50" s="1"/>
  <c r="X632" i="50"/>
  <c r="X1347" i="50" s="1"/>
  <c r="AB610" i="50"/>
  <c r="AB1325" i="50" s="1"/>
  <c r="Z610" i="50"/>
  <c r="Z1325" i="50" s="1"/>
  <c r="V610" i="50"/>
  <c r="AD610" i="50"/>
  <c r="AD1325" i="50" s="1"/>
  <c r="T610" i="50"/>
  <c r="T1325" i="50" s="1"/>
  <c r="X610" i="50"/>
  <c r="X1325" i="50" s="1"/>
  <c r="AH610" i="50"/>
  <c r="AB100" i="50"/>
  <c r="AB815" i="50" s="1"/>
  <c r="Z100" i="50"/>
  <c r="Z815" i="50" s="1"/>
  <c r="V100" i="50"/>
  <c r="V815" i="50" s="1"/>
  <c r="T100" i="50"/>
  <c r="AD100" i="50"/>
  <c r="AD815" i="50" s="1"/>
  <c r="X100" i="50"/>
  <c r="X815" i="50" s="1"/>
  <c r="AH100" i="50"/>
  <c r="AB191" i="50"/>
  <c r="Z191" i="50"/>
  <c r="Z906" i="50" s="1"/>
  <c r="V191" i="50"/>
  <c r="V906" i="50" s="1"/>
  <c r="T191" i="50"/>
  <c r="T906" i="50" s="1"/>
  <c r="AD191" i="50"/>
  <c r="X191" i="50"/>
  <c r="X906" i="50" s="1"/>
  <c r="AB338" i="50"/>
  <c r="AB1053" i="50" s="1"/>
  <c r="Z338" i="50"/>
  <c r="Z1053" i="50" s="1"/>
  <c r="V338" i="50"/>
  <c r="AD338" i="50"/>
  <c r="AD1053" i="50" s="1"/>
  <c r="T338" i="50"/>
  <c r="T1053" i="50" s="1"/>
  <c r="X338" i="50"/>
  <c r="X1053" i="50" s="1"/>
  <c r="AH338" i="50"/>
  <c r="AB576" i="50"/>
  <c r="AB1291" i="50" s="1"/>
  <c r="Z576" i="50"/>
  <c r="Z1291" i="50" s="1"/>
  <c r="V576" i="50"/>
  <c r="V1291" i="50" s="1"/>
  <c r="T576" i="50"/>
  <c r="AD576" i="50"/>
  <c r="AD1291" i="50" s="1"/>
  <c r="X576" i="50"/>
  <c r="X1291" i="50" s="1"/>
  <c r="H723" i="50"/>
  <c r="L723" i="50"/>
  <c r="L400" i="50"/>
  <c r="L1115" i="50" s="1"/>
  <c r="J400" i="50"/>
  <c r="J1115" i="50" s="1"/>
  <c r="P400" i="50"/>
  <c r="P1115" i="50" s="1"/>
  <c r="N400" i="50"/>
  <c r="N1115" i="50" s="1"/>
  <c r="H400" i="50"/>
  <c r="H1115" i="50" s="1"/>
  <c r="F400" i="50"/>
  <c r="F403" i="50" s="1"/>
  <c r="AH400" i="50"/>
  <c r="L429" i="50"/>
  <c r="L1144" i="50" s="1"/>
  <c r="J429" i="50"/>
  <c r="J1144" i="50" s="1"/>
  <c r="P429" i="50"/>
  <c r="P1144" i="50" s="1"/>
  <c r="N429" i="50"/>
  <c r="N1144" i="50" s="1"/>
  <c r="F429" i="50"/>
  <c r="H429" i="50"/>
  <c r="H1144" i="50" s="1"/>
  <c r="AH429" i="50"/>
  <c r="L632" i="50"/>
  <c r="L1347" i="50" s="1"/>
  <c r="J632" i="50"/>
  <c r="P632" i="50"/>
  <c r="P1347" i="50" s="1"/>
  <c r="N632" i="50"/>
  <c r="N1347" i="50" s="1"/>
  <c r="F632" i="50"/>
  <c r="F1347" i="50" s="1"/>
  <c r="H632" i="50"/>
  <c r="AH632" i="50"/>
  <c r="L407" i="50"/>
  <c r="L1122" i="50" s="1"/>
  <c r="J407" i="50"/>
  <c r="J1122" i="50" s="1"/>
  <c r="P407" i="50"/>
  <c r="P1122" i="50" s="1"/>
  <c r="N407" i="50"/>
  <c r="N1122" i="50" s="1"/>
  <c r="F407" i="50"/>
  <c r="H407" i="50"/>
  <c r="H1122" i="50" s="1"/>
  <c r="AH407" i="50"/>
  <c r="F794" i="50"/>
  <c r="R794" i="50" s="1"/>
  <c r="AL79" i="50"/>
  <c r="AM79" i="50" s="1"/>
  <c r="L310" i="50"/>
  <c r="L1025" i="50" s="1"/>
  <c r="J310" i="50"/>
  <c r="P310" i="50"/>
  <c r="P1025" i="50" s="1"/>
  <c r="N310" i="50"/>
  <c r="N1025" i="50" s="1"/>
  <c r="F310" i="50"/>
  <c r="H310" i="50"/>
  <c r="H1025" i="50" s="1"/>
  <c r="AH310" i="50"/>
  <c r="AO313" i="50"/>
  <c r="L267" i="50"/>
  <c r="J267" i="50"/>
  <c r="J982" i="50" s="1"/>
  <c r="P267" i="50"/>
  <c r="P982" i="50" s="1"/>
  <c r="N267" i="50"/>
  <c r="N982" i="50" s="1"/>
  <c r="F267" i="50"/>
  <c r="H267" i="50"/>
  <c r="H982" i="50" s="1"/>
  <c r="AH267" i="50"/>
  <c r="AO271" i="50"/>
  <c r="F759" i="50"/>
  <c r="R759" i="50" s="1"/>
  <c r="AL44" i="50"/>
  <c r="AM44" i="50" s="1"/>
  <c r="AF2421" i="50"/>
  <c r="V3460" i="50"/>
  <c r="AF2254" i="50"/>
  <c r="H1134" i="50"/>
  <c r="J1134" i="50"/>
  <c r="J424" i="50"/>
  <c r="H966" i="50"/>
  <c r="J966" i="50"/>
  <c r="H861" i="50"/>
  <c r="H151" i="50"/>
  <c r="J861" i="50"/>
  <c r="J151" i="50"/>
  <c r="F60" i="50"/>
  <c r="AL55" i="50"/>
  <c r="X1309" i="50"/>
  <c r="Z1309" i="50"/>
  <c r="AD1204" i="50"/>
  <c r="AD1155" i="50"/>
  <c r="AD1190" i="50"/>
  <c r="X735" i="50"/>
  <c r="X25" i="50"/>
  <c r="Z735" i="50"/>
  <c r="Z25" i="50"/>
  <c r="AD819" i="50"/>
  <c r="F855" i="50"/>
  <c r="R855" i="50" s="1"/>
  <c r="AL140" i="50"/>
  <c r="AM140" i="50" s="1"/>
  <c r="F841" i="50"/>
  <c r="R841" i="50" s="1"/>
  <c r="AL126" i="50"/>
  <c r="AM126" i="50" s="1"/>
  <c r="N826" i="50"/>
  <c r="N116" i="50"/>
  <c r="X1029" i="50"/>
  <c r="X319" i="50"/>
  <c r="AB1029" i="50"/>
  <c r="AB319" i="50"/>
  <c r="V1281" i="50"/>
  <c r="T1197" i="50"/>
  <c r="T487" i="50"/>
  <c r="AB1197" i="50"/>
  <c r="AB487" i="50"/>
  <c r="V1176" i="50"/>
  <c r="V1239" i="50"/>
  <c r="V529" i="50"/>
  <c r="AF1009" i="50"/>
  <c r="V1274" i="50"/>
  <c r="T833" i="50"/>
  <c r="AB833" i="50"/>
  <c r="V903" i="50"/>
  <c r="F1086" i="50"/>
  <c r="R1086" i="50" s="1"/>
  <c r="AL371" i="50"/>
  <c r="P1085" i="50"/>
  <c r="F1148" i="50"/>
  <c r="AL433" i="50"/>
  <c r="L1148" i="50"/>
  <c r="F1043" i="50"/>
  <c r="AL328" i="50"/>
  <c r="L1043" i="50"/>
  <c r="P18" i="50"/>
  <c r="N4" i="72" s="1"/>
  <c r="T910" i="50"/>
  <c r="AB910" i="50"/>
  <c r="AF1254" i="50"/>
  <c r="V1085" i="50"/>
  <c r="T1260" i="50"/>
  <c r="AB1260" i="50"/>
  <c r="AF974" i="50"/>
  <c r="AD1211" i="50"/>
  <c r="AB1211" i="50"/>
  <c r="T1358" i="50"/>
  <c r="AB1358" i="50"/>
  <c r="V917" i="50"/>
  <c r="F896" i="50"/>
  <c r="AL181" i="50"/>
  <c r="L896" i="50"/>
  <c r="F903" i="50"/>
  <c r="AL188" i="50"/>
  <c r="L903" i="50"/>
  <c r="F820" i="50"/>
  <c r="R820" i="50" s="1"/>
  <c r="AL105" i="50"/>
  <c r="AM105" i="50" s="1"/>
  <c r="P889" i="50"/>
  <c r="P179" i="50"/>
  <c r="T1001" i="50"/>
  <c r="AB1001" i="50"/>
  <c r="AB291" i="50"/>
  <c r="T1253" i="50"/>
  <c r="AB1253" i="50"/>
  <c r="AF1338" i="50"/>
  <c r="X1295" i="50"/>
  <c r="X585" i="50"/>
  <c r="Z1295" i="50"/>
  <c r="X1330" i="50"/>
  <c r="Z1330" i="50"/>
  <c r="AD994" i="50"/>
  <c r="AD284" i="50"/>
  <c r="X959" i="50"/>
  <c r="X249" i="50"/>
  <c r="Z959" i="50"/>
  <c r="Z249" i="50"/>
  <c r="N1288" i="50"/>
  <c r="H1344" i="50"/>
  <c r="J1344" i="50"/>
  <c r="N1323" i="50"/>
  <c r="N613" i="50"/>
  <c r="H1260" i="50"/>
  <c r="J1260" i="50"/>
  <c r="N1253" i="50"/>
  <c r="F1337" i="50"/>
  <c r="F627" i="50"/>
  <c r="J1337" i="50"/>
  <c r="J627" i="50"/>
  <c r="H2065" i="50"/>
  <c r="AH2065" i="50"/>
  <c r="F2065" i="50"/>
  <c r="P2065" i="50"/>
  <c r="J2065" i="50"/>
  <c r="L2065" i="50"/>
  <c r="N2065" i="50"/>
  <c r="L1190" i="50"/>
  <c r="L480" i="50"/>
  <c r="X2565" i="50"/>
  <c r="X1851" i="50"/>
  <c r="X1852" i="50" s="1"/>
  <c r="V2779" i="50"/>
  <c r="V3493" i="50" s="1"/>
  <c r="AD2779" i="50"/>
  <c r="AD3493" i="50" s="1"/>
  <c r="Z2549" i="50"/>
  <c r="Z3263" i="50" s="1"/>
  <c r="X2549" i="50"/>
  <c r="X3263" i="50" s="1"/>
  <c r="X2716" i="50"/>
  <c r="X3430" i="50" s="1"/>
  <c r="F781" i="50"/>
  <c r="R781" i="50" s="1"/>
  <c r="AL66" i="50"/>
  <c r="AM66" i="50" s="1"/>
  <c r="X2500" i="50"/>
  <c r="X3214" i="50" s="1"/>
  <c r="X1788" i="50"/>
  <c r="X1789" i="50" s="1"/>
  <c r="AL1785" i="50"/>
  <c r="V2625" i="50"/>
  <c r="Z2456" i="50"/>
  <c r="Z3170" i="50" s="1"/>
  <c r="Z2367" i="50"/>
  <c r="Z1655" i="50"/>
  <c r="Z1656" i="50" s="1"/>
  <c r="F722" i="50"/>
  <c r="AL7" i="50"/>
  <c r="AM7" i="50" s="1"/>
  <c r="L722" i="50"/>
  <c r="V763" i="50"/>
  <c r="V53" i="50"/>
  <c r="T784" i="50"/>
  <c r="T74" i="50"/>
  <c r="T75" i="50" s="1"/>
  <c r="AB784" i="50"/>
  <c r="AB74" i="50"/>
  <c r="N791" i="50"/>
  <c r="N81" i="50"/>
  <c r="J2789" i="50"/>
  <c r="J3503" i="50" s="1"/>
  <c r="L2789" i="50"/>
  <c r="L3503" i="50" s="1"/>
  <c r="AB2654" i="50"/>
  <c r="AB3368" i="50" s="1"/>
  <c r="P2485" i="50"/>
  <c r="P3199" i="50" s="1"/>
  <c r="F2485" i="50"/>
  <c r="F3199" i="50" s="1"/>
  <c r="AL1770" i="50"/>
  <c r="L2572" i="50"/>
  <c r="L3286" i="50" s="1"/>
  <c r="F956" i="50"/>
  <c r="R956" i="50" s="1"/>
  <c r="AL241" i="50"/>
  <c r="AM241" i="50" s="1"/>
  <c r="H2942" i="50"/>
  <c r="AF1263" i="50"/>
  <c r="F962" i="50"/>
  <c r="R962" i="50" s="1"/>
  <c r="AL247" i="50"/>
  <c r="F998" i="50"/>
  <c r="R998" i="50" s="1"/>
  <c r="AL283" i="50"/>
  <c r="AM283" i="50" s="1"/>
  <c r="F934" i="50"/>
  <c r="F899" i="50"/>
  <c r="R899" i="50" s="1"/>
  <c r="X798" i="50"/>
  <c r="X88" i="50"/>
  <c r="Z798" i="50"/>
  <c r="Z88" i="50"/>
  <c r="F823" i="50"/>
  <c r="R823" i="50" s="1"/>
  <c r="AL108" i="50"/>
  <c r="AM108" i="50" s="1"/>
  <c r="P3220" i="50"/>
  <c r="R3220" i="50" s="1"/>
  <c r="F3215" i="50"/>
  <c r="AD2411" i="50"/>
  <c r="AD3125" i="50" s="1"/>
  <c r="AF3346" i="50"/>
  <c r="AF3067" i="50"/>
  <c r="AF1255" i="50"/>
  <c r="F886" i="50"/>
  <c r="R886" i="50" s="1"/>
  <c r="AL171" i="50"/>
  <c r="AM171" i="50" s="1"/>
  <c r="AF1088" i="50"/>
  <c r="F3316" i="50"/>
  <c r="X2809" i="50"/>
  <c r="X3523" i="50" s="1"/>
  <c r="AB2759" i="50"/>
  <c r="AB3473" i="50" s="1"/>
  <c r="T2759" i="50"/>
  <c r="J2675" i="50"/>
  <c r="J3389" i="50" s="1"/>
  <c r="X2850" i="50"/>
  <c r="X3564" i="50" s="1"/>
  <c r="X3568" i="50" s="1"/>
  <c r="T2850" i="50"/>
  <c r="T3564" i="50" s="1"/>
  <c r="Z2640" i="50"/>
  <c r="Z3354" i="50" s="1"/>
  <c r="F830" i="50"/>
  <c r="R830" i="50" s="1"/>
  <c r="AL115" i="50"/>
  <c r="AM115" i="50" s="1"/>
  <c r="N3516" i="50"/>
  <c r="R3516" i="50" s="1"/>
  <c r="V2486" i="50"/>
  <c r="V3200" i="50" s="1"/>
  <c r="AL1771" i="50"/>
  <c r="AM1771" i="50" s="1"/>
  <c r="V1774" i="50"/>
  <c r="V1775" i="50" s="1"/>
  <c r="BU158" i="49"/>
  <c r="F1031" i="50"/>
  <c r="R1031" i="50" s="1"/>
  <c r="AL316" i="50"/>
  <c r="AM316" i="50" s="1"/>
  <c r="F814" i="50"/>
  <c r="R814" i="50" s="1"/>
  <c r="F1117" i="50"/>
  <c r="R1117" i="50" s="1"/>
  <c r="AL402" i="50"/>
  <c r="AM402" i="50" s="1"/>
  <c r="N1078" i="50"/>
  <c r="T721" i="50"/>
  <c r="T11" i="50"/>
  <c r="T12" i="50" s="1"/>
  <c r="AB721" i="50"/>
  <c r="AB11" i="50"/>
  <c r="AB12" i="50" s="1"/>
  <c r="H1229" i="50"/>
  <c r="R3227" i="50"/>
  <c r="AD2991" i="50"/>
  <c r="AF2991" i="50" s="1"/>
  <c r="AD2942" i="50"/>
  <c r="J2768" i="50"/>
  <c r="J3482" i="50" s="1"/>
  <c r="J3484" i="50" s="1"/>
  <c r="X2782" i="50"/>
  <c r="X3496" i="50" s="1"/>
  <c r="AF3093" i="50"/>
  <c r="H2966" i="50"/>
  <c r="R2962" i="50"/>
  <c r="R3555" i="50"/>
  <c r="H3561" i="50"/>
  <c r="AF3233" i="50"/>
  <c r="R3138" i="50"/>
  <c r="AF3478" i="50"/>
  <c r="R3188" i="50"/>
  <c r="AD3340" i="50"/>
  <c r="Z2950" i="50"/>
  <c r="Z1662" i="50"/>
  <c r="Z1663" i="50" s="1"/>
  <c r="Z2376" i="50"/>
  <c r="Z3090" i="50" s="1"/>
  <c r="Z3092" i="50" s="1"/>
  <c r="J46" i="50"/>
  <c r="R2912" i="50"/>
  <c r="R3299" i="50"/>
  <c r="AF3107" i="50"/>
  <c r="R2920" i="50"/>
  <c r="AF3429" i="50"/>
  <c r="AF3104" i="50"/>
  <c r="R3481" i="50"/>
  <c r="R3544" i="50"/>
  <c r="V1145" i="50"/>
  <c r="N1229" i="50"/>
  <c r="AF3520" i="50"/>
  <c r="X3397" i="50"/>
  <c r="X3400" i="50" s="1"/>
  <c r="AD2768" i="50"/>
  <c r="AD3482" i="50" s="1"/>
  <c r="AD3484" i="50" s="1"/>
  <c r="R3363" i="50"/>
  <c r="J3351" i="50"/>
  <c r="R3214" i="50"/>
  <c r="AF3283" i="50"/>
  <c r="AF3394" i="50"/>
  <c r="J3085" i="50"/>
  <c r="AF3327" i="50"/>
  <c r="F1142" i="50"/>
  <c r="R1142" i="50" s="1"/>
  <c r="AL427" i="50"/>
  <c r="AM427" i="50" s="1"/>
  <c r="F1198" i="50"/>
  <c r="R1198" i="50" s="1"/>
  <c r="AL483" i="50"/>
  <c r="AM483" i="50" s="1"/>
  <c r="R1254" i="50"/>
  <c r="R1310" i="50"/>
  <c r="R1366" i="50"/>
  <c r="P2929" i="50"/>
  <c r="F1156" i="50"/>
  <c r="R1156" i="50" s="1"/>
  <c r="F1212" i="50"/>
  <c r="R1212" i="50" s="1"/>
  <c r="R1268" i="50"/>
  <c r="R1324" i="50"/>
  <c r="R1380" i="50"/>
  <c r="O26" i="49"/>
  <c r="X791" i="50" s="1"/>
  <c r="F1163" i="50"/>
  <c r="R1163" i="50" s="1"/>
  <c r="AL448" i="50"/>
  <c r="AM448" i="50" s="1"/>
  <c r="F1219" i="50"/>
  <c r="R1219" i="50" s="1"/>
  <c r="AL504" i="50"/>
  <c r="AM504" i="50" s="1"/>
  <c r="R1275" i="50"/>
  <c r="R1331" i="50"/>
  <c r="R1387" i="50"/>
  <c r="AF1198" i="50"/>
  <c r="J3325" i="50"/>
  <c r="AF752" i="50"/>
  <c r="X725" i="50"/>
  <c r="Z725" i="50"/>
  <c r="AF1033" i="50"/>
  <c r="F1179" i="50"/>
  <c r="R1179" i="50" s="1"/>
  <c r="AL464" i="50"/>
  <c r="AM464" i="50" s="1"/>
  <c r="F738" i="50"/>
  <c r="R738" i="50" s="1"/>
  <c r="AL23" i="50"/>
  <c r="AM23" i="50" s="1"/>
  <c r="F856" i="50"/>
  <c r="R856" i="50" s="1"/>
  <c r="AL141" i="50"/>
  <c r="F968" i="50"/>
  <c r="R968" i="50" s="1"/>
  <c r="F1080" i="50"/>
  <c r="R1080" i="50" s="1"/>
  <c r="AL365" i="50"/>
  <c r="F1213" i="50"/>
  <c r="R1213" i="50" s="1"/>
  <c r="F1192" i="50"/>
  <c r="R1192" i="50" s="1"/>
  <c r="F1234" i="50"/>
  <c r="R1234" i="50" s="1"/>
  <c r="F1165" i="50"/>
  <c r="F1053" i="50"/>
  <c r="R1053" i="50" s="1"/>
  <c r="F729" i="50"/>
  <c r="AL14" i="50"/>
  <c r="AM14" i="50" s="1"/>
  <c r="F857" i="50"/>
  <c r="AL142" i="50"/>
  <c r="AM142" i="50" s="1"/>
  <c r="F730" i="50"/>
  <c r="R730" i="50" s="1"/>
  <c r="AL15" i="50"/>
  <c r="AM15" i="50" s="1"/>
  <c r="F1178" i="50"/>
  <c r="R1178" i="50" s="1"/>
  <c r="F836" i="50"/>
  <c r="AL121" i="50"/>
  <c r="AM121" i="50" s="1"/>
  <c r="F955" i="50"/>
  <c r="R955" i="50" s="1"/>
  <c r="AL240" i="50"/>
  <c r="P784" i="50"/>
  <c r="P74" i="50"/>
  <c r="F918" i="50"/>
  <c r="R918" i="50" s="1"/>
  <c r="N875" i="50"/>
  <c r="P854" i="50"/>
  <c r="P144" i="50"/>
  <c r="F792" i="50"/>
  <c r="R792" i="50" s="1"/>
  <c r="AL77" i="50"/>
  <c r="AM77" i="50" s="1"/>
  <c r="V1225" i="50"/>
  <c r="T1092" i="50"/>
  <c r="AB1092" i="50"/>
  <c r="AD1043" i="50"/>
  <c r="AB1043" i="50"/>
  <c r="T1078" i="50"/>
  <c r="AB1078" i="50"/>
  <c r="V868" i="50"/>
  <c r="P1050" i="50"/>
  <c r="P340" i="50"/>
  <c r="F890" i="50"/>
  <c r="R890" i="50" s="1"/>
  <c r="AL175" i="50"/>
  <c r="AM175" i="50" s="1"/>
  <c r="N847" i="50"/>
  <c r="F736" i="50"/>
  <c r="AL21" i="50"/>
  <c r="AM21" i="50" s="1"/>
  <c r="F1071" i="50"/>
  <c r="AL356" i="50"/>
  <c r="F361" i="50"/>
  <c r="L1071" i="50"/>
  <c r="L361" i="50"/>
  <c r="P32" i="50"/>
  <c r="N15" i="72" s="1"/>
  <c r="Z1064" i="50"/>
  <c r="X1127" i="50"/>
  <c r="X417" i="50"/>
  <c r="Z1127" i="50"/>
  <c r="X1162" i="50"/>
  <c r="Z1162" i="50"/>
  <c r="AD952" i="50"/>
  <c r="X81" i="50"/>
  <c r="Z81" i="50"/>
  <c r="H1008" i="50"/>
  <c r="J1008" i="50"/>
  <c r="N931" i="50"/>
  <c r="N221" i="50"/>
  <c r="F925" i="50"/>
  <c r="R925" i="50" s="1"/>
  <c r="AL210" i="50"/>
  <c r="AM210" i="50" s="1"/>
  <c r="N1022" i="50"/>
  <c r="N11" i="50"/>
  <c r="N12" i="50" s="1"/>
  <c r="T1148" i="50"/>
  <c r="T438" i="50"/>
  <c r="AB1148" i="50"/>
  <c r="AB438" i="50"/>
  <c r="T1099" i="50"/>
  <c r="AB1099" i="50"/>
  <c r="V1246" i="50"/>
  <c r="V536" i="50"/>
  <c r="T805" i="50"/>
  <c r="T95" i="50"/>
  <c r="AB805" i="50"/>
  <c r="AB95" i="50"/>
  <c r="V728" i="50"/>
  <c r="V18" i="50"/>
  <c r="R4" i="72" s="1"/>
  <c r="P1120" i="50"/>
  <c r="F53" i="50"/>
  <c r="AL48" i="50"/>
  <c r="L53" i="50"/>
  <c r="T54" i="50" s="1"/>
  <c r="Q10" i="72" s="1"/>
  <c r="N25" i="50"/>
  <c r="X46" i="50"/>
  <c r="V756" i="50"/>
  <c r="V46" i="50"/>
  <c r="W8" i="72" s="1"/>
  <c r="X1232" i="50"/>
  <c r="Z1232" i="50"/>
  <c r="X1183" i="50"/>
  <c r="Z1183" i="50"/>
  <c r="X1218" i="50"/>
  <c r="X508" i="50"/>
  <c r="Z1218" i="50"/>
  <c r="Z508" i="50"/>
  <c r="AD889" i="50"/>
  <c r="X847" i="50"/>
  <c r="X137" i="50"/>
  <c r="Z847" i="50"/>
  <c r="Z137" i="50"/>
  <c r="N1295" i="50"/>
  <c r="N585" i="50"/>
  <c r="N1232" i="50"/>
  <c r="H1239" i="50"/>
  <c r="H529" i="50"/>
  <c r="J1239" i="50"/>
  <c r="J529" i="50"/>
  <c r="N1274" i="50"/>
  <c r="N1358" i="50"/>
  <c r="H1379" i="50"/>
  <c r="J1379" i="50"/>
  <c r="N1330" i="50"/>
  <c r="V1250" i="50"/>
  <c r="Z1250" i="50"/>
  <c r="AD1250" i="50"/>
  <c r="X1250" i="50"/>
  <c r="T1250" i="50"/>
  <c r="AB1250" i="50"/>
  <c r="J416" i="50"/>
  <c r="J1131" i="50" s="1"/>
  <c r="N416" i="50"/>
  <c r="N1131" i="50" s="1"/>
  <c r="F416" i="50"/>
  <c r="AH416" i="50"/>
  <c r="L416" i="50"/>
  <c r="L1131" i="50" s="1"/>
  <c r="P416" i="50"/>
  <c r="P1131" i="50" s="1"/>
  <c r="H416" i="50"/>
  <c r="H1131" i="50" s="1"/>
  <c r="AB295" i="50"/>
  <c r="AB1010" i="50" s="1"/>
  <c r="V295" i="50"/>
  <c r="V1010" i="50" s="1"/>
  <c r="Z295" i="50"/>
  <c r="Z1010" i="50" s="1"/>
  <c r="AD295" i="50"/>
  <c r="AD1010" i="50" s="1"/>
  <c r="T295" i="50"/>
  <c r="X295" i="50"/>
  <c r="X1010" i="50" s="1"/>
  <c r="AN299" i="50"/>
  <c r="X723" i="50"/>
  <c r="Z723" i="50"/>
  <c r="AB148" i="50"/>
  <c r="AB863" i="50" s="1"/>
  <c r="Z148" i="50"/>
  <c r="Z863" i="50" s="1"/>
  <c r="V148" i="50"/>
  <c r="V863" i="50" s="1"/>
  <c r="AD148" i="50"/>
  <c r="T148" i="50"/>
  <c r="T863" i="50" s="1"/>
  <c r="X148" i="50"/>
  <c r="X863" i="50" s="1"/>
  <c r="AH148" i="50"/>
  <c r="AN152" i="50"/>
  <c r="AB422" i="50"/>
  <c r="AB1137" i="50" s="1"/>
  <c r="Z422" i="50"/>
  <c r="Z1137" i="50" s="1"/>
  <c r="V422" i="50"/>
  <c r="V1137" i="50" s="1"/>
  <c r="AD422" i="50"/>
  <c r="T422" i="50"/>
  <c r="T1137" i="50" s="1"/>
  <c r="X422" i="50"/>
  <c r="X1137" i="50" s="1"/>
  <c r="AH422" i="50"/>
  <c r="AB673" i="50"/>
  <c r="V673" i="50"/>
  <c r="V1388" i="50" s="1"/>
  <c r="T673" i="50"/>
  <c r="T1388" i="50" s="1"/>
  <c r="Z673" i="50"/>
  <c r="Z1388" i="50" s="1"/>
  <c r="AD673" i="50"/>
  <c r="X673" i="50"/>
  <c r="X1388" i="50" s="1"/>
  <c r="AH673" i="50"/>
  <c r="AB302" i="50"/>
  <c r="AB1017" i="50" s="1"/>
  <c r="Z302" i="50"/>
  <c r="V302" i="50"/>
  <c r="V1017" i="50" s="1"/>
  <c r="AD302" i="50"/>
  <c r="AD1017" i="50" s="1"/>
  <c r="T302" i="50"/>
  <c r="T1017" i="50" s="1"/>
  <c r="X302" i="50"/>
  <c r="AH302" i="50"/>
  <c r="AN306" i="50"/>
  <c r="AB184" i="50"/>
  <c r="AB899" i="50" s="1"/>
  <c r="Z184" i="50"/>
  <c r="Z899" i="50" s="1"/>
  <c r="V184" i="50"/>
  <c r="V899" i="50" s="1"/>
  <c r="T184" i="50"/>
  <c r="T899" i="50" s="1"/>
  <c r="AD184" i="50"/>
  <c r="AD899" i="50" s="1"/>
  <c r="X184" i="50"/>
  <c r="X899" i="50" s="1"/>
  <c r="AN187" i="50"/>
  <c r="AH184" i="50"/>
  <c r="AB380" i="50"/>
  <c r="AB1095" i="50" s="1"/>
  <c r="Z380" i="50"/>
  <c r="Z1095" i="50" s="1"/>
  <c r="V380" i="50"/>
  <c r="V1095" i="50" s="1"/>
  <c r="AD380" i="50"/>
  <c r="AD1095" i="50" s="1"/>
  <c r="T380" i="50"/>
  <c r="T1095" i="50" s="1"/>
  <c r="X380" i="50"/>
  <c r="X1095" i="50" s="1"/>
  <c r="L120" i="50"/>
  <c r="L835" i="50" s="1"/>
  <c r="J120" i="50"/>
  <c r="J835" i="50" s="1"/>
  <c r="P120" i="50"/>
  <c r="N120" i="50"/>
  <c r="N835" i="50" s="1"/>
  <c r="H120" i="50"/>
  <c r="H835" i="50" s="1"/>
  <c r="F120" i="50"/>
  <c r="F123" i="50" s="1"/>
  <c r="AH120" i="50"/>
  <c r="AO124" i="50"/>
  <c r="R708" i="50"/>
  <c r="L505" i="50"/>
  <c r="L1220" i="50" s="1"/>
  <c r="P505" i="50"/>
  <c r="J505" i="50"/>
  <c r="J1220" i="50" s="1"/>
  <c r="N505" i="50"/>
  <c r="N1220" i="50" s="1"/>
  <c r="F505" i="50"/>
  <c r="H505" i="50"/>
  <c r="AH505" i="50"/>
  <c r="N724" i="50"/>
  <c r="L457" i="50"/>
  <c r="L1172" i="50" s="1"/>
  <c r="J457" i="50"/>
  <c r="P457" i="50"/>
  <c r="P1172" i="50" s="1"/>
  <c r="N457" i="50"/>
  <c r="N1172" i="50" s="1"/>
  <c r="F457" i="50"/>
  <c r="H457" i="50"/>
  <c r="AH457" i="50"/>
  <c r="L639" i="50"/>
  <c r="L1354" i="50" s="1"/>
  <c r="J639" i="50"/>
  <c r="J1354" i="50" s="1"/>
  <c r="P639" i="50"/>
  <c r="N639" i="50"/>
  <c r="N1354" i="50" s="1"/>
  <c r="F639" i="50"/>
  <c r="F1354" i="50" s="1"/>
  <c r="H639" i="50"/>
  <c r="H1354" i="50" s="1"/>
  <c r="AH639" i="50"/>
  <c r="F765" i="50"/>
  <c r="R765" i="50" s="1"/>
  <c r="AL50" i="50"/>
  <c r="AM50" i="50" s="1"/>
  <c r="L295" i="50"/>
  <c r="L1010" i="50" s="1"/>
  <c r="J295" i="50"/>
  <c r="J1010" i="50" s="1"/>
  <c r="P295" i="50"/>
  <c r="P1010" i="50" s="1"/>
  <c r="N295" i="50"/>
  <c r="N1010" i="50" s="1"/>
  <c r="F295" i="50"/>
  <c r="F298" i="50" s="1"/>
  <c r="H295" i="50"/>
  <c r="H1010" i="50" s="1"/>
  <c r="AH295" i="50"/>
  <c r="AO299" i="50"/>
  <c r="J107" i="50"/>
  <c r="J822" i="50" s="1"/>
  <c r="L107" i="50"/>
  <c r="P107" i="50"/>
  <c r="P822" i="50" s="1"/>
  <c r="N107" i="50"/>
  <c r="N822" i="50" s="1"/>
  <c r="F107" i="50"/>
  <c r="F109" i="50" s="1"/>
  <c r="H107" i="50"/>
  <c r="H822" i="50" s="1"/>
  <c r="AH107" i="50"/>
  <c r="AO110" i="50"/>
  <c r="L352" i="50"/>
  <c r="L1067" i="50" s="1"/>
  <c r="J352" i="50"/>
  <c r="J1067" i="50" s="1"/>
  <c r="P352" i="50"/>
  <c r="P1067" i="50" s="1"/>
  <c r="N352" i="50"/>
  <c r="N1067" i="50" s="1"/>
  <c r="F352" i="50"/>
  <c r="H352" i="50"/>
  <c r="AH352" i="50"/>
  <c r="L289" i="50"/>
  <c r="L1004" i="50" s="1"/>
  <c r="J289" i="50"/>
  <c r="J1004" i="50" s="1"/>
  <c r="P289" i="50"/>
  <c r="P1004" i="50" s="1"/>
  <c r="N289" i="50"/>
  <c r="N1004" i="50" s="1"/>
  <c r="F289" i="50"/>
  <c r="H289" i="50"/>
  <c r="H1004" i="50" s="1"/>
  <c r="AH289" i="50"/>
  <c r="P1106" i="50"/>
  <c r="F1197" i="50"/>
  <c r="AL482" i="50"/>
  <c r="AM482" i="50" s="1"/>
  <c r="L1197" i="50"/>
  <c r="AL62" i="50"/>
  <c r="F1128" i="50"/>
  <c r="R1128" i="50" s="1"/>
  <c r="AL413" i="50"/>
  <c r="AM413" i="50" s="1"/>
  <c r="P1099" i="50"/>
  <c r="P389" i="50"/>
  <c r="F319" i="50"/>
  <c r="J1029" i="50"/>
  <c r="J319" i="50"/>
  <c r="AD1141" i="50"/>
  <c r="AD980" i="50"/>
  <c r="X1386" i="50"/>
  <c r="Z1386" i="50"/>
  <c r="AD854" i="50"/>
  <c r="AD144" i="50"/>
  <c r="X722" i="50"/>
  <c r="Z722" i="50"/>
  <c r="AD882" i="50"/>
  <c r="X770" i="50"/>
  <c r="X60" i="50"/>
  <c r="Z770" i="50"/>
  <c r="Z60" i="50"/>
  <c r="N980" i="50"/>
  <c r="H1162" i="50"/>
  <c r="J1162" i="50"/>
  <c r="J452" i="50"/>
  <c r="F1065" i="50"/>
  <c r="R1065" i="50" s="1"/>
  <c r="AL350" i="50"/>
  <c r="AM350" i="50" s="1"/>
  <c r="N1036" i="50"/>
  <c r="N326" i="50"/>
  <c r="N945" i="50"/>
  <c r="AD938" i="50"/>
  <c r="AD1015" i="50"/>
  <c r="AD1050" i="50"/>
  <c r="X840" i="50"/>
  <c r="X130" i="50"/>
  <c r="Z840" i="50"/>
  <c r="Z130" i="50"/>
  <c r="N868" i="50"/>
  <c r="F1051" i="50"/>
  <c r="R1051" i="50" s="1"/>
  <c r="AL336" i="50"/>
  <c r="AM336" i="50" s="1"/>
  <c r="H819" i="50"/>
  <c r="J819" i="50"/>
  <c r="H910" i="50"/>
  <c r="H200" i="50"/>
  <c r="J910" i="50"/>
  <c r="J200" i="50"/>
  <c r="H917" i="50"/>
  <c r="H207" i="50"/>
  <c r="J917" i="50"/>
  <c r="J207" i="50"/>
  <c r="T1064" i="50"/>
  <c r="AF995" i="50"/>
  <c r="V1169" i="50"/>
  <c r="V459" i="50"/>
  <c r="T1036" i="50"/>
  <c r="AB1036" i="50"/>
  <c r="T987" i="50"/>
  <c r="T277" i="50"/>
  <c r="AB987" i="50"/>
  <c r="AB277" i="50"/>
  <c r="T1134" i="50"/>
  <c r="AB1134" i="50"/>
  <c r="V1372" i="50"/>
  <c r="V2214" i="50" s="1"/>
  <c r="T875" i="50"/>
  <c r="AB875" i="50"/>
  <c r="F812" i="50"/>
  <c r="F102" i="50"/>
  <c r="L812" i="50"/>
  <c r="L102" i="50"/>
  <c r="P994" i="50"/>
  <c r="P1127" i="50"/>
  <c r="F1057" i="50"/>
  <c r="AL342" i="50"/>
  <c r="J1057" i="50"/>
  <c r="X1113" i="50"/>
  <c r="Z1113" i="50"/>
  <c r="V1057" i="50"/>
  <c r="T973" i="50"/>
  <c r="T263" i="50"/>
  <c r="AB973" i="50"/>
  <c r="AB263" i="50"/>
  <c r="V1120" i="50"/>
  <c r="V410" i="50"/>
  <c r="AF834" i="50"/>
  <c r="V1071" i="50"/>
  <c r="AF841" i="50"/>
  <c r="V1106" i="50"/>
  <c r="T2215" i="50"/>
  <c r="AF1373" i="50"/>
  <c r="P1281" i="50"/>
  <c r="R1414" i="50"/>
  <c r="P1365" i="50"/>
  <c r="F1316" i="50"/>
  <c r="L1316" i="50"/>
  <c r="P1225" i="50"/>
  <c r="F1267" i="50"/>
  <c r="F557" i="50"/>
  <c r="L1267" i="50"/>
  <c r="L557" i="50"/>
  <c r="P1246" i="50"/>
  <c r="L2527" i="50"/>
  <c r="L1816" i="50"/>
  <c r="L1817" i="50" s="1"/>
  <c r="F2747" i="50"/>
  <c r="F2033" i="50"/>
  <c r="F2034" i="50" s="1"/>
  <c r="AD2221" i="50"/>
  <c r="AD2935" i="50" s="1"/>
  <c r="X2508" i="50"/>
  <c r="X1795" i="50"/>
  <c r="X749" i="50"/>
  <c r="X39" i="50"/>
  <c r="Z749" i="50"/>
  <c r="Z39" i="50"/>
  <c r="V7" i="72" s="1"/>
  <c r="H725" i="50"/>
  <c r="J725" i="50"/>
  <c r="F1151" i="50"/>
  <c r="R1151" i="50" s="1"/>
  <c r="AL436" i="50"/>
  <c r="F1193" i="50"/>
  <c r="R1193" i="50" s="1"/>
  <c r="AL478" i="50"/>
  <c r="AM478" i="50" s="1"/>
  <c r="F828" i="50"/>
  <c r="AL113" i="50"/>
  <c r="F940" i="50"/>
  <c r="R940" i="50" s="1"/>
  <c r="F1052" i="50"/>
  <c r="AL337" i="50"/>
  <c r="AM337" i="50" s="1"/>
  <c r="F1164" i="50"/>
  <c r="F1214" i="50"/>
  <c r="R1214" i="50" s="1"/>
  <c r="AL499" i="50"/>
  <c r="F1102" i="50"/>
  <c r="F766" i="50"/>
  <c r="R766" i="50" s="1"/>
  <c r="AL51" i="50"/>
  <c r="AM51" i="50" s="1"/>
  <c r="F1130" i="50"/>
  <c r="R1130" i="50" s="1"/>
  <c r="AL415" i="50"/>
  <c r="AM415" i="50" s="1"/>
  <c r="F745" i="50"/>
  <c r="R745" i="50" s="1"/>
  <c r="AL30" i="50"/>
  <c r="AM30" i="50" s="1"/>
  <c r="F885" i="50"/>
  <c r="R885" i="50" s="1"/>
  <c r="F1066" i="50"/>
  <c r="R1066" i="50" s="1"/>
  <c r="F1235" i="50"/>
  <c r="R1235" i="50" s="1"/>
  <c r="AL520" i="50"/>
  <c r="AM520" i="50" s="1"/>
  <c r="F864" i="50"/>
  <c r="R864" i="50" s="1"/>
  <c r="F983" i="50"/>
  <c r="R983" i="50" s="1"/>
  <c r="AL268" i="50"/>
  <c r="AM268" i="50" s="1"/>
  <c r="F871" i="50"/>
  <c r="R871" i="50" s="1"/>
  <c r="F827" i="50"/>
  <c r="R827" i="50" s="1"/>
  <c r="AL112" i="50"/>
  <c r="AM112" i="50" s="1"/>
  <c r="N1141" i="50"/>
  <c r="F1093" i="50"/>
  <c r="R1093" i="50" s="1"/>
  <c r="AL378" i="50"/>
  <c r="AM378" i="50" s="1"/>
  <c r="N1092" i="50"/>
  <c r="N973" i="50"/>
  <c r="X1337" i="50"/>
  <c r="Z1337" i="50"/>
  <c r="AD1400" i="50"/>
  <c r="AD1316" i="50"/>
  <c r="T1267" i="50"/>
  <c r="AD1302" i="50"/>
  <c r="X861" i="50"/>
  <c r="Z861" i="50"/>
  <c r="AD931" i="50"/>
  <c r="H840" i="50"/>
  <c r="H130" i="50"/>
  <c r="J840" i="50"/>
  <c r="J130" i="50"/>
  <c r="N1204" i="50"/>
  <c r="N494" i="50"/>
  <c r="N1113" i="50"/>
  <c r="F953" i="50"/>
  <c r="R953" i="50" s="1"/>
  <c r="AL238" i="50"/>
  <c r="AM238" i="50" s="1"/>
  <c r="N938" i="50"/>
  <c r="P833" i="50"/>
  <c r="V1288" i="50"/>
  <c r="AD1351" i="50"/>
  <c r="AB1351" i="50"/>
  <c r="AD1393" i="50"/>
  <c r="AD683" i="50"/>
  <c r="AB1393" i="50"/>
  <c r="AB683" i="50"/>
  <c r="V945" i="50"/>
  <c r="V235" i="50"/>
  <c r="V742" i="50"/>
  <c r="V32" i="50"/>
  <c r="AB742" i="50"/>
  <c r="AB32" i="50"/>
  <c r="X6" i="72" s="1"/>
  <c r="F1176" i="50"/>
  <c r="F466" i="50"/>
  <c r="L1176" i="50"/>
  <c r="L466" i="50"/>
  <c r="P924" i="50"/>
  <c r="F862" i="50"/>
  <c r="R862" i="50" s="1"/>
  <c r="AL147" i="50"/>
  <c r="AM147" i="50" s="1"/>
  <c r="N88" i="50"/>
  <c r="L88" i="50"/>
  <c r="P1155" i="50"/>
  <c r="F805" i="50"/>
  <c r="AL90" i="50"/>
  <c r="F95" i="50"/>
  <c r="L805" i="50"/>
  <c r="L95" i="50"/>
  <c r="V1365" i="50"/>
  <c r="V655" i="50"/>
  <c r="V1379" i="50"/>
  <c r="T826" i="50"/>
  <c r="T116" i="50"/>
  <c r="AB826" i="50"/>
  <c r="AB116" i="50"/>
  <c r="T1022" i="50"/>
  <c r="T312" i="50"/>
  <c r="AB1022" i="50"/>
  <c r="AB312" i="50"/>
  <c r="V924" i="50"/>
  <c r="F1183" i="50"/>
  <c r="AL468" i="50"/>
  <c r="L1183" i="50"/>
  <c r="P1015" i="50"/>
  <c r="P882" i="50"/>
  <c r="P172" i="50"/>
  <c r="F932" i="50"/>
  <c r="R932" i="50" s="1"/>
  <c r="AL217" i="50"/>
  <c r="AM217" i="50" s="1"/>
  <c r="P1001" i="50"/>
  <c r="T1008" i="50"/>
  <c r="AB1008" i="50"/>
  <c r="T966" i="50"/>
  <c r="AB966" i="50"/>
  <c r="T896" i="50"/>
  <c r="AB896" i="50"/>
  <c r="P1351" i="50"/>
  <c r="F1302" i="50"/>
  <c r="L1302" i="50"/>
  <c r="J1169" i="50"/>
  <c r="H1309" i="50"/>
  <c r="L1309" i="50"/>
  <c r="P1386" i="50"/>
  <c r="F1400" i="50"/>
  <c r="L1400" i="50"/>
  <c r="L690" i="50"/>
  <c r="P1372" i="50"/>
  <c r="P2214" i="50" s="1"/>
  <c r="P662" i="50"/>
  <c r="N1801" i="50"/>
  <c r="P1801" i="50"/>
  <c r="L1801" i="50"/>
  <c r="J1801" i="50"/>
  <c r="H1801" i="50"/>
  <c r="AO1803" i="50"/>
  <c r="F1801" i="50"/>
  <c r="F1802" i="50" s="1"/>
  <c r="AH1801" i="50"/>
  <c r="R2151" i="50"/>
  <c r="Z233" i="49" a="1"/>
  <c r="Z233" i="49" s="1"/>
  <c r="AB323" i="50"/>
  <c r="AB1038" i="50" s="1"/>
  <c r="V323" i="50"/>
  <c r="Z323" i="50"/>
  <c r="Z1038" i="50" s="1"/>
  <c r="AD323" i="50"/>
  <c r="AD1038" i="50" s="1"/>
  <c r="T323" i="50"/>
  <c r="T1038" i="50" s="1"/>
  <c r="X323" i="50"/>
  <c r="X1038" i="50" s="1"/>
  <c r="AH323" i="50"/>
  <c r="AB176" i="50"/>
  <c r="AB891" i="50" s="1"/>
  <c r="Z176" i="50"/>
  <c r="Z891" i="50" s="1"/>
  <c r="V176" i="50"/>
  <c r="V891" i="50" s="1"/>
  <c r="AD176" i="50"/>
  <c r="AD891" i="50" s="1"/>
  <c r="T176" i="50"/>
  <c r="T891" i="50" s="1"/>
  <c r="X176" i="50"/>
  <c r="X891" i="50" s="1"/>
  <c r="AH176" i="50"/>
  <c r="AN180" i="50"/>
  <c r="X724" i="50"/>
  <c r="Z724" i="50"/>
  <c r="AB449" i="50"/>
  <c r="V449" i="50"/>
  <c r="V1164" i="50" s="1"/>
  <c r="Z449" i="50"/>
  <c r="Z1164" i="50" s="1"/>
  <c r="T449" i="50"/>
  <c r="T1164" i="50" s="1"/>
  <c r="AD449" i="50"/>
  <c r="AD1164" i="50" s="1"/>
  <c r="X449" i="50"/>
  <c r="X1164" i="50" s="1"/>
  <c r="AH449" i="50"/>
  <c r="AB190" i="50"/>
  <c r="AB905" i="50" s="1"/>
  <c r="Z190" i="50"/>
  <c r="Z905" i="50" s="1"/>
  <c r="V190" i="50"/>
  <c r="V905" i="50" s="1"/>
  <c r="AD190" i="50"/>
  <c r="AD905" i="50" s="1"/>
  <c r="T190" i="50"/>
  <c r="T905" i="50" s="1"/>
  <c r="X190" i="50"/>
  <c r="X905" i="50" s="1"/>
  <c r="AH190" i="50"/>
  <c r="AN194" i="50"/>
  <c r="AB695" i="50"/>
  <c r="AB1410" i="50" s="1"/>
  <c r="V695" i="50"/>
  <c r="V1410" i="50" s="1"/>
  <c r="Z695" i="50"/>
  <c r="Z1410" i="50" s="1"/>
  <c r="T695" i="50"/>
  <c r="T1410" i="50" s="1"/>
  <c r="AD695" i="50"/>
  <c r="AD1410" i="50" s="1"/>
  <c r="X695" i="50"/>
  <c r="X1410" i="50" s="1"/>
  <c r="AB149" i="50"/>
  <c r="AB864" i="50" s="1"/>
  <c r="Z149" i="50"/>
  <c r="Z864" i="50" s="1"/>
  <c r="AD149" i="50"/>
  <c r="AD864" i="50" s="1"/>
  <c r="T149" i="50"/>
  <c r="T864" i="50" s="1"/>
  <c r="V149" i="50"/>
  <c r="V864" i="50" s="1"/>
  <c r="X149" i="50"/>
  <c r="X864" i="50" s="1"/>
  <c r="AH149" i="50"/>
  <c r="AB205" i="50"/>
  <c r="AB920" i="50" s="1"/>
  <c r="Z205" i="50"/>
  <c r="Z920" i="50" s="1"/>
  <c r="AD205" i="50"/>
  <c r="AD920" i="50" s="1"/>
  <c r="T205" i="50"/>
  <c r="T920" i="50" s="1"/>
  <c r="V205" i="50"/>
  <c r="X205" i="50"/>
  <c r="X920" i="50" s="1"/>
  <c r="AH205" i="50"/>
  <c r="AB387" i="50"/>
  <c r="AB1102" i="50" s="1"/>
  <c r="Z387" i="50"/>
  <c r="Z1102" i="50" s="1"/>
  <c r="V387" i="50"/>
  <c r="V1102" i="50" s="1"/>
  <c r="T387" i="50"/>
  <c r="T1102" i="50" s="1"/>
  <c r="AD387" i="50"/>
  <c r="AD1102" i="50" s="1"/>
  <c r="X387" i="50"/>
  <c r="X1102" i="50" s="1"/>
  <c r="AH387" i="50"/>
  <c r="F809" i="50"/>
  <c r="R809" i="50" s="1"/>
  <c r="AL94" i="50"/>
  <c r="AM94" i="50" s="1"/>
  <c r="N723" i="50"/>
  <c r="F807" i="50"/>
  <c r="R807" i="50" s="1"/>
  <c r="AL92" i="50"/>
  <c r="AM92" i="50" s="1"/>
  <c r="L533" i="50"/>
  <c r="L1248" i="50" s="1"/>
  <c r="J533" i="50"/>
  <c r="P533" i="50"/>
  <c r="P1248" i="50" s="1"/>
  <c r="N533" i="50"/>
  <c r="N1248" i="50" s="1"/>
  <c r="F533" i="50"/>
  <c r="F1248" i="50" s="1"/>
  <c r="H533" i="50"/>
  <c r="H1248" i="50" s="1"/>
  <c r="AH533" i="50"/>
  <c r="F731" i="50"/>
  <c r="R731" i="50" s="1"/>
  <c r="AL16" i="50"/>
  <c r="AM16" i="50" s="1"/>
  <c r="L506" i="50"/>
  <c r="L1221" i="50" s="1"/>
  <c r="J506" i="50"/>
  <c r="J1221" i="50" s="1"/>
  <c r="P506" i="50"/>
  <c r="P1221" i="50" s="1"/>
  <c r="N506" i="50"/>
  <c r="N1221" i="50" s="1"/>
  <c r="F506" i="50"/>
  <c r="H506" i="50"/>
  <c r="H1221" i="50" s="1"/>
  <c r="AH506" i="50"/>
  <c r="L667" i="50"/>
  <c r="L1382" i="50" s="1"/>
  <c r="J667" i="50"/>
  <c r="J1382" i="50" s="1"/>
  <c r="P667" i="50"/>
  <c r="P1382" i="50" s="1"/>
  <c r="N667" i="50"/>
  <c r="N1382" i="50" s="1"/>
  <c r="F667" i="50"/>
  <c r="F1382" i="50" s="1"/>
  <c r="H667" i="50"/>
  <c r="H1382" i="50" s="1"/>
  <c r="AH667" i="50"/>
  <c r="L652" i="50"/>
  <c r="L1367" i="50" s="1"/>
  <c r="J652" i="50"/>
  <c r="J1367" i="50" s="1"/>
  <c r="P652" i="50"/>
  <c r="P1367" i="50" s="1"/>
  <c r="N652" i="50"/>
  <c r="N1367" i="50" s="1"/>
  <c r="F652" i="50"/>
  <c r="F1367" i="50" s="1"/>
  <c r="H652" i="50"/>
  <c r="H1367" i="50" s="1"/>
  <c r="AH652" i="50"/>
  <c r="L135" i="50"/>
  <c r="L850" i="50" s="1"/>
  <c r="J135" i="50"/>
  <c r="J850" i="50" s="1"/>
  <c r="P135" i="50"/>
  <c r="P850" i="50" s="1"/>
  <c r="N135" i="50"/>
  <c r="N850" i="50" s="1"/>
  <c r="F135" i="50"/>
  <c r="F137" i="50" s="1"/>
  <c r="H135" i="50"/>
  <c r="H850" i="50" s="1"/>
  <c r="AH135" i="50"/>
  <c r="AO138" i="50"/>
  <c r="L380" i="50"/>
  <c r="L1095" i="50" s="1"/>
  <c r="J380" i="50"/>
  <c r="J1095" i="50" s="1"/>
  <c r="P380" i="50"/>
  <c r="P1095" i="50" s="1"/>
  <c r="N380" i="50"/>
  <c r="N1095" i="50" s="1"/>
  <c r="F380" i="50"/>
  <c r="H380" i="50"/>
  <c r="H1095" i="50" s="1"/>
  <c r="AH380" i="50"/>
  <c r="F752" i="50"/>
  <c r="R752" i="50" s="1"/>
  <c r="AL37" i="50"/>
  <c r="AM37" i="50" s="1"/>
  <c r="L373" i="50"/>
  <c r="L1088" i="50" s="1"/>
  <c r="J373" i="50"/>
  <c r="J1088" i="50" s="1"/>
  <c r="P373" i="50"/>
  <c r="P1088" i="50" s="1"/>
  <c r="N373" i="50"/>
  <c r="N1088" i="50" s="1"/>
  <c r="F373" i="50"/>
  <c r="H373" i="50"/>
  <c r="H1088" i="50" s="1"/>
  <c r="AH373" i="50"/>
  <c r="AD2682" i="50"/>
  <c r="AF2682" i="50" s="1"/>
  <c r="AD1970" i="50"/>
  <c r="AD1971" i="50" s="1"/>
  <c r="AF2365" i="50"/>
  <c r="F1134" i="50"/>
  <c r="AL419" i="50"/>
  <c r="F424" i="50"/>
  <c r="L1134" i="50"/>
  <c r="L424" i="50"/>
  <c r="L987" i="50"/>
  <c r="L277" i="50"/>
  <c r="F966" i="50"/>
  <c r="AL251" i="50"/>
  <c r="L966" i="50"/>
  <c r="F861" i="50"/>
  <c r="F151" i="50"/>
  <c r="AL146" i="50"/>
  <c r="L861" i="50"/>
  <c r="L151" i="50"/>
  <c r="N60" i="50"/>
  <c r="T1309" i="50"/>
  <c r="AB1309" i="50"/>
  <c r="V1204" i="50"/>
  <c r="V1155" i="50"/>
  <c r="V1190" i="50"/>
  <c r="AB735" i="50"/>
  <c r="AB25" i="50"/>
  <c r="V819" i="50"/>
  <c r="F1002" i="50"/>
  <c r="R1002" i="50" s="1"/>
  <c r="AL287" i="50"/>
  <c r="AM287" i="50" s="1"/>
  <c r="P959" i="50"/>
  <c r="P249" i="50"/>
  <c r="P826" i="50"/>
  <c r="P116" i="50"/>
  <c r="F757" i="50"/>
  <c r="R757" i="50" s="1"/>
  <c r="AL42" i="50"/>
  <c r="AM42" i="50" s="1"/>
  <c r="AD1029" i="50"/>
  <c r="AD319" i="50"/>
  <c r="X1281" i="50"/>
  <c r="Z1281" i="50"/>
  <c r="AD1197" i="50"/>
  <c r="AD487" i="50"/>
  <c r="X1176" i="50"/>
  <c r="X1239" i="50"/>
  <c r="X529" i="50"/>
  <c r="Z1239" i="50"/>
  <c r="Z529" i="50"/>
  <c r="X1274" i="50"/>
  <c r="Z1274" i="50"/>
  <c r="AD833" i="50"/>
  <c r="X903" i="50"/>
  <c r="Z903" i="50"/>
  <c r="F799" i="50"/>
  <c r="R799" i="50" s="1"/>
  <c r="AL84" i="50"/>
  <c r="AM84" i="50" s="1"/>
  <c r="H1085" i="50"/>
  <c r="J1085" i="50"/>
  <c r="N1148" i="50"/>
  <c r="N1043" i="50"/>
  <c r="N333" i="50"/>
  <c r="H18" i="50"/>
  <c r="F4" i="72" s="1"/>
  <c r="J18" i="50"/>
  <c r="H4" i="72" s="1"/>
  <c r="AD910" i="50"/>
  <c r="X1085" i="50"/>
  <c r="Z1085" i="50"/>
  <c r="AD1260" i="50"/>
  <c r="T1211" i="50"/>
  <c r="AD1358" i="50"/>
  <c r="X917" i="50"/>
  <c r="Z917" i="50"/>
  <c r="N896" i="50"/>
  <c r="N903" i="50"/>
  <c r="H889" i="50"/>
  <c r="H179" i="50"/>
  <c r="J889" i="50"/>
  <c r="J179" i="50"/>
  <c r="AD1001" i="50"/>
  <c r="AD291" i="50"/>
  <c r="AD1253" i="50"/>
  <c r="AD1295" i="50"/>
  <c r="AB1295" i="50"/>
  <c r="AB585" i="50"/>
  <c r="V994" i="50"/>
  <c r="V284" i="50"/>
  <c r="T959" i="50"/>
  <c r="AB959" i="50"/>
  <c r="AB249" i="50"/>
  <c r="P1288" i="50"/>
  <c r="F1344" i="50"/>
  <c r="L1344" i="50"/>
  <c r="P1323" i="50"/>
  <c r="P613" i="50"/>
  <c r="F1260" i="50"/>
  <c r="F550" i="50"/>
  <c r="L1260" i="50"/>
  <c r="L550" i="50"/>
  <c r="P1253" i="50"/>
  <c r="H1337" i="50"/>
  <c r="H627" i="50"/>
  <c r="L1337" i="50"/>
  <c r="L627" i="50"/>
  <c r="AF2190" i="50"/>
  <c r="AB2779" i="50"/>
  <c r="AB3493" i="50" s="1"/>
  <c r="T2779" i="50"/>
  <c r="T3493" i="50" s="1"/>
  <c r="AD2549" i="50"/>
  <c r="AD3263" i="50" s="1"/>
  <c r="V2716" i="50"/>
  <c r="V3430" i="50" s="1"/>
  <c r="V3435" i="50" s="1"/>
  <c r="V2005" i="50"/>
  <c r="V2006" i="50" s="1"/>
  <c r="T2716" i="50"/>
  <c r="F949" i="50"/>
  <c r="R949" i="50" s="1"/>
  <c r="AL234" i="50"/>
  <c r="AM234" i="50" s="1"/>
  <c r="V3135" i="50"/>
  <c r="Z2500" i="50"/>
  <c r="Z3214" i="50" s="1"/>
  <c r="Z3218" i="50" s="1"/>
  <c r="Z1788" i="50"/>
  <c r="Z1789" i="50" s="1"/>
  <c r="AB2625" i="50"/>
  <c r="AB3339" i="50" s="1"/>
  <c r="V2456" i="50"/>
  <c r="F1040" i="50"/>
  <c r="R1040" i="50" s="1"/>
  <c r="AL325" i="50"/>
  <c r="AM325" i="50" s="1"/>
  <c r="F1047" i="50"/>
  <c r="R1047" i="50" s="1"/>
  <c r="AL332" i="50"/>
  <c r="AM332" i="50" s="1"/>
  <c r="F914" i="50"/>
  <c r="R914" i="50" s="1"/>
  <c r="AL199" i="50"/>
  <c r="AM199" i="50" s="1"/>
  <c r="N722" i="50"/>
  <c r="X763" i="50"/>
  <c r="X53" i="50"/>
  <c r="Z763" i="50"/>
  <c r="Z53" i="50"/>
  <c r="AD784" i="50"/>
  <c r="AD74" i="50"/>
  <c r="H791" i="50"/>
  <c r="H81" i="50"/>
  <c r="J791" i="50"/>
  <c r="J81" i="50"/>
  <c r="P2789" i="50"/>
  <c r="P3503" i="50" s="1"/>
  <c r="Z2654" i="50"/>
  <c r="Z3368" i="50" s="1"/>
  <c r="T2654" i="50"/>
  <c r="T3368" i="50" s="1"/>
  <c r="AL1939" i="50"/>
  <c r="AM1939" i="50" s="1"/>
  <c r="H2485" i="50"/>
  <c r="H3199" i="50" s="1"/>
  <c r="F2572" i="50"/>
  <c r="J3046" i="50"/>
  <c r="F893" i="50"/>
  <c r="R893" i="50" s="1"/>
  <c r="AL178" i="50"/>
  <c r="AM178" i="50" s="1"/>
  <c r="J2243" i="50"/>
  <c r="J2957" i="50" s="1"/>
  <c r="J1529" i="50"/>
  <c r="J1530" i="50" s="1"/>
  <c r="AD3363" i="50"/>
  <c r="F1079" i="50"/>
  <c r="R1079" i="50" s="1"/>
  <c r="T798" i="50"/>
  <c r="T88" i="50"/>
  <c r="AB798" i="50"/>
  <c r="AB88" i="50"/>
  <c r="F2768" i="50"/>
  <c r="F3482" i="50" s="1"/>
  <c r="F2054" i="50"/>
  <c r="F2055" i="50" s="1"/>
  <c r="F1082" i="50"/>
  <c r="R1082" i="50" s="1"/>
  <c r="L3234" i="50"/>
  <c r="V2411" i="50"/>
  <c r="AL1696" i="50"/>
  <c r="V1697" i="50"/>
  <c r="V1698" i="50" s="1"/>
  <c r="F1089" i="50"/>
  <c r="R1089" i="50" s="1"/>
  <c r="AL374" i="50"/>
  <c r="AM374" i="50" s="1"/>
  <c r="AF3313" i="50"/>
  <c r="F1094" i="50"/>
  <c r="R1094" i="50" s="1"/>
  <c r="AL379" i="50"/>
  <c r="AM379" i="50" s="1"/>
  <c r="AD2809" i="50"/>
  <c r="AD3523" i="50" s="1"/>
  <c r="AB2809" i="50"/>
  <c r="AB3523" i="50" s="1"/>
  <c r="V2759" i="50"/>
  <c r="V3473" i="50" s="1"/>
  <c r="V2047" i="50"/>
  <c r="V2048" i="50" s="1"/>
  <c r="P2675" i="50"/>
  <c r="P3389" i="50" s="1"/>
  <c r="P1963" i="50"/>
  <c r="P1964" i="50" s="1"/>
  <c r="V2850" i="50"/>
  <c r="V3564" i="50" s="1"/>
  <c r="AD2753" i="50"/>
  <c r="AF2753" i="50" s="1"/>
  <c r="AD2040" i="50"/>
  <c r="AD2041" i="50" s="1"/>
  <c r="AD2640" i="50"/>
  <c r="AD3354" i="50" s="1"/>
  <c r="X3079" i="50"/>
  <c r="AB2486" i="50"/>
  <c r="AB3200" i="50" s="1"/>
  <c r="AB1774" i="50"/>
  <c r="AB1775" i="50" s="1"/>
  <c r="F1059" i="50"/>
  <c r="R1059" i="50" s="1"/>
  <c r="F1019" i="50"/>
  <c r="R1019" i="50" s="1"/>
  <c r="AL304" i="50"/>
  <c r="AM304" i="50" s="1"/>
  <c r="P1078" i="50"/>
  <c r="P368" i="50"/>
  <c r="AF3380" i="50"/>
  <c r="AD721" i="50"/>
  <c r="AD11" i="50"/>
  <c r="AD12" i="50" s="1"/>
  <c r="F1201" i="50"/>
  <c r="R1201" i="50" s="1"/>
  <c r="AL486" i="50"/>
  <c r="AM486" i="50" s="1"/>
  <c r="P3305" i="50"/>
  <c r="R3305" i="50" s="1"/>
  <c r="H3450" i="50"/>
  <c r="P1229" i="50"/>
  <c r="AF2899" i="50"/>
  <c r="R2270" i="50"/>
  <c r="N3529" i="50"/>
  <c r="AN208" i="50"/>
  <c r="AB2915" i="50"/>
  <c r="H3146" i="50"/>
  <c r="L3426" i="50"/>
  <c r="F2243" i="50"/>
  <c r="AF2169" i="50"/>
  <c r="AD2782" i="50"/>
  <c r="AD3496" i="50" s="1"/>
  <c r="J1229" i="50"/>
  <c r="AF2464" i="50"/>
  <c r="R3291" i="50"/>
  <c r="L3568" i="50"/>
  <c r="L27" i="51"/>
  <c r="N3382" i="50"/>
  <c r="AB2376" i="50"/>
  <c r="AB3090" i="50" s="1"/>
  <c r="AB1662" i="50"/>
  <c r="AB1663" i="50" s="1"/>
  <c r="X2376" i="50"/>
  <c r="X1662" i="50"/>
  <c r="X1663" i="50" s="1"/>
  <c r="AL1661" i="50"/>
  <c r="L1250" i="50"/>
  <c r="AL41" i="50"/>
  <c r="Z2485" i="50"/>
  <c r="AF3466" i="50"/>
  <c r="R3404" i="50"/>
  <c r="J3407" i="50"/>
  <c r="AF3563" i="50"/>
  <c r="AF3293" i="50"/>
  <c r="AF3205" i="50"/>
  <c r="R3177" i="50"/>
  <c r="P3538" i="50"/>
  <c r="R3538" i="50" s="1"/>
  <c r="N3079" i="50"/>
  <c r="AD3423" i="50"/>
  <c r="AF3423" i="50" s="1"/>
  <c r="AF3117" i="50"/>
  <c r="L3526" i="50"/>
  <c r="R3551" i="50"/>
  <c r="H3407" i="50"/>
  <c r="AF3479" i="50"/>
  <c r="R3174" i="50"/>
  <c r="F1149" i="50"/>
  <c r="R1149" i="50" s="1"/>
  <c r="AL434" i="50"/>
  <c r="AM434" i="50" s="1"/>
  <c r="F1205" i="50"/>
  <c r="R1205" i="50" s="1"/>
  <c r="AL490" i="50"/>
  <c r="AM490" i="50" s="1"/>
  <c r="F2215" i="50"/>
  <c r="R1373" i="50"/>
  <c r="F1207" i="50"/>
  <c r="R1207" i="50" s="1"/>
  <c r="AL492" i="50"/>
  <c r="AM492" i="50" s="1"/>
  <c r="F739" i="50"/>
  <c r="R739" i="50" s="1"/>
  <c r="AL24" i="50"/>
  <c r="AM24" i="50" s="1"/>
  <c r="AF877" i="50"/>
  <c r="F788" i="50"/>
  <c r="R788" i="50" s="1"/>
  <c r="AL73" i="50"/>
  <c r="AM73" i="50" s="1"/>
  <c r="T725" i="50"/>
  <c r="AB725" i="50"/>
  <c r="F851" i="50"/>
  <c r="R851" i="50" s="1"/>
  <c r="AL136" i="50"/>
  <c r="AM136" i="50" s="1"/>
  <c r="F879" i="50"/>
  <c r="R879" i="50" s="1"/>
  <c r="AL164" i="50"/>
  <c r="AM164" i="50" s="1"/>
  <c r="F977" i="50"/>
  <c r="R977" i="50" s="1"/>
  <c r="AL262" i="50"/>
  <c r="AM262" i="50" s="1"/>
  <c r="F751" i="50"/>
  <c r="AL36" i="50"/>
  <c r="AM36" i="50" s="1"/>
  <c r="F821" i="50"/>
  <c r="R821" i="50" s="1"/>
  <c r="F933" i="50"/>
  <c r="R933" i="50" s="1"/>
  <c r="F1045" i="50"/>
  <c r="R1045" i="50" s="1"/>
  <c r="AL330" i="50"/>
  <c r="AM330" i="50" s="1"/>
  <c r="F1157" i="50"/>
  <c r="R1157" i="50" s="1"/>
  <c r="F1185" i="50"/>
  <c r="R1185" i="50" s="1"/>
  <c r="AL470" i="50"/>
  <c r="H784" i="50"/>
  <c r="H74" i="50"/>
  <c r="J784" i="50"/>
  <c r="J74" i="50"/>
  <c r="H875" i="50"/>
  <c r="J875" i="50"/>
  <c r="H854" i="50"/>
  <c r="H144" i="50"/>
  <c r="J854" i="50"/>
  <c r="J144" i="50"/>
  <c r="X1225" i="50"/>
  <c r="Z1225" i="50"/>
  <c r="AD1092" i="50"/>
  <c r="T1043" i="50"/>
  <c r="AD1078" i="50"/>
  <c r="AD368" i="50"/>
  <c r="X868" i="50"/>
  <c r="Z868" i="50"/>
  <c r="H1050" i="50"/>
  <c r="H340" i="50"/>
  <c r="J1050" i="50"/>
  <c r="J340" i="50"/>
  <c r="H847" i="50"/>
  <c r="J847" i="50"/>
  <c r="N1071" i="50"/>
  <c r="N361" i="50"/>
  <c r="H32" i="50"/>
  <c r="J32" i="50"/>
  <c r="H15" i="72" s="1"/>
  <c r="X1064" i="50"/>
  <c r="AB1064" i="50"/>
  <c r="AD1127" i="50"/>
  <c r="AB1127" i="50"/>
  <c r="T1162" i="50"/>
  <c r="AB1162" i="50"/>
  <c r="V952" i="50"/>
  <c r="V242" i="50"/>
  <c r="T81" i="50"/>
  <c r="AB81" i="50"/>
  <c r="F1008" i="50"/>
  <c r="AL293" i="50"/>
  <c r="L1008" i="50"/>
  <c r="P931" i="50"/>
  <c r="P221" i="50"/>
  <c r="P1022" i="50"/>
  <c r="F960" i="50"/>
  <c r="R960" i="50" s="1"/>
  <c r="AL245" i="50"/>
  <c r="AM245" i="50" s="1"/>
  <c r="P11" i="50"/>
  <c r="P12" i="50" s="1"/>
  <c r="AD1148" i="50"/>
  <c r="AD438" i="50"/>
  <c r="AD1099" i="50"/>
  <c r="X1246" i="50"/>
  <c r="X536" i="50"/>
  <c r="Z1246" i="50"/>
  <c r="Z536" i="50"/>
  <c r="AD805" i="50"/>
  <c r="AD95" i="50"/>
  <c r="X728" i="50"/>
  <c r="X18" i="50"/>
  <c r="T4" i="72" s="1"/>
  <c r="Z728" i="50"/>
  <c r="Z18" i="50"/>
  <c r="V4" i="72" s="1"/>
  <c r="H1120" i="50"/>
  <c r="J1120" i="50"/>
  <c r="P53" i="50"/>
  <c r="H25" i="50"/>
  <c r="F26" i="72" s="1"/>
  <c r="L25" i="50"/>
  <c r="J15" i="72" s="1"/>
  <c r="T46" i="50"/>
  <c r="AB46" i="50"/>
  <c r="T1232" i="50"/>
  <c r="AB1232" i="50"/>
  <c r="AD1183" i="50"/>
  <c r="AB1183" i="50"/>
  <c r="T1218" i="50"/>
  <c r="T508" i="50"/>
  <c r="AB1218" i="50"/>
  <c r="AB508" i="50"/>
  <c r="T847" i="50"/>
  <c r="T137" i="50"/>
  <c r="AB847" i="50"/>
  <c r="AB137" i="50"/>
  <c r="P1295" i="50"/>
  <c r="P585" i="50"/>
  <c r="P1232" i="50"/>
  <c r="F1239" i="50"/>
  <c r="F529" i="50"/>
  <c r="L1239" i="50"/>
  <c r="L529" i="50"/>
  <c r="P1274" i="50"/>
  <c r="R1407" i="50"/>
  <c r="P1358" i="50"/>
  <c r="F1379" i="50"/>
  <c r="L1379" i="50"/>
  <c r="P1330" i="50"/>
  <c r="AA89" i="48"/>
  <c r="AE82" i="48"/>
  <c r="AA82" i="48"/>
  <c r="AD1868" i="50"/>
  <c r="AH1868" i="50"/>
  <c r="AB1868" i="50"/>
  <c r="T1868" i="50"/>
  <c r="Z1868" i="50"/>
  <c r="X1868" i="50"/>
  <c r="V1868" i="50"/>
  <c r="AN1873" i="50"/>
  <c r="AB351" i="50"/>
  <c r="V351" i="50"/>
  <c r="V1066" i="50" s="1"/>
  <c r="Z351" i="50"/>
  <c r="Z1066" i="50" s="1"/>
  <c r="AD351" i="50"/>
  <c r="AD1066" i="50" s="1"/>
  <c r="T351" i="50"/>
  <c r="T1066" i="50" s="1"/>
  <c r="X351" i="50"/>
  <c r="X1066" i="50" s="1"/>
  <c r="AH351" i="50"/>
  <c r="T723" i="50"/>
  <c r="AB723" i="50"/>
  <c r="AB344" i="50"/>
  <c r="AB1059" i="50" s="1"/>
  <c r="Z344" i="50"/>
  <c r="Z1059" i="50" s="1"/>
  <c r="V344" i="50"/>
  <c r="V1059" i="50" s="1"/>
  <c r="AD344" i="50"/>
  <c r="AD1059" i="50" s="1"/>
  <c r="X344" i="50"/>
  <c r="X1059" i="50" s="1"/>
  <c r="AH344" i="50"/>
  <c r="AB225" i="50"/>
  <c r="AB940" i="50" s="1"/>
  <c r="V225" i="50"/>
  <c r="V940" i="50" s="1"/>
  <c r="Z225" i="50"/>
  <c r="Z940" i="50" s="1"/>
  <c r="AD225" i="50"/>
  <c r="AD940" i="50" s="1"/>
  <c r="T225" i="50"/>
  <c r="T940" i="50" s="1"/>
  <c r="X225" i="50"/>
  <c r="AH225" i="50"/>
  <c r="AN229" i="50"/>
  <c r="AB639" i="50"/>
  <c r="AB1354" i="50" s="1"/>
  <c r="V639" i="50"/>
  <c r="Z639" i="50"/>
  <c r="Z1354" i="50" s="1"/>
  <c r="T639" i="50"/>
  <c r="T1354" i="50" s="1"/>
  <c r="AD639" i="50"/>
  <c r="AD1354" i="50" s="1"/>
  <c r="X639" i="50"/>
  <c r="X1354" i="50" s="1"/>
  <c r="AB498" i="50"/>
  <c r="AB1213" i="50" s="1"/>
  <c r="Z498" i="50"/>
  <c r="Z1213" i="50" s="1"/>
  <c r="V498" i="50"/>
  <c r="V1213" i="50" s="1"/>
  <c r="AD498" i="50"/>
  <c r="AD1213" i="50" s="1"/>
  <c r="T498" i="50"/>
  <c r="T1213" i="50" s="1"/>
  <c r="X498" i="50"/>
  <c r="X1213" i="50" s="1"/>
  <c r="AH498" i="50"/>
  <c r="AF808" i="50"/>
  <c r="AB107" i="50"/>
  <c r="AB822" i="50" s="1"/>
  <c r="Z107" i="50"/>
  <c r="Z822" i="50" s="1"/>
  <c r="V107" i="50"/>
  <c r="V822" i="50" s="1"/>
  <c r="T107" i="50"/>
  <c r="T822" i="50" s="1"/>
  <c r="AD107" i="50"/>
  <c r="AD822" i="50" s="1"/>
  <c r="X107" i="50"/>
  <c r="X822" i="50" s="1"/>
  <c r="AB198" i="50"/>
  <c r="AB913" i="50" s="1"/>
  <c r="Z198" i="50"/>
  <c r="Z913" i="50" s="1"/>
  <c r="V198" i="50"/>
  <c r="V913" i="50" s="1"/>
  <c r="AD198" i="50"/>
  <c r="AD913" i="50" s="1"/>
  <c r="T198" i="50"/>
  <c r="T913" i="50" s="1"/>
  <c r="X198" i="50"/>
  <c r="X913" i="50" s="1"/>
  <c r="AH198" i="50"/>
  <c r="AB394" i="50"/>
  <c r="AB1109" i="50" s="1"/>
  <c r="Z394" i="50"/>
  <c r="Z1109" i="50" s="1"/>
  <c r="V394" i="50"/>
  <c r="V1109" i="50" s="1"/>
  <c r="AD394" i="50"/>
  <c r="AD1109" i="50" s="1"/>
  <c r="T394" i="50"/>
  <c r="T1109" i="50" s="1"/>
  <c r="X394" i="50"/>
  <c r="X1109" i="50" s="1"/>
  <c r="F774" i="50"/>
  <c r="AL59" i="50"/>
  <c r="AM59" i="50" s="1"/>
  <c r="AB442" i="50"/>
  <c r="AB1157" i="50" s="1"/>
  <c r="Z442" i="50"/>
  <c r="Z1157" i="50" s="1"/>
  <c r="V442" i="50"/>
  <c r="T442" i="50"/>
  <c r="T1157" i="50" s="1"/>
  <c r="AD442" i="50"/>
  <c r="AD1157" i="50" s="1"/>
  <c r="X442" i="50"/>
  <c r="X1157" i="50" s="1"/>
  <c r="AH442" i="50"/>
  <c r="L232" i="50"/>
  <c r="L947" i="50" s="1"/>
  <c r="J232" i="50"/>
  <c r="J947" i="50" s="1"/>
  <c r="P232" i="50"/>
  <c r="N232" i="50"/>
  <c r="N947" i="50" s="1"/>
  <c r="H232" i="50"/>
  <c r="H947" i="50" s="1"/>
  <c r="F232" i="50"/>
  <c r="AH232" i="50"/>
  <c r="AO236" i="50"/>
  <c r="L561" i="50"/>
  <c r="L1276" i="50" s="1"/>
  <c r="J561" i="50"/>
  <c r="J1276" i="50" s="1"/>
  <c r="P561" i="50"/>
  <c r="P1276" i="50" s="1"/>
  <c r="N561" i="50"/>
  <c r="N1276" i="50" s="1"/>
  <c r="F561" i="50"/>
  <c r="F1276" i="50" s="1"/>
  <c r="H561" i="50"/>
  <c r="H1276" i="50" s="1"/>
  <c r="AH561" i="50"/>
  <c r="L345" i="50"/>
  <c r="L1060" i="50" s="1"/>
  <c r="J345" i="50"/>
  <c r="J1060" i="50" s="1"/>
  <c r="P345" i="50"/>
  <c r="P1060" i="50" s="1"/>
  <c r="N345" i="50"/>
  <c r="N1060" i="50" s="1"/>
  <c r="T345" i="50"/>
  <c r="T347" i="50" s="1"/>
  <c r="F345" i="50"/>
  <c r="H345" i="50"/>
  <c r="H1060" i="50" s="1"/>
  <c r="AH345" i="50"/>
  <c r="P724" i="50"/>
  <c r="L534" i="50"/>
  <c r="L1249" i="50" s="1"/>
  <c r="J534" i="50"/>
  <c r="J1249" i="50" s="1"/>
  <c r="P534" i="50"/>
  <c r="P1249" i="50" s="1"/>
  <c r="N534" i="50"/>
  <c r="N1249" i="50" s="1"/>
  <c r="F534" i="50"/>
  <c r="F1249" i="50" s="1"/>
  <c r="H534" i="50"/>
  <c r="H1249" i="50" s="1"/>
  <c r="AH534" i="50"/>
  <c r="L695" i="50"/>
  <c r="L1410" i="50" s="1"/>
  <c r="P695" i="50"/>
  <c r="P1410" i="50" s="1"/>
  <c r="J695" i="50"/>
  <c r="J1410" i="50" s="1"/>
  <c r="N695" i="50"/>
  <c r="N1410" i="50" s="1"/>
  <c r="F695" i="50"/>
  <c r="F1410" i="50" s="1"/>
  <c r="H695" i="50"/>
  <c r="H1410" i="50" s="1"/>
  <c r="AH695" i="50"/>
  <c r="L540" i="50"/>
  <c r="J540" i="50"/>
  <c r="J1255" i="50" s="1"/>
  <c r="P540" i="50"/>
  <c r="P1255" i="50" s="1"/>
  <c r="N540" i="50"/>
  <c r="N1255" i="50" s="1"/>
  <c r="F540" i="50"/>
  <c r="F1255" i="50" s="1"/>
  <c r="H540" i="50"/>
  <c r="H1255" i="50" s="1"/>
  <c r="AH540" i="50"/>
  <c r="L163" i="50"/>
  <c r="L878" i="50" s="1"/>
  <c r="J163" i="50"/>
  <c r="J878" i="50" s="1"/>
  <c r="P163" i="50"/>
  <c r="P878" i="50" s="1"/>
  <c r="N163" i="50"/>
  <c r="N878" i="50" s="1"/>
  <c r="F163" i="50"/>
  <c r="F165" i="50" s="1"/>
  <c r="H163" i="50"/>
  <c r="H878" i="50" s="1"/>
  <c r="AH163" i="50"/>
  <c r="AO166" i="50"/>
  <c r="L155" i="50"/>
  <c r="L870" i="50" s="1"/>
  <c r="J155" i="50"/>
  <c r="P155" i="50"/>
  <c r="P870" i="50" s="1"/>
  <c r="N155" i="50"/>
  <c r="N870" i="50" s="1"/>
  <c r="F155" i="50"/>
  <c r="H155" i="50"/>
  <c r="AH155" i="50"/>
  <c r="AO159" i="50"/>
  <c r="L65" i="50"/>
  <c r="L780" i="50" s="1"/>
  <c r="J65" i="50"/>
  <c r="J780" i="50" s="1"/>
  <c r="P65" i="50"/>
  <c r="P780" i="50" s="1"/>
  <c r="N65" i="50"/>
  <c r="N780" i="50" s="1"/>
  <c r="F65" i="50"/>
  <c r="H65" i="50"/>
  <c r="H780" i="50" s="1"/>
  <c r="AH65" i="50"/>
  <c r="R709" i="50"/>
  <c r="AO68" i="50"/>
  <c r="AF14" i="72" s="1"/>
  <c r="H1106" i="50"/>
  <c r="J1106" i="50"/>
  <c r="N1197" i="50"/>
  <c r="H1099" i="50"/>
  <c r="J1099" i="50"/>
  <c r="N1029" i="50"/>
  <c r="N319" i="50"/>
  <c r="L1029" i="50"/>
  <c r="L319" i="50"/>
  <c r="V1141" i="50"/>
  <c r="V980" i="50"/>
  <c r="T1386" i="50"/>
  <c r="AB1386" i="50"/>
  <c r="V854" i="50"/>
  <c r="V144" i="50"/>
  <c r="T722" i="50"/>
  <c r="AB722" i="50"/>
  <c r="V882" i="50"/>
  <c r="T770" i="50"/>
  <c r="T60" i="50"/>
  <c r="AB770" i="50"/>
  <c r="AB60" i="50"/>
  <c r="P980" i="50"/>
  <c r="F1162" i="50"/>
  <c r="F452" i="50"/>
  <c r="AL447" i="50"/>
  <c r="L1162" i="50"/>
  <c r="L452" i="50"/>
  <c r="P1036" i="50"/>
  <c r="P326" i="50"/>
  <c r="F988" i="50"/>
  <c r="R988" i="50" s="1"/>
  <c r="AL273" i="50"/>
  <c r="AM273" i="50" s="1"/>
  <c r="P945" i="50"/>
  <c r="V938" i="50"/>
  <c r="V1015" i="50"/>
  <c r="V1050" i="50"/>
  <c r="T840" i="50"/>
  <c r="T130" i="50"/>
  <c r="AB840" i="50"/>
  <c r="AB130" i="50"/>
  <c r="P868" i="50"/>
  <c r="F819" i="50"/>
  <c r="AL104" i="50"/>
  <c r="L819" i="50"/>
  <c r="F910" i="50"/>
  <c r="AL195" i="50"/>
  <c r="F200" i="50"/>
  <c r="L910" i="50"/>
  <c r="L200" i="50"/>
  <c r="F917" i="50"/>
  <c r="AL202" i="50"/>
  <c r="F207" i="50"/>
  <c r="L917" i="50"/>
  <c r="L207" i="50"/>
  <c r="N1064" i="50"/>
  <c r="X1169" i="50"/>
  <c r="X459" i="50"/>
  <c r="Z1169" i="50"/>
  <c r="Z459" i="50"/>
  <c r="AD1036" i="50"/>
  <c r="AD987" i="50"/>
  <c r="AD277" i="50"/>
  <c r="AD1134" i="50"/>
  <c r="X1372" i="50"/>
  <c r="X2214" i="50" s="1"/>
  <c r="Z1372" i="50"/>
  <c r="Z2214" i="50" s="1"/>
  <c r="AD875" i="50"/>
  <c r="H1218" i="50"/>
  <c r="J1218" i="50"/>
  <c r="N812" i="50"/>
  <c r="N102" i="50"/>
  <c r="H994" i="50"/>
  <c r="J994" i="50"/>
  <c r="J1127" i="50"/>
  <c r="N1057" i="50"/>
  <c r="L1057" i="50"/>
  <c r="T1113" i="50"/>
  <c r="AB1113" i="50"/>
  <c r="Z1057" i="50"/>
  <c r="AD973" i="50"/>
  <c r="AD263" i="50"/>
  <c r="X1120" i="50"/>
  <c r="X410" i="50"/>
  <c r="Z1120" i="50"/>
  <c r="X1071" i="50"/>
  <c r="X361" i="50"/>
  <c r="Z1071" i="50"/>
  <c r="Z361" i="50"/>
  <c r="X1106" i="50"/>
  <c r="Z1106" i="50"/>
  <c r="AD2929" i="50"/>
  <c r="F1281" i="50"/>
  <c r="J1281" i="50"/>
  <c r="F1365" i="50"/>
  <c r="J1365" i="50"/>
  <c r="N1316" i="50"/>
  <c r="H1225" i="50"/>
  <c r="H515" i="50"/>
  <c r="J1225" i="50"/>
  <c r="N1267" i="50"/>
  <c r="N557" i="50"/>
  <c r="H1246" i="50"/>
  <c r="J1246" i="50"/>
  <c r="BP24" i="49"/>
  <c r="BH116" i="49"/>
  <c r="BH118" i="49" s="1"/>
  <c r="AJ233" i="49" a="1"/>
  <c r="AJ233" i="49" s="1"/>
  <c r="L2254" i="50"/>
  <c r="R2254" i="50" s="1"/>
  <c r="L1543" i="50"/>
  <c r="L1544" i="50" s="1"/>
  <c r="AL1539" i="50"/>
  <c r="F815" i="50"/>
  <c r="R815" i="50" s="1"/>
  <c r="Z2221" i="50"/>
  <c r="Z2935" i="50" s="1"/>
  <c r="Z2508" i="50"/>
  <c r="Z3222" i="50" s="1"/>
  <c r="Z3225" i="50" s="1"/>
  <c r="Z1795" i="50"/>
  <c r="Z1796" i="50" s="1"/>
  <c r="F787" i="50"/>
  <c r="R787" i="50" s="1"/>
  <c r="AL72" i="50"/>
  <c r="AM72" i="50" s="1"/>
  <c r="T749" i="50"/>
  <c r="T39" i="50"/>
  <c r="P7" i="72" s="1"/>
  <c r="AB749" i="50"/>
  <c r="AB39" i="50"/>
  <c r="AF898" i="50"/>
  <c r="AF1228" i="50"/>
  <c r="AF947" i="50"/>
  <c r="AF1199" i="50"/>
  <c r="AF1276" i="50"/>
  <c r="F725" i="50"/>
  <c r="AL10" i="50"/>
  <c r="AM10" i="50" s="1"/>
  <c r="L725" i="50"/>
  <c r="AF1054" i="50"/>
  <c r="AF989" i="50"/>
  <c r="AF1081" i="50"/>
  <c r="F802" i="50"/>
  <c r="R802" i="50" s="1"/>
  <c r="AL87" i="50"/>
  <c r="AM87" i="50" s="1"/>
  <c r="AF739" i="50"/>
  <c r="F872" i="50"/>
  <c r="R872" i="50" s="1"/>
  <c r="AL157" i="50"/>
  <c r="AM157" i="50" s="1"/>
  <c r="F935" i="50"/>
  <c r="R935" i="50" s="1"/>
  <c r="AL220" i="50"/>
  <c r="AM220" i="50" s="1"/>
  <c r="F1005" i="50"/>
  <c r="R1005" i="50" s="1"/>
  <c r="AL290" i="50"/>
  <c r="AM290" i="50" s="1"/>
  <c r="F1061" i="50"/>
  <c r="R1061" i="50" s="1"/>
  <c r="AL346" i="50"/>
  <c r="F891" i="50"/>
  <c r="R891" i="50" s="1"/>
  <c r="F849" i="50"/>
  <c r="R849" i="50" s="1"/>
  <c r="AL134" i="50"/>
  <c r="AM134" i="50" s="1"/>
  <c r="F961" i="50"/>
  <c r="R961" i="50" s="1"/>
  <c r="F1073" i="50"/>
  <c r="R1073" i="50" s="1"/>
  <c r="AL358" i="50"/>
  <c r="AM358" i="50" s="1"/>
  <c r="P1141" i="50"/>
  <c r="P1092" i="50"/>
  <c r="F1016" i="50"/>
  <c r="R1016" i="50" s="1"/>
  <c r="AL301" i="50"/>
  <c r="AM301" i="50" s="1"/>
  <c r="P973" i="50"/>
  <c r="AD1337" i="50"/>
  <c r="AB1337" i="50"/>
  <c r="V1400" i="50"/>
  <c r="AF967" i="50"/>
  <c r="V1316" i="50"/>
  <c r="V1267" i="50"/>
  <c r="AF1037" i="50"/>
  <c r="V1302" i="50"/>
  <c r="T861" i="50"/>
  <c r="AB861" i="50"/>
  <c r="V931" i="50"/>
  <c r="F840" i="50"/>
  <c r="F130" i="50"/>
  <c r="AL125" i="50"/>
  <c r="L840" i="50"/>
  <c r="L130" i="50"/>
  <c r="P1204" i="50"/>
  <c r="P494" i="50"/>
  <c r="F1114" i="50"/>
  <c r="P1113" i="50"/>
  <c r="P938" i="50"/>
  <c r="F876" i="50"/>
  <c r="R876" i="50" s="1"/>
  <c r="AL161" i="50"/>
  <c r="AM161" i="50" s="1"/>
  <c r="N833" i="50"/>
  <c r="AF1100" i="50"/>
  <c r="AF820" i="50"/>
  <c r="X1288" i="50"/>
  <c r="Z1288" i="50"/>
  <c r="T1351" i="50"/>
  <c r="T1393" i="50"/>
  <c r="T683" i="50"/>
  <c r="X945" i="50"/>
  <c r="X235" i="50"/>
  <c r="Z945" i="50"/>
  <c r="Z235" i="50"/>
  <c r="T742" i="50"/>
  <c r="T32" i="50"/>
  <c r="P6" i="72" s="1"/>
  <c r="F967" i="50"/>
  <c r="R967" i="50" s="1"/>
  <c r="AL252" i="50"/>
  <c r="AM252" i="50" s="1"/>
  <c r="N1176" i="50"/>
  <c r="N466" i="50"/>
  <c r="H924" i="50"/>
  <c r="J924" i="50"/>
  <c r="J214" i="50"/>
  <c r="F1037" i="50"/>
  <c r="R1037" i="50" s="1"/>
  <c r="AL322" i="50"/>
  <c r="AM322" i="50" s="1"/>
  <c r="F88" i="50"/>
  <c r="AL83" i="50"/>
  <c r="H1155" i="50"/>
  <c r="J1155" i="50"/>
  <c r="N805" i="50"/>
  <c r="N95" i="50"/>
  <c r="X1365" i="50"/>
  <c r="X655" i="50"/>
  <c r="Z1365" i="50"/>
  <c r="Z655" i="50"/>
  <c r="X1379" i="50"/>
  <c r="Z1379" i="50"/>
  <c r="AD826" i="50"/>
  <c r="AD116" i="50"/>
  <c r="X1323" i="50"/>
  <c r="AD1022" i="50"/>
  <c r="AD312" i="50"/>
  <c r="X924" i="50"/>
  <c r="Z924" i="50"/>
  <c r="N1183" i="50"/>
  <c r="H1015" i="50"/>
  <c r="H305" i="50"/>
  <c r="J1015" i="50"/>
  <c r="H882" i="50"/>
  <c r="H172" i="50"/>
  <c r="J882" i="50"/>
  <c r="J172" i="50"/>
  <c r="H1001" i="50"/>
  <c r="J1001" i="50"/>
  <c r="AD1008" i="50"/>
  <c r="AD966" i="50"/>
  <c r="AD896" i="50"/>
  <c r="H1351" i="50"/>
  <c r="J1351" i="50"/>
  <c r="N1302" i="50"/>
  <c r="H1169" i="50"/>
  <c r="P1169" i="50"/>
  <c r="N1309" i="50"/>
  <c r="H1386" i="50"/>
  <c r="J1386" i="50"/>
  <c r="N1400" i="50"/>
  <c r="H1372" i="50"/>
  <c r="H2214" i="50" s="1"/>
  <c r="H662" i="50"/>
  <c r="J1372" i="50"/>
  <c r="J2214" i="50" s="1"/>
  <c r="J662" i="50"/>
  <c r="AD2485" i="50"/>
  <c r="AD3199" i="50" s="1"/>
  <c r="AD3204" i="50" s="1"/>
  <c r="U233" i="49" a="1"/>
  <c r="U233" i="49" s="1"/>
  <c r="T2485" i="50"/>
  <c r="T2823" i="50"/>
  <c r="T2110" i="50"/>
  <c r="Z2111" i="50" s="1"/>
  <c r="N1853" i="50"/>
  <c r="J1853" i="50"/>
  <c r="AO1859" i="50"/>
  <c r="H1853" i="50"/>
  <c r="P1853" i="50"/>
  <c r="F1853" i="50"/>
  <c r="L1853" i="50"/>
  <c r="AH1853" i="50"/>
  <c r="AB463" i="50"/>
  <c r="AB1178" i="50" s="1"/>
  <c r="Z463" i="50"/>
  <c r="Z1178" i="50" s="1"/>
  <c r="AD463" i="50"/>
  <c r="T463" i="50"/>
  <c r="T1178" i="50" s="1"/>
  <c r="V463" i="50"/>
  <c r="V1178" i="50" s="1"/>
  <c r="X463" i="50"/>
  <c r="X1178" i="50" s="1"/>
  <c r="AH463" i="50"/>
  <c r="AF731" i="50"/>
  <c r="AB597" i="50"/>
  <c r="AB1312" i="50" s="1"/>
  <c r="Z597" i="50"/>
  <c r="Z1312" i="50" s="1"/>
  <c r="V597" i="50"/>
  <c r="AD597" i="50"/>
  <c r="AD1312" i="50" s="1"/>
  <c r="T597" i="50"/>
  <c r="T1312" i="50" s="1"/>
  <c r="X597" i="50"/>
  <c r="X1312" i="50" s="1"/>
  <c r="AB372" i="50"/>
  <c r="AB1087" i="50" s="1"/>
  <c r="Z372" i="50"/>
  <c r="Z1087" i="50" s="1"/>
  <c r="V372" i="50"/>
  <c r="V1087" i="50" s="1"/>
  <c r="AD372" i="50"/>
  <c r="AD1087" i="50" s="1"/>
  <c r="T372" i="50"/>
  <c r="T1087" i="50" s="1"/>
  <c r="X372" i="50"/>
  <c r="X1087" i="50" s="1"/>
  <c r="T724" i="50"/>
  <c r="AB724" i="50"/>
  <c r="AF772" i="50"/>
  <c r="AB645" i="50"/>
  <c r="AB1360" i="50" s="1"/>
  <c r="Z645" i="50"/>
  <c r="Z1360" i="50" s="1"/>
  <c r="V645" i="50"/>
  <c r="V1360" i="50" s="1"/>
  <c r="T645" i="50"/>
  <c r="T1360" i="50" s="1"/>
  <c r="AD645" i="50"/>
  <c r="AD1360" i="50" s="1"/>
  <c r="X645" i="50"/>
  <c r="X1360" i="50" s="1"/>
  <c r="AB163" i="50"/>
  <c r="AB878" i="50" s="1"/>
  <c r="Z163" i="50"/>
  <c r="Z878" i="50" s="1"/>
  <c r="V163" i="50"/>
  <c r="V878" i="50" s="1"/>
  <c r="T163" i="50"/>
  <c r="T878" i="50" s="1"/>
  <c r="AD163" i="50"/>
  <c r="AD878" i="50" s="1"/>
  <c r="X163" i="50"/>
  <c r="X878" i="50" s="1"/>
  <c r="AN166" i="50"/>
  <c r="AB226" i="50"/>
  <c r="AB941" i="50" s="1"/>
  <c r="Z226" i="50"/>
  <c r="Z941" i="50" s="1"/>
  <c r="V226" i="50"/>
  <c r="V941" i="50" s="1"/>
  <c r="AD226" i="50"/>
  <c r="AD941" i="50" s="1"/>
  <c r="T226" i="50"/>
  <c r="T941" i="50" s="1"/>
  <c r="X226" i="50"/>
  <c r="X941" i="50" s="1"/>
  <c r="AB604" i="50"/>
  <c r="AB1319" i="50" s="1"/>
  <c r="Z604" i="50"/>
  <c r="Z1319" i="50" s="1"/>
  <c r="T604" i="50"/>
  <c r="T1319" i="50" s="1"/>
  <c r="V604" i="50"/>
  <c r="V1319" i="50" s="1"/>
  <c r="AD604" i="50"/>
  <c r="AD1319" i="50" s="1"/>
  <c r="X604" i="50"/>
  <c r="X1319" i="50" s="1"/>
  <c r="P723" i="50"/>
  <c r="L589" i="50"/>
  <c r="L1304" i="50" s="1"/>
  <c r="J589" i="50"/>
  <c r="J1304" i="50" s="1"/>
  <c r="P589" i="50"/>
  <c r="P1304" i="50" s="1"/>
  <c r="N589" i="50"/>
  <c r="N1304" i="50" s="1"/>
  <c r="F589" i="50"/>
  <c r="F1304" i="50" s="1"/>
  <c r="H589" i="50"/>
  <c r="H1304" i="50" s="1"/>
  <c r="AH589" i="50"/>
  <c r="L562" i="50"/>
  <c r="L1277" i="50" s="1"/>
  <c r="J562" i="50"/>
  <c r="P562" i="50"/>
  <c r="P1277" i="50" s="1"/>
  <c r="N562" i="50"/>
  <c r="N1277" i="50" s="1"/>
  <c r="F562" i="50"/>
  <c r="F1277" i="50" s="1"/>
  <c r="H562" i="50"/>
  <c r="AH562" i="50"/>
  <c r="L394" i="50"/>
  <c r="L1109" i="50" s="1"/>
  <c r="J394" i="50"/>
  <c r="J1109" i="50" s="1"/>
  <c r="P394" i="50"/>
  <c r="P1109" i="50" s="1"/>
  <c r="N394" i="50"/>
  <c r="N1109" i="50" s="1"/>
  <c r="F394" i="50"/>
  <c r="F396" i="50" s="1"/>
  <c r="H394" i="50"/>
  <c r="H1109" i="50" s="1"/>
  <c r="AH394" i="50"/>
  <c r="J576" i="50"/>
  <c r="J1291" i="50" s="1"/>
  <c r="L576" i="50"/>
  <c r="L1291" i="50" s="1"/>
  <c r="P576" i="50"/>
  <c r="P1291" i="50" s="1"/>
  <c r="N576" i="50"/>
  <c r="N1291" i="50" s="1"/>
  <c r="F576" i="50"/>
  <c r="F1291" i="50" s="1"/>
  <c r="H576" i="50"/>
  <c r="H1291" i="50" s="1"/>
  <c r="AH576" i="50"/>
  <c r="J191" i="50"/>
  <c r="L191" i="50"/>
  <c r="L906" i="50" s="1"/>
  <c r="P191" i="50"/>
  <c r="P906" i="50" s="1"/>
  <c r="N191" i="50"/>
  <c r="N906" i="50" s="1"/>
  <c r="F191" i="50"/>
  <c r="H191" i="50"/>
  <c r="H906" i="50" s="1"/>
  <c r="AH191" i="50"/>
  <c r="AO194" i="50"/>
  <c r="F773" i="50"/>
  <c r="R773" i="50" s="1"/>
  <c r="AL58" i="50"/>
  <c r="AM58" i="50" s="1"/>
  <c r="L408" i="50"/>
  <c r="L1123" i="50" s="1"/>
  <c r="J408" i="50"/>
  <c r="J1123" i="50" s="1"/>
  <c r="P408" i="50"/>
  <c r="P1123" i="50" s="1"/>
  <c r="N408" i="50"/>
  <c r="N1123" i="50" s="1"/>
  <c r="F408" i="50"/>
  <c r="H408" i="50"/>
  <c r="H1123" i="50" s="1"/>
  <c r="AH408" i="50"/>
  <c r="L484" i="50"/>
  <c r="L1199" i="50" s="1"/>
  <c r="J484" i="50"/>
  <c r="J1199" i="50" s="1"/>
  <c r="P484" i="50"/>
  <c r="P1199" i="50" s="1"/>
  <c r="N484" i="50"/>
  <c r="N1199" i="50" s="1"/>
  <c r="F484" i="50"/>
  <c r="F487" i="50" s="1"/>
  <c r="H484" i="50"/>
  <c r="H1199" i="50" s="1"/>
  <c r="AH484" i="50"/>
  <c r="N3409" i="50"/>
  <c r="F2430" i="50"/>
  <c r="F3144" i="50" s="1"/>
  <c r="AL1715" i="50"/>
  <c r="H2430" i="50"/>
  <c r="H3144" i="50" s="1"/>
  <c r="H1718" i="50"/>
  <c r="L1719" i="50" s="1"/>
  <c r="P2330" i="50"/>
  <c r="P3044" i="50" s="1"/>
  <c r="P1620" i="50"/>
  <c r="P1621" i="50" s="1"/>
  <c r="N1134" i="50"/>
  <c r="N424" i="50"/>
  <c r="N966" i="50"/>
  <c r="P861" i="50"/>
  <c r="P151" i="50"/>
  <c r="H60" i="50"/>
  <c r="J60" i="50"/>
  <c r="H10" i="72" s="1"/>
  <c r="AD1309" i="50"/>
  <c r="X1204" i="50"/>
  <c r="Z1204" i="50"/>
  <c r="AF918" i="50"/>
  <c r="X1155" i="50"/>
  <c r="Z1155" i="50"/>
  <c r="X1190" i="50"/>
  <c r="Z1190" i="50"/>
  <c r="AD735" i="50"/>
  <c r="AD25" i="50"/>
  <c r="X819" i="50"/>
  <c r="Z819" i="50"/>
  <c r="F911" i="50"/>
  <c r="R911" i="50" s="1"/>
  <c r="AL196" i="50"/>
  <c r="AM196" i="50" s="1"/>
  <c r="H249" i="50"/>
  <c r="J959" i="50"/>
  <c r="J249" i="50"/>
  <c r="H826" i="50"/>
  <c r="H116" i="50"/>
  <c r="J826" i="50"/>
  <c r="J116" i="50"/>
  <c r="V1029" i="50"/>
  <c r="V319" i="50"/>
  <c r="AD1281" i="50"/>
  <c r="AB1281" i="50"/>
  <c r="V1197" i="50"/>
  <c r="V487" i="50"/>
  <c r="AB1176" i="50"/>
  <c r="AD1239" i="50"/>
  <c r="AD529" i="50"/>
  <c r="AB1239" i="50"/>
  <c r="AB529" i="50"/>
  <c r="T1274" i="50"/>
  <c r="AB1274" i="50"/>
  <c r="V833" i="50"/>
  <c r="T903" i="50"/>
  <c r="AB903" i="50"/>
  <c r="P1211" i="50"/>
  <c r="P501" i="50"/>
  <c r="F1085" i="50"/>
  <c r="AL370" i="50"/>
  <c r="L1085" i="50"/>
  <c r="P1148" i="50"/>
  <c r="F1072" i="50"/>
  <c r="R1072" i="50" s="1"/>
  <c r="AL357" i="50"/>
  <c r="AM357" i="50" s="1"/>
  <c r="P1043" i="50"/>
  <c r="P333" i="50"/>
  <c r="N18" i="50"/>
  <c r="L18" i="50"/>
  <c r="P19" i="50" s="1"/>
  <c r="V910" i="50"/>
  <c r="AF1107" i="50"/>
  <c r="T1085" i="50"/>
  <c r="AB1085" i="50"/>
  <c r="V1260" i="50"/>
  <c r="V1211" i="50"/>
  <c r="AF981" i="50"/>
  <c r="V1358" i="50"/>
  <c r="T917" i="50"/>
  <c r="AB917" i="50"/>
  <c r="Z812" i="50"/>
  <c r="P896" i="50"/>
  <c r="F1058" i="50"/>
  <c r="R1058" i="50" s="1"/>
  <c r="P903" i="50"/>
  <c r="F785" i="50"/>
  <c r="R785" i="50" s="1"/>
  <c r="AL70" i="50"/>
  <c r="AM70" i="50" s="1"/>
  <c r="F889" i="50"/>
  <c r="F179" i="50"/>
  <c r="L889" i="50"/>
  <c r="L179" i="50"/>
  <c r="V1001" i="50"/>
  <c r="V291" i="50"/>
  <c r="AF1387" i="50"/>
  <c r="V1253" i="50"/>
  <c r="T1344" i="50"/>
  <c r="AB1344" i="50"/>
  <c r="T1295" i="50"/>
  <c r="AD1330" i="50"/>
  <c r="AD620" i="50"/>
  <c r="X994" i="50"/>
  <c r="X284" i="50"/>
  <c r="Z994" i="50"/>
  <c r="Z284" i="50"/>
  <c r="AD959" i="50"/>
  <c r="AD249" i="50"/>
  <c r="H1288" i="50"/>
  <c r="J1288" i="50"/>
  <c r="N1344" i="50"/>
  <c r="H1323" i="50"/>
  <c r="H613" i="50"/>
  <c r="J1323" i="50"/>
  <c r="J613" i="50"/>
  <c r="N1260" i="50"/>
  <c r="N550" i="50"/>
  <c r="F1253" i="50"/>
  <c r="J1253" i="50"/>
  <c r="N1337" i="50"/>
  <c r="N627" i="50"/>
  <c r="Z1750" i="50"/>
  <c r="V1750" i="50"/>
  <c r="AB1750" i="50"/>
  <c r="X1750" i="50"/>
  <c r="AD1750" i="50"/>
  <c r="AH1750" i="50"/>
  <c r="AN1754" i="50"/>
  <c r="F1754" i="50" s="1"/>
  <c r="T1750" i="50"/>
  <c r="AF2149" i="50"/>
  <c r="AG2149" i="50" s="1"/>
  <c r="T1807" i="50"/>
  <c r="AD1807" i="50"/>
  <c r="X1807" i="50"/>
  <c r="V1807" i="50"/>
  <c r="AH1807" i="50"/>
  <c r="AB1807" i="50"/>
  <c r="Z1807" i="50"/>
  <c r="AF2150" i="50"/>
  <c r="AG2150" i="50" s="1"/>
  <c r="AN1810" i="50"/>
  <c r="F1810" i="50" s="1"/>
  <c r="Z3173" i="50"/>
  <c r="AF3173" i="50" s="1"/>
  <c r="Z2779" i="50"/>
  <c r="Z3493" i="50" s="1"/>
  <c r="X2779" i="50"/>
  <c r="X3493" i="50" s="1"/>
  <c r="X2068" i="50"/>
  <c r="X2069" i="50" s="1"/>
  <c r="T2549" i="50"/>
  <c r="AL1834" i="50"/>
  <c r="AB2716" i="50"/>
  <c r="AB3430" i="50" s="1"/>
  <c r="AD2716" i="50"/>
  <c r="AD3430" i="50" s="1"/>
  <c r="AD3435" i="50" s="1"/>
  <c r="AD2005" i="50"/>
  <c r="AD2006" i="50" s="1"/>
  <c r="F3219" i="50"/>
  <c r="Z2674" i="50"/>
  <c r="Z3388" i="50" s="1"/>
  <c r="N2331" i="50"/>
  <c r="N3045" i="50" s="1"/>
  <c r="N3050" i="50" s="1"/>
  <c r="N1620" i="50"/>
  <c r="N1621" i="50" s="1"/>
  <c r="F843" i="50"/>
  <c r="R843" i="50" s="1"/>
  <c r="AL128" i="50"/>
  <c r="P722" i="50"/>
  <c r="T763" i="50"/>
  <c r="T53" i="50"/>
  <c r="P9" i="72" s="1"/>
  <c r="AB763" i="50"/>
  <c r="AB53" i="50"/>
  <c r="X9" i="72" s="1"/>
  <c r="V784" i="50"/>
  <c r="V74" i="50"/>
  <c r="F791" i="50"/>
  <c r="AL76" i="50"/>
  <c r="F81" i="50"/>
  <c r="L791" i="50"/>
  <c r="L81" i="50"/>
  <c r="H2789" i="50"/>
  <c r="H3503" i="50" s="1"/>
  <c r="X2654" i="50"/>
  <c r="X3368" i="50" s="1"/>
  <c r="V2654" i="50"/>
  <c r="V3368" i="50" s="1"/>
  <c r="N2485" i="50"/>
  <c r="N3199" i="50" s="1"/>
  <c r="N1774" i="50"/>
  <c r="P2572" i="50"/>
  <c r="P3286" i="50" s="1"/>
  <c r="P3335" i="50"/>
  <c r="L2243" i="50"/>
  <c r="L2957" i="50" s="1"/>
  <c r="L2959" i="50" s="1"/>
  <c r="F858" i="50"/>
  <c r="R858" i="50" s="1"/>
  <c r="AL143" i="50"/>
  <c r="AM143" i="50" s="1"/>
  <c r="T3349" i="50"/>
  <c r="AF2635" i="50"/>
  <c r="F913" i="50"/>
  <c r="R913" i="50" s="1"/>
  <c r="V798" i="50"/>
  <c r="V88" i="50"/>
  <c r="N2768" i="50"/>
  <c r="N3482" i="50" s="1"/>
  <c r="N3484" i="50" s="1"/>
  <c r="N2054" i="50"/>
  <c r="N2055" i="50" s="1"/>
  <c r="F963" i="50"/>
  <c r="R963" i="50" s="1"/>
  <c r="AL248" i="50"/>
  <c r="AM248" i="50" s="1"/>
  <c r="F1096" i="50"/>
  <c r="R1096" i="50" s="1"/>
  <c r="AL381" i="50"/>
  <c r="AM381" i="50" s="1"/>
  <c r="Z3391" i="50"/>
  <c r="X3447" i="50"/>
  <c r="R3171" i="50"/>
  <c r="F926" i="50"/>
  <c r="R926" i="50" s="1"/>
  <c r="AL211" i="50"/>
  <c r="AM211" i="50" s="1"/>
  <c r="V2809" i="50"/>
  <c r="V3523" i="50" s="1"/>
  <c r="T2809" i="50"/>
  <c r="T3523" i="50" s="1"/>
  <c r="X2759" i="50"/>
  <c r="X3473" i="50" s="1"/>
  <c r="L2675" i="50"/>
  <c r="L3389" i="50" s="1"/>
  <c r="L1963" i="50"/>
  <c r="L1964" i="50" s="1"/>
  <c r="F2675" i="50"/>
  <c r="AB2850" i="50"/>
  <c r="AB3564" i="50" s="1"/>
  <c r="AB3568" i="50" s="1"/>
  <c r="T3529" i="50"/>
  <c r="F1143" i="50"/>
  <c r="R1143" i="50" s="1"/>
  <c r="AL428" i="50"/>
  <c r="AM428" i="50" s="1"/>
  <c r="AF1130" i="50"/>
  <c r="AF1108" i="50"/>
  <c r="F1032" i="50"/>
  <c r="R1032" i="50" s="1"/>
  <c r="AL317" i="50"/>
  <c r="AM317" i="50" s="1"/>
  <c r="H1078" i="50"/>
  <c r="J1078" i="50"/>
  <c r="J368" i="50"/>
  <c r="AF2505" i="50"/>
  <c r="V721" i="50"/>
  <c r="V11" i="50"/>
  <c r="V12" i="50" s="1"/>
  <c r="F3012" i="50"/>
  <c r="Z3181" i="50"/>
  <c r="H1250" i="50"/>
  <c r="N3314" i="50"/>
  <c r="N2243" i="50"/>
  <c r="N2957" i="50" s="1"/>
  <c r="N2959" i="50" s="1"/>
  <c r="V3464" i="50"/>
  <c r="AB3102" i="50"/>
  <c r="BP159" i="49"/>
  <c r="BU159" i="49" s="1"/>
  <c r="AD2883" i="50"/>
  <c r="X3178" i="50"/>
  <c r="X2485" i="50"/>
  <c r="X3199" i="50" s="1"/>
  <c r="AF2880" i="50"/>
  <c r="N3260" i="50"/>
  <c r="AF3065" i="50"/>
  <c r="AF3373" i="50"/>
  <c r="R3160" i="50"/>
  <c r="AH3160" i="50" s="1"/>
  <c r="T3379" i="50"/>
  <c r="AF3376" i="50"/>
  <c r="R2892" i="50"/>
  <c r="F3116" i="50"/>
  <c r="AD3089" i="50"/>
  <c r="L1229" i="50"/>
  <c r="N46" i="50"/>
  <c r="N47" i="50" s="1"/>
  <c r="AB2914" i="50"/>
  <c r="AF2673" i="50"/>
  <c r="AB3335" i="50"/>
  <c r="R3257" i="50"/>
  <c r="H3260" i="50"/>
  <c r="AF3276" i="50"/>
  <c r="AF3152" i="50"/>
  <c r="R2886" i="50"/>
  <c r="AF3481" i="50"/>
  <c r="AF3256" i="50"/>
  <c r="AF3278" i="50"/>
  <c r="AF3257" i="50"/>
  <c r="L2896" i="50"/>
  <c r="R3480" i="50"/>
  <c r="F1250" i="50"/>
  <c r="N3268" i="50"/>
  <c r="J3568" i="50"/>
  <c r="L3113" i="50"/>
  <c r="H3127" i="50"/>
  <c r="R3125" i="50"/>
  <c r="L3316" i="50"/>
  <c r="R3312" i="50"/>
  <c r="N2980" i="50"/>
  <c r="AF3419" i="50"/>
  <c r="AF3548" i="50"/>
  <c r="AF3410" i="50"/>
  <c r="R2877" i="50"/>
  <c r="N25" i="49"/>
  <c r="N30" i="49"/>
  <c r="N34" i="49"/>
  <c r="N38" i="49"/>
  <c r="N42" i="49"/>
  <c r="N46" i="49"/>
  <c r="N50" i="49"/>
  <c r="N54" i="49"/>
  <c r="N58" i="49"/>
  <c r="N62" i="49"/>
  <c r="N66" i="49"/>
  <c r="N70" i="49"/>
  <c r="N74" i="49"/>
  <c r="N78" i="49"/>
  <c r="N82" i="49"/>
  <c r="N86" i="49"/>
  <c r="N90" i="49"/>
  <c r="N94" i="49"/>
  <c r="N98" i="49"/>
  <c r="N102" i="49"/>
  <c r="N106" i="49"/>
  <c r="N110" i="49"/>
  <c r="N114" i="49"/>
  <c r="N27" i="49"/>
  <c r="N31" i="49"/>
  <c r="N35" i="49"/>
  <c r="N39" i="49"/>
  <c r="N43" i="49"/>
  <c r="N47" i="49"/>
  <c r="N51" i="49"/>
  <c r="N55" i="49"/>
  <c r="N59" i="49"/>
  <c r="N63" i="49"/>
  <c r="N67" i="49"/>
  <c r="N18" i="49"/>
  <c r="N28" i="49"/>
  <c r="N32" i="49"/>
  <c r="N36" i="49"/>
  <c r="N40" i="49"/>
  <c r="N44" i="49"/>
  <c r="N48" i="49"/>
  <c r="N52" i="49"/>
  <c r="N56" i="49"/>
  <c r="N60" i="49"/>
  <c r="N64" i="49"/>
  <c r="N68" i="49"/>
  <c r="N72" i="49"/>
  <c r="N76" i="49"/>
  <c r="N80" i="49"/>
  <c r="N84" i="49"/>
  <c r="N88" i="49"/>
  <c r="N92" i="49"/>
  <c r="N96" i="49"/>
  <c r="N100" i="49"/>
  <c r="N104" i="49"/>
  <c r="N108" i="49"/>
  <c r="N112" i="49"/>
  <c r="N29" i="49"/>
  <c r="N45" i="49"/>
  <c r="N61" i="49"/>
  <c r="N73" i="49"/>
  <c r="N81" i="49"/>
  <c r="N89" i="49"/>
  <c r="N97" i="49"/>
  <c r="N105" i="49"/>
  <c r="N113" i="49"/>
  <c r="N33" i="49"/>
  <c r="N49" i="49"/>
  <c r="N65" i="49"/>
  <c r="N75" i="49"/>
  <c r="N83" i="49"/>
  <c r="N91" i="49"/>
  <c r="N99" i="49"/>
  <c r="N107" i="49"/>
  <c r="N115" i="49"/>
  <c r="N19" i="49"/>
  <c r="N37" i="49"/>
  <c r="N53" i="49"/>
  <c r="N69" i="49"/>
  <c r="N77" i="49"/>
  <c r="N85" i="49"/>
  <c r="N93" i="49"/>
  <c r="N101" i="49"/>
  <c r="N109" i="49"/>
  <c r="N41" i="49"/>
  <c r="N87" i="49"/>
  <c r="N57" i="49"/>
  <c r="N95" i="49"/>
  <c r="N71" i="49"/>
  <c r="N103" i="49"/>
  <c r="N111" i="49"/>
  <c r="N23" i="49"/>
  <c r="N79" i="49"/>
  <c r="N175" i="49"/>
  <c r="N181" i="49"/>
  <c r="N149" i="49"/>
  <c r="N178" i="49"/>
  <c r="N161" i="49"/>
  <c r="N152" i="49"/>
  <c r="N165" i="49"/>
  <c r="N187" i="49"/>
  <c r="N204" i="49"/>
  <c r="N185" i="49"/>
  <c r="N138" i="49"/>
  <c r="N220" i="49"/>
  <c r="N170" i="49"/>
  <c r="N207" i="49"/>
  <c r="N196" i="49"/>
  <c r="N154" i="49"/>
  <c r="N227" i="49"/>
  <c r="N216" i="49"/>
  <c r="N159" i="49"/>
  <c r="N148" i="49"/>
  <c r="N156" i="49"/>
  <c r="N169" i="49"/>
  <c r="N230" i="49"/>
  <c r="N183" i="49"/>
  <c r="N134" i="49"/>
  <c r="N225" i="49"/>
  <c r="N150" i="49"/>
  <c r="N176" i="49"/>
  <c r="N198" i="49"/>
  <c r="N214" i="49"/>
  <c r="N147" i="49"/>
  <c r="N167" i="49"/>
  <c r="N140" i="49"/>
  <c r="N221" i="49"/>
  <c r="N219" i="49"/>
  <c r="N136" i="49"/>
  <c r="N180" i="49"/>
  <c r="N192" i="49"/>
  <c r="N195" i="49"/>
  <c r="N166" i="49"/>
  <c r="N226" i="49"/>
  <c r="N142" i="49"/>
  <c r="N205" i="49"/>
  <c r="N194" i="49"/>
  <c r="N211" i="49"/>
  <c r="N215" i="49"/>
  <c r="N144" i="49"/>
  <c r="N153" i="49"/>
  <c r="N184" i="49"/>
  <c r="N179" i="49"/>
  <c r="N200" i="49"/>
  <c r="N172" i="49"/>
  <c r="N199" i="49"/>
  <c r="N217" i="49"/>
  <c r="N157" i="49"/>
  <c r="N182" i="49"/>
  <c r="N229" i="49"/>
  <c r="J128" i="49"/>
  <c r="N139" i="49"/>
  <c r="N162" i="49"/>
  <c r="N164" i="49"/>
  <c r="N223" i="49"/>
  <c r="N160" i="49"/>
  <c r="N132" i="49"/>
  <c r="N209" i="49"/>
  <c r="N213" i="49"/>
  <c r="N212" i="49"/>
  <c r="N206" i="49"/>
  <c r="N201" i="49"/>
  <c r="N202" i="49"/>
  <c r="N158" i="49"/>
  <c r="N191" i="49"/>
  <c r="N203" i="49"/>
  <c r="N173" i="49"/>
  <c r="N131" i="49"/>
  <c r="N145" i="49"/>
  <c r="N224" i="49"/>
  <c r="N163" i="49"/>
  <c r="N143" i="49"/>
  <c r="N190" i="49"/>
  <c r="N186" i="49"/>
  <c r="N168" i="49"/>
  <c r="N174" i="49"/>
  <c r="N188" i="49"/>
  <c r="N197" i="49"/>
  <c r="N222" i="49"/>
  <c r="N210" i="49"/>
  <c r="N137" i="49"/>
  <c r="N151" i="49"/>
  <c r="N193" i="49"/>
  <c r="N141" i="49"/>
  <c r="N146" i="49"/>
  <c r="N208" i="49"/>
  <c r="N228" i="49"/>
  <c r="N171" i="49"/>
  <c r="N155" i="49"/>
  <c r="N133" i="49"/>
  <c r="N189" i="49"/>
  <c r="N177" i="49"/>
  <c r="N218" i="49"/>
  <c r="N135" i="49"/>
  <c r="F1170" i="50"/>
  <c r="R1170" i="50" s="1"/>
  <c r="AL455" i="50"/>
  <c r="AM455" i="50" s="1"/>
  <c r="F1226" i="50"/>
  <c r="R1226" i="50" s="1"/>
  <c r="AL511" i="50"/>
  <c r="AM511" i="50" s="1"/>
  <c r="R1282" i="50"/>
  <c r="R1338" i="50"/>
  <c r="R1394" i="50"/>
  <c r="L2929" i="50"/>
  <c r="O24" i="49"/>
  <c r="F1184" i="50"/>
  <c r="R1184" i="50" s="1"/>
  <c r="AL469" i="50"/>
  <c r="AM469" i="50" s="1"/>
  <c r="R1240" i="50"/>
  <c r="R1296" i="50"/>
  <c r="R1352" i="50"/>
  <c r="R1408" i="50"/>
  <c r="F1135" i="50"/>
  <c r="R1135" i="50" s="1"/>
  <c r="AL420" i="50"/>
  <c r="AM420" i="50" s="1"/>
  <c r="R1247" i="50"/>
  <c r="R1303" i="50"/>
  <c r="R1359" i="50"/>
  <c r="R1415" i="50"/>
  <c r="AF1318" i="50"/>
  <c r="AF1193" i="50"/>
  <c r="AF1333" i="50"/>
  <c r="AF1047" i="50"/>
  <c r="AF850" i="50"/>
  <c r="AF1185" i="50"/>
  <c r="AD725" i="50"/>
  <c r="F1054" i="50"/>
  <c r="R1054" i="50" s="1"/>
  <c r="AL339" i="50"/>
  <c r="AM339" i="50" s="1"/>
  <c r="AF830" i="50"/>
  <c r="F927" i="50"/>
  <c r="R1256" i="50"/>
  <c r="F1116" i="50"/>
  <c r="R1116" i="50" s="1"/>
  <c r="AL401" i="50"/>
  <c r="AM401" i="50" s="1"/>
  <c r="F800" i="50"/>
  <c r="R800" i="50" s="1"/>
  <c r="AL85" i="50"/>
  <c r="AM85" i="50" s="1"/>
  <c r="F912" i="50"/>
  <c r="R912" i="50" s="1"/>
  <c r="F1024" i="50"/>
  <c r="R1024" i="50" s="1"/>
  <c r="AL309" i="50"/>
  <c r="F1136" i="50"/>
  <c r="R1136" i="50" s="1"/>
  <c r="R1269" i="50"/>
  <c r="R1381" i="50"/>
  <c r="F1124" i="50"/>
  <c r="R1124" i="50" s="1"/>
  <c r="AL409" i="50"/>
  <c r="AM409" i="50" s="1"/>
  <c r="R1402" i="50"/>
  <c r="R1242" i="50"/>
  <c r="R1375" i="50"/>
  <c r="F1186" i="50"/>
  <c r="R1186" i="50" s="1"/>
  <c r="AL471" i="50"/>
  <c r="R1339" i="50"/>
  <c r="F801" i="50"/>
  <c r="R801" i="50" s="1"/>
  <c r="AL86" i="50"/>
  <c r="AM86" i="50" s="1"/>
  <c r="F750" i="50"/>
  <c r="R750" i="50" s="1"/>
  <c r="AL35" i="50"/>
  <c r="AM35" i="50" s="1"/>
  <c r="F954" i="50"/>
  <c r="R954" i="50" s="1"/>
  <c r="AL239" i="50"/>
  <c r="AM239" i="50" s="1"/>
  <c r="F892" i="50"/>
  <c r="R892" i="50" s="1"/>
  <c r="F1011" i="50"/>
  <c r="AL296" i="50"/>
  <c r="N3438" i="50"/>
  <c r="R3438" i="50" s="1"/>
  <c r="N784" i="50"/>
  <c r="N74" i="50"/>
  <c r="L784" i="50"/>
  <c r="L74" i="50"/>
  <c r="F875" i="50"/>
  <c r="AL160" i="50"/>
  <c r="L875" i="50"/>
  <c r="F854" i="50"/>
  <c r="F144" i="50"/>
  <c r="AL139" i="50"/>
  <c r="L854" i="50"/>
  <c r="L144" i="50"/>
  <c r="AF1114" i="50"/>
  <c r="AD1225" i="50"/>
  <c r="AB1225" i="50"/>
  <c r="AF855" i="50"/>
  <c r="V1092" i="50"/>
  <c r="V1043" i="50"/>
  <c r="V1078" i="50"/>
  <c r="V368" i="50"/>
  <c r="T868" i="50"/>
  <c r="AB868" i="50"/>
  <c r="F1050" i="50"/>
  <c r="F340" i="50"/>
  <c r="AL335" i="50"/>
  <c r="L1050" i="50"/>
  <c r="L340" i="50"/>
  <c r="F847" i="50"/>
  <c r="AL132" i="50"/>
  <c r="L847" i="50"/>
  <c r="F1100" i="50"/>
  <c r="R1100" i="50" s="1"/>
  <c r="AL385" i="50"/>
  <c r="AM385" i="50" s="1"/>
  <c r="P1071" i="50"/>
  <c r="P361" i="50"/>
  <c r="N32" i="50"/>
  <c r="L16" i="72" s="1"/>
  <c r="L32" i="50"/>
  <c r="AF1149" i="50"/>
  <c r="AF1128" i="50"/>
  <c r="AD1064" i="50"/>
  <c r="T1127" i="50"/>
  <c r="AD1162" i="50"/>
  <c r="X952" i="50"/>
  <c r="X242" i="50"/>
  <c r="Z952" i="50"/>
  <c r="Z242" i="50"/>
  <c r="AD81" i="50"/>
  <c r="F883" i="50"/>
  <c r="R883" i="50" s="1"/>
  <c r="AL168" i="50"/>
  <c r="AM168" i="50" s="1"/>
  <c r="N1008" i="50"/>
  <c r="H931" i="50"/>
  <c r="H221" i="50"/>
  <c r="J931" i="50"/>
  <c r="J221" i="50"/>
  <c r="H1022" i="50"/>
  <c r="J1022" i="50"/>
  <c r="H11" i="50"/>
  <c r="J11" i="50"/>
  <c r="AF1170" i="50"/>
  <c r="V1148" i="50"/>
  <c r="V438" i="50"/>
  <c r="V1099" i="50"/>
  <c r="T1246" i="50"/>
  <c r="T536" i="50"/>
  <c r="AB1246" i="50"/>
  <c r="AB536" i="50"/>
  <c r="V805" i="50"/>
  <c r="V95" i="50"/>
  <c r="T728" i="50"/>
  <c r="T18" i="50"/>
  <c r="P4" i="72" s="1"/>
  <c r="AB728" i="50"/>
  <c r="AB18" i="50"/>
  <c r="X4" i="72" s="1"/>
  <c r="F946" i="50"/>
  <c r="R946" i="50" s="1"/>
  <c r="AL231" i="50"/>
  <c r="AM231" i="50" s="1"/>
  <c r="F1120" i="50"/>
  <c r="AL405" i="50"/>
  <c r="L1120" i="50"/>
  <c r="N53" i="50"/>
  <c r="V54" i="50" s="1"/>
  <c r="F25" i="50"/>
  <c r="D5" i="72" s="1"/>
  <c r="AD756" i="50"/>
  <c r="AD46" i="50"/>
  <c r="AD1232" i="50"/>
  <c r="T1183" i="50"/>
  <c r="AD1218" i="50"/>
  <c r="AD508" i="50"/>
  <c r="X889" i="50"/>
  <c r="Z889" i="50"/>
  <c r="AD847" i="50"/>
  <c r="AD137" i="50"/>
  <c r="H1295" i="50"/>
  <c r="H585" i="50"/>
  <c r="J1295" i="50"/>
  <c r="J585" i="50"/>
  <c r="H1232" i="50"/>
  <c r="J1232" i="50"/>
  <c r="J522" i="50"/>
  <c r="N1239" i="50"/>
  <c r="N529" i="50"/>
  <c r="H1274" i="50"/>
  <c r="J1274" i="50"/>
  <c r="H1358" i="50"/>
  <c r="J1358" i="50"/>
  <c r="N1379" i="50"/>
  <c r="H1330" i="50"/>
  <c r="J1330" i="50"/>
  <c r="N1841" i="50"/>
  <c r="F1841" i="50"/>
  <c r="L1841" i="50"/>
  <c r="AH1841" i="50"/>
  <c r="P1841" i="50"/>
  <c r="H1841" i="50"/>
  <c r="J1841" i="50"/>
  <c r="AO1845" i="50"/>
  <c r="R2149" i="50"/>
  <c r="L2086" i="50"/>
  <c r="N2086" i="50"/>
  <c r="AH2086" i="50"/>
  <c r="J2086" i="50"/>
  <c r="H2086" i="50"/>
  <c r="P2086" i="50"/>
  <c r="F2086" i="50"/>
  <c r="AF730" i="50"/>
  <c r="AB491" i="50"/>
  <c r="V491" i="50"/>
  <c r="V1206" i="50" s="1"/>
  <c r="Z491" i="50"/>
  <c r="Z1206" i="50" s="1"/>
  <c r="T491" i="50"/>
  <c r="T1206" i="50" s="1"/>
  <c r="AD491" i="50"/>
  <c r="AD1206" i="50" s="1"/>
  <c r="X491" i="50"/>
  <c r="X1206" i="50" s="1"/>
  <c r="AH491" i="50"/>
  <c r="AD723" i="50"/>
  <c r="AB400" i="50"/>
  <c r="AB1115" i="50" s="1"/>
  <c r="Z400" i="50"/>
  <c r="Z1115" i="50" s="1"/>
  <c r="V400" i="50"/>
  <c r="V1115" i="50" s="1"/>
  <c r="AD400" i="50"/>
  <c r="AD1115" i="50" s="1"/>
  <c r="T400" i="50"/>
  <c r="T1115" i="50" s="1"/>
  <c r="X400" i="50"/>
  <c r="X1115" i="50" s="1"/>
  <c r="AB421" i="50"/>
  <c r="AB1136" i="50" s="1"/>
  <c r="V421" i="50"/>
  <c r="V1136" i="50" s="1"/>
  <c r="Z421" i="50"/>
  <c r="Z1136" i="50" s="1"/>
  <c r="T421" i="50"/>
  <c r="T1136" i="50" s="1"/>
  <c r="AD421" i="50"/>
  <c r="AD1136" i="50" s="1"/>
  <c r="X421" i="50"/>
  <c r="X1136" i="50" s="1"/>
  <c r="AH421" i="50"/>
  <c r="AB212" i="50"/>
  <c r="AB927" i="50" s="1"/>
  <c r="Z212" i="50"/>
  <c r="Z927" i="50" s="1"/>
  <c r="V212" i="50"/>
  <c r="V927" i="50" s="1"/>
  <c r="T212" i="50"/>
  <c r="AD212" i="50"/>
  <c r="AD927" i="50" s="1"/>
  <c r="X212" i="50"/>
  <c r="X927" i="50" s="1"/>
  <c r="AH212" i="50"/>
  <c r="AN215" i="50"/>
  <c r="AF759" i="50"/>
  <c r="AB65" i="50"/>
  <c r="AB780" i="50" s="1"/>
  <c r="Z65" i="50"/>
  <c r="Z780" i="50" s="1"/>
  <c r="V65" i="50"/>
  <c r="V780" i="50" s="1"/>
  <c r="AD65" i="50"/>
  <c r="AD780" i="50" s="1"/>
  <c r="T65" i="50"/>
  <c r="T780" i="50" s="1"/>
  <c r="X65" i="50"/>
  <c r="X780" i="50" s="1"/>
  <c r="AN68" i="50"/>
  <c r="AF709" i="50"/>
  <c r="AB156" i="50"/>
  <c r="AB871" i="50" s="1"/>
  <c r="Z156" i="50"/>
  <c r="Z871" i="50" s="1"/>
  <c r="V156" i="50"/>
  <c r="V871" i="50" s="1"/>
  <c r="T156" i="50"/>
  <c r="T871" i="50" s="1"/>
  <c r="AD156" i="50"/>
  <c r="AD871" i="50" s="1"/>
  <c r="X156" i="50"/>
  <c r="X871" i="50" s="1"/>
  <c r="AH156" i="50"/>
  <c r="AN159" i="50"/>
  <c r="AB219" i="50"/>
  <c r="AB934" i="50" s="1"/>
  <c r="Z219" i="50"/>
  <c r="Z934" i="50" s="1"/>
  <c r="V219" i="50"/>
  <c r="V934" i="50" s="1"/>
  <c r="T219" i="50"/>
  <c r="T934" i="50" s="1"/>
  <c r="AD219" i="50"/>
  <c r="AD934" i="50" s="1"/>
  <c r="X219" i="50"/>
  <c r="X934" i="50" s="1"/>
  <c r="AH219" i="50"/>
  <c r="AF732" i="50"/>
  <c r="AB106" i="50"/>
  <c r="AB821" i="50" s="1"/>
  <c r="Z106" i="50"/>
  <c r="Z821" i="50" s="1"/>
  <c r="V106" i="50"/>
  <c r="V821" i="50" s="1"/>
  <c r="AD106" i="50"/>
  <c r="AD821" i="50" s="1"/>
  <c r="T106" i="50"/>
  <c r="T821" i="50" s="1"/>
  <c r="X106" i="50"/>
  <c r="X821" i="50" s="1"/>
  <c r="AH106" i="50"/>
  <c r="AN110" i="50"/>
  <c r="L288" i="50"/>
  <c r="L1003" i="50" s="1"/>
  <c r="J288" i="50"/>
  <c r="J1003" i="50" s="1"/>
  <c r="P288" i="50"/>
  <c r="P1003" i="50" s="1"/>
  <c r="N288" i="50"/>
  <c r="N1003" i="50" s="1"/>
  <c r="H288" i="50"/>
  <c r="H1003" i="50" s="1"/>
  <c r="F288" i="50"/>
  <c r="AH288" i="50"/>
  <c r="AO292" i="50"/>
  <c r="L617" i="50"/>
  <c r="L1332" i="50" s="1"/>
  <c r="J617" i="50"/>
  <c r="J1332" i="50" s="1"/>
  <c r="P617" i="50"/>
  <c r="P1332" i="50" s="1"/>
  <c r="N617" i="50"/>
  <c r="N1332" i="50" s="1"/>
  <c r="F617" i="50"/>
  <c r="F1332" i="50" s="1"/>
  <c r="H617" i="50"/>
  <c r="H1332" i="50" s="1"/>
  <c r="AH617" i="50"/>
  <c r="H724" i="50"/>
  <c r="J724" i="50"/>
  <c r="L590" i="50"/>
  <c r="L1305" i="50" s="1"/>
  <c r="J590" i="50"/>
  <c r="J1305" i="50" s="1"/>
  <c r="P590" i="50"/>
  <c r="P1305" i="50" s="1"/>
  <c r="N590" i="50"/>
  <c r="N1305" i="50" s="1"/>
  <c r="F590" i="50"/>
  <c r="F1305" i="50" s="1"/>
  <c r="H590" i="50"/>
  <c r="H1305" i="50" s="1"/>
  <c r="AH590" i="50"/>
  <c r="AB218" i="50"/>
  <c r="AB933" i="50" s="1"/>
  <c r="Z218" i="50"/>
  <c r="Z933" i="50" s="1"/>
  <c r="V218" i="50"/>
  <c r="V933" i="50" s="1"/>
  <c r="AD218" i="50"/>
  <c r="AD933" i="50" s="1"/>
  <c r="T218" i="50"/>
  <c r="T933" i="50" s="1"/>
  <c r="X218" i="50"/>
  <c r="X933" i="50" s="1"/>
  <c r="AH218" i="50"/>
  <c r="AN222" i="50"/>
  <c r="J443" i="50"/>
  <c r="J1158" i="50" s="1"/>
  <c r="L443" i="50"/>
  <c r="L1158" i="50" s="1"/>
  <c r="P443" i="50"/>
  <c r="P1158" i="50" s="1"/>
  <c r="N443" i="50"/>
  <c r="N1158" i="50" s="1"/>
  <c r="F443" i="50"/>
  <c r="F445" i="50" s="1"/>
  <c r="H443" i="50"/>
  <c r="H1158" i="50" s="1"/>
  <c r="AH443" i="50"/>
  <c r="L226" i="50"/>
  <c r="L941" i="50" s="1"/>
  <c r="P226" i="50"/>
  <c r="P941" i="50" s="1"/>
  <c r="J226" i="50"/>
  <c r="J941" i="50" s="1"/>
  <c r="N226" i="50"/>
  <c r="N941" i="50" s="1"/>
  <c r="F226" i="50"/>
  <c r="H226" i="50"/>
  <c r="H941" i="50" s="1"/>
  <c r="AH226" i="50"/>
  <c r="AO229" i="50"/>
  <c r="L653" i="50"/>
  <c r="L1368" i="50" s="1"/>
  <c r="J653" i="50"/>
  <c r="J1368" i="50" s="1"/>
  <c r="P653" i="50"/>
  <c r="P1368" i="50" s="1"/>
  <c r="N653" i="50"/>
  <c r="N1368" i="50" s="1"/>
  <c r="F653" i="50"/>
  <c r="F1368" i="50" s="1"/>
  <c r="H653" i="50"/>
  <c r="H1368" i="50" s="1"/>
  <c r="AH653" i="50"/>
  <c r="L435" i="50"/>
  <c r="L1150" i="50" s="1"/>
  <c r="J435" i="50"/>
  <c r="J1150" i="50" s="1"/>
  <c r="P435" i="50"/>
  <c r="P1150" i="50" s="1"/>
  <c r="N435" i="50"/>
  <c r="N1150" i="50" s="1"/>
  <c r="F435" i="50"/>
  <c r="H435" i="50"/>
  <c r="H1150" i="50" s="1"/>
  <c r="AH435" i="50"/>
  <c r="L2330" i="50"/>
  <c r="L3044" i="50" s="1"/>
  <c r="L1620" i="50"/>
  <c r="L1621" i="50" s="1"/>
  <c r="F1106" i="50"/>
  <c r="AL391" i="50"/>
  <c r="L1106" i="50"/>
  <c r="P1197" i="50"/>
  <c r="F806" i="50"/>
  <c r="AL91" i="50"/>
  <c r="AM91" i="50" s="1"/>
  <c r="F764" i="50"/>
  <c r="AL49" i="50"/>
  <c r="AM49" i="50" s="1"/>
  <c r="F1099" i="50"/>
  <c r="AL384" i="50"/>
  <c r="L1099" i="50"/>
  <c r="X1141" i="50"/>
  <c r="Z1141" i="50"/>
  <c r="AF988" i="50"/>
  <c r="X980" i="50"/>
  <c r="Z980" i="50"/>
  <c r="AD1386" i="50"/>
  <c r="X854" i="50"/>
  <c r="X144" i="50"/>
  <c r="Z854" i="50"/>
  <c r="Z144" i="50"/>
  <c r="AD722" i="50"/>
  <c r="X882" i="50"/>
  <c r="Z882" i="50"/>
  <c r="AD770" i="50"/>
  <c r="AD60" i="50"/>
  <c r="H980" i="50"/>
  <c r="J980" i="50"/>
  <c r="N1162" i="50"/>
  <c r="F771" i="50"/>
  <c r="R771" i="50" s="1"/>
  <c r="AL56" i="50"/>
  <c r="AM56" i="50" s="1"/>
  <c r="H1036" i="50"/>
  <c r="H326" i="50"/>
  <c r="J1036" i="50"/>
  <c r="J326" i="50"/>
  <c r="H945" i="50"/>
  <c r="J945" i="50"/>
  <c r="AF904" i="50"/>
  <c r="AF1407" i="50"/>
  <c r="X938" i="50"/>
  <c r="Z938" i="50"/>
  <c r="X1015" i="50"/>
  <c r="Z1015" i="50"/>
  <c r="X1050" i="50"/>
  <c r="Z1050" i="50"/>
  <c r="AD840" i="50"/>
  <c r="AD130" i="50"/>
  <c r="H868" i="50"/>
  <c r="J868" i="50"/>
  <c r="P819" i="50"/>
  <c r="N910" i="50"/>
  <c r="N200" i="50"/>
  <c r="N917" i="50"/>
  <c r="N207" i="50"/>
  <c r="H1064" i="50"/>
  <c r="P1064" i="50"/>
  <c r="AF1163" i="50"/>
  <c r="T1169" i="50"/>
  <c r="T459" i="50"/>
  <c r="AB1169" i="50"/>
  <c r="AB459" i="50"/>
  <c r="V1036" i="50"/>
  <c r="AF743" i="50"/>
  <c r="V987" i="50"/>
  <c r="V277" i="50"/>
  <c r="AF869" i="50"/>
  <c r="V1134" i="50"/>
  <c r="T1372" i="50"/>
  <c r="AB1372" i="50"/>
  <c r="AB2214" i="50" s="1"/>
  <c r="AB2928" i="50" s="1"/>
  <c r="V875" i="50"/>
  <c r="F1218" i="50"/>
  <c r="L1218" i="50"/>
  <c r="P812" i="50"/>
  <c r="P102" i="50"/>
  <c r="F834" i="50"/>
  <c r="R834" i="50" s="1"/>
  <c r="AL119" i="50"/>
  <c r="AM119" i="50" s="1"/>
  <c r="F994" i="50"/>
  <c r="AL279" i="50"/>
  <c r="L994" i="50"/>
  <c r="T1057" i="50"/>
  <c r="AG342" i="50"/>
  <c r="AI342" i="50" s="1"/>
  <c r="AD1113" i="50"/>
  <c r="X1057" i="50"/>
  <c r="AB1057" i="50"/>
  <c r="V973" i="50"/>
  <c r="V263" i="50"/>
  <c r="T1120" i="50"/>
  <c r="T410" i="50"/>
  <c r="AB1120" i="50"/>
  <c r="AB410" i="50"/>
  <c r="AD1071" i="50"/>
  <c r="AB1071" i="50"/>
  <c r="T1106" i="50"/>
  <c r="AB1106" i="50"/>
  <c r="H1281" i="50"/>
  <c r="L1281" i="50"/>
  <c r="H1365" i="50"/>
  <c r="L1365" i="50"/>
  <c r="P1316" i="50"/>
  <c r="F1225" i="50"/>
  <c r="AL510" i="50"/>
  <c r="AM510" i="50" s="1"/>
  <c r="F515" i="50"/>
  <c r="L1225" i="50"/>
  <c r="L515" i="50"/>
  <c r="P1267" i="50"/>
  <c r="P557" i="50"/>
  <c r="F1246" i="50"/>
  <c r="L1246" i="50"/>
  <c r="P1393" i="50"/>
  <c r="L237" i="50"/>
  <c r="J237" i="50"/>
  <c r="P237" i="50"/>
  <c r="N237" i="50"/>
  <c r="F237" i="50"/>
  <c r="H237" i="50"/>
  <c r="AH237" i="50"/>
  <c r="AO243" i="50"/>
  <c r="R706" i="50"/>
  <c r="R3300" i="50"/>
  <c r="AH3300" i="50" s="1"/>
  <c r="Z2571" i="50"/>
  <c r="Z3285" i="50" s="1"/>
  <c r="X2221" i="50"/>
  <c r="AD749" i="50"/>
  <c r="AD39" i="50"/>
  <c r="Z17" i="72" s="1"/>
  <c r="AF1346" i="50"/>
  <c r="AF1221" i="50"/>
  <c r="AF1080" i="50"/>
  <c r="AF1270" i="50"/>
  <c r="N725" i="50"/>
  <c r="AF872" i="50"/>
  <c r="AF928" i="50"/>
  <c r="AF984" i="50"/>
  <c r="AF738" i="50"/>
  <c r="AF787" i="50"/>
  <c r="AF955" i="50"/>
  <c r="AF990" i="50"/>
  <c r="AF1124" i="50"/>
  <c r="AF1073" i="50"/>
  <c r="AF802" i="50"/>
  <c r="AF809" i="50"/>
  <c r="R1416" i="50"/>
  <c r="F1228" i="50"/>
  <c r="R1361" i="50"/>
  <c r="F1039" i="50"/>
  <c r="R1039" i="50" s="1"/>
  <c r="F744" i="50"/>
  <c r="R744" i="50" s="1"/>
  <c r="AL29" i="50"/>
  <c r="AM29" i="50" s="1"/>
  <c r="F884" i="50"/>
  <c r="AL169" i="50"/>
  <c r="AM169" i="50" s="1"/>
  <c r="F1108" i="50"/>
  <c r="R1108" i="50" s="1"/>
  <c r="AL393" i="50"/>
  <c r="AM393" i="50" s="1"/>
  <c r="R1241" i="50"/>
  <c r="R1353" i="50"/>
  <c r="F1206" i="50"/>
  <c r="R1206" i="50" s="1"/>
  <c r="R1318" i="50"/>
  <c r="F1137" i="50"/>
  <c r="R1270" i="50"/>
  <c r="R1403" i="50"/>
  <c r="F1200" i="50"/>
  <c r="R1200" i="50" s="1"/>
  <c r="AL485" i="50"/>
  <c r="F1227" i="50"/>
  <c r="F829" i="50"/>
  <c r="R829" i="50" s="1"/>
  <c r="AL114" i="50"/>
  <c r="AM114" i="50" s="1"/>
  <c r="F842" i="50"/>
  <c r="R842" i="50" s="1"/>
  <c r="AL127" i="50"/>
  <c r="R1311" i="50"/>
  <c r="F808" i="50"/>
  <c r="R808" i="50" s="1"/>
  <c r="AL93" i="50"/>
  <c r="AM93" i="50" s="1"/>
  <c r="F920" i="50"/>
  <c r="R920" i="50" s="1"/>
  <c r="F1046" i="50"/>
  <c r="R1046" i="50" s="1"/>
  <c r="P3141" i="50"/>
  <c r="F1023" i="50"/>
  <c r="R1023" i="50" s="1"/>
  <c r="AL308" i="50"/>
  <c r="AM308" i="50" s="1"/>
  <c r="H1141" i="50"/>
  <c r="J1141" i="50"/>
  <c r="H1092" i="50"/>
  <c r="J1092" i="50"/>
  <c r="H973" i="50"/>
  <c r="J973" i="50"/>
  <c r="T1337" i="50"/>
  <c r="X1400" i="50"/>
  <c r="Z1400" i="50"/>
  <c r="X1316" i="50"/>
  <c r="Z1316" i="50"/>
  <c r="X1267" i="50"/>
  <c r="Z1267" i="50"/>
  <c r="X1302" i="50"/>
  <c r="Z1302" i="50"/>
  <c r="AD861" i="50"/>
  <c r="X931" i="50"/>
  <c r="Z931" i="50"/>
  <c r="N840" i="50"/>
  <c r="N130" i="50"/>
  <c r="H1204" i="50"/>
  <c r="H494" i="50"/>
  <c r="J1204" i="50"/>
  <c r="J494" i="50"/>
  <c r="H1113" i="50"/>
  <c r="J1113" i="50"/>
  <c r="H938" i="50"/>
  <c r="J938" i="50"/>
  <c r="H833" i="50"/>
  <c r="J833" i="50"/>
  <c r="AF1282" i="50"/>
  <c r="T1288" i="50"/>
  <c r="AB1288" i="50"/>
  <c r="V1351" i="50"/>
  <c r="AF1121" i="50"/>
  <c r="V1393" i="50"/>
  <c r="V683" i="50"/>
  <c r="T945" i="50"/>
  <c r="T235" i="50"/>
  <c r="AB945" i="50"/>
  <c r="AB235" i="50"/>
  <c r="AD742" i="50"/>
  <c r="AD32" i="50"/>
  <c r="Z6" i="72" s="1"/>
  <c r="P1176" i="50"/>
  <c r="P466" i="50"/>
  <c r="F924" i="50"/>
  <c r="F214" i="50"/>
  <c r="AL209" i="50"/>
  <c r="L924" i="50"/>
  <c r="L214" i="50"/>
  <c r="P88" i="50"/>
  <c r="F1155" i="50"/>
  <c r="AL440" i="50"/>
  <c r="L1155" i="50"/>
  <c r="P805" i="50"/>
  <c r="P95" i="50"/>
  <c r="T1365" i="50"/>
  <c r="T655" i="50"/>
  <c r="AB1365" i="50"/>
  <c r="AB655" i="50"/>
  <c r="AF1366" i="50"/>
  <c r="AD1379" i="50"/>
  <c r="AB1379" i="50"/>
  <c r="V826" i="50"/>
  <c r="V116" i="50"/>
  <c r="AD1323" i="50"/>
  <c r="AB1323" i="50"/>
  <c r="V1022" i="50"/>
  <c r="V312" i="50"/>
  <c r="T924" i="50"/>
  <c r="AB924" i="50"/>
  <c r="P1183" i="50"/>
  <c r="F1015" i="50"/>
  <c r="F305" i="50"/>
  <c r="AL300" i="50"/>
  <c r="L1015" i="50"/>
  <c r="F882" i="50"/>
  <c r="F172" i="50"/>
  <c r="AL167" i="50"/>
  <c r="L882" i="50"/>
  <c r="L172" i="50"/>
  <c r="F1001" i="50"/>
  <c r="AL286" i="50"/>
  <c r="L1001" i="50"/>
  <c r="AF1072" i="50"/>
  <c r="AF1219" i="50"/>
  <c r="AF771" i="50"/>
  <c r="V1008" i="50"/>
  <c r="AF1414" i="50"/>
  <c r="V966" i="50"/>
  <c r="AF750" i="50"/>
  <c r="V896" i="50"/>
  <c r="F1351" i="50"/>
  <c r="L1351" i="50"/>
  <c r="P1302" i="50"/>
  <c r="F1169" i="50"/>
  <c r="AL454" i="50"/>
  <c r="L1169" i="50"/>
  <c r="P1309" i="50"/>
  <c r="F1386" i="50"/>
  <c r="L1386" i="50"/>
  <c r="P1400" i="50"/>
  <c r="F1372" i="50"/>
  <c r="F662" i="50"/>
  <c r="L1372" i="50"/>
  <c r="L2214" i="50" s="1"/>
  <c r="L662" i="50"/>
  <c r="J71" i="32"/>
  <c r="AY118" i="49" a="1"/>
  <c r="AY118" i="49" s="1"/>
  <c r="F1229" i="50"/>
  <c r="AD2789" i="50"/>
  <c r="AD3503" i="50" s="1"/>
  <c r="AB2789" i="50"/>
  <c r="AB3503" i="50" s="1"/>
  <c r="Z2789" i="50"/>
  <c r="Z3503" i="50" s="1"/>
  <c r="T2789" i="50"/>
  <c r="F2789" i="50"/>
  <c r="V2789" i="50"/>
  <c r="V3503" i="50" s="1"/>
  <c r="P2768" i="50"/>
  <c r="P3482" i="50" s="1"/>
  <c r="P3484" i="50" s="1"/>
  <c r="H2768" i="50"/>
  <c r="H3482" i="50" s="1"/>
  <c r="H3484" i="50" s="1"/>
  <c r="L2768" i="50"/>
  <c r="L3482" i="50" s="1"/>
  <c r="Z2768" i="50"/>
  <c r="Z3482" i="50" s="1"/>
  <c r="Z3484" i="50" s="1"/>
  <c r="V2768" i="50"/>
  <c r="V3482" i="50" s="1"/>
  <c r="T2768" i="50"/>
  <c r="X2768" i="50"/>
  <c r="X3482" i="50" s="1"/>
  <c r="X3484" i="50" s="1"/>
  <c r="AF786" i="50"/>
  <c r="AB519" i="50"/>
  <c r="AB1234" i="50" s="1"/>
  <c r="Z519" i="50"/>
  <c r="Z1234" i="50" s="1"/>
  <c r="V519" i="50"/>
  <c r="V1234" i="50" s="1"/>
  <c r="T519" i="50"/>
  <c r="T1234" i="50" s="1"/>
  <c r="AD519" i="50"/>
  <c r="AD1234" i="50" s="1"/>
  <c r="X519" i="50"/>
  <c r="X1234" i="50" s="1"/>
  <c r="AH519" i="50"/>
  <c r="BP96" i="49"/>
  <c r="BU96" i="49" s="1"/>
  <c r="BL116" i="49"/>
  <c r="BL118" i="49" s="1"/>
  <c r="AB568" i="50"/>
  <c r="AB1283" i="50" s="1"/>
  <c r="Z568" i="50"/>
  <c r="Z1283" i="50" s="1"/>
  <c r="AD568" i="50"/>
  <c r="AD1283" i="50" s="1"/>
  <c r="V568" i="50"/>
  <c r="V1283" i="50" s="1"/>
  <c r="T568" i="50"/>
  <c r="T1283" i="50" s="1"/>
  <c r="X568" i="50"/>
  <c r="X1283" i="50" s="1"/>
  <c r="AD724" i="50"/>
  <c r="AB590" i="50"/>
  <c r="AB1305" i="50" s="1"/>
  <c r="Z590" i="50"/>
  <c r="Z1305" i="50" s="1"/>
  <c r="AD590" i="50"/>
  <c r="AD1305" i="50" s="1"/>
  <c r="T590" i="50"/>
  <c r="T1305" i="50" s="1"/>
  <c r="V590" i="50"/>
  <c r="V1305" i="50" s="1"/>
  <c r="X590" i="50"/>
  <c r="X1305" i="50" s="1"/>
  <c r="AB197" i="50"/>
  <c r="AB912" i="50" s="1"/>
  <c r="V197" i="50"/>
  <c r="V912" i="50" s="1"/>
  <c r="Z197" i="50"/>
  <c r="Z912" i="50" s="1"/>
  <c r="AD197" i="50"/>
  <c r="AD912" i="50" s="1"/>
  <c r="T197" i="50"/>
  <c r="T912" i="50" s="1"/>
  <c r="X197" i="50"/>
  <c r="X912" i="50" s="1"/>
  <c r="AH197" i="50"/>
  <c r="AN201" i="50"/>
  <c r="AB701" i="50"/>
  <c r="AB1416" i="50" s="1"/>
  <c r="Z701" i="50"/>
  <c r="Z1416" i="50" s="1"/>
  <c r="V701" i="50"/>
  <c r="V1416" i="50" s="1"/>
  <c r="T701" i="50"/>
  <c r="T1416" i="50" s="1"/>
  <c r="AD701" i="50"/>
  <c r="AD1416" i="50" s="1"/>
  <c r="X701" i="50"/>
  <c r="X1416" i="50" s="1"/>
  <c r="AH701" i="50"/>
  <c r="F732" i="50"/>
  <c r="R732" i="50" s="1"/>
  <c r="AL17" i="50"/>
  <c r="AM17" i="50" s="1"/>
  <c r="AF745" i="50"/>
  <c r="AB177" i="50"/>
  <c r="AB892" i="50" s="1"/>
  <c r="Z177" i="50"/>
  <c r="Z892" i="50" s="1"/>
  <c r="V177" i="50"/>
  <c r="V892" i="50" s="1"/>
  <c r="AD177" i="50"/>
  <c r="AD892" i="50" s="1"/>
  <c r="T177" i="50"/>
  <c r="T892" i="50" s="1"/>
  <c r="X177" i="50"/>
  <c r="X892" i="50" s="1"/>
  <c r="AH177" i="50"/>
  <c r="AB324" i="50"/>
  <c r="AB1039" i="50" s="1"/>
  <c r="Z324" i="50"/>
  <c r="Z1039" i="50" s="1"/>
  <c r="V324" i="50"/>
  <c r="V1039" i="50" s="1"/>
  <c r="AD324" i="50"/>
  <c r="AD1039" i="50" s="1"/>
  <c r="T324" i="50"/>
  <c r="T1039" i="50" s="1"/>
  <c r="X324" i="50"/>
  <c r="X1039" i="50" s="1"/>
  <c r="AH324" i="50"/>
  <c r="AB554" i="50"/>
  <c r="AB1269" i="50" s="1"/>
  <c r="Z554" i="50"/>
  <c r="Z1269" i="50" s="1"/>
  <c r="V554" i="50"/>
  <c r="V1269" i="50" s="1"/>
  <c r="AD554" i="50"/>
  <c r="AD1269" i="50" s="1"/>
  <c r="T554" i="50"/>
  <c r="T1269" i="50" s="1"/>
  <c r="X554" i="50"/>
  <c r="X1269" i="50" s="1"/>
  <c r="AH554" i="50"/>
  <c r="F723" i="50"/>
  <c r="AL8" i="50"/>
  <c r="J723" i="50"/>
  <c r="L260" i="50"/>
  <c r="L975" i="50" s="1"/>
  <c r="P260" i="50"/>
  <c r="P975" i="50" s="1"/>
  <c r="N260" i="50"/>
  <c r="N975" i="50" s="1"/>
  <c r="J260" i="50"/>
  <c r="J975" i="50" s="1"/>
  <c r="H260" i="50"/>
  <c r="H975" i="50" s="1"/>
  <c r="F260" i="50"/>
  <c r="AH260" i="50"/>
  <c r="AO264" i="50"/>
  <c r="L645" i="50"/>
  <c r="L1360" i="50" s="1"/>
  <c r="J645" i="50"/>
  <c r="J1360" i="50" s="1"/>
  <c r="P645" i="50"/>
  <c r="P1360" i="50" s="1"/>
  <c r="N645" i="50"/>
  <c r="N1360" i="50" s="1"/>
  <c r="F645" i="50"/>
  <c r="F1360" i="50" s="1"/>
  <c r="H645" i="50"/>
  <c r="H1360" i="50" s="1"/>
  <c r="AH645" i="50"/>
  <c r="F772" i="50"/>
  <c r="R772" i="50" s="1"/>
  <c r="AL57" i="50"/>
  <c r="AM57" i="50" s="1"/>
  <c r="L597" i="50"/>
  <c r="L1312" i="50" s="1"/>
  <c r="J597" i="50"/>
  <c r="J1312" i="50" s="1"/>
  <c r="P597" i="50"/>
  <c r="P1312" i="50" s="1"/>
  <c r="N597" i="50"/>
  <c r="N1312" i="50" s="1"/>
  <c r="F597" i="50"/>
  <c r="F1312" i="50" s="1"/>
  <c r="H597" i="50"/>
  <c r="H1312" i="50" s="1"/>
  <c r="AH597" i="50"/>
  <c r="L183" i="50"/>
  <c r="L898" i="50" s="1"/>
  <c r="J183" i="50"/>
  <c r="P183" i="50"/>
  <c r="P898" i="50" s="1"/>
  <c r="N183" i="50"/>
  <c r="N898" i="50" s="1"/>
  <c r="F183" i="50"/>
  <c r="H183" i="50"/>
  <c r="AH183" i="50"/>
  <c r="AO187" i="50"/>
  <c r="L254" i="50"/>
  <c r="L969" i="50" s="1"/>
  <c r="J254" i="50"/>
  <c r="J969" i="50" s="1"/>
  <c r="P254" i="50"/>
  <c r="P969" i="50" s="1"/>
  <c r="N254" i="50"/>
  <c r="N969" i="50" s="1"/>
  <c r="F254" i="50"/>
  <c r="F256" i="50" s="1"/>
  <c r="H254" i="50"/>
  <c r="H969" i="50" s="1"/>
  <c r="AH254" i="50"/>
  <c r="AO257" i="50"/>
  <c r="F758" i="50"/>
  <c r="R758" i="50" s="1"/>
  <c r="AL43" i="50"/>
  <c r="AM43" i="50" s="1"/>
  <c r="L261" i="50"/>
  <c r="L976" i="50" s="1"/>
  <c r="J261" i="50"/>
  <c r="J976" i="50" s="1"/>
  <c r="P261" i="50"/>
  <c r="P976" i="50" s="1"/>
  <c r="N261" i="50"/>
  <c r="N976" i="50" s="1"/>
  <c r="F261" i="50"/>
  <c r="H261" i="50"/>
  <c r="H976" i="50" s="1"/>
  <c r="AH261" i="50"/>
  <c r="R2204" i="50"/>
  <c r="V2774" i="50"/>
  <c r="P1134" i="50"/>
  <c r="P424" i="50"/>
  <c r="F1030" i="50"/>
  <c r="R1030" i="50" s="1"/>
  <c r="AL315" i="50"/>
  <c r="AM315" i="50" s="1"/>
  <c r="P987" i="50"/>
  <c r="P277" i="50"/>
  <c r="P966" i="50"/>
  <c r="F904" i="50"/>
  <c r="R904" i="50" s="1"/>
  <c r="AL189" i="50"/>
  <c r="AM189" i="50" s="1"/>
  <c r="N861" i="50"/>
  <c r="N151" i="50"/>
  <c r="P60" i="50"/>
  <c r="L60" i="50"/>
  <c r="AF1086" i="50"/>
  <c r="AF1310" i="50"/>
  <c r="V1309" i="50"/>
  <c r="T1204" i="50"/>
  <c r="AB1204" i="50"/>
  <c r="T1155" i="50"/>
  <c r="AB1155" i="50"/>
  <c r="T1190" i="50"/>
  <c r="AB1190" i="50"/>
  <c r="V735" i="50"/>
  <c r="V25" i="50"/>
  <c r="T819" i="50"/>
  <c r="AB819" i="50"/>
  <c r="F826" i="50"/>
  <c r="F116" i="50"/>
  <c r="AL111" i="50"/>
  <c r="L826" i="50"/>
  <c r="L116" i="50"/>
  <c r="Z1029" i="50"/>
  <c r="Z319" i="50"/>
  <c r="T1281" i="50"/>
  <c r="X1197" i="50"/>
  <c r="X487" i="50"/>
  <c r="Z1197" i="50"/>
  <c r="Z487" i="50"/>
  <c r="T1239" i="50"/>
  <c r="T529" i="50"/>
  <c r="AD1274" i="50"/>
  <c r="X833" i="50"/>
  <c r="Z833" i="50"/>
  <c r="AD903" i="50"/>
  <c r="N1085" i="50"/>
  <c r="H1148" i="50"/>
  <c r="J1148" i="50"/>
  <c r="H1043" i="50"/>
  <c r="J1043" i="50"/>
  <c r="F18" i="50"/>
  <c r="D4" i="72" s="1"/>
  <c r="AL13" i="50"/>
  <c r="X910" i="50"/>
  <c r="Z910" i="50"/>
  <c r="AD1085" i="50"/>
  <c r="X1260" i="50"/>
  <c r="Z1260" i="50"/>
  <c r="X1211" i="50"/>
  <c r="Z1211" i="50"/>
  <c r="X1358" i="50"/>
  <c r="Z1358" i="50"/>
  <c r="AD917" i="50"/>
  <c r="H896" i="50"/>
  <c r="J896" i="50"/>
  <c r="H903" i="50"/>
  <c r="J903" i="50"/>
  <c r="N889" i="50"/>
  <c r="N179" i="50"/>
  <c r="X1001" i="50"/>
  <c r="Z1001" i="50"/>
  <c r="Z291" i="50"/>
  <c r="X1253" i="50"/>
  <c r="Z1253" i="50"/>
  <c r="AF1044" i="50"/>
  <c r="AD1344" i="50"/>
  <c r="V1295" i="50"/>
  <c r="V585" i="50"/>
  <c r="AF1065" i="50"/>
  <c r="T994" i="50"/>
  <c r="T284" i="50"/>
  <c r="AB994" i="50"/>
  <c r="AB284" i="50"/>
  <c r="V959" i="50"/>
  <c r="F1288" i="50"/>
  <c r="L1288" i="50"/>
  <c r="P1344" i="50"/>
  <c r="F1323" i="50"/>
  <c r="F613" i="50"/>
  <c r="L1323" i="50"/>
  <c r="L613" i="50"/>
  <c r="P1260" i="50"/>
  <c r="H1253" i="50"/>
  <c r="L1253" i="50"/>
  <c r="P1337" i="50"/>
  <c r="P627" i="50"/>
  <c r="T1819" i="50"/>
  <c r="AB1819" i="50"/>
  <c r="AH1819" i="50"/>
  <c r="AN1824" i="50"/>
  <c r="F1824" i="50" s="1"/>
  <c r="AD1819" i="50"/>
  <c r="X1819" i="50"/>
  <c r="Z1819" i="50"/>
  <c r="AF2148" i="50"/>
  <c r="V1819" i="50"/>
  <c r="H1190" i="50"/>
  <c r="H480" i="50"/>
  <c r="J480" i="50"/>
  <c r="AL1468" i="50"/>
  <c r="T2183" i="50"/>
  <c r="T2897" i="50" s="1"/>
  <c r="T1473" i="50"/>
  <c r="X1474" i="50" s="1"/>
  <c r="V2549" i="50"/>
  <c r="V3263" i="50" s="1"/>
  <c r="AB2549" i="50"/>
  <c r="AB3263" i="50" s="1"/>
  <c r="Z2716" i="50"/>
  <c r="Z3430" i="50" s="1"/>
  <c r="AF1096" i="50"/>
  <c r="AB2968" i="50"/>
  <c r="X2674" i="50"/>
  <c r="AL1959" i="50"/>
  <c r="AM1959" i="50" s="1"/>
  <c r="AL1616" i="50"/>
  <c r="AM1616" i="50" s="1"/>
  <c r="F2331" i="50"/>
  <c r="F3045" i="50" s="1"/>
  <c r="F1620" i="50"/>
  <c r="F1656" i="50"/>
  <c r="Z2904" i="50"/>
  <c r="F1012" i="50"/>
  <c r="R1012" i="50" s="1"/>
  <c r="AL297" i="50"/>
  <c r="AM297" i="50" s="1"/>
  <c r="F970" i="50"/>
  <c r="R970" i="50" s="1"/>
  <c r="H722" i="50"/>
  <c r="J722" i="50"/>
  <c r="AD763" i="50"/>
  <c r="AD53" i="50"/>
  <c r="X784" i="50"/>
  <c r="X74" i="50"/>
  <c r="Z784" i="50"/>
  <c r="Z74" i="50"/>
  <c r="P791" i="50"/>
  <c r="P81" i="50"/>
  <c r="N2789" i="50"/>
  <c r="N3503" i="50" s="1"/>
  <c r="AD2654" i="50"/>
  <c r="AD3368" i="50" s="1"/>
  <c r="L2485" i="50"/>
  <c r="L3199" i="50" s="1"/>
  <c r="J2485" i="50"/>
  <c r="J3199" i="50" s="1"/>
  <c r="J2572" i="50"/>
  <c r="J3286" i="50" s="1"/>
  <c r="F816" i="50"/>
  <c r="R816" i="50" s="1"/>
  <c r="AL101" i="50"/>
  <c r="AM101" i="50" s="1"/>
  <c r="F1075" i="50"/>
  <c r="R1075" i="50" s="1"/>
  <c r="AL360" i="50"/>
  <c r="AM360" i="50" s="1"/>
  <c r="P3447" i="50"/>
  <c r="N3275" i="50"/>
  <c r="F919" i="50"/>
  <c r="R919" i="50" s="1"/>
  <c r="AL204" i="50"/>
  <c r="AM204" i="50" s="1"/>
  <c r="AF1367" i="50"/>
  <c r="AD2606" i="50"/>
  <c r="AD798" i="50"/>
  <c r="AD88" i="50"/>
  <c r="L3178" i="50"/>
  <c r="R3178" i="50" s="1"/>
  <c r="F900" i="50"/>
  <c r="R900" i="50" s="1"/>
  <c r="AL185" i="50"/>
  <c r="AM185" i="50" s="1"/>
  <c r="N3528" i="50"/>
  <c r="F1110" i="50"/>
  <c r="R1110" i="50" s="1"/>
  <c r="AL395" i="50"/>
  <c r="AM395" i="50" s="1"/>
  <c r="H3365" i="50"/>
  <c r="F778" i="50"/>
  <c r="R778" i="50" s="1"/>
  <c r="AL63" i="50"/>
  <c r="AM63" i="50" s="1"/>
  <c r="F990" i="50"/>
  <c r="R990" i="50" s="1"/>
  <c r="AL275" i="50"/>
  <c r="AM275" i="50" s="1"/>
  <c r="Z2809" i="50"/>
  <c r="Z3523" i="50" s="1"/>
  <c r="Z2759" i="50"/>
  <c r="Z3473" i="50" s="1"/>
  <c r="AD2759" i="50"/>
  <c r="AD3473" i="50" s="1"/>
  <c r="H2675" i="50"/>
  <c r="H3389" i="50" s="1"/>
  <c r="H1963" i="50"/>
  <c r="H1964" i="50" s="1"/>
  <c r="AD2850" i="50"/>
  <c r="AD3564" i="50" s="1"/>
  <c r="AD3568" i="50" s="1"/>
  <c r="Z2850" i="50"/>
  <c r="Z3564" i="50" s="1"/>
  <c r="Z3568" i="50" s="1"/>
  <c r="X2640" i="50"/>
  <c r="X1928" i="50"/>
  <c r="AB1929" i="50" s="1"/>
  <c r="F3341" i="50"/>
  <c r="F907" i="50"/>
  <c r="R907" i="50" s="1"/>
  <c r="AL192" i="50"/>
  <c r="AM192" i="50" s="1"/>
  <c r="P3500" i="50"/>
  <c r="AD2921" i="50"/>
  <c r="AF2921" i="50" s="1"/>
  <c r="F2514" i="50"/>
  <c r="F1068" i="50"/>
  <c r="R1068" i="50" s="1"/>
  <c r="AL353" i="50"/>
  <c r="AM353" i="50" s="1"/>
  <c r="R2288" i="50"/>
  <c r="F991" i="50"/>
  <c r="R991" i="50" s="1"/>
  <c r="AL276" i="50"/>
  <c r="AM276" i="50" s="1"/>
  <c r="AF1165" i="50"/>
  <c r="AF1032" i="50"/>
  <c r="F942" i="50"/>
  <c r="R942" i="50" s="1"/>
  <c r="AL227" i="50"/>
  <c r="AM227" i="50" s="1"/>
  <c r="AF948" i="50"/>
  <c r="F1078" i="50"/>
  <c r="AL363" i="50"/>
  <c r="L1078" i="50"/>
  <c r="F1074" i="50"/>
  <c r="R1074" i="50" s="1"/>
  <c r="AF1207" i="50"/>
  <c r="AF2947" i="50"/>
  <c r="X721" i="50"/>
  <c r="X11" i="50"/>
  <c r="X12" i="50" s="1"/>
  <c r="Z721" i="50"/>
  <c r="Z11" i="50"/>
  <c r="Z12" i="50" s="1"/>
  <c r="H3073" i="50"/>
  <c r="P3087" i="50"/>
  <c r="R2586" i="50"/>
  <c r="T3219" i="50"/>
  <c r="V3020" i="50"/>
  <c r="AF1094" i="50"/>
  <c r="P1250" i="50"/>
  <c r="AF2184" i="50"/>
  <c r="Z3284" i="50"/>
  <c r="AF3284" i="50" s="1"/>
  <c r="Z3342" i="50"/>
  <c r="V2485" i="50"/>
  <c r="V3199" i="50" s="1"/>
  <c r="H2992" i="50"/>
  <c r="Z3011" i="50"/>
  <c r="AF3011" i="50" s="1"/>
  <c r="L3394" i="50"/>
  <c r="R2906" i="50"/>
  <c r="R3086" i="50"/>
  <c r="AF3338" i="50"/>
  <c r="AF2877" i="50"/>
  <c r="P3113" i="50"/>
  <c r="R3107" i="50"/>
  <c r="R3198" i="50"/>
  <c r="AF3060" i="50"/>
  <c r="Z3275" i="50"/>
  <c r="L3085" i="50"/>
  <c r="R3415" i="50"/>
  <c r="H2975" i="50"/>
  <c r="H3032" i="50"/>
  <c r="T1334" i="50"/>
  <c r="AF1334" i="50" s="1"/>
  <c r="AD1662" i="50"/>
  <c r="AD1663" i="50" s="1"/>
  <c r="AD2376" i="50"/>
  <c r="F743" i="50"/>
  <c r="AL28" i="50"/>
  <c r="AM28" i="50" s="1"/>
  <c r="R2198" i="50"/>
  <c r="AF3458" i="50"/>
  <c r="P2896" i="50"/>
  <c r="AF3086" i="50"/>
  <c r="N3062" i="50"/>
  <c r="H2913" i="50"/>
  <c r="N1250" i="50"/>
  <c r="AF2185" i="50"/>
  <c r="H3128" i="50"/>
  <c r="R3509" i="50"/>
  <c r="V3400" i="50"/>
  <c r="R3401" i="50"/>
  <c r="J2896" i="50"/>
  <c r="R3101" i="50"/>
  <c r="AF3290" i="50"/>
  <c r="AF2887" i="50"/>
  <c r="R2977" i="50"/>
  <c r="AF2878" i="50"/>
  <c r="AF3212" i="50"/>
  <c r="R3327" i="50"/>
  <c r="AF3046" i="50"/>
  <c r="R3419" i="50"/>
  <c r="AF3076" i="50"/>
  <c r="AF3130" i="50"/>
  <c r="R3317" i="50"/>
  <c r="AF2961" i="50"/>
  <c r="J305" i="50" l="1"/>
  <c r="AL450" i="50"/>
  <c r="AM450" i="50" s="1"/>
  <c r="J277" i="50"/>
  <c r="Z1122" i="50"/>
  <c r="J333" i="50"/>
  <c r="H333" i="50"/>
  <c r="P10" i="72"/>
  <c r="R1165" i="50"/>
  <c r="X706" i="50"/>
  <c r="AD361" i="50"/>
  <c r="N277" i="50"/>
  <c r="R1326" i="50"/>
  <c r="AF753" i="50"/>
  <c r="AB242" i="50"/>
  <c r="T1074" i="50"/>
  <c r="T952" i="50"/>
  <c r="AD1074" i="50"/>
  <c r="T889" i="50"/>
  <c r="F284" i="50"/>
  <c r="H214" i="50"/>
  <c r="P515" i="50"/>
  <c r="H452" i="50"/>
  <c r="AF1158" i="50"/>
  <c r="AL272" i="50"/>
  <c r="AM272" i="50" s="1"/>
  <c r="L959" i="50"/>
  <c r="AF25" i="72"/>
  <c r="T417" i="50"/>
  <c r="D10" i="72"/>
  <c r="AL367" i="50"/>
  <c r="AM367" i="50" s="1"/>
  <c r="AF767" i="50"/>
  <c r="J13" i="72"/>
  <c r="AM296" i="50"/>
  <c r="N452" i="50"/>
  <c r="Z706" i="50"/>
  <c r="AA706" i="50" s="1"/>
  <c r="F15" i="72"/>
  <c r="AC18" i="72"/>
  <c r="AC21" i="72"/>
  <c r="AB23" i="72"/>
  <c r="F333" i="50"/>
  <c r="AC19" i="72"/>
  <c r="V17" i="72"/>
  <c r="N9" i="72"/>
  <c r="X54" i="50"/>
  <c r="AB21" i="72"/>
  <c r="AC23" i="72"/>
  <c r="J515" i="50"/>
  <c r="AC24" i="72"/>
  <c r="P319" i="50"/>
  <c r="R764" i="50"/>
  <c r="T291" i="50"/>
  <c r="N305" i="50"/>
  <c r="Z16" i="72"/>
  <c r="AC20" i="72"/>
  <c r="AF21" i="72"/>
  <c r="AB25" i="72"/>
  <c r="AB18" i="72"/>
  <c r="AB20" i="72"/>
  <c r="AC22" i="72"/>
  <c r="AE22" i="72" s="1"/>
  <c r="AG22" i="72" s="1"/>
  <c r="F16" i="72"/>
  <c r="AB24" i="72"/>
  <c r="AF26" i="72"/>
  <c r="J389" i="50"/>
  <c r="Z368" i="50"/>
  <c r="AH1369" i="50"/>
  <c r="AF1004" i="50"/>
  <c r="AC25" i="72"/>
  <c r="R1137" i="50"/>
  <c r="P17" i="72"/>
  <c r="AF18" i="72"/>
  <c r="AF19" i="72"/>
  <c r="L710" i="50"/>
  <c r="M710" i="50" s="1"/>
  <c r="X7" i="72"/>
  <c r="H16" i="72"/>
  <c r="AF23" i="72"/>
  <c r="D16" i="72"/>
  <c r="AB669" i="50"/>
  <c r="L10" i="72"/>
  <c r="N61" i="50"/>
  <c r="AB706" i="50"/>
  <c r="AC706" i="50" s="1"/>
  <c r="AF20" i="72"/>
  <c r="AF24" i="72"/>
  <c r="N16" i="72"/>
  <c r="J550" i="50"/>
  <c r="AF22" i="72"/>
  <c r="T15" i="72"/>
  <c r="AL281" i="50"/>
  <c r="AM281" i="50" s="1"/>
  <c r="AL20" i="50"/>
  <c r="AS26" i="50" s="1"/>
  <c r="F249" i="50"/>
  <c r="Z7" i="72"/>
  <c r="R996" i="50"/>
  <c r="AH996" i="50" s="1"/>
  <c r="R15" i="72"/>
  <c r="H550" i="50"/>
  <c r="X17" i="72"/>
  <c r="X16" i="72"/>
  <c r="AB22" i="72"/>
  <c r="AI22" i="72" s="1"/>
  <c r="L46" i="50"/>
  <c r="L47" i="50" s="1"/>
  <c r="T16" i="72"/>
  <c r="J10" i="72"/>
  <c r="L61" i="50"/>
  <c r="R9" i="72"/>
  <c r="AB19" i="72"/>
  <c r="N10" i="72"/>
  <c r="P61" i="50"/>
  <c r="O7" i="72" s="1"/>
  <c r="L3062" i="50"/>
  <c r="R2540" i="50"/>
  <c r="AF2208" i="50"/>
  <c r="AD3519" i="50"/>
  <c r="L2236" i="50"/>
  <c r="L2950" i="50" s="1"/>
  <c r="R2950" i="50" s="1"/>
  <c r="V2926" i="50"/>
  <c r="H1998" i="50"/>
  <c r="H1999" i="50" s="1"/>
  <c r="AF2267" i="50"/>
  <c r="AF2922" i="50"/>
  <c r="H1970" i="50"/>
  <c r="H1971" i="50" s="1"/>
  <c r="AB3391" i="50"/>
  <c r="H3477" i="50"/>
  <c r="AF2375" i="50"/>
  <c r="P3092" i="50"/>
  <c r="T2005" i="50"/>
  <c r="AF2898" i="50"/>
  <c r="AH2898" i="50" s="1"/>
  <c r="X3106" i="50"/>
  <c r="Z3407" i="50"/>
  <c r="AF2502" i="50"/>
  <c r="N1515" i="50"/>
  <c r="AF3432" i="50"/>
  <c r="AF3089" i="50"/>
  <c r="L3100" i="50"/>
  <c r="T2012" i="50"/>
  <c r="T1746" i="50"/>
  <c r="AF2796" i="50"/>
  <c r="AB3498" i="50"/>
  <c r="R2200" i="50"/>
  <c r="AH2200" i="50" s="1"/>
  <c r="N2987" i="50"/>
  <c r="N3407" i="50"/>
  <c r="L1970" i="50"/>
  <c r="L1971" i="50" s="1"/>
  <c r="P1662" i="50"/>
  <c r="P1663" i="50" s="1"/>
  <c r="AT1663" i="50" s="1"/>
  <c r="Z3428" i="50"/>
  <c r="AD1837" i="50"/>
  <c r="AD1838" i="50" s="1"/>
  <c r="X1963" i="50"/>
  <c r="X1964" i="50" s="1"/>
  <c r="X2047" i="50"/>
  <c r="X2048" i="50" s="1"/>
  <c r="AH3293" i="50"/>
  <c r="AD2068" i="50"/>
  <c r="AD2069" i="50" s="1"/>
  <c r="J1998" i="50"/>
  <c r="J1999" i="50" s="1"/>
  <c r="P3134" i="50"/>
  <c r="AF2513" i="50"/>
  <c r="R2955" i="50"/>
  <c r="P1467" i="50"/>
  <c r="AF3510" i="50"/>
  <c r="Z2047" i="50"/>
  <c r="Z2048" i="50" s="1"/>
  <c r="AF2367" i="50"/>
  <c r="R3279" i="50"/>
  <c r="Z3013" i="50"/>
  <c r="AF2939" i="50"/>
  <c r="AT1558" i="50"/>
  <c r="AH2194" i="50"/>
  <c r="AF3492" i="50"/>
  <c r="P2924" i="50"/>
  <c r="AD3106" i="50"/>
  <c r="L2889" i="50"/>
  <c r="T2068" i="50"/>
  <c r="X2243" i="50"/>
  <c r="X2957" i="50" s="1"/>
  <c r="X2959" i="50" s="1"/>
  <c r="X3477" i="50"/>
  <c r="R2541" i="50"/>
  <c r="AF2498" i="50"/>
  <c r="AH2498" i="50" s="1"/>
  <c r="J3428" i="50"/>
  <c r="H2061" i="50"/>
  <c r="H2062" i="50" s="1"/>
  <c r="L3400" i="50"/>
  <c r="R2655" i="50"/>
  <c r="AH2655" i="50" s="1"/>
  <c r="R2241" i="50"/>
  <c r="AH2241" i="50" s="1"/>
  <c r="AF2667" i="50"/>
  <c r="AH2667" i="50" s="1"/>
  <c r="N1592" i="50"/>
  <c r="N1593" i="50" s="1"/>
  <c r="V3099" i="50"/>
  <c r="R2190" i="50"/>
  <c r="AH2190" i="50" s="1"/>
  <c r="V2068" i="50"/>
  <c r="V2069" i="50" s="1"/>
  <c r="AF2683" i="50"/>
  <c r="AG2685" i="50" s="1"/>
  <c r="AG2686" i="50" s="1"/>
  <c r="Z1508" i="50"/>
  <c r="Z1509" i="50" s="1"/>
  <c r="R2894" i="50"/>
  <c r="R3355" i="50"/>
  <c r="AH3355" i="50" s="1"/>
  <c r="R3131" i="50"/>
  <c r="AH3131" i="50" s="1"/>
  <c r="R2269" i="50"/>
  <c r="AH2269" i="50" s="1"/>
  <c r="N1495" i="50"/>
  <c r="R2527" i="50"/>
  <c r="S2531" i="50" s="1"/>
  <c r="S2532" i="50" s="1"/>
  <c r="AF2387" i="50"/>
  <c r="AH2387" i="50" s="1"/>
  <c r="R3471" i="50"/>
  <c r="AH3471" i="50" s="1"/>
  <c r="AF2746" i="50"/>
  <c r="T2926" i="50"/>
  <c r="R3433" i="50"/>
  <c r="X1508" i="50"/>
  <c r="X1509" i="50" s="1"/>
  <c r="AH3433" i="50"/>
  <c r="R2904" i="50"/>
  <c r="J3323" i="50"/>
  <c r="AD1711" i="50"/>
  <c r="AD1712" i="50" s="1"/>
  <c r="AD1893" i="50"/>
  <c r="AD1894" i="50" s="1"/>
  <c r="R2757" i="50"/>
  <c r="P1809" i="50"/>
  <c r="P1810" i="50" s="1"/>
  <c r="AD3407" i="50"/>
  <c r="AB1837" i="50"/>
  <c r="AB1838" i="50" s="1"/>
  <c r="R3559" i="50"/>
  <c r="AH3559" i="50" s="1"/>
  <c r="H3396" i="50"/>
  <c r="R3396" i="50" s="1"/>
  <c r="AF2170" i="50"/>
  <c r="AF2206" i="50"/>
  <c r="R2585" i="50"/>
  <c r="L3064" i="50"/>
  <c r="AF3391" i="50"/>
  <c r="AF2582" i="50"/>
  <c r="F1613" i="50"/>
  <c r="AF3227" i="50"/>
  <c r="AH3227" i="50" s="1"/>
  <c r="AH2397" i="50"/>
  <c r="AF2425" i="50"/>
  <c r="AH2425" i="50" s="1"/>
  <c r="J2061" i="50"/>
  <c r="J2062" i="50" s="1"/>
  <c r="AF3139" i="50"/>
  <c r="AH3139" i="50" s="1"/>
  <c r="AF2388" i="50"/>
  <c r="V3092" i="50"/>
  <c r="AF3402" i="50"/>
  <c r="R2404" i="50"/>
  <c r="F3039" i="50"/>
  <c r="F3043" i="50" s="1"/>
  <c r="L3477" i="50"/>
  <c r="AF2449" i="50"/>
  <c r="AB3099" i="50"/>
  <c r="N3078" i="50"/>
  <c r="P3400" i="50"/>
  <c r="AH2922" i="50"/>
  <c r="AH3304" i="50"/>
  <c r="AH2991" i="50"/>
  <c r="AF2915" i="50"/>
  <c r="R2926" i="50"/>
  <c r="R767" i="50"/>
  <c r="R2211" i="50"/>
  <c r="T756" i="50"/>
  <c r="Z5" i="72"/>
  <c r="AD26" i="50"/>
  <c r="AA15" i="72" s="1"/>
  <c r="X26" i="72"/>
  <c r="AB26" i="50"/>
  <c r="Y15" i="72" s="1"/>
  <c r="R26" i="72"/>
  <c r="V26" i="50"/>
  <c r="S15" i="72" s="1"/>
  <c r="V26" i="72"/>
  <c r="Z26" i="50"/>
  <c r="W15" i="72" s="1"/>
  <c r="Y706" i="50"/>
  <c r="T5" i="72"/>
  <c r="X26" i="50"/>
  <c r="U15" i="72" s="1"/>
  <c r="N33" i="50"/>
  <c r="M16" i="72" s="1"/>
  <c r="AC16" i="72" s="1"/>
  <c r="O26" i="72"/>
  <c r="L26" i="50"/>
  <c r="K15" i="72" s="1"/>
  <c r="Q26" i="72"/>
  <c r="N26" i="50"/>
  <c r="M15" i="72" s="1"/>
  <c r="N26" i="72"/>
  <c r="P26" i="50"/>
  <c r="O15" i="72" s="1"/>
  <c r="T25" i="50"/>
  <c r="P15" i="72" s="1"/>
  <c r="M341" i="49"/>
  <c r="M342" i="49" s="1"/>
  <c r="R743" i="50"/>
  <c r="AH743" i="50" s="1"/>
  <c r="R729" i="50"/>
  <c r="AH2908" i="50"/>
  <c r="R2905" i="50"/>
  <c r="S2909" i="50" s="1"/>
  <c r="S2910" i="50" s="1"/>
  <c r="AF2172" i="50"/>
  <c r="AH2172" i="50" s="1"/>
  <c r="AM499" i="50"/>
  <c r="AF828" i="50"/>
  <c r="AF1296" i="50"/>
  <c r="AH1296" i="50" s="1"/>
  <c r="AF774" i="50"/>
  <c r="AL513" i="50"/>
  <c r="AM513" i="50" s="1"/>
  <c r="AB812" i="50"/>
  <c r="AF812" i="50" s="1"/>
  <c r="R1389" i="50"/>
  <c r="AH1389" i="50" s="1"/>
  <c r="R1263" i="50"/>
  <c r="AH1263" i="50" s="1"/>
  <c r="AH1313" i="50"/>
  <c r="F707" i="50"/>
  <c r="G707" i="50" s="1"/>
  <c r="S707" i="50" s="1"/>
  <c r="R1290" i="50"/>
  <c r="AH1290" i="50" s="1"/>
  <c r="AF1103" i="50"/>
  <c r="AD1425" i="50"/>
  <c r="AD1439" i="50" s="1"/>
  <c r="AL244" i="50"/>
  <c r="AM244" i="50" s="1"/>
  <c r="L305" i="50"/>
  <c r="T1029" i="50"/>
  <c r="AF1029" i="50" s="1"/>
  <c r="AG1034" i="50" s="1"/>
  <c r="AG1035" i="50" s="1"/>
  <c r="F981" i="50"/>
  <c r="R981" i="50" s="1"/>
  <c r="AB620" i="50"/>
  <c r="X1425" i="50"/>
  <c r="X1439" i="50" s="1"/>
  <c r="R934" i="50"/>
  <c r="V417" i="50"/>
  <c r="AL303" i="50"/>
  <c r="AM303" i="50" s="1"/>
  <c r="R1102" i="50"/>
  <c r="R1228" i="50"/>
  <c r="AH1228" i="50" s="1"/>
  <c r="F46" i="50"/>
  <c r="L368" i="50"/>
  <c r="F959" i="50"/>
  <c r="AL45" i="50"/>
  <c r="AM45" i="50" s="1"/>
  <c r="P707" i="50"/>
  <c r="Q707" i="50" s="1"/>
  <c r="N368" i="50"/>
  <c r="F480" i="50"/>
  <c r="N515" i="50"/>
  <c r="R1018" i="50"/>
  <c r="R774" i="50"/>
  <c r="P710" i="50"/>
  <c r="Q710" i="50" s="1"/>
  <c r="AB361" i="50"/>
  <c r="P480" i="50"/>
  <c r="H424" i="50"/>
  <c r="P1425" i="50"/>
  <c r="P1439" i="50" s="1"/>
  <c r="P46" i="50"/>
  <c r="N12" i="72" s="1"/>
  <c r="AL255" i="50"/>
  <c r="AM255" i="50" s="1"/>
  <c r="P305" i="50"/>
  <c r="R1227" i="50"/>
  <c r="AB417" i="50"/>
  <c r="T249" i="50"/>
  <c r="AM247" i="50"/>
  <c r="AM371" i="50"/>
  <c r="P550" i="50"/>
  <c r="X291" i="50"/>
  <c r="AL97" i="50"/>
  <c r="AM97" i="50" s="1"/>
  <c r="T368" i="50"/>
  <c r="AL1694" i="50"/>
  <c r="AM1694" i="50" s="1"/>
  <c r="P3456" i="50"/>
  <c r="P3022" i="50"/>
  <c r="F2207" i="50"/>
  <c r="R2207" i="50" s="1"/>
  <c r="AV42" i="32"/>
  <c r="AV43" i="32" s="1"/>
  <c r="AJ14" i="32"/>
  <c r="AF1402" i="50"/>
  <c r="AH1402" i="50" s="1"/>
  <c r="AF1067" i="50"/>
  <c r="AL461" i="50"/>
  <c r="AM461" i="50" s="1"/>
  <c r="AL503" i="50"/>
  <c r="AM503" i="50" s="1"/>
  <c r="AF2309" i="50"/>
  <c r="P3013" i="50"/>
  <c r="R3013" i="50" s="1"/>
  <c r="H2117" i="50"/>
  <c r="H2118" i="50" s="1"/>
  <c r="J1613" i="50"/>
  <c r="J1614" i="50" s="1"/>
  <c r="R3118" i="50"/>
  <c r="AF3151" i="50"/>
  <c r="AH3151" i="50" s="1"/>
  <c r="AF970" i="50"/>
  <c r="AH970" i="50" s="1"/>
  <c r="AH3395" i="50"/>
  <c r="J1697" i="50"/>
  <c r="J1698" i="50" s="1"/>
  <c r="AF3495" i="50"/>
  <c r="P1494" i="50"/>
  <c r="F770" i="50"/>
  <c r="K248" i="49"/>
  <c r="AH3520" i="50"/>
  <c r="N763" i="50"/>
  <c r="K247" i="49"/>
  <c r="R2925" i="50"/>
  <c r="BJ116" i="49"/>
  <c r="J249" i="49"/>
  <c r="BH249" i="49"/>
  <c r="BP249" i="49" s="1"/>
  <c r="BU249" i="49" s="1"/>
  <c r="N742" i="50"/>
  <c r="K244" i="49"/>
  <c r="J728" i="50"/>
  <c r="K242" i="49"/>
  <c r="J721" i="50"/>
  <c r="K241" i="49"/>
  <c r="R2344" i="50"/>
  <c r="BJ341" i="49"/>
  <c r="N735" i="50"/>
  <c r="K243" i="49"/>
  <c r="F798" i="50"/>
  <c r="K252" i="49"/>
  <c r="AF2288" i="50"/>
  <c r="AD706" i="50"/>
  <c r="AE706" i="50" s="1"/>
  <c r="F277" i="50"/>
  <c r="AB368" i="50"/>
  <c r="Z585" i="50"/>
  <c r="AD707" i="50"/>
  <c r="AE707" i="50" s="1"/>
  <c r="V361" i="50"/>
  <c r="AT362" i="50" s="1"/>
  <c r="N522" i="50"/>
  <c r="Z1425" i="50"/>
  <c r="Z1439" i="50" s="1"/>
  <c r="H319" i="50"/>
  <c r="AL343" i="50"/>
  <c r="AM343" i="50" s="1"/>
  <c r="J710" i="50"/>
  <c r="K710" i="50" s="1"/>
  <c r="Z707" i="50"/>
  <c r="AA707" i="50" s="1"/>
  <c r="AL203" i="50"/>
  <c r="AM203" i="50" s="1"/>
  <c r="AD410" i="50"/>
  <c r="AH1138" i="50"/>
  <c r="AH1292" i="50"/>
  <c r="AF961" i="50"/>
  <c r="AH961" i="50" s="1"/>
  <c r="AL366" i="50"/>
  <c r="AM366" i="50" s="1"/>
  <c r="AL266" i="50"/>
  <c r="AM266" i="50" s="1"/>
  <c r="AF1380" i="50"/>
  <c r="AH1380" i="50" s="1"/>
  <c r="AF1317" i="50"/>
  <c r="AH1317" i="50" s="1"/>
  <c r="T690" i="50"/>
  <c r="J39" i="50"/>
  <c r="X15" i="72"/>
  <c r="AF1016" i="50"/>
  <c r="AH1016" i="50" s="1"/>
  <c r="AF760" i="50"/>
  <c r="AB1425" i="50"/>
  <c r="AB1439" i="50" s="1"/>
  <c r="AF2197" i="50"/>
  <c r="AH2197" i="50" s="1"/>
  <c r="AB756" i="50"/>
  <c r="X756" i="50"/>
  <c r="J756" i="50"/>
  <c r="K246" i="49"/>
  <c r="AD2047" i="50"/>
  <c r="AD2048" i="50" s="1"/>
  <c r="Z3435" i="50"/>
  <c r="N1425" i="50"/>
  <c r="N1439" i="50" s="1"/>
  <c r="H522" i="50"/>
  <c r="X1942" i="50"/>
  <c r="Z1963" i="50"/>
  <c r="Z1964" i="50" s="1"/>
  <c r="AD256" i="50"/>
  <c r="AD585" i="50"/>
  <c r="X368" i="50"/>
  <c r="R2739" i="50"/>
  <c r="F3340" i="50"/>
  <c r="R2171" i="50"/>
  <c r="AF2402" i="50"/>
  <c r="R2302" i="50"/>
  <c r="AH2302" i="50" s="1"/>
  <c r="AF2767" i="50"/>
  <c r="AH2767" i="50" s="1"/>
  <c r="F3029" i="50"/>
  <c r="AF2892" i="50"/>
  <c r="AH2892" i="50" s="1"/>
  <c r="H1753" i="50"/>
  <c r="J1754" i="50" s="1"/>
  <c r="J1718" i="50"/>
  <c r="N1719" i="50" s="1"/>
  <c r="X1844" i="50"/>
  <c r="X1845" i="50" s="1"/>
  <c r="AH2208" i="50"/>
  <c r="R3114" i="50"/>
  <c r="J1956" i="50"/>
  <c r="J1957" i="50" s="1"/>
  <c r="F1970" i="50"/>
  <c r="F1971" i="50" s="1"/>
  <c r="H1669" i="50"/>
  <c r="H1670" i="50" s="1"/>
  <c r="L1718" i="50"/>
  <c r="P1719" i="50" s="1"/>
  <c r="T2987" i="50"/>
  <c r="AL512" i="50"/>
  <c r="AM512" i="50" s="1"/>
  <c r="R1171" i="50"/>
  <c r="AF1079" i="50"/>
  <c r="AH1079" i="50" s="1"/>
  <c r="AF1156" i="50"/>
  <c r="AH1156" i="50" s="1"/>
  <c r="R2600" i="50"/>
  <c r="AH2600" i="50" s="1"/>
  <c r="AL1856" i="50"/>
  <c r="AM1856" i="50" s="1"/>
  <c r="V2096" i="50"/>
  <c r="V2097" i="50" s="1"/>
  <c r="T585" i="50"/>
  <c r="AL399" i="50"/>
  <c r="AM399" i="50" s="1"/>
  <c r="AL246" i="50"/>
  <c r="AB1914" i="50"/>
  <c r="AB1915" i="50" s="1"/>
  <c r="J1425" i="50"/>
  <c r="J1439" i="50" s="1"/>
  <c r="V1914" i="50"/>
  <c r="V1915" i="50" s="1"/>
  <c r="L333" i="50"/>
  <c r="N249" i="50"/>
  <c r="H277" i="50"/>
  <c r="N214" i="50"/>
  <c r="V707" i="50"/>
  <c r="W707" i="50" s="1"/>
  <c r="L522" i="50"/>
  <c r="AF2283" i="50"/>
  <c r="F3249" i="50"/>
  <c r="AF2345" i="50"/>
  <c r="V1606" i="50"/>
  <c r="V1607" i="50" s="1"/>
  <c r="N3393" i="50"/>
  <c r="Z3099" i="50"/>
  <c r="P2882" i="50"/>
  <c r="V3113" i="50"/>
  <c r="H3517" i="50"/>
  <c r="AD1998" i="50"/>
  <c r="AD1999" i="50" s="1"/>
  <c r="P3488" i="50"/>
  <c r="P3491" i="50" s="1"/>
  <c r="R2561" i="50"/>
  <c r="R2261" i="50"/>
  <c r="P2061" i="50"/>
  <c r="P2062" i="50" s="1"/>
  <c r="J2117" i="50"/>
  <c r="J2118" i="50" s="1"/>
  <c r="F1956" i="50"/>
  <c r="F1957" i="50" s="1"/>
  <c r="AF3570" i="50"/>
  <c r="AH3570" i="50" s="1"/>
  <c r="P1613" i="50"/>
  <c r="P1614" i="50" s="1"/>
  <c r="P3568" i="50"/>
  <c r="X1530" i="50"/>
  <c r="AT1530" i="50" s="1"/>
  <c r="R2431" i="50"/>
  <c r="AH1411" i="50"/>
  <c r="AD2012" i="50"/>
  <c r="AD2013" i="50" s="1"/>
  <c r="V2061" i="50"/>
  <c r="V2062" i="50" s="1"/>
  <c r="H389" i="50"/>
  <c r="P214" i="50"/>
  <c r="F1081" i="50"/>
  <c r="R1081" i="50" s="1"/>
  <c r="AH1081" i="50" s="1"/>
  <c r="AL497" i="50"/>
  <c r="AM497" i="50" s="1"/>
  <c r="J1963" i="50"/>
  <c r="J1964" i="50" s="1"/>
  <c r="Z1837" i="50"/>
  <c r="Z1838" i="50" s="1"/>
  <c r="T2243" i="50"/>
  <c r="T2957" i="50" s="1"/>
  <c r="AF2688" i="50"/>
  <c r="AH2688" i="50" s="1"/>
  <c r="AF2997" i="50"/>
  <c r="AH2997" i="50" s="1"/>
  <c r="AF2470" i="50"/>
  <c r="AH2470" i="50" s="1"/>
  <c r="Z1921" i="50"/>
  <c r="AD1922" i="50" s="1"/>
  <c r="AH3048" i="50"/>
  <c r="AL1805" i="50"/>
  <c r="AM1805" i="50" s="1"/>
  <c r="AF2382" i="50"/>
  <c r="AD1227" i="50"/>
  <c r="AF1227" i="50" s="1"/>
  <c r="AH1227" i="50" s="1"/>
  <c r="T515" i="50"/>
  <c r="X3274" i="50"/>
  <c r="AL1904" i="50"/>
  <c r="AM1904" i="50" s="1"/>
  <c r="AH2551" i="50"/>
  <c r="Z3071" i="50"/>
  <c r="AF2311" i="50"/>
  <c r="AF2950" i="50"/>
  <c r="AF3269" i="50"/>
  <c r="V15" i="72"/>
  <c r="AH2271" i="50"/>
  <c r="V706" i="50"/>
  <c r="W706" i="50" s="1"/>
  <c r="AF1212" i="50"/>
  <c r="AH1212" i="50" s="1"/>
  <c r="AL349" i="50"/>
  <c r="AF3096" i="50"/>
  <c r="J3148" i="50"/>
  <c r="AB3414" i="50"/>
  <c r="X3442" i="50"/>
  <c r="AF2726" i="50"/>
  <c r="AH2726" i="50" s="1"/>
  <c r="T3440" i="50"/>
  <c r="AF3440" i="50" s="1"/>
  <c r="AH3440" i="50" s="1"/>
  <c r="L2670" i="50"/>
  <c r="L3384" i="50"/>
  <c r="L3386" i="50" s="1"/>
  <c r="L2901" i="50"/>
  <c r="N3223" i="50"/>
  <c r="R3223" i="50" s="1"/>
  <c r="AH3223" i="50" s="1"/>
  <c r="R2509" i="50"/>
  <c r="AH2509" i="50" s="1"/>
  <c r="AR339" i="49"/>
  <c r="AR340" i="49"/>
  <c r="AR337" i="49"/>
  <c r="AR336" i="49"/>
  <c r="AR331" i="49"/>
  <c r="AR338" i="49"/>
  <c r="AR334" i="49"/>
  <c r="AR329" i="49"/>
  <c r="AR328" i="49"/>
  <c r="AR326" i="49"/>
  <c r="AR324" i="49"/>
  <c r="AR322" i="49"/>
  <c r="AR332" i="49"/>
  <c r="AR321" i="49"/>
  <c r="AR308" i="49"/>
  <c r="AR297" i="49"/>
  <c r="AR293" i="49"/>
  <c r="AR333" i="49"/>
  <c r="AR330" i="49"/>
  <c r="AR307" i="49"/>
  <c r="AR298" i="49"/>
  <c r="AR319" i="49"/>
  <c r="AR318" i="49"/>
  <c r="AR317" i="49"/>
  <c r="AR316" i="49"/>
  <c r="AR315" i="49"/>
  <c r="AR314" i="49"/>
  <c r="AR313" i="49"/>
  <c r="AR312" i="49"/>
  <c r="AR311" i="49"/>
  <c r="AR310" i="49"/>
  <c r="AR305" i="49"/>
  <c r="AR301" i="49"/>
  <c r="AR294" i="49"/>
  <c r="AR289" i="49"/>
  <c r="AR285" i="49"/>
  <c r="AR281" i="49"/>
  <c r="AR277" i="49"/>
  <c r="AR323" i="49"/>
  <c r="AR320" i="49"/>
  <c r="AR309" i="49"/>
  <c r="AR306" i="49"/>
  <c r="AR302" i="49"/>
  <c r="AR290" i="49"/>
  <c r="AR286" i="49"/>
  <c r="AR325" i="49"/>
  <c r="AR303" i="49"/>
  <c r="AR299" i="49"/>
  <c r="AR282" i="49"/>
  <c r="AR278" i="49"/>
  <c r="AR272" i="49"/>
  <c r="AR268" i="49"/>
  <c r="AR264" i="49"/>
  <c r="AR260" i="49"/>
  <c r="AR292" i="49"/>
  <c r="AR288" i="49"/>
  <c r="AR284" i="49"/>
  <c r="AR283" i="49"/>
  <c r="AR280" i="49"/>
  <c r="AR279" i="49"/>
  <c r="AR276" i="49"/>
  <c r="AR275" i="49"/>
  <c r="AR274" i="49"/>
  <c r="AR270" i="49"/>
  <c r="AR266" i="49"/>
  <c r="AR335" i="49"/>
  <c r="AR304" i="49"/>
  <c r="AR300" i="49"/>
  <c r="AR291" i="49"/>
  <c r="AR287" i="49"/>
  <c r="AR273" i="49"/>
  <c r="AR269" i="49"/>
  <c r="AR265" i="49"/>
  <c r="AR261" i="49"/>
  <c r="AR327" i="49"/>
  <c r="AR255" i="49"/>
  <c r="AR267" i="49"/>
  <c r="AR262" i="49"/>
  <c r="AR257" i="49"/>
  <c r="AR253" i="49"/>
  <c r="AR247" i="49"/>
  <c r="AR246" i="49"/>
  <c r="AR241" i="49"/>
  <c r="AR251" i="49"/>
  <c r="AR249" i="49"/>
  <c r="AR295" i="49"/>
  <c r="AR263" i="49"/>
  <c r="AR258" i="49"/>
  <c r="AR254" i="49"/>
  <c r="AR242" i="49"/>
  <c r="AR296" i="49"/>
  <c r="AR271" i="49"/>
  <c r="AR256" i="49"/>
  <c r="AR252" i="49"/>
  <c r="AR250" i="49"/>
  <c r="AR245" i="49"/>
  <c r="AR243" i="49"/>
  <c r="AR259" i="49"/>
  <c r="AR248" i="49"/>
  <c r="AR244" i="49"/>
  <c r="R3146" i="50"/>
  <c r="AL364" i="50"/>
  <c r="AM364" i="50" s="1"/>
  <c r="T1330" i="50"/>
  <c r="AF1330" i="50" s="1"/>
  <c r="AL441" i="50"/>
  <c r="AM441" i="50" s="1"/>
  <c r="T706" i="50"/>
  <c r="U706" i="50" s="1"/>
  <c r="X3435" i="50"/>
  <c r="F368" i="50"/>
  <c r="AD1942" i="50"/>
  <c r="AD1943" i="50" s="1"/>
  <c r="H707" i="50"/>
  <c r="I707" i="50" s="1"/>
  <c r="Z2005" i="50"/>
  <c r="Z2006" i="50" s="1"/>
  <c r="V620" i="50"/>
  <c r="R927" i="50"/>
  <c r="H368" i="50"/>
  <c r="N1775" i="50"/>
  <c r="AT1775" i="50" s="1"/>
  <c r="R1114" i="50"/>
  <c r="AH1114" i="50" s="1"/>
  <c r="T707" i="50"/>
  <c r="U707" i="50" s="1"/>
  <c r="AG707" i="50" s="1"/>
  <c r="AB3092" i="50"/>
  <c r="V3316" i="50"/>
  <c r="N707" i="50"/>
  <c r="O707" i="50" s="1"/>
  <c r="AL1741" i="50"/>
  <c r="AM1741" i="50" s="1"/>
  <c r="R1044" i="50"/>
  <c r="AH1044" i="50" s="1"/>
  <c r="AL314" i="50"/>
  <c r="AM314" i="50" s="1"/>
  <c r="AD2243" i="50"/>
  <c r="AD2957" i="50" s="1"/>
  <c r="AD2959" i="50" s="1"/>
  <c r="AL406" i="50"/>
  <c r="AM406" i="50" s="1"/>
  <c r="R2421" i="50"/>
  <c r="AH2421" i="50" s="1"/>
  <c r="AF2982" i="50"/>
  <c r="AG2986" i="50" s="1"/>
  <c r="AG2987" i="50" s="1"/>
  <c r="AW338" i="49"/>
  <c r="AW337" i="49"/>
  <c r="AW336" i="49"/>
  <c r="AW335" i="49"/>
  <c r="AW334" i="49"/>
  <c r="AW333" i="49"/>
  <c r="AW332" i="49"/>
  <c r="AW331" i="49"/>
  <c r="AW330" i="49"/>
  <c r="AW329" i="49"/>
  <c r="AW339" i="49"/>
  <c r="AW340" i="49"/>
  <c r="AW327" i="49"/>
  <c r="AW325" i="49"/>
  <c r="AW323" i="49"/>
  <c r="AW321" i="49"/>
  <c r="AW320" i="49"/>
  <c r="AW326" i="49"/>
  <c r="AW307" i="49"/>
  <c r="AW298" i="49"/>
  <c r="AW294" i="49"/>
  <c r="AW306" i="49"/>
  <c r="AW305" i="49"/>
  <c r="AW304" i="49"/>
  <c r="AW303" i="49"/>
  <c r="AW302" i="49"/>
  <c r="AW301" i="49"/>
  <c r="AW300" i="49"/>
  <c r="AW299" i="49"/>
  <c r="AW295" i="49"/>
  <c r="AW324" i="49"/>
  <c r="AW292" i="49"/>
  <c r="AW290" i="49"/>
  <c r="AW286" i="49"/>
  <c r="AW282" i="49"/>
  <c r="AW278" i="49"/>
  <c r="AW322" i="49"/>
  <c r="AW296" i="49"/>
  <c r="AW291" i="49"/>
  <c r="AW287" i="49"/>
  <c r="AW317" i="49"/>
  <c r="AW313" i="49"/>
  <c r="AW309" i="49"/>
  <c r="AW308" i="49"/>
  <c r="AW288" i="49"/>
  <c r="AW284" i="49"/>
  <c r="AW280" i="49"/>
  <c r="AW276" i="49"/>
  <c r="AW273" i="49"/>
  <c r="AW269" i="49"/>
  <c r="AW265" i="49"/>
  <c r="AW261" i="49"/>
  <c r="AW319" i="49"/>
  <c r="AW315" i="49"/>
  <c r="AW311" i="49"/>
  <c r="AW271" i="49"/>
  <c r="AW267" i="49"/>
  <c r="AW263" i="49"/>
  <c r="AW318" i="49"/>
  <c r="AW314" i="49"/>
  <c r="AW310" i="49"/>
  <c r="AW297" i="49"/>
  <c r="AW289" i="49"/>
  <c r="AW285" i="49"/>
  <c r="AW283" i="49"/>
  <c r="AW279" i="49"/>
  <c r="AW275" i="49"/>
  <c r="AW274" i="49"/>
  <c r="AW270" i="49"/>
  <c r="AW266" i="49"/>
  <c r="AW262" i="49"/>
  <c r="AW312" i="49"/>
  <c r="AW272" i="49"/>
  <c r="AW256" i="49"/>
  <c r="AW277" i="49"/>
  <c r="AW264" i="49"/>
  <c r="AW260" i="49"/>
  <c r="AW258" i="49"/>
  <c r="AW254" i="49"/>
  <c r="AW248" i="49"/>
  <c r="AW244" i="49"/>
  <c r="AW242" i="49"/>
  <c r="AW252" i="49"/>
  <c r="AW250" i="49"/>
  <c r="AW245" i="49"/>
  <c r="AW243" i="49"/>
  <c r="AW241" i="49"/>
  <c r="AW328" i="49"/>
  <c r="AW255" i="49"/>
  <c r="AW249" i="49"/>
  <c r="AW316" i="49"/>
  <c r="AW293" i="49"/>
  <c r="AW281" i="49"/>
  <c r="AW268" i="49"/>
  <c r="AW259" i="49"/>
  <c r="AW257" i="49"/>
  <c r="AW253" i="49"/>
  <c r="AW247" i="49"/>
  <c r="AW246" i="49"/>
  <c r="AW251" i="49"/>
  <c r="R2535" i="50"/>
  <c r="AF2457" i="50"/>
  <c r="R2478" i="50"/>
  <c r="AF2718" i="50"/>
  <c r="T1641" i="50"/>
  <c r="AL1890" i="50"/>
  <c r="AM1890" i="50" s="1"/>
  <c r="P2117" i="50"/>
  <c r="P2118" i="50" s="1"/>
  <c r="AH2642" i="50"/>
  <c r="Z1844" i="50"/>
  <c r="Z1845" i="50" s="1"/>
  <c r="P2103" i="50"/>
  <c r="V2104" i="50" s="1"/>
  <c r="AB1998" i="50"/>
  <c r="AB1999" i="50" s="1"/>
  <c r="N3246" i="50"/>
  <c r="AH3018" i="50"/>
  <c r="AF2597" i="50"/>
  <c r="AH2597" i="50" s="1"/>
  <c r="Z3512" i="50"/>
  <c r="AD515" i="50"/>
  <c r="J2980" i="50"/>
  <c r="T1704" i="50"/>
  <c r="T1705" i="50" s="1"/>
  <c r="AF2614" i="50"/>
  <c r="R2327" i="50"/>
  <c r="AH2327" i="50" s="1"/>
  <c r="X1893" i="50"/>
  <c r="X1894" i="50" s="1"/>
  <c r="R2985" i="50"/>
  <c r="AH2985" i="50" s="1"/>
  <c r="L1669" i="50"/>
  <c r="L1670" i="50" s="1"/>
  <c r="Z1607" i="50"/>
  <c r="R2810" i="50"/>
  <c r="AH2810" i="50" s="1"/>
  <c r="L26" i="72"/>
  <c r="H14" i="72"/>
  <c r="Z26" i="72"/>
  <c r="Z15" i="72"/>
  <c r="F3356" i="50"/>
  <c r="R3356" i="50" s="1"/>
  <c r="N3272" i="50"/>
  <c r="R3272" i="50" s="1"/>
  <c r="R3041" i="50"/>
  <c r="AH3041" i="50" s="1"/>
  <c r="AL1764" i="50"/>
  <c r="AM1764" i="50" s="1"/>
  <c r="AL1955" i="50"/>
  <c r="AM1955" i="50" s="1"/>
  <c r="R3524" i="50"/>
  <c r="AH3524" i="50" s="1"/>
  <c r="J26" i="72"/>
  <c r="F2880" i="50"/>
  <c r="R2880" i="50" s="1"/>
  <c r="AH2880" i="50" s="1"/>
  <c r="R2166" i="50"/>
  <c r="AH2166" i="50" s="1"/>
  <c r="V2012" i="50"/>
  <c r="V2013" i="50" s="1"/>
  <c r="V2723" i="50"/>
  <c r="S341" i="49"/>
  <c r="AH3381" i="50"/>
  <c r="J707" i="50"/>
  <c r="K707" i="50" s="1"/>
  <c r="V249" i="50"/>
  <c r="R760" i="50"/>
  <c r="R884" i="50"/>
  <c r="AH884" i="50" s="1"/>
  <c r="AF3005" i="50"/>
  <c r="V3526" i="50"/>
  <c r="Z2068" i="50"/>
  <c r="Z2069" i="50" s="1"/>
  <c r="R2147" i="50"/>
  <c r="S2147" i="50" s="1"/>
  <c r="AB707" i="50"/>
  <c r="AC707" i="50" s="1"/>
  <c r="R2747" i="50"/>
  <c r="AH2747" i="50" s="1"/>
  <c r="X707" i="50"/>
  <c r="Y707" i="50" s="1"/>
  <c r="Z1928" i="50"/>
  <c r="AD1929" i="50" s="1"/>
  <c r="P1774" i="50"/>
  <c r="P1775" i="50" s="1"/>
  <c r="X2005" i="50"/>
  <c r="X2006" i="50" s="1"/>
  <c r="V3498" i="50"/>
  <c r="AL456" i="50"/>
  <c r="AM456" i="50" s="1"/>
  <c r="AB1508" i="50"/>
  <c r="AB1509" i="50" s="1"/>
  <c r="V2243" i="50"/>
  <c r="V2957" i="50" s="1"/>
  <c r="V2959" i="50" s="1"/>
  <c r="AM338" i="49"/>
  <c r="AM337" i="49"/>
  <c r="AM339" i="49"/>
  <c r="AM336" i="49"/>
  <c r="AM334" i="49"/>
  <c r="AM332" i="49"/>
  <c r="AM330" i="49"/>
  <c r="AM328" i="49"/>
  <c r="AM327" i="49"/>
  <c r="AM326" i="49"/>
  <c r="AM325" i="49"/>
  <c r="AM324" i="49"/>
  <c r="AM323" i="49"/>
  <c r="AM322" i="49"/>
  <c r="AM329" i="49"/>
  <c r="AM340" i="49"/>
  <c r="AM335" i="49"/>
  <c r="AM331" i="49"/>
  <c r="AM319" i="49"/>
  <c r="AM318" i="49"/>
  <c r="AM317" i="49"/>
  <c r="AM316" i="49"/>
  <c r="AM315" i="49"/>
  <c r="AM314" i="49"/>
  <c r="AM313" i="49"/>
  <c r="AM312" i="49"/>
  <c r="AM311" i="49"/>
  <c r="AM310" i="49"/>
  <c r="AM309" i="49"/>
  <c r="AM296" i="49"/>
  <c r="AM292" i="49"/>
  <c r="AM321" i="49"/>
  <c r="AM308" i="49"/>
  <c r="AM297" i="49"/>
  <c r="AM303" i="49"/>
  <c r="AM299" i="49"/>
  <c r="AM295" i="49"/>
  <c r="AM288" i="49"/>
  <c r="AM284" i="49"/>
  <c r="AM280" i="49"/>
  <c r="AM276" i="49"/>
  <c r="AM333" i="49"/>
  <c r="AM304" i="49"/>
  <c r="AM300" i="49"/>
  <c r="AM294" i="49"/>
  <c r="AM289" i="49"/>
  <c r="AM285" i="49"/>
  <c r="AM320" i="49"/>
  <c r="AM283" i="49"/>
  <c r="AM279" i="49"/>
  <c r="AM275" i="49"/>
  <c r="AM271" i="49"/>
  <c r="AM267" i="49"/>
  <c r="AM263" i="49"/>
  <c r="AM259" i="49"/>
  <c r="AM307" i="49"/>
  <c r="AM306" i="49"/>
  <c r="AM302" i="49"/>
  <c r="AM290" i="49"/>
  <c r="AM286" i="49"/>
  <c r="AM281" i="49"/>
  <c r="AM277" i="49"/>
  <c r="AM273" i="49"/>
  <c r="AM269" i="49"/>
  <c r="AM265" i="49"/>
  <c r="AM305" i="49"/>
  <c r="AM301" i="49"/>
  <c r="AM282" i="49"/>
  <c r="AM278" i="49"/>
  <c r="AM272" i="49"/>
  <c r="AM268" i="49"/>
  <c r="AM264" i="49"/>
  <c r="AM260" i="49"/>
  <c r="AM298" i="49"/>
  <c r="AM262" i="49"/>
  <c r="AM254" i="49"/>
  <c r="AM287" i="49"/>
  <c r="AM270" i="49"/>
  <c r="AM256" i="49"/>
  <c r="AM252" i="49"/>
  <c r="AM250" i="49"/>
  <c r="AM245" i="49"/>
  <c r="AM243" i="49"/>
  <c r="AM241" i="49"/>
  <c r="AM249" i="49"/>
  <c r="AM248" i="49"/>
  <c r="AM261" i="49"/>
  <c r="AM247" i="49"/>
  <c r="AM293" i="49"/>
  <c r="AM291" i="49"/>
  <c r="AM274" i="49"/>
  <c r="AM258" i="49"/>
  <c r="AM255" i="49"/>
  <c r="AM251" i="49"/>
  <c r="AM244" i="49"/>
  <c r="AM242" i="49"/>
  <c r="AM266" i="49"/>
  <c r="AM257" i="49"/>
  <c r="AM253" i="49"/>
  <c r="AM246" i="49"/>
  <c r="AF2450" i="50"/>
  <c r="AF2374" i="50"/>
  <c r="X339" i="49"/>
  <c r="X340" i="49"/>
  <c r="X337" i="49"/>
  <c r="X336" i="49"/>
  <c r="X331" i="49"/>
  <c r="X338" i="49"/>
  <c r="X334" i="49"/>
  <c r="X329" i="49"/>
  <c r="X327" i="49"/>
  <c r="X325" i="49"/>
  <c r="X323" i="49"/>
  <c r="X335" i="49"/>
  <c r="X309" i="49"/>
  <c r="X297" i="49"/>
  <c r="X293" i="49"/>
  <c r="X332" i="49"/>
  <c r="X330" i="49"/>
  <c r="X328" i="49"/>
  <c r="X322" i="49"/>
  <c r="X308" i="49"/>
  <c r="X298" i="49"/>
  <c r="X326" i="49"/>
  <c r="X305" i="49"/>
  <c r="X301" i="49"/>
  <c r="X289" i="49"/>
  <c r="X285" i="49"/>
  <c r="X281" i="49"/>
  <c r="X277" i="49"/>
  <c r="X333" i="49"/>
  <c r="X321" i="49"/>
  <c r="X306" i="49"/>
  <c r="X302" i="49"/>
  <c r="X290" i="49"/>
  <c r="X286" i="49"/>
  <c r="X319" i="49"/>
  <c r="X315" i="49"/>
  <c r="X311" i="49"/>
  <c r="X284" i="49"/>
  <c r="X283" i="49"/>
  <c r="X280" i="49"/>
  <c r="X279" i="49"/>
  <c r="X276" i="49"/>
  <c r="X272" i="49"/>
  <c r="X268" i="49"/>
  <c r="X264" i="49"/>
  <c r="X260" i="49"/>
  <c r="X324" i="49"/>
  <c r="X317" i="49"/>
  <c r="X313" i="49"/>
  <c r="X307" i="49"/>
  <c r="X304" i="49"/>
  <c r="X303" i="49"/>
  <c r="X300" i="49"/>
  <c r="X299" i="49"/>
  <c r="X292" i="49"/>
  <c r="X288" i="49"/>
  <c r="X282" i="49"/>
  <c r="X278" i="49"/>
  <c r="X274" i="49"/>
  <c r="X270" i="49"/>
  <c r="X266" i="49"/>
  <c r="X320" i="49"/>
  <c r="X316" i="49"/>
  <c r="X312" i="49"/>
  <c r="X296" i="49"/>
  <c r="X295" i="49"/>
  <c r="X294" i="49"/>
  <c r="X291" i="49"/>
  <c r="X287" i="49"/>
  <c r="X273" i="49"/>
  <c r="X269" i="49"/>
  <c r="X265" i="49"/>
  <c r="X261" i="49"/>
  <c r="X318" i="49"/>
  <c r="X255" i="49"/>
  <c r="X310" i="49"/>
  <c r="X271" i="49"/>
  <c r="X262" i="49"/>
  <c r="X257" i="49"/>
  <c r="X253" i="49"/>
  <c r="X247" i="49"/>
  <c r="X246" i="49"/>
  <c r="X250" i="49"/>
  <c r="X243" i="49"/>
  <c r="X314" i="49"/>
  <c r="X267" i="49"/>
  <c r="X254" i="49"/>
  <c r="X244" i="49"/>
  <c r="BK244" i="49" s="1"/>
  <c r="X242" i="49"/>
  <c r="X275" i="49"/>
  <c r="X263" i="49"/>
  <c r="X259" i="49"/>
  <c r="X258" i="49"/>
  <c r="X256" i="49"/>
  <c r="X252" i="49"/>
  <c r="X245" i="49"/>
  <c r="X241" i="49"/>
  <c r="X251" i="49"/>
  <c r="X249" i="49"/>
  <c r="X248" i="49"/>
  <c r="R2205" i="50"/>
  <c r="AF2381" i="50"/>
  <c r="AH3235" i="50"/>
  <c r="R2366" i="50"/>
  <c r="J3043" i="50"/>
  <c r="R2389" i="50"/>
  <c r="X1704" i="50"/>
  <c r="X1705" i="50" s="1"/>
  <c r="R2530" i="50"/>
  <c r="AD1921" i="50"/>
  <c r="X3512" i="50"/>
  <c r="V3291" i="50"/>
  <c r="V3295" i="50" s="1"/>
  <c r="R2310" i="50"/>
  <c r="AF2310" i="50"/>
  <c r="AF3062" i="50"/>
  <c r="X1781" i="50"/>
  <c r="AD1782" i="50" s="1"/>
  <c r="N1488" i="50"/>
  <c r="F1522" i="50"/>
  <c r="AF3544" i="50"/>
  <c r="AH3544" i="50" s="1"/>
  <c r="AH3566" i="50"/>
  <c r="AL1639" i="50"/>
  <c r="AM1639" i="50" s="1"/>
  <c r="V1893" i="50"/>
  <c r="V1894" i="50" s="1"/>
  <c r="J1970" i="50"/>
  <c r="J1971" i="50" s="1"/>
  <c r="R3026" i="50"/>
  <c r="AH3026" i="50" s="1"/>
  <c r="AB1641" i="50"/>
  <c r="AB1642" i="50" s="1"/>
  <c r="J1767" i="50"/>
  <c r="T26" i="72"/>
  <c r="Z2723" i="50"/>
  <c r="Z3437" i="50" s="1"/>
  <c r="Z3442" i="50" s="1"/>
  <c r="L15" i="72"/>
  <c r="AB2723" i="50"/>
  <c r="AB3437" i="50" s="1"/>
  <c r="AB3442" i="50" s="1"/>
  <c r="X2012" i="50"/>
  <c r="X2013" i="50" s="1"/>
  <c r="AL329" i="50"/>
  <c r="AM329" i="50" s="1"/>
  <c r="H46" i="50"/>
  <c r="F12" i="72" s="1"/>
  <c r="L707" i="50"/>
  <c r="M707" i="50" s="1"/>
  <c r="J690" i="50"/>
  <c r="AF2725" i="50"/>
  <c r="AH340" i="49"/>
  <c r="AH339" i="49"/>
  <c r="AH335" i="49"/>
  <c r="AH333" i="49"/>
  <c r="AH331" i="49"/>
  <c r="AH329" i="49"/>
  <c r="AH337" i="49"/>
  <c r="AH336" i="49"/>
  <c r="AH327" i="49"/>
  <c r="AH338" i="49"/>
  <c r="AH334" i="49"/>
  <c r="AH332" i="49"/>
  <c r="AH306" i="49"/>
  <c r="AH305" i="49"/>
  <c r="AH304" i="49"/>
  <c r="AH303" i="49"/>
  <c r="AH302" i="49"/>
  <c r="AH301" i="49"/>
  <c r="AH300" i="49"/>
  <c r="AH299" i="49"/>
  <c r="AH295" i="49"/>
  <c r="AH330" i="49"/>
  <c r="AH328" i="49"/>
  <c r="AH322" i="49"/>
  <c r="AH320" i="49"/>
  <c r="AH319" i="49"/>
  <c r="AH318" i="49"/>
  <c r="AH317" i="49"/>
  <c r="AH316" i="49"/>
  <c r="AH315" i="49"/>
  <c r="AH314" i="49"/>
  <c r="AH313" i="49"/>
  <c r="AH312" i="49"/>
  <c r="AH311" i="49"/>
  <c r="AH310" i="49"/>
  <c r="AH309" i="49"/>
  <c r="AH296" i="49"/>
  <c r="AH326" i="49"/>
  <c r="AH297" i="49"/>
  <c r="AH291" i="49"/>
  <c r="AH287" i="49"/>
  <c r="AH283" i="49"/>
  <c r="AH279" i="49"/>
  <c r="AH323" i="49"/>
  <c r="AH321" i="49"/>
  <c r="AH308" i="49"/>
  <c r="AH307" i="49"/>
  <c r="AH298" i="49"/>
  <c r="AH292" i="49"/>
  <c r="AH288" i="49"/>
  <c r="AH325" i="49"/>
  <c r="AH293" i="49"/>
  <c r="AH290" i="49"/>
  <c r="AH286" i="49"/>
  <c r="AH274" i="49"/>
  <c r="AH270" i="49"/>
  <c r="AH266" i="49"/>
  <c r="AH262" i="49"/>
  <c r="AH258" i="49"/>
  <c r="AH324" i="49"/>
  <c r="AH272" i="49"/>
  <c r="AH268" i="49"/>
  <c r="AH264" i="49"/>
  <c r="AH294" i="49"/>
  <c r="AH284" i="49"/>
  <c r="AH280" i="49"/>
  <c r="AH276" i="49"/>
  <c r="AH275" i="49"/>
  <c r="AH271" i="49"/>
  <c r="AH267" i="49"/>
  <c r="AH263" i="49"/>
  <c r="AH289" i="49"/>
  <c r="AH277" i="49"/>
  <c r="AH260" i="49"/>
  <c r="AH257" i="49"/>
  <c r="AH282" i="49"/>
  <c r="AH269" i="49"/>
  <c r="AH259" i="49"/>
  <c r="AH255" i="49"/>
  <c r="AH251" i="49"/>
  <c r="AH249" i="49"/>
  <c r="AH244" i="49"/>
  <c r="AH253" i="49"/>
  <c r="AH246" i="49"/>
  <c r="AH281" i="49"/>
  <c r="AH265" i="49"/>
  <c r="AH256" i="49"/>
  <c r="AH250" i="49"/>
  <c r="AH243" i="49"/>
  <c r="AH285" i="49"/>
  <c r="AH273" i="49"/>
  <c r="AH261" i="49"/>
  <c r="AH254" i="49"/>
  <c r="AH248" i="49"/>
  <c r="AH242" i="49"/>
  <c r="AH247" i="49"/>
  <c r="AH278" i="49"/>
  <c r="AH252" i="49"/>
  <c r="AH245" i="49"/>
  <c r="AH241" i="49"/>
  <c r="R2184" i="50"/>
  <c r="F2884" i="50"/>
  <c r="AF2268" i="50"/>
  <c r="AH2268" i="50" s="1"/>
  <c r="AC338" i="49"/>
  <c r="AC337" i="49"/>
  <c r="AC336" i="49"/>
  <c r="AC335" i="49"/>
  <c r="AC334" i="49"/>
  <c r="AC333" i="49"/>
  <c r="AC332" i="49"/>
  <c r="AC331" i="49"/>
  <c r="AC330" i="49"/>
  <c r="AC329" i="49"/>
  <c r="AC339" i="49"/>
  <c r="AC340" i="49"/>
  <c r="AC328" i="49"/>
  <c r="AC326" i="49"/>
  <c r="AC324" i="49"/>
  <c r="AC322" i="49"/>
  <c r="AC321" i="49"/>
  <c r="AC327" i="49"/>
  <c r="AC325" i="49"/>
  <c r="AC307" i="49"/>
  <c r="AC298" i="49"/>
  <c r="AC294" i="49"/>
  <c r="AC306" i="49"/>
  <c r="AC305" i="49"/>
  <c r="AC304" i="49"/>
  <c r="AC303" i="49"/>
  <c r="AC302" i="49"/>
  <c r="AC301" i="49"/>
  <c r="AC300" i="49"/>
  <c r="AC299" i="49"/>
  <c r="AC295" i="49"/>
  <c r="AC290" i="49"/>
  <c r="AC286" i="49"/>
  <c r="AC282" i="49"/>
  <c r="AC278" i="49"/>
  <c r="AC296" i="49"/>
  <c r="AC293" i="49"/>
  <c r="AC291" i="49"/>
  <c r="AC287" i="49"/>
  <c r="AC323" i="49"/>
  <c r="AC320" i="49"/>
  <c r="AC316" i="49"/>
  <c r="AC312" i="49"/>
  <c r="AC292" i="49"/>
  <c r="AC288" i="49"/>
  <c r="AC273" i="49"/>
  <c r="AC269" i="49"/>
  <c r="AC265" i="49"/>
  <c r="AC261" i="49"/>
  <c r="AC318" i="49"/>
  <c r="AC314" i="49"/>
  <c r="AC310" i="49"/>
  <c r="AC308" i="49"/>
  <c r="AC297" i="49"/>
  <c r="AC284" i="49"/>
  <c r="AC280" i="49"/>
  <c r="AC276" i="49"/>
  <c r="AC275" i="49"/>
  <c r="AC271" i="49"/>
  <c r="AC267" i="49"/>
  <c r="AC263" i="49"/>
  <c r="AC317" i="49"/>
  <c r="AC313" i="49"/>
  <c r="AC309" i="49"/>
  <c r="AC289" i="49"/>
  <c r="AC285" i="49"/>
  <c r="AC281" i="49"/>
  <c r="AC277" i="49"/>
  <c r="AC274" i="49"/>
  <c r="AC270" i="49"/>
  <c r="AC266" i="49"/>
  <c r="AC262" i="49"/>
  <c r="AC258" i="49"/>
  <c r="AC256" i="49"/>
  <c r="AC315" i="49"/>
  <c r="AC279" i="49"/>
  <c r="AC268" i="49"/>
  <c r="AC260" i="49"/>
  <c r="AC254" i="49"/>
  <c r="AC248" i="49"/>
  <c r="AC244" i="49"/>
  <c r="AC242" i="49"/>
  <c r="AC247" i="49"/>
  <c r="AC246" i="49"/>
  <c r="AC252" i="49"/>
  <c r="AC250" i="49"/>
  <c r="AC245" i="49"/>
  <c r="AC243" i="49"/>
  <c r="AC241" i="49"/>
  <c r="AC319" i="49"/>
  <c r="AC264" i="49"/>
  <c r="AC255" i="49"/>
  <c r="AC251" i="49"/>
  <c r="AC311" i="49"/>
  <c r="AC283" i="49"/>
  <c r="AC272" i="49"/>
  <c r="AC257" i="49"/>
  <c r="AC253" i="49"/>
  <c r="AC259" i="49"/>
  <c r="AC249" i="49"/>
  <c r="AF2261" i="50"/>
  <c r="R3151" i="50"/>
  <c r="P1676" i="50"/>
  <c r="P1677" i="50" s="1"/>
  <c r="AL1799" i="50"/>
  <c r="AM1799" i="50" s="1"/>
  <c r="R2333" i="50"/>
  <c r="AH2333" i="50" s="1"/>
  <c r="R3024" i="50"/>
  <c r="AF3024" i="50"/>
  <c r="R2526" i="50"/>
  <c r="N1942" i="50"/>
  <c r="H3043" i="50"/>
  <c r="AL1941" i="50"/>
  <c r="AM1941" i="50" s="1"/>
  <c r="X1585" i="50"/>
  <c r="X1586" i="50" s="1"/>
  <c r="H1697" i="50"/>
  <c r="H1698" i="50" s="1"/>
  <c r="AB1585" i="50"/>
  <c r="AB1586" i="50" s="1"/>
  <c r="D26" i="72"/>
  <c r="P26" i="72"/>
  <c r="D15" i="72"/>
  <c r="R1383" i="50"/>
  <c r="R1278" i="50"/>
  <c r="F710" i="50"/>
  <c r="G710" i="50" s="1"/>
  <c r="S710" i="50" s="1"/>
  <c r="AH2311" i="50"/>
  <c r="AF3367" i="50"/>
  <c r="AF3285" i="50"/>
  <c r="AH3285" i="50" s="1"/>
  <c r="F389" i="50"/>
  <c r="F1103" i="50"/>
  <c r="R1103" i="50" s="1"/>
  <c r="P690" i="50"/>
  <c r="AF3181" i="50"/>
  <c r="AD417" i="50"/>
  <c r="P3393" i="50"/>
  <c r="T3023" i="50"/>
  <c r="AF3023" i="50" s="1"/>
  <c r="AF2781" i="50"/>
  <c r="AH2781" i="50" s="1"/>
  <c r="R2417" i="50"/>
  <c r="AH2417" i="50" s="1"/>
  <c r="R2627" i="50"/>
  <c r="AH2627" i="50" s="1"/>
  <c r="F3145" i="50"/>
  <c r="R3145" i="50" s="1"/>
  <c r="X3169" i="50"/>
  <c r="P3533" i="50"/>
  <c r="AF2225" i="50"/>
  <c r="AG2230" i="50" s="1"/>
  <c r="AG2231" i="50" s="1"/>
  <c r="R2477" i="50"/>
  <c r="R3067" i="50"/>
  <c r="AH3067" i="50" s="1"/>
  <c r="AF3522" i="50"/>
  <c r="AF3167" i="50"/>
  <c r="AB3169" i="50"/>
  <c r="AL500" i="50"/>
  <c r="AM500" i="50" s="1"/>
  <c r="R1243" i="50"/>
  <c r="R3467" i="50"/>
  <c r="R1257" i="50"/>
  <c r="AL475" i="50"/>
  <c r="AM475" i="50" s="1"/>
  <c r="AF1131" i="50"/>
  <c r="AH3551" i="50"/>
  <c r="N501" i="50"/>
  <c r="AF2305" i="50"/>
  <c r="P3526" i="50"/>
  <c r="AH2940" i="50"/>
  <c r="R2919" i="50"/>
  <c r="AH2919" i="50" s="1"/>
  <c r="AF3095" i="50"/>
  <c r="AH3095" i="50" s="1"/>
  <c r="N3120" i="50"/>
  <c r="X3323" i="50"/>
  <c r="AF2291" i="50"/>
  <c r="R2964" i="50"/>
  <c r="R2792" i="50"/>
  <c r="AF3171" i="50"/>
  <c r="AH3171" i="50" s="1"/>
  <c r="AF3333" i="50"/>
  <c r="R1404" i="50"/>
  <c r="R1306" i="50"/>
  <c r="AH1306" i="50" s="1"/>
  <c r="T1362" i="50"/>
  <c r="AF1362" i="50" s="1"/>
  <c r="AL388" i="50"/>
  <c r="AM388" i="50" s="1"/>
  <c r="Z3498" i="50"/>
  <c r="N690" i="50"/>
  <c r="BL231" i="49"/>
  <c r="BL233" i="49" s="1"/>
  <c r="Z417" i="50"/>
  <c r="AF2494" i="50"/>
  <c r="AH2494" i="50" s="1"/>
  <c r="R2682" i="50"/>
  <c r="AH2682" i="50" s="1"/>
  <c r="R2325" i="50"/>
  <c r="AH2325" i="50" s="1"/>
  <c r="AF2556" i="50"/>
  <c r="R2312" i="50"/>
  <c r="R2400" i="50"/>
  <c r="S2405" i="50" s="1"/>
  <c r="S2406" i="50" s="1"/>
  <c r="X3025" i="50"/>
  <c r="AF3025" i="50" s="1"/>
  <c r="AD3169" i="50"/>
  <c r="X3295" i="50"/>
  <c r="AF3019" i="50"/>
  <c r="AF2729" i="50"/>
  <c r="X3428" i="50"/>
  <c r="AD3449" i="50"/>
  <c r="Z2952" i="50"/>
  <c r="R2680" i="50"/>
  <c r="AH2680" i="50" s="1"/>
  <c r="H3393" i="50"/>
  <c r="Z3477" i="50"/>
  <c r="AF2774" i="50"/>
  <c r="AD3531" i="50"/>
  <c r="L3484" i="50"/>
  <c r="N710" i="50"/>
  <c r="O710" i="50" s="1"/>
  <c r="AB3435" i="50"/>
  <c r="F1718" i="50"/>
  <c r="AL1528" i="50"/>
  <c r="AB2068" i="50"/>
  <c r="AB2069" i="50" s="1"/>
  <c r="N480" i="50"/>
  <c r="H3141" i="50"/>
  <c r="H690" i="50"/>
  <c r="N389" i="50"/>
  <c r="F522" i="50"/>
  <c r="R2170" i="50"/>
  <c r="S2174" i="50" s="1"/>
  <c r="S2175" i="50" s="1"/>
  <c r="AF3068" i="50"/>
  <c r="AH3068" i="50" s="1"/>
  <c r="F3506" i="50"/>
  <c r="R3506" i="50" s="1"/>
  <c r="R2394" i="50"/>
  <c r="S2398" i="50" s="1"/>
  <c r="S2399" i="50" s="1"/>
  <c r="R2765" i="50"/>
  <c r="F3407" i="50"/>
  <c r="J3078" i="50"/>
  <c r="J3120" i="50"/>
  <c r="AH2837" i="50"/>
  <c r="P1697" i="50"/>
  <c r="P1698" i="50" s="1"/>
  <c r="H2103" i="50"/>
  <c r="L2104" i="50" s="1"/>
  <c r="N3547" i="50"/>
  <c r="Z3169" i="50"/>
  <c r="L3533" i="50"/>
  <c r="AL1822" i="50"/>
  <c r="AM1822" i="50" s="1"/>
  <c r="AL1727" i="50"/>
  <c r="AM1727" i="50" s="1"/>
  <c r="L1697" i="50"/>
  <c r="L1698" i="50" s="1"/>
  <c r="AB1984" i="50"/>
  <c r="AB1985" i="50" s="1"/>
  <c r="J1522" i="50"/>
  <c r="J1523" i="50" s="1"/>
  <c r="AL1463" i="50"/>
  <c r="AM1463" i="50" s="1"/>
  <c r="P1459" i="50"/>
  <c r="AL1596" i="50"/>
  <c r="AM1596" i="50" s="1"/>
  <c r="AL1597" i="50"/>
  <c r="AM1597" i="50" s="1"/>
  <c r="AL1742" i="50"/>
  <c r="AM1742" i="50" s="1"/>
  <c r="X2180" i="50"/>
  <c r="X2894" i="50" s="1"/>
  <c r="T2180" i="50"/>
  <c r="T2894" i="50" s="1"/>
  <c r="L2479" i="50"/>
  <c r="R2479" i="50" s="1"/>
  <c r="J2656" i="50"/>
  <c r="J3370" i="50" s="1"/>
  <c r="J3372" i="50" s="1"/>
  <c r="P1522" i="50"/>
  <c r="P1523" i="50" s="1"/>
  <c r="P2236" i="50"/>
  <c r="P2950" i="50" s="1"/>
  <c r="P2952" i="50" s="1"/>
  <c r="J2026" i="50"/>
  <c r="J2027" i="50" s="1"/>
  <c r="J2738" i="50"/>
  <c r="AD1453" i="50"/>
  <c r="AB1453" i="50"/>
  <c r="T3384" i="50"/>
  <c r="AF3384" i="50" s="1"/>
  <c r="AF2670" i="50"/>
  <c r="N2061" i="50"/>
  <c r="N2062" i="50" s="1"/>
  <c r="N2774" i="50"/>
  <c r="N3488" i="50" s="1"/>
  <c r="N3491" i="50" s="1"/>
  <c r="L1991" i="50"/>
  <c r="L1992" i="50" s="1"/>
  <c r="L2704" i="50"/>
  <c r="L3418" i="50" s="1"/>
  <c r="L3421" i="50" s="1"/>
  <c r="J1942" i="50"/>
  <c r="AL1455" i="50"/>
  <c r="AM1455" i="50" s="1"/>
  <c r="H1452" i="50"/>
  <c r="H1453" i="50" s="1"/>
  <c r="H2165" i="50"/>
  <c r="H2879" i="50" s="1"/>
  <c r="H2882" i="50" s="1"/>
  <c r="P1669" i="50"/>
  <c r="P1670" i="50" s="1"/>
  <c r="P2382" i="50"/>
  <c r="P3096" i="50" s="1"/>
  <c r="P3099" i="50" s="1"/>
  <c r="AL1667" i="50"/>
  <c r="AM1667" i="50" s="1"/>
  <c r="F2382" i="50"/>
  <c r="L2026" i="50"/>
  <c r="L2027" i="50" s="1"/>
  <c r="L2738" i="50"/>
  <c r="L3452" i="50" s="1"/>
  <c r="L3456" i="50" s="1"/>
  <c r="AF1215" i="50"/>
  <c r="AH1215" i="50" s="1"/>
  <c r="AF1243" i="50"/>
  <c r="H2550" i="50"/>
  <c r="R2550" i="50" s="1"/>
  <c r="J2201" i="50"/>
  <c r="J2915" i="50" s="1"/>
  <c r="J2917" i="50" s="1"/>
  <c r="J1487" i="50"/>
  <c r="J1488" i="50" s="1"/>
  <c r="T2275" i="50"/>
  <c r="AL1560" i="50"/>
  <c r="AM1560" i="50" s="1"/>
  <c r="Z2604" i="50"/>
  <c r="Z3318" i="50" s="1"/>
  <c r="Z3323" i="50" s="1"/>
  <c r="V1641" i="50"/>
  <c r="V1642" i="50" s="1"/>
  <c r="N1613" i="50"/>
  <c r="N1614" i="50" s="1"/>
  <c r="AB1893" i="50"/>
  <c r="AB1894" i="50" s="1"/>
  <c r="AB1844" i="50"/>
  <c r="AB1845" i="50" s="1"/>
  <c r="AF2201" i="50"/>
  <c r="AF2236" i="50"/>
  <c r="Z1522" i="50"/>
  <c r="Z1523" i="50" s="1"/>
  <c r="X2926" i="50"/>
  <c r="F2656" i="50"/>
  <c r="F3370" i="50" s="1"/>
  <c r="F3372" i="50" s="1"/>
  <c r="F1942" i="50"/>
  <c r="N1522" i="50"/>
  <c r="N1523" i="50" s="1"/>
  <c r="N2236" i="50"/>
  <c r="N2950" i="50" s="1"/>
  <c r="N2952" i="50" s="1"/>
  <c r="L2061" i="50"/>
  <c r="L2062" i="50" s="1"/>
  <c r="L2774" i="50"/>
  <c r="L3488" i="50" s="1"/>
  <c r="L3491" i="50" s="1"/>
  <c r="P1998" i="50"/>
  <c r="P1999" i="50" s="1"/>
  <c r="P2710" i="50"/>
  <c r="P3424" i="50" s="1"/>
  <c r="J1781" i="50"/>
  <c r="P1782" i="50" s="1"/>
  <c r="J2495" i="50"/>
  <c r="AF23" i="32"/>
  <c r="AB42" i="32"/>
  <c r="AD23" i="32"/>
  <c r="F1991" i="50"/>
  <c r="F1992" i="50" s="1"/>
  <c r="F2704" i="50"/>
  <c r="P2670" i="50"/>
  <c r="P3384" i="50" s="1"/>
  <c r="P3386" i="50" s="1"/>
  <c r="F1452" i="50"/>
  <c r="F2165" i="50"/>
  <c r="H1956" i="50"/>
  <c r="H1957" i="50" s="1"/>
  <c r="H2670" i="50"/>
  <c r="H3384" i="50" s="1"/>
  <c r="H3386" i="50" s="1"/>
  <c r="N1669" i="50"/>
  <c r="N1670" i="50" s="1"/>
  <c r="N2382" i="50"/>
  <c r="N3096" i="50" s="1"/>
  <c r="N3099" i="50" s="1"/>
  <c r="R1236" i="50"/>
  <c r="J2453" i="50"/>
  <c r="J3167" i="50" s="1"/>
  <c r="L2453" i="50"/>
  <c r="L3167" i="50" s="1"/>
  <c r="L2201" i="50"/>
  <c r="L2915" i="50" s="1"/>
  <c r="L2917" i="50" s="1"/>
  <c r="L1487" i="50"/>
  <c r="L1488" i="50" s="1"/>
  <c r="AL1659" i="50"/>
  <c r="AM1659" i="50" s="1"/>
  <c r="F2374" i="50"/>
  <c r="N1970" i="50"/>
  <c r="N1971" i="50" s="1"/>
  <c r="AM346" i="50"/>
  <c r="L1425" i="50"/>
  <c r="L1439" i="50" s="1"/>
  <c r="P522" i="50"/>
  <c r="AB3344" i="50"/>
  <c r="J2151" i="50"/>
  <c r="F690" i="50"/>
  <c r="H710" i="50"/>
  <c r="I710" i="50" s="1"/>
  <c r="AL1793" i="50"/>
  <c r="N3156" i="50"/>
  <c r="R3156" i="50" s="1"/>
  <c r="AB1942" i="50"/>
  <c r="AL38" i="50"/>
  <c r="AM38" i="50" s="1"/>
  <c r="AF2619" i="50"/>
  <c r="AH2619" i="50" s="1"/>
  <c r="R2753" i="50"/>
  <c r="AH2753" i="50" s="1"/>
  <c r="R3340" i="50"/>
  <c r="R3536" i="50"/>
  <c r="AH3536" i="50" s="1"/>
  <c r="AF2536" i="50"/>
  <c r="AH2536" i="50" s="1"/>
  <c r="AF2520" i="50"/>
  <c r="R2689" i="50"/>
  <c r="J1459" i="50"/>
  <c r="P1460" i="50" s="1"/>
  <c r="P3547" i="50"/>
  <c r="H1788" i="50"/>
  <c r="AL1840" i="50"/>
  <c r="AM1840" i="50" s="1"/>
  <c r="N1452" i="50"/>
  <c r="N1453" i="50" s="1"/>
  <c r="Z3274" i="50"/>
  <c r="AL1517" i="50"/>
  <c r="AM1517" i="50" s="1"/>
  <c r="AL1486" i="50"/>
  <c r="J3267" i="50"/>
  <c r="AF2178" i="50"/>
  <c r="AH2178" i="50" s="1"/>
  <c r="V3169" i="50"/>
  <c r="X3134" i="50"/>
  <c r="AD3295" i="50"/>
  <c r="AL1521" i="50"/>
  <c r="AM1521" i="50" s="1"/>
  <c r="X1599" i="50"/>
  <c r="X1600" i="50" s="1"/>
  <c r="AF2453" i="50"/>
  <c r="AL1938" i="50"/>
  <c r="AM1938" i="50" s="1"/>
  <c r="AL1450" i="50"/>
  <c r="AM1450" i="50" s="1"/>
  <c r="AL1913" i="50"/>
  <c r="AM1913" i="50" s="1"/>
  <c r="Z2180" i="50"/>
  <c r="Z2894" i="50" s="1"/>
  <c r="AD2628" i="50"/>
  <c r="AD3342" i="50" s="1"/>
  <c r="P2656" i="50"/>
  <c r="P3370" i="50" s="1"/>
  <c r="P3372" i="50" s="1"/>
  <c r="P1942" i="50"/>
  <c r="L2656" i="50"/>
  <c r="L3370" i="50" s="1"/>
  <c r="L3372" i="50" s="1"/>
  <c r="L1942" i="50"/>
  <c r="AD1522" i="50"/>
  <c r="AD1523" i="50" s="1"/>
  <c r="AD2232" i="50"/>
  <c r="AD2946" i="50" s="1"/>
  <c r="AD2952" i="50" s="1"/>
  <c r="L1781" i="50"/>
  <c r="T1782" i="50" s="1"/>
  <c r="L2495" i="50"/>
  <c r="L3209" i="50" s="1"/>
  <c r="L3211" i="50" s="1"/>
  <c r="P1991" i="50"/>
  <c r="P1992" i="50" s="1"/>
  <c r="P2704" i="50"/>
  <c r="P3418" i="50" s="1"/>
  <c r="P3421" i="50" s="1"/>
  <c r="L2165" i="50"/>
  <c r="L2879" i="50" s="1"/>
  <c r="L2882" i="50" s="1"/>
  <c r="L1452" i="50"/>
  <c r="L1453" i="50" s="1"/>
  <c r="AL1695" i="50"/>
  <c r="AM1695" i="50" s="1"/>
  <c r="F2410" i="50"/>
  <c r="F1697" i="50"/>
  <c r="F2409" i="50"/>
  <c r="F3123" i="50" s="1"/>
  <c r="R3123" i="50" s="1"/>
  <c r="AH3123" i="50" s="1"/>
  <c r="P2453" i="50"/>
  <c r="P3167" i="50" s="1"/>
  <c r="AD1585" i="50"/>
  <c r="AD1586" i="50" s="1"/>
  <c r="AD2299" i="50"/>
  <c r="AD3013" i="50" s="1"/>
  <c r="AD3015" i="50" s="1"/>
  <c r="AL1653" i="50"/>
  <c r="AM1653" i="50" s="1"/>
  <c r="T2368" i="50"/>
  <c r="J2815" i="50"/>
  <c r="R2815" i="50" s="1"/>
  <c r="AH2815" i="50" s="1"/>
  <c r="H1767" i="50"/>
  <c r="J1768" i="50" s="1"/>
  <c r="P1452" i="50"/>
  <c r="P1453" i="50" s="1"/>
  <c r="H1662" i="50"/>
  <c r="H1663" i="50" s="1"/>
  <c r="AM485" i="50"/>
  <c r="L389" i="50"/>
  <c r="H2075" i="50"/>
  <c r="H2076" i="50" s="1"/>
  <c r="AB2005" i="50"/>
  <c r="AB2006" i="50" s="1"/>
  <c r="H1425" i="50"/>
  <c r="H1439" i="50" s="1"/>
  <c r="AD3122" i="50"/>
  <c r="AD3127" i="50" s="1"/>
  <c r="AD1697" i="50"/>
  <c r="AD1698" i="50" s="1"/>
  <c r="L2075" i="50"/>
  <c r="L2076" i="50" s="1"/>
  <c r="AL1652" i="50"/>
  <c r="AM1652" i="50" s="1"/>
  <c r="R753" i="50"/>
  <c r="AH753" i="50" s="1"/>
  <c r="AF2653" i="50"/>
  <c r="AH2653" i="50" s="1"/>
  <c r="R2605" i="50"/>
  <c r="AH2605" i="50" s="1"/>
  <c r="AF2354" i="50"/>
  <c r="AH2354" i="50" s="1"/>
  <c r="AF3234" i="50"/>
  <c r="R2520" i="50"/>
  <c r="R3249" i="50"/>
  <c r="R3108" i="50"/>
  <c r="R2442" i="50"/>
  <c r="R3403" i="50"/>
  <c r="F1809" i="50"/>
  <c r="AD3575" i="50"/>
  <c r="N2117" i="50"/>
  <c r="N2118" i="50" s="1"/>
  <c r="L2103" i="50"/>
  <c r="P2104" i="50" s="1"/>
  <c r="T1998" i="50"/>
  <c r="X3113" i="50"/>
  <c r="V2110" i="50"/>
  <c r="AB2111" i="50" s="1"/>
  <c r="AL1610" i="50"/>
  <c r="AM1610" i="50" s="1"/>
  <c r="AF2555" i="50"/>
  <c r="X3414" i="50"/>
  <c r="X1711" i="50"/>
  <c r="X1712" i="50" s="1"/>
  <c r="AL1465" i="50"/>
  <c r="AM1465" i="50" s="1"/>
  <c r="H1781" i="50"/>
  <c r="N1782" i="50" s="1"/>
  <c r="L1613" i="50"/>
  <c r="L1614" i="50" s="1"/>
  <c r="AB1522" i="50"/>
  <c r="AB1523" i="50" s="1"/>
  <c r="L1662" i="50"/>
  <c r="L1663" i="50" s="1"/>
  <c r="AF2537" i="50"/>
  <c r="T3251" i="50"/>
  <c r="AF3251" i="50" s="1"/>
  <c r="AD1641" i="50"/>
  <c r="AD1642" i="50" s="1"/>
  <c r="AD2352" i="50"/>
  <c r="AD3066" i="50" s="1"/>
  <c r="AD3071" i="50" s="1"/>
  <c r="X1641" i="50"/>
  <c r="X1642" i="50" s="1"/>
  <c r="X2352" i="50"/>
  <c r="F2061" i="50"/>
  <c r="F2062" i="50" s="1"/>
  <c r="F2774" i="50"/>
  <c r="P1781" i="50"/>
  <c r="P2495" i="50"/>
  <c r="P3209" i="50" s="1"/>
  <c r="P3211" i="50" s="1"/>
  <c r="N1991" i="50"/>
  <c r="N1992" i="50" s="1"/>
  <c r="N2704" i="50"/>
  <c r="N3418" i="50" s="1"/>
  <c r="N3421" i="50" s="1"/>
  <c r="J1991" i="50"/>
  <c r="J1992" i="50" s="1"/>
  <c r="J2704" i="50"/>
  <c r="J3418" i="50" s="1"/>
  <c r="J3421" i="50" s="1"/>
  <c r="H1942" i="50"/>
  <c r="H1459" i="50"/>
  <c r="N1460" i="50" s="1"/>
  <c r="J1452" i="50"/>
  <c r="J1453" i="50" s="1"/>
  <c r="J2165" i="50"/>
  <c r="J2879" i="50" s="1"/>
  <c r="J2882" i="50" s="1"/>
  <c r="J2382" i="50"/>
  <c r="J3096" i="50" s="1"/>
  <c r="J3099" i="50" s="1"/>
  <c r="J1669" i="50"/>
  <c r="J1670" i="50" s="1"/>
  <c r="H1613" i="50"/>
  <c r="H1614" i="50" s="1"/>
  <c r="H2453" i="50"/>
  <c r="H3167" i="50" s="1"/>
  <c r="AL1738" i="50"/>
  <c r="AM1738" i="50" s="1"/>
  <c r="F2453" i="50"/>
  <c r="V2299" i="50"/>
  <c r="V3013" i="50" s="1"/>
  <c r="V3015" i="50" s="1"/>
  <c r="V1585" i="50"/>
  <c r="V1586" i="50" s="1"/>
  <c r="T2299" i="50"/>
  <c r="AL1584" i="50"/>
  <c r="AM1584" i="50" s="1"/>
  <c r="AL1889" i="50"/>
  <c r="AM1889" i="50" s="1"/>
  <c r="T2604" i="50"/>
  <c r="J1662" i="50"/>
  <c r="J1663" i="50" s="1"/>
  <c r="Z1585" i="50"/>
  <c r="Z1586" i="50" s="1"/>
  <c r="N1697" i="50"/>
  <c r="N1698" i="50" s="1"/>
  <c r="AF2621" i="50"/>
  <c r="Z1641" i="50"/>
  <c r="Z1642" i="50" s="1"/>
  <c r="V1522" i="50"/>
  <c r="V1523" i="50" s="1"/>
  <c r="AF3506" i="50"/>
  <c r="AF2386" i="50"/>
  <c r="P3106" i="50"/>
  <c r="AF3541" i="50"/>
  <c r="AF2792" i="50"/>
  <c r="AB3512" i="50"/>
  <c r="AH2477" i="50"/>
  <c r="AD3540" i="50"/>
  <c r="M117" i="49"/>
  <c r="P6" i="49" s="1"/>
  <c r="V6" i="49" s="1"/>
  <c r="Q6" i="49"/>
  <c r="W6" i="49" s="1"/>
  <c r="AH3380" i="50"/>
  <c r="AF2827" i="50"/>
  <c r="AF2778" i="50"/>
  <c r="AB3519" i="50"/>
  <c r="AH2355" i="50"/>
  <c r="V1718" i="50"/>
  <c r="Z1719" i="50" s="1"/>
  <c r="AD2075" i="50"/>
  <c r="AD2076" i="50" s="1"/>
  <c r="AH2334" i="50"/>
  <c r="R2250" i="50"/>
  <c r="S2251" i="50" s="1"/>
  <c r="S2252" i="50" s="1"/>
  <c r="X3265" i="50"/>
  <c r="AF3265" i="50" s="1"/>
  <c r="AH3265" i="50" s="1"/>
  <c r="H3197" i="50"/>
  <c r="F3342" i="50"/>
  <c r="R3342" i="50" s="1"/>
  <c r="R3402" i="50"/>
  <c r="AH3402" i="50" s="1"/>
  <c r="F291" i="50"/>
  <c r="N2148" i="50"/>
  <c r="AD2096" i="50"/>
  <c r="AD2097" i="50" s="1"/>
  <c r="F3428" i="50"/>
  <c r="AD1746" i="50"/>
  <c r="AD1747" i="50" s="1"/>
  <c r="AH2479" i="50"/>
  <c r="T1795" i="50"/>
  <c r="X2992" i="50"/>
  <c r="AF2992" i="50" s="1"/>
  <c r="V3575" i="50"/>
  <c r="R2626" i="50"/>
  <c r="AH3047" i="50"/>
  <c r="AD3351" i="50"/>
  <c r="V1795" i="50"/>
  <c r="V1796" i="50" s="1"/>
  <c r="AT1551" i="50"/>
  <c r="AF3349" i="50"/>
  <c r="AH3349" i="50" s="1"/>
  <c r="H2148" i="50"/>
  <c r="AL1863" i="50"/>
  <c r="AM1863" i="50" s="1"/>
  <c r="AL1953" i="50"/>
  <c r="AM1953" i="50" s="1"/>
  <c r="N683" i="50"/>
  <c r="V172" i="50"/>
  <c r="F641" i="50"/>
  <c r="V382" i="50"/>
  <c r="AH3356" i="50"/>
  <c r="AF2649" i="50"/>
  <c r="AH2649" i="50" s="1"/>
  <c r="AF3250" i="50"/>
  <c r="AH3250" i="50" s="1"/>
  <c r="AH2851" i="50"/>
  <c r="AF3100" i="50"/>
  <c r="AH3115" i="50"/>
  <c r="AD1690" i="50"/>
  <c r="AD1691" i="50" s="1"/>
  <c r="AT1691" i="50" s="1"/>
  <c r="N1893" i="50"/>
  <c r="N1894" i="50" s="1"/>
  <c r="J2732" i="50"/>
  <c r="J3446" i="50" s="1"/>
  <c r="J3449" i="50" s="1"/>
  <c r="AL1780" i="50"/>
  <c r="AM1780" i="50" s="1"/>
  <c r="J1676" i="50"/>
  <c r="J1677" i="50" s="1"/>
  <c r="AL1497" i="50"/>
  <c r="AM1497" i="50" s="1"/>
  <c r="AB3134" i="50"/>
  <c r="F3197" i="50"/>
  <c r="Z1600" i="50"/>
  <c r="AD1795" i="50"/>
  <c r="AD1796" i="50" s="1"/>
  <c r="V298" i="50"/>
  <c r="P3204" i="50"/>
  <c r="R2822" i="50"/>
  <c r="AH2822" i="50" s="1"/>
  <c r="AF2708" i="50"/>
  <c r="AH2708" i="50" s="1"/>
  <c r="R3192" i="50"/>
  <c r="AB3361" i="50"/>
  <c r="AB1732" i="50"/>
  <c r="AB1733" i="50" s="1"/>
  <c r="L1676" i="50"/>
  <c r="AF2830" i="50"/>
  <c r="AH2830" i="50" s="1"/>
  <c r="AB1536" i="50"/>
  <c r="AB1537" i="50" s="1"/>
  <c r="L1753" i="50"/>
  <c r="N1754" i="50" s="1"/>
  <c r="V2075" i="50"/>
  <c r="V2076" i="50" s="1"/>
  <c r="AB2110" i="50"/>
  <c r="AH3299" i="50"/>
  <c r="AD3411" i="50"/>
  <c r="AD3414" i="50" s="1"/>
  <c r="AL1821" i="50"/>
  <c r="AM1821" i="50" s="1"/>
  <c r="AF2292" i="50"/>
  <c r="AH2292" i="50" s="1"/>
  <c r="AB3540" i="50"/>
  <c r="L1467" i="50"/>
  <c r="AD1977" i="50"/>
  <c r="P1648" i="50"/>
  <c r="P1649" i="50" s="1"/>
  <c r="AH2613" i="50"/>
  <c r="AL1624" i="50"/>
  <c r="AM1624" i="50" s="1"/>
  <c r="J1837" i="50"/>
  <c r="J1838" i="50" s="1"/>
  <c r="AF3074" i="50"/>
  <c r="AL1512" i="50"/>
  <c r="AS1516" i="50" s="1"/>
  <c r="R3244" i="50"/>
  <c r="V3225" i="50"/>
  <c r="L2148" i="50"/>
  <c r="T1718" i="50"/>
  <c r="AB3351" i="50"/>
  <c r="R3510" i="50"/>
  <c r="AH3510" i="50" s="1"/>
  <c r="AL1615" i="50"/>
  <c r="AM1615" i="50" s="1"/>
  <c r="X1998" i="50"/>
  <c r="X1999" i="50" s="1"/>
  <c r="F2117" i="50"/>
  <c r="F2118" i="50" s="1"/>
  <c r="R2796" i="50"/>
  <c r="AH2796" i="50" s="1"/>
  <c r="N1516" i="50"/>
  <c r="R2621" i="50"/>
  <c r="AH2621" i="50" s="1"/>
  <c r="R3489" i="50"/>
  <c r="AH3489" i="50" s="1"/>
  <c r="AH3538" i="50"/>
  <c r="AL1960" i="50"/>
  <c r="AM1960" i="50" s="1"/>
  <c r="T3328" i="50"/>
  <c r="J1648" i="50"/>
  <c r="J1649" i="50" s="1"/>
  <c r="L2943" i="50"/>
  <c r="R2943" i="50" s="1"/>
  <c r="AH2943" i="50" s="1"/>
  <c r="R2229" i="50"/>
  <c r="AH2229" i="50" s="1"/>
  <c r="AF3405" i="50"/>
  <c r="AH3405" i="50" s="1"/>
  <c r="J4" i="72"/>
  <c r="AD2151" i="50"/>
  <c r="AL1716" i="50"/>
  <c r="AM1716" i="50" s="1"/>
  <c r="R2775" i="50"/>
  <c r="AH2775" i="50" s="1"/>
  <c r="AL1603" i="50"/>
  <c r="AM1603" i="50" s="1"/>
  <c r="AF3303" i="50"/>
  <c r="AD2926" i="50"/>
  <c r="AD2931" i="50" s="1"/>
  <c r="V2894" i="50"/>
  <c r="AF2691" i="50"/>
  <c r="AH2691" i="50" s="1"/>
  <c r="L2151" i="50"/>
  <c r="AL1910" i="50"/>
  <c r="AM1910" i="50" s="1"/>
  <c r="AD1984" i="50"/>
  <c r="AD1985" i="50" s="1"/>
  <c r="L1593" i="50"/>
  <c r="L2117" i="50"/>
  <c r="L2118" i="50" s="1"/>
  <c r="P2040" i="50"/>
  <c r="P2041" i="50" s="1"/>
  <c r="N3218" i="50"/>
  <c r="AF3515" i="50"/>
  <c r="AB3064" i="50"/>
  <c r="AF2395" i="50"/>
  <c r="AH2395" i="50" s="1"/>
  <c r="AF3422" i="50"/>
  <c r="AB3428" i="50"/>
  <c r="R3443" i="50"/>
  <c r="F39" i="50"/>
  <c r="L578" i="50"/>
  <c r="AH1047" i="50"/>
  <c r="AH1110" i="50"/>
  <c r="Z669" i="50"/>
  <c r="Z550" i="50"/>
  <c r="AB515" i="50"/>
  <c r="T662" i="50"/>
  <c r="Z690" i="50"/>
  <c r="X564" i="50"/>
  <c r="L501" i="50"/>
  <c r="H270" i="50"/>
  <c r="V543" i="50"/>
  <c r="AH1005" i="50"/>
  <c r="AD473" i="50"/>
  <c r="X123" i="50"/>
  <c r="X578" i="50"/>
  <c r="X270" i="50"/>
  <c r="V669" i="50"/>
  <c r="H1211" i="50"/>
  <c r="R1211" i="50" s="1"/>
  <c r="S1216" i="50" s="1"/>
  <c r="S1217" i="50" s="1"/>
  <c r="L417" i="50"/>
  <c r="AB613" i="50"/>
  <c r="R27" i="72"/>
  <c r="AH1341" i="50"/>
  <c r="AM8" i="50"/>
  <c r="L137" i="50"/>
  <c r="L39" i="50"/>
  <c r="J17" i="72" s="1"/>
  <c r="L706" i="50"/>
  <c r="M706" i="50" s="1"/>
  <c r="L473" i="50"/>
  <c r="X347" i="50"/>
  <c r="H431" i="50"/>
  <c r="V333" i="50"/>
  <c r="Z480" i="50"/>
  <c r="V690" i="50"/>
  <c r="AH900" i="50"/>
  <c r="H543" i="50"/>
  <c r="F459" i="50"/>
  <c r="AM113" i="50"/>
  <c r="AB543" i="50"/>
  <c r="AM127" i="50"/>
  <c r="AH858" i="50"/>
  <c r="X669" i="50"/>
  <c r="P284" i="50"/>
  <c r="V473" i="50"/>
  <c r="AH932" i="50"/>
  <c r="P606" i="50"/>
  <c r="V389" i="50"/>
  <c r="AD550" i="50"/>
  <c r="AH984" i="50"/>
  <c r="AM365" i="50"/>
  <c r="Z431" i="50"/>
  <c r="AH1135" i="50"/>
  <c r="F536" i="50"/>
  <c r="AD186" i="50"/>
  <c r="AD543" i="50"/>
  <c r="Z662" i="50"/>
  <c r="AH1201" i="50"/>
  <c r="AD298" i="50"/>
  <c r="AB550" i="50"/>
  <c r="AH1124" i="50"/>
  <c r="F683" i="50"/>
  <c r="H382" i="50"/>
  <c r="H676" i="50"/>
  <c r="AH1068" i="50"/>
  <c r="X550" i="50"/>
  <c r="H235" i="50"/>
  <c r="AH1186" i="50"/>
  <c r="AH1143" i="50"/>
  <c r="Z515" i="50"/>
  <c r="AD172" i="50"/>
  <c r="AD669" i="50"/>
  <c r="X690" i="50"/>
  <c r="AD102" i="50"/>
  <c r="AH949" i="50"/>
  <c r="AD333" i="50"/>
  <c r="F508" i="50"/>
  <c r="J508" i="50"/>
  <c r="V662" i="50"/>
  <c r="H683" i="50"/>
  <c r="N39" i="50"/>
  <c r="AH921" i="50"/>
  <c r="P459" i="50"/>
  <c r="T333" i="50"/>
  <c r="AD690" i="50"/>
  <c r="F606" i="50"/>
  <c r="Z473" i="50"/>
  <c r="T1229" i="50"/>
  <c r="J676" i="50"/>
  <c r="AM240" i="50"/>
  <c r="AH865" i="50"/>
  <c r="T445" i="50"/>
  <c r="Z340" i="50"/>
  <c r="P403" i="50"/>
  <c r="V515" i="50"/>
  <c r="P109" i="50"/>
  <c r="T634" i="50"/>
  <c r="P354" i="50"/>
  <c r="X606" i="50"/>
  <c r="AB151" i="50"/>
  <c r="V123" i="50"/>
  <c r="X613" i="50"/>
  <c r="P270" i="50"/>
  <c r="V270" i="50"/>
  <c r="AB473" i="50"/>
  <c r="P39" i="50"/>
  <c r="AH816" i="50"/>
  <c r="V3" i="72"/>
  <c r="L676" i="50"/>
  <c r="AH872" i="50"/>
  <c r="F417" i="50"/>
  <c r="L634" i="50"/>
  <c r="N270" i="50"/>
  <c r="AH977" i="50"/>
  <c r="R1327" i="50"/>
  <c r="Z123" i="50"/>
  <c r="AL412" i="50"/>
  <c r="AM412" i="50" s="1"/>
  <c r="J403" i="50"/>
  <c r="P382" i="50"/>
  <c r="N67" i="50"/>
  <c r="L8" i="72" s="1"/>
  <c r="F634" i="50"/>
  <c r="V578" i="50"/>
  <c r="AD662" i="50"/>
  <c r="AH1045" i="50"/>
  <c r="T12" i="72"/>
  <c r="X543" i="50"/>
  <c r="Z578" i="50"/>
  <c r="P431" i="50"/>
  <c r="N312" i="50"/>
  <c r="F410" i="50"/>
  <c r="AD627" i="50"/>
  <c r="T13" i="72"/>
  <c r="AH823" i="50"/>
  <c r="T641" i="50"/>
  <c r="AB578" i="50"/>
  <c r="R12" i="72"/>
  <c r="AM128" i="50"/>
  <c r="J749" i="50"/>
  <c r="R749" i="50" s="1"/>
  <c r="N473" i="50"/>
  <c r="AM274" i="50"/>
  <c r="P634" i="50"/>
  <c r="AH1023" i="50"/>
  <c r="X1229" i="50"/>
  <c r="T669" i="50"/>
  <c r="Z543" i="50"/>
  <c r="Z648" i="50"/>
  <c r="AD613" i="50"/>
  <c r="AF1327" i="50"/>
  <c r="F676" i="50"/>
  <c r="AH928" i="50"/>
  <c r="AB662" i="50"/>
  <c r="L396" i="50"/>
  <c r="T473" i="50"/>
  <c r="L410" i="50"/>
  <c r="AD354" i="50"/>
  <c r="AM471" i="50"/>
  <c r="P193" i="50"/>
  <c r="AH844" i="50"/>
  <c r="AM318" i="50"/>
  <c r="AF1194" i="50"/>
  <c r="AH1194" i="50" s="1"/>
  <c r="AD634" i="50"/>
  <c r="X627" i="50"/>
  <c r="AL34" i="50"/>
  <c r="T494" i="50"/>
  <c r="H571" i="50"/>
  <c r="J641" i="50"/>
  <c r="AH893" i="50"/>
  <c r="AD270" i="50"/>
  <c r="J501" i="50"/>
  <c r="X221" i="50"/>
  <c r="V550" i="50"/>
  <c r="H39" i="50"/>
  <c r="F17" i="72" s="1"/>
  <c r="H706" i="50"/>
  <c r="I706" i="50" s="1"/>
  <c r="H312" i="50"/>
  <c r="H578" i="50"/>
  <c r="X634" i="50"/>
  <c r="AB445" i="50"/>
  <c r="V564" i="50"/>
  <c r="AH1117" i="50"/>
  <c r="X648" i="50"/>
  <c r="Z3" i="72"/>
  <c r="P27" i="72"/>
  <c r="V13" i="72"/>
  <c r="P3" i="72"/>
  <c r="R13" i="72"/>
  <c r="P12" i="72"/>
  <c r="Z13" i="72"/>
  <c r="X13" i="72"/>
  <c r="P13" i="72"/>
  <c r="H12" i="72"/>
  <c r="AL496" i="50"/>
  <c r="AM496" i="50" s="1"/>
  <c r="F501" i="50"/>
  <c r="H13" i="72"/>
  <c r="F706" i="50"/>
  <c r="G706" i="50" s="1"/>
  <c r="L13" i="72"/>
  <c r="D3" i="72"/>
  <c r="N13" i="72"/>
  <c r="L12" i="72"/>
  <c r="N27" i="72"/>
  <c r="F742" i="50"/>
  <c r="H3148" i="50"/>
  <c r="R3166" i="50"/>
  <c r="R2897" i="50"/>
  <c r="AB3036" i="50"/>
  <c r="AF2411" i="50"/>
  <c r="AH2411" i="50" s="1"/>
  <c r="R2236" i="50"/>
  <c r="AH2236" i="50" s="1"/>
  <c r="R3097" i="50"/>
  <c r="AH2446" i="50"/>
  <c r="AL437" i="50"/>
  <c r="AM437" i="50" s="1"/>
  <c r="F1152" i="50"/>
  <c r="R1152" i="50" s="1"/>
  <c r="N2075" i="50"/>
  <c r="N2076" i="50" s="1"/>
  <c r="X2151" i="50"/>
  <c r="AB690" i="50"/>
  <c r="J3435" i="50"/>
  <c r="AF2820" i="50"/>
  <c r="AH2820" i="50" s="1"/>
  <c r="AL1707" i="50"/>
  <c r="AM1707" i="50" s="1"/>
  <c r="R2677" i="50"/>
  <c r="AH2677" i="50" s="1"/>
  <c r="R2452" i="50"/>
  <c r="J1865" i="50"/>
  <c r="J1866" i="50" s="1"/>
  <c r="J2578" i="50"/>
  <c r="J3292" i="50" s="1"/>
  <c r="J3295" i="50" s="1"/>
  <c r="AL1671" i="50"/>
  <c r="AM1671" i="50" s="1"/>
  <c r="F1676" i="50"/>
  <c r="F2386" i="50"/>
  <c r="R2306" i="50"/>
  <c r="AH2306" i="50" s="1"/>
  <c r="H3020" i="50"/>
  <c r="R3020" i="50" s="1"/>
  <c r="X1991" i="50"/>
  <c r="X1992" i="50" s="1"/>
  <c r="X2704" i="50"/>
  <c r="X3418" i="50" s="1"/>
  <c r="X3421" i="50" s="1"/>
  <c r="Z1984" i="50"/>
  <c r="Z1985" i="50" s="1"/>
  <c r="Z2697" i="50"/>
  <c r="Z3411" i="50" s="1"/>
  <c r="Z1704" i="50"/>
  <c r="Z1705" i="50" s="1"/>
  <c r="Z2414" i="50"/>
  <c r="Z3128" i="50" s="1"/>
  <c r="Z3134" i="50" s="1"/>
  <c r="AF2348" i="50"/>
  <c r="AH2348" i="50" s="1"/>
  <c r="X1452" i="50"/>
  <c r="X1453" i="50" s="1"/>
  <c r="X2162" i="50"/>
  <c r="X2876" i="50" s="1"/>
  <c r="X2882" i="50" s="1"/>
  <c r="AL1947" i="50"/>
  <c r="AM1947" i="50" s="1"/>
  <c r="F1949" i="50"/>
  <c r="F2662" i="50"/>
  <c r="H1564" i="50"/>
  <c r="H1565" i="50" s="1"/>
  <c r="H2274" i="50"/>
  <c r="H2988" i="50" s="1"/>
  <c r="H2994" i="50" s="1"/>
  <c r="AB2408" i="50"/>
  <c r="AB3122" i="50" s="1"/>
  <c r="AB3127" i="50" s="1"/>
  <c r="AB1697" i="50"/>
  <c r="AB1698" i="50" s="1"/>
  <c r="AD1963" i="50"/>
  <c r="AD1964" i="50" s="1"/>
  <c r="AD2675" i="50"/>
  <c r="AD3389" i="50" s="1"/>
  <c r="AD3393" i="50" s="1"/>
  <c r="Z1620" i="50"/>
  <c r="Z1621" i="50" s="1"/>
  <c r="Z2330" i="50"/>
  <c r="Z3044" i="50" s="1"/>
  <c r="Z3050" i="50" s="1"/>
  <c r="F1746" i="50"/>
  <c r="F2459" i="50"/>
  <c r="R1334" i="50"/>
  <c r="AH1334" i="50" s="1"/>
  <c r="AB1487" i="50"/>
  <c r="AB1488" i="50" s="1"/>
  <c r="AB2198" i="50"/>
  <c r="AB2912" i="50" s="1"/>
  <c r="AB2917" i="50" s="1"/>
  <c r="L2360" i="50"/>
  <c r="L3074" i="50" s="1"/>
  <c r="L3078" i="50" s="1"/>
  <c r="AD1606" i="50"/>
  <c r="AD1607" i="50" s="1"/>
  <c r="AD2318" i="50"/>
  <c r="AD3032" i="50" s="1"/>
  <c r="AD3036" i="50" s="1"/>
  <c r="X1956" i="50"/>
  <c r="X1957" i="50" s="1"/>
  <c r="X2668" i="50"/>
  <c r="V2040" i="50"/>
  <c r="V2041" i="50" s="1"/>
  <c r="V2751" i="50"/>
  <c r="V3465" i="50" s="1"/>
  <c r="V3470" i="50" s="1"/>
  <c r="AB1466" i="50"/>
  <c r="AD1467" i="50" s="1"/>
  <c r="AB2179" i="50"/>
  <c r="AB2893" i="50" s="1"/>
  <c r="AB2896" i="50" s="1"/>
  <c r="AL1813" i="50"/>
  <c r="AM1813" i="50" s="1"/>
  <c r="T2528" i="50"/>
  <c r="J1872" i="50"/>
  <c r="J1873" i="50" s="1"/>
  <c r="J2582" i="50"/>
  <c r="J3296" i="50" s="1"/>
  <c r="J3302" i="50" s="1"/>
  <c r="Z2250" i="50"/>
  <c r="Z2964" i="50" s="1"/>
  <c r="Z2966" i="50" s="1"/>
  <c r="Z1536" i="50"/>
  <c r="Z1537" i="50" s="1"/>
  <c r="F2803" i="50"/>
  <c r="R2803" i="50" s="1"/>
  <c r="AD2313" i="50"/>
  <c r="AD3027" i="50" s="1"/>
  <c r="AD3029" i="50" s="1"/>
  <c r="AD1599" i="50"/>
  <c r="AD1600" i="50" s="1"/>
  <c r="Z3414" i="50"/>
  <c r="AF2808" i="50"/>
  <c r="R2183" i="50"/>
  <c r="S2188" i="50" s="1"/>
  <c r="S2189" i="50" s="1"/>
  <c r="R3104" i="50"/>
  <c r="AH3104" i="50" s="1"/>
  <c r="AL1447" i="50"/>
  <c r="L1677" i="50"/>
  <c r="H3246" i="50"/>
  <c r="Z1998" i="50"/>
  <c r="Z1999" i="50" s="1"/>
  <c r="AF2360" i="50"/>
  <c r="T2704" i="50"/>
  <c r="T1991" i="50"/>
  <c r="AD2474" i="50"/>
  <c r="AD3188" i="50" s="1"/>
  <c r="F1515" i="50"/>
  <c r="F2227" i="50"/>
  <c r="X1921" i="50"/>
  <c r="AB1922" i="50" s="1"/>
  <c r="X2631" i="50"/>
  <c r="X3345" i="50" s="1"/>
  <c r="X3351" i="50" s="1"/>
  <c r="AL1699" i="50"/>
  <c r="AM1699" i="50" s="1"/>
  <c r="T2414" i="50"/>
  <c r="AB1977" i="50"/>
  <c r="AB2687" i="50"/>
  <c r="AB3401" i="50" s="1"/>
  <c r="AB3407" i="50" s="1"/>
  <c r="AD2740" i="50"/>
  <c r="AD3454" i="50" s="1"/>
  <c r="AD2739" i="50"/>
  <c r="AD3453" i="50" s="1"/>
  <c r="J2831" i="50"/>
  <c r="R2831" i="50" s="1"/>
  <c r="AD1452" i="50"/>
  <c r="AD2162" i="50"/>
  <c r="AD2876" i="50" s="1"/>
  <c r="AD2882" i="50" s="1"/>
  <c r="F2663" i="50"/>
  <c r="AL1948" i="50"/>
  <c r="AM1948" i="50" s="1"/>
  <c r="F2040" i="50"/>
  <c r="F2041" i="50" s="1"/>
  <c r="F2754" i="50"/>
  <c r="AL1724" i="50"/>
  <c r="AM1724" i="50" s="1"/>
  <c r="T2439" i="50"/>
  <c r="W43" i="32"/>
  <c r="X42" i="32"/>
  <c r="L2778" i="50"/>
  <c r="R2778" i="50" s="1"/>
  <c r="H1648" i="50"/>
  <c r="H1649" i="50" s="1"/>
  <c r="AD1914" i="50"/>
  <c r="AD1915" i="50" s="1"/>
  <c r="AD2625" i="50"/>
  <c r="AD3339" i="50" s="1"/>
  <c r="AL1700" i="50"/>
  <c r="AM1700" i="50" s="1"/>
  <c r="T2415" i="50"/>
  <c r="V1760" i="50"/>
  <c r="V1761" i="50" s="1"/>
  <c r="V2472" i="50"/>
  <c r="V3186" i="50" s="1"/>
  <c r="AL1693" i="50"/>
  <c r="AM1693" i="50" s="1"/>
  <c r="T1697" i="50"/>
  <c r="T2408" i="50"/>
  <c r="X1620" i="50"/>
  <c r="X1621" i="50" s="1"/>
  <c r="X2330" i="50"/>
  <c r="X3044" i="50" s="1"/>
  <c r="X3050" i="50" s="1"/>
  <c r="AB2565" i="50"/>
  <c r="AB3279" i="50" s="1"/>
  <c r="AB3281" i="50" s="1"/>
  <c r="AB1851" i="50"/>
  <c r="AB1852" i="50" s="1"/>
  <c r="H1746" i="50"/>
  <c r="H1747" i="50" s="1"/>
  <c r="H2459" i="50"/>
  <c r="H3173" i="50" s="1"/>
  <c r="V1487" i="50"/>
  <c r="V1488" i="50" s="1"/>
  <c r="V2198" i="50"/>
  <c r="V2912" i="50" s="1"/>
  <c r="V2917" i="50" s="1"/>
  <c r="AF2831" i="50"/>
  <c r="X3545" i="50"/>
  <c r="AF3545" i="50" s="1"/>
  <c r="AB1956" i="50"/>
  <c r="AB1957" i="50" s="1"/>
  <c r="AB2668" i="50"/>
  <c r="AB3382" i="50" s="1"/>
  <c r="AB3386" i="50" s="1"/>
  <c r="Z2040" i="50"/>
  <c r="Z2041" i="50" s="1"/>
  <c r="Z2751" i="50"/>
  <c r="Z3465" i="50" s="1"/>
  <c r="Z3470" i="50" s="1"/>
  <c r="V1466" i="50"/>
  <c r="X1467" i="50" s="1"/>
  <c r="V2179" i="50"/>
  <c r="V2893" i="50" s="1"/>
  <c r="N1872" i="50"/>
  <c r="N1873" i="50" s="1"/>
  <c r="N2582" i="50"/>
  <c r="N3296" i="50" s="1"/>
  <c r="N3302" i="50" s="1"/>
  <c r="AF2803" i="50"/>
  <c r="T3517" i="50"/>
  <c r="AF3517" i="50" s="1"/>
  <c r="J1788" i="50"/>
  <c r="J2499" i="50"/>
  <c r="J3213" i="50" s="1"/>
  <c r="J3218" i="50" s="1"/>
  <c r="Z2075" i="50"/>
  <c r="Z2076" i="50" s="1"/>
  <c r="Z2786" i="50"/>
  <c r="Z3500" i="50" s="1"/>
  <c r="X2131" i="50"/>
  <c r="X2132" i="50" s="1"/>
  <c r="F1865" i="50"/>
  <c r="F1866" i="50" s="1"/>
  <c r="Z2474" i="50"/>
  <c r="Z3188" i="50" s="1"/>
  <c r="Z2740" i="50"/>
  <c r="Z3454" i="50" s="1"/>
  <c r="Z2739" i="50"/>
  <c r="Z3453" i="50" s="1"/>
  <c r="Z2577" i="50"/>
  <c r="Z3291" i="50" s="1"/>
  <c r="Z3295" i="50" s="1"/>
  <c r="L2663" i="50"/>
  <c r="L3377" i="50" s="1"/>
  <c r="H1949" i="50"/>
  <c r="H1950" i="50" s="1"/>
  <c r="H2662" i="50"/>
  <c r="H3376" i="50" s="1"/>
  <c r="H3379" i="50" s="1"/>
  <c r="N1746" i="50"/>
  <c r="N1747" i="50" s="1"/>
  <c r="N2459" i="50"/>
  <c r="N3173" i="50" s="1"/>
  <c r="N3176" i="50" s="1"/>
  <c r="H2607" i="50"/>
  <c r="H3321" i="50" s="1"/>
  <c r="P67" i="50"/>
  <c r="N8" i="72" s="1"/>
  <c r="X1796" i="50"/>
  <c r="Z613" i="50"/>
  <c r="V1837" i="50"/>
  <c r="V1838" i="50" s="1"/>
  <c r="V102" i="50"/>
  <c r="AD375" i="50"/>
  <c r="Z606" i="50"/>
  <c r="L284" i="50"/>
  <c r="X480" i="50"/>
  <c r="AH851" i="50"/>
  <c r="Z1942" i="50"/>
  <c r="Z1943" i="50" s="1"/>
  <c r="L354" i="50"/>
  <c r="AH1033" i="50"/>
  <c r="J3393" i="50"/>
  <c r="R2743" i="50"/>
  <c r="S2748" i="50" s="1"/>
  <c r="S2749" i="50" s="1"/>
  <c r="R2353" i="50"/>
  <c r="AH2353" i="50" s="1"/>
  <c r="P3316" i="50"/>
  <c r="AH2449" i="50"/>
  <c r="J3064" i="50"/>
  <c r="AD1627" i="50"/>
  <c r="AD1628" i="50" s="1"/>
  <c r="AL1737" i="50"/>
  <c r="AM1737" i="50" s="1"/>
  <c r="V1711" i="50"/>
  <c r="V1712" i="50" s="1"/>
  <c r="J2927" i="50"/>
  <c r="L1865" i="50"/>
  <c r="L1866" i="50" s="1"/>
  <c r="L2578" i="50"/>
  <c r="L3292" i="50" s="1"/>
  <c r="L3295" i="50" s="1"/>
  <c r="AM1546" i="50"/>
  <c r="AS1551" i="50"/>
  <c r="R1285" i="50"/>
  <c r="Z1991" i="50"/>
  <c r="Z1992" i="50" s="1"/>
  <c r="Z2704" i="50"/>
  <c r="Z3418" i="50" s="1"/>
  <c r="Z3421" i="50" s="1"/>
  <c r="T1984" i="50"/>
  <c r="T2697" i="50"/>
  <c r="AL1759" i="50"/>
  <c r="AM1759" i="50" s="1"/>
  <c r="U1759" i="50"/>
  <c r="AG1759" i="50" s="1"/>
  <c r="AI1759" i="50" s="1"/>
  <c r="V2474" i="50"/>
  <c r="T2027" i="50"/>
  <c r="T2740" i="50"/>
  <c r="T3454" i="50" s="1"/>
  <c r="T2739" i="50"/>
  <c r="X1977" i="50"/>
  <c r="AB1978" i="50" s="1"/>
  <c r="AL514" i="50"/>
  <c r="AM514" i="50" s="1"/>
  <c r="N2754" i="50"/>
  <c r="N3468" i="50" s="1"/>
  <c r="N3470" i="50" s="1"/>
  <c r="N2040" i="50"/>
  <c r="N2041" i="50" s="1"/>
  <c r="T2495" i="50"/>
  <c r="T3209" i="50" s="1"/>
  <c r="F3384" i="50"/>
  <c r="AF1152" i="50"/>
  <c r="J1949" i="50"/>
  <c r="J1950" i="50" s="1"/>
  <c r="J2662" i="50"/>
  <c r="J3376" i="50" s="1"/>
  <c r="T1914" i="50"/>
  <c r="T1915" i="50" s="1"/>
  <c r="T2625" i="50"/>
  <c r="T3339" i="50" s="1"/>
  <c r="T3344" i="50" s="1"/>
  <c r="J1564" i="50"/>
  <c r="J1565" i="50" s="1"/>
  <c r="J2274" i="50"/>
  <c r="J2988" i="50" s="1"/>
  <c r="J2994" i="50" s="1"/>
  <c r="AF1285" i="50"/>
  <c r="X1760" i="50"/>
  <c r="X1761" i="50" s="1"/>
  <c r="X2472" i="50"/>
  <c r="X3186" i="50" s="1"/>
  <c r="X3190" i="50" s="1"/>
  <c r="X1697" i="50"/>
  <c r="X1698" i="50" s="1"/>
  <c r="X2408" i="50"/>
  <c r="X3122" i="50" s="1"/>
  <c r="X3127" i="50" s="1"/>
  <c r="AD1620" i="50"/>
  <c r="AD1621" i="50" s="1"/>
  <c r="AD2330" i="50"/>
  <c r="AD3044" i="50" s="1"/>
  <c r="AD3050" i="50" s="1"/>
  <c r="L1515" i="50"/>
  <c r="L1516" i="50" s="1"/>
  <c r="J1746" i="50"/>
  <c r="J1747" i="50" s="1"/>
  <c r="J2459" i="50"/>
  <c r="J3173" i="50" s="1"/>
  <c r="J3176" i="50" s="1"/>
  <c r="AD1865" i="50"/>
  <c r="AD1866" i="50" s="1"/>
  <c r="Z1487" i="50"/>
  <c r="Z1488" i="50" s="1"/>
  <c r="Z2198" i="50"/>
  <c r="Z2912" i="50" s="1"/>
  <c r="Z2917" i="50" s="1"/>
  <c r="F2607" i="50"/>
  <c r="AL1892" i="50"/>
  <c r="AM1892" i="50" s="1"/>
  <c r="Z1956" i="50"/>
  <c r="Z1957" i="50" s="1"/>
  <c r="Z2668" i="50"/>
  <c r="Z3382" i="50" s="1"/>
  <c r="Z3386" i="50" s="1"/>
  <c r="T2250" i="50"/>
  <c r="T2964" i="50" s="1"/>
  <c r="AL1535" i="50"/>
  <c r="AM1535" i="50" s="1"/>
  <c r="T1536" i="50"/>
  <c r="Z1711" i="50"/>
  <c r="Z1712" i="50" s="1"/>
  <c r="Z2422" i="50"/>
  <c r="Z3136" i="50" s="1"/>
  <c r="Z3141" i="50" s="1"/>
  <c r="T1725" i="50"/>
  <c r="V2131" i="50"/>
  <c r="V2132" i="50" s="1"/>
  <c r="V2841" i="50"/>
  <c r="V3555" i="50" s="1"/>
  <c r="V3561" i="50" s="1"/>
  <c r="J2467" i="50"/>
  <c r="J3181" i="50" s="1"/>
  <c r="J3183" i="50" s="1"/>
  <c r="AF2663" i="50"/>
  <c r="AG2664" i="50" s="1"/>
  <c r="AG2665" i="50" s="1"/>
  <c r="Z2313" i="50"/>
  <c r="Z3027" i="50" s="1"/>
  <c r="Z3029" i="50" s="1"/>
  <c r="L1788" i="50"/>
  <c r="L1789" i="50" s="1"/>
  <c r="L2499" i="50"/>
  <c r="L3213" i="50" s="1"/>
  <c r="L3218" i="50" s="1"/>
  <c r="AH2719" i="50"/>
  <c r="V2439" i="50"/>
  <c r="V3153" i="50" s="1"/>
  <c r="V3155" i="50" s="1"/>
  <c r="T1606" i="50"/>
  <c r="T2318" i="50"/>
  <c r="T2040" i="50"/>
  <c r="T2751" i="50"/>
  <c r="V2250" i="50"/>
  <c r="V2964" i="50" s="1"/>
  <c r="V2966" i="50" s="1"/>
  <c r="V1536" i="50"/>
  <c r="V1537" i="50" s="1"/>
  <c r="AD3109" i="50"/>
  <c r="AF3109" i="50" s="1"/>
  <c r="J284" i="50"/>
  <c r="V431" i="50"/>
  <c r="AB710" i="50"/>
  <c r="V3125" i="50"/>
  <c r="V3127" i="50" s="1"/>
  <c r="AD1508" i="50"/>
  <c r="AD1509" i="50" s="1"/>
  <c r="AM141" i="50"/>
  <c r="R3072" i="50"/>
  <c r="AH3072" i="50" s="1"/>
  <c r="R2422" i="50"/>
  <c r="S2426" i="50" s="1"/>
  <c r="S2427" i="50" s="1"/>
  <c r="AF2856" i="50"/>
  <c r="AH2856" i="50" s="1"/>
  <c r="N2903" i="50"/>
  <c r="R2437" i="50"/>
  <c r="AH2437" i="50" s="1"/>
  <c r="R2729" i="50"/>
  <c r="R2337" i="50"/>
  <c r="AH2337" i="50" s="1"/>
  <c r="AH2806" i="50"/>
  <c r="AF2626" i="50"/>
  <c r="AH2626" i="50" s="1"/>
  <c r="AL1638" i="50"/>
  <c r="AM1638" i="50" s="1"/>
  <c r="AL1857" i="50"/>
  <c r="AM1857" i="50" s="1"/>
  <c r="R2712" i="50"/>
  <c r="AB1921" i="50"/>
  <c r="N2606" i="50"/>
  <c r="N3320" i="50" s="1"/>
  <c r="N3323" i="50" s="1"/>
  <c r="AL1860" i="50"/>
  <c r="AM1860" i="50" s="1"/>
  <c r="Z3575" i="50"/>
  <c r="X3540" i="50"/>
  <c r="R2264" i="50"/>
  <c r="AH2264" i="50" s="1"/>
  <c r="N1676" i="50"/>
  <c r="N1677" i="50" s="1"/>
  <c r="N2386" i="50"/>
  <c r="N3100" i="50" s="1"/>
  <c r="N3106" i="50" s="1"/>
  <c r="AD1991" i="50"/>
  <c r="AD1992" i="50" s="1"/>
  <c r="AD2704" i="50"/>
  <c r="AD3418" i="50" s="1"/>
  <c r="AD3421" i="50" s="1"/>
  <c r="V1921" i="50"/>
  <c r="Z1922" i="50" s="1"/>
  <c r="V2631" i="50"/>
  <c r="V3345" i="50" s="1"/>
  <c r="V3351" i="50" s="1"/>
  <c r="T1977" i="50"/>
  <c r="X1978" i="50" s="1"/>
  <c r="T2687" i="50"/>
  <c r="X2740" i="50"/>
  <c r="X3454" i="50" s="1"/>
  <c r="X2739" i="50"/>
  <c r="X3453" i="50" s="1"/>
  <c r="L1810" i="50"/>
  <c r="T1180" i="50"/>
  <c r="AF1180" i="50" s="1"/>
  <c r="AH1180" i="50" s="1"/>
  <c r="AL465" i="50"/>
  <c r="AM465" i="50" s="1"/>
  <c r="AF1376" i="50"/>
  <c r="AH1376" i="50" s="1"/>
  <c r="L1648" i="50"/>
  <c r="L1649" i="50" s="1"/>
  <c r="X2530" i="50"/>
  <c r="X3244" i="50" s="1"/>
  <c r="J2663" i="50"/>
  <c r="J3377" i="50" s="1"/>
  <c r="AF1187" i="50"/>
  <c r="AD2439" i="50"/>
  <c r="AD3153" i="50" s="1"/>
  <c r="AD3155" i="50" s="1"/>
  <c r="N1949" i="50"/>
  <c r="N1950" i="50" s="1"/>
  <c r="N2662" i="50"/>
  <c r="N3376" i="50" s="1"/>
  <c r="N1564" i="50"/>
  <c r="N1565" i="50" s="1"/>
  <c r="N2274" i="50"/>
  <c r="N2988" i="50" s="1"/>
  <c r="N2994" i="50" s="1"/>
  <c r="L2305" i="50"/>
  <c r="L3019" i="50" s="1"/>
  <c r="L3022" i="50" s="1"/>
  <c r="AD1760" i="50"/>
  <c r="AD2472" i="50"/>
  <c r="AD3186" i="50" s="1"/>
  <c r="T1963" i="50"/>
  <c r="T1964" i="50" s="1"/>
  <c r="T2675" i="50"/>
  <c r="H1592" i="50"/>
  <c r="H1593" i="50" s="1"/>
  <c r="H2305" i="50"/>
  <c r="H3019" i="50" s="1"/>
  <c r="AB1620" i="50"/>
  <c r="AB1621" i="50" s="1"/>
  <c r="AB2330" i="50"/>
  <c r="AB3044" i="50" s="1"/>
  <c r="AB3050" i="50" s="1"/>
  <c r="T2565" i="50"/>
  <c r="T1851" i="50"/>
  <c r="T1852" i="50" s="1"/>
  <c r="V1599" i="50"/>
  <c r="V1600" i="50" s="1"/>
  <c r="AL1645" i="50"/>
  <c r="AM1645" i="50" s="1"/>
  <c r="F2360" i="50"/>
  <c r="T2125" i="50"/>
  <c r="T2838" i="50"/>
  <c r="AD1956" i="50"/>
  <c r="AD1957" i="50" s="1"/>
  <c r="AD2668" i="50"/>
  <c r="AD3382" i="50" s="1"/>
  <c r="AD3386" i="50" s="1"/>
  <c r="P1872" i="50"/>
  <c r="P1873" i="50" s="1"/>
  <c r="P2582" i="50"/>
  <c r="P3296" i="50" s="1"/>
  <c r="P3302" i="50" s="1"/>
  <c r="Z1502" i="50"/>
  <c r="AT1502" i="50" s="1"/>
  <c r="L2040" i="50"/>
  <c r="L2041" i="50" s="1"/>
  <c r="T1711" i="50"/>
  <c r="N1648" i="50"/>
  <c r="N1649" i="50" s="1"/>
  <c r="AF3377" i="50"/>
  <c r="AG3378" i="50" s="1"/>
  <c r="AG3379" i="50" s="1"/>
  <c r="AB2313" i="50"/>
  <c r="AB3027" i="50" s="1"/>
  <c r="AB3029" i="50" s="1"/>
  <c r="X1984" i="50"/>
  <c r="X1985" i="50" s="1"/>
  <c r="V1865" i="50"/>
  <c r="V1866" i="50" s="1"/>
  <c r="J2754" i="50"/>
  <c r="J3468" i="50" s="1"/>
  <c r="J3470" i="50" s="1"/>
  <c r="V1963" i="50"/>
  <c r="V1964" i="50" s="1"/>
  <c r="V2675" i="50"/>
  <c r="V3389" i="50" s="1"/>
  <c r="V3393" i="50" s="1"/>
  <c r="AD2565" i="50"/>
  <c r="AD3279" i="50" s="1"/>
  <c r="AD3281" i="50" s="1"/>
  <c r="AD1851" i="50"/>
  <c r="T2817" i="50"/>
  <c r="T3531" i="50" s="1"/>
  <c r="X1466" i="50"/>
  <c r="Z1467" i="50" s="1"/>
  <c r="X2179" i="50"/>
  <c r="X2893" i="50" s="1"/>
  <c r="T1264" i="50"/>
  <c r="AF1264" i="50" s="1"/>
  <c r="AH1264" i="50" s="1"/>
  <c r="V2151" i="50"/>
  <c r="H620" i="50"/>
  <c r="F578" i="50"/>
  <c r="V424" i="50"/>
  <c r="AN2153" i="50"/>
  <c r="X102" i="50"/>
  <c r="H263" i="50"/>
  <c r="Z179" i="50"/>
  <c r="AD791" i="50"/>
  <c r="V648" i="50"/>
  <c r="J571" i="50"/>
  <c r="L669" i="50"/>
  <c r="R3038" i="50"/>
  <c r="AH3038" i="50" s="1"/>
  <c r="H3491" i="50"/>
  <c r="L606" i="50"/>
  <c r="X473" i="50"/>
  <c r="T3512" i="50"/>
  <c r="AF2575" i="50"/>
  <c r="AH2575" i="50" s="1"/>
  <c r="R3051" i="50"/>
  <c r="AH3051" i="50" s="1"/>
  <c r="N3372" i="50"/>
  <c r="T710" i="50"/>
  <c r="U710" i="50" s="1"/>
  <c r="AG710" i="50" s="1"/>
  <c r="H1928" i="50"/>
  <c r="L1929" i="50" s="1"/>
  <c r="T2151" i="50"/>
  <c r="R3457" i="50"/>
  <c r="F1928" i="50"/>
  <c r="J1929" i="50" s="1"/>
  <c r="X3575" i="50"/>
  <c r="AF2589" i="50"/>
  <c r="AF2801" i="50"/>
  <c r="F2978" i="50"/>
  <c r="R2978" i="50" s="1"/>
  <c r="AH2978" i="50" s="1"/>
  <c r="R2614" i="50"/>
  <c r="N1865" i="50"/>
  <c r="N1866" i="50" s="1"/>
  <c r="N2578" i="50"/>
  <c r="N3292" i="50" s="1"/>
  <c r="N3295" i="50" s="1"/>
  <c r="H1676" i="50"/>
  <c r="H1677" i="50" s="1"/>
  <c r="H2386" i="50"/>
  <c r="H3100" i="50" s="1"/>
  <c r="H3106" i="50" s="1"/>
  <c r="V1991" i="50"/>
  <c r="V1992" i="50" s="1"/>
  <c r="V2704" i="50"/>
  <c r="V3418" i="50" s="1"/>
  <c r="V3421" i="50" s="1"/>
  <c r="V1984" i="50"/>
  <c r="V1985" i="50" s="1"/>
  <c r="V2697" i="50"/>
  <c r="V3411" i="50" s="1"/>
  <c r="V3414" i="50" s="1"/>
  <c r="T1921" i="50"/>
  <c r="X1922" i="50" s="1"/>
  <c r="AL1916" i="50"/>
  <c r="AM1916" i="50" s="1"/>
  <c r="T2631" i="50"/>
  <c r="V1977" i="50"/>
  <c r="Z1978" i="50" s="1"/>
  <c r="V2687" i="50"/>
  <c r="V3401" i="50" s="1"/>
  <c r="V3407" i="50" s="1"/>
  <c r="T1159" i="50"/>
  <c r="AF1159" i="50" s="1"/>
  <c r="AH1159" i="50" s="1"/>
  <c r="AL444" i="50"/>
  <c r="AM444" i="50" s="1"/>
  <c r="AD2110" i="50"/>
  <c r="T2550" i="50"/>
  <c r="AL1835" i="50"/>
  <c r="AM1835" i="50" s="1"/>
  <c r="V2530" i="50"/>
  <c r="V3244" i="50" s="1"/>
  <c r="V3246" i="50" s="1"/>
  <c r="Z2439" i="50"/>
  <c r="Z3153" i="50" s="1"/>
  <c r="Z3155" i="50" s="1"/>
  <c r="Z2495" i="50"/>
  <c r="Z3209" i="50" s="1"/>
  <c r="Z3211" i="50" s="1"/>
  <c r="P2662" i="50"/>
  <c r="P3376" i="50" s="1"/>
  <c r="P3379" i="50" s="1"/>
  <c r="P1949" i="50"/>
  <c r="T1950" i="50" s="1"/>
  <c r="AL1673" i="50"/>
  <c r="AM1673" i="50" s="1"/>
  <c r="F2388" i="50"/>
  <c r="P1564" i="50"/>
  <c r="P1565" i="50" s="1"/>
  <c r="P2274" i="50"/>
  <c r="P2988" i="50" s="1"/>
  <c r="P2994" i="50" s="1"/>
  <c r="AF2544" i="50"/>
  <c r="AH2544" i="50" s="1"/>
  <c r="Z3258" i="50"/>
  <c r="AF3258" i="50" s="1"/>
  <c r="AH3258" i="50" s="1"/>
  <c r="AB1760" i="50"/>
  <c r="AB1761" i="50" s="1"/>
  <c r="AB2472" i="50"/>
  <c r="AB3186" i="50" s="1"/>
  <c r="AB3190" i="50" s="1"/>
  <c r="J2305" i="50"/>
  <c r="J3019" i="50" s="1"/>
  <c r="J3022" i="50" s="1"/>
  <c r="J1592" i="50"/>
  <c r="J1593" i="50" s="1"/>
  <c r="AF3328" i="50"/>
  <c r="Z2565" i="50"/>
  <c r="Z3279" i="50" s="1"/>
  <c r="Z3281" i="50" s="1"/>
  <c r="Z1851" i="50"/>
  <c r="Z1852" i="50" s="1"/>
  <c r="P1754" i="50"/>
  <c r="AB2817" i="50"/>
  <c r="AB3531" i="50" s="1"/>
  <c r="Z2110" i="50"/>
  <c r="Z1466" i="50"/>
  <c r="AB1467" i="50" s="1"/>
  <c r="Z2179" i="50"/>
  <c r="Z2893" i="50" s="1"/>
  <c r="AL1867" i="50"/>
  <c r="AM1867" i="50" s="1"/>
  <c r="F1872" i="50"/>
  <c r="F1873" i="50" s="1"/>
  <c r="F2582" i="50"/>
  <c r="AD2250" i="50"/>
  <c r="AD2964" i="50" s="1"/>
  <c r="AD2966" i="50" s="1"/>
  <c r="Z1977" i="50"/>
  <c r="AD1978" i="50" s="1"/>
  <c r="T3230" i="50"/>
  <c r="AF3230" i="50" s="1"/>
  <c r="Z2131" i="50"/>
  <c r="Z2132" i="50" s="1"/>
  <c r="Z2841" i="50"/>
  <c r="Z3555" i="50" s="1"/>
  <c r="Z3561" i="50" s="1"/>
  <c r="F2467" i="50"/>
  <c r="AL1752" i="50"/>
  <c r="AM1752" i="50" s="1"/>
  <c r="AB1795" i="50"/>
  <c r="AB1796" i="50" s="1"/>
  <c r="T1781" i="50"/>
  <c r="X2075" i="50"/>
  <c r="X2076" i="50" s="1"/>
  <c r="X2786" i="50"/>
  <c r="X3500" i="50" s="1"/>
  <c r="X3505" i="50" s="1"/>
  <c r="H1515" i="50"/>
  <c r="H1516" i="50" s="1"/>
  <c r="H2227" i="50"/>
  <c r="H2941" i="50" s="1"/>
  <c r="H2945" i="50" s="1"/>
  <c r="Z1697" i="50"/>
  <c r="Z1698" i="50" s="1"/>
  <c r="Z2408" i="50"/>
  <c r="Z3122" i="50" s="1"/>
  <c r="Z3127" i="50" s="1"/>
  <c r="V1725" i="50"/>
  <c r="V1726" i="50" s="1"/>
  <c r="AL1961" i="50"/>
  <c r="AM1961" i="50" s="1"/>
  <c r="F2676" i="50"/>
  <c r="V1620" i="50"/>
  <c r="V1621" i="50" s="1"/>
  <c r="V2330" i="50"/>
  <c r="V3044" i="50" s="1"/>
  <c r="V3050" i="50" s="1"/>
  <c r="X1487" i="50"/>
  <c r="X1488" i="50" s="1"/>
  <c r="X2198" i="50"/>
  <c r="X2912" i="50" s="1"/>
  <c r="X2917" i="50" s="1"/>
  <c r="P2467" i="50"/>
  <c r="P3181" i="50" s="1"/>
  <c r="P3183" i="50" s="1"/>
  <c r="T2096" i="50"/>
  <c r="J2148" i="50"/>
  <c r="P473" i="50"/>
  <c r="AH1075" i="50"/>
  <c r="AB3505" i="50"/>
  <c r="X2150" i="50"/>
  <c r="X431" i="50"/>
  <c r="AD710" i="50"/>
  <c r="J543" i="50"/>
  <c r="AF3289" i="50"/>
  <c r="AH3289" i="50" s="1"/>
  <c r="AF2676" i="50"/>
  <c r="R3237" i="50"/>
  <c r="AD1816" i="50"/>
  <c r="V1704" i="50"/>
  <c r="V1705" i="50" s="1"/>
  <c r="AL1680" i="50"/>
  <c r="AM1680" i="50" s="1"/>
  <c r="AB1704" i="50"/>
  <c r="AB1705" i="50" s="1"/>
  <c r="AH837" i="50"/>
  <c r="R3328" i="50"/>
  <c r="H1865" i="50"/>
  <c r="H1866" i="50" s="1"/>
  <c r="H2578" i="50"/>
  <c r="H3292" i="50" s="1"/>
  <c r="H3295" i="50" s="1"/>
  <c r="AB1991" i="50"/>
  <c r="AB1992" i="50" s="1"/>
  <c r="AB2704" i="50"/>
  <c r="AB3418" i="50" s="1"/>
  <c r="AB3421" i="50" s="1"/>
  <c r="P1515" i="50"/>
  <c r="P1516" i="50" s="1"/>
  <c r="P2227" i="50"/>
  <c r="P2941" i="50" s="1"/>
  <c r="P2945" i="50" s="1"/>
  <c r="F2578" i="50"/>
  <c r="F3292" i="50" s="1"/>
  <c r="F3295" i="50" s="1"/>
  <c r="AD1704" i="50"/>
  <c r="AD1705" i="50" s="1"/>
  <c r="AD2414" i="50"/>
  <c r="AD3128" i="50" s="1"/>
  <c r="AD3134" i="50" s="1"/>
  <c r="AL1744" i="50"/>
  <c r="AM1744" i="50" s="1"/>
  <c r="AL1862" i="50"/>
  <c r="AM1862" i="50" s="1"/>
  <c r="T2577" i="50"/>
  <c r="AB2530" i="50"/>
  <c r="AB3244" i="50" s="1"/>
  <c r="AB3246" i="50" s="1"/>
  <c r="N2663" i="50"/>
  <c r="N3377" i="50" s="1"/>
  <c r="T1236" i="50"/>
  <c r="AF1236" i="50" s="1"/>
  <c r="AL521" i="50"/>
  <c r="AM521" i="50" s="1"/>
  <c r="AB2439" i="50"/>
  <c r="AB3153" i="50" s="1"/>
  <c r="AB1725" i="50"/>
  <c r="AB1726" i="50" s="1"/>
  <c r="AL1932" i="50"/>
  <c r="AM1932" i="50" s="1"/>
  <c r="T2647" i="50"/>
  <c r="L1949" i="50"/>
  <c r="L2662" i="50"/>
  <c r="L3376" i="50" s="1"/>
  <c r="F1564" i="50"/>
  <c r="F2274" i="50"/>
  <c r="T1760" i="50"/>
  <c r="AL1757" i="50"/>
  <c r="AM1757" i="50" s="1"/>
  <c r="T2472" i="50"/>
  <c r="AB1963" i="50"/>
  <c r="AB1964" i="50" s="1"/>
  <c r="AB2675" i="50"/>
  <c r="AB3389" i="50" s="1"/>
  <c r="AB3393" i="50" s="1"/>
  <c r="AB2075" i="50"/>
  <c r="AB2076" i="50" s="1"/>
  <c r="P1746" i="50"/>
  <c r="P1747" i="50" s="1"/>
  <c r="P2459" i="50"/>
  <c r="P3173" i="50" s="1"/>
  <c r="P3176" i="50" s="1"/>
  <c r="AH1902" i="50"/>
  <c r="J1902" i="50"/>
  <c r="J2617" i="50" s="1"/>
  <c r="J3331" i="50" s="1"/>
  <c r="P1902" i="50"/>
  <c r="P2617" i="50" s="1"/>
  <c r="P3331" i="50" s="1"/>
  <c r="L1902" i="50"/>
  <c r="L2617" i="50" s="1"/>
  <c r="L3331" i="50" s="1"/>
  <c r="L3337" i="50" s="1"/>
  <c r="F1902" i="50"/>
  <c r="F2147" i="50" s="1"/>
  <c r="H1902" i="50"/>
  <c r="N1902" i="50"/>
  <c r="T1487" i="50"/>
  <c r="AL1483" i="50"/>
  <c r="AM1483" i="50" s="1"/>
  <c r="T2198" i="50"/>
  <c r="T1355" i="50"/>
  <c r="AF1355" i="50" s="1"/>
  <c r="AH1355" i="50" s="1"/>
  <c r="X2040" i="50"/>
  <c r="X2041" i="50" s="1"/>
  <c r="X2751" i="50"/>
  <c r="X3465" i="50" s="1"/>
  <c r="X3470" i="50" s="1"/>
  <c r="AD1466" i="50"/>
  <c r="AD2179" i="50"/>
  <c r="AD2893" i="50" s="1"/>
  <c r="AD2896" i="50" s="1"/>
  <c r="AF2936" i="50"/>
  <c r="AH2936" i="50" s="1"/>
  <c r="AB1711" i="50"/>
  <c r="AB1712" i="50" s="1"/>
  <c r="AB2422" i="50"/>
  <c r="AB3136" i="50" s="1"/>
  <c r="AB3141" i="50" s="1"/>
  <c r="AF2607" i="50"/>
  <c r="T3321" i="50"/>
  <c r="AF3321" i="50" s="1"/>
  <c r="N2467" i="50"/>
  <c r="N3181" i="50" s="1"/>
  <c r="N3183" i="50" s="1"/>
  <c r="X1865" i="50"/>
  <c r="X1866" i="50" s="1"/>
  <c r="T2075" i="50"/>
  <c r="T2786" i="50"/>
  <c r="AF2467" i="50"/>
  <c r="X1914" i="50"/>
  <c r="X1915" i="50" s="1"/>
  <c r="X2625" i="50"/>
  <c r="X3339" i="50" s="1"/>
  <c r="X3344" i="50" s="1"/>
  <c r="L1872" i="50"/>
  <c r="L1873" i="50" s="1"/>
  <c r="L2582" i="50"/>
  <c r="L3296" i="50" s="1"/>
  <c r="L3302" i="50" s="1"/>
  <c r="X2313" i="50"/>
  <c r="X3027" i="50" s="1"/>
  <c r="X3029" i="50" s="1"/>
  <c r="Z2096" i="50"/>
  <c r="Z2097" i="50" s="1"/>
  <c r="AD564" i="50"/>
  <c r="H193" i="50"/>
  <c r="AD207" i="50"/>
  <c r="N375" i="50"/>
  <c r="J228" i="50"/>
  <c r="L571" i="50"/>
  <c r="X340" i="50"/>
  <c r="F438" i="50"/>
  <c r="F2149" i="50"/>
  <c r="X3204" i="50"/>
  <c r="X662" i="50"/>
  <c r="P158" i="50"/>
  <c r="F3461" i="50"/>
  <c r="P417" i="50"/>
  <c r="AL1850" i="50"/>
  <c r="AM1850" i="50" s="1"/>
  <c r="T550" i="50"/>
  <c r="F375" i="50"/>
  <c r="R2715" i="50"/>
  <c r="S2720" i="50" s="1"/>
  <c r="S2721" i="50" s="1"/>
  <c r="R2596" i="50"/>
  <c r="AH2596" i="50" s="1"/>
  <c r="AH746" i="50"/>
  <c r="AF3390" i="50"/>
  <c r="AH2267" i="50"/>
  <c r="AH2773" i="50"/>
  <c r="V3134" i="50"/>
  <c r="N1788" i="50"/>
  <c r="N1789" i="50" s="1"/>
  <c r="AB1683" i="50"/>
  <c r="AB1684" i="50" s="1"/>
  <c r="V3036" i="50"/>
  <c r="AH2176" i="50"/>
  <c r="AF2222" i="50"/>
  <c r="AH2222" i="50" s="1"/>
  <c r="P2578" i="50"/>
  <c r="P3292" i="50" s="1"/>
  <c r="P3295" i="50" s="1"/>
  <c r="P1865" i="50"/>
  <c r="P1866" i="50" s="1"/>
  <c r="AL1874" i="50"/>
  <c r="AM1874" i="50" s="1"/>
  <c r="F2589" i="50"/>
  <c r="V2162" i="50"/>
  <c r="AF2754" i="50"/>
  <c r="T3468" i="50"/>
  <c r="AF3468" i="50" s="1"/>
  <c r="AB2740" i="50"/>
  <c r="AB3454" i="50" s="1"/>
  <c r="AB2739" i="50"/>
  <c r="AB3453" i="50" s="1"/>
  <c r="AL1911" i="50"/>
  <c r="AM1911" i="50" s="1"/>
  <c r="X2550" i="50"/>
  <c r="X3264" i="50" s="1"/>
  <c r="T1257" i="50"/>
  <c r="AF1257" i="50" s="1"/>
  <c r="T2530" i="50"/>
  <c r="AL1815" i="50"/>
  <c r="AM1815" i="50" s="1"/>
  <c r="H2754" i="50"/>
  <c r="H3468" i="50" s="1"/>
  <c r="H3470" i="50" s="1"/>
  <c r="H2040" i="50"/>
  <c r="H2041" i="50" s="1"/>
  <c r="X2439" i="50"/>
  <c r="X3153" i="50" s="1"/>
  <c r="X3155" i="50" s="1"/>
  <c r="X1725" i="50"/>
  <c r="X1726" i="50" s="1"/>
  <c r="Z1914" i="50"/>
  <c r="Z1915" i="50" s="1"/>
  <c r="Z2625" i="50"/>
  <c r="Z3339" i="50" s="1"/>
  <c r="Z3344" i="50" s="1"/>
  <c r="L1564" i="50"/>
  <c r="L1565" i="50" s="1"/>
  <c r="L2274" i="50"/>
  <c r="L2988" i="50" s="1"/>
  <c r="L2994" i="50" s="1"/>
  <c r="P1592" i="50"/>
  <c r="P1593" i="50" s="1"/>
  <c r="Z1760" i="50"/>
  <c r="Z1761" i="50" s="1"/>
  <c r="Z2472" i="50"/>
  <c r="Z3186" i="50" s="1"/>
  <c r="AF1383" i="50"/>
  <c r="T1404" i="50"/>
  <c r="AF1404" i="50" s="1"/>
  <c r="F1592" i="50"/>
  <c r="AL1590" i="50"/>
  <c r="AM1590" i="50" s="1"/>
  <c r="F2305" i="50"/>
  <c r="T1620" i="50"/>
  <c r="T2330" i="50"/>
  <c r="V2565" i="50"/>
  <c r="V3279" i="50" s="1"/>
  <c r="V3281" i="50" s="1"/>
  <c r="V1851" i="50"/>
  <c r="V1852" i="50" s="1"/>
  <c r="L1746" i="50"/>
  <c r="L1747" i="50" s="1"/>
  <c r="L2459" i="50"/>
  <c r="L3173" i="50" s="1"/>
  <c r="L3176" i="50" s="1"/>
  <c r="V2617" i="50"/>
  <c r="V3331" i="50" s="1"/>
  <c r="Z2617" i="50"/>
  <c r="Z3331" i="50" s="1"/>
  <c r="T2617" i="50"/>
  <c r="AB2617" i="50"/>
  <c r="AB3331" i="50" s="1"/>
  <c r="AD2617" i="50"/>
  <c r="AD3331" i="50" s="1"/>
  <c r="X2617" i="50"/>
  <c r="X3331" i="50" s="1"/>
  <c r="AD1487" i="50"/>
  <c r="AD1488" i="50" s="1"/>
  <c r="AD2198" i="50"/>
  <c r="AD2912" i="50" s="1"/>
  <c r="AD2917" i="50" s="1"/>
  <c r="AB2838" i="50"/>
  <c r="AB3552" i="50" s="1"/>
  <c r="AL1876" i="50"/>
  <c r="AM1876" i="50" s="1"/>
  <c r="T2591" i="50"/>
  <c r="AB2040" i="50"/>
  <c r="AB2041" i="50" s="1"/>
  <c r="AB2751" i="50"/>
  <c r="AB3465" i="50" s="1"/>
  <c r="AB3470" i="50" s="1"/>
  <c r="AL1464" i="50"/>
  <c r="AM1464" i="50" s="1"/>
  <c r="T1466" i="50"/>
  <c r="V1467" i="50" s="1"/>
  <c r="T2179" i="50"/>
  <c r="H1872" i="50"/>
  <c r="H1873" i="50" s="1"/>
  <c r="H2582" i="50"/>
  <c r="H3296" i="50" s="1"/>
  <c r="H3302" i="50" s="1"/>
  <c r="X2250" i="50"/>
  <c r="X2964" i="50" s="1"/>
  <c r="X2966" i="50" s="1"/>
  <c r="X1536" i="50"/>
  <c r="X1537" i="50" s="1"/>
  <c r="T2131" i="50"/>
  <c r="T2841" i="50"/>
  <c r="AB1865" i="50"/>
  <c r="AB1866" i="50" s="1"/>
  <c r="AL1598" i="50"/>
  <c r="AM1598" i="50" s="1"/>
  <c r="T2313" i="50"/>
  <c r="F1753" i="50"/>
  <c r="AL1784" i="50"/>
  <c r="AM1784" i="50" s="1"/>
  <c r="F2499" i="50"/>
  <c r="AF2914" i="50"/>
  <c r="AH2914" i="50" s="1"/>
  <c r="Z2980" i="50"/>
  <c r="AH778" i="50"/>
  <c r="AH3089" i="50"/>
  <c r="T791" i="50"/>
  <c r="AH2633" i="50"/>
  <c r="AH2634" i="50"/>
  <c r="AH1310" i="50"/>
  <c r="V2952" i="50"/>
  <c r="AB791" i="50"/>
  <c r="L798" i="50"/>
  <c r="N721" i="50"/>
  <c r="J3197" i="50"/>
  <c r="AH2599" i="50"/>
  <c r="AH2745" i="50"/>
  <c r="AH2261" i="50"/>
  <c r="AH2543" i="50"/>
  <c r="AF2303" i="50"/>
  <c r="AH2303" i="50" s="1"/>
  <c r="AH2750" i="50"/>
  <c r="R3136" i="50"/>
  <c r="AB3449" i="50"/>
  <c r="AH3150" i="50"/>
  <c r="AH2193" i="50"/>
  <c r="AH2163" i="50"/>
  <c r="AH2186" i="50"/>
  <c r="AH2890" i="50"/>
  <c r="AH829" i="50"/>
  <c r="AH1261" i="50"/>
  <c r="AH2226" i="50"/>
  <c r="AF1025" i="50"/>
  <c r="AF1304" i="50"/>
  <c r="AF3326" i="50"/>
  <c r="N770" i="50"/>
  <c r="AH3033" i="50"/>
  <c r="AH2212" i="50"/>
  <c r="AH3269" i="50"/>
  <c r="AF1052" i="50"/>
  <c r="AH2907" i="50"/>
  <c r="AF3009" i="50"/>
  <c r="AH3009" i="50" s="1"/>
  <c r="AH2185" i="50"/>
  <c r="AH2493" i="50"/>
  <c r="H3421" i="50"/>
  <c r="AH2513" i="50"/>
  <c r="AH3261" i="50"/>
  <c r="AH2765" i="50"/>
  <c r="AB3022" i="50"/>
  <c r="AH2834" i="50"/>
  <c r="R1298" i="50"/>
  <c r="AH1298" i="50" s="1"/>
  <c r="AH1361" i="50"/>
  <c r="J742" i="50"/>
  <c r="R828" i="50"/>
  <c r="L763" i="50"/>
  <c r="P742" i="50"/>
  <c r="R877" i="50"/>
  <c r="AH877" i="50" s="1"/>
  <c r="R2807" i="50"/>
  <c r="J3386" i="50"/>
  <c r="AH3423" i="50"/>
  <c r="L742" i="50"/>
  <c r="X3372" i="50"/>
  <c r="AH911" i="50"/>
  <c r="H742" i="50"/>
  <c r="J3505" i="50"/>
  <c r="AB2959" i="50"/>
  <c r="AH2249" i="50"/>
  <c r="AH2389" i="50"/>
  <c r="AH2557" i="50"/>
  <c r="AH2403" i="50"/>
  <c r="AH3108" i="50"/>
  <c r="AH2690" i="50"/>
  <c r="AH2746" i="50"/>
  <c r="H3085" i="50"/>
  <c r="AD3512" i="50"/>
  <c r="AH3187" i="50"/>
  <c r="AH2332" i="50"/>
  <c r="J3134" i="50"/>
  <c r="H2896" i="50"/>
  <c r="AH2304" i="50"/>
  <c r="AH2709" i="50"/>
  <c r="AH2506" i="50"/>
  <c r="AH2983" i="50"/>
  <c r="AF3438" i="50"/>
  <c r="AH3438" i="50" s="1"/>
  <c r="AH2696" i="50"/>
  <c r="AH919" i="50"/>
  <c r="AH3138" i="50"/>
  <c r="R1101" i="50"/>
  <c r="AH1101" i="50" s="1"/>
  <c r="AF2612" i="50"/>
  <c r="AH2295" i="50"/>
  <c r="AH2645" i="50"/>
  <c r="AF2606" i="50"/>
  <c r="AD3372" i="50"/>
  <c r="V3505" i="50"/>
  <c r="AH3157" i="50"/>
  <c r="AH3233" i="50"/>
  <c r="AH3507" i="50"/>
  <c r="F721" i="50"/>
  <c r="R3521" i="50"/>
  <c r="AH2540" i="50"/>
  <c r="AH3277" i="50"/>
  <c r="AH2788" i="50"/>
  <c r="AH2393" i="50"/>
  <c r="AH2963" i="50"/>
  <c r="AF2857" i="50"/>
  <c r="J3463" i="50"/>
  <c r="AG2748" i="50"/>
  <c r="AG2749" i="50" s="1"/>
  <c r="AH2256" i="50"/>
  <c r="AH2253" i="50"/>
  <c r="AH2561" i="50"/>
  <c r="AF3501" i="50"/>
  <c r="AH2234" i="50"/>
  <c r="AH2276" i="50"/>
  <c r="AF983" i="50"/>
  <c r="AH983" i="50" s="1"/>
  <c r="AF962" i="50"/>
  <c r="AH962" i="50" s="1"/>
  <c r="AF1122" i="50"/>
  <c r="AF764" i="50"/>
  <c r="AH764" i="50" s="1"/>
  <c r="AF1074" i="50"/>
  <c r="AH1074" i="50" s="1"/>
  <c r="AF926" i="50"/>
  <c r="AH926" i="50" s="1"/>
  <c r="AF1116" i="50"/>
  <c r="AH1116" i="50" s="1"/>
  <c r="AF3061" i="50"/>
  <c r="AF1303" i="50"/>
  <c r="AH1303" i="50" s="1"/>
  <c r="AF2732" i="50"/>
  <c r="R1011" i="50"/>
  <c r="AH1011" i="50" s="1"/>
  <c r="AH3443" i="50"/>
  <c r="L770" i="50"/>
  <c r="AH1130" i="50"/>
  <c r="H3505" i="50"/>
  <c r="H770" i="50"/>
  <c r="H728" i="50"/>
  <c r="R836" i="50"/>
  <c r="AH836" i="50" s="1"/>
  <c r="H2959" i="50"/>
  <c r="V1422" i="50"/>
  <c r="V1436" i="50" s="1"/>
  <c r="AH2828" i="50"/>
  <c r="AH2569" i="50"/>
  <c r="P2973" i="50"/>
  <c r="Z3540" i="50"/>
  <c r="AH3431" i="50"/>
  <c r="L3127" i="50"/>
  <c r="AH2512" i="50"/>
  <c r="N3239" i="50"/>
  <c r="AH2380" i="50"/>
  <c r="AH3311" i="50"/>
  <c r="AF3446" i="50"/>
  <c r="V3029" i="50"/>
  <c r="AF729" i="50"/>
  <c r="AF1249" i="50"/>
  <c r="AF870" i="50"/>
  <c r="AH3180" i="50"/>
  <c r="AH2641" i="50"/>
  <c r="R1333" i="50"/>
  <c r="AH1333" i="50" s="1"/>
  <c r="AH2326" i="50"/>
  <c r="AH2970" i="50"/>
  <c r="AF1248" i="50"/>
  <c r="AH2990" i="50"/>
  <c r="AH2246" i="50"/>
  <c r="AH3143" i="50"/>
  <c r="AF2317" i="50"/>
  <c r="AB3267" i="50"/>
  <c r="AH1086" i="50"/>
  <c r="P770" i="50"/>
  <c r="J770" i="50"/>
  <c r="L3505" i="50"/>
  <c r="Z3267" i="50"/>
  <c r="R1121" i="50"/>
  <c r="AH1121" i="50" s="1"/>
  <c r="AH3002" i="50"/>
  <c r="R2221" i="50"/>
  <c r="AH3495" i="50"/>
  <c r="AH2760" i="50"/>
  <c r="AF3312" i="50"/>
  <c r="AH3312" i="50" s="1"/>
  <c r="AH3416" i="50"/>
  <c r="AH2711" i="50"/>
  <c r="AH2478" i="50"/>
  <c r="R3110" i="50"/>
  <c r="Z3246" i="50"/>
  <c r="P3575" i="50"/>
  <c r="AH2207" i="50"/>
  <c r="T3449" i="50"/>
  <c r="H3358" i="50"/>
  <c r="AH2802" i="50"/>
  <c r="AH2466" i="50"/>
  <c r="R2317" i="50"/>
  <c r="AH2939" i="50"/>
  <c r="AH2416" i="50"/>
  <c r="AF736" i="50"/>
  <c r="AH2340" i="50"/>
  <c r="AH3163" i="50"/>
  <c r="R1395" i="50"/>
  <c r="AH1395" i="50" s="1"/>
  <c r="AH2443" i="50"/>
  <c r="AH3485" i="50"/>
  <c r="X1422" i="50"/>
  <c r="X1436" i="50" s="1"/>
  <c r="AH3283" i="50"/>
  <c r="AF2515" i="50"/>
  <c r="X3064" i="50"/>
  <c r="AH3557" i="50"/>
  <c r="AF2610" i="50"/>
  <c r="AH2529" i="50"/>
  <c r="AH3451" i="50"/>
  <c r="AH2480" i="50"/>
  <c r="AH2555" i="50"/>
  <c r="AF2347" i="50"/>
  <c r="AG2349" i="50" s="1"/>
  <c r="AG2350" i="50" s="1"/>
  <c r="H777" i="50"/>
  <c r="J777" i="50"/>
  <c r="P777" i="50"/>
  <c r="R3093" i="50"/>
  <c r="AH3093" i="50" s="1"/>
  <c r="AF2975" i="50"/>
  <c r="X2980" i="50"/>
  <c r="AF3156" i="50"/>
  <c r="AB3162" i="50"/>
  <c r="AD3176" i="50"/>
  <c r="R3501" i="50"/>
  <c r="V3185" i="50"/>
  <c r="AF2471" i="50"/>
  <c r="R2213" i="50"/>
  <c r="F2927" i="50"/>
  <c r="AF3324" i="50"/>
  <c r="AF3165" i="50"/>
  <c r="X2973" i="50"/>
  <c r="AF2967" i="50"/>
  <c r="AH2967" i="50" s="1"/>
  <c r="R751" i="50"/>
  <c r="AH751" i="50" s="1"/>
  <c r="Z1422" i="50"/>
  <c r="Z1436" i="50" s="1"/>
  <c r="R3170" i="50"/>
  <c r="J735" i="50"/>
  <c r="P735" i="50"/>
  <c r="F2910" i="50"/>
  <c r="AH2843" i="50"/>
  <c r="AH2296" i="50"/>
  <c r="AH2319" i="50"/>
  <c r="AF3556" i="50"/>
  <c r="AH2424" i="50"/>
  <c r="R2409" i="50"/>
  <c r="AH2409" i="50" s="1"/>
  <c r="L728" i="50"/>
  <c r="P728" i="50"/>
  <c r="N728" i="50"/>
  <c r="F728" i="50"/>
  <c r="R3103" i="50"/>
  <c r="AH3103" i="50" s="1"/>
  <c r="AH2436" i="50"/>
  <c r="R3191" i="50"/>
  <c r="AH3191" i="50" s="1"/>
  <c r="P3197" i="50"/>
  <c r="R3366" i="50"/>
  <c r="H3372" i="50"/>
  <c r="AF3403" i="50"/>
  <c r="X3407" i="50"/>
  <c r="Z3519" i="50"/>
  <c r="AF3513" i="50"/>
  <c r="R2948" i="50"/>
  <c r="AH2948" i="50" s="1"/>
  <c r="L2952" i="50"/>
  <c r="AH3479" i="50"/>
  <c r="AH995" i="50"/>
  <c r="J763" i="50"/>
  <c r="F763" i="50"/>
  <c r="P763" i="50"/>
  <c r="AF2955" i="50"/>
  <c r="AH2955" i="50" s="1"/>
  <c r="Z2959" i="50"/>
  <c r="AH1340" i="50"/>
  <c r="AH779" i="50"/>
  <c r="AH2164" i="50"/>
  <c r="AH2375" i="50"/>
  <c r="J3260" i="50"/>
  <c r="R3256" i="50"/>
  <c r="AH3256" i="50" s="1"/>
  <c r="AH2814" i="50"/>
  <c r="AH2701" i="50"/>
  <c r="R3017" i="50"/>
  <c r="AF799" i="50"/>
  <c r="AH799" i="50" s="1"/>
  <c r="R2989" i="50"/>
  <c r="AH3212" i="50"/>
  <c r="AH3284" i="50"/>
  <c r="AD3477" i="50"/>
  <c r="Z3526" i="50"/>
  <c r="H1422" i="50"/>
  <c r="H1436" i="50" s="1"/>
  <c r="AH786" i="50"/>
  <c r="AH1200" i="50"/>
  <c r="AH738" i="50"/>
  <c r="AD1422" i="50"/>
  <c r="AD1436" i="50" s="1"/>
  <c r="AH1381" i="50"/>
  <c r="N1422" i="50"/>
  <c r="N1436" i="50" s="1"/>
  <c r="AF2456" i="50"/>
  <c r="AH2456" i="50" s="1"/>
  <c r="AD3267" i="50"/>
  <c r="Z3358" i="50"/>
  <c r="AH2793" i="50"/>
  <c r="AH2457" i="50"/>
  <c r="AH2585" i="50"/>
  <c r="AH2206" i="50"/>
  <c r="AF2927" i="50"/>
  <c r="AH1177" i="50"/>
  <c r="AH1289" i="50"/>
  <c r="AH2821" i="50"/>
  <c r="AH3472" i="50"/>
  <c r="AH2484" i="50"/>
  <c r="AH3010" i="50"/>
  <c r="V3449" i="50"/>
  <c r="H3428" i="50"/>
  <c r="AH2724" i="50"/>
  <c r="AF1171" i="50"/>
  <c r="AF3571" i="50"/>
  <c r="AH3054" i="50"/>
  <c r="AF2640" i="50"/>
  <c r="AH1414" i="50"/>
  <c r="AH1346" i="50"/>
  <c r="AB2931" i="50"/>
  <c r="R806" i="50"/>
  <c r="AH806" i="50" s="1"/>
  <c r="AH1359" i="50"/>
  <c r="AH3548" i="50"/>
  <c r="AH3481" i="50"/>
  <c r="Z2938" i="50"/>
  <c r="AH3563" i="50"/>
  <c r="V3568" i="50"/>
  <c r="Z3372" i="50"/>
  <c r="L1422" i="50"/>
  <c r="L1436" i="50" s="1"/>
  <c r="R897" i="50"/>
  <c r="AH897" i="50" s="1"/>
  <c r="AH3387" i="50"/>
  <c r="AH2199" i="50"/>
  <c r="AH2373" i="50"/>
  <c r="AH2423" i="50"/>
  <c r="AH3164" i="50"/>
  <c r="AH1331" i="50"/>
  <c r="AH2402" i="50"/>
  <c r="AH2683" i="50"/>
  <c r="AH2445" i="50"/>
  <c r="AH2473" i="50"/>
  <c r="AF744" i="50"/>
  <c r="AH744" i="50" s="1"/>
  <c r="AF792" i="50"/>
  <c r="AH792" i="50" s="1"/>
  <c r="AH2900" i="50"/>
  <c r="AF3031" i="50"/>
  <c r="AH3569" i="50"/>
  <c r="AF2526" i="50"/>
  <c r="AH2526" i="50" s="1"/>
  <c r="Z2882" i="50"/>
  <c r="H3057" i="50"/>
  <c r="F3435" i="50"/>
  <c r="AH3458" i="50"/>
  <c r="AH1165" i="50"/>
  <c r="N3505" i="50"/>
  <c r="V3267" i="50"/>
  <c r="V3484" i="50"/>
  <c r="Z3505" i="50"/>
  <c r="AH787" i="50"/>
  <c r="AH869" i="50"/>
  <c r="H721" i="50"/>
  <c r="AH1415" i="50"/>
  <c r="AH3410" i="50"/>
  <c r="AH3480" i="50"/>
  <c r="N756" i="50"/>
  <c r="AH3373" i="50"/>
  <c r="P721" i="50"/>
  <c r="F2903" i="50"/>
  <c r="AH2228" i="50"/>
  <c r="AD3526" i="50"/>
  <c r="AH1235" i="50"/>
  <c r="R1164" i="50"/>
  <c r="F777" i="50"/>
  <c r="J3031" i="50"/>
  <c r="R3031" i="50" s="1"/>
  <c r="AH3429" i="50"/>
  <c r="AH2925" i="50"/>
  <c r="V3071" i="50"/>
  <c r="J798" i="50"/>
  <c r="L721" i="50"/>
  <c r="AH2312" i="50"/>
  <c r="AH2316" i="50"/>
  <c r="AF3229" i="50"/>
  <c r="AH3058" i="50"/>
  <c r="AF2213" i="50"/>
  <c r="AF2255" i="50"/>
  <c r="AG2258" i="50" s="1"/>
  <c r="AG2259" i="50" s="1"/>
  <c r="AH2381" i="50"/>
  <c r="AF2451" i="50"/>
  <c r="AH2263" i="50"/>
  <c r="AH2590" i="50"/>
  <c r="AH2429" i="50"/>
  <c r="AH2233" i="50"/>
  <c r="AF2442" i="50"/>
  <c r="AH2442" i="50" s="1"/>
  <c r="AG2265" i="50"/>
  <c r="AG2266" i="50" s="1"/>
  <c r="AD3246" i="50"/>
  <c r="AH2192" i="50"/>
  <c r="X3036" i="50"/>
  <c r="Z3036" i="50"/>
  <c r="L3358" i="50"/>
  <c r="J3358" i="50"/>
  <c r="R3487" i="50"/>
  <c r="AH3487" i="50" s="1"/>
  <c r="T3149" i="50"/>
  <c r="AF2435" i="50"/>
  <c r="V3508" i="50"/>
  <c r="AF2794" i="50"/>
  <c r="AH2877" i="50"/>
  <c r="AH2519" i="50"/>
  <c r="R3571" i="50"/>
  <c r="P3127" i="50"/>
  <c r="T2952" i="50"/>
  <c r="AF2674" i="50"/>
  <c r="AH2674" i="50" s="1"/>
  <c r="AD3505" i="50"/>
  <c r="AH842" i="50"/>
  <c r="AH1403" i="50"/>
  <c r="AF2221" i="50"/>
  <c r="AH988" i="50"/>
  <c r="AH1128" i="50"/>
  <c r="AH1193" i="50"/>
  <c r="AH1394" i="50"/>
  <c r="AH3404" i="50"/>
  <c r="P1422" i="50"/>
  <c r="P1436" i="50" s="1"/>
  <c r="AB1422" i="50"/>
  <c r="AB1436" i="50" s="1"/>
  <c r="N777" i="50"/>
  <c r="R3417" i="50"/>
  <c r="AH3417" i="50" s="1"/>
  <c r="R3558" i="50"/>
  <c r="AH3558" i="50" s="1"/>
  <c r="R1052" i="50"/>
  <c r="L777" i="50"/>
  <c r="R857" i="50"/>
  <c r="AH857" i="50" s="1"/>
  <c r="AH2920" i="50"/>
  <c r="AF3059" i="50"/>
  <c r="AH3059" i="50" s="1"/>
  <c r="R3313" i="50"/>
  <c r="AH3313" i="50" s="1"/>
  <c r="AH794" i="50"/>
  <c r="AH2501" i="50"/>
  <c r="AH2372" i="50"/>
  <c r="S2853" i="50"/>
  <c r="S2854" i="50" s="1"/>
  <c r="AH2632" i="50"/>
  <c r="AH1284" i="50"/>
  <c r="AH2849" i="50"/>
  <c r="AH2758" i="50"/>
  <c r="S2545" i="50"/>
  <c r="S2546" i="50" s="1"/>
  <c r="AH2730" i="50"/>
  <c r="AF2787" i="50"/>
  <c r="AH1179" i="50"/>
  <c r="AH2737" i="50"/>
  <c r="AH2694" i="50"/>
  <c r="AH2771" i="50"/>
  <c r="AD3099" i="50"/>
  <c r="Z445" i="50"/>
  <c r="AD340" i="50"/>
  <c r="N571" i="50"/>
  <c r="T172" i="50"/>
  <c r="AF1348" i="50"/>
  <c r="AH956" i="50"/>
  <c r="R1208" i="50"/>
  <c r="L459" i="50"/>
  <c r="J123" i="50"/>
  <c r="AH1012" i="50"/>
  <c r="T571" i="50"/>
  <c r="V256" i="50"/>
  <c r="H403" i="50"/>
  <c r="Z592" i="50"/>
  <c r="J431" i="50"/>
  <c r="AL331" i="50"/>
  <c r="AM331" i="50" s="1"/>
  <c r="AH802" i="50"/>
  <c r="L536" i="50"/>
  <c r="AH1163" i="50"/>
  <c r="Z228" i="50"/>
  <c r="J270" i="50"/>
  <c r="P487" i="50"/>
  <c r="T207" i="50"/>
  <c r="H641" i="50"/>
  <c r="AH820" i="50"/>
  <c r="H284" i="50"/>
  <c r="AD382" i="50"/>
  <c r="AM470" i="50"/>
  <c r="Z634" i="50"/>
  <c r="Z207" i="50"/>
  <c r="V480" i="50"/>
  <c r="Z627" i="50"/>
  <c r="L683" i="50"/>
  <c r="X676" i="50"/>
  <c r="AB333" i="50"/>
  <c r="AH1031" i="50"/>
  <c r="AB123" i="50"/>
  <c r="AM182" i="50"/>
  <c r="AH1129" i="50"/>
  <c r="H606" i="50"/>
  <c r="T431" i="50"/>
  <c r="AH1345" i="50"/>
  <c r="AH1093" i="50"/>
  <c r="AH1326" i="50"/>
  <c r="AH781" i="50"/>
  <c r="AD165" i="50"/>
  <c r="T676" i="50"/>
  <c r="P312" i="50"/>
  <c r="L298" i="50"/>
  <c r="AH1207" i="50"/>
  <c r="X501" i="50"/>
  <c r="T480" i="50"/>
  <c r="L641" i="50"/>
  <c r="V186" i="50"/>
  <c r="H123" i="50"/>
  <c r="AH1241" i="50"/>
  <c r="N298" i="50"/>
  <c r="Z102" i="50"/>
  <c r="T193" i="50"/>
  <c r="AB564" i="50"/>
  <c r="N354" i="50"/>
  <c r="T186" i="50"/>
  <c r="P571" i="50"/>
  <c r="J109" i="50"/>
  <c r="AD305" i="50"/>
  <c r="R736" i="50"/>
  <c r="X710" i="50"/>
  <c r="AF1145" i="50"/>
  <c r="L67" i="50"/>
  <c r="X200" i="50"/>
  <c r="AH809" i="50"/>
  <c r="AB396" i="50"/>
  <c r="J235" i="50"/>
  <c r="AN712" i="50"/>
  <c r="L165" i="50"/>
  <c r="AH981" i="50"/>
  <c r="L375" i="50"/>
  <c r="N606" i="50"/>
  <c r="Z347" i="50"/>
  <c r="H417" i="50"/>
  <c r="F669" i="50"/>
  <c r="AB298" i="50"/>
  <c r="AH862" i="50"/>
  <c r="AH766" i="50"/>
  <c r="AM436" i="50"/>
  <c r="AD431" i="50"/>
  <c r="AB431" i="50"/>
  <c r="V710" i="50"/>
  <c r="AH1032" i="50"/>
  <c r="Z501" i="50"/>
  <c r="J382" i="50"/>
  <c r="AH955" i="50"/>
  <c r="N669" i="50"/>
  <c r="AH855" i="50"/>
  <c r="AH830" i="50"/>
  <c r="N634" i="50"/>
  <c r="V501" i="50"/>
  <c r="T466" i="50"/>
  <c r="X445" i="50"/>
  <c r="T452" i="50"/>
  <c r="AH1002" i="50"/>
  <c r="AH841" i="50"/>
  <c r="AH1051" i="50"/>
  <c r="T123" i="50"/>
  <c r="L431" i="50"/>
  <c r="AH1401" i="50"/>
  <c r="H438" i="50"/>
  <c r="T396" i="50"/>
  <c r="AH1407" i="50"/>
  <c r="AH1387" i="50"/>
  <c r="T375" i="50"/>
  <c r="Z151" i="50"/>
  <c r="J347" i="50"/>
  <c r="J298" i="50"/>
  <c r="A28" i="72"/>
  <c r="P118" i="49" a="1"/>
  <c r="P118" i="49" s="1"/>
  <c r="AD777" i="50"/>
  <c r="J870" i="50"/>
  <c r="J158" i="50"/>
  <c r="P947" i="50"/>
  <c r="P235" i="50"/>
  <c r="J1248" i="50"/>
  <c r="R1248" i="50" s="1"/>
  <c r="J536" i="50"/>
  <c r="V920" i="50"/>
  <c r="AF920" i="50" s="1"/>
  <c r="AH920" i="50" s="1"/>
  <c r="AL205" i="50"/>
  <c r="AM205" i="50" s="1"/>
  <c r="AB1164" i="50"/>
  <c r="AF1164" i="50" s="1"/>
  <c r="AB452" i="50"/>
  <c r="V1038" i="50"/>
  <c r="AF1038" i="50" s="1"/>
  <c r="AH1038" i="50" s="1"/>
  <c r="V326" i="50"/>
  <c r="T927" i="50"/>
  <c r="AF927" i="50" s="1"/>
  <c r="T214" i="50"/>
  <c r="AB1206" i="50"/>
  <c r="AF1206" i="50" s="1"/>
  <c r="AH1206" i="50" s="1"/>
  <c r="AB494" i="50"/>
  <c r="H2149" i="50"/>
  <c r="AD452" i="50"/>
  <c r="H536" i="50"/>
  <c r="AB256" i="50"/>
  <c r="AH795" i="50"/>
  <c r="AH2764" i="50"/>
  <c r="AH737" i="50"/>
  <c r="Q8" i="72"/>
  <c r="H870" i="50"/>
  <c r="H158" i="50"/>
  <c r="L1255" i="50"/>
  <c r="R1255" i="50" s="1"/>
  <c r="AH1255" i="50" s="1"/>
  <c r="L543" i="50"/>
  <c r="AH1282" i="50"/>
  <c r="R3333" i="50"/>
  <c r="AB207" i="50"/>
  <c r="X1017" i="50"/>
  <c r="X305" i="50"/>
  <c r="Z1017" i="50"/>
  <c r="Z305" i="50"/>
  <c r="AD1388" i="50"/>
  <c r="AD676" i="50"/>
  <c r="AB1388" i="50"/>
  <c r="AB676" i="50"/>
  <c r="AD1137" i="50"/>
  <c r="AL422" i="50"/>
  <c r="AM422" i="50" s="1"/>
  <c r="AD863" i="50"/>
  <c r="AF863" i="50" s="1"/>
  <c r="AH863" i="50" s="1"/>
  <c r="AD151" i="50"/>
  <c r="T1010" i="50"/>
  <c r="AF1010" i="50" s="1"/>
  <c r="T298" i="50"/>
  <c r="R2878" i="50"/>
  <c r="AH2878" i="50" s="1"/>
  <c r="L982" i="50"/>
  <c r="L270" i="50"/>
  <c r="J1025" i="50"/>
  <c r="J312" i="50"/>
  <c r="H1347" i="50"/>
  <c r="H634" i="50"/>
  <c r="J1347" i="50"/>
  <c r="J634" i="50"/>
  <c r="T1291" i="50"/>
  <c r="AF1291" i="50" s="1"/>
  <c r="T578" i="50"/>
  <c r="V1053" i="50"/>
  <c r="AF1053" i="50" s="1"/>
  <c r="AH1053" i="50" s="1"/>
  <c r="V340" i="50"/>
  <c r="AD906" i="50"/>
  <c r="AD193" i="50"/>
  <c r="AB906" i="50"/>
  <c r="AB193" i="50"/>
  <c r="T815" i="50"/>
  <c r="AF815" i="50" s="1"/>
  <c r="AH815" i="50" s="1"/>
  <c r="AL100" i="50"/>
  <c r="AM100" i="50" s="1"/>
  <c r="V1325" i="50"/>
  <c r="V613" i="50"/>
  <c r="AB1347" i="50"/>
  <c r="AF1347" i="50" s="1"/>
  <c r="AB634" i="50"/>
  <c r="T968" i="50"/>
  <c r="T256" i="50"/>
  <c r="T1339" i="50"/>
  <c r="T627" i="50"/>
  <c r="AB1339" i="50"/>
  <c r="AB627" i="50"/>
  <c r="AD835" i="50"/>
  <c r="AF835" i="50" s="1"/>
  <c r="AD123" i="50"/>
  <c r="Z982" i="50"/>
  <c r="Z270" i="50"/>
  <c r="F1283" i="50"/>
  <c r="R1283" i="50" s="1"/>
  <c r="F571" i="50"/>
  <c r="N997" i="50"/>
  <c r="N1424" i="50" s="1"/>
  <c r="N1438" i="50" s="1"/>
  <c r="N284" i="50"/>
  <c r="P1396" i="50"/>
  <c r="R1396" i="50" s="1"/>
  <c r="AH1396" i="50" s="1"/>
  <c r="P683" i="50"/>
  <c r="X885" i="50"/>
  <c r="X1424" i="50" s="1"/>
  <c r="X1438" i="50" s="1"/>
  <c r="X172" i="50"/>
  <c r="AL170" i="50"/>
  <c r="AM170" i="50" s="1"/>
  <c r="Z885" i="50"/>
  <c r="Z1424" i="50" s="1"/>
  <c r="Z1438" i="50" s="1"/>
  <c r="Z172" i="50"/>
  <c r="AB1192" i="50"/>
  <c r="AF1192" i="50" s="1"/>
  <c r="AH1192" i="50" s="1"/>
  <c r="AB480" i="50"/>
  <c r="AB814" i="50"/>
  <c r="AF814" i="50" s="1"/>
  <c r="AH814" i="50" s="1"/>
  <c r="AB102" i="50"/>
  <c r="S2370" i="50"/>
  <c r="S2371" i="50" s="1"/>
  <c r="AB2987" i="50"/>
  <c r="AF2981" i="50"/>
  <c r="R3132" i="50"/>
  <c r="F3134" i="50"/>
  <c r="R3550" i="50"/>
  <c r="AH3550" i="50" s="1"/>
  <c r="AH2731" i="50"/>
  <c r="H898" i="50"/>
  <c r="H186" i="50"/>
  <c r="J898" i="50"/>
  <c r="J186" i="50"/>
  <c r="L508" i="50"/>
  <c r="AH1058" i="50"/>
  <c r="J906" i="50"/>
  <c r="J193" i="50"/>
  <c r="H1277" i="50"/>
  <c r="H564" i="50"/>
  <c r="J1277" i="50"/>
  <c r="J564" i="50"/>
  <c r="V1312" i="50"/>
  <c r="AF1312" i="50" s="1"/>
  <c r="V599" i="50"/>
  <c r="AD1178" i="50"/>
  <c r="AF1178" i="50" s="1"/>
  <c r="AH1178" i="50" s="1"/>
  <c r="AD466" i="50"/>
  <c r="AH1082" i="50"/>
  <c r="N347" i="50"/>
  <c r="V1157" i="50"/>
  <c r="AF1157" i="50" s="1"/>
  <c r="AH1157" i="50" s="1"/>
  <c r="V445" i="50"/>
  <c r="V1354" i="50"/>
  <c r="AF1354" i="50" s="1"/>
  <c r="V641" i="50"/>
  <c r="X940" i="50"/>
  <c r="AF940" i="50" s="1"/>
  <c r="AH940" i="50" s="1"/>
  <c r="X228" i="50"/>
  <c r="AB1066" i="50"/>
  <c r="AF1066" i="50" s="1"/>
  <c r="AH1066" i="50" s="1"/>
  <c r="AB354" i="50"/>
  <c r="R3426" i="50"/>
  <c r="L3428" i="50"/>
  <c r="H1067" i="50"/>
  <c r="H354" i="50"/>
  <c r="L822" i="50"/>
  <c r="L1424" i="50" s="1"/>
  <c r="L1438" i="50" s="1"/>
  <c r="L109" i="50"/>
  <c r="P1354" i="50"/>
  <c r="P641" i="50"/>
  <c r="H1172" i="50"/>
  <c r="H459" i="50"/>
  <c r="J1172" i="50"/>
  <c r="J459" i="50"/>
  <c r="H1220" i="50"/>
  <c r="H508" i="50"/>
  <c r="P1220" i="50"/>
  <c r="P508" i="50"/>
  <c r="P835" i="50"/>
  <c r="P123" i="50"/>
  <c r="AH2367" i="50"/>
  <c r="AD480" i="50"/>
  <c r="AF3116" i="50"/>
  <c r="AH774" i="50"/>
  <c r="AH2277" i="50"/>
  <c r="H3218" i="50"/>
  <c r="X1613" i="50"/>
  <c r="X1614" i="50" s="1"/>
  <c r="X2323" i="50"/>
  <c r="X3037" i="50" s="1"/>
  <c r="X3043" i="50" s="1"/>
  <c r="F1571" i="50"/>
  <c r="AL1566" i="50"/>
  <c r="F2281" i="50"/>
  <c r="F2995" i="50" s="1"/>
  <c r="F3001" i="50" s="1"/>
  <c r="AL1869" i="50"/>
  <c r="AM1869" i="50" s="1"/>
  <c r="T2584" i="50"/>
  <c r="L2082" i="50"/>
  <c r="L2083" i="50" s="1"/>
  <c r="L2794" i="50"/>
  <c r="L3508" i="50" s="1"/>
  <c r="L3512" i="50" s="1"/>
  <c r="J2082" i="50"/>
  <c r="J2083" i="50" s="1"/>
  <c r="J2794" i="50"/>
  <c r="AF2859" i="50"/>
  <c r="AB3573" i="50"/>
  <c r="AB2481" i="50"/>
  <c r="AB3195" i="50" s="1"/>
  <c r="AB3197" i="50" s="1"/>
  <c r="AB1767" i="50"/>
  <c r="N2012" i="50"/>
  <c r="N2013" i="50" s="1"/>
  <c r="N2725" i="50"/>
  <c r="N3439" i="50" s="1"/>
  <c r="N3442" i="50" s="1"/>
  <c r="Z2611" i="50"/>
  <c r="Z3325" i="50" s="1"/>
  <c r="Z3330" i="50" s="1"/>
  <c r="Z1900" i="50"/>
  <c r="Z1901" i="50" s="1"/>
  <c r="F1893" i="50"/>
  <c r="F1894" i="50" s="1"/>
  <c r="F2606" i="50"/>
  <c r="F3320" i="50" s="1"/>
  <c r="AL1792" i="50"/>
  <c r="AM1792" i="50" s="1"/>
  <c r="F1795" i="50"/>
  <c r="F2507" i="50"/>
  <c r="F3221" i="50" s="1"/>
  <c r="F3225" i="50" s="1"/>
  <c r="AL1933" i="50"/>
  <c r="AM1933" i="50" s="1"/>
  <c r="T2648" i="50"/>
  <c r="Z1459" i="50"/>
  <c r="Z2171" i="50"/>
  <c r="Z2885" i="50" s="1"/>
  <c r="Z2889" i="50" s="1"/>
  <c r="H2255" i="50"/>
  <c r="H2969" i="50" s="1"/>
  <c r="H2973" i="50" s="1"/>
  <c r="H1543" i="50"/>
  <c r="H1544" i="50" s="1"/>
  <c r="AL1503" i="50"/>
  <c r="AM1503" i="50" s="1"/>
  <c r="T1508" i="50"/>
  <c r="T2218" i="50"/>
  <c r="L1823" i="50"/>
  <c r="L1824" i="50" s="1"/>
  <c r="L2533" i="50"/>
  <c r="L3247" i="50" s="1"/>
  <c r="L3253" i="50" s="1"/>
  <c r="L1578" i="50"/>
  <c r="L1579" i="50" s="1"/>
  <c r="L2291" i="50"/>
  <c r="L3005" i="50" s="1"/>
  <c r="L3008" i="50" s="1"/>
  <c r="J2220" i="50"/>
  <c r="J2934" i="50" s="1"/>
  <c r="J1508" i="50"/>
  <c r="J1509" i="50" s="1"/>
  <c r="L2220" i="50"/>
  <c r="L2934" i="50" s="1"/>
  <c r="L2938" i="50" s="1"/>
  <c r="L1508" i="50"/>
  <c r="L1509" i="50" s="1"/>
  <c r="T3202" i="50"/>
  <c r="AF3202" i="50" s="1"/>
  <c r="AF2488" i="50"/>
  <c r="Z2026" i="50"/>
  <c r="Z2027" i="50" s="1"/>
  <c r="Z2738" i="50"/>
  <c r="Z3452" i="50" s="1"/>
  <c r="P1879" i="50"/>
  <c r="P1880" i="50" s="1"/>
  <c r="P2592" i="50"/>
  <c r="P3306" i="50" s="1"/>
  <c r="N1900" i="50"/>
  <c r="N1901" i="50" s="1"/>
  <c r="N2610" i="50"/>
  <c r="N3324" i="50" s="1"/>
  <c r="N3330" i="50" s="1"/>
  <c r="L1739" i="50"/>
  <c r="L1740" i="50" s="1"/>
  <c r="L2451" i="50"/>
  <c r="L3165" i="50" s="1"/>
  <c r="J1739" i="50"/>
  <c r="J1740" i="50" s="1"/>
  <c r="J2451" i="50"/>
  <c r="J3165" i="50" s="1"/>
  <c r="AL1476" i="50"/>
  <c r="T1480" i="50"/>
  <c r="T1481" i="50" s="1"/>
  <c r="T2191" i="50"/>
  <c r="T2905" i="50" s="1"/>
  <c r="AB2285" i="50"/>
  <c r="AB2999" i="50" s="1"/>
  <c r="L2859" i="50"/>
  <c r="L3573" i="50" s="1"/>
  <c r="L3575" i="50" s="1"/>
  <c r="X1830" i="50"/>
  <c r="X1831" i="50" s="1"/>
  <c r="X2541" i="50"/>
  <c r="X3255" i="50" s="1"/>
  <c r="X3260" i="50" s="1"/>
  <c r="AL1689" i="50"/>
  <c r="AM1689" i="50" s="1"/>
  <c r="T2404" i="50"/>
  <c r="AJ22" i="32"/>
  <c r="AL22" i="32" s="1"/>
  <c r="AJ20" i="32"/>
  <c r="AL20" i="32" s="1"/>
  <c r="AL19" i="32"/>
  <c r="AD1879" i="50"/>
  <c r="AD1880" i="50" s="1"/>
  <c r="AD2592" i="50"/>
  <c r="AD3306" i="50" s="1"/>
  <c r="AD3309" i="50" s="1"/>
  <c r="AB1571" i="50"/>
  <c r="AB1572" i="50" s="1"/>
  <c r="AB2282" i="50"/>
  <c r="AB2996" i="50" s="1"/>
  <c r="AD1571" i="50"/>
  <c r="AD1572" i="50" s="1"/>
  <c r="AD2282" i="50"/>
  <c r="AD2996" i="50" s="1"/>
  <c r="L1599" i="50"/>
  <c r="L1600" i="50" s="1"/>
  <c r="L2309" i="50"/>
  <c r="L3023" i="50" s="1"/>
  <c r="L3029" i="50" s="1"/>
  <c r="H1599" i="50"/>
  <c r="H1600" i="50" s="1"/>
  <c r="H2309" i="50"/>
  <c r="AM1631" i="50"/>
  <c r="J1984" i="50"/>
  <c r="J1985" i="50" s="1"/>
  <c r="J2698" i="50"/>
  <c r="J3412" i="50" s="1"/>
  <c r="J3414" i="50" s="1"/>
  <c r="AD2514" i="50"/>
  <c r="AD3228" i="50" s="1"/>
  <c r="AD3232" i="50" s="1"/>
  <c r="AD1802" i="50"/>
  <c r="Z1802" i="50"/>
  <c r="AD1803" i="50" s="1"/>
  <c r="Z2514" i="50"/>
  <c r="Z3228" i="50" s="1"/>
  <c r="Z3232" i="50" s="1"/>
  <c r="AF2495" i="50"/>
  <c r="R2514" i="50"/>
  <c r="AL1925" i="50"/>
  <c r="AM1925" i="50" s="1"/>
  <c r="AL1506" i="50"/>
  <c r="AM1506" i="50" s="1"/>
  <c r="L655" i="50"/>
  <c r="V165" i="50"/>
  <c r="AH946" i="50"/>
  <c r="AH954" i="50"/>
  <c r="AH801" i="50"/>
  <c r="X3316" i="50"/>
  <c r="AF3447" i="50"/>
  <c r="V1942" i="50"/>
  <c r="V1943" i="50" s="1"/>
  <c r="X3498" i="50"/>
  <c r="AF2823" i="50"/>
  <c r="AG2825" i="50" s="1"/>
  <c r="AG2826" i="50" s="1"/>
  <c r="AF11" i="72"/>
  <c r="AF12" i="72"/>
  <c r="AF13" i="72"/>
  <c r="AF27" i="72"/>
  <c r="R2981" i="50"/>
  <c r="AB2151" i="50"/>
  <c r="Z564" i="50"/>
  <c r="AH827" i="50"/>
  <c r="AF1250" i="50"/>
  <c r="Z710" i="50"/>
  <c r="AA710" i="50" s="1"/>
  <c r="Z1746" i="50"/>
  <c r="Z1747" i="50" s="1"/>
  <c r="N676" i="50"/>
  <c r="AB2938" i="50"/>
  <c r="AF2695" i="50"/>
  <c r="F3141" i="50"/>
  <c r="F2935" i="50"/>
  <c r="AH2718" i="50"/>
  <c r="AH2289" i="50"/>
  <c r="AH2659" i="50"/>
  <c r="AH2717" i="50"/>
  <c r="AH3003" i="50"/>
  <c r="AH3565" i="50"/>
  <c r="AF3409" i="50"/>
  <c r="AF2281" i="50"/>
  <c r="AH2808" i="50"/>
  <c r="AH3502" i="50"/>
  <c r="AF2548" i="50"/>
  <c r="AF2400" i="50"/>
  <c r="R2857" i="50"/>
  <c r="H3454" i="50"/>
  <c r="R3454" i="50" s="1"/>
  <c r="L1571" i="50"/>
  <c r="L1572" i="50" s="1"/>
  <c r="L2281" i="50"/>
  <c r="L2995" i="50" s="1"/>
  <c r="L3001" i="50" s="1"/>
  <c r="H2082" i="50"/>
  <c r="H2083" i="50" s="1"/>
  <c r="H2794" i="50"/>
  <c r="H3508" i="50" s="1"/>
  <c r="H3512" i="50" s="1"/>
  <c r="V2481" i="50"/>
  <c r="V3195" i="50" s="1"/>
  <c r="V3197" i="50" s="1"/>
  <c r="V1767" i="50"/>
  <c r="AD2103" i="50"/>
  <c r="AD2813" i="50"/>
  <c r="AD3527" i="50" s="1"/>
  <c r="F2012" i="50"/>
  <c r="F2013" i="50" s="1"/>
  <c r="F2725" i="50"/>
  <c r="V2535" i="50"/>
  <c r="AF2535" i="50" s="1"/>
  <c r="AH2535" i="50" s="1"/>
  <c r="Z1816" i="50"/>
  <c r="Z1817" i="50" s="1"/>
  <c r="X2611" i="50"/>
  <c r="X3325" i="50" s="1"/>
  <c r="X3330" i="50" s="1"/>
  <c r="X1900" i="50"/>
  <c r="X1901" i="50" s="1"/>
  <c r="T3307" i="50"/>
  <c r="AF3307" i="50" s="1"/>
  <c r="AF2593" i="50"/>
  <c r="L2606" i="50"/>
  <c r="L3320" i="50" s="1"/>
  <c r="L3323" i="50" s="1"/>
  <c r="L1893" i="50"/>
  <c r="L1894" i="50" s="1"/>
  <c r="N2838" i="50"/>
  <c r="N3552" i="50" s="1"/>
  <c r="N3554" i="50" s="1"/>
  <c r="N2124" i="50"/>
  <c r="N2125" i="50" s="1"/>
  <c r="L2838" i="50"/>
  <c r="L3552" i="50" s="1"/>
  <c r="L3554" i="50" s="1"/>
  <c r="L2124" i="50"/>
  <c r="L2125" i="50" s="1"/>
  <c r="J2887" i="50"/>
  <c r="H1795" i="50"/>
  <c r="H1796" i="50" s="1"/>
  <c r="H2507" i="50"/>
  <c r="H3221" i="50" s="1"/>
  <c r="H3225" i="50" s="1"/>
  <c r="L1795" i="50"/>
  <c r="L1796" i="50" s="1"/>
  <c r="L2507" i="50"/>
  <c r="L3221" i="50" s="1"/>
  <c r="L3225" i="50" s="1"/>
  <c r="N2297" i="50"/>
  <c r="N3011" i="50" s="1"/>
  <c r="N3015" i="50" s="1"/>
  <c r="N1585" i="50"/>
  <c r="N1586" i="50" s="1"/>
  <c r="F1585" i="50"/>
  <c r="AL1582" i="50"/>
  <c r="F2297" i="50"/>
  <c r="R1362" i="50"/>
  <c r="F1173" i="50"/>
  <c r="R1173" i="50" s="1"/>
  <c r="AL458" i="50"/>
  <c r="AM458" i="50" s="1"/>
  <c r="AS1558" i="50"/>
  <c r="AU1558" i="50" s="1"/>
  <c r="AM1554" i="50"/>
  <c r="T1627" i="50"/>
  <c r="T2339" i="50"/>
  <c r="T3053" i="50" s="1"/>
  <c r="T3057" i="50" s="1"/>
  <c r="AB1627" i="50"/>
  <c r="AB1628" i="50" s="1"/>
  <c r="AB2339" i="50"/>
  <c r="AB3053" i="50" s="1"/>
  <c r="AB3057" i="50" s="1"/>
  <c r="P18" i="32"/>
  <c r="AS18" i="32"/>
  <c r="AB1459" i="50"/>
  <c r="AB2171" i="50"/>
  <c r="AB2885" i="50" s="1"/>
  <c r="AB2889" i="50" s="1"/>
  <c r="T1459" i="50"/>
  <c r="T2171" i="50"/>
  <c r="H1823" i="50"/>
  <c r="H1824" i="50" s="1"/>
  <c r="H2533" i="50"/>
  <c r="H3247" i="50" s="1"/>
  <c r="H1578" i="50"/>
  <c r="H1579" i="50" s="1"/>
  <c r="H2291" i="50"/>
  <c r="H3005" i="50" s="1"/>
  <c r="H3008" i="50" s="1"/>
  <c r="AL1748" i="50"/>
  <c r="AM1748" i="50" s="1"/>
  <c r="T2463" i="50"/>
  <c r="X2572" i="50"/>
  <c r="X3286" i="50" s="1"/>
  <c r="X3288" i="50" s="1"/>
  <c r="X1858" i="50"/>
  <c r="AB1859" i="50" s="1"/>
  <c r="P2352" i="50"/>
  <c r="P3066" i="50" s="1"/>
  <c r="H42" i="32"/>
  <c r="F42" i="32"/>
  <c r="H2220" i="50"/>
  <c r="H2934" i="50" s="1"/>
  <c r="H2938" i="50" s="1"/>
  <c r="H1508" i="50"/>
  <c r="H1509" i="50" s="1"/>
  <c r="J2620" i="50"/>
  <c r="J3334" i="50" s="1"/>
  <c r="N1725" i="50"/>
  <c r="N1726" i="50" s="1"/>
  <c r="N2435" i="50"/>
  <c r="N3149" i="50" s="1"/>
  <c r="N3155" i="50" s="1"/>
  <c r="L1725" i="50"/>
  <c r="L1726" i="50" s="1"/>
  <c r="L2435" i="50"/>
  <c r="L3149" i="50" s="1"/>
  <c r="L3155" i="50" s="1"/>
  <c r="F1501" i="50"/>
  <c r="AL1498" i="50"/>
  <c r="AM1498" i="50" s="1"/>
  <c r="R1397" i="50"/>
  <c r="P2320" i="50"/>
  <c r="P3034" i="50" s="1"/>
  <c r="P3036" i="50" s="1"/>
  <c r="P1606" i="50"/>
  <c r="P1607" i="50" s="1"/>
  <c r="L2320" i="50"/>
  <c r="L3034" i="50" s="1"/>
  <c r="L3036" i="50" s="1"/>
  <c r="L1606" i="50"/>
  <c r="L1607" i="50" s="1"/>
  <c r="V1655" i="50"/>
  <c r="V1656" i="50" s="1"/>
  <c r="V2366" i="50"/>
  <c r="V3080" i="50" s="1"/>
  <c r="AB1655" i="50"/>
  <c r="AB1656" i="50" s="1"/>
  <c r="AB2366" i="50"/>
  <c r="AB3080" i="50" s="1"/>
  <c r="AB3085" i="50" s="1"/>
  <c r="AB1746" i="50"/>
  <c r="AB1747" i="50" s="1"/>
  <c r="Z1732" i="50"/>
  <c r="Z1733" i="50" s="1"/>
  <c r="Z2444" i="50"/>
  <c r="Z3158" i="50" s="1"/>
  <c r="Z3162" i="50" s="1"/>
  <c r="L2593" i="50"/>
  <c r="L3307" i="50" s="1"/>
  <c r="AB2026" i="50"/>
  <c r="AB2027" i="50" s="1"/>
  <c r="AB2738" i="50"/>
  <c r="AB3452" i="50" s="1"/>
  <c r="AL1456" i="50"/>
  <c r="P1732" i="50"/>
  <c r="P1733" i="50" s="1"/>
  <c r="P2444" i="50"/>
  <c r="P3158" i="50" s="1"/>
  <c r="P3162" i="50" s="1"/>
  <c r="J1732" i="50"/>
  <c r="J1733" i="50" s="1"/>
  <c r="J2444" i="50"/>
  <c r="J3158" i="50" s="1"/>
  <c r="J3162" i="50" s="1"/>
  <c r="L1984" i="50"/>
  <c r="L1985" i="50" s="1"/>
  <c r="N1634" i="50"/>
  <c r="N1635" i="50" s="1"/>
  <c r="N2347" i="50"/>
  <c r="N3061" i="50" s="1"/>
  <c r="N3064" i="50" s="1"/>
  <c r="H2612" i="50"/>
  <c r="H3326" i="50" s="1"/>
  <c r="R2390" i="50"/>
  <c r="AH2390" i="50" s="1"/>
  <c r="H1879" i="50"/>
  <c r="H1880" i="50" s="1"/>
  <c r="H2592" i="50"/>
  <c r="H3306" i="50" s="1"/>
  <c r="H3309" i="50" s="1"/>
  <c r="H1900" i="50"/>
  <c r="H1901" i="50" s="1"/>
  <c r="H2610" i="50"/>
  <c r="H3324" i="50" s="1"/>
  <c r="P1900" i="50"/>
  <c r="P1901" i="50" s="1"/>
  <c r="P2610" i="50"/>
  <c r="P3324" i="50" s="1"/>
  <c r="P3330" i="50" s="1"/>
  <c r="Z1907" i="50"/>
  <c r="Z1908" i="50" s="1"/>
  <c r="Z2618" i="50"/>
  <c r="Z3332" i="50" s="1"/>
  <c r="V1907" i="50"/>
  <c r="V1908" i="50" s="1"/>
  <c r="V2618" i="50"/>
  <c r="V3332" i="50" s="1"/>
  <c r="H1760" i="50"/>
  <c r="H2471" i="50"/>
  <c r="H3185" i="50" s="1"/>
  <c r="P1760" i="50"/>
  <c r="P2471" i="50"/>
  <c r="P3185" i="50" s="1"/>
  <c r="P3190" i="50" s="1"/>
  <c r="H1739" i="50"/>
  <c r="H1740" i="50" s="1"/>
  <c r="H2451" i="50"/>
  <c r="H3165" i="50" s="1"/>
  <c r="AL1736" i="50"/>
  <c r="F1739" i="50"/>
  <c r="F2451" i="50"/>
  <c r="D51" i="32"/>
  <c r="AW11" i="32"/>
  <c r="X2117" i="50"/>
  <c r="X2118" i="50" s="1"/>
  <c r="X2829" i="50"/>
  <c r="X3543" i="50" s="1"/>
  <c r="R1145" i="50"/>
  <c r="AB1480" i="50"/>
  <c r="AB1481" i="50" s="1"/>
  <c r="AB2191" i="50"/>
  <c r="AB2905" i="50" s="1"/>
  <c r="AB2910" i="50" s="1"/>
  <c r="AD1480" i="50"/>
  <c r="AD1481" i="50" s="1"/>
  <c r="AD2191" i="50"/>
  <c r="AD2905" i="50" s="1"/>
  <c r="AD2910" i="50" s="1"/>
  <c r="N2927" i="50"/>
  <c r="J3106" i="50"/>
  <c r="AL1773" i="50"/>
  <c r="AM1773" i="50" s="1"/>
  <c r="J2488" i="50"/>
  <c r="J3202" i="50" s="1"/>
  <c r="J3204" i="50" s="1"/>
  <c r="N2488" i="50"/>
  <c r="N3202" i="50" s="1"/>
  <c r="Z2285" i="50"/>
  <c r="F2859" i="50"/>
  <c r="F3573" i="50" s="1"/>
  <c r="N2859" i="50"/>
  <c r="N3573" i="50" s="1"/>
  <c r="N3575" i="50" s="1"/>
  <c r="J1634" i="50"/>
  <c r="J1635" i="50" s="1"/>
  <c r="AL1644" i="50"/>
  <c r="T1648" i="50"/>
  <c r="T2359" i="50"/>
  <c r="AB1648" i="50"/>
  <c r="AB1649" i="50" s="1"/>
  <c r="AB2359" i="50"/>
  <c r="AB3073" i="50" s="1"/>
  <c r="AB3078" i="50" s="1"/>
  <c r="P1914" i="50"/>
  <c r="P1915" i="50" s="1"/>
  <c r="P2624" i="50"/>
  <c r="P3338" i="50" s="1"/>
  <c r="AB1830" i="50"/>
  <c r="AB1831" i="50" s="1"/>
  <c r="AB2541" i="50"/>
  <c r="AB3255" i="50" s="1"/>
  <c r="AB3260" i="50" s="1"/>
  <c r="F2915" i="50"/>
  <c r="R2481" i="50"/>
  <c r="AF1418" i="50"/>
  <c r="V3454" i="50"/>
  <c r="Z2396" i="50"/>
  <c r="Z3110" i="50" s="1"/>
  <c r="Z3113" i="50" s="1"/>
  <c r="Z1683" i="50"/>
  <c r="Z1684" i="50" s="1"/>
  <c r="T2592" i="50"/>
  <c r="T1879" i="50"/>
  <c r="T1880" i="50" s="1"/>
  <c r="Z1879" i="50"/>
  <c r="Z1880" i="50" s="1"/>
  <c r="Z2592" i="50"/>
  <c r="Z3306" i="50" s="1"/>
  <c r="Z3309" i="50" s="1"/>
  <c r="R1390" i="50"/>
  <c r="AH1390" i="50" s="1"/>
  <c r="Z1571" i="50"/>
  <c r="Z1572" i="50" s="1"/>
  <c r="Z2282" i="50"/>
  <c r="Z2996" i="50" s="1"/>
  <c r="F1599" i="50"/>
  <c r="AL1594" i="50"/>
  <c r="N1599" i="50"/>
  <c r="N1600" i="50" s="1"/>
  <c r="N2309" i="50"/>
  <c r="N3023" i="50" s="1"/>
  <c r="N3029" i="50" s="1"/>
  <c r="L1837" i="50"/>
  <c r="L1838" i="50" s="1"/>
  <c r="L2548" i="50"/>
  <c r="L3262" i="50" s="1"/>
  <c r="L3267" i="50" s="1"/>
  <c r="T2638" i="50"/>
  <c r="T1928" i="50"/>
  <c r="X1929" i="50" s="1"/>
  <c r="T1564" i="50"/>
  <c r="AL1559" i="50"/>
  <c r="T2274" i="50"/>
  <c r="V1578" i="50"/>
  <c r="V1579" i="50" s="1"/>
  <c r="V2290" i="50"/>
  <c r="V3004" i="50" s="1"/>
  <c r="V3008" i="50" s="1"/>
  <c r="V2432" i="50"/>
  <c r="V3146" i="50" s="1"/>
  <c r="V3148" i="50" s="1"/>
  <c r="J1641" i="50"/>
  <c r="J1642" i="50" s="1"/>
  <c r="J2351" i="50"/>
  <c r="J3065" i="50" s="1"/>
  <c r="N2698" i="50"/>
  <c r="N3412" i="50" s="1"/>
  <c r="N3414" i="50" s="1"/>
  <c r="N1984" i="50"/>
  <c r="N1985" i="50" s="1"/>
  <c r="AF2418" i="50"/>
  <c r="T2048" i="50"/>
  <c r="T2761" i="50"/>
  <c r="T3475" i="50" s="1"/>
  <c r="V2514" i="50"/>
  <c r="V3228" i="50" s="1"/>
  <c r="V3232" i="50" s="1"/>
  <c r="V1802" i="50"/>
  <c r="Z1803" i="50" s="1"/>
  <c r="X1802" i="50"/>
  <c r="AB1803" i="50" s="1"/>
  <c r="X2514" i="50"/>
  <c r="X3228" i="50" s="1"/>
  <c r="X3232" i="50" s="1"/>
  <c r="V1683" i="50"/>
  <c r="V1684" i="50" s="1"/>
  <c r="L2110" i="50"/>
  <c r="T2111" i="50" s="1"/>
  <c r="L2823" i="50"/>
  <c r="L3537" i="50" s="1"/>
  <c r="L3540" i="50" s="1"/>
  <c r="F2110" i="50"/>
  <c r="F2111" i="50" s="1"/>
  <c r="F2823" i="50"/>
  <c r="AL33" i="32"/>
  <c r="AL34" i="32"/>
  <c r="AL41" i="32"/>
  <c r="AL24" i="32"/>
  <c r="AL31" i="32"/>
  <c r="AL36" i="32"/>
  <c r="AL25" i="32"/>
  <c r="AL30" i="32"/>
  <c r="AL21" i="32"/>
  <c r="AL39" i="32"/>
  <c r="AL28" i="32"/>
  <c r="AL35" i="32"/>
  <c r="AL40" i="32"/>
  <c r="AL37" i="32"/>
  <c r="AL32" i="32"/>
  <c r="AL26" i="32"/>
  <c r="AL15" i="32"/>
  <c r="AL38" i="32"/>
  <c r="AL27" i="32"/>
  <c r="AL29" i="32"/>
  <c r="AB2124" i="50"/>
  <c r="AB2125" i="50" s="1"/>
  <c r="AB2835" i="50"/>
  <c r="AB3549" i="50" s="1"/>
  <c r="Z2124" i="50"/>
  <c r="Z2125" i="50" s="1"/>
  <c r="Z2835" i="50"/>
  <c r="Z3549" i="50" s="1"/>
  <c r="Z3554" i="50" s="1"/>
  <c r="H2732" i="50"/>
  <c r="H3446" i="50" s="1"/>
  <c r="H3449" i="50" s="1"/>
  <c r="H2019" i="50"/>
  <c r="H2020" i="50" s="1"/>
  <c r="J91" i="32"/>
  <c r="H91" i="32"/>
  <c r="AD2061" i="50"/>
  <c r="AD2062" i="50" s="1"/>
  <c r="AD2772" i="50"/>
  <c r="AD3486" i="50" s="1"/>
  <c r="AD3491" i="50" s="1"/>
  <c r="X2061" i="50"/>
  <c r="X2062" i="50" s="1"/>
  <c r="X2772" i="50"/>
  <c r="X3486" i="50" s="1"/>
  <c r="X3491" i="50" s="1"/>
  <c r="AB2431" i="50"/>
  <c r="AB3145" i="50" s="1"/>
  <c r="AB1718" i="50"/>
  <c r="AL1608" i="50"/>
  <c r="T1613" i="50"/>
  <c r="T2323" i="50"/>
  <c r="T3037" i="50" s="1"/>
  <c r="AH710" i="50"/>
  <c r="T2481" i="50"/>
  <c r="T1767" i="50"/>
  <c r="T1768" i="50" s="1"/>
  <c r="AB2103" i="50"/>
  <c r="AB2813" i="50"/>
  <c r="AB3527" i="50" s="1"/>
  <c r="AD1900" i="50"/>
  <c r="AD1901" i="50" s="1"/>
  <c r="AD2611" i="50"/>
  <c r="AD3325" i="50" s="1"/>
  <c r="AD3330" i="50" s="1"/>
  <c r="H1893" i="50"/>
  <c r="H1894" i="50" s="1"/>
  <c r="H2606" i="50"/>
  <c r="H3320" i="50" s="1"/>
  <c r="J2838" i="50"/>
  <c r="J3552" i="50" s="1"/>
  <c r="J3554" i="50" s="1"/>
  <c r="J2124" i="50"/>
  <c r="J2125" i="50" s="1"/>
  <c r="H2838" i="50"/>
  <c r="H3552" i="50" s="1"/>
  <c r="H3554" i="50" s="1"/>
  <c r="H2124" i="50"/>
  <c r="H2125" i="50" s="1"/>
  <c r="J1585" i="50"/>
  <c r="J1586" i="50" s="1"/>
  <c r="J2297" i="50"/>
  <c r="J3011" i="50" s="1"/>
  <c r="J3015" i="50" s="1"/>
  <c r="P17" i="32"/>
  <c r="AS17" i="32"/>
  <c r="V1459" i="50"/>
  <c r="AB1460" i="50" s="1"/>
  <c r="V2171" i="50"/>
  <c r="V2885" i="50" s="1"/>
  <c r="V2889" i="50" s="1"/>
  <c r="V1508" i="50"/>
  <c r="V1509" i="50" s="1"/>
  <c r="V2218" i="50"/>
  <c r="V2932" i="50" s="1"/>
  <c r="V2938" i="50" s="1"/>
  <c r="P1823" i="50"/>
  <c r="P1824" i="50" s="1"/>
  <c r="P2533" i="50"/>
  <c r="P3247" i="50" s="1"/>
  <c r="P3253" i="50" s="1"/>
  <c r="J1578" i="50"/>
  <c r="J1579" i="50" s="1"/>
  <c r="J2291" i="50"/>
  <c r="J3005" i="50" s="1"/>
  <c r="J3008" i="50" s="1"/>
  <c r="AB2572" i="50"/>
  <c r="AB3286" i="50" s="1"/>
  <c r="AB3288" i="50" s="1"/>
  <c r="AB1858" i="50"/>
  <c r="T2572" i="50"/>
  <c r="T1858" i="50"/>
  <c r="X1859" i="50" s="1"/>
  <c r="AL1637" i="50"/>
  <c r="AM1637" i="50" s="1"/>
  <c r="F2352" i="50"/>
  <c r="H2435" i="50"/>
  <c r="H3149" i="50" s="1"/>
  <c r="H3155" i="50" s="1"/>
  <c r="H1725" i="50"/>
  <c r="H1726" i="50" s="1"/>
  <c r="J1725" i="50"/>
  <c r="J1726" i="50" s="1"/>
  <c r="J2435" i="50"/>
  <c r="J3149" i="50" s="1"/>
  <c r="J3155" i="50" s="1"/>
  <c r="H2320" i="50"/>
  <c r="H3034" i="50" s="1"/>
  <c r="H3036" i="50" s="1"/>
  <c r="X1655" i="50"/>
  <c r="X1656" i="50" s="1"/>
  <c r="X2366" i="50"/>
  <c r="X3080" i="50" s="1"/>
  <c r="X3085" i="50" s="1"/>
  <c r="X1732" i="50"/>
  <c r="X1733" i="50" s="1"/>
  <c r="X2444" i="50"/>
  <c r="X3158" i="50" s="1"/>
  <c r="X3162" i="50" s="1"/>
  <c r="T2026" i="50"/>
  <c r="T2738" i="50"/>
  <c r="N1732" i="50"/>
  <c r="N1733" i="50" s="1"/>
  <c r="N2444" i="50"/>
  <c r="N3158" i="50" s="1"/>
  <c r="F3475" i="50"/>
  <c r="R3475" i="50" s="1"/>
  <c r="R2761" i="50"/>
  <c r="S2762" i="50" s="1"/>
  <c r="S2763" i="50" s="1"/>
  <c r="T2369" i="50"/>
  <c r="AL1654" i="50"/>
  <c r="AM1654" i="50" s="1"/>
  <c r="L1879" i="50"/>
  <c r="L1880" i="50" s="1"/>
  <c r="L2592" i="50"/>
  <c r="L3306" i="50" s="1"/>
  <c r="AL1895" i="50"/>
  <c r="AM1895" i="50" s="1"/>
  <c r="F1900" i="50"/>
  <c r="F1901" i="50" s="1"/>
  <c r="F2610" i="50"/>
  <c r="F2471" i="50"/>
  <c r="AL1756" i="50"/>
  <c r="F1760" i="50"/>
  <c r="Z2117" i="50"/>
  <c r="Z2118" i="50" s="1"/>
  <c r="Z2829" i="50"/>
  <c r="Z3543" i="50" s="1"/>
  <c r="Z3547" i="50" s="1"/>
  <c r="AD2117" i="50"/>
  <c r="AD2118" i="50" s="1"/>
  <c r="AD2829" i="50"/>
  <c r="AD3543" i="50" s="1"/>
  <c r="AD3547" i="50" s="1"/>
  <c r="X1480" i="50"/>
  <c r="X1481" i="50" s="1"/>
  <c r="X2191" i="50"/>
  <c r="X2905" i="50" s="1"/>
  <c r="X2910" i="50" s="1"/>
  <c r="AF2733" i="50"/>
  <c r="T3237" i="50"/>
  <c r="AF3237" i="50" s="1"/>
  <c r="AF2523" i="50"/>
  <c r="F2488" i="50"/>
  <c r="F3202" i="50" s="1"/>
  <c r="F3204" i="50" s="1"/>
  <c r="AD1648" i="50"/>
  <c r="AD1649" i="50" s="1"/>
  <c r="AD2359" i="50"/>
  <c r="AD3073" i="50" s="1"/>
  <c r="AD3078" i="50" s="1"/>
  <c r="Z1648" i="50"/>
  <c r="Z1649" i="50" s="1"/>
  <c r="Z2359" i="50"/>
  <c r="Z3073" i="50" s="1"/>
  <c r="Z3078" i="50" s="1"/>
  <c r="F1914" i="50"/>
  <c r="F1915" i="50" s="1"/>
  <c r="AL1909" i="50"/>
  <c r="AM1909" i="50" s="1"/>
  <c r="F2624" i="50"/>
  <c r="H3251" i="50"/>
  <c r="R3251" i="50" s="1"/>
  <c r="R2537" i="50"/>
  <c r="T1830" i="50"/>
  <c r="AL1826" i="50"/>
  <c r="T2541" i="50"/>
  <c r="T3255" i="50" s="1"/>
  <c r="AM1532" i="50"/>
  <c r="F3352" i="50"/>
  <c r="R2638" i="50"/>
  <c r="Z2404" i="50"/>
  <c r="Z3118" i="50" s="1"/>
  <c r="Z3120" i="50" s="1"/>
  <c r="AL1766" i="50"/>
  <c r="AD2396" i="50"/>
  <c r="AD3110" i="50" s="1"/>
  <c r="AD1683" i="50"/>
  <c r="AD1684" i="50" s="1"/>
  <c r="T2396" i="50"/>
  <c r="AL1681" i="50"/>
  <c r="AM1681" i="50" s="1"/>
  <c r="T1683" i="50"/>
  <c r="AB1879" i="50"/>
  <c r="AB1880" i="50" s="1"/>
  <c r="AB2592" i="50"/>
  <c r="AB3306" i="50" s="1"/>
  <c r="AB3309" i="50" s="1"/>
  <c r="AL1800" i="50"/>
  <c r="AM1800" i="50" s="1"/>
  <c r="F2515" i="50"/>
  <c r="AW41" i="32"/>
  <c r="R2733" i="50"/>
  <c r="AD2638" i="50"/>
  <c r="AD3352" i="50" s="1"/>
  <c r="AD3358" i="50" s="1"/>
  <c r="AB2638" i="50"/>
  <c r="AB3352" i="50" s="1"/>
  <c r="AB3358" i="50" s="1"/>
  <c r="AB1928" i="50"/>
  <c r="V1564" i="50"/>
  <c r="V1565" i="50" s="1"/>
  <c r="V2274" i="50"/>
  <c r="V2988" i="50" s="1"/>
  <c r="V2994" i="50" s="1"/>
  <c r="Z1564" i="50"/>
  <c r="Z1565" i="50" s="1"/>
  <c r="Z2274" i="50"/>
  <c r="Z2988" i="50" s="1"/>
  <c r="Z2994" i="50" s="1"/>
  <c r="AD1578" i="50"/>
  <c r="AD1579" i="50" s="1"/>
  <c r="AD2290" i="50"/>
  <c r="AD3004" i="50" s="1"/>
  <c r="AD3008" i="50" s="1"/>
  <c r="AL1575" i="50"/>
  <c r="AM1575" i="50" s="1"/>
  <c r="T1578" i="50"/>
  <c r="T2290" i="50"/>
  <c r="AB2432" i="50"/>
  <c r="AB3146" i="50" s="1"/>
  <c r="H2351" i="50"/>
  <c r="H3065" i="50" s="1"/>
  <c r="H3071" i="50" s="1"/>
  <c r="H1641" i="50"/>
  <c r="H1642" i="50" s="1"/>
  <c r="F2351" i="50"/>
  <c r="F1641" i="50"/>
  <c r="AL1636" i="50"/>
  <c r="AM1462" i="50"/>
  <c r="R3531" i="50"/>
  <c r="V2761" i="50"/>
  <c r="V3475" i="50" s="1"/>
  <c r="V3477" i="50" s="1"/>
  <c r="AM1706" i="50"/>
  <c r="N2110" i="50"/>
  <c r="V2111" i="50" s="1"/>
  <c r="N2823" i="50"/>
  <c r="N3537" i="50" s="1"/>
  <c r="N3540" i="50" s="1"/>
  <c r="X2835" i="50"/>
  <c r="X3549" i="50" s="1"/>
  <c r="X3554" i="50" s="1"/>
  <c r="X2124" i="50"/>
  <c r="X2125" i="50" s="1"/>
  <c r="L2019" i="50"/>
  <c r="L2020" i="50" s="1"/>
  <c r="L2732" i="50"/>
  <c r="L3446" i="50" s="1"/>
  <c r="L3449" i="50" s="1"/>
  <c r="X2431" i="50"/>
  <c r="X3145" i="50" s="1"/>
  <c r="X3148" i="50" s="1"/>
  <c r="X1718" i="50"/>
  <c r="AB1719" i="50" s="1"/>
  <c r="AH3535" i="50"/>
  <c r="AD67" i="50"/>
  <c r="Z11" i="72" s="1"/>
  <c r="J438" i="50"/>
  <c r="F708" i="50"/>
  <c r="G708" i="50" s="1"/>
  <c r="S708" i="50" s="1"/>
  <c r="AH1072" i="50"/>
  <c r="P798" i="50"/>
  <c r="AH2906" i="50"/>
  <c r="AH2184" i="50"/>
  <c r="AL1891" i="50"/>
  <c r="AM1891" i="50" s="1"/>
  <c r="F2148" i="50"/>
  <c r="AH1096" i="50"/>
  <c r="R1229" i="50"/>
  <c r="Z557" i="50"/>
  <c r="AB347" i="50"/>
  <c r="AB158" i="50"/>
  <c r="AM309" i="50"/>
  <c r="AH1226" i="50"/>
  <c r="X3449" i="50"/>
  <c r="P1802" i="50"/>
  <c r="P1803" i="50" s="1"/>
  <c r="V3372" i="50"/>
  <c r="Z3393" i="50"/>
  <c r="J578" i="50"/>
  <c r="AH918" i="50"/>
  <c r="N123" i="50"/>
  <c r="L347" i="50"/>
  <c r="J417" i="50"/>
  <c r="U8" i="72"/>
  <c r="AH1205" i="50"/>
  <c r="R3474" i="50"/>
  <c r="AB2096" i="50"/>
  <c r="AB2097" i="50" s="1"/>
  <c r="AH1089" i="50"/>
  <c r="X207" i="50"/>
  <c r="J375" i="50"/>
  <c r="N798" i="50"/>
  <c r="AD2938" i="50"/>
  <c r="Z676" i="50"/>
  <c r="L5" i="72"/>
  <c r="S5" i="72"/>
  <c r="X2096" i="50"/>
  <c r="X2097" i="50" s="1"/>
  <c r="AB3372" i="50"/>
  <c r="H798" i="50"/>
  <c r="L403" i="50"/>
  <c r="AH998" i="50"/>
  <c r="AH886" i="50"/>
  <c r="AF2807" i="50"/>
  <c r="AH2361" i="50"/>
  <c r="AH2576" i="50"/>
  <c r="S2181" i="50"/>
  <c r="S2182" i="50" s="1"/>
  <c r="R2844" i="50"/>
  <c r="AH2844" i="50" s="1"/>
  <c r="AH2211" i="50"/>
  <c r="R2162" i="50"/>
  <c r="AH3444" i="50"/>
  <c r="AF2995" i="50"/>
  <c r="J3066" i="50"/>
  <c r="AF3262" i="50"/>
  <c r="R2799" i="50"/>
  <c r="AH2799" i="50" s="1"/>
  <c r="I9" i="51"/>
  <c r="H29" i="51"/>
  <c r="V1613" i="50"/>
  <c r="V1614" i="50" s="1"/>
  <c r="V2323" i="50"/>
  <c r="V3037" i="50" s="1"/>
  <c r="V3043" i="50" s="1"/>
  <c r="AD1613" i="50"/>
  <c r="AD1614" i="50" s="1"/>
  <c r="AD2323" i="50"/>
  <c r="AD3037" i="50" s="1"/>
  <c r="AD3043" i="50" s="1"/>
  <c r="J2281" i="50"/>
  <c r="J2995" i="50" s="1"/>
  <c r="J3001" i="50" s="1"/>
  <c r="J1571" i="50"/>
  <c r="J1572" i="50" s="1"/>
  <c r="R2523" i="50"/>
  <c r="R2418" i="50"/>
  <c r="F2082" i="50"/>
  <c r="F2083" i="50" s="1"/>
  <c r="F2794" i="50"/>
  <c r="F3508" i="50" s="1"/>
  <c r="V3174" i="50"/>
  <c r="AF3174" i="50" s="1"/>
  <c r="AH3174" i="50" s="1"/>
  <c r="AF2460" i="50"/>
  <c r="AH2460" i="50" s="1"/>
  <c r="X2481" i="50"/>
  <c r="X3195" i="50" s="1"/>
  <c r="X3197" i="50" s="1"/>
  <c r="X1767" i="50"/>
  <c r="V2103" i="50"/>
  <c r="Z2104" i="50" s="1"/>
  <c r="V2813" i="50"/>
  <c r="V3527" i="50" s="1"/>
  <c r="V3533" i="50" s="1"/>
  <c r="X2103" i="50"/>
  <c r="AB2104" i="50" s="1"/>
  <c r="X2813" i="50"/>
  <c r="X3527" i="50" s="1"/>
  <c r="X3533" i="50" s="1"/>
  <c r="J2012" i="50"/>
  <c r="J2013" i="50" s="1"/>
  <c r="J2725" i="50"/>
  <c r="J3439" i="50" s="1"/>
  <c r="J3442" i="50" s="1"/>
  <c r="AH707" i="50"/>
  <c r="AF3412" i="50"/>
  <c r="T2611" i="50"/>
  <c r="AL1896" i="50"/>
  <c r="AM1896" i="50" s="1"/>
  <c r="T1900" i="50"/>
  <c r="T1901" i="50" s="1"/>
  <c r="AB1900" i="50"/>
  <c r="AB1901" i="50" s="1"/>
  <c r="AB2611" i="50"/>
  <c r="AB3325" i="50" s="1"/>
  <c r="AB3330" i="50" s="1"/>
  <c r="L1928" i="50"/>
  <c r="P1929" i="50" s="1"/>
  <c r="F2838" i="50"/>
  <c r="F3552" i="50" s="1"/>
  <c r="F2124" i="50"/>
  <c r="F2125" i="50" s="1"/>
  <c r="P2838" i="50"/>
  <c r="P3552" i="50" s="1"/>
  <c r="P3554" i="50" s="1"/>
  <c r="P2124" i="50"/>
  <c r="P2125" i="50" s="1"/>
  <c r="J1795" i="50"/>
  <c r="J1796" i="50" s="1"/>
  <c r="J2507" i="50"/>
  <c r="J3221" i="50" s="1"/>
  <c r="J3225" i="50" s="1"/>
  <c r="N1795" i="50"/>
  <c r="N1796" i="50" s="1"/>
  <c r="N2507" i="50"/>
  <c r="N3221" i="50" s="1"/>
  <c r="P1585" i="50"/>
  <c r="P1586" i="50" s="1"/>
  <c r="P2297" i="50"/>
  <c r="P3011" i="50" s="1"/>
  <c r="P3015" i="50" s="1"/>
  <c r="L2297" i="50"/>
  <c r="L3011" i="50" s="1"/>
  <c r="L3015" i="50" s="1"/>
  <c r="L1585" i="50"/>
  <c r="L1586" i="50" s="1"/>
  <c r="Z1627" i="50"/>
  <c r="Z1628" i="50" s="1"/>
  <c r="Z2339" i="50"/>
  <c r="Z3053" i="50" s="1"/>
  <c r="Z3057" i="50" s="1"/>
  <c r="AW16" i="32"/>
  <c r="D56" i="32"/>
  <c r="X1459" i="50"/>
  <c r="AD1460" i="50" s="1"/>
  <c r="X2171" i="50"/>
  <c r="X2885" i="50" s="1"/>
  <c r="X2889" i="50" s="1"/>
  <c r="N2533" i="50"/>
  <c r="N3247" i="50" s="1"/>
  <c r="N3253" i="50" s="1"/>
  <c r="N1823" i="50"/>
  <c r="N1824" i="50" s="1"/>
  <c r="N1578" i="50"/>
  <c r="N1579" i="50" s="1"/>
  <c r="N2291" i="50"/>
  <c r="N3005" i="50" s="1"/>
  <c r="N3008" i="50" s="1"/>
  <c r="AD2572" i="50"/>
  <c r="AD3286" i="50" s="1"/>
  <c r="AD3288" i="50" s="1"/>
  <c r="AD1858" i="50"/>
  <c r="Z2572" i="50"/>
  <c r="Z3286" i="50" s="1"/>
  <c r="Z3288" i="50" s="1"/>
  <c r="T1690" i="50"/>
  <c r="N2220" i="50"/>
  <c r="N2934" i="50" s="1"/>
  <c r="N2938" i="50" s="1"/>
  <c r="N1508" i="50"/>
  <c r="N1509" i="50" s="1"/>
  <c r="P2620" i="50"/>
  <c r="P3334" i="50" s="1"/>
  <c r="F1725" i="50"/>
  <c r="F2435" i="50"/>
  <c r="AL1720" i="50"/>
  <c r="P1725" i="50"/>
  <c r="P1726" i="50" s="1"/>
  <c r="P2435" i="50"/>
  <c r="P3149" i="50" s="1"/>
  <c r="P3155" i="50" s="1"/>
  <c r="X3176" i="50"/>
  <c r="J2320" i="50"/>
  <c r="J3034" i="50" s="1"/>
  <c r="AM1623" i="50"/>
  <c r="AD1732" i="50"/>
  <c r="AD1733" i="50" s="1"/>
  <c r="AD2444" i="50"/>
  <c r="AD3158" i="50" s="1"/>
  <c r="AD3162" i="50" s="1"/>
  <c r="T2444" i="50"/>
  <c r="T1732" i="50"/>
  <c r="F2593" i="50"/>
  <c r="F3307" i="50" s="1"/>
  <c r="AL1878" i="50"/>
  <c r="AM1878" i="50" s="1"/>
  <c r="X2026" i="50"/>
  <c r="X2027" i="50" s="1"/>
  <c r="X2738" i="50"/>
  <c r="X3452" i="50" s="1"/>
  <c r="V2026" i="50"/>
  <c r="V2027" i="50" s="1"/>
  <c r="V2738" i="50"/>
  <c r="V3452" i="50" s="1"/>
  <c r="H1732" i="50"/>
  <c r="H1733" i="50" s="1"/>
  <c r="H2444" i="50"/>
  <c r="H3158" i="50" s="1"/>
  <c r="H3162" i="50" s="1"/>
  <c r="AL1729" i="50"/>
  <c r="AM1729" i="50" s="1"/>
  <c r="F1732" i="50"/>
  <c r="F2444" i="50"/>
  <c r="V2369" i="50"/>
  <c r="V3083" i="50" s="1"/>
  <c r="AL1632" i="50"/>
  <c r="AM1632" i="50" s="1"/>
  <c r="F2347" i="50"/>
  <c r="F3061" i="50" s="1"/>
  <c r="P1634" i="50"/>
  <c r="P1635" i="50" s="1"/>
  <c r="P2347" i="50"/>
  <c r="P3061" i="50" s="1"/>
  <c r="P3064" i="50" s="1"/>
  <c r="J1879" i="50"/>
  <c r="J1880" i="50" s="1"/>
  <c r="J2592" i="50"/>
  <c r="J3306" i="50" s="1"/>
  <c r="AL1877" i="50"/>
  <c r="AM1877" i="50" s="1"/>
  <c r="F2592" i="50"/>
  <c r="F1879" i="50"/>
  <c r="F1880" i="50" s="1"/>
  <c r="L1900" i="50"/>
  <c r="L1901" i="50" s="1"/>
  <c r="L2610" i="50"/>
  <c r="L3324" i="50" s="1"/>
  <c r="L3330" i="50" s="1"/>
  <c r="AD1907" i="50"/>
  <c r="AD1908" i="50" s="1"/>
  <c r="AD2618" i="50"/>
  <c r="AD3332" i="50" s="1"/>
  <c r="X1907" i="50"/>
  <c r="X1908" i="50" s="1"/>
  <c r="X2618" i="50"/>
  <c r="X3332" i="50" s="1"/>
  <c r="N1760" i="50"/>
  <c r="N1761" i="50" s="1"/>
  <c r="N2471" i="50"/>
  <c r="N3185" i="50" s="1"/>
  <c r="N3190" i="50" s="1"/>
  <c r="P1739" i="50"/>
  <c r="P1740" i="50" s="1"/>
  <c r="P2451" i="50"/>
  <c r="P3165" i="50" s="1"/>
  <c r="AL1903" i="50"/>
  <c r="AM1903" i="50" s="1"/>
  <c r="L6" i="32"/>
  <c r="L15" i="32"/>
  <c r="N18" i="32" s="1"/>
  <c r="P10" i="32"/>
  <c r="AS10" i="32"/>
  <c r="L5" i="32"/>
  <c r="V2117" i="50"/>
  <c r="V2118" i="50" s="1"/>
  <c r="V2829" i="50"/>
  <c r="V3543" i="50" s="1"/>
  <c r="V3547" i="50" s="1"/>
  <c r="V1480" i="50"/>
  <c r="V1481" i="50" s="1"/>
  <c r="V2191" i="50"/>
  <c r="V2905" i="50" s="1"/>
  <c r="V2910" i="50" s="1"/>
  <c r="P2927" i="50"/>
  <c r="L2488" i="50"/>
  <c r="L3202" i="50" s="1"/>
  <c r="L3204" i="50" s="1"/>
  <c r="H2488" i="50"/>
  <c r="H3202" i="50" s="1"/>
  <c r="H3204" i="50" s="1"/>
  <c r="AD2285" i="50"/>
  <c r="T3034" i="50"/>
  <c r="AF3034" i="50" s="1"/>
  <c r="AF2320" i="50"/>
  <c r="T3240" i="50"/>
  <c r="V1648" i="50"/>
  <c r="V1649" i="50" s="1"/>
  <c r="V2359" i="50"/>
  <c r="V3073" i="50" s="1"/>
  <c r="V3078" i="50" s="1"/>
  <c r="H1914" i="50"/>
  <c r="H1915" i="50" s="1"/>
  <c r="H2624" i="50"/>
  <c r="H3338" i="50" s="1"/>
  <c r="H3344" i="50" s="1"/>
  <c r="N1914" i="50"/>
  <c r="N1915" i="50" s="1"/>
  <c r="N2624" i="50"/>
  <c r="N3338" i="50" s="1"/>
  <c r="N3344" i="50" s="1"/>
  <c r="Z1830" i="50"/>
  <c r="Z1831" i="50" s="1"/>
  <c r="Z2541" i="50"/>
  <c r="Z3255" i="50" s="1"/>
  <c r="AL1923" i="50"/>
  <c r="AM1923" i="50" s="1"/>
  <c r="P1543" i="50"/>
  <c r="P1544" i="50" s="1"/>
  <c r="V2404" i="50"/>
  <c r="V3118" i="50" s="1"/>
  <c r="V3120" i="50" s="1"/>
  <c r="X2404" i="50"/>
  <c r="X3118" i="50" s="1"/>
  <c r="X3120" i="50" s="1"/>
  <c r="P1837" i="50"/>
  <c r="R3195" i="50"/>
  <c r="V1879" i="50"/>
  <c r="V1880" i="50" s="1"/>
  <c r="V2592" i="50"/>
  <c r="V3306" i="50" s="1"/>
  <c r="V3309" i="50" s="1"/>
  <c r="V2282" i="50"/>
  <c r="V2996" i="50" s="1"/>
  <c r="V1571" i="50"/>
  <c r="V1572" i="50" s="1"/>
  <c r="T1571" i="50"/>
  <c r="AL1567" i="50"/>
  <c r="AM1567" i="50" s="1"/>
  <c r="T2282" i="50"/>
  <c r="T2996" i="50" s="1"/>
  <c r="J1599" i="50"/>
  <c r="J1600" i="50" s="1"/>
  <c r="J2309" i="50"/>
  <c r="J3023" i="50" s="1"/>
  <c r="J3029" i="50" s="1"/>
  <c r="P1599" i="50"/>
  <c r="P1600" i="50" s="1"/>
  <c r="P2309" i="50"/>
  <c r="P3023" i="50" s="1"/>
  <c r="P3029" i="50" s="1"/>
  <c r="L2927" i="50"/>
  <c r="AF1208" i="50"/>
  <c r="H1837" i="50"/>
  <c r="H1838" i="50" s="1"/>
  <c r="H2548" i="50"/>
  <c r="H3262" i="50" s="1"/>
  <c r="N1837" i="50"/>
  <c r="N1838" i="50" s="1"/>
  <c r="N2548" i="50"/>
  <c r="N3262" i="50" s="1"/>
  <c r="N3267" i="50" s="1"/>
  <c r="V2638" i="50"/>
  <c r="V3352" i="50" s="1"/>
  <c r="V3358" i="50" s="1"/>
  <c r="V1928" i="50"/>
  <c r="Z1929" i="50" s="1"/>
  <c r="X1564" i="50"/>
  <c r="X1565" i="50" s="1"/>
  <c r="X2274" i="50"/>
  <c r="X2988" i="50" s="1"/>
  <c r="X2994" i="50" s="1"/>
  <c r="X1578" i="50"/>
  <c r="X1579" i="50" s="1"/>
  <c r="X2290" i="50"/>
  <c r="X3004" i="50" s="1"/>
  <c r="X3008" i="50" s="1"/>
  <c r="Z1578" i="50"/>
  <c r="Z1579" i="50" s="1"/>
  <c r="Z2290" i="50"/>
  <c r="Z3004" i="50" s="1"/>
  <c r="Z2432" i="50"/>
  <c r="Z3146" i="50" s="1"/>
  <c r="P2351" i="50"/>
  <c r="P3065" i="50" s="1"/>
  <c r="P1641" i="50"/>
  <c r="P1642" i="50" s="1"/>
  <c r="AL1937" i="50"/>
  <c r="AM1937" i="50" s="1"/>
  <c r="T2652" i="50"/>
  <c r="V1816" i="50"/>
  <c r="V1817" i="50" s="1"/>
  <c r="T3132" i="50"/>
  <c r="AF3132" i="50" s="1"/>
  <c r="H1907" i="50"/>
  <c r="H1908" i="50" s="1"/>
  <c r="J1928" i="50"/>
  <c r="N1929" i="50" s="1"/>
  <c r="AB2761" i="50"/>
  <c r="AB3475" i="50" s="1"/>
  <c r="AB3477" i="50" s="1"/>
  <c r="T1802" i="50"/>
  <c r="X1803" i="50" s="1"/>
  <c r="T2514" i="50"/>
  <c r="AM1577" i="50"/>
  <c r="P1893" i="50"/>
  <c r="P1894" i="50" s="1"/>
  <c r="R1348" i="50"/>
  <c r="P1928" i="50"/>
  <c r="V1929" i="50" s="1"/>
  <c r="P2640" i="50"/>
  <c r="P3354" i="50" s="1"/>
  <c r="P3358" i="50" s="1"/>
  <c r="N1928" i="50"/>
  <c r="T1929" i="50" s="1"/>
  <c r="N2640" i="50"/>
  <c r="N3354" i="50" s="1"/>
  <c r="H2110" i="50"/>
  <c r="N2111" i="50" s="1"/>
  <c r="H2823" i="50"/>
  <c r="H3537" i="50" s="1"/>
  <c r="H3540" i="50" s="1"/>
  <c r="P2110" i="50"/>
  <c r="X2111" i="50" s="1"/>
  <c r="P2823" i="50"/>
  <c r="P3537" i="50" s="1"/>
  <c r="P3540" i="50" s="1"/>
  <c r="N2255" i="50"/>
  <c r="N2969" i="50" s="1"/>
  <c r="N2973" i="50" s="1"/>
  <c r="T2835" i="50"/>
  <c r="T2124" i="50"/>
  <c r="N2019" i="50"/>
  <c r="N2020" i="50" s="1"/>
  <c r="N2732" i="50"/>
  <c r="N3446" i="50" s="1"/>
  <c r="N3449" i="50" s="1"/>
  <c r="AB2061" i="50"/>
  <c r="AB2062" i="50" s="1"/>
  <c r="AB2772" i="50"/>
  <c r="AB3486" i="50" s="1"/>
  <c r="AB3491" i="50" s="1"/>
  <c r="T2061" i="50"/>
  <c r="T2772" i="50"/>
  <c r="Z2431" i="50"/>
  <c r="Z3145" i="50" s="1"/>
  <c r="Z1718" i="50"/>
  <c r="AD1719" i="50" s="1"/>
  <c r="F3533" i="50"/>
  <c r="P2075" i="50"/>
  <c r="P2076" i="50" s="1"/>
  <c r="L2147" i="50"/>
  <c r="AH759" i="50"/>
  <c r="AF1127" i="50"/>
  <c r="AH1149" i="50"/>
  <c r="AH1247" i="50"/>
  <c r="AH1352" i="50"/>
  <c r="AH1184" i="50"/>
  <c r="L4" i="72"/>
  <c r="AH989" i="50"/>
  <c r="AF3457" i="50"/>
  <c r="AD3428" i="50"/>
  <c r="AF3363" i="50"/>
  <c r="AH3363" i="50" s="1"/>
  <c r="V1746" i="50"/>
  <c r="V1747" i="50" s="1"/>
  <c r="P676" i="50"/>
  <c r="AL1812" i="50"/>
  <c r="AM1812" i="50" s="1"/>
  <c r="AA9" i="72"/>
  <c r="M9" i="72"/>
  <c r="Y9" i="72"/>
  <c r="I9" i="72"/>
  <c r="K9" i="72"/>
  <c r="AL430" i="50"/>
  <c r="AM430" i="50" s="1"/>
  <c r="Z2151" i="50"/>
  <c r="AH3478" i="50"/>
  <c r="X3526" i="50"/>
  <c r="P2148" i="50"/>
  <c r="J2075" i="50"/>
  <c r="J2076" i="50" s="1"/>
  <c r="H473" i="50"/>
  <c r="T613" i="50"/>
  <c r="AH1297" i="50"/>
  <c r="L312" i="50"/>
  <c r="AH2681" i="50"/>
  <c r="AB3521" i="50"/>
  <c r="AF3521" i="50" s="1"/>
  <c r="AH3521" i="50" s="1"/>
  <c r="R2827" i="50"/>
  <c r="S2832" i="50" s="1"/>
  <c r="S2833" i="50" s="1"/>
  <c r="AH2795" i="50"/>
  <c r="AH2283" i="50"/>
  <c r="AH3207" i="50"/>
  <c r="V3172" i="50"/>
  <c r="AH3459" i="50"/>
  <c r="R2876" i="50"/>
  <c r="R2787" i="50"/>
  <c r="AF2598" i="50"/>
  <c r="AH2598" i="50" s="1"/>
  <c r="Z3449" i="50"/>
  <c r="R3513" i="50"/>
  <c r="AH3025" i="50"/>
  <c r="Z1613" i="50"/>
  <c r="Z1614" i="50" s="1"/>
  <c r="Z2323" i="50"/>
  <c r="Z3037" i="50" s="1"/>
  <c r="Z3043" i="50" s="1"/>
  <c r="AB1613" i="50"/>
  <c r="AB1614" i="50" s="1"/>
  <c r="AB2323" i="50"/>
  <c r="AB3037" i="50" s="1"/>
  <c r="AB3043" i="50" s="1"/>
  <c r="P2281" i="50"/>
  <c r="P2995" i="50" s="1"/>
  <c r="P3001" i="50" s="1"/>
  <c r="P1571" i="50"/>
  <c r="P1572" i="50" s="1"/>
  <c r="H2281" i="50"/>
  <c r="H2995" i="50" s="1"/>
  <c r="H3001" i="50" s="1"/>
  <c r="H1571" i="50"/>
  <c r="H1572" i="50" s="1"/>
  <c r="AD1718" i="50"/>
  <c r="AM1588" i="50"/>
  <c r="P2082" i="50"/>
  <c r="P2083" i="50" s="1"/>
  <c r="P2794" i="50"/>
  <c r="P3508" i="50" s="1"/>
  <c r="P3512" i="50" s="1"/>
  <c r="N2082" i="50"/>
  <c r="N2083" i="50" s="1"/>
  <c r="N2794" i="50"/>
  <c r="N3508" i="50" s="1"/>
  <c r="N3512" i="50" s="1"/>
  <c r="Z2481" i="50"/>
  <c r="Z3195" i="50" s="1"/>
  <c r="Z3197" i="50" s="1"/>
  <c r="Z1767" i="50"/>
  <c r="AD2481" i="50"/>
  <c r="AD3195" i="50" s="1"/>
  <c r="AD3197" i="50" s="1"/>
  <c r="AD1767" i="50"/>
  <c r="AD1768" i="50" s="1"/>
  <c r="T2103" i="50"/>
  <c r="X2104" i="50" s="1"/>
  <c r="T2813" i="50"/>
  <c r="Z2103" i="50"/>
  <c r="AD2104" i="50" s="1"/>
  <c r="Z2813" i="50"/>
  <c r="Z3527" i="50" s="1"/>
  <c r="Z3533" i="50" s="1"/>
  <c r="P2012" i="50"/>
  <c r="P2013" i="50" s="1"/>
  <c r="P2725" i="50"/>
  <c r="P3439" i="50" s="1"/>
  <c r="P3442" i="50" s="1"/>
  <c r="L2012" i="50"/>
  <c r="L2013" i="50" s="1"/>
  <c r="L2725" i="50"/>
  <c r="L3439" i="50" s="1"/>
  <c r="L3442" i="50" s="1"/>
  <c r="F3216" i="50"/>
  <c r="R3216" i="50" s="1"/>
  <c r="AH3216" i="50" s="1"/>
  <c r="R2502" i="50"/>
  <c r="AH2502" i="50" s="1"/>
  <c r="V1900" i="50"/>
  <c r="V1901" i="50" s="1"/>
  <c r="V2611" i="50"/>
  <c r="V3325" i="50" s="1"/>
  <c r="V3330" i="50" s="1"/>
  <c r="AM1777" i="50"/>
  <c r="P1795" i="50"/>
  <c r="P1796" i="50" s="1"/>
  <c r="P2507" i="50"/>
  <c r="P3221" i="50" s="1"/>
  <c r="P3225" i="50" s="1"/>
  <c r="H1585" i="50"/>
  <c r="H1586" i="50" s="1"/>
  <c r="H2297" i="50"/>
  <c r="H3011" i="50" s="1"/>
  <c r="H3015" i="50" s="1"/>
  <c r="AF2698" i="50"/>
  <c r="J1893" i="50"/>
  <c r="J1894" i="50" s="1"/>
  <c r="L1768" i="50"/>
  <c r="L3391" i="50"/>
  <c r="R3391" i="50" s="1"/>
  <c r="AH3391" i="50" s="1"/>
  <c r="X1627" i="50"/>
  <c r="X1628" i="50" s="1"/>
  <c r="X2339" i="50"/>
  <c r="X3053" i="50" s="1"/>
  <c r="X3057" i="50" s="1"/>
  <c r="P19" i="32"/>
  <c r="L20" i="32"/>
  <c r="L22" i="32"/>
  <c r="N19" i="32"/>
  <c r="AS19" i="32"/>
  <c r="AD1459" i="50"/>
  <c r="AD2171" i="50"/>
  <c r="AD2885" i="50" s="1"/>
  <c r="AD2889" i="50" s="1"/>
  <c r="AL1540" i="50"/>
  <c r="AM1540" i="50" s="1"/>
  <c r="F1543" i="50"/>
  <c r="F2255" i="50"/>
  <c r="J1543" i="50"/>
  <c r="J1544" i="50" s="1"/>
  <c r="J2255" i="50"/>
  <c r="J2969" i="50" s="1"/>
  <c r="J1823" i="50"/>
  <c r="J1824" i="50" s="1"/>
  <c r="J2533" i="50"/>
  <c r="J3247" i="50" s="1"/>
  <c r="J3253" i="50" s="1"/>
  <c r="AL1818" i="50"/>
  <c r="AM1818" i="50" s="1"/>
  <c r="F1823" i="50"/>
  <c r="F2533" i="50"/>
  <c r="AL1576" i="50"/>
  <c r="AM1576" i="50" s="1"/>
  <c r="F1578" i="50"/>
  <c r="F2291" i="50"/>
  <c r="P1578" i="50"/>
  <c r="P1579" i="50" s="1"/>
  <c r="P2291" i="50"/>
  <c r="P3005" i="50" s="1"/>
  <c r="P3008" i="50" s="1"/>
  <c r="V2572" i="50"/>
  <c r="V3286" i="50" s="1"/>
  <c r="V3288" i="50" s="1"/>
  <c r="V1858" i="50"/>
  <c r="Z1859" i="50" s="1"/>
  <c r="AL1820" i="50"/>
  <c r="AM1820" i="50" s="1"/>
  <c r="AM1685" i="50"/>
  <c r="T1278" i="50"/>
  <c r="AF1278" i="50" s="1"/>
  <c r="AF1173" i="50"/>
  <c r="AF2558" i="50"/>
  <c r="AH2558" i="50" s="1"/>
  <c r="V3272" i="50"/>
  <c r="F1508" i="50"/>
  <c r="AL1505" i="50"/>
  <c r="AM1505" i="50" s="1"/>
  <c r="F2220" i="50"/>
  <c r="F2934" i="50" s="1"/>
  <c r="P2220" i="50"/>
  <c r="P2934" i="50" s="1"/>
  <c r="P2938" i="50" s="1"/>
  <c r="P1508" i="50"/>
  <c r="P1509" i="50" s="1"/>
  <c r="AL1905" i="50"/>
  <c r="AM1905" i="50" s="1"/>
  <c r="F2620" i="50"/>
  <c r="AL1743" i="50"/>
  <c r="AM1743" i="50" s="1"/>
  <c r="T2458" i="50"/>
  <c r="N1606" i="50"/>
  <c r="N1607" i="50" s="1"/>
  <c r="N2320" i="50"/>
  <c r="N3034" i="50" s="1"/>
  <c r="N3036" i="50" s="1"/>
  <c r="F2320" i="50"/>
  <c r="F3034" i="50" s="1"/>
  <c r="F1606" i="50"/>
  <c r="AL1605" i="50"/>
  <c r="AM1605" i="50" s="1"/>
  <c r="T1655" i="50"/>
  <c r="AL1651" i="50"/>
  <c r="AM1651" i="50" s="1"/>
  <c r="T2366" i="50"/>
  <c r="AD1655" i="50"/>
  <c r="AD1656" i="50" s="1"/>
  <c r="AD2366" i="50"/>
  <c r="AD3080" i="50" s="1"/>
  <c r="AD3085" i="50" s="1"/>
  <c r="X1816" i="50"/>
  <c r="X1817" i="50" s="1"/>
  <c r="X2527" i="50"/>
  <c r="AB1816" i="50"/>
  <c r="V1627" i="50"/>
  <c r="V1628" i="50" s="1"/>
  <c r="F3209" i="50"/>
  <c r="F3211" i="50" s="1"/>
  <c r="P2593" i="50"/>
  <c r="P3307" i="50" s="1"/>
  <c r="J2593" i="50"/>
  <c r="J3307" i="50" s="1"/>
  <c r="AD2026" i="50"/>
  <c r="AD2027" i="50" s="1"/>
  <c r="AD2738" i="50"/>
  <c r="AD3452" i="50" s="1"/>
  <c r="L1732" i="50"/>
  <c r="L1733" i="50" s="1"/>
  <c r="L2444" i="50"/>
  <c r="L3158" i="50" s="1"/>
  <c r="L3162" i="50" s="1"/>
  <c r="R2341" i="50"/>
  <c r="AH2341" i="50" s="1"/>
  <c r="J3055" i="50"/>
  <c r="H1634" i="50"/>
  <c r="H1635" i="50" s="1"/>
  <c r="H2347" i="50"/>
  <c r="H3061" i="50" s="1"/>
  <c r="H3064" i="50" s="1"/>
  <c r="AL1897" i="50"/>
  <c r="AM1897" i="50" s="1"/>
  <c r="F2612" i="50"/>
  <c r="AM1675" i="50"/>
  <c r="AS1677" i="50"/>
  <c r="R1418" i="50"/>
  <c r="S1419" i="50" s="1"/>
  <c r="S1420" i="50" s="1"/>
  <c r="N1879" i="50"/>
  <c r="N1880" i="50" s="1"/>
  <c r="N2592" i="50"/>
  <c r="N3306" i="50" s="1"/>
  <c r="N3309" i="50" s="1"/>
  <c r="J1900" i="50"/>
  <c r="J1901" i="50" s="1"/>
  <c r="J2610" i="50"/>
  <c r="J3324" i="50" s="1"/>
  <c r="J3330" i="50" s="1"/>
  <c r="AB1907" i="50"/>
  <c r="AB1908" i="50" s="1"/>
  <c r="AB2618" i="50"/>
  <c r="AB3332" i="50" s="1"/>
  <c r="T1907" i="50"/>
  <c r="T1908" i="50" s="1"/>
  <c r="T2618" i="50"/>
  <c r="J1760" i="50"/>
  <c r="J1761" i="50" s="1"/>
  <c r="J2471" i="50"/>
  <c r="J3185" i="50" s="1"/>
  <c r="J3190" i="50" s="1"/>
  <c r="L1760" i="50"/>
  <c r="L1761" i="50" s="1"/>
  <c r="L2471" i="50"/>
  <c r="L3185" i="50" s="1"/>
  <c r="L3190" i="50" s="1"/>
  <c r="N1739" i="50"/>
  <c r="N1740" i="50" s="1"/>
  <c r="N2451" i="50"/>
  <c r="N3165" i="50" s="1"/>
  <c r="N3169" i="50" s="1"/>
  <c r="T2117" i="50"/>
  <c r="T2829" i="50"/>
  <c r="AB2117" i="50"/>
  <c r="AB2118" i="50" s="1"/>
  <c r="AB2829" i="50"/>
  <c r="AB3543" i="50" s="1"/>
  <c r="AB3547" i="50" s="1"/>
  <c r="Z1480" i="50"/>
  <c r="Z1481" i="50" s="1"/>
  <c r="Z2191" i="50"/>
  <c r="Z2905" i="50" s="1"/>
  <c r="Z2910" i="50" s="1"/>
  <c r="T3426" i="50"/>
  <c r="AF2712" i="50"/>
  <c r="AG2713" i="50" s="1"/>
  <c r="AG2714" i="50" s="1"/>
  <c r="T2934" i="50"/>
  <c r="AF2934" i="50" s="1"/>
  <c r="AF2220" i="50"/>
  <c r="T2285" i="50"/>
  <c r="T2999" i="50" s="1"/>
  <c r="AL1570" i="50"/>
  <c r="AM1570" i="50" s="1"/>
  <c r="V2285" i="50"/>
  <c r="V2999" i="50" s="1"/>
  <c r="H2859" i="50"/>
  <c r="H3573" i="50" s="1"/>
  <c r="H3575" i="50" s="1"/>
  <c r="J2859" i="50"/>
  <c r="J3573" i="50" s="1"/>
  <c r="J3575" i="50" s="1"/>
  <c r="J2935" i="50"/>
  <c r="T3166" i="50"/>
  <c r="T3169" i="50" s="1"/>
  <c r="AF2452" i="50"/>
  <c r="X1746" i="50"/>
  <c r="X1747" i="50" s="1"/>
  <c r="T1816" i="50"/>
  <c r="AM1679" i="50"/>
  <c r="X1648" i="50"/>
  <c r="X1649" i="50" s="1"/>
  <c r="X2359" i="50"/>
  <c r="X3073" i="50" s="1"/>
  <c r="X3078" i="50" s="1"/>
  <c r="J1914" i="50"/>
  <c r="J1915" i="50" s="1"/>
  <c r="J2624" i="50"/>
  <c r="J3338" i="50" s="1"/>
  <c r="J3344" i="50" s="1"/>
  <c r="L1914" i="50"/>
  <c r="L1915" i="50" s="1"/>
  <c r="L2624" i="50"/>
  <c r="L3338" i="50" s="1"/>
  <c r="L3344" i="50" s="1"/>
  <c r="T3097" i="50"/>
  <c r="AF2383" i="50"/>
  <c r="AG2384" i="50" s="1"/>
  <c r="AG2385" i="50" s="1"/>
  <c r="AD1830" i="50"/>
  <c r="AD1831" i="50" s="1"/>
  <c r="AD2541" i="50"/>
  <c r="AD3255" i="50" s="1"/>
  <c r="AD3260" i="50" s="1"/>
  <c r="V1830" i="50"/>
  <c r="V1831" i="50" s="1"/>
  <c r="V2541" i="50"/>
  <c r="V3255" i="50" s="1"/>
  <c r="V3260" i="50" s="1"/>
  <c r="AB2404" i="50"/>
  <c r="AB3118" i="50" s="1"/>
  <c r="AB3120" i="50" s="1"/>
  <c r="AM1486" i="50"/>
  <c r="AS1488" i="50"/>
  <c r="X1879" i="50"/>
  <c r="X1880" i="50" s="1"/>
  <c r="X2592" i="50"/>
  <c r="X3306" i="50" s="1"/>
  <c r="X3309" i="50" s="1"/>
  <c r="AF1397" i="50"/>
  <c r="X1571" i="50"/>
  <c r="X1572" i="50" s="1"/>
  <c r="X2282" i="50"/>
  <c r="X2996" i="50" s="1"/>
  <c r="X3001" i="50" s="1"/>
  <c r="R2383" i="50"/>
  <c r="AL1833" i="50"/>
  <c r="AM1833" i="50" s="1"/>
  <c r="F1837" i="50"/>
  <c r="F2548" i="50"/>
  <c r="X2638" i="50"/>
  <c r="X3352" i="50" s="1"/>
  <c r="N2281" i="50"/>
  <c r="N2995" i="50" s="1"/>
  <c r="N3001" i="50" s="1"/>
  <c r="AD1564" i="50"/>
  <c r="AD1565" i="50" s="1"/>
  <c r="AD2274" i="50"/>
  <c r="AD2988" i="50" s="1"/>
  <c r="AD2994" i="50" s="1"/>
  <c r="AB1564" i="50"/>
  <c r="AB1565" i="50" s="1"/>
  <c r="AB2274" i="50"/>
  <c r="AB2988" i="50" s="1"/>
  <c r="AB2994" i="50" s="1"/>
  <c r="AM1666" i="50"/>
  <c r="V1732" i="50"/>
  <c r="V1733" i="50" s="1"/>
  <c r="AB1578" i="50"/>
  <c r="AB1579" i="50" s="1"/>
  <c r="AB2290" i="50"/>
  <c r="AB3004" i="50" s="1"/>
  <c r="AB3008" i="50" s="1"/>
  <c r="AD2432" i="50"/>
  <c r="AD3146" i="50" s="1"/>
  <c r="AD3148" i="50" s="1"/>
  <c r="T2432" i="50"/>
  <c r="AL1717" i="50"/>
  <c r="AM1717" i="50" s="1"/>
  <c r="N2351" i="50"/>
  <c r="N3065" i="50" s="1"/>
  <c r="N3071" i="50" s="1"/>
  <c r="N1641" i="50"/>
  <c r="N1642" i="50" s="1"/>
  <c r="L2351" i="50"/>
  <c r="L3065" i="50" s="1"/>
  <c r="L3071" i="50" s="1"/>
  <c r="L1641" i="50"/>
  <c r="L1642" i="50" s="1"/>
  <c r="H2725" i="50"/>
  <c r="H3439" i="50" s="1"/>
  <c r="H3442" i="50" s="1"/>
  <c r="AM1602" i="50"/>
  <c r="P2698" i="50"/>
  <c r="P3412" i="50" s="1"/>
  <c r="P3414" i="50" s="1"/>
  <c r="P1984" i="50"/>
  <c r="P1985" i="50" s="1"/>
  <c r="F2698" i="50"/>
  <c r="F3412" i="50" s="1"/>
  <c r="R2817" i="50"/>
  <c r="X1683" i="50"/>
  <c r="X1684" i="50" s="1"/>
  <c r="AB1802" i="50"/>
  <c r="AB2514" i="50"/>
  <c r="AB3228" i="50" s="1"/>
  <c r="AB3232" i="50" s="1"/>
  <c r="Z3006" i="50"/>
  <c r="AF3006" i="50" s="1"/>
  <c r="AH3006" i="50" s="1"/>
  <c r="H1984" i="50"/>
  <c r="H1985" i="50" s="1"/>
  <c r="J2110" i="50"/>
  <c r="P2111" i="50" s="1"/>
  <c r="J2823" i="50"/>
  <c r="J3537" i="50" s="1"/>
  <c r="J3540" i="50" s="1"/>
  <c r="V2835" i="50"/>
  <c r="V3549" i="50" s="1"/>
  <c r="V3554" i="50" s="1"/>
  <c r="V2124" i="50"/>
  <c r="V2125" i="50" s="1"/>
  <c r="AD2835" i="50"/>
  <c r="AD3549" i="50" s="1"/>
  <c r="AD3554" i="50" s="1"/>
  <c r="AD2124" i="50"/>
  <c r="AD2125" i="50" s="1"/>
  <c r="F2019" i="50"/>
  <c r="F2020" i="50" s="1"/>
  <c r="F2732" i="50"/>
  <c r="P2732" i="50"/>
  <c r="P3446" i="50" s="1"/>
  <c r="P3449" i="50" s="1"/>
  <c r="P2019" i="50"/>
  <c r="P2020" i="50" s="1"/>
  <c r="Z2061" i="50"/>
  <c r="Z2062" i="50" s="1"/>
  <c r="Z2772" i="50"/>
  <c r="Z3486" i="50" s="1"/>
  <c r="Z3491" i="50" s="1"/>
  <c r="T3145" i="50"/>
  <c r="H2927" i="50"/>
  <c r="AF2571" i="50"/>
  <c r="AH2571" i="50" s="1"/>
  <c r="AH1009" i="50"/>
  <c r="F3526" i="50"/>
  <c r="L3407" i="50"/>
  <c r="AH2848" i="50"/>
  <c r="AH2816" i="50"/>
  <c r="S2650" i="50"/>
  <c r="S2651" i="50" s="1"/>
  <c r="R3348" i="50"/>
  <c r="AH3348" i="50" s="1"/>
  <c r="AH2689" i="50"/>
  <c r="F3228" i="50"/>
  <c r="R3228" i="50" s="1"/>
  <c r="X2935" i="50"/>
  <c r="X2938" i="50" s="1"/>
  <c r="R1218" i="50"/>
  <c r="R1099" i="50"/>
  <c r="AH731" i="50"/>
  <c r="AH2960" i="50"/>
  <c r="AH2260" i="50"/>
  <c r="N3400" i="50"/>
  <c r="AF3159" i="50"/>
  <c r="AH3159" i="50" s="1"/>
  <c r="AH3374" i="50"/>
  <c r="R3319" i="50"/>
  <c r="AH3319" i="50" s="1"/>
  <c r="AH2752" i="50"/>
  <c r="R3194" i="50"/>
  <c r="AH3194" i="50" s="1"/>
  <c r="AH3257" i="50"/>
  <c r="AH2235" i="50"/>
  <c r="AB3155" i="50"/>
  <c r="Z3081" i="50"/>
  <c r="Z3085" i="50" s="1"/>
  <c r="AH2639" i="50"/>
  <c r="AH3516" i="50"/>
  <c r="L2945" i="50"/>
  <c r="AH3192" i="50"/>
  <c r="AH2984" i="50"/>
  <c r="AH2962" i="50"/>
  <c r="AH2744" i="50"/>
  <c r="AH3542" i="50"/>
  <c r="AH1262" i="50"/>
  <c r="AH2205" i="50"/>
  <c r="AH2757" i="50"/>
  <c r="AH2298" i="50"/>
  <c r="AF3114" i="50"/>
  <c r="AH925" i="50"/>
  <c r="AH939" i="50"/>
  <c r="F3561" i="50"/>
  <c r="AH2521" i="50"/>
  <c r="AH2554" i="50"/>
  <c r="S2692" i="50"/>
  <c r="S2693" i="50" s="1"/>
  <c r="AH2324" i="50"/>
  <c r="AH2346" i="50"/>
  <c r="AH2603" i="50"/>
  <c r="R3422" i="50"/>
  <c r="F3239" i="50"/>
  <c r="AH2401" i="50"/>
  <c r="AH3425" i="50"/>
  <c r="AH2542" i="50"/>
  <c r="AH3509" i="50"/>
  <c r="R3383" i="50"/>
  <c r="AH3383" i="50" s="1"/>
  <c r="T3575" i="50"/>
  <c r="AH1065" i="50"/>
  <c r="R826" i="50"/>
  <c r="R1169" i="50"/>
  <c r="AH1366" i="50"/>
  <c r="AF1365" i="50"/>
  <c r="AG1370" i="50" s="1"/>
  <c r="AG1371" i="50" s="1"/>
  <c r="R3135" i="50"/>
  <c r="AH1080" i="50"/>
  <c r="R1225" i="50"/>
  <c r="AH883" i="50"/>
  <c r="R854" i="50"/>
  <c r="AH1185" i="50"/>
  <c r="AH773" i="50"/>
  <c r="AH3137" i="50"/>
  <c r="F756" i="50"/>
  <c r="AD3467" i="50"/>
  <c r="S2636" i="50"/>
  <c r="S2637" i="50" s="1"/>
  <c r="AH974" i="50"/>
  <c r="AH3375" i="50"/>
  <c r="R2911" i="50"/>
  <c r="AH2911" i="50" s="1"/>
  <c r="AH2177" i="50"/>
  <c r="AH3094" i="50"/>
  <c r="AH2248" i="50"/>
  <c r="T3141" i="50"/>
  <c r="F2952" i="50"/>
  <c r="R2946" i="50"/>
  <c r="R3556" i="50"/>
  <c r="AH3556" i="50" s="1"/>
  <c r="P756" i="50"/>
  <c r="AH1094" i="50"/>
  <c r="J1422" i="50"/>
  <c r="J1436" i="50" s="1"/>
  <c r="AF1190" i="50"/>
  <c r="AF1155" i="50"/>
  <c r="AF1204" i="50"/>
  <c r="R924" i="50"/>
  <c r="AF1337" i="50"/>
  <c r="AF1169" i="50"/>
  <c r="AF1183" i="50"/>
  <c r="AH800" i="50"/>
  <c r="AF3445" i="50"/>
  <c r="AH3445" i="50" s="1"/>
  <c r="R2899" i="50"/>
  <c r="AH843" i="50"/>
  <c r="AH1107" i="50"/>
  <c r="T3537" i="50"/>
  <c r="AF3537" i="50" s="1"/>
  <c r="L735" i="50"/>
  <c r="H3099" i="50"/>
  <c r="L756" i="50"/>
  <c r="AF864" i="50"/>
  <c r="AH864" i="50" s="1"/>
  <c r="AH1214" i="50"/>
  <c r="AH890" i="50"/>
  <c r="AH1198" i="50"/>
  <c r="K118" i="49" a="1"/>
  <c r="K118" i="49" s="1"/>
  <c r="F3365" i="50"/>
  <c r="H756" i="50"/>
  <c r="R3572" i="50"/>
  <c r="AH2736" i="50"/>
  <c r="AH2998" i="50"/>
  <c r="AH3271" i="50"/>
  <c r="F3568" i="50"/>
  <c r="AH3499" i="50"/>
  <c r="AF3184" i="50"/>
  <c r="AH3184" i="50" s="1"/>
  <c r="AF3408" i="50"/>
  <c r="AH3408" i="50" s="1"/>
  <c r="AH2842" i="50"/>
  <c r="AH2240" i="50"/>
  <c r="AH2766" i="50"/>
  <c r="AH3522" i="50"/>
  <c r="H2952" i="50"/>
  <c r="R2949" i="50"/>
  <c r="AH2949" i="50" s="1"/>
  <c r="V3204" i="50"/>
  <c r="V3386" i="50"/>
  <c r="S3364" i="50"/>
  <c r="S3365" i="50" s="1"/>
  <c r="AF1239" i="50"/>
  <c r="AF1281" i="50"/>
  <c r="AH745" i="50"/>
  <c r="AH1219" i="50"/>
  <c r="AH1073" i="50"/>
  <c r="AH730" i="50"/>
  <c r="F735" i="50"/>
  <c r="AF868" i="50"/>
  <c r="AH785" i="50"/>
  <c r="AH967" i="50"/>
  <c r="H735" i="50"/>
  <c r="AH3220" i="50"/>
  <c r="AH1409" i="50"/>
  <c r="AH2666" i="50"/>
  <c r="AH2491" i="50"/>
  <c r="AH2345" i="50"/>
  <c r="AH2669" i="50"/>
  <c r="AF3528" i="50"/>
  <c r="AF3450" i="50"/>
  <c r="AH2379" i="50"/>
  <c r="AH2570" i="50"/>
  <c r="R3016" i="50"/>
  <c r="AH3016" i="50" s="1"/>
  <c r="AH2492" i="50"/>
  <c r="AH2702" i="50"/>
  <c r="D9" i="72"/>
  <c r="F9" i="72"/>
  <c r="L3" i="72"/>
  <c r="N5" i="72"/>
  <c r="H5" i="72"/>
  <c r="N11" i="72"/>
  <c r="J11" i="72"/>
  <c r="AH1489" i="50"/>
  <c r="AF2147" i="50"/>
  <c r="AG2147" i="50" s="1"/>
  <c r="AD1489" i="50"/>
  <c r="V1489" i="50"/>
  <c r="T1489" i="50"/>
  <c r="AB1489" i="50"/>
  <c r="Z1489" i="50"/>
  <c r="X1489" i="50"/>
  <c r="AH739" i="50"/>
  <c r="AH732" i="50"/>
  <c r="AH990" i="50"/>
  <c r="AF821" i="50"/>
  <c r="AH821" i="50" s="1"/>
  <c r="AF913" i="50"/>
  <c r="AH913" i="50" s="1"/>
  <c r="AF1059" i="50"/>
  <c r="AH1059" i="50" s="1"/>
  <c r="AF1095" i="50"/>
  <c r="AH1233" i="50"/>
  <c r="R3121" i="50"/>
  <c r="AH3121" i="50" s="1"/>
  <c r="R3453" i="50"/>
  <c r="F3456" i="50"/>
  <c r="AH2284" i="50"/>
  <c r="T3274" i="50"/>
  <c r="AF3268" i="50"/>
  <c r="AH2438" i="50"/>
  <c r="AH2855" i="50"/>
  <c r="AH2407" i="50"/>
  <c r="R3346" i="50"/>
  <c r="F3351" i="50"/>
  <c r="AF2941" i="50"/>
  <c r="T2945" i="50"/>
  <c r="R3367" i="50"/>
  <c r="AH2785" i="50"/>
  <c r="AF3045" i="50"/>
  <c r="R2976" i="50"/>
  <c r="AH2858" i="50"/>
  <c r="AH2547" i="50"/>
  <c r="AF2976" i="50"/>
  <c r="V2980" i="50"/>
  <c r="AH2722" i="50"/>
  <c r="AH2563" i="50"/>
  <c r="AH2344" i="50"/>
  <c r="R3205" i="50"/>
  <c r="AH3205" i="50" s="1"/>
  <c r="AR20" i="49"/>
  <c r="AR16" i="49"/>
  <c r="AR25" i="49"/>
  <c r="AR82" i="49"/>
  <c r="AR62" i="49"/>
  <c r="AR217" i="49"/>
  <c r="AR166" i="49"/>
  <c r="AR95" i="49"/>
  <c r="AR159" i="49"/>
  <c r="AR172" i="49"/>
  <c r="AR151" i="49"/>
  <c r="AR191" i="49"/>
  <c r="AR44" i="49"/>
  <c r="AR225" i="49"/>
  <c r="AR198" i="49"/>
  <c r="AR91" i="49"/>
  <c r="AR152" i="49"/>
  <c r="AR185" i="49"/>
  <c r="AR187" i="49"/>
  <c r="AR199" i="49"/>
  <c r="AR42" i="49"/>
  <c r="AR175" i="49"/>
  <c r="AR149" i="49"/>
  <c r="AR220" i="49"/>
  <c r="AR204" i="49"/>
  <c r="AR40" i="49"/>
  <c r="AR92" i="49"/>
  <c r="AR183" i="49"/>
  <c r="AR50" i="49"/>
  <c r="AR87" i="49"/>
  <c r="AR206" i="49"/>
  <c r="AR101" i="49"/>
  <c r="AR70" i="49"/>
  <c r="AR76" i="49"/>
  <c r="AR197" i="49"/>
  <c r="AR209" i="49"/>
  <c r="AR97" i="49"/>
  <c r="AR96" i="49"/>
  <c r="AR157" i="49"/>
  <c r="AR32" i="49"/>
  <c r="AR180" i="49"/>
  <c r="AR61" i="49"/>
  <c r="AR131" i="49"/>
  <c r="AR111" i="49"/>
  <c r="AR148" i="49"/>
  <c r="AR105" i="49"/>
  <c r="AR178" i="49"/>
  <c r="AR68" i="49"/>
  <c r="AR79" i="49"/>
  <c r="AR78" i="49"/>
  <c r="AR27" i="49"/>
  <c r="AR48" i="49"/>
  <c r="AR24" i="49"/>
  <c r="AR193" i="49"/>
  <c r="AR41" i="49"/>
  <c r="AR89" i="49"/>
  <c r="AR202" i="49"/>
  <c r="AR94" i="49"/>
  <c r="AR108" i="49"/>
  <c r="AR71" i="49"/>
  <c r="AR218" i="49"/>
  <c r="AR115" i="49"/>
  <c r="AR56" i="49"/>
  <c r="AR133" i="49"/>
  <c r="AR227" i="49"/>
  <c r="AR190" i="49"/>
  <c r="AR192" i="49"/>
  <c r="AR211" i="49"/>
  <c r="AR84" i="49"/>
  <c r="AR189" i="49"/>
  <c r="AR28" i="49"/>
  <c r="AR163" i="49"/>
  <c r="AR219" i="49"/>
  <c r="AR170" i="49"/>
  <c r="AR45" i="49"/>
  <c r="AR57" i="49"/>
  <c r="AR114" i="49"/>
  <c r="AR52" i="49"/>
  <c r="AR215" i="49"/>
  <c r="AR210" i="49"/>
  <c r="AR141" i="49"/>
  <c r="AR38" i="49"/>
  <c r="AR100" i="49"/>
  <c r="AR23" i="49"/>
  <c r="AR18" i="49"/>
  <c r="AR17" i="49"/>
  <c r="AR83" i="49"/>
  <c r="AR93" i="49"/>
  <c r="AR205" i="49"/>
  <c r="AR179" i="49"/>
  <c r="AR73" i="49"/>
  <c r="AR145" i="49"/>
  <c r="AR173" i="49"/>
  <c r="AR223" i="49"/>
  <c r="AR134" i="49"/>
  <c r="AR103" i="49"/>
  <c r="AR196" i="49"/>
  <c r="AR207" i="49"/>
  <c r="AR107" i="49"/>
  <c r="AR182" i="49"/>
  <c r="AR195" i="49"/>
  <c r="AR168" i="49"/>
  <c r="AR139" i="49"/>
  <c r="AR171" i="49"/>
  <c r="AR60" i="49"/>
  <c r="AR165" i="49"/>
  <c r="AR65" i="49"/>
  <c r="AR29" i="49"/>
  <c r="AR77" i="49"/>
  <c r="AR109" i="49"/>
  <c r="AR229" i="49"/>
  <c r="AR161" i="49"/>
  <c r="AR112" i="49"/>
  <c r="AR176" i="49"/>
  <c r="AR39" i="49"/>
  <c r="AR113" i="49"/>
  <c r="AR224" i="49"/>
  <c r="AR33" i="49"/>
  <c r="AR160" i="49"/>
  <c r="AR181" i="49"/>
  <c r="AR136" i="49"/>
  <c r="AR69" i="49"/>
  <c r="AR47" i="49"/>
  <c r="AR104" i="49"/>
  <c r="AR90" i="49"/>
  <c r="AR99" i="49"/>
  <c r="AR102" i="49"/>
  <c r="AR155" i="49"/>
  <c r="AN128" i="49"/>
  <c r="AR201" i="49"/>
  <c r="AR135" i="49"/>
  <c r="AR174" i="49"/>
  <c r="AR146" i="49"/>
  <c r="AR21" i="49"/>
  <c r="AR80" i="49"/>
  <c r="AR74" i="49"/>
  <c r="AR200" i="49"/>
  <c r="AR49" i="49"/>
  <c r="AR156" i="49"/>
  <c r="AR184" i="49"/>
  <c r="AR75" i="49"/>
  <c r="AR177" i="49"/>
  <c r="AR53" i="49"/>
  <c r="AR88" i="49"/>
  <c r="AR51" i="49"/>
  <c r="AR31" i="49"/>
  <c r="AR64" i="49"/>
  <c r="AR132" i="49"/>
  <c r="AR137" i="49"/>
  <c r="AR67" i="49"/>
  <c r="AR26" i="49"/>
  <c r="AR98" i="49"/>
  <c r="AR222" i="49"/>
  <c r="AR162" i="49"/>
  <c r="AR228" i="49"/>
  <c r="AR43" i="49"/>
  <c r="AR169" i="49"/>
  <c r="AR150" i="49"/>
  <c r="AR188" i="49"/>
  <c r="AR58" i="49"/>
  <c r="AR110" i="49"/>
  <c r="AR19" i="49"/>
  <c r="AR167" i="49"/>
  <c r="AR208" i="49"/>
  <c r="AR203" i="49"/>
  <c r="AR46" i="49"/>
  <c r="AR164" i="49"/>
  <c r="AR147" i="49"/>
  <c r="AR85" i="49"/>
  <c r="AR144" i="49"/>
  <c r="AR106" i="49"/>
  <c r="AR86" i="49"/>
  <c r="AR154" i="49"/>
  <c r="AR66" i="49"/>
  <c r="AR22" i="49"/>
  <c r="AR143" i="49"/>
  <c r="AR153" i="49"/>
  <c r="AR186" i="49"/>
  <c r="AR34" i="49"/>
  <c r="AR81" i="49"/>
  <c r="AR214" i="49"/>
  <c r="AR212" i="49"/>
  <c r="AR194" i="49"/>
  <c r="AR140" i="49"/>
  <c r="AR216" i="49"/>
  <c r="AR213" i="49"/>
  <c r="AR36" i="49"/>
  <c r="AR72" i="49"/>
  <c r="AR63" i="49"/>
  <c r="AR59" i="49"/>
  <c r="AR37" i="49"/>
  <c r="AR158" i="49"/>
  <c r="AR230" i="49"/>
  <c r="AR35" i="49"/>
  <c r="AR138" i="49"/>
  <c r="AR30" i="49"/>
  <c r="AR54" i="49"/>
  <c r="AR221" i="49"/>
  <c r="AR55" i="49"/>
  <c r="AR226" i="49"/>
  <c r="AR142" i="49"/>
  <c r="F3085" i="50"/>
  <c r="AH2977" i="50"/>
  <c r="R1015" i="50"/>
  <c r="AH1270" i="50"/>
  <c r="R875" i="50"/>
  <c r="AH3117" i="50"/>
  <c r="AH1191" i="50"/>
  <c r="AH2956" i="50"/>
  <c r="F3057" i="50"/>
  <c r="R3052" i="50"/>
  <c r="AH2428" i="50"/>
  <c r="AH2660" i="50"/>
  <c r="AH2487" i="50"/>
  <c r="R3432" i="50"/>
  <c r="AH3432" i="50" s="1"/>
  <c r="AH2338" i="50"/>
  <c r="R3030" i="50"/>
  <c r="AH3030" i="50" s="1"/>
  <c r="AH3353" i="50"/>
  <c r="AH2219" i="50"/>
  <c r="AF3088" i="50"/>
  <c r="T3092" i="50"/>
  <c r="R3060" i="50"/>
  <c r="AH3060" i="50" s="1"/>
  <c r="R3466" i="50"/>
  <c r="AH3466" i="50" s="1"/>
  <c r="AD3064" i="50"/>
  <c r="AH3075" i="50"/>
  <c r="AD3320" i="50"/>
  <c r="AD3323" i="50" s="1"/>
  <c r="X3388" i="50"/>
  <c r="X3393" i="50" s="1"/>
  <c r="R1288" i="50"/>
  <c r="AF1039" i="50"/>
  <c r="AH1039" i="50" s="1"/>
  <c r="R1106" i="50"/>
  <c r="R1120" i="50"/>
  <c r="AF1246" i="50"/>
  <c r="R1410" i="50"/>
  <c r="S1412" i="50" s="1"/>
  <c r="S1413" i="50" s="1"/>
  <c r="L3241" i="50"/>
  <c r="R3241" i="50" s="1"/>
  <c r="R3436" i="50"/>
  <c r="R3186" i="50"/>
  <c r="R3541" i="50"/>
  <c r="F3547" i="50"/>
  <c r="AM56" i="49"/>
  <c r="AM24" i="49"/>
  <c r="AM165" i="49"/>
  <c r="AM230" i="49"/>
  <c r="AM162" i="49"/>
  <c r="AM80" i="49"/>
  <c r="AM197" i="49"/>
  <c r="AM60" i="49"/>
  <c r="AM209" i="49"/>
  <c r="AM225" i="49"/>
  <c r="AM205" i="49"/>
  <c r="AM41" i="49"/>
  <c r="AM70" i="49"/>
  <c r="AM186" i="49"/>
  <c r="AM35" i="49"/>
  <c r="AM44" i="49"/>
  <c r="AM25" i="49"/>
  <c r="AM82" i="49"/>
  <c r="AM147" i="49"/>
  <c r="AM88" i="49"/>
  <c r="AM166" i="49"/>
  <c r="AM199" i="49"/>
  <c r="AM111" i="49"/>
  <c r="AM106" i="49"/>
  <c r="AM195" i="49"/>
  <c r="AM16" i="49"/>
  <c r="AM40" i="49"/>
  <c r="AM97" i="49"/>
  <c r="AM138" i="49"/>
  <c r="AM204" i="49"/>
  <c r="AM66" i="49"/>
  <c r="AM113" i="49"/>
  <c r="AM160" i="49"/>
  <c r="AM158" i="49"/>
  <c r="AM90" i="49"/>
  <c r="AM103" i="49"/>
  <c r="AM29" i="49"/>
  <c r="AM203" i="49"/>
  <c r="AM191" i="49"/>
  <c r="AM50" i="49"/>
  <c r="AM76" i="49"/>
  <c r="AM47" i="49"/>
  <c r="AM155" i="49"/>
  <c r="AM96" i="49"/>
  <c r="AM21" i="49"/>
  <c r="AM31" i="49"/>
  <c r="AM94" i="49"/>
  <c r="AM192" i="49"/>
  <c r="AM42" i="49"/>
  <c r="AM102" i="49"/>
  <c r="AM170" i="49"/>
  <c r="AM28" i="49"/>
  <c r="AM180" i="49"/>
  <c r="AM214" i="49"/>
  <c r="AM93" i="49"/>
  <c r="AM196" i="49"/>
  <c r="AM169" i="49"/>
  <c r="AM72" i="49"/>
  <c r="AM221" i="49"/>
  <c r="AM89" i="49"/>
  <c r="AM175" i="49"/>
  <c r="AM61" i="49"/>
  <c r="AM219" i="49"/>
  <c r="AM112" i="49"/>
  <c r="AM183" i="49"/>
  <c r="AM212" i="49"/>
  <c r="AM65" i="49"/>
  <c r="AM62" i="49"/>
  <c r="AM101" i="49"/>
  <c r="AM68" i="49"/>
  <c r="AM161" i="49"/>
  <c r="AM95" i="49"/>
  <c r="AM141" i="49"/>
  <c r="AM107" i="49"/>
  <c r="AM168" i="49"/>
  <c r="AM104" i="49"/>
  <c r="AM133" i="49"/>
  <c r="AM131" i="49"/>
  <c r="AM226" i="49"/>
  <c r="AM81" i="49"/>
  <c r="AM87" i="49"/>
  <c r="AM198" i="49"/>
  <c r="AM83" i="49"/>
  <c r="AM58" i="49"/>
  <c r="AM79" i="49"/>
  <c r="AM91" i="49"/>
  <c r="AM39" i="49"/>
  <c r="AM172" i="49"/>
  <c r="AM159" i="49"/>
  <c r="AM206" i="49"/>
  <c r="AM86" i="49"/>
  <c r="AM139" i="49"/>
  <c r="AM48" i="49"/>
  <c r="AM178" i="49"/>
  <c r="AM17" i="49"/>
  <c r="AM215" i="49"/>
  <c r="AM115" i="49"/>
  <c r="AM85" i="49"/>
  <c r="AM59" i="49"/>
  <c r="AM182" i="49"/>
  <c r="AM193" i="49"/>
  <c r="AM30" i="49"/>
  <c r="AM114" i="49"/>
  <c r="AM188" i="49"/>
  <c r="AM144" i="49"/>
  <c r="AM171" i="49"/>
  <c r="AM213" i="49"/>
  <c r="AM92" i="49"/>
  <c r="AM108" i="49"/>
  <c r="AM202" i="49"/>
  <c r="AM177" i="49"/>
  <c r="AM208" i="49"/>
  <c r="AM150" i="49"/>
  <c r="AM132" i="49"/>
  <c r="AM194" i="49"/>
  <c r="AM220" i="49"/>
  <c r="AM36" i="49"/>
  <c r="AM51" i="49"/>
  <c r="AM185" i="49"/>
  <c r="AM148" i="49"/>
  <c r="AM174" i="49"/>
  <c r="AM49" i="49"/>
  <c r="AM190" i="49"/>
  <c r="AM146" i="49"/>
  <c r="AM71" i="49"/>
  <c r="AM134" i="49"/>
  <c r="AM32" i="49"/>
  <c r="AM20" i="49"/>
  <c r="AM84" i="49"/>
  <c r="AM217" i="49"/>
  <c r="AM54" i="49"/>
  <c r="AM153" i="49"/>
  <c r="AM164" i="49"/>
  <c r="AM223" i="49"/>
  <c r="AM179" i="49"/>
  <c r="AM149" i="49"/>
  <c r="AM167" i="49"/>
  <c r="AM181" i="49"/>
  <c r="AM99" i="49"/>
  <c r="AM67" i="49"/>
  <c r="AI128" i="49"/>
  <c r="AM201" i="49"/>
  <c r="AM210" i="49"/>
  <c r="AM152" i="49"/>
  <c r="AM227" i="49"/>
  <c r="AM207" i="49"/>
  <c r="AM77" i="49"/>
  <c r="AM200" i="49"/>
  <c r="AM187" i="49"/>
  <c r="AM136" i="49"/>
  <c r="AM110" i="49"/>
  <c r="AM57" i="49"/>
  <c r="AM22" i="49"/>
  <c r="AM163" i="49"/>
  <c r="AM52" i="49"/>
  <c r="AM33" i="49"/>
  <c r="AM229" i="49"/>
  <c r="AM55" i="49"/>
  <c r="AM156" i="49"/>
  <c r="AM222" i="49"/>
  <c r="AM216" i="49"/>
  <c r="AM23" i="49"/>
  <c r="AM78" i="49"/>
  <c r="AM63" i="49"/>
  <c r="AM151" i="49"/>
  <c r="AM26" i="49"/>
  <c r="AM98" i="49"/>
  <c r="AM142" i="49"/>
  <c r="AM64" i="49"/>
  <c r="AM109" i="49"/>
  <c r="AM74" i="49"/>
  <c r="AM184" i="49"/>
  <c r="AM53" i="49"/>
  <c r="AM157" i="49"/>
  <c r="AM69" i="49"/>
  <c r="AM228" i="49"/>
  <c r="AM154" i="49"/>
  <c r="AM218" i="49"/>
  <c r="AM140" i="49"/>
  <c r="AM145" i="49"/>
  <c r="AM19" i="49"/>
  <c r="AM73" i="49"/>
  <c r="AM18" i="49"/>
  <c r="AM34" i="49"/>
  <c r="AM37" i="49"/>
  <c r="AM143" i="49"/>
  <c r="AM105" i="49"/>
  <c r="AM27" i="49"/>
  <c r="AM38" i="49"/>
  <c r="AM45" i="49"/>
  <c r="AM137" i="49"/>
  <c r="AM173" i="49"/>
  <c r="AM75" i="49"/>
  <c r="AM189" i="49"/>
  <c r="AM43" i="49"/>
  <c r="AM211" i="49"/>
  <c r="AM46" i="49"/>
  <c r="AM100" i="49"/>
  <c r="AM176" i="49"/>
  <c r="AM224" i="49"/>
  <c r="AM135" i="49"/>
  <c r="R2884" i="50"/>
  <c r="F2889" i="50"/>
  <c r="R3486" i="50"/>
  <c r="R2961" i="50"/>
  <c r="F2966" i="50"/>
  <c r="AH3201" i="50"/>
  <c r="AH2358" i="50"/>
  <c r="H3400" i="50"/>
  <c r="AF3534" i="50"/>
  <c r="AH3534" i="50" s="1"/>
  <c r="V3540" i="50"/>
  <c r="AF3052" i="50"/>
  <c r="AH2800" i="50"/>
  <c r="R3464" i="50"/>
  <c r="L3547" i="50"/>
  <c r="R3255" i="50"/>
  <c r="AF3101" i="50"/>
  <c r="AH3101" i="50" s="1"/>
  <c r="T3106" i="50"/>
  <c r="X19" i="49"/>
  <c r="X27" i="49"/>
  <c r="X35" i="49"/>
  <c r="X43" i="49"/>
  <c r="X51" i="49"/>
  <c r="X59" i="49"/>
  <c r="X67" i="49"/>
  <c r="X75" i="49"/>
  <c r="X83" i="49"/>
  <c r="X91" i="49"/>
  <c r="X99" i="49"/>
  <c r="X107" i="49"/>
  <c r="X115" i="49"/>
  <c r="X213" i="49"/>
  <c r="X139" i="49"/>
  <c r="X200" i="49"/>
  <c r="X163" i="49"/>
  <c r="X147" i="49"/>
  <c r="X149" i="49"/>
  <c r="X219" i="49"/>
  <c r="X225" i="49"/>
  <c r="X203" i="49"/>
  <c r="X198" i="49"/>
  <c r="X144" i="49"/>
  <c r="T128" i="49"/>
  <c r="X153" i="49"/>
  <c r="X152" i="49"/>
  <c r="X166" i="49"/>
  <c r="X209" i="49"/>
  <c r="X204" i="49"/>
  <c r="X143" i="49"/>
  <c r="X189" i="49"/>
  <c r="X182" i="49"/>
  <c r="X169" i="49"/>
  <c r="X184" i="49"/>
  <c r="X132" i="49"/>
  <c r="X201" i="49"/>
  <c r="X195" i="49"/>
  <c r="X140" i="49"/>
  <c r="X188" i="49"/>
  <c r="X161" i="49"/>
  <c r="X228" i="49"/>
  <c r="X222" i="49"/>
  <c r="X194" i="49"/>
  <c r="X192" i="49"/>
  <c r="X21" i="49"/>
  <c r="X29" i="49"/>
  <c r="X37" i="49"/>
  <c r="X45" i="49"/>
  <c r="X53" i="49"/>
  <c r="X61" i="49"/>
  <c r="X69" i="49"/>
  <c r="X77" i="49"/>
  <c r="X85" i="49"/>
  <c r="X93" i="49"/>
  <c r="X101" i="49"/>
  <c r="X109" i="49"/>
  <c r="X180" i="49"/>
  <c r="X185" i="49"/>
  <c r="X208" i="49"/>
  <c r="X230" i="49"/>
  <c r="X167" i="49"/>
  <c r="X226" i="49"/>
  <c r="X221" i="49"/>
  <c r="X141" i="49"/>
  <c r="X215" i="49"/>
  <c r="X224" i="49"/>
  <c r="X145" i="49"/>
  <c r="X175" i="49"/>
  <c r="X160" i="49"/>
  <c r="X181" i="49"/>
  <c r="X223" i="49"/>
  <c r="X217" i="49"/>
  <c r="X154" i="49"/>
  <c r="X148" i="49"/>
  <c r="X174" i="49"/>
  <c r="X218" i="49"/>
  <c r="X183" i="49"/>
  <c r="X210" i="49"/>
  <c r="X131" i="49"/>
  <c r="X196" i="49"/>
  <c r="X191" i="49"/>
  <c r="X205" i="49"/>
  <c r="X173" i="49"/>
  <c r="X23" i="49"/>
  <c r="X31" i="49"/>
  <c r="X39" i="49"/>
  <c r="X47" i="49"/>
  <c r="X55" i="49"/>
  <c r="X63" i="49"/>
  <c r="X71" i="49"/>
  <c r="X79" i="49"/>
  <c r="X87" i="49"/>
  <c r="BK87" i="49" s="1"/>
  <c r="X95" i="49"/>
  <c r="X103" i="49"/>
  <c r="X111" i="49"/>
  <c r="X150" i="49"/>
  <c r="X177" i="49"/>
  <c r="X164" i="49"/>
  <c r="X214" i="49"/>
  <c r="X186" i="49"/>
  <c r="X211" i="49"/>
  <c r="X179" i="49"/>
  <c r="X206" i="49"/>
  <c r="X176" i="49"/>
  <c r="X135" i="49"/>
  <c r="X168" i="49"/>
  <c r="X133" i="49"/>
  <c r="X146" i="49"/>
  <c r="X157" i="49"/>
  <c r="X155" i="49"/>
  <c r="X220" i="49"/>
  <c r="X202" i="49"/>
  <c r="X178" i="49"/>
  <c r="X171" i="49"/>
  <c r="X162" i="49"/>
  <c r="X159" i="49"/>
  <c r="X137" i="49"/>
  <c r="X165" i="49"/>
  <c r="X138" i="49"/>
  <c r="X134" i="49"/>
  <c r="X172" i="49"/>
  <c r="X136" i="49"/>
  <c r="X170" i="49"/>
  <c r="X156" i="49"/>
  <c r="X151" i="49"/>
  <c r="X190" i="49"/>
  <c r="X212" i="49"/>
  <c r="X199" i="49"/>
  <c r="X17" i="49"/>
  <c r="X25" i="49"/>
  <c r="X33" i="49"/>
  <c r="X41" i="49"/>
  <c r="X49" i="49"/>
  <c r="X57" i="49"/>
  <c r="X65" i="49"/>
  <c r="X73" i="49"/>
  <c r="X81" i="49"/>
  <c r="X89" i="49"/>
  <c r="X97" i="49"/>
  <c r="X105" i="49"/>
  <c r="X113" i="49"/>
  <c r="X193" i="49"/>
  <c r="X207" i="49"/>
  <c r="X216" i="49"/>
  <c r="X158" i="49"/>
  <c r="X187" i="49"/>
  <c r="X197" i="49"/>
  <c r="X229" i="49"/>
  <c r="X227" i="49"/>
  <c r="X42" i="49"/>
  <c r="X20" i="49"/>
  <c r="X100" i="49"/>
  <c r="X30" i="49"/>
  <c r="X46" i="49"/>
  <c r="X62" i="49"/>
  <c r="X78" i="49"/>
  <c r="X94" i="49"/>
  <c r="X110" i="49"/>
  <c r="X24" i="49"/>
  <c r="X40" i="49"/>
  <c r="X56" i="49"/>
  <c r="X72" i="49"/>
  <c r="X88" i="49"/>
  <c r="X104" i="49"/>
  <c r="X26" i="49"/>
  <c r="X90" i="49"/>
  <c r="X52" i="49"/>
  <c r="X18" i="49"/>
  <c r="X34" i="49"/>
  <c r="X50" i="49"/>
  <c r="X66" i="49"/>
  <c r="X82" i="49"/>
  <c r="X98" i="49"/>
  <c r="X114" i="49"/>
  <c r="X28" i="49"/>
  <c r="X44" i="49"/>
  <c r="X60" i="49"/>
  <c r="X76" i="49"/>
  <c r="X92" i="49"/>
  <c r="X108" i="49"/>
  <c r="X58" i="49"/>
  <c r="X106" i="49"/>
  <c r="X36" i="49"/>
  <c r="X84" i="49"/>
  <c r="X22" i="49"/>
  <c r="X38" i="49"/>
  <c r="X54" i="49"/>
  <c r="X70" i="49"/>
  <c r="X86" i="49"/>
  <c r="X102" i="49"/>
  <c r="X16" i="49"/>
  <c r="X32" i="49"/>
  <c r="X48" i="49"/>
  <c r="X64" i="49"/>
  <c r="X80" i="49"/>
  <c r="X96" i="49"/>
  <c r="X112" i="49"/>
  <c r="X142" i="49"/>
  <c r="X74" i="49"/>
  <c r="X68" i="49"/>
  <c r="AF2969" i="50"/>
  <c r="T2973" i="50"/>
  <c r="AH2262" i="50"/>
  <c r="AH1374" i="50"/>
  <c r="AH3347" i="50"/>
  <c r="AH1373" i="50"/>
  <c r="AF2884" i="50"/>
  <c r="R3290" i="50"/>
  <c r="AH19" i="49"/>
  <c r="AH25" i="49"/>
  <c r="AH21" i="49"/>
  <c r="AH136" i="49"/>
  <c r="AH113" i="49"/>
  <c r="AH219" i="49"/>
  <c r="AH171" i="49"/>
  <c r="AH180" i="49"/>
  <c r="AH145" i="49"/>
  <c r="AH60" i="49"/>
  <c r="AH206" i="49"/>
  <c r="AH143" i="49"/>
  <c r="AH101" i="49"/>
  <c r="AH91" i="49"/>
  <c r="AH194" i="49"/>
  <c r="AH42" i="49"/>
  <c r="AD128" i="49"/>
  <c r="AH52" i="49"/>
  <c r="AH144" i="49"/>
  <c r="AH30" i="49"/>
  <c r="AH79" i="49"/>
  <c r="AH184" i="49"/>
  <c r="AH66" i="49"/>
  <c r="AH154" i="49"/>
  <c r="AH56" i="49"/>
  <c r="AH33" i="49"/>
  <c r="AH98" i="49"/>
  <c r="AH200" i="49"/>
  <c r="AH166" i="49"/>
  <c r="AH36" i="49"/>
  <c r="AH71" i="49"/>
  <c r="AH37" i="49"/>
  <c r="AH163" i="49"/>
  <c r="AH90" i="49"/>
  <c r="AH54" i="49"/>
  <c r="AH61" i="49"/>
  <c r="AH102" i="49"/>
  <c r="AH205" i="49"/>
  <c r="AH78" i="49"/>
  <c r="AH49" i="49"/>
  <c r="AH168" i="49"/>
  <c r="AH173" i="49"/>
  <c r="AH63" i="49"/>
  <c r="AH221" i="49"/>
  <c r="AH198" i="49"/>
  <c r="AH107" i="49"/>
  <c r="AH182" i="49"/>
  <c r="AH202" i="49"/>
  <c r="AH48" i="49"/>
  <c r="AH183" i="49"/>
  <c r="AH152" i="49"/>
  <c r="AH190" i="49"/>
  <c r="AH223" i="49"/>
  <c r="AH135" i="49"/>
  <c r="AH146" i="49"/>
  <c r="AH70" i="49"/>
  <c r="AH226" i="49"/>
  <c r="AH211" i="49"/>
  <c r="AH39" i="49"/>
  <c r="AH76" i="49"/>
  <c r="AH150" i="49"/>
  <c r="AH57" i="49"/>
  <c r="AH213" i="49"/>
  <c r="AH38" i="49"/>
  <c r="AH114" i="49"/>
  <c r="AH35" i="49"/>
  <c r="AH112" i="49"/>
  <c r="AH28" i="49"/>
  <c r="AH26" i="49"/>
  <c r="AH23" i="49"/>
  <c r="AH132" i="49"/>
  <c r="AH65" i="49"/>
  <c r="AH40" i="49"/>
  <c r="AH153" i="49"/>
  <c r="AH204" i="49"/>
  <c r="AH84" i="49"/>
  <c r="AH215" i="49"/>
  <c r="AH67" i="49"/>
  <c r="AH217" i="49"/>
  <c r="AH80" i="49"/>
  <c r="AH188" i="49"/>
  <c r="AH138" i="49"/>
  <c r="AH75" i="49"/>
  <c r="AH203" i="49"/>
  <c r="AH229" i="49"/>
  <c r="AH50" i="49"/>
  <c r="AH99" i="49"/>
  <c r="AH212" i="49"/>
  <c r="AH148" i="49"/>
  <c r="AH160" i="49"/>
  <c r="AH161" i="49"/>
  <c r="AH208" i="49"/>
  <c r="AH174" i="49"/>
  <c r="AH106" i="49"/>
  <c r="AH53" i="49"/>
  <c r="AH115" i="49"/>
  <c r="AH178" i="49"/>
  <c r="AH196" i="49"/>
  <c r="AH228" i="49"/>
  <c r="AH46" i="49"/>
  <c r="AH41" i="49"/>
  <c r="AH97" i="49"/>
  <c r="AH100" i="49"/>
  <c r="AH137" i="49"/>
  <c r="AH147" i="49"/>
  <c r="AH222" i="49"/>
  <c r="AH170" i="49"/>
  <c r="AH109" i="49"/>
  <c r="AH88" i="49"/>
  <c r="AH34" i="49"/>
  <c r="AH193" i="49"/>
  <c r="AH73" i="49"/>
  <c r="AH55" i="49"/>
  <c r="AH186" i="49"/>
  <c r="AH32" i="49"/>
  <c r="AH157" i="49"/>
  <c r="AH151" i="49"/>
  <c r="AH93" i="49"/>
  <c r="AH175" i="49"/>
  <c r="AH209" i="49"/>
  <c r="AH134" i="49"/>
  <c r="AH192" i="49"/>
  <c r="AH111" i="49"/>
  <c r="AH74" i="49"/>
  <c r="AH69" i="49"/>
  <c r="AH110" i="49"/>
  <c r="AH197" i="49"/>
  <c r="AH220" i="49"/>
  <c r="AH141" i="49"/>
  <c r="AH18" i="49"/>
  <c r="AH17" i="49"/>
  <c r="AH27" i="49"/>
  <c r="AH31" i="49"/>
  <c r="AH104" i="49"/>
  <c r="AH96" i="49"/>
  <c r="AH108" i="49"/>
  <c r="AH172" i="49"/>
  <c r="AH103" i="49"/>
  <c r="AH225" i="49"/>
  <c r="AH199" i="49"/>
  <c r="AH85" i="49"/>
  <c r="AH94" i="49"/>
  <c r="AH176" i="49"/>
  <c r="AH83" i="49"/>
  <c r="AH87" i="49"/>
  <c r="AH44" i="49"/>
  <c r="AH185" i="49"/>
  <c r="AH155" i="49"/>
  <c r="AH167" i="49"/>
  <c r="AH164" i="49"/>
  <c r="AH201" i="49"/>
  <c r="AH81" i="49"/>
  <c r="AH58" i="49"/>
  <c r="AH191" i="49"/>
  <c r="AH95" i="49"/>
  <c r="AH29" i="49"/>
  <c r="AH162" i="49"/>
  <c r="AH24" i="49"/>
  <c r="AH158" i="49"/>
  <c r="AH131" i="49"/>
  <c r="AH207" i="49"/>
  <c r="AH45" i="49"/>
  <c r="AH230" i="49"/>
  <c r="AH159" i="49"/>
  <c r="AH77" i="49"/>
  <c r="AH214" i="49"/>
  <c r="AH72" i="49"/>
  <c r="AH105" i="49"/>
  <c r="AH216" i="49"/>
  <c r="AH169" i="49"/>
  <c r="AH62" i="49"/>
  <c r="AH64" i="49"/>
  <c r="AH227" i="49"/>
  <c r="AH89" i="49"/>
  <c r="AH181" i="49"/>
  <c r="AH43" i="49"/>
  <c r="AH224" i="49"/>
  <c r="AH177" i="49"/>
  <c r="AH156" i="49"/>
  <c r="AH210" i="49"/>
  <c r="AH82" i="49"/>
  <c r="AH47" i="49"/>
  <c r="AH149" i="49"/>
  <c r="AH86" i="49"/>
  <c r="AH92" i="49"/>
  <c r="AH133" i="49"/>
  <c r="AH51" i="49"/>
  <c r="AH16" i="49"/>
  <c r="AH22" i="49"/>
  <c r="AH20" i="49"/>
  <c r="AH68" i="49"/>
  <c r="AH187" i="49"/>
  <c r="AH189" i="49"/>
  <c r="AH179" i="49"/>
  <c r="AH59" i="49"/>
  <c r="AH218" i="49"/>
  <c r="AH139" i="49"/>
  <c r="AH165" i="49"/>
  <c r="AH140" i="49"/>
  <c r="AH195" i="49"/>
  <c r="AH142" i="49"/>
  <c r="AH2450" i="50"/>
  <c r="AH2661" i="50"/>
  <c r="AF2891" i="50"/>
  <c r="T3022" i="50"/>
  <c r="AF3017" i="50"/>
  <c r="R2891" i="50"/>
  <c r="F2896" i="50"/>
  <c r="H3211" i="50"/>
  <c r="R3208" i="50"/>
  <c r="AH3208" i="50" s="1"/>
  <c r="AH2703" i="50"/>
  <c r="T2980" i="50"/>
  <c r="AF2974" i="50"/>
  <c r="AH2974" i="50" s="1"/>
  <c r="AF3514" i="50"/>
  <c r="AH3514" i="50" s="1"/>
  <c r="V3519" i="50"/>
  <c r="T3316" i="50"/>
  <c r="AF3310" i="50"/>
  <c r="R2933" i="50"/>
  <c r="X2987" i="50"/>
  <c r="AF3530" i="50"/>
  <c r="AH3530" i="50" s="1"/>
  <c r="AC17" i="49"/>
  <c r="AC23" i="49"/>
  <c r="AC39" i="49"/>
  <c r="AC55" i="49"/>
  <c r="AC71" i="49"/>
  <c r="AC84" i="49"/>
  <c r="AC92" i="49"/>
  <c r="AC100" i="49"/>
  <c r="AC108" i="49"/>
  <c r="AC184" i="49"/>
  <c r="AC207" i="49"/>
  <c r="AC147" i="49"/>
  <c r="AC181" i="49"/>
  <c r="AC133" i="49"/>
  <c r="AC173" i="49"/>
  <c r="AC199" i="49"/>
  <c r="AC211" i="49"/>
  <c r="Y128" i="49"/>
  <c r="AC194" i="49"/>
  <c r="AC131" i="49"/>
  <c r="AC221" i="49"/>
  <c r="AC219" i="49"/>
  <c r="AC208" i="49"/>
  <c r="AC227" i="49"/>
  <c r="AC215" i="49"/>
  <c r="AC216" i="49"/>
  <c r="AC148" i="49"/>
  <c r="AC151" i="49"/>
  <c r="AC193" i="49"/>
  <c r="AC209" i="49"/>
  <c r="AC156" i="49"/>
  <c r="AC225" i="49"/>
  <c r="AC182" i="49"/>
  <c r="AC204" i="49"/>
  <c r="AC168" i="49"/>
  <c r="AC162" i="49"/>
  <c r="AC140" i="49"/>
  <c r="AC150" i="49"/>
  <c r="AC163" i="49"/>
  <c r="AC158" i="49"/>
  <c r="AC153" i="49"/>
  <c r="AC206" i="49"/>
  <c r="AC136" i="49"/>
  <c r="AC223" i="49"/>
  <c r="AC213" i="49"/>
  <c r="AC167" i="49"/>
  <c r="AC190" i="49"/>
  <c r="AC189" i="49"/>
  <c r="AC226" i="49"/>
  <c r="AC212" i="49"/>
  <c r="AC27" i="49"/>
  <c r="AC43" i="49"/>
  <c r="AC59" i="49"/>
  <c r="AC75" i="49"/>
  <c r="AC86" i="49"/>
  <c r="AC94" i="49"/>
  <c r="AC102" i="49"/>
  <c r="AC110" i="49"/>
  <c r="AC224" i="49"/>
  <c r="AC197" i="49"/>
  <c r="AC161" i="49"/>
  <c r="AC196" i="49"/>
  <c r="AC198" i="49"/>
  <c r="AC160" i="49"/>
  <c r="AC138" i="49"/>
  <c r="AC202" i="49"/>
  <c r="AC145" i="49"/>
  <c r="AC220" i="49"/>
  <c r="AC229" i="49"/>
  <c r="AC134" i="49"/>
  <c r="AC191" i="49"/>
  <c r="AC222" i="49"/>
  <c r="AC166" i="49"/>
  <c r="AC143" i="49"/>
  <c r="AC149" i="49"/>
  <c r="AC159" i="49"/>
  <c r="AC164" i="49"/>
  <c r="AC217" i="49"/>
  <c r="AC186" i="49"/>
  <c r="AC170" i="49"/>
  <c r="AC165" i="49"/>
  <c r="AC132" i="49"/>
  <c r="AC205" i="49"/>
  <c r="AC185" i="49"/>
  <c r="AC137" i="49"/>
  <c r="AC201" i="49"/>
  <c r="AC139" i="49"/>
  <c r="AC31" i="49"/>
  <c r="AC47" i="49"/>
  <c r="AC63" i="49"/>
  <c r="AC79" i="49"/>
  <c r="AC88" i="49"/>
  <c r="AC96" i="49"/>
  <c r="AC104" i="49"/>
  <c r="AC112" i="49"/>
  <c r="AC200" i="49"/>
  <c r="AC175" i="49"/>
  <c r="AC192" i="49"/>
  <c r="AC171" i="49"/>
  <c r="AC195" i="49"/>
  <c r="AC155" i="49"/>
  <c r="AC179" i="49"/>
  <c r="AC187" i="49"/>
  <c r="AC169" i="49"/>
  <c r="AC180" i="49"/>
  <c r="AC218" i="49"/>
  <c r="AC157" i="49"/>
  <c r="AC203" i="49"/>
  <c r="AC154" i="49"/>
  <c r="AC183" i="49"/>
  <c r="AC144" i="49"/>
  <c r="AC174" i="49"/>
  <c r="AC172" i="49"/>
  <c r="AC135" i="49"/>
  <c r="AC188" i="49"/>
  <c r="AC146" i="49"/>
  <c r="AC19" i="49"/>
  <c r="AC35" i="49"/>
  <c r="AC51" i="49"/>
  <c r="AC67" i="49"/>
  <c r="AC82" i="49"/>
  <c r="AC90" i="49"/>
  <c r="AC98" i="49"/>
  <c r="AC106" i="49"/>
  <c r="AC114" i="49"/>
  <c r="AC214" i="49"/>
  <c r="AC210" i="49"/>
  <c r="AC228" i="49"/>
  <c r="AC152" i="49"/>
  <c r="AC230" i="49"/>
  <c r="AC176" i="49"/>
  <c r="AC177" i="49"/>
  <c r="AC178" i="49"/>
  <c r="AC141" i="49"/>
  <c r="AC81" i="49"/>
  <c r="AC50" i="49"/>
  <c r="AC48" i="49"/>
  <c r="AC87" i="49"/>
  <c r="AC109" i="49"/>
  <c r="AC93" i="49"/>
  <c r="AC73" i="49"/>
  <c r="AC41" i="49"/>
  <c r="AC22" i="49"/>
  <c r="AC38" i="49"/>
  <c r="AC54" i="49"/>
  <c r="AC70" i="49"/>
  <c r="AC20" i="49"/>
  <c r="AC36" i="49"/>
  <c r="AC52" i="49"/>
  <c r="AC68" i="49"/>
  <c r="AC115" i="49"/>
  <c r="AC99" i="49"/>
  <c r="AC83" i="49"/>
  <c r="AC53" i="49"/>
  <c r="AC21" i="49"/>
  <c r="AC113" i="49"/>
  <c r="AC34" i="49"/>
  <c r="AC32" i="49"/>
  <c r="AC103" i="49"/>
  <c r="AC142" i="49"/>
  <c r="AC105" i="49"/>
  <c r="AC89" i="49"/>
  <c r="AC65" i="49"/>
  <c r="AC33" i="49"/>
  <c r="AC26" i="49"/>
  <c r="AC42" i="49"/>
  <c r="AC58" i="49"/>
  <c r="AC74" i="49"/>
  <c r="AC24" i="49"/>
  <c r="AC40" i="49"/>
  <c r="AC56" i="49"/>
  <c r="AC72" i="49"/>
  <c r="AC111" i="49"/>
  <c r="AC95" i="49"/>
  <c r="AC77" i="49"/>
  <c r="AC45" i="49"/>
  <c r="AC97" i="49"/>
  <c r="AC49" i="49"/>
  <c r="AC66" i="49"/>
  <c r="AC64" i="49"/>
  <c r="AC61" i="49"/>
  <c r="AC101" i="49"/>
  <c r="AC85" i="49"/>
  <c r="AC57" i="49"/>
  <c r="AC25" i="49"/>
  <c r="AC30" i="49"/>
  <c r="AC46" i="49"/>
  <c r="AC62" i="49"/>
  <c r="AC78" i="49"/>
  <c r="AC28" i="49"/>
  <c r="AC44" i="49"/>
  <c r="AC60" i="49"/>
  <c r="AC76" i="49"/>
  <c r="AC107" i="49"/>
  <c r="AC91" i="49"/>
  <c r="AC69" i="49"/>
  <c r="AC37" i="49"/>
  <c r="AC18" i="49"/>
  <c r="AC16" i="49"/>
  <c r="AC80" i="49"/>
  <c r="AC29" i="49"/>
  <c r="H3316" i="50"/>
  <c r="R3310" i="50"/>
  <c r="AH2836" i="50"/>
  <c r="AH2247" i="50"/>
  <c r="AW217" i="49"/>
  <c r="AW146" i="49"/>
  <c r="AW78" i="49"/>
  <c r="AW148" i="49"/>
  <c r="AW96" i="49"/>
  <c r="AW100" i="49"/>
  <c r="AW145" i="49"/>
  <c r="AW105" i="49"/>
  <c r="AW59" i="49"/>
  <c r="AW191" i="49"/>
  <c r="AW41" i="49"/>
  <c r="AW54" i="49"/>
  <c r="AW141" i="49"/>
  <c r="AW110" i="49"/>
  <c r="AW81" i="49"/>
  <c r="AW225" i="49"/>
  <c r="AW24" i="49"/>
  <c r="AW40" i="49"/>
  <c r="AW153" i="49"/>
  <c r="AW199" i="49"/>
  <c r="AW151" i="49"/>
  <c r="AW80" i="49"/>
  <c r="AW154" i="49"/>
  <c r="AW135" i="49"/>
  <c r="AW111" i="49"/>
  <c r="AW52" i="49"/>
  <c r="AW182" i="49"/>
  <c r="AW56" i="49"/>
  <c r="AW76" i="49"/>
  <c r="AW162" i="49"/>
  <c r="AW63" i="49"/>
  <c r="AW187" i="49"/>
  <c r="AW180" i="49"/>
  <c r="AW209" i="49"/>
  <c r="AW204" i="49"/>
  <c r="AW152" i="49"/>
  <c r="AW42" i="49"/>
  <c r="AW108" i="49"/>
  <c r="AW220" i="49"/>
  <c r="AW68" i="49"/>
  <c r="AW93" i="49"/>
  <c r="AW192" i="49"/>
  <c r="AW213" i="49"/>
  <c r="AW65" i="49"/>
  <c r="AW168" i="49"/>
  <c r="AW155" i="49"/>
  <c r="AW84" i="49"/>
  <c r="AW25" i="49"/>
  <c r="AW20" i="49"/>
  <c r="AW19" i="49"/>
  <c r="AW107" i="49"/>
  <c r="AW112" i="49"/>
  <c r="AW51" i="49"/>
  <c r="AW176" i="49"/>
  <c r="AW47" i="49"/>
  <c r="AW82" i="49"/>
  <c r="AW179" i="49"/>
  <c r="AW37" i="49"/>
  <c r="AW163" i="49"/>
  <c r="AW185" i="49"/>
  <c r="AW172" i="49"/>
  <c r="AW32" i="49"/>
  <c r="AW178" i="49"/>
  <c r="AS128" i="49"/>
  <c r="AW60" i="49"/>
  <c r="AW208" i="49"/>
  <c r="AW50" i="49"/>
  <c r="AW91" i="49"/>
  <c r="AW212" i="49"/>
  <c r="AW94" i="49"/>
  <c r="AW226" i="49"/>
  <c r="AW114" i="49"/>
  <c r="AW218" i="49"/>
  <c r="AW140" i="49"/>
  <c r="AW159" i="49"/>
  <c r="AW64" i="49"/>
  <c r="AW137" i="49"/>
  <c r="AW92" i="49"/>
  <c r="AW97" i="49"/>
  <c r="AW33" i="49"/>
  <c r="AW219" i="49"/>
  <c r="AW61" i="49"/>
  <c r="AW46" i="49"/>
  <c r="AW143" i="49"/>
  <c r="AW167" i="49"/>
  <c r="AW186" i="49"/>
  <c r="AW173" i="49"/>
  <c r="AW139" i="49"/>
  <c r="AW102" i="49"/>
  <c r="AW35" i="49"/>
  <c r="AW39" i="49"/>
  <c r="AW223" i="49"/>
  <c r="AW57" i="49"/>
  <c r="AW222" i="49"/>
  <c r="AW189" i="49"/>
  <c r="AW184" i="49"/>
  <c r="AW85" i="49"/>
  <c r="AW203" i="49"/>
  <c r="AW77" i="49"/>
  <c r="AW106" i="49"/>
  <c r="AW193" i="49"/>
  <c r="AW115" i="49"/>
  <c r="AW83" i="49"/>
  <c r="AW73" i="49"/>
  <c r="AW74" i="49"/>
  <c r="AW164" i="49"/>
  <c r="AW150" i="49"/>
  <c r="AW30" i="49"/>
  <c r="AW207" i="49"/>
  <c r="AW206" i="49"/>
  <c r="AW229" i="49"/>
  <c r="AW17" i="49"/>
  <c r="AW23" i="49"/>
  <c r="AW28" i="49"/>
  <c r="AW29" i="49"/>
  <c r="AW21" i="49"/>
  <c r="AW211" i="49"/>
  <c r="AW95" i="49"/>
  <c r="AW195" i="49"/>
  <c r="AW227" i="49"/>
  <c r="AW158" i="49"/>
  <c r="AW136" i="49"/>
  <c r="AW43" i="49"/>
  <c r="AW109" i="49"/>
  <c r="AW71" i="49"/>
  <c r="AW26" i="49"/>
  <c r="AW99" i="49"/>
  <c r="AW72" i="49"/>
  <c r="AW44" i="49"/>
  <c r="AW88" i="49"/>
  <c r="AW79" i="49"/>
  <c r="AW67" i="49"/>
  <c r="AW144" i="49"/>
  <c r="AW210" i="49"/>
  <c r="AW133" i="49"/>
  <c r="AW113" i="49"/>
  <c r="AW161" i="49"/>
  <c r="AW228" i="49"/>
  <c r="AW190" i="49"/>
  <c r="AW160" i="49"/>
  <c r="AW70" i="49"/>
  <c r="AW66" i="49"/>
  <c r="AW197" i="49"/>
  <c r="AW62" i="49"/>
  <c r="AW183" i="49"/>
  <c r="AW194" i="49"/>
  <c r="AW181" i="49"/>
  <c r="AW177" i="49"/>
  <c r="AW87" i="49"/>
  <c r="AW170" i="49"/>
  <c r="AW69" i="49"/>
  <c r="AW48" i="49"/>
  <c r="AW53" i="49"/>
  <c r="AW36" i="49"/>
  <c r="AW171" i="49"/>
  <c r="AW175" i="49"/>
  <c r="AW134" i="49"/>
  <c r="AW86" i="49"/>
  <c r="AW200" i="49"/>
  <c r="AW196" i="49"/>
  <c r="AW58" i="49"/>
  <c r="AW45" i="49"/>
  <c r="AW31" i="49"/>
  <c r="AW49" i="49"/>
  <c r="AW98" i="49"/>
  <c r="AW149" i="49"/>
  <c r="AW221" i="49"/>
  <c r="AW215" i="49"/>
  <c r="AW201" i="49"/>
  <c r="AW156" i="49"/>
  <c r="AW188" i="49"/>
  <c r="AW131" i="49"/>
  <c r="AW18" i="49"/>
  <c r="AW27" i="49"/>
  <c r="AW132" i="49"/>
  <c r="AW224" i="49"/>
  <c r="AW216" i="49"/>
  <c r="AW230" i="49"/>
  <c r="AW138" i="49"/>
  <c r="AW198" i="49"/>
  <c r="AW174" i="49"/>
  <c r="AW101" i="49"/>
  <c r="AW89" i="49"/>
  <c r="AW205" i="49"/>
  <c r="AW147" i="49"/>
  <c r="AW166" i="49"/>
  <c r="AW202" i="49"/>
  <c r="AW22" i="49"/>
  <c r="AW16" i="49"/>
  <c r="AW38" i="49"/>
  <c r="AW34" i="49"/>
  <c r="AW165" i="49"/>
  <c r="AW75" i="49"/>
  <c r="AW169" i="49"/>
  <c r="AW157" i="49"/>
  <c r="AW103" i="49"/>
  <c r="AW214" i="49"/>
  <c r="AW90" i="49"/>
  <c r="AW55" i="49"/>
  <c r="AW104" i="49"/>
  <c r="AW142" i="49"/>
  <c r="T777" i="50"/>
  <c r="AH2239" i="50"/>
  <c r="AH2953" i="50"/>
  <c r="Z791" i="50"/>
  <c r="P3050" i="50"/>
  <c r="AB3204" i="50"/>
  <c r="AF3200" i="50"/>
  <c r="AH3200" i="50" s="1"/>
  <c r="J2959" i="50"/>
  <c r="T3" i="72"/>
  <c r="AH2288" i="50"/>
  <c r="T3503" i="50"/>
  <c r="AF2789" i="50"/>
  <c r="AM391" i="50"/>
  <c r="AD708" i="50"/>
  <c r="AE708" i="50" s="1"/>
  <c r="F2089" i="50"/>
  <c r="F2090" i="50" s="1"/>
  <c r="F2801" i="50"/>
  <c r="F3515" i="50" s="1"/>
  <c r="S2149" i="50"/>
  <c r="AI2149" i="50" s="1"/>
  <c r="AH2149" i="50"/>
  <c r="P2556" i="50"/>
  <c r="P1844" i="50"/>
  <c r="N2556" i="50"/>
  <c r="N3270" i="50" s="1"/>
  <c r="N2149" i="50"/>
  <c r="N1844" i="50"/>
  <c r="N1845" i="50" s="1"/>
  <c r="S6" i="72"/>
  <c r="L6" i="72"/>
  <c r="AM132" i="50"/>
  <c r="AH3419" i="50"/>
  <c r="R1250" i="50"/>
  <c r="AH3152" i="50"/>
  <c r="AH2673" i="50"/>
  <c r="R3" i="72"/>
  <c r="AH2505" i="50"/>
  <c r="R2675" i="50"/>
  <c r="D13" i="72"/>
  <c r="AF763" i="50"/>
  <c r="AF2549" i="50"/>
  <c r="AB2522" i="50"/>
  <c r="AB3236" i="50" s="1"/>
  <c r="AB1809" i="50"/>
  <c r="AB1810" i="50" s="1"/>
  <c r="AD2522" i="50"/>
  <c r="AD3236" i="50" s="1"/>
  <c r="AD1809" i="50"/>
  <c r="AD1810" i="50" s="1"/>
  <c r="V2465" i="50"/>
  <c r="V2149" i="50"/>
  <c r="V1753" i="50"/>
  <c r="X1754" i="50" s="1"/>
  <c r="R889" i="50"/>
  <c r="S894" i="50" s="1"/>
  <c r="S895" i="50" s="1"/>
  <c r="R1085" i="50"/>
  <c r="AF1274" i="50"/>
  <c r="AF1176" i="50"/>
  <c r="X494" i="50"/>
  <c r="R3144" i="50"/>
  <c r="AH3144" i="50" s="1"/>
  <c r="F1123" i="50"/>
  <c r="R1123" i="50" s="1"/>
  <c r="AH1123" i="50" s="1"/>
  <c r="AL408" i="50"/>
  <c r="AM408" i="50" s="1"/>
  <c r="L2568" i="50"/>
  <c r="L3282" i="50" s="1"/>
  <c r="L3288" i="50" s="1"/>
  <c r="L1858" i="50"/>
  <c r="P1859" i="50" s="1"/>
  <c r="H2928" i="50"/>
  <c r="AM125" i="50"/>
  <c r="AS131" i="50"/>
  <c r="AF861" i="50"/>
  <c r="V557" i="50"/>
  <c r="P263" i="50"/>
  <c r="BU24" i="49"/>
  <c r="BU116" i="49" s="1"/>
  <c r="BP116" i="49"/>
  <c r="T403" i="50"/>
  <c r="R819" i="50"/>
  <c r="AM447" i="50"/>
  <c r="AF770" i="50"/>
  <c r="AF1386" i="50"/>
  <c r="R3087" i="50"/>
  <c r="AH3087" i="50" s="1"/>
  <c r="F878" i="50"/>
  <c r="R878" i="50" s="1"/>
  <c r="AL163" i="50"/>
  <c r="AM163" i="50" s="1"/>
  <c r="P709" i="50"/>
  <c r="Q709" i="50" s="1"/>
  <c r="T2583" i="50"/>
  <c r="T3297" i="50" s="1"/>
  <c r="AL1868" i="50"/>
  <c r="AM1868" i="50" s="1"/>
  <c r="T1872" i="50"/>
  <c r="T1873" i="50" s="1"/>
  <c r="R1379" i="50"/>
  <c r="P564" i="50"/>
  <c r="AF1218" i="50"/>
  <c r="AF1232" i="50"/>
  <c r="N3" i="72"/>
  <c r="R1008" i="50"/>
  <c r="AF1043" i="50"/>
  <c r="T1425" i="50"/>
  <c r="AF725" i="50"/>
  <c r="AH3415" i="50"/>
  <c r="Z3199" i="50"/>
  <c r="AF2376" i="50"/>
  <c r="AH2169" i="50"/>
  <c r="AL344" i="50"/>
  <c r="AM344" i="50" s="1"/>
  <c r="AF3079" i="50"/>
  <c r="AM1696" i="50"/>
  <c r="F3484" i="50"/>
  <c r="R3482" i="50"/>
  <c r="AF798" i="50"/>
  <c r="R2572" i="50"/>
  <c r="T1943" i="50"/>
  <c r="F13" i="72"/>
  <c r="V9" i="72"/>
  <c r="AF2716" i="50"/>
  <c r="AF3493" i="50"/>
  <c r="AH3493" i="50" s="1"/>
  <c r="T3498" i="50"/>
  <c r="N186" i="50"/>
  <c r="X67" i="50"/>
  <c r="T8" i="72" s="1"/>
  <c r="AD648" i="50"/>
  <c r="X375" i="50"/>
  <c r="Z466" i="50"/>
  <c r="X571" i="50"/>
  <c r="AF735" i="50"/>
  <c r="AG740" i="50" s="1"/>
  <c r="AG741" i="50" s="1"/>
  <c r="AB599" i="50"/>
  <c r="R861" i="50"/>
  <c r="S866" i="50" s="1"/>
  <c r="S867" i="50" s="1"/>
  <c r="F1095" i="50"/>
  <c r="R1095" i="50" s="1"/>
  <c r="AL380" i="50"/>
  <c r="AM380" i="50" s="1"/>
  <c r="F1221" i="50"/>
  <c r="R1221" i="50" s="1"/>
  <c r="AH1221" i="50" s="1"/>
  <c r="AL506" i="50"/>
  <c r="AM506" i="50" s="1"/>
  <c r="X709" i="50"/>
  <c r="Y709" i="50" s="1"/>
  <c r="AH2151" i="50"/>
  <c r="S2151" i="50"/>
  <c r="AI2151" i="50" s="1"/>
  <c r="H2516" i="50"/>
  <c r="H1802" i="50"/>
  <c r="H2151" i="50"/>
  <c r="N2516" i="50"/>
  <c r="N3230" i="50" s="1"/>
  <c r="N3232" i="50" s="1"/>
  <c r="N1802" i="50"/>
  <c r="N1803" i="50" s="1"/>
  <c r="N2151" i="50"/>
  <c r="P2928" i="50"/>
  <c r="R1400" i="50"/>
  <c r="R1302" i="50"/>
  <c r="AF1022" i="50"/>
  <c r="P445" i="50"/>
  <c r="L27" i="72"/>
  <c r="AF1267" i="50"/>
  <c r="AL156" i="50"/>
  <c r="AM156" i="50" s="1"/>
  <c r="AL149" i="50"/>
  <c r="AM149" i="50" s="1"/>
  <c r="AL351" i="50"/>
  <c r="AM351" i="50" s="1"/>
  <c r="AA7" i="72"/>
  <c r="T7" i="72"/>
  <c r="AD2150" i="50"/>
  <c r="R1267" i="50"/>
  <c r="S1272" i="50" s="1"/>
  <c r="S1273" i="50" s="1"/>
  <c r="Z403" i="50"/>
  <c r="R1057" i="50"/>
  <c r="T165" i="50"/>
  <c r="AB424" i="50"/>
  <c r="AB326" i="50"/>
  <c r="AD228" i="50"/>
  <c r="F1004" i="50"/>
  <c r="R1004" i="50" s="1"/>
  <c r="AL289" i="50"/>
  <c r="AM289" i="50" s="1"/>
  <c r="F1067" i="50"/>
  <c r="AL352" i="50"/>
  <c r="AM352" i="50" s="1"/>
  <c r="F1172" i="50"/>
  <c r="AL457" i="50"/>
  <c r="AM457" i="50" s="1"/>
  <c r="AH708" i="50"/>
  <c r="F1131" i="50"/>
  <c r="R1131" i="50" s="1"/>
  <c r="AL416" i="50"/>
  <c r="AM416" i="50" s="1"/>
  <c r="J669" i="50"/>
  <c r="N648" i="50"/>
  <c r="AD179" i="50"/>
  <c r="AB389" i="50"/>
  <c r="AF1148" i="50"/>
  <c r="X452" i="50"/>
  <c r="U6" i="72"/>
  <c r="N6" i="72"/>
  <c r="AF1078" i="50"/>
  <c r="AF1092" i="50"/>
  <c r="AH752" i="50"/>
  <c r="AH3327" i="50"/>
  <c r="AH3107" i="50"/>
  <c r="AH2954" i="50"/>
  <c r="AF3564" i="50"/>
  <c r="AH3564" i="50" s="1"/>
  <c r="T3568" i="50"/>
  <c r="AF2759" i="50"/>
  <c r="R3215" i="50"/>
  <c r="AH3215" i="50" s="1"/>
  <c r="AH3198" i="50"/>
  <c r="AM1770" i="50"/>
  <c r="AM1785" i="50"/>
  <c r="AD3498" i="50"/>
  <c r="L2780" i="50"/>
  <c r="L3494" i="50" s="1"/>
  <c r="L2068" i="50"/>
  <c r="L2069" i="50" s="1"/>
  <c r="AH1338" i="50"/>
  <c r="AF1253" i="50"/>
  <c r="AF1001" i="50"/>
  <c r="AM188" i="50"/>
  <c r="AM181" i="50"/>
  <c r="V777" i="50"/>
  <c r="V375" i="50"/>
  <c r="AM328" i="50"/>
  <c r="V193" i="50"/>
  <c r="AF1197" i="50"/>
  <c r="J256" i="50"/>
  <c r="L708" i="50"/>
  <c r="M708" i="50" s="1"/>
  <c r="V709" i="50"/>
  <c r="W709" i="50" s="1"/>
  <c r="F1187" i="50"/>
  <c r="R1187" i="50" s="1"/>
  <c r="AL472" i="50"/>
  <c r="AM472" i="50" s="1"/>
  <c r="N2564" i="50"/>
  <c r="N2150" i="50"/>
  <c r="H2564" i="50"/>
  <c r="H2150" i="50"/>
  <c r="N2928" i="50"/>
  <c r="AH960" i="50"/>
  <c r="L228" i="50"/>
  <c r="R938" i="50"/>
  <c r="AF931" i="50"/>
  <c r="AB606" i="50"/>
  <c r="AH1240" i="50"/>
  <c r="L382" i="50"/>
  <c r="R1092" i="50"/>
  <c r="AM426" i="50"/>
  <c r="AH1061" i="50"/>
  <c r="AH1375" i="50"/>
  <c r="AB2150" i="50"/>
  <c r="AB2646" i="50"/>
  <c r="AB3360" i="50" s="1"/>
  <c r="AB3365" i="50" s="1"/>
  <c r="AB1935" i="50"/>
  <c r="T2646" i="50"/>
  <c r="AL1931" i="50"/>
  <c r="AM1931" i="50" s="1"/>
  <c r="T1935" i="50"/>
  <c r="X1936" i="50" s="1"/>
  <c r="V403" i="50"/>
  <c r="N109" i="50"/>
  <c r="L158" i="50"/>
  <c r="R868" i="50"/>
  <c r="L235" i="50"/>
  <c r="R945" i="50"/>
  <c r="R980" i="50"/>
  <c r="AF854" i="50"/>
  <c r="F948" i="50"/>
  <c r="R948" i="50" s="1"/>
  <c r="AH948" i="50" s="1"/>
  <c r="AL233" i="50"/>
  <c r="AM233" i="50" s="1"/>
  <c r="L709" i="50"/>
  <c r="M709" i="50" s="1"/>
  <c r="R724" i="50"/>
  <c r="F1087" i="50"/>
  <c r="R1087" i="50" s="1"/>
  <c r="AL372" i="50"/>
  <c r="AM372" i="50" s="1"/>
  <c r="V708" i="50"/>
  <c r="W708" i="50" s="1"/>
  <c r="H2562" i="50"/>
  <c r="H1851" i="50"/>
  <c r="H1852" i="50" s="1"/>
  <c r="L620" i="50"/>
  <c r="P669" i="50"/>
  <c r="F648" i="50"/>
  <c r="F564" i="50"/>
  <c r="R1232" i="50"/>
  <c r="R1295" i="50"/>
  <c r="V522" i="50"/>
  <c r="Z389" i="50"/>
  <c r="AH876" i="50"/>
  <c r="R1022" i="50"/>
  <c r="AD158" i="50"/>
  <c r="Z382" i="50"/>
  <c r="AS75" i="50"/>
  <c r="AM69" i="50"/>
  <c r="AH1019" i="50"/>
  <c r="AH907" i="50"/>
  <c r="AH1242" i="50"/>
  <c r="AH1256" i="50"/>
  <c r="AH2886" i="50"/>
  <c r="AF3020" i="50"/>
  <c r="V3022" i="50"/>
  <c r="AH2947" i="50"/>
  <c r="AH3369" i="50"/>
  <c r="N3533" i="50"/>
  <c r="R3528" i="50"/>
  <c r="X2534" i="50"/>
  <c r="X1823" i="50"/>
  <c r="X1824" i="50" s="1"/>
  <c r="X2148" i="50"/>
  <c r="J7" i="72"/>
  <c r="AF2768" i="50"/>
  <c r="T3482" i="50"/>
  <c r="AM286" i="50"/>
  <c r="H3134" i="50"/>
  <c r="R3128" i="50"/>
  <c r="AH3226" i="50"/>
  <c r="T3225" i="50"/>
  <c r="AF3219" i="50"/>
  <c r="R3341" i="50"/>
  <c r="X3354" i="50"/>
  <c r="R3275" i="50"/>
  <c r="R2331" i="50"/>
  <c r="AH2331" i="50" s="1"/>
  <c r="AF2183" i="50"/>
  <c r="V2534" i="50"/>
  <c r="V3248" i="50" s="1"/>
  <c r="V1823" i="50"/>
  <c r="V1824" i="50" s="1"/>
  <c r="V2148" i="50"/>
  <c r="AD2534" i="50"/>
  <c r="AD3248" i="50" s="1"/>
  <c r="AD1823" i="50"/>
  <c r="AD1824" i="50" s="1"/>
  <c r="AD2148" i="50"/>
  <c r="T2534" i="50"/>
  <c r="T3248" i="50" s="1"/>
  <c r="AL1819" i="50"/>
  <c r="T1823" i="50"/>
  <c r="T2148" i="50"/>
  <c r="R1323" i="50"/>
  <c r="AF994" i="50"/>
  <c r="T109" i="50"/>
  <c r="P256" i="50"/>
  <c r="S2209" i="50"/>
  <c r="S2210" i="50" s="1"/>
  <c r="R1360" i="50"/>
  <c r="F975" i="50"/>
  <c r="R975" i="50" s="1"/>
  <c r="AH975" i="50" s="1"/>
  <c r="AL260" i="50"/>
  <c r="AM260" i="50" s="1"/>
  <c r="L2928" i="50"/>
  <c r="R1386" i="50"/>
  <c r="P592" i="50"/>
  <c r="AH750" i="50"/>
  <c r="AM167" i="50"/>
  <c r="AM440" i="50"/>
  <c r="AF945" i="50"/>
  <c r="P952" i="50"/>
  <c r="P242" i="50"/>
  <c r="R1246" i="50"/>
  <c r="H655" i="50"/>
  <c r="AD403" i="50"/>
  <c r="AF1057" i="50"/>
  <c r="AM279" i="50"/>
  <c r="R3044" i="50"/>
  <c r="L3050" i="50"/>
  <c r="R1368" i="50"/>
  <c r="AH1368" i="50" s="1"/>
  <c r="H709" i="50"/>
  <c r="I709" i="50" s="1"/>
  <c r="AF934" i="50"/>
  <c r="AF1136" i="50"/>
  <c r="AH1136" i="50" s="1"/>
  <c r="P2089" i="50"/>
  <c r="P2090" i="50" s="1"/>
  <c r="P2801" i="50"/>
  <c r="P3515" i="50" s="1"/>
  <c r="P3519" i="50" s="1"/>
  <c r="N2089" i="50"/>
  <c r="N2090" i="50" s="1"/>
  <c r="N2801" i="50"/>
  <c r="N3515" i="50" s="1"/>
  <c r="N3519" i="50" s="1"/>
  <c r="J620" i="50"/>
  <c r="H648" i="50"/>
  <c r="X179" i="50"/>
  <c r="AH1170" i="50"/>
  <c r="AM335" i="50"/>
  <c r="R3116" i="50"/>
  <c r="F3120" i="50"/>
  <c r="AH3206" i="50"/>
  <c r="AF3178" i="50"/>
  <c r="AH3178" i="50" s="1"/>
  <c r="AB3106" i="50"/>
  <c r="AF3102" i="50"/>
  <c r="R3314" i="50"/>
  <c r="N3316" i="50"/>
  <c r="AF3529" i="50"/>
  <c r="AF3523" i="50"/>
  <c r="AH3523" i="50" s="1"/>
  <c r="T3526" i="50"/>
  <c r="AH2635" i="50"/>
  <c r="AM76" i="50"/>
  <c r="AS82" i="50"/>
  <c r="R3219" i="50"/>
  <c r="AM1834" i="50"/>
  <c r="T2522" i="50"/>
  <c r="AL1807" i="50"/>
  <c r="T1809" i="50"/>
  <c r="T2150" i="50"/>
  <c r="AD2465" i="50"/>
  <c r="AD2149" i="50"/>
  <c r="AD1753" i="50"/>
  <c r="Z2465" i="50"/>
  <c r="Z1753" i="50"/>
  <c r="AB1754" i="50" s="1"/>
  <c r="AF1295" i="50"/>
  <c r="AB67" i="50"/>
  <c r="X8" i="72" s="1"/>
  <c r="AF1085" i="50"/>
  <c r="AB466" i="50"/>
  <c r="AD571" i="50"/>
  <c r="X109" i="50"/>
  <c r="R3409" i="50"/>
  <c r="F1199" i="50"/>
  <c r="R1199" i="50" s="1"/>
  <c r="AH1199" i="50" s="1"/>
  <c r="AL484" i="50"/>
  <c r="AM484" i="50" s="1"/>
  <c r="T709" i="50"/>
  <c r="U709" i="50" s="1"/>
  <c r="AG709" i="50" s="1"/>
  <c r="AF1087" i="50"/>
  <c r="F2568" i="50"/>
  <c r="F1858" i="50"/>
  <c r="J1859" i="50" s="1"/>
  <c r="AL1853" i="50"/>
  <c r="AM1853" i="50" s="1"/>
  <c r="J1858" i="50"/>
  <c r="N1859" i="50" s="1"/>
  <c r="J2568" i="50"/>
  <c r="N592" i="50"/>
  <c r="J291" i="50"/>
  <c r="X214" i="50"/>
  <c r="J445" i="50"/>
  <c r="AM83" i="50"/>
  <c r="AS89" i="50"/>
  <c r="AF1393" i="50"/>
  <c r="AH1100" i="50"/>
  <c r="AT131" i="50"/>
  <c r="V592" i="50"/>
  <c r="AF749" i="50"/>
  <c r="AG754" i="50" s="1"/>
  <c r="AG755" i="50" s="1"/>
  <c r="L2968" i="50"/>
  <c r="F655" i="50"/>
  <c r="Z396" i="50"/>
  <c r="AF1113" i="50"/>
  <c r="X2928" i="50"/>
  <c r="AM202" i="50"/>
  <c r="V228" i="50"/>
  <c r="Y10" i="72"/>
  <c r="X10" i="72"/>
  <c r="N487" i="50"/>
  <c r="H396" i="50"/>
  <c r="F1060" i="50"/>
  <c r="R1060" i="50" s="1"/>
  <c r="AL345" i="50"/>
  <c r="AM345" i="50" s="1"/>
  <c r="AF1109" i="50"/>
  <c r="T708" i="50"/>
  <c r="U708" i="50" s="1"/>
  <c r="AG708" i="50" s="1"/>
  <c r="V2583" i="50"/>
  <c r="V3297" i="50" s="1"/>
  <c r="V3302" i="50" s="1"/>
  <c r="V1872" i="50"/>
  <c r="V1873" i="50" s="1"/>
  <c r="AB2583" i="50"/>
  <c r="AB3297" i="50" s="1"/>
  <c r="AB3302" i="50" s="1"/>
  <c r="AB1872" i="50"/>
  <c r="AB1873" i="50" s="1"/>
  <c r="P648" i="50"/>
  <c r="R1239" i="50"/>
  <c r="AB522" i="50"/>
  <c r="F5" i="72"/>
  <c r="J410" i="50"/>
  <c r="X354" i="50"/>
  <c r="M6" i="72"/>
  <c r="F6" i="72"/>
  <c r="J137" i="50"/>
  <c r="Z158" i="50"/>
  <c r="H165" i="50"/>
  <c r="AL442" i="50"/>
  <c r="AM442" i="50" s="1"/>
  <c r="AL218" i="50"/>
  <c r="AM218" i="50" s="1"/>
  <c r="N3085" i="50"/>
  <c r="R3079" i="50"/>
  <c r="S3084" i="50" s="1"/>
  <c r="S3085" i="50" s="1"/>
  <c r="AM41" i="50"/>
  <c r="AM1661" i="50"/>
  <c r="N3386" i="50"/>
  <c r="R3382" i="50"/>
  <c r="M27" i="51"/>
  <c r="AH3562" i="50"/>
  <c r="S3567" i="50"/>
  <c r="S3568" i="50" s="1"/>
  <c r="AH2464" i="50"/>
  <c r="R2243" i="50"/>
  <c r="F2957" i="50"/>
  <c r="AH2270" i="50"/>
  <c r="R3450" i="50"/>
  <c r="X27" i="72"/>
  <c r="AM1528" i="50"/>
  <c r="AS1530" i="50"/>
  <c r="R3046" i="50"/>
  <c r="AH3046" i="50" s="1"/>
  <c r="J3050" i="50"/>
  <c r="AF3368" i="50"/>
  <c r="AH3368" i="50" s="1"/>
  <c r="AF2779" i="50"/>
  <c r="R1344" i="50"/>
  <c r="X777" i="50"/>
  <c r="Z193" i="50"/>
  <c r="U7" i="72"/>
  <c r="N7" i="72"/>
  <c r="AA5" i="72"/>
  <c r="X5" i="72"/>
  <c r="L256" i="50"/>
  <c r="R966" i="50"/>
  <c r="AT278" i="50"/>
  <c r="AH2365" i="50"/>
  <c r="F850" i="50"/>
  <c r="R850" i="50" s="1"/>
  <c r="AH850" i="50" s="1"/>
  <c r="AL135" i="50"/>
  <c r="AM135" i="50" s="1"/>
  <c r="R1367" i="50"/>
  <c r="AH1367" i="50" s="1"/>
  <c r="R1382" i="50"/>
  <c r="AH1382" i="50" s="1"/>
  <c r="N708" i="50"/>
  <c r="O708" i="50" s="1"/>
  <c r="AF1102" i="50"/>
  <c r="AH1102" i="50" s="1"/>
  <c r="AF1410" i="50"/>
  <c r="AG1412" i="50" s="1"/>
  <c r="AG1413" i="50" s="1"/>
  <c r="AF905" i="50"/>
  <c r="AH905" i="50" s="1"/>
  <c r="J2516" i="50"/>
  <c r="J3230" i="50" s="1"/>
  <c r="J3232" i="50" s="1"/>
  <c r="J1802" i="50"/>
  <c r="J1803" i="50" s="1"/>
  <c r="H599" i="50"/>
  <c r="L592" i="50"/>
  <c r="AM468" i="50"/>
  <c r="AT96" i="50"/>
  <c r="Y6" i="72"/>
  <c r="R6" i="72"/>
  <c r="AB641" i="50"/>
  <c r="AD592" i="50"/>
  <c r="AD606" i="50"/>
  <c r="N263" i="50"/>
  <c r="AF2508" i="50"/>
  <c r="AH2508" i="50" s="1"/>
  <c r="R3461" i="50"/>
  <c r="F3463" i="50"/>
  <c r="T2929" i="50"/>
  <c r="AF2215" i="50"/>
  <c r="AF973" i="50"/>
  <c r="AF875" i="50"/>
  <c r="U10" i="72"/>
  <c r="T10" i="72"/>
  <c r="L487" i="50"/>
  <c r="R1197" i="50"/>
  <c r="F822" i="50"/>
  <c r="AL107" i="50"/>
  <c r="AM107" i="50" s="1"/>
  <c r="N709" i="50"/>
  <c r="O709" i="50" s="1"/>
  <c r="X708" i="50"/>
  <c r="Y708" i="50" s="1"/>
  <c r="X522" i="50"/>
  <c r="J9" i="72"/>
  <c r="AF805" i="50"/>
  <c r="AM356" i="50"/>
  <c r="AS362" i="50"/>
  <c r="N137" i="50"/>
  <c r="AB382" i="50"/>
  <c r="N165" i="50"/>
  <c r="AL463" i="50"/>
  <c r="AM463" i="50" s="1"/>
  <c r="AL338" i="50"/>
  <c r="AM338" i="50" s="1"/>
  <c r="AL519" i="50"/>
  <c r="AM519" i="50" s="1"/>
  <c r="AL498" i="50"/>
  <c r="AM498" i="50" s="1"/>
  <c r="AL253" i="50"/>
  <c r="AM253" i="50" s="1"/>
  <c r="AF3496" i="50"/>
  <c r="AH3496" i="50" s="1"/>
  <c r="AF2942" i="50"/>
  <c r="AD2945" i="50"/>
  <c r="X3" i="72"/>
  <c r="AF721" i="50"/>
  <c r="T27" i="72"/>
  <c r="AL219" i="50"/>
  <c r="AM219" i="50" s="1"/>
  <c r="F1422" i="50"/>
  <c r="R722" i="50"/>
  <c r="AD1789" i="50"/>
  <c r="R1190" i="50"/>
  <c r="S1195" i="50" s="1"/>
  <c r="S1196" i="50" s="1"/>
  <c r="J2780" i="50"/>
  <c r="J3494" i="50" s="1"/>
  <c r="J3498" i="50" s="1"/>
  <c r="J2068" i="50"/>
  <c r="J2069" i="50" s="1"/>
  <c r="H2780" i="50"/>
  <c r="H3494" i="50" s="1"/>
  <c r="H3498" i="50" s="1"/>
  <c r="H2068" i="50"/>
  <c r="H2069" i="50" s="1"/>
  <c r="R1337" i="50"/>
  <c r="S1342" i="50" s="1"/>
  <c r="S1343" i="50" s="1"/>
  <c r="L193" i="50"/>
  <c r="R903" i="50"/>
  <c r="F186" i="50"/>
  <c r="V207" i="50"/>
  <c r="T648" i="50"/>
  <c r="AD501" i="50"/>
  <c r="T200" i="50"/>
  <c r="R1043" i="50"/>
  <c r="AM433" i="50"/>
  <c r="AF833" i="50"/>
  <c r="V571" i="50"/>
  <c r="AD109" i="50"/>
  <c r="AD445" i="50"/>
  <c r="Z599" i="50"/>
  <c r="AS61" i="50"/>
  <c r="AM55" i="50"/>
  <c r="AH2254" i="50"/>
  <c r="F1025" i="50"/>
  <c r="AL310" i="50"/>
  <c r="AM310" i="50" s="1"/>
  <c r="F2564" i="50"/>
  <c r="F3278" i="50" s="1"/>
  <c r="AL1849" i="50"/>
  <c r="AM1849" i="50" s="1"/>
  <c r="F2150" i="50"/>
  <c r="J2564" i="50"/>
  <c r="J3278" i="50" s="1"/>
  <c r="J2150" i="50"/>
  <c r="F599" i="50"/>
  <c r="J592" i="50"/>
  <c r="N641" i="50"/>
  <c r="X186" i="50"/>
  <c r="X256" i="50"/>
  <c r="X298" i="50"/>
  <c r="AH757" i="50"/>
  <c r="AF1379" i="50"/>
  <c r="N445" i="50"/>
  <c r="F27" i="72"/>
  <c r="X641" i="50"/>
  <c r="AH1275" i="50"/>
  <c r="AM118" i="50"/>
  <c r="R1113" i="50"/>
  <c r="AB221" i="50"/>
  <c r="V151" i="50"/>
  <c r="T592" i="50"/>
  <c r="AD557" i="50"/>
  <c r="V627" i="50"/>
  <c r="F263" i="50"/>
  <c r="R1141" i="50"/>
  <c r="AL302" i="50"/>
  <c r="AM302" i="50" s="1"/>
  <c r="AH765" i="50"/>
  <c r="AH1024" i="50"/>
  <c r="AL323" i="50"/>
  <c r="AM323" i="50" s="1"/>
  <c r="V2646" i="50"/>
  <c r="V3360" i="50" s="1"/>
  <c r="V3365" i="50" s="1"/>
  <c r="V1935" i="50"/>
  <c r="Z1936" i="50" s="1"/>
  <c r="Z2646" i="50"/>
  <c r="Z3360" i="50" s="1"/>
  <c r="Z3365" i="50" s="1"/>
  <c r="Z1935" i="50"/>
  <c r="AD1936" i="50" s="1"/>
  <c r="AD347" i="50"/>
  <c r="H347" i="50"/>
  <c r="N508" i="50"/>
  <c r="X165" i="50"/>
  <c r="Z424" i="50"/>
  <c r="Z326" i="50"/>
  <c r="AM349" i="50"/>
  <c r="T340" i="50"/>
  <c r="T305" i="50"/>
  <c r="T228" i="50"/>
  <c r="R1036" i="50"/>
  <c r="S1041" i="50" s="1"/>
  <c r="S1042" i="50" s="1"/>
  <c r="S10" i="72"/>
  <c r="R10" i="72"/>
  <c r="V676" i="50"/>
  <c r="T270" i="50"/>
  <c r="H67" i="50"/>
  <c r="F8" i="72" s="1"/>
  <c r="H487" i="50"/>
  <c r="P3260" i="50"/>
  <c r="R3254" i="50"/>
  <c r="F997" i="50"/>
  <c r="AL282" i="50"/>
  <c r="AM282" i="50" s="1"/>
  <c r="AF1046" i="50"/>
  <c r="AH1046" i="50" s="1"/>
  <c r="T3439" i="50"/>
  <c r="N2562" i="50"/>
  <c r="N1851" i="50"/>
  <c r="N1852" i="50" s="1"/>
  <c r="J1851" i="50"/>
  <c r="J2562" i="50"/>
  <c r="R1358" i="50"/>
  <c r="R1274" i="50"/>
  <c r="T179" i="50"/>
  <c r="AH953" i="50"/>
  <c r="H763" i="50"/>
  <c r="M5" i="72"/>
  <c r="J3" i="72"/>
  <c r="R931" i="50"/>
  <c r="V791" i="50"/>
  <c r="AF952" i="50"/>
  <c r="AM27" i="50"/>
  <c r="AS33" i="50"/>
  <c r="X333" i="50"/>
  <c r="AF1225" i="50"/>
  <c r="D12" i="72"/>
  <c r="AH991" i="50"/>
  <c r="AH879" i="50"/>
  <c r="AH856" i="50"/>
  <c r="R3032" i="50"/>
  <c r="AH3130" i="50"/>
  <c r="R3062" i="50"/>
  <c r="AH3062" i="50" s="1"/>
  <c r="H2980" i="50"/>
  <c r="R2975" i="50"/>
  <c r="R2992" i="50"/>
  <c r="AM363" i="50"/>
  <c r="R3045" i="50"/>
  <c r="F3050" i="50"/>
  <c r="AT1474" i="50"/>
  <c r="AB2534" i="50"/>
  <c r="AB3248" i="50" s="1"/>
  <c r="AB3253" i="50" s="1"/>
  <c r="AB1823" i="50"/>
  <c r="AB1824" i="50" s="1"/>
  <c r="AB2148" i="50"/>
  <c r="N952" i="50"/>
  <c r="N242" i="50"/>
  <c r="H2917" i="50"/>
  <c r="R2913" i="50"/>
  <c r="AH2913" i="50" s="1"/>
  <c r="V12" i="72"/>
  <c r="Z9" i="72"/>
  <c r="AH3076" i="50"/>
  <c r="AH3086" i="50"/>
  <c r="AD3090" i="50"/>
  <c r="AH2586" i="50"/>
  <c r="R3073" i="50"/>
  <c r="H3078" i="50"/>
  <c r="R1078" i="50"/>
  <c r="P3505" i="50"/>
  <c r="R3500" i="50"/>
  <c r="R3447" i="50"/>
  <c r="AM1468" i="50"/>
  <c r="AS1474" i="50"/>
  <c r="AG2148" i="50"/>
  <c r="Z200" i="50"/>
  <c r="AM13" i="50"/>
  <c r="AS19" i="50"/>
  <c r="AF819" i="50"/>
  <c r="V3488" i="50"/>
  <c r="F969" i="50"/>
  <c r="R969" i="50" s="1"/>
  <c r="AH969" i="50" s="1"/>
  <c r="AL254" i="50"/>
  <c r="AM254" i="50" s="1"/>
  <c r="AF1234" i="50"/>
  <c r="AH1234" i="50" s="1"/>
  <c r="P599" i="50"/>
  <c r="R1351" i="50"/>
  <c r="L291" i="50"/>
  <c r="R1001" i="50"/>
  <c r="AM300" i="50"/>
  <c r="AF924" i="50"/>
  <c r="L445" i="50"/>
  <c r="R1155" i="50"/>
  <c r="AF1288" i="50"/>
  <c r="H228" i="50"/>
  <c r="Z221" i="50"/>
  <c r="X592" i="50"/>
  <c r="X557" i="50"/>
  <c r="J263" i="50"/>
  <c r="AL491" i="50"/>
  <c r="AM491" i="50" s="1"/>
  <c r="AL324" i="50"/>
  <c r="AM324" i="50" s="1"/>
  <c r="AH706" i="50"/>
  <c r="H952" i="50"/>
  <c r="H242" i="50"/>
  <c r="J952" i="50"/>
  <c r="J242" i="50"/>
  <c r="AF1106" i="50"/>
  <c r="AF1120" i="50"/>
  <c r="R1127" i="50"/>
  <c r="AF1372" i="50"/>
  <c r="T2214" i="50"/>
  <c r="AH904" i="50"/>
  <c r="AM384" i="50"/>
  <c r="R2330" i="50"/>
  <c r="F1150" i="50"/>
  <c r="R1150" i="50" s="1"/>
  <c r="AH1150" i="50" s="1"/>
  <c r="AL435" i="50"/>
  <c r="AM435" i="50" s="1"/>
  <c r="F941" i="50"/>
  <c r="R941" i="50" s="1"/>
  <c r="AL226" i="50"/>
  <c r="AM226" i="50" s="1"/>
  <c r="F1158" i="50"/>
  <c r="R1158" i="50" s="1"/>
  <c r="AL443" i="50"/>
  <c r="AM443" i="50" s="1"/>
  <c r="R1305" i="50"/>
  <c r="R1332" i="50"/>
  <c r="AH1332" i="50" s="1"/>
  <c r="F1003" i="50"/>
  <c r="R1003" i="50" s="1"/>
  <c r="AH1003" i="50" s="1"/>
  <c r="AL288" i="50"/>
  <c r="AM288" i="50" s="1"/>
  <c r="AF871" i="50"/>
  <c r="AH871" i="50" s="1"/>
  <c r="AF780" i="50"/>
  <c r="H2089" i="50"/>
  <c r="H2090" i="50" s="1"/>
  <c r="H2801" i="50"/>
  <c r="H3515" i="50" s="1"/>
  <c r="H3519" i="50" s="1"/>
  <c r="L2089" i="50"/>
  <c r="L2090" i="50" s="1"/>
  <c r="L2801" i="50"/>
  <c r="L3515" i="50" s="1"/>
  <c r="L3519" i="50" s="1"/>
  <c r="J2556" i="50"/>
  <c r="J1844" i="50"/>
  <c r="J1845" i="50" s="1"/>
  <c r="J2149" i="50"/>
  <c r="L2556" i="50"/>
  <c r="L1844" i="50"/>
  <c r="L1845" i="50" s="1"/>
  <c r="L2149" i="50"/>
  <c r="L9" i="72"/>
  <c r="AM405" i="50"/>
  <c r="AF728" i="50"/>
  <c r="AG733" i="50" s="1"/>
  <c r="AG734" i="50" s="1"/>
  <c r="J706" i="50"/>
  <c r="K706" i="50" s="1"/>
  <c r="F3" i="72"/>
  <c r="J6" i="72"/>
  <c r="R847" i="50"/>
  <c r="T158" i="50"/>
  <c r="AS145" i="50"/>
  <c r="AM139" i="50"/>
  <c r="AL421" i="50"/>
  <c r="AM421" i="50" s="1"/>
  <c r="AL197" i="50"/>
  <c r="AM197" i="50" s="1"/>
  <c r="AL212" i="50"/>
  <c r="AM212" i="50" s="1"/>
  <c r="N231" i="49"/>
  <c r="N233" i="49" s="1"/>
  <c r="N116" i="49"/>
  <c r="O6" i="49" s="1"/>
  <c r="N120" i="49"/>
  <c r="V3323" i="50"/>
  <c r="R3394" i="50"/>
  <c r="AF3464" i="50"/>
  <c r="AF2809" i="50"/>
  <c r="R791" i="50"/>
  <c r="V2522" i="50"/>
  <c r="V3236" i="50" s="1"/>
  <c r="V3239" i="50" s="1"/>
  <c r="V1809" i="50"/>
  <c r="V1810" i="50" s="1"/>
  <c r="V2150" i="50"/>
  <c r="T2465" i="50"/>
  <c r="AL1750" i="50"/>
  <c r="T2149" i="50"/>
  <c r="T1753" i="50"/>
  <c r="X2465" i="50"/>
  <c r="X1753" i="50"/>
  <c r="Z1754" i="50" s="1"/>
  <c r="X2149" i="50"/>
  <c r="F543" i="50"/>
  <c r="AF1344" i="50"/>
  <c r="AM174" i="50"/>
  <c r="AB777" i="50"/>
  <c r="AF917" i="50"/>
  <c r="AB375" i="50"/>
  <c r="P438" i="50"/>
  <c r="AM370" i="50"/>
  <c r="AF903" i="50"/>
  <c r="Z494" i="50"/>
  <c r="AD599" i="50"/>
  <c r="F10" i="72"/>
  <c r="N256" i="50"/>
  <c r="AM1715" i="50"/>
  <c r="AS1719" i="50"/>
  <c r="R1304" i="50"/>
  <c r="AH1304" i="50" s="1"/>
  <c r="AF1319" i="50"/>
  <c r="AF941" i="50"/>
  <c r="AF1360" i="50"/>
  <c r="AH772" i="50"/>
  <c r="AF724" i="50"/>
  <c r="P1858" i="50"/>
  <c r="V1859" i="50" s="1"/>
  <c r="P2568" i="50"/>
  <c r="P3282" i="50" s="1"/>
  <c r="P3288" i="50" s="1"/>
  <c r="N2568" i="50"/>
  <c r="N1858" i="50"/>
  <c r="T1859" i="50" s="1"/>
  <c r="AF2485" i="50"/>
  <c r="T3199" i="50"/>
  <c r="J2928" i="50"/>
  <c r="D27" i="72"/>
  <c r="P228" i="50"/>
  <c r="R840" i="50"/>
  <c r="S845" i="50" s="1"/>
  <c r="S846" i="50" s="1"/>
  <c r="V606" i="50"/>
  <c r="AL176" i="50"/>
  <c r="AM176" i="50" s="1"/>
  <c r="AH1054" i="50"/>
  <c r="AM1539" i="50"/>
  <c r="R1365" i="50"/>
  <c r="R1281" i="50"/>
  <c r="AB403" i="50"/>
  <c r="AD424" i="50"/>
  <c r="AD326" i="50"/>
  <c r="R917" i="50"/>
  <c r="S922" i="50" s="1"/>
  <c r="S923" i="50" s="1"/>
  <c r="AM195" i="50"/>
  <c r="AM104" i="50"/>
  <c r="AF840" i="50"/>
  <c r="V305" i="50"/>
  <c r="R1162" i="50"/>
  <c r="T1422" i="50"/>
  <c r="AF722" i="50"/>
  <c r="F780" i="50"/>
  <c r="R780" i="50" s="1"/>
  <c r="AL65" i="50"/>
  <c r="AM65" i="50" s="1"/>
  <c r="T1060" i="50"/>
  <c r="AF1060" i="50" s="1"/>
  <c r="AG345" i="50"/>
  <c r="AI345" i="50" s="1"/>
  <c r="R1276" i="50"/>
  <c r="AH1276" i="50" s="1"/>
  <c r="F947" i="50"/>
  <c r="AL232" i="50"/>
  <c r="AM232" i="50" s="1"/>
  <c r="AF723" i="50"/>
  <c r="X2583" i="50"/>
  <c r="X3297" i="50" s="1"/>
  <c r="X3302" i="50" s="1"/>
  <c r="X1872" i="50"/>
  <c r="X1873" i="50" s="1"/>
  <c r="AF847" i="50"/>
  <c r="AM293" i="50"/>
  <c r="AF1162" i="50"/>
  <c r="F2929" i="50"/>
  <c r="R2215" i="50"/>
  <c r="L3183" i="50"/>
  <c r="AH3142" i="50"/>
  <c r="AF3275" i="50"/>
  <c r="AH3317" i="50"/>
  <c r="Z12" i="72"/>
  <c r="U9" i="72"/>
  <c r="T9" i="72"/>
  <c r="AF3135" i="50"/>
  <c r="V3141" i="50"/>
  <c r="P543" i="50"/>
  <c r="P578" i="50"/>
  <c r="N193" i="50"/>
  <c r="Z67" i="50"/>
  <c r="V11" i="72" s="1"/>
  <c r="T501" i="50"/>
  <c r="Z375" i="50"/>
  <c r="AD200" i="50"/>
  <c r="X466" i="50"/>
  <c r="Z571" i="50"/>
  <c r="V494" i="50"/>
  <c r="T599" i="50"/>
  <c r="AM146" i="50"/>
  <c r="R987" i="50"/>
  <c r="S992" i="50" s="1"/>
  <c r="S993" i="50" s="1"/>
  <c r="AM419" i="50"/>
  <c r="F1088" i="50"/>
  <c r="R1088" i="50" s="1"/>
  <c r="AH1088" i="50" s="1"/>
  <c r="AL373" i="50"/>
  <c r="AM373" i="50" s="1"/>
  <c r="N1423" i="50"/>
  <c r="N1437" i="50" s="1"/>
  <c r="Z709" i="50"/>
  <c r="AA709" i="50" s="1"/>
  <c r="AF891" i="50"/>
  <c r="AH891" i="50" s="1"/>
  <c r="F2516" i="50"/>
  <c r="AL1801" i="50"/>
  <c r="AM1801" i="50" s="1"/>
  <c r="F2151" i="50"/>
  <c r="L2516" i="50"/>
  <c r="L1802" i="50"/>
  <c r="L1803" i="50" s="1"/>
  <c r="AF896" i="50"/>
  <c r="AF966" i="50"/>
  <c r="AF1008" i="50"/>
  <c r="P291" i="50"/>
  <c r="R1183" i="50"/>
  <c r="AS96" i="50"/>
  <c r="AM90" i="50"/>
  <c r="J27" i="72"/>
  <c r="R1176" i="50"/>
  <c r="S1181" i="50" s="1"/>
  <c r="S1182" i="50" s="1"/>
  <c r="AL387" i="50"/>
  <c r="AM387" i="50" s="1"/>
  <c r="AL449" i="50"/>
  <c r="AM449" i="50" s="1"/>
  <c r="AL225" i="50"/>
  <c r="AM225" i="50" s="1"/>
  <c r="AM1793" i="50"/>
  <c r="R1316" i="50"/>
  <c r="V396" i="50"/>
  <c r="V347" i="50"/>
  <c r="X403" i="50"/>
  <c r="F347" i="50"/>
  <c r="AB165" i="50"/>
  <c r="T424" i="50"/>
  <c r="T326" i="50"/>
  <c r="T354" i="50"/>
  <c r="H109" i="50"/>
  <c r="N158" i="50"/>
  <c r="AM62" i="50"/>
  <c r="P396" i="50"/>
  <c r="F1010" i="50"/>
  <c r="R1010" i="50" s="1"/>
  <c r="AL295" i="50"/>
  <c r="AM295" i="50" s="1"/>
  <c r="F1220" i="50"/>
  <c r="AL505" i="50"/>
  <c r="AM505" i="50" s="1"/>
  <c r="AF899" i="50"/>
  <c r="AH899" i="50" s="1"/>
  <c r="N620" i="50"/>
  <c r="H669" i="50"/>
  <c r="N564" i="50"/>
  <c r="P410" i="50"/>
  <c r="T389" i="50"/>
  <c r="AO712" i="50"/>
  <c r="H298" i="50"/>
  <c r="Z452" i="50"/>
  <c r="R1071" i="50"/>
  <c r="S1076" i="50" s="1"/>
  <c r="S1077" i="50" s="1"/>
  <c r="R3325" i="50"/>
  <c r="Z3015" i="50"/>
  <c r="R3268" i="50"/>
  <c r="AF3340" i="50"/>
  <c r="AH3340" i="50" s="1"/>
  <c r="AF2782" i="50"/>
  <c r="AH2782" i="50" s="1"/>
  <c r="AL99" i="50"/>
  <c r="AM99" i="50" s="1"/>
  <c r="BP231" i="49"/>
  <c r="R2942" i="50"/>
  <c r="R3199" i="50"/>
  <c r="AF784" i="50"/>
  <c r="AG789" i="50" s="1"/>
  <c r="AG790" i="50" s="1"/>
  <c r="Z3176" i="50"/>
  <c r="X3218" i="50"/>
  <c r="AF3214" i="50"/>
  <c r="AH3214" i="50" s="1"/>
  <c r="P2780" i="50"/>
  <c r="P3494" i="50" s="1"/>
  <c r="P3498" i="50" s="1"/>
  <c r="P2068" i="50"/>
  <c r="P2069" i="50" s="1"/>
  <c r="N543" i="50"/>
  <c r="N578" i="50"/>
  <c r="V634" i="50"/>
  <c r="L186" i="50"/>
  <c r="R896" i="50"/>
  <c r="AF1358" i="50"/>
  <c r="AH1254" i="50"/>
  <c r="AF910" i="50"/>
  <c r="L438" i="50"/>
  <c r="R1148" i="50"/>
  <c r="H256" i="50"/>
  <c r="AF3460" i="50"/>
  <c r="AH3460" i="50" s="1"/>
  <c r="V3463" i="50"/>
  <c r="F1115" i="50"/>
  <c r="R1115" i="50" s="1"/>
  <c r="AL400" i="50"/>
  <c r="AM400" i="50" s="1"/>
  <c r="H708" i="50"/>
  <c r="I708" i="50" s="1"/>
  <c r="AH2150" i="50"/>
  <c r="S2150" i="50"/>
  <c r="AI2150" i="50" s="1"/>
  <c r="P2564" i="50"/>
  <c r="P2150" i="50"/>
  <c r="R1309" i="50"/>
  <c r="AH1324" i="50"/>
  <c r="AM223" i="50"/>
  <c r="R1204" i="50"/>
  <c r="AF1302" i="50"/>
  <c r="T606" i="50"/>
  <c r="AM258" i="50"/>
  <c r="AM377" i="50"/>
  <c r="R3040" i="50"/>
  <c r="N3043" i="50"/>
  <c r="AH849" i="50"/>
  <c r="AH1018" i="50"/>
  <c r="AH1040" i="50"/>
  <c r="AH942" i="50"/>
  <c r="AH758" i="50"/>
  <c r="AD2646" i="50"/>
  <c r="AD3360" i="50" s="1"/>
  <c r="AD3365" i="50" s="1"/>
  <c r="AD1935" i="50"/>
  <c r="R1393" i="50"/>
  <c r="AF1071" i="50"/>
  <c r="F354" i="50"/>
  <c r="AM153" i="50"/>
  <c r="AF1050" i="50"/>
  <c r="AF1015" i="50"/>
  <c r="AF938" i="50"/>
  <c r="F235" i="50"/>
  <c r="AM265" i="50"/>
  <c r="AF882" i="50"/>
  <c r="AF980" i="50"/>
  <c r="AF1417" i="50"/>
  <c r="AH1417" i="50" s="1"/>
  <c r="AH793" i="50"/>
  <c r="AF1144" i="50"/>
  <c r="L2562" i="50"/>
  <c r="L1851" i="50"/>
  <c r="L1852" i="50" s="1"/>
  <c r="F620" i="50"/>
  <c r="L648" i="50"/>
  <c r="L564" i="50"/>
  <c r="AF889" i="50"/>
  <c r="AH1268" i="50"/>
  <c r="H9" i="72"/>
  <c r="N410" i="50"/>
  <c r="X389" i="50"/>
  <c r="AS12" i="50"/>
  <c r="AM6" i="50"/>
  <c r="F312" i="50"/>
  <c r="AT313" i="50" s="1"/>
  <c r="P298" i="50"/>
  <c r="V452" i="50"/>
  <c r="P137" i="50"/>
  <c r="AH813" i="50"/>
  <c r="X382" i="50"/>
  <c r="P165" i="50"/>
  <c r="R784" i="50"/>
  <c r="AL148" i="50"/>
  <c r="AM148" i="50" s="1"/>
  <c r="AH963" i="50"/>
  <c r="AH1151" i="50"/>
  <c r="S231" i="49"/>
  <c r="S233" i="49" s="1"/>
  <c r="S116" i="49"/>
  <c r="R6" i="49" s="1"/>
  <c r="S120" i="49"/>
  <c r="AF3397" i="50"/>
  <c r="AH3397" i="50" s="1"/>
  <c r="AH3243" i="50"/>
  <c r="Z27" i="72"/>
  <c r="AF2904" i="50"/>
  <c r="AH2904" i="50" s="1"/>
  <c r="AF2968" i="50"/>
  <c r="AB2973" i="50"/>
  <c r="T2903" i="50"/>
  <c r="AF2897" i="50"/>
  <c r="Z1823" i="50"/>
  <c r="Z1824" i="50" s="1"/>
  <c r="Z2534" i="50"/>
  <c r="Z2148" i="50"/>
  <c r="D7" i="72"/>
  <c r="AM111" i="50"/>
  <c r="AS117" i="50"/>
  <c r="AB109" i="50"/>
  <c r="U5" i="72"/>
  <c r="R5" i="72"/>
  <c r="F976" i="50"/>
  <c r="R976" i="50" s="1"/>
  <c r="AH976" i="50" s="1"/>
  <c r="AL261" i="50"/>
  <c r="AM261" i="50" s="1"/>
  <c r="F898" i="50"/>
  <c r="AL183" i="50"/>
  <c r="AM183" i="50" s="1"/>
  <c r="R1312" i="50"/>
  <c r="J708" i="50"/>
  <c r="K708" i="50" s="1"/>
  <c r="R723" i="50"/>
  <c r="AF1269" i="50"/>
  <c r="AH1269" i="50" s="1"/>
  <c r="AF892" i="50"/>
  <c r="AH892" i="50" s="1"/>
  <c r="AF1416" i="50"/>
  <c r="AH1416" i="50" s="1"/>
  <c r="AF912" i="50"/>
  <c r="AH912" i="50" s="1"/>
  <c r="AF1305" i="50"/>
  <c r="AD709" i="50"/>
  <c r="AE709" i="50" s="1"/>
  <c r="AF1283" i="50"/>
  <c r="R2789" i="50"/>
  <c r="F3503" i="50"/>
  <c r="R1372" i="50"/>
  <c r="S1377" i="50" s="1"/>
  <c r="S1378" i="50" s="1"/>
  <c r="F2214" i="50"/>
  <c r="AM454" i="50"/>
  <c r="AH771" i="50"/>
  <c r="R882" i="50"/>
  <c r="AB214" i="50"/>
  <c r="AM209" i="50"/>
  <c r="F952" i="50"/>
  <c r="F242" i="50"/>
  <c r="AL237" i="50"/>
  <c r="L952" i="50"/>
  <c r="L242" i="50"/>
  <c r="R994" i="50"/>
  <c r="AA10" i="72"/>
  <c r="Z10" i="72"/>
  <c r="AF933" i="50"/>
  <c r="AH933" i="50" s="1"/>
  <c r="J709" i="50"/>
  <c r="K709" i="50" s="1"/>
  <c r="AF1115" i="50"/>
  <c r="J2801" i="50"/>
  <c r="J3515" i="50" s="1"/>
  <c r="J3519" i="50" s="1"/>
  <c r="J2089" i="50"/>
  <c r="J2090" i="50" s="1"/>
  <c r="H2556" i="50"/>
  <c r="H1844" i="50"/>
  <c r="H1845" i="50" s="1"/>
  <c r="F2556" i="50"/>
  <c r="F3270" i="50" s="1"/>
  <c r="AL1841" i="50"/>
  <c r="F1844" i="50"/>
  <c r="J648" i="50"/>
  <c r="AD522" i="50"/>
  <c r="AM20" i="50"/>
  <c r="K5" i="72"/>
  <c r="H3" i="72"/>
  <c r="R1050" i="50"/>
  <c r="AT145" i="50"/>
  <c r="AM160" i="50"/>
  <c r="AL177" i="50"/>
  <c r="AM177" i="50" s="1"/>
  <c r="AH1318" i="50"/>
  <c r="AF3335" i="50"/>
  <c r="AF2883" i="50"/>
  <c r="AH2883" i="50" s="1"/>
  <c r="R3012" i="50"/>
  <c r="AH1108" i="50"/>
  <c r="P2149" i="50"/>
  <c r="F3389" i="50"/>
  <c r="E9" i="72"/>
  <c r="AL198" i="50"/>
  <c r="AM198" i="50" s="1"/>
  <c r="R3335" i="50"/>
  <c r="T3263" i="50"/>
  <c r="Z2522" i="50"/>
  <c r="Z1809" i="50"/>
  <c r="Z1810" i="50" s="1"/>
  <c r="X2522" i="50"/>
  <c r="X1809" i="50"/>
  <c r="X1810" i="50" s="1"/>
  <c r="AB2465" i="50"/>
  <c r="AB1753" i="50"/>
  <c r="AB2149" i="50"/>
  <c r="R1253" i="50"/>
  <c r="P186" i="50"/>
  <c r="T67" i="50"/>
  <c r="P8" i="72" s="1"/>
  <c r="V200" i="50"/>
  <c r="AB571" i="50"/>
  <c r="AT117" i="50"/>
  <c r="Z109" i="50"/>
  <c r="R2430" i="50"/>
  <c r="F906" i="50"/>
  <c r="AL191" i="50"/>
  <c r="AM191" i="50" s="1"/>
  <c r="R1291" i="50"/>
  <c r="F1109" i="50"/>
  <c r="R1109" i="50" s="1"/>
  <c r="AL394" i="50"/>
  <c r="AM394" i="50" s="1"/>
  <c r="P708" i="50"/>
  <c r="Q708" i="50" s="1"/>
  <c r="AF878" i="50"/>
  <c r="AB709" i="50"/>
  <c r="AC709" i="50" s="1"/>
  <c r="H2568" i="50"/>
  <c r="H1858" i="50"/>
  <c r="L1859" i="50" s="1"/>
  <c r="N599" i="50"/>
  <c r="H291" i="50"/>
  <c r="Z214" i="50"/>
  <c r="H445" i="50"/>
  <c r="AF742" i="50"/>
  <c r="AF1351" i="50"/>
  <c r="V221" i="50"/>
  <c r="T151" i="50"/>
  <c r="AH1037" i="50"/>
  <c r="R725" i="50"/>
  <c r="Z2150" i="50"/>
  <c r="J655" i="50"/>
  <c r="X396" i="50"/>
  <c r="Z2928" i="50"/>
  <c r="R910" i="50"/>
  <c r="S915" i="50" s="1"/>
  <c r="S916" i="50" s="1"/>
  <c r="L11" i="72"/>
  <c r="J396" i="50"/>
  <c r="AH709" i="50"/>
  <c r="F870" i="50"/>
  <c r="AL155" i="50"/>
  <c r="AM155" i="50" s="1"/>
  <c r="R1249" i="50"/>
  <c r="AF822" i="50"/>
  <c r="AH808" i="50"/>
  <c r="AF1213" i="50"/>
  <c r="AH1213" i="50" s="1"/>
  <c r="AB708" i="50"/>
  <c r="AC708" i="50" s="1"/>
  <c r="Z2583" i="50"/>
  <c r="Z3297" i="50" s="1"/>
  <c r="Z3302" i="50" s="1"/>
  <c r="Z1872" i="50"/>
  <c r="Z1873" i="50" s="1"/>
  <c r="AD2583" i="50"/>
  <c r="AD3297" i="50" s="1"/>
  <c r="AD3302" i="50" s="1"/>
  <c r="AD1872" i="50"/>
  <c r="AD1873" i="50" s="1"/>
  <c r="P620" i="50"/>
  <c r="V179" i="50"/>
  <c r="T522" i="50"/>
  <c r="O5" i="72"/>
  <c r="J5" i="72"/>
  <c r="H410" i="50"/>
  <c r="AD389" i="50"/>
  <c r="P706" i="50"/>
  <c r="Q706" i="50" s="1"/>
  <c r="O6" i="72"/>
  <c r="H6" i="72"/>
  <c r="H137" i="50"/>
  <c r="X158" i="50"/>
  <c r="J165" i="50"/>
  <c r="AL106" i="50"/>
  <c r="AM106" i="50" s="1"/>
  <c r="AH3359" i="50"/>
  <c r="V3211" i="50"/>
  <c r="X3090" i="50"/>
  <c r="L3239" i="50"/>
  <c r="R3234" i="50"/>
  <c r="R2768" i="50"/>
  <c r="F3286" i="50"/>
  <c r="R3286" i="50" s="1"/>
  <c r="AF2654" i="50"/>
  <c r="V3170" i="50"/>
  <c r="T3430" i="50"/>
  <c r="R1260" i="50"/>
  <c r="AF959" i="50"/>
  <c r="Z777" i="50"/>
  <c r="AF1211" i="50"/>
  <c r="N438" i="50"/>
  <c r="H375" i="50"/>
  <c r="X193" i="50"/>
  <c r="V109" i="50"/>
  <c r="AF1309" i="50"/>
  <c r="AM251" i="50"/>
  <c r="R1134" i="50"/>
  <c r="AD3396" i="50"/>
  <c r="T1803" i="50"/>
  <c r="AO2153" i="50"/>
  <c r="P2516" i="50"/>
  <c r="P3230" i="50" s="1"/>
  <c r="P3232" i="50" s="1"/>
  <c r="P2151" i="50"/>
  <c r="L599" i="50"/>
  <c r="F592" i="50"/>
  <c r="AB186" i="50"/>
  <c r="V214" i="50"/>
  <c r="AF826" i="50"/>
  <c r="R805" i="50"/>
  <c r="AD641" i="50"/>
  <c r="N228" i="50"/>
  <c r="N403" i="50"/>
  <c r="AD221" i="50"/>
  <c r="X151" i="50"/>
  <c r="T557" i="50"/>
  <c r="N382" i="50"/>
  <c r="N431" i="50"/>
  <c r="X3222" i="50"/>
  <c r="P536" i="50"/>
  <c r="P655" i="50"/>
  <c r="AH834" i="50"/>
  <c r="AM342" i="50"/>
  <c r="R812" i="50"/>
  <c r="V2928" i="50"/>
  <c r="AF1134" i="50"/>
  <c r="AF987" i="50"/>
  <c r="AF1036" i="50"/>
  <c r="AF1064" i="50"/>
  <c r="N235" i="50"/>
  <c r="W10" i="72"/>
  <c r="V10" i="72"/>
  <c r="R1029" i="50"/>
  <c r="S1034" i="50" s="1"/>
  <c r="S1035" i="50" s="1"/>
  <c r="F67" i="50"/>
  <c r="D8" i="72" s="1"/>
  <c r="F835" i="50"/>
  <c r="AL120" i="50"/>
  <c r="AM120" i="50" s="1"/>
  <c r="Z708" i="50"/>
  <c r="AA708" i="50" s="1"/>
  <c r="Z522" i="50"/>
  <c r="S8" i="72"/>
  <c r="AM48" i="50"/>
  <c r="AS54" i="50"/>
  <c r="AF1099" i="50"/>
  <c r="N706" i="50"/>
  <c r="O706" i="50" s="1"/>
  <c r="Z354" i="50"/>
  <c r="V158" i="50"/>
  <c r="T382" i="50"/>
  <c r="AL477" i="50"/>
  <c r="AM477" i="50" s="1"/>
  <c r="L3106" i="50"/>
  <c r="BU231" i="49"/>
  <c r="AF2486" i="50"/>
  <c r="AH2486" i="50" s="1"/>
  <c r="AF2850" i="50"/>
  <c r="T3473" i="50"/>
  <c r="V27" i="72"/>
  <c r="AL184" i="50"/>
  <c r="AM184" i="50" s="1"/>
  <c r="R2485" i="50"/>
  <c r="X12" i="72"/>
  <c r="Z2149" i="50"/>
  <c r="V3339" i="50"/>
  <c r="AF2500" i="50"/>
  <c r="X3279" i="50"/>
  <c r="N2780" i="50"/>
  <c r="N3494" i="50" s="1"/>
  <c r="N3498" i="50" s="1"/>
  <c r="N2068" i="50"/>
  <c r="N2069" i="50" s="1"/>
  <c r="F2780" i="50"/>
  <c r="F3494" i="50" s="1"/>
  <c r="F2068" i="50"/>
  <c r="F2069" i="50" s="1"/>
  <c r="F193" i="50"/>
  <c r="V67" i="50"/>
  <c r="R8" i="72" s="1"/>
  <c r="T102" i="50"/>
  <c r="AB648" i="50"/>
  <c r="AB501" i="50"/>
  <c r="AF1260" i="50"/>
  <c r="AB200" i="50"/>
  <c r="P375" i="50"/>
  <c r="V466" i="50"/>
  <c r="L7" i="72"/>
  <c r="Y5" i="72"/>
  <c r="V5" i="72"/>
  <c r="AD494" i="50"/>
  <c r="X599" i="50"/>
  <c r="F982" i="50"/>
  <c r="AL267" i="50"/>
  <c r="AM267" i="50" s="1"/>
  <c r="F1122" i="50"/>
  <c r="R1122" i="50" s="1"/>
  <c r="AL407" i="50"/>
  <c r="AM407" i="50" s="1"/>
  <c r="F1144" i="50"/>
  <c r="R1144" i="50" s="1"/>
  <c r="AL429" i="50"/>
  <c r="AM429" i="50" s="1"/>
  <c r="L2564" i="50"/>
  <c r="L2150" i="50"/>
  <c r="J599" i="50"/>
  <c r="N459" i="50"/>
  <c r="H592" i="50"/>
  <c r="Z186" i="50"/>
  <c r="Z256" i="50"/>
  <c r="Z298" i="50"/>
  <c r="N291" i="50"/>
  <c r="J473" i="50"/>
  <c r="AD214" i="50"/>
  <c r="AF1323" i="50"/>
  <c r="H27" i="72"/>
  <c r="AA6" i="72"/>
  <c r="T6" i="72"/>
  <c r="Z641" i="50"/>
  <c r="AD578" i="50"/>
  <c r="L123" i="50"/>
  <c r="R833" i="50"/>
  <c r="F228" i="50"/>
  <c r="AM398" i="50"/>
  <c r="T221" i="50"/>
  <c r="AB592" i="50"/>
  <c r="AB557" i="50"/>
  <c r="AH1030" i="50"/>
  <c r="AF1316" i="50"/>
  <c r="AF1400" i="50"/>
  <c r="L263" i="50"/>
  <c r="R973" i="50"/>
  <c r="F382" i="50"/>
  <c r="F431" i="50"/>
  <c r="AL190" i="50"/>
  <c r="AM190" i="50" s="1"/>
  <c r="AH788" i="50"/>
  <c r="AH1026" i="50"/>
  <c r="AH914" i="50"/>
  <c r="AH1353" i="50"/>
  <c r="Y7" i="72"/>
  <c r="R7" i="72"/>
  <c r="X2646" i="50"/>
  <c r="X3360" i="50" s="1"/>
  <c r="X3365" i="50" s="1"/>
  <c r="X1935" i="50"/>
  <c r="AB1936" i="50" s="1"/>
  <c r="J683" i="50"/>
  <c r="N536" i="50"/>
  <c r="J606" i="50"/>
  <c r="N655" i="50"/>
  <c r="AD396" i="50"/>
  <c r="AH1142" i="50"/>
  <c r="P347" i="50"/>
  <c r="N417" i="50"/>
  <c r="Z165" i="50"/>
  <c r="X424" i="50"/>
  <c r="X326" i="50"/>
  <c r="J354" i="50"/>
  <c r="R1064" i="50"/>
  <c r="F158" i="50"/>
  <c r="AB340" i="50"/>
  <c r="AB305" i="50"/>
  <c r="AB228" i="50"/>
  <c r="AM230" i="50"/>
  <c r="AM321" i="50"/>
  <c r="F270" i="50"/>
  <c r="AB172" i="50"/>
  <c r="AB270" i="50"/>
  <c r="AF1141" i="50"/>
  <c r="J67" i="50"/>
  <c r="H8" i="72" s="1"/>
  <c r="J487" i="50"/>
  <c r="N396" i="50"/>
  <c r="R1319" i="50"/>
  <c r="F709" i="50"/>
  <c r="G709" i="50" s="1"/>
  <c r="S709" i="50" s="1"/>
  <c r="AF1311" i="50"/>
  <c r="AH1311" i="50" s="1"/>
  <c r="AH807" i="50"/>
  <c r="S2148" i="50"/>
  <c r="AH2148" i="50"/>
  <c r="F2562" i="50"/>
  <c r="AL1847" i="50"/>
  <c r="F1851" i="50"/>
  <c r="P1851" i="50"/>
  <c r="P2562" i="50"/>
  <c r="R1330" i="50"/>
  <c r="AB179" i="50"/>
  <c r="AH848" i="50"/>
  <c r="AH1408" i="50"/>
  <c r="AM307" i="50"/>
  <c r="AM216" i="50"/>
  <c r="V354" i="50"/>
  <c r="Z333" i="50"/>
  <c r="AH935" i="50"/>
  <c r="AG747" i="50" l="1"/>
  <c r="AG748" i="50" s="1"/>
  <c r="R14" i="72"/>
  <c r="AG768" i="50"/>
  <c r="AG769" i="50" s="1"/>
  <c r="AH767" i="50"/>
  <c r="AH1158" i="50"/>
  <c r="AS278" i="50"/>
  <c r="S936" i="50"/>
  <c r="S937" i="50" s="1"/>
  <c r="AG775" i="50"/>
  <c r="AG776" i="50" s="1"/>
  <c r="Z14" i="72"/>
  <c r="AH1004" i="50"/>
  <c r="R959" i="50"/>
  <c r="S964" i="50" s="1"/>
  <c r="S965" i="50" s="1"/>
  <c r="S1083" i="50"/>
  <c r="S1084" i="50" s="1"/>
  <c r="AS320" i="50"/>
  <c r="AI19" i="72"/>
  <c r="AE19" i="72"/>
  <c r="AG19" i="72" s="1"/>
  <c r="H7" i="72"/>
  <c r="H17" i="72"/>
  <c r="AI20" i="72"/>
  <c r="AE20" i="72"/>
  <c r="AG20" i="72" s="1"/>
  <c r="AI18" i="72"/>
  <c r="AE18" i="72"/>
  <c r="AG18" i="72" s="1"/>
  <c r="J8" i="72"/>
  <c r="P68" i="50"/>
  <c r="O14" i="72" s="1"/>
  <c r="J14" i="72"/>
  <c r="AI25" i="72"/>
  <c r="AE25" i="72"/>
  <c r="AG25" i="72" s="1"/>
  <c r="AH828" i="50"/>
  <c r="AG726" i="50"/>
  <c r="AG727" i="50" s="1"/>
  <c r="AI24" i="72"/>
  <c r="AE24" i="72"/>
  <c r="AG24" i="72" s="1"/>
  <c r="S1139" i="50"/>
  <c r="S1140" i="50" s="1"/>
  <c r="X14" i="72"/>
  <c r="AI21" i="72"/>
  <c r="AE21" i="72"/>
  <c r="AG21" i="72" s="1"/>
  <c r="L14" i="72"/>
  <c r="L17" i="72"/>
  <c r="J12" i="72"/>
  <c r="AB12" i="72" s="1"/>
  <c r="AB16" i="72"/>
  <c r="AI23" i="72"/>
  <c r="AE23" i="72"/>
  <c r="AG23" i="72" s="1"/>
  <c r="D14" i="72"/>
  <c r="D17" i="72"/>
  <c r="AG1244" i="50"/>
  <c r="AG1245" i="50" s="1"/>
  <c r="T14" i="72"/>
  <c r="N14" i="72"/>
  <c r="N28" i="72" s="1"/>
  <c r="N17" i="72"/>
  <c r="P14" i="72"/>
  <c r="S1265" i="50"/>
  <c r="S1266" i="50" s="1"/>
  <c r="AI710" i="50"/>
  <c r="S887" i="50"/>
  <c r="S888" i="50" s="1"/>
  <c r="Q1425" i="50"/>
  <c r="S1048" i="50"/>
  <c r="S1049" i="50" s="1"/>
  <c r="S1020" i="50"/>
  <c r="S1021" i="50" s="1"/>
  <c r="V14" i="72"/>
  <c r="S2272" i="50"/>
  <c r="S2273" i="50" s="1"/>
  <c r="AH2170" i="50"/>
  <c r="AS1453" i="50"/>
  <c r="AT1453" i="50"/>
  <c r="S2244" i="50"/>
  <c r="S2245" i="50" s="1"/>
  <c r="AH2614" i="50"/>
  <c r="AS1782" i="50"/>
  <c r="AH2792" i="50"/>
  <c r="AH2982" i="50"/>
  <c r="AS1684" i="50"/>
  <c r="AS1691" i="50"/>
  <c r="AS1628" i="50"/>
  <c r="V1803" i="50"/>
  <c r="AF3125" i="50"/>
  <c r="AG2391" i="50"/>
  <c r="AG2392" i="50" s="1"/>
  <c r="X1943" i="50"/>
  <c r="S2195" i="50"/>
  <c r="S2196" i="50" s="1"/>
  <c r="X3267" i="50"/>
  <c r="AH2778" i="50"/>
  <c r="R3039" i="50"/>
  <c r="AH3039" i="50" s="1"/>
  <c r="AH2310" i="50"/>
  <c r="AS1670" i="50"/>
  <c r="P3337" i="50"/>
  <c r="P1943" i="50"/>
  <c r="S3483" i="50"/>
  <c r="S3484" i="50" s="1"/>
  <c r="S2328" i="50"/>
  <c r="S2329" i="50" s="1"/>
  <c r="AS1663" i="50"/>
  <c r="AU1663" i="50" s="1"/>
  <c r="AB1943" i="50"/>
  <c r="J1789" i="50"/>
  <c r="AT1789" i="50" s="1"/>
  <c r="AU1789" i="50" s="1"/>
  <c r="AS1789" i="50"/>
  <c r="S2895" i="50"/>
  <c r="S2896" i="50" s="1"/>
  <c r="AH2225" i="50"/>
  <c r="N3225" i="50"/>
  <c r="AS1523" i="50"/>
  <c r="S3406" i="50"/>
  <c r="S3407" i="50" s="1"/>
  <c r="AH3367" i="50"/>
  <c r="AU1551" i="50"/>
  <c r="S2419" i="50"/>
  <c r="S2420" i="50" s="1"/>
  <c r="AH2537" i="50"/>
  <c r="S2986" i="50"/>
  <c r="S2987" i="50" s="1"/>
  <c r="S2965" i="50"/>
  <c r="S2966" i="50" s="1"/>
  <c r="AH3114" i="50"/>
  <c r="AH3251" i="50"/>
  <c r="AC26" i="72"/>
  <c r="O1425" i="50"/>
  <c r="K1425" i="50"/>
  <c r="P5" i="72"/>
  <c r="AB5" i="72" s="1"/>
  <c r="AI5" i="72" s="1"/>
  <c r="T26" i="50"/>
  <c r="L40" i="50"/>
  <c r="K17" i="72" s="1"/>
  <c r="AC17" i="72" s="1"/>
  <c r="AG706" i="50"/>
  <c r="AH729" i="50"/>
  <c r="S706" i="50"/>
  <c r="AI707" i="50"/>
  <c r="AI709" i="50"/>
  <c r="AT369" i="50"/>
  <c r="AS369" i="50"/>
  <c r="AH760" i="50"/>
  <c r="AF756" i="50"/>
  <c r="X1421" i="50"/>
  <c r="Y1421" i="50" s="1"/>
  <c r="AS47" i="50"/>
  <c r="AC1425" i="50"/>
  <c r="AC710" i="50"/>
  <c r="AH934" i="50"/>
  <c r="Y1425" i="50"/>
  <c r="Y710" i="50"/>
  <c r="S1237" i="50"/>
  <c r="S1238" i="50" s="1"/>
  <c r="W1425" i="50"/>
  <c r="W710" i="50"/>
  <c r="AH1103" i="50"/>
  <c r="AE1425" i="50"/>
  <c r="AE710" i="50"/>
  <c r="AH1278" i="50"/>
  <c r="AH1404" i="50"/>
  <c r="AT215" i="50"/>
  <c r="S831" i="50"/>
  <c r="S832" i="50" s="1"/>
  <c r="AA1425" i="50"/>
  <c r="F1425" i="50"/>
  <c r="AS250" i="50"/>
  <c r="AH1236" i="50"/>
  <c r="BK96" i="49"/>
  <c r="BK70" i="49"/>
  <c r="BK108" i="49"/>
  <c r="BK82" i="49"/>
  <c r="BK78" i="49"/>
  <c r="BK105" i="49"/>
  <c r="BK41" i="49"/>
  <c r="BK77" i="49"/>
  <c r="BK115" i="49"/>
  <c r="AM246" i="50"/>
  <c r="AH1171" i="50"/>
  <c r="BK68" i="49"/>
  <c r="BK32" i="49"/>
  <c r="BK84" i="49"/>
  <c r="BK40" i="49"/>
  <c r="BK100" i="49"/>
  <c r="BK73" i="49"/>
  <c r="BK55" i="49"/>
  <c r="BK109" i="49"/>
  <c r="BK83" i="49"/>
  <c r="BK19" i="49"/>
  <c r="J1943" i="50"/>
  <c r="AH3024" i="50"/>
  <c r="BK243" i="49"/>
  <c r="J2147" i="50"/>
  <c r="J2154" i="50" s="1"/>
  <c r="J3337" i="50"/>
  <c r="AF2232" i="50"/>
  <c r="AG2237" i="50" s="1"/>
  <c r="AG2238" i="50" s="1"/>
  <c r="BK51" i="49"/>
  <c r="AH3237" i="50"/>
  <c r="F2921" i="50"/>
  <c r="J1907" i="50"/>
  <c r="BH243" i="49"/>
  <c r="BP243" i="49" s="1"/>
  <c r="BU243" i="49" s="1"/>
  <c r="J243" i="49"/>
  <c r="BH241" i="49"/>
  <c r="BP241" i="49" s="1"/>
  <c r="BU241" i="49" s="1"/>
  <c r="J241" i="49"/>
  <c r="BH244" i="49"/>
  <c r="BP244" i="49" s="1"/>
  <c r="BU244" i="49" s="1"/>
  <c r="J244" i="49"/>
  <c r="BH248" i="49"/>
  <c r="BP248" i="49" s="1"/>
  <c r="BU248" i="49" s="1"/>
  <c r="J248" i="49"/>
  <c r="J252" i="49"/>
  <c r="BH252" i="49"/>
  <c r="BP252" i="49" s="1"/>
  <c r="BU252" i="49" s="1"/>
  <c r="BH242" i="49"/>
  <c r="BP242" i="49" s="1"/>
  <c r="BU242" i="49" s="1"/>
  <c r="J242" i="49"/>
  <c r="BH247" i="49"/>
  <c r="BP247" i="49" s="1"/>
  <c r="BU247" i="49" s="1"/>
  <c r="J247" i="49"/>
  <c r="AG1132" i="50"/>
  <c r="AG1133" i="50" s="1"/>
  <c r="S1244" i="50"/>
  <c r="S1245" i="50" s="1"/>
  <c r="AH1131" i="50"/>
  <c r="S1405" i="50"/>
  <c r="S1406" i="50" s="1"/>
  <c r="S929" i="50"/>
  <c r="S930" i="50" s="1"/>
  <c r="AH927" i="50"/>
  <c r="M1425" i="50"/>
  <c r="R2915" i="50"/>
  <c r="AH2915" i="50" s="1"/>
  <c r="R2201" i="50"/>
  <c r="AH2201" i="50" s="1"/>
  <c r="J246" i="49"/>
  <c r="BH246" i="49"/>
  <c r="K341" i="49"/>
  <c r="K343" i="49" s="1"/>
  <c r="AD1845" i="50"/>
  <c r="F3477" i="50"/>
  <c r="AF2180" i="50"/>
  <c r="AH2180" i="50" s="1"/>
  <c r="N1943" i="50"/>
  <c r="N2153" i="50" s="1"/>
  <c r="AF2926" i="50"/>
  <c r="AH2926" i="50" s="1"/>
  <c r="L2903" i="50"/>
  <c r="R2901" i="50"/>
  <c r="AH2901" i="50" s="1"/>
  <c r="I1425" i="50"/>
  <c r="AB15" i="72"/>
  <c r="AB26" i="72"/>
  <c r="AI26" i="72" s="1"/>
  <c r="BK259" i="49"/>
  <c r="BK265" i="49"/>
  <c r="BK312" i="49"/>
  <c r="BK288" i="49"/>
  <c r="BK268" i="49"/>
  <c r="BK315" i="49"/>
  <c r="BK277" i="49"/>
  <c r="BK301" i="49"/>
  <c r="BK329" i="49"/>
  <c r="BK249" i="49"/>
  <c r="BK252" i="49"/>
  <c r="BK254" i="49"/>
  <c r="BK250" i="49"/>
  <c r="BK269" i="49"/>
  <c r="BK294" i="49"/>
  <c r="BK316" i="49"/>
  <c r="BK292" i="49"/>
  <c r="BK324" i="49"/>
  <c r="BK272" i="49"/>
  <c r="BK283" i="49"/>
  <c r="BK319" i="49"/>
  <c r="BK306" i="49"/>
  <c r="BK281" i="49"/>
  <c r="BK305" i="49"/>
  <c r="BK322" i="49"/>
  <c r="BK293" i="49"/>
  <c r="BK323" i="49"/>
  <c r="BK295" i="49"/>
  <c r="BK320" i="49"/>
  <c r="BK278" i="49"/>
  <c r="BK284" i="49"/>
  <c r="BK321" i="49"/>
  <c r="BK340" i="49"/>
  <c r="N3274" i="50"/>
  <c r="AS1621" i="50"/>
  <c r="AF2243" i="50"/>
  <c r="F3148" i="50"/>
  <c r="BK17" i="49"/>
  <c r="BK21" i="49"/>
  <c r="AM1447" i="50"/>
  <c r="AM1512" i="50"/>
  <c r="AG2272" i="50"/>
  <c r="AG2273" i="50" s="1"/>
  <c r="AH2213" i="50"/>
  <c r="S3112" i="50"/>
  <c r="S3113" i="50" s="1"/>
  <c r="AH1383" i="50"/>
  <c r="Z2896" i="50"/>
  <c r="AT1670" i="50"/>
  <c r="AU1670" i="50" s="1"/>
  <c r="L3193" i="50"/>
  <c r="R3193" i="50" s="1"/>
  <c r="AH3193" i="50" s="1"/>
  <c r="AH2729" i="50"/>
  <c r="AC341" i="49"/>
  <c r="AH341" i="49"/>
  <c r="BK248" i="49"/>
  <c r="BK245" i="49"/>
  <c r="BK253" i="49"/>
  <c r="BK310" i="49"/>
  <c r="BK291" i="49"/>
  <c r="BK270" i="49"/>
  <c r="BK303" i="49"/>
  <c r="BK317" i="49"/>
  <c r="BK280" i="49"/>
  <c r="BK302" i="49"/>
  <c r="BK308" i="49"/>
  <c r="BK332" i="49"/>
  <c r="BK335" i="49"/>
  <c r="BK336" i="49"/>
  <c r="BK18" i="49"/>
  <c r="X2896" i="50"/>
  <c r="F7" i="72"/>
  <c r="AB7" i="72" s="1"/>
  <c r="F14" i="72"/>
  <c r="AT1523" i="50"/>
  <c r="BK263" i="49"/>
  <c r="BK257" i="49"/>
  <c r="BK255" i="49"/>
  <c r="BK274" i="49"/>
  <c r="BK304" i="49"/>
  <c r="BK334" i="49"/>
  <c r="BK337" i="49"/>
  <c r="AR341" i="49"/>
  <c r="AH3020" i="50"/>
  <c r="BK16" i="49"/>
  <c r="BK20" i="49"/>
  <c r="S2601" i="50"/>
  <c r="S2602" i="50" s="1"/>
  <c r="AH2394" i="50"/>
  <c r="L3169" i="50"/>
  <c r="AH1257" i="50"/>
  <c r="V2896" i="50"/>
  <c r="R2670" i="50"/>
  <c r="R2495" i="50"/>
  <c r="S2496" i="50" s="1"/>
  <c r="S2497" i="50" s="1"/>
  <c r="BK251" i="49"/>
  <c r="BK256" i="49"/>
  <c r="BK275" i="49"/>
  <c r="BK267" i="49"/>
  <c r="BK246" i="49"/>
  <c r="BK262" i="49"/>
  <c r="BK318" i="49"/>
  <c r="BK273" i="49"/>
  <c r="BK299" i="49"/>
  <c r="BK307" i="49"/>
  <c r="BK260" i="49"/>
  <c r="BK276" i="49"/>
  <c r="BK286" i="49"/>
  <c r="BK285" i="49"/>
  <c r="BK326" i="49"/>
  <c r="BK328" i="49"/>
  <c r="BK297" i="49"/>
  <c r="BK325" i="49"/>
  <c r="BK338" i="49"/>
  <c r="AM341" i="49"/>
  <c r="AS1467" i="50"/>
  <c r="S2482" i="50"/>
  <c r="S2483" i="50" s="1"/>
  <c r="AH3403" i="50"/>
  <c r="S2811" i="50"/>
  <c r="S2812" i="50" s="1"/>
  <c r="AT1782" i="50"/>
  <c r="X341" i="49"/>
  <c r="BK241" i="49"/>
  <c r="BK258" i="49"/>
  <c r="BK242" i="49"/>
  <c r="BK314" i="49"/>
  <c r="BK247" i="49"/>
  <c r="BK271" i="49"/>
  <c r="BK261" i="49"/>
  <c r="BK287" i="49"/>
  <c r="BK296" i="49"/>
  <c r="BK266" i="49"/>
  <c r="BK282" i="49"/>
  <c r="BK300" i="49"/>
  <c r="BK313" i="49"/>
  <c r="BK264" i="49"/>
  <c r="BK279" i="49"/>
  <c r="BK311" i="49"/>
  <c r="BK290" i="49"/>
  <c r="BK333" i="49"/>
  <c r="BK289" i="49"/>
  <c r="BK298" i="49"/>
  <c r="BK330" i="49"/>
  <c r="BK309" i="49"/>
  <c r="BK327" i="49"/>
  <c r="BK331" i="49"/>
  <c r="BK339" i="49"/>
  <c r="V3437" i="50"/>
  <c r="AF2723" i="50"/>
  <c r="AW341" i="49"/>
  <c r="AH1243" i="50"/>
  <c r="AF3342" i="50"/>
  <c r="AH3342" i="50" s="1"/>
  <c r="AD3344" i="50"/>
  <c r="S2769" i="50"/>
  <c r="S2770" i="50" s="1"/>
  <c r="BK22" i="49"/>
  <c r="BK26" i="49"/>
  <c r="BK56" i="49"/>
  <c r="BK49" i="49"/>
  <c r="BK31" i="49"/>
  <c r="BK85" i="49"/>
  <c r="BK27" i="49"/>
  <c r="N3162" i="50"/>
  <c r="AS1705" i="50"/>
  <c r="X3547" i="50"/>
  <c r="J3169" i="50"/>
  <c r="AG2797" i="50"/>
  <c r="AG2798" i="50" s="1"/>
  <c r="AH3156" i="50"/>
  <c r="T3386" i="50"/>
  <c r="J3209" i="50"/>
  <c r="J3211" i="50" s="1"/>
  <c r="AF2628" i="50"/>
  <c r="AH2628" i="50" s="1"/>
  <c r="BK80" i="49"/>
  <c r="BK28" i="49"/>
  <c r="BK65" i="49"/>
  <c r="BK37" i="49"/>
  <c r="AB3337" i="50"/>
  <c r="J3036" i="50"/>
  <c r="P1907" i="50"/>
  <c r="AH1362" i="50"/>
  <c r="AH3333" i="50"/>
  <c r="S2685" i="50"/>
  <c r="S2686" i="50" s="1"/>
  <c r="S3399" i="50"/>
  <c r="S3400" i="50" s="1"/>
  <c r="AB4" i="72"/>
  <c r="AI4" i="72" s="1"/>
  <c r="S2524" i="50"/>
  <c r="S2525" i="50" s="1"/>
  <c r="AD3113" i="50"/>
  <c r="AD3533" i="50"/>
  <c r="H3022" i="50"/>
  <c r="AH2520" i="50"/>
  <c r="AH3506" i="50"/>
  <c r="F3512" i="50"/>
  <c r="X3337" i="50"/>
  <c r="AH2897" i="50"/>
  <c r="BK112" i="49"/>
  <c r="BK48" i="49"/>
  <c r="BK86" i="49"/>
  <c r="BK58" i="49"/>
  <c r="BK60" i="49"/>
  <c r="BK98" i="49"/>
  <c r="BK34" i="49"/>
  <c r="BK94" i="49"/>
  <c r="BK30" i="49"/>
  <c r="BK113" i="49"/>
  <c r="BK81" i="49"/>
  <c r="BK95" i="49"/>
  <c r="BK63" i="49"/>
  <c r="BK53" i="49"/>
  <c r="BK91" i="49"/>
  <c r="BK59" i="49"/>
  <c r="T3318" i="50"/>
  <c r="AF3318" i="50" s="1"/>
  <c r="AH3318" i="50" s="1"/>
  <c r="AF2604" i="50"/>
  <c r="AF2299" i="50"/>
  <c r="F3167" i="50"/>
  <c r="R3167" i="50" s="1"/>
  <c r="AH3167" i="50" s="1"/>
  <c r="R2453" i="50"/>
  <c r="AH2453" i="50" s="1"/>
  <c r="J3529" i="50"/>
  <c r="AF42" i="32"/>
  <c r="AD42" i="32"/>
  <c r="P3428" i="50"/>
  <c r="R3424" i="50"/>
  <c r="AH3424" i="50" s="1"/>
  <c r="R2656" i="50"/>
  <c r="T2989" i="50"/>
  <c r="AF2989" i="50" s="1"/>
  <c r="AH2989" i="50" s="1"/>
  <c r="AF2275" i="50"/>
  <c r="AH2275" i="50" s="1"/>
  <c r="H3264" i="50"/>
  <c r="R3264" i="50" s="1"/>
  <c r="L1943" i="50"/>
  <c r="AF2946" i="50"/>
  <c r="R2710" i="50"/>
  <c r="BK44" i="49"/>
  <c r="BK104" i="49"/>
  <c r="BK23" i="49"/>
  <c r="BK45" i="49"/>
  <c r="F3488" i="50"/>
  <c r="R2774" i="50"/>
  <c r="F2879" i="50"/>
  <c r="R2165" i="50"/>
  <c r="AH2165" i="50" s="1"/>
  <c r="R2704" i="50"/>
  <c r="F3096" i="50"/>
  <c r="R2382" i="50"/>
  <c r="AH2382" i="50" s="1"/>
  <c r="AS1817" i="50"/>
  <c r="BK74" i="49"/>
  <c r="BK54" i="49"/>
  <c r="BK36" i="49"/>
  <c r="BK92" i="49"/>
  <c r="BK66" i="49"/>
  <c r="BK52" i="49"/>
  <c r="BK88" i="49"/>
  <c r="BK24" i="49"/>
  <c r="BK62" i="49"/>
  <c r="BK97" i="49"/>
  <c r="BK33" i="49"/>
  <c r="BK111" i="49"/>
  <c r="BK79" i="49"/>
  <c r="BK47" i="49"/>
  <c r="BK101" i="49"/>
  <c r="BK69" i="49"/>
  <c r="BK107" i="49"/>
  <c r="BK75" i="49"/>
  <c r="BK43" i="49"/>
  <c r="AU1523" i="50"/>
  <c r="AU1782" i="50"/>
  <c r="P3169" i="50"/>
  <c r="AD1852" i="50"/>
  <c r="AF2894" i="50"/>
  <c r="AH2894" i="50" s="1"/>
  <c r="T3013" i="50"/>
  <c r="AF2368" i="50"/>
  <c r="AH2368" i="50" s="1"/>
  <c r="T3082" i="50"/>
  <c r="AF3082" i="50" s="1"/>
  <c r="AH3082" i="50" s="1"/>
  <c r="F3124" i="50"/>
  <c r="R2410" i="50"/>
  <c r="AH2410" i="50" s="1"/>
  <c r="F1943" i="50"/>
  <c r="H1943" i="50"/>
  <c r="BK64" i="49"/>
  <c r="BK102" i="49"/>
  <c r="BK38" i="49"/>
  <c r="BK106" i="49"/>
  <c r="BK76" i="49"/>
  <c r="BK114" i="49"/>
  <c r="BK50" i="49"/>
  <c r="BK90" i="49"/>
  <c r="BK72" i="49"/>
  <c r="BK110" i="49"/>
  <c r="BK46" i="49"/>
  <c r="BK42" i="49"/>
  <c r="BK89" i="49"/>
  <c r="BK57" i="49"/>
  <c r="BK25" i="49"/>
  <c r="BK103" i="49"/>
  <c r="BK71" i="49"/>
  <c r="BK39" i="49"/>
  <c r="BK93" i="49"/>
  <c r="BK61" i="49"/>
  <c r="BK29" i="49"/>
  <c r="BK99" i="49"/>
  <c r="BK67" i="49"/>
  <c r="BK35" i="49"/>
  <c r="AH3132" i="50"/>
  <c r="H3169" i="50"/>
  <c r="AS40" i="50"/>
  <c r="X3066" i="50"/>
  <c r="AF2352" i="50"/>
  <c r="F3418" i="50"/>
  <c r="L3197" i="50"/>
  <c r="F3088" i="50"/>
  <c r="R2374" i="50"/>
  <c r="R3370" i="50"/>
  <c r="AH3370" i="50" s="1"/>
  <c r="J3452" i="50"/>
  <c r="R2738" i="50"/>
  <c r="S2741" i="50" s="1"/>
  <c r="S2742" i="50" s="1"/>
  <c r="AH3513" i="50"/>
  <c r="Z3337" i="50"/>
  <c r="AD1421" i="50"/>
  <c r="AE1421" i="50" s="1"/>
  <c r="U6" i="49"/>
  <c r="AT1754" i="50"/>
  <c r="F2938" i="50"/>
  <c r="L3379" i="50"/>
  <c r="AS1607" i="50"/>
  <c r="AT1467" i="50"/>
  <c r="S2846" i="50"/>
  <c r="S2847" i="50" s="1"/>
  <c r="AT1684" i="50"/>
  <c r="AU1684" i="50" s="1"/>
  <c r="F2980" i="50"/>
  <c r="AS1775" i="50"/>
  <c r="AU1775" i="50" s="1"/>
  <c r="S2342" i="50"/>
  <c r="S2343" i="50" s="1"/>
  <c r="AT1817" i="50"/>
  <c r="AT1579" i="50"/>
  <c r="AD3190" i="50"/>
  <c r="AF2318" i="50"/>
  <c r="AU1453" i="50"/>
  <c r="V3456" i="50"/>
  <c r="AF2565" i="50"/>
  <c r="AH2565" i="50" s="1"/>
  <c r="F3517" i="50"/>
  <c r="R3517" i="50" s="1"/>
  <c r="AH3517" i="50" s="1"/>
  <c r="AT1838" i="50"/>
  <c r="AH2827" i="50"/>
  <c r="AF2369" i="50"/>
  <c r="AH2369" i="50" s="1"/>
  <c r="V3085" i="50"/>
  <c r="AH2221" i="50"/>
  <c r="T3279" i="50"/>
  <c r="T3281" i="50" s="1"/>
  <c r="AF2474" i="50"/>
  <c r="AH2474" i="50" s="1"/>
  <c r="R3412" i="50"/>
  <c r="AH3412" i="50" s="1"/>
  <c r="AF3531" i="50"/>
  <c r="AH3531" i="50" s="1"/>
  <c r="AT1712" i="50"/>
  <c r="J3545" i="50"/>
  <c r="K7" i="72"/>
  <c r="AT1614" i="50"/>
  <c r="AT1719" i="50"/>
  <c r="AT1656" i="50"/>
  <c r="AG2734" i="50"/>
  <c r="AG2735" i="50" s="1"/>
  <c r="AT1488" i="50"/>
  <c r="AU1488" i="50" s="1"/>
  <c r="N3379" i="50"/>
  <c r="AT1649" i="50"/>
  <c r="R2607" i="50"/>
  <c r="AH2607" i="50" s="1"/>
  <c r="AT1621" i="50"/>
  <c r="R2754" i="50"/>
  <c r="S2755" i="50" s="1"/>
  <c r="S2756" i="50" s="1"/>
  <c r="AT1698" i="50"/>
  <c r="M7" i="72"/>
  <c r="Q14" i="72"/>
  <c r="AT1565" i="50"/>
  <c r="AT1544" i="50"/>
  <c r="AT1705" i="50"/>
  <c r="AF2817" i="50"/>
  <c r="AH2817" i="50" s="1"/>
  <c r="AT1677" i="50"/>
  <c r="Z3190" i="50"/>
  <c r="S754" i="50"/>
  <c r="S755" i="50" s="1"/>
  <c r="AG2804" i="50"/>
  <c r="AG2805" i="50" s="1"/>
  <c r="T3032" i="50"/>
  <c r="AF3032" i="50" s="1"/>
  <c r="L3492" i="50"/>
  <c r="R3492" i="50" s="1"/>
  <c r="AH3492" i="50" s="1"/>
  <c r="AT250" i="50"/>
  <c r="AC1422" i="50"/>
  <c r="AH2147" i="50"/>
  <c r="AS334" i="50"/>
  <c r="S1328" i="50"/>
  <c r="S1329" i="50" s="1"/>
  <c r="S1391" i="50"/>
  <c r="S1392" i="50" s="1"/>
  <c r="AT341" i="50"/>
  <c r="AF1229" i="50"/>
  <c r="AH1229" i="50" s="1"/>
  <c r="AH1208" i="50"/>
  <c r="S1209" i="50"/>
  <c r="S1210" i="50" s="1"/>
  <c r="Q1422" i="50"/>
  <c r="P1424" i="50"/>
  <c r="P1438" i="50" s="1"/>
  <c r="AH1418" i="50"/>
  <c r="AI1419" i="50" s="1"/>
  <c r="AI1420" i="50" s="1"/>
  <c r="AH1327" i="50"/>
  <c r="T1421" i="50"/>
  <c r="U1421" i="50" s="1"/>
  <c r="AG1188" i="50"/>
  <c r="AG1189" i="50" s="1"/>
  <c r="AH1187" i="50"/>
  <c r="U1425" i="50"/>
  <c r="AH1173" i="50"/>
  <c r="AM34" i="50"/>
  <c r="AH1164" i="50"/>
  <c r="AD1424" i="50"/>
  <c r="AD1438" i="50" s="1"/>
  <c r="AT306" i="50"/>
  <c r="AT327" i="50"/>
  <c r="AS425" i="50"/>
  <c r="AS404" i="50"/>
  <c r="AT418" i="50"/>
  <c r="AS166" i="50"/>
  <c r="AT320" i="50"/>
  <c r="AU320" i="50" s="1"/>
  <c r="AT334" i="50"/>
  <c r="AS208" i="50"/>
  <c r="AH1250" i="50"/>
  <c r="AS313" i="50"/>
  <c r="AU313" i="50" s="1"/>
  <c r="AA27" i="72"/>
  <c r="S1132" i="50"/>
  <c r="S1133" i="50" s="1"/>
  <c r="AS355" i="50"/>
  <c r="AS474" i="50"/>
  <c r="AS173" i="50"/>
  <c r="AH1348" i="50"/>
  <c r="K27" i="72"/>
  <c r="AS236" i="50"/>
  <c r="H713" i="50"/>
  <c r="D9" i="42" s="1"/>
  <c r="S1300" i="50"/>
  <c r="S1301" i="50" s="1"/>
  <c r="L2154" i="50"/>
  <c r="F28" i="42" s="1"/>
  <c r="AS327" i="50"/>
  <c r="AF1137" i="50"/>
  <c r="AH1137" i="50" s="1"/>
  <c r="AA1422" i="50"/>
  <c r="AH1052" i="50"/>
  <c r="S1230" i="50"/>
  <c r="S1231" i="50" s="1"/>
  <c r="X1423" i="50"/>
  <c r="X1437" i="50" s="1"/>
  <c r="AT103" i="50"/>
  <c r="AT376" i="50"/>
  <c r="AH1397" i="50"/>
  <c r="L1907" i="50"/>
  <c r="AT285" i="50"/>
  <c r="K12" i="72"/>
  <c r="K13" i="72"/>
  <c r="Y1422" i="50"/>
  <c r="AE1422" i="50"/>
  <c r="W1422" i="50"/>
  <c r="X2866" i="50"/>
  <c r="Y2866" i="50" s="1"/>
  <c r="S2237" i="50"/>
  <c r="S2238" i="50" s="1"/>
  <c r="V2866" i="50"/>
  <c r="W2866" i="50" s="1"/>
  <c r="Z3008" i="50"/>
  <c r="S3140" i="50"/>
  <c r="S3141" i="50" s="1"/>
  <c r="T3211" i="50"/>
  <c r="AF3209" i="50"/>
  <c r="AG3210" i="50" s="1"/>
  <c r="AG3211" i="50" s="1"/>
  <c r="AU1719" i="50"/>
  <c r="N2617" i="50"/>
  <c r="N3331" i="50" s="1"/>
  <c r="N3337" i="50" s="1"/>
  <c r="N1907" i="50"/>
  <c r="F3296" i="50"/>
  <c r="R2582" i="50"/>
  <c r="AS460" i="50"/>
  <c r="L3246" i="50"/>
  <c r="O1422" i="50"/>
  <c r="AG1251" i="50"/>
  <c r="AG1252" i="50" s="1"/>
  <c r="R3292" i="50"/>
  <c r="AH3292" i="50" s="1"/>
  <c r="AT1831" i="50"/>
  <c r="AT1747" i="50"/>
  <c r="AH3457" i="50"/>
  <c r="Z3260" i="50"/>
  <c r="AS1712" i="50"/>
  <c r="H3323" i="50"/>
  <c r="Z3456" i="50"/>
  <c r="T3555" i="50"/>
  <c r="T3561" i="50" s="1"/>
  <c r="AF2841" i="50"/>
  <c r="F2617" i="50"/>
  <c r="AL1902" i="50"/>
  <c r="AM1902" i="50" s="1"/>
  <c r="P1950" i="50"/>
  <c r="L1950" i="50"/>
  <c r="R2578" i="50"/>
  <c r="S3294" i="50" s="1"/>
  <c r="S3295" i="50" s="1"/>
  <c r="F3181" i="50"/>
  <c r="R2467" i="50"/>
  <c r="S2468" i="50" s="1"/>
  <c r="S2469" i="50" s="1"/>
  <c r="AF2838" i="50"/>
  <c r="AF2250" i="50"/>
  <c r="J3379" i="50"/>
  <c r="V3188" i="50"/>
  <c r="AF3188" i="50" s="1"/>
  <c r="AH3188" i="50" s="1"/>
  <c r="F1907" i="50"/>
  <c r="F1908" i="50" s="1"/>
  <c r="T3242" i="50"/>
  <c r="AF3242" i="50" s="1"/>
  <c r="AH3242" i="50" s="1"/>
  <c r="AF2528" i="50"/>
  <c r="AH2528" i="50" s="1"/>
  <c r="AH1152" i="50"/>
  <c r="R3552" i="50"/>
  <c r="AF2964" i="50"/>
  <c r="AH1122" i="50"/>
  <c r="AS215" i="50"/>
  <c r="T2966" i="50"/>
  <c r="AD3456" i="50"/>
  <c r="AT1586" i="50"/>
  <c r="AB3554" i="50"/>
  <c r="AF3454" i="50"/>
  <c r="AH3454" i="50" s="1"/>
  <c r="AT1607" i="50"/>
  <c r="AU1607" i="50" s="1"/>
  <c r="AH2743" i="50"/>
  <c r="AI2748" i="50" s="1"/>
  <c r="AI2749" i="50" s="1"/>
  <c r="S2265" i="50"/>
  <c r="S2266" i="50" s="1"/>
  <c r="T3244" i="50"/>
  <c r="AF3244" i="50" s="1"/>
  <c r="AH3244" i="50" s="1"/>
  <c r="AF2530" i="50"/>
  <c r="AH2530" i="50" s="1"/>
  <c r="T3361" i="50"/>
  <c r="AF3361" i="50" s="1"/>
  <c r="AH3361" i="50" s="1"/>
  <c r="AF2647" i="50"/>
  <c r="AH2647" i="50" s="1"/>
  <c r="AF2740" i="50"/>
  <c r="AH2740" i="50" s="1"/>
  <c r="T3552" i="50"/>
  <c r="AF3552" i="50" s="1"/>
  <c r="T3411" i="50"/>
  <c r="AF2697" i="50"/>
  <c r="AH2697" i="50" s="1"/>
  <c r="AH2831" i="50"/>
  <c r="T3129" i="50"/>
  <c r="AF3129" i="50" s="1"/>
  <c r="AH3129" i="50" s="1"/>
  <c r="AF2415" i="50"/>
  <c r="AH2415" i="50" s="1"/>
  <c r="F3377" i="50"/>
  <c r="R3377" i="50" s="1"/>
  <c r="AH3377" i="50" s="1"/>
  <c r="R2663" i="50"/>
  <c r="AH2663" i="50" s="1"/>
  <c r="AH2803" i="50"/>
  <c r="F3173" i="50"/>
  <c r="F3176" i="50" s="1"/>
  <c r="R2459" i="50"/>
  <c r="AF2422" i="50"/>
  <c r="F3019" i="50"/>
  <c r="R2305" i="50"/>
  <c r="AF2687" i="50"/>
  <c r="T3401" i="50"/>
  <c r="F2941" i="50"/>
  <c r="R2227" i="50"/>
  <c r="X3382" i="50"/>
  <c r="AF2668" i="50"/>
  <c r="S3525" i="50"/>
  <c r="S3526" i="50" s="1"/>
  <c r="AS1838" i="50"/>
  <c r="T3264" i="50"/>
  <c r="AF3264" i="50" s="1"/>
  <c r="AH3264" i="50" s="1"/>
  <c r="AF2550" i="50"/>
  <c r="AH2550" i="50" s="1"/>
  <c r="T3465" i="50"/>
  <c r="AF2751" i="50"/>
  <c r="AB1421" i="50"/>
  <c r="AB1435" i="50" s="1"/>
  <c r="AH868" i="50"/>
  <c r="AT1796" i="50"/>
  <c r="AS1537" i="50"/>
  <c r="Z2866" i="50"/>
  <c r="AA2866" i="50" s="1"/>
  <c r="AT1628" i="50"/>
  <c r="AU1628" i="50" s="1"/>
  <c r="F3213" i="50"/>
  <c r="R2499" i="50"/>
  <c r="AH2499" i="50" s="1"/>
  <c r="AF2472" i="50"/>
  <c r="AH2472" i="50" s="1"/>
  <c r="T3186" i="50"/>
  <c r="AT1516" i="50"/>
  <c r="AU1516" i="50" s="1"/>
  <c r="AH3328" i="50"/>
  <c r="P2147" i="50"/>
  <c r="P2154" i="50" s="1"/>
  <c r="AD1761" i="50"/>
  <c r="T3453" i="50"/>
  <c r="AF3453" i="50" s="1"/>
  <c r="AH3453" i="50" s="1"/>
  <c r="AF2739" i="50"/>
  <c r="AH2739" i="50" s="1"/>
  <c r="AF2439" i="50"/>
  <c r="AH2439" i="50" s="1"/>
  <c r="T3128" i="50"/>
  <c r="AF3128" i="50" s="1"/>
  <c r="AH3128" i="50" s="1"/>
  <c r="AF2414" i="50"/>
  <c r="F3100" i="50"/>
  <c r="R2386" i="50"/>
  <c r="AH2386" i="50" s="1"/>
  <c r="P3309" i="50"/>
  <c r="N2147" i="50"/>
  <c r="N2154" i="50" s="1"/>
  <c r="AF2935" i="50"/>
  <c r="AG2559" i="50"/>
  <c r="AG2560" i="50" s="1"/>
  <c r="AS1593" i="50"/>
  <c r="AH2733" i="50"/>
  <c r="V3337" i="50"/>
  <c r="AF3136" i="50"/>
  <c r="AH3136" i="50" s="1"/>
  <c r="AF2591" i="50"/>
  <c r="AH2591" i="50" s="1"/>
  <c r="T3305" i="50"/>
  <c r="AF3305" i="50" s="1"/>
  <c r="AH3305" i="50" s="1"/>
  <c r="AH2754" i="50"/>
  <c r="AF2786" i="50"/>
  <c r="AH2786" i="50" s="1"/>
  <c r="T3500" i="50"/>
  <c r="AF3500" i="50" s="1"/>
  <c r="AH3500" i="50" s="1"/>
  <c r="T2912" i="50"/>
  <c r="AF2198" i="50"/>
  <c r="T3291" i="50"/>
  <c r="AF2577" i="50"/>
  <c r="F3102" i="50"/>
  <c r="R3102" i="50" s="1"/>
  <c r="AH3102" i="50" s="1"/>
  <c r="R2388" i="50"/>
  <c r="AH2388" i="50" s="1"/>
  <c r="R2360" i="50"/>
  <c r="F3074" i="50"/>
  <c r="F3321" i="50"/>
  <c r="R3321" i="50" s="1"/>
  <c r="AH3321" i="50" s="1"/>
  <c r="AH1285" i="50"/>
  <c r="F3386" i="50"/>
  <c r="R3384" i="50"/>
  <c r="AH3384" i="50" s="1"/>
  <c r="T3418" i="50"/>
  <c r="T3421" i="50" s="1"/>
  <c r="AF2704" i="50"/>
  <c r="T3519" i="50"/>
  <c r="AS383" i="50"/>
  <c r="AF3081" i="50"/>
  <c r="AH3081" i="50" s="1"/>
  <c r="AB3456" i="50"/>
  <c r="T3389" i="50"/>
  <c r="T3393" i="50" s="1"/>
  <c r="AF2675" i="50"/>
  <c r="AG2678" i="50" s="1"/>
  <c r="AG2679" i="50" s="1"/>
  <c r="AT474" i="50"/>
  <c r="AS68" i="50"/>
  <c r="AS1796" i="50"/>
  <c r="AU1796" i="50" s="1"/>
  <c r="L2866" i="50"/>
  <c r="M2866" i="50" s="1"/>
  <c r="G9" i="72"/>
  <c r="AS1656" i="50"/>
  <c r="AU1656" i="50" s="1"/>
  <c r="AU1691" i="50"/>
  <c r="V2153" i="50"/>
  <c r="AD2866" i="50"/>
  <c r="AE2866" i="50" s="1"/>
  <c r="S3476" i="50"/>
  <c r="S3477" i="50" s="1"/>
  <c r="AS1502" i="50"/>
  <c r="AU1502" i="50" s="1"/>
  <c r="AT1460" i="50"/>
  <c r="AB3533" i="50"/>
  <c r="F2917" i="50"/>
  <c r="L1423" i="50"/>
  <c r="L1437" i="50" s="1"/>
  <c r="AH3501" i="50"/>
  <c r="AG2860" i="50"/>
  <c r="AG2861" i="50" s="1"/>
  <c r="T3331" i="50"/>
  <c r="AF3331" i="50" s="1"/>
  <c r="AF2617" i="50"/>
  <c r="T3044" i="50"/>
  <c r="AF2330" i="50"/>
  <c r="AG2335" i="50" s="1"/>
  <c r="AG2336" i="50" s="1"/>
  <c r="V2876" i="50"/>
  <c r="AF2162" i="50"/>
  <c r="AH2162" i="50" s="1"/>
  <c r="F3390" i="50"/>
  <c r="R3390" i="50" s="1"/>
  <c r="AH3390" i="50" s="1"/>
  <c r="R2676" i="50"/>
  <c r="AH2676" i="50" s="1"/>
  <c r="AT1537" i="50"/>
  <c r="AH2715" i="50"/>
  <c r="H3176" i="50"/>
  <c r="T3122" i="50"/>
  <c r="AF2408" i="50"/>
  <c r="T3153" i="50"/>
  <c r="AF3153" i="50" s="1"/>
  <c r="AH3153" i="50" s="1"/>
  <c r="F3376" i="50"/>
  <c r="R2662" i="50"/>
  <c r="T2893" i="50"/>
  <c r="AF2179" i="50"/>
  <c r="AT1593" i="50"/>
  <c r="AH2712" i="50"/>
  <c r="H2617" i="50"/>
  <c r="H2862" i="50" s="1"/>
  <c r="AT271" i="50"/>
  <c r="P2866" i="50"/>
  <c r="Q2866" i="50" s="1"/>
  <c r="AT432" i="50"/>
  <c r="AT152" i="50"/>
  <c r="AT138" i="50"/>
  <c r="H2147" i="50"/>
  <c r="H2154" i="50" s="1"/>
  <c r="AT236" i="50"/>
  <c r="AF2625" i="50"/>
  <c r="AH2625" i="50" s="1"/>
  <c r="R947" i="50"/>
  <c r="AH947" i="50" s="1"/>
  <c r="J2866" i="50"/>
  <c r="K2866" i="50" s="1"/>
  <c r="AS1698" i="50"/>
  <c r="AT1572" i="50"/>
  <c r="Z3148" i="50"/>
  <c r="V3001" i="50"/>
  <c r="AH1145" i="50"/>
  <c r="AT1509" i="50"/>
  <c r="AT124" i="50"/>
  <c r="T3027" i="50"/>
  <c r="AF2313" i="50"/>
  <c r="R2589" i="50"/>
  <c r="AH2589" i="50" s="1"/>
  <c r="F3303" i="50"/>
  <c r="R3303" i="50" s="1"/>
  <c r="AH3303" i="50" s="1"/>
  <c r="F2988" i="50"/>
  <c r="R2274" i="50"/>
  <c r="S2279" i="50" s="1"/>
  <c r="S2280" i="50" s="1"/>
  <c r="T3345" i="50"/>
  <c r="AF2631" i="50"/>
  <c r="F3468" i="50"/>
  <c r="R822" i="50"/>
  <c r="AH822" i="50" s="1"/>
  <c r="AG2307" i="50"/>
  <c r="AG2308" i="50" s="1"/>
  <c r="R756" i="50"/>
  <c r="S761" i="50" s="1"/>
  <c r="S762" i="50" s="1"/>
  <c r="AG3063" i="50"/>
  <c r="AG3064" i="50" s="1"/>
  <c r="L2865" i="50"/>
  <c r="M2865" i="50" s="1"/>
  <c r="S2412" i="50"/>
  <c r="S2413" i="50" s="1"/>
  <c r="AH2317" i="50"/>
  <c r="R742" i="50"/>
  <c r="S3315" i="50"/>
  <c r="S3316" i="50" s="1"/>
  <c r="AH3571" i="50"/>
  <c r="S1055" i="50"/>
  <c r="S1056" i="50" s="1"/>
  <c r="J1421" i="50"/>
  <c r="J1435" i="50" s="1"/>
  <c r="R1025" i="50"/>
  <c r="AH1025" i="50" s="1"/>
  <c r="I1422" i="50"/>
  <c r="AH3017" i="50"/>
  <c r="R1354" i="50"/>
  <c r="AH1354" i="50" s="1"/>
  <c r="AF1388" i="50"/>
  <c r="AH1388" i="50" s="1"/>
  <c r="AF1017" i="50"/>
  <c r="AH1017" i="50" s="1"/>
  <c r="AH736" i="50"/>
  <c r="R798" i="50"/>
  <c r="S803" i="50" s="1"/>
  <c r="S804" i="50" s="1"/>
  <c r="R777" i="50"/>
  <c r="S782" i="50" s="1"/>
  <c r="S783" i="50" s="1"/>
  <c r="R770" i="50"/>
  <c r="R728" i="50"/>
  <c r="S733" i="50" s="1"/>
  <c r="S734" i="50" s="1"/>
  <c r="P1423" i="50"/>
  <c r="P1437" i="50" s="1"/>
  <c r="R721" i="50"/>
  <c r="AH1060" i="50"/>
  <c r="S1167" i="50"/>
  <c r="S1168" i="50" s="1"/>
  <c r="V1424" i="50"/>
  <c r="V1438" i="50" s="1"/>
  <c r="S3350" i="50"/>
  <c r="S3351" i="50" s="1"/>
  <c r="S1104" i="50"/>
  <c r="S1105" i="50" s="1"/>
  <c r="AH2807" i="50"/>
  <c r="AH2787" i="50"/>
  <c r="S1111" i="50"/>
  <c r="S1112" i="50" s="1"/>
  <c r="AH1249" i="50"/>
  <c r="AG3021" i="50"/>
  <c r="AG3022" i="50" s="1"/>
  <c r="R3354" i="50"/>
  <c r="R1347" i="50"/>
  <c r="S1349" i="50" s="1"/>
  <c r="S1350" i="50" s="1"/>
  <c r="AH1248" i="50"/>
  <c r="S3371" i="50"/>
  <c r="S3372" i="50" s="1"/>
  <c r="R906" i="50"/>
  <c r="S908" i="50" s="1"/>
  <c r="S909" i="50" s="1"/>
  <c r="S2790" i="50"/>
  <c r="S2791" i="50" s="1"/>
  <c r="AH2981" i="50"/>
  <c r="AI2986" i="50" s="1"/>
  <c r="AI2987" i="50" s="1"/>
  <c r="R1220" i="50"/>
  <c r="AH1220" i="50" s="1"/>
  <c r="AF791" i="50"/>
  <c r="AL791" i="50" s="1"/>
  <c r="R763" i="50"/>
  <c r="N2863" i="50"/>
  <c r="O2863" i="50" s="1"/>
  <c r="S3259" i="50"/>
  <c r="S3260" i="50" s="1"/>
  <c r="AH1410" i="50"/>
  <c r="AI1412" i="50" s="1"/>
  <c r="AI1413" i="50" s="1"/>
  <c r="AH1246" i="50"/>
  <c r="V2864" i="50"/>
  <c r="W2864" i="50" s="1"/>
  <c r="AH3474" i="50"/>
  <c r="S859" i="50"/>
  <c r="S860" i="50" s="1"/>
  <c r="AF3185" i="50"/>
  <c r="R835" i="50"/>
  <c r="S838" i="50" s="1"/>
  <c r="S839" i="50" s="1"/>
  <c r="AH3346" i="50"/>
  <c r="N3358" i="50"/>
  <c r="N1421" i="50"/>
  <c r="G10" i="42" s="1"/>
  <c r="AD2865" i="50"/>
  <c r="S1202" i="50"/>
  <c r="S1203" i="50" s="1"/>
  <c r="S1097" i="50"/>
  <c r="S1098" i="50" s="1"/>
  <c r="M1422" i="50"/>
  <c r="AG2979" i="50"/>
  <c r="AG2980" i="50" s="1"/>
  <c r="T2910" i="50"/>
  <c r="AF2905" i="50"/>
  <c r="AH2905" i="50" s="1"/>
  <c r="R898" i="50"/>
  <c r="AH898" i="50" s="1"/>
  <c r="P2865" i="50"/>
  <c r="Q2865" i="50" s="1"/>
  <c r="AH724" i="50"/>
  <c r="J2863" i="50"/>
  <c r="K2863" i="50" s="1"/>
  <c r="H2865" i="50"/>
  <c r="I2865" i="50" s="1"/>
  <c r="R1172" i="50"/>
  <c r="AH1172" i="50" s="1"/>
  <c r="R2927" i="50"/>
  <c r="AH2927" i="50" s="1"/>
  <c r="P3071" i="50"/>
  <c r="AF3149" i="50"/>
  <c r="P2863" i="50"/>
  <c r="S1286" i="50"/>
  <c r="S1287" i="50" s="1"/>
  <c r="AH1155" i="50"/>
  <c r="AI1160" i="50" s="1"/>
  <c r="AI1161" i="50" s="1"/>
  <c r="AF3320" i="50"/>
  <c r="AB2865" i="50"/>
  <c r="AC2865" i="50" s="1"/>
  <c r="AD2864" i="50"/>
  <c r="AE2864" i="50" s="1"/>
  <c r="P1421" i="50"/>
  <c r="AG3518" i="50"/>
  <c r="AG3519" i="50" s="1"/>
  <c r="R2606" i="50"/>
  <c r="AH2606" i="50" s="1"/>
  <c r="X2865" i="50"/>
  <c r="Y2865" i="50" s="1"/>
  <c r="AH1283" i="50"/>
  <c r="R982" i="50"/>
  <c r="S985" i="50" s="1"/>
  <c r="S986" i="50" s="1"/>
  <c r="Z1421" i="50"/>
  <c r="AB2864" i="50"/>
  <c r="AC2864" i="50" s="1"/>
  <c r="Z2864" i="50"/>
  <c r="AA2864" i="50" s="1"/>
  <c r="N2865" i="50"/>
  <c r="O2865" i="50" s="1"/>
  <c r="R1067" i="50"/>
  <c r="AH1067" i="50" s="1"/>
  <c r="AH1169" i="50"/>
  <c r="AI2685" i="50"/>
  <c r="AI2686" i="50" s="1"/>
  <c r="J3071" i="50"/>
  <c r="J2938" i="50"/>
  <c r="AF3508" i="50"/>
  <c r="AG3511" i="50" s="1"/>
  <c r="AG3512" i="50" s="1"/>
  <c r="V3512" i="50"/>
  <c r="AI2147" i="50"/>
  <c r="AI2148" i="50"/>
  <c r="AS222" i="50"/>
  <c r="AT383" i="50"/>
  <c r="AS257" i="50"/>
  <c r="AT446" i="50"/>
  <c r="AT243" i="50"/>
  <c r="AS229" i="50"/>
  <c r="AT173" i="50"/>
  <c r="Z1423" i="50"/>
  <c r="Z1437" i="50" s="1"/>
  <c r="AF1339" i="50"/>
  <c r="AH1339" i="50" s="1"/>
  <c r="T1423" i="50"/>
  <c r="T1437" i="50" s="1"/>
  <c r="AB1424" i="50"/>
  <c r="AB1438" i="50" s="1"/>
  <c r="S1398" i="50"/>
  <c r="S1399" i="50" s="1"/>
  <c r="AF28" i="72"/>
  <c r="AS348" i="50"/>
  <c r="AT404" i="50"/>
  <c r="AH878" i="50"/>
  <c r="AT110" i="50"/>
  <c r="AS306" i="50"/>
  <c r="H1423" i="50"/>
  <c r="H1437" i="50" s="1"/>
  <c r="O27" i="72"/>
  <c r="AT194" i="50"/>
  <c r="V713" i="50"/>
  <c r="J9" i="42" s="1"/>
  <c r="S880" i="50"/>
  <c r="S881" i="50" s="1"/>
  <c r="Z8" i="72"/>
  <c r="Z28" i="72" s="1"/>
  <c r="R1277" i="50"/>
  <c r="AH1277" i="50" s="1"/>
  <c r="AS390" i="50"/>
  <c r="J1423" i="50"/>
  <c r="J1437" i="50" s="1"/>
  <c r="AT222" i="50"/>
  <c r="AS376" i="50"/>
  <c r="V1423" i="50"/>
  <c r="V1437" i="50" s="1"/>
  <c r="J1424" i="50"/>
  <c r="J1438" i="50" s="1"/>
  <c r="AD1423" i="50"/>
  <c r="AD1437" i="50" s="1"/>
  <c r="R3573" i="50"/>
  <c r="S3574" i="50" s="1"/>
  <c r="S3575" i="50" s="1"/>
  <c r="F3575" i="50"/>
  <c r="R3202" i="50"/>
  <c r="AH3202" i="50" s="1"/>
  <c r="N3580" i="50"/>
  <c r="N3204" i="50"/>
  <c r="N2866" i="50"/>
  <c r="O2866" i="50" s="1"/>
  <c r="S1335" i="50"/>
  <c r="S1336" i="50" s="1"/>
  <c r="AT460" i="50"/>
  <c r="AF968" i="50"/>
  <c r="AH968" i="50" s="1"/>
  <c r="AT159" i="50"/>
  <c r="AT180" i="50"/>
  <c r="O11" i="72"/>
  <c r="O13" i="72"/>
  <c r="AT453" i="50"/>
  <c r="O12" i="72"/>
  <c r="L2863" i="50"/>
  <c r="AT439" i="50"/>
  <c r="AT390" i="50"/>
  <c r="S1188" i="50"/>
  <c r="S1189" i="50" s="1"/>
  <c r="AS152" i="50"/>
  <c r="N2862" i="50"/>
  <c r="AS180" i="50"/>
  <c r="AT1810" i="50"/>
  <c r="H1424" i="50"/>
  <c r="H1438" i="50" s="1"/>
  <c r="L2862" i="50"/>
  <c r="M2862" i="50" s="1"/>
  <c r="R997" i="50"/>
  <c r="AH997" i="50" s="1"/>
  <c r="AT467" i="50"/>
  <c r="AF982" i="50"/>
  <c r="AG985" i="50" s="1"/>
  <c r="AG986" i="50" s="1"/>
  <c r="AF906" i="50"/>
  <c r="AG908" i="50" s="1"/>
  <c r="AG909" i="50" s="1"/>
  <c r="T2866" i="50"/>
  <c r="U2866" i="50" s="1"/>
  <c r="AT257" i="50"/>
  <c r="H3456" i="50"/>
  <c r="J2862" i="50"/>
  <c r="AS1509" i="50"/>
  <c r="H2863" i="50"/>
  <c r="I2863" i="50" s="1"/>
  <c r="AK749" i="50"/>
  <c r="AJ17" i="72" s="1"/>
  <c r="AI2265" i="50"/>
  <c r="AI2266" i="50" s="1"/>
  <c r="AI2601" i="50"/>
  <c r="AI2602" i="50" s="1"/>
  <c r="AF3097" i="50"/>
  <c r="T3099" i="50"/>
  <c r="AT1635" i="50"/>
  <c r="F3334" i="50"/>
  <c r="R2620" i="50"/>
  <c r="N22" i="32"/>
  <c r="AS22" i="32"/>
  <c r="T3527" i="50"/>
  <c r="AF2813" i="50"/>
  <c r="Z1768" i="50"/>
  <c r="Z2153" i="50" s="1"/>
  <c r="R2640" i="50"/>
  <c r="T3486" i="50"/>
  <c r="AF2772" i="50"/>
  <c r="AS1579" i="50"/>
  <c r="AU1579" i="50" s="1"/>
  <c r="AF2282" i="50"/>
  <c r="AH2282" i="50" s="1"/>
  <c r="AF3240" i="50"/>
  <c r="AH3240" i="50" s="1"/>
  <c r="AD2999" i="50"/>
  <c r="AD3001" i="50" s="1"/>
  <c r="T3158" i="50"/>
  <c r="AF2444" i="50"/>
  <c r="R2435" i="50"/>
  <c r="T3325" i="50"/>
  <c r="AF2611" i="50"/>
  <c r="X1768" i="50"/>
  <c r="F3414" i="50"/>
  <c r="R3352" i="50"/>
  <c r="F3358" i="50"/>
  <c r="AF2541" i="50"/>
  <c r="F3324" i="50"/>
  <c r="R2610" i="50"/>
  <c r="T3452" i="50"/>
  <c r="AF2738" i="50"/>
  <c r="F3066" i="50"/>
  <c r="R3066" i="50" s="1"/>
  <c r="R2352" i="50"/>
  <c r="AT17" i="32"/>
  <c r="AW17" i="32"/>
  <c r="D57" i="32"/>
  <c r="AF2481" i="50"/>
  <c r="AB3148" i="50"/>
  <c r="AH2418" i="50"/>
  <c r="AM1644" i="50"/>
  <c r="AS1649" i="50"/>
  <c r="AU1649" i="50" s="1"/>
  <c r="F3165" i="50"/>
  <c r="R2451" i="50"/>
  <c r="AF2339" i="50"/>
  <c r="R2297" i="50"/>
  <c r="F3011" i="50"/>
  <c r="R2935" i="50"/>
  <c r="AH2695" i="50"/>
  <c r="AS1635" i="50"/>
  <c r="H3023" i="50"/>
  <c r="R2309" i="50"/>
  <c r="AB2866" i="50"/>
  <c r="AC2866" i="50" s="1"/>
  <c r="R2507" i="50"/>
  <c r="AG2496" i="50"/>
  <c r="AG2497" i="50" s="1"/>
  <c r="AG2454" i="50"/>
  <c r="AG2455" i="50" s="1"/>
  <c r="AH2452" i="50"/>
  <c r="AF3426" i="50"/>
  <c r="AG3427" i="50" s="1"/>
  <c r="AG3428" i="50" s="1"/>
  <c r="T3428" i="50"/>
  <c r="R3034" i="50"/>
  <c r="AH3034" i="50" s="1"/>
  <c r="F3005" i="50"/>
  <c r="R2291" i="50"/>
  <c r="T3549" i="50"/>
  <c r="AF2835" i="50"/>
  <c r="D50" i="32"/>
  <c r="AW10" i="32"/>
  <c r="AS6" i="32"/>
  <c r="AS5" i="32"/>
  <c r="F3306" i="50"/>
  <c r="R2592" i="50"/>
  <c r="R3061" i="50"/>
  <c r="AH3061" i="50" s="1"/>
  <c r="F3158" i="50"/>
  <c r="R2444" i="50"/>
  <c r="AM1720" i="50"/>
  <c r="AS1726" i="50"/>
  <c r="T3043" i="50"/>
  <c r="AF3037" i="50"/>
  <c r="AH3037" i="50" s="1"/>
  <c r="AT1642" i="50"/>
  <c r="T3110" i="50"/>
  <c r="AF2396" i="50"/>
  <c r="T3260" i="50"/>
  <c r="AF3255" i="50"/>
  <c r="AH3255" i="50" s="1"/>
  <c r="L3309" i="50"/>
  <c r="T3286" i="50"/>
  <c r="AF2572" i="50"/>
  <c r="AH2572" i="50" s="1"/>
  <c r="F3537" i="50"/>
  <c r="R2823" i="50"/>
  <c r="S2825" i="50" s="1"/>
  <c r="S2826" i="50" s="1"/>
  <c r="AM1559" i="50"/>
  <c r="AS1565" i="50"/>
  <c r="AU1565" i="50" s="1"/>
  <c r="AT18" i="32"/>
  <c r="AW18" i="32"/>
  <c r="D58" i="32"/>
  <c r="R2725" i="50"/>
  <c r="F3439" i="50"/>
  <c r="AM1476" i="50"/>
  <c r="AS1481" i="50"/>
  <c r="R2794" i="50"/>
  <c r="F2863" i="50"/>
  <c r="G2863" i="50" s="1"/>
  <c r="AT397" i="50"/>
  <c r="Z2865" i="50"/>
  <c r="AA2865" i="50" s="1"/>
  <c r="AG1174" i="50"/>
  <c r="AG1175" i="50" s="1"/>
  <c r="AA12" i="72"/>
  <c r="AA11" i="72"/>
  <c r="AS1544" i="50"/>
  <c r="AU1544" i="50" s="1"/>
  <c r="AH1360" i="50"/>
  <c r="AH3447" i="50"/>
  <c r="AG3315" i="50"/>
  <c r="AG3316" i="50" s="1"/>
  <c r="AT166" i="50"/>
  <c r="AT292" i="50"/>
  <c r="AB1423" i="50"/>
  <c r="AB1437" i="50" s="1"/>
  <c r="AG2601" i="50"/>
  <c r="AG2602" i="50" s="1"/>
  <c r="F3064" i="50"/>
  <c r="F3036" i="50"/>
  <c r="AH1365" i="50"/>
  <c r="AI1370" i="50" s="1"/>
  <c r="AI1371" i="50" s="1"/>
  <c r="AF2431" i="50"/>
  <c r="AH2383" i="50"/>
  <c r="F3326" i="50"/>
  <c r="R3326" i="50" s="1"/>
  <c r="AH3326" i="50" s="1"/>
  <c r="R2612" i="50"/>
  <c r="AH2612" i="50" s="1"/>
  <c r="J3057" i="50"/>
  <c r="R3055" i="50"/>
  <c r="AH3055" i="50" s="1"/>
  <c r="R2320" i="50"/>
  <c r="S2321" i="50" s="1"/>
  <c r="S2322" i="50" s="1"/>
  <c r="R2934" i="50"/>
  <c r="AH2934" i="50" s="1"/>
  <c r="AF3272" i="50"/>
  <c r="V3274" i="50"/>
  <c r="F2969" i="50"/>
  <c r="F2973" i="50" s="1"/>
  <c r="R2255" i="50"/>
  <c r="AS20" i="32"/>
  <c r="N20" i="32"/>
  <c r="R3221" i="50"/>
  <c r="AH3221" i="50" s="1"/>
  <c r="L3393" i="50"/>
  <c r="T3228" i="50"/>
  <c r="AF2514" i="50"/>
  <c r="T3366" i="50"/>
  <c r="AF2652" i="50"/>
  <c r="AH2652" i="50" s="1"/>
  <c r="L14" i="32"/>
  <c r="N27" i="32"/>
  <c r="N40" i="32"/>
  <c r="P15" i="32"/>
  <c r="N15" i="32"/>
  <c r="N36" i="32"/>
  <c r="N30" i="32"/>
  <c r="N33" i="32"/>
  <c r="N41" i="32"/>
  <c r="N39" i="32"/>
  <c r="N38" i="32"/>
  <c r="N32" i="32"/>
  <c r="N31" i="32"/>
  <c r="N29" i="32"/>
  <c r="N34" i="32"/>
  <c r="N25" i="32"/>
  <c r="N21" i="32"/>
  <c r="N26" i="32"/>
  <c r="N28" i="32"/>
  <c r="N37" i="32"/>
  <c r="N35" i="32"/>
  <c r="AS15" i="32"/>
  <c r="AU17" i="32" s="1"/>
  <c r="N24" i="32"/>
  <c r="L23" i="32"/>
  <c r="N16" i="32"/>
  <c r="AT1740" i="50"/>
  <c r="J3309" i="50"/>
  <c r="R3307" i="50"/>
  <c r="AH3307" i="50" s="1"/>
  <c r="R2838" i="50"/>
  <c r="AF3166" i="50"/>
  <c r="AH3166" i="50" s="1"/>
  <c r="V8" i="72"/>
  <c r="AF3475" i="50"/>
  <c r="AH3475" i="50" s="1"/>
  <c r="R2351" i="50"/>
  <c r="R2515" i="50"/>
  <c r="AH2515" i="50" s="1"/>
  <c r="F3229" i="50"/>
  <c r="R3229" i="50" s="1"/>
  <c r="AH3229" i="50" s="1"/>
  <c r="AM1826" i="50"/>
  <c r="AS1831" i="50"/>
  <c r="F3338" i="50"/>
  <c r="F3344" i="50" s="1"/>
  <c r="R2624" i="50"/>
  <c r="R2488" i="50"/>
  <c r="AH2488" i="50" s="1"/>
  <c r="T3083" i="50"/>
  <c r="AF3083" i="50" s="1"/>
  <c r="AH3083" i="50" s="1"/>
  <c r="AM1608" i="50"/>
  <c r="AS1614" i="50"/>
  <c r="R2859" i="50"/>
  <c r="AH2859" i="50" s="1"/>
  <c r="AM1456" i="50"/>
  <c r="AS1460" i="50"/>
  <c r="AU1460" i="50" s="1"/>
  <c r="AF2463" i="50"/>
  <c r="AH2463" i="50" s="1"/>
  <c r="T3177" i="50"/>
  <c r="AF3177" i="50" s="1"/>
  <c r="AH3177" i="50" s="1"/>
  <c r="H3253" i="50"/>
  <c r="AF3053" i="50"/>
  <c r="AH3053" i="50" s="1"/>
  <c r="AM1582" i="50"/>
  <c r="AS1586" i="50"/>
  <c r="R2887" i="50"/>
  <c r="AH2887" i="50" s="1"/>
  <c r="J2889" i="50"/>
  <c r="AH2400" i="50"/>
  <c r="AT1600" i="50"/>
  <c r="T3118" i="50"/>
  <c r="AF2404" i="50"/>
  <c r="AH2404" i="50" s="1"/>
  <c r="AF2191" i="50"/>
  <c r="T3362" i="50"/>
  <c r="AF3362" i="50" s="1"/>
  <c r="AH3362" i="50" s="1"/>
  <c r="AF2648" i="50"/>
  <c r="AH2648" i="50" s="1"/>
  <c r="AB3575" i="50"/>
  <c r="AF3573" i="50"/>
  <c r="R2995" i="50"/>
  <c r="AH2995" i="50" s="1"/>
  <c r="M11" i="72"/>
  <c r="M27" i="72"/>
  <c r="M12" i="72"/>
  <c r="M13" i="72"/>
  <c r="F3446" i="50"/>
  <c r="R2732" i="50"/>
  <c r="T3146" i="50"/>
  <c r="AF2432" i="50"/>
  <c r="AH2432" i="50" s="1"/>
  <c r="X3241" i="50"/>
  <c r="AF2527" i="50"/>
  <c r="AF2366" i="50"/>
  <c r="T3080" i="50"/>
  <c r="J2973" i="50"/>
  <c r="T3001" i="50"/>
  <c r="AF2996" i="50"/>
  <c r="AH2996" i="50" s="1"/>
  <c r="AS1642" i="50"/>
  <c r="AM1636" i="50"/>
  <c r="T3004" i="50"/>
  <c r="AF2290" i="50"/>
  <c r="AM1766" i="50"/>
  <c r="AS1768" i="50"/>
  <c r="F3185" i="50"/>
  <c r="F3190" i="50" s="1"/>
  <c r="R2471" i="50"/>
  <c r="AF2323" i="50"/>
  <c r="AM1594" i="50"/>
  <c r="AS1600" i="50"/>
  <c r="T3306" i="50"/>
  <c r="AF2592" i="50"/>
  <c r="J51" i="32"/>
  <c r="H51" i="32"/>
  <c r="H3190" i="50"/>
  <c r="H3330" i="50"/>
  <c r="T2885" i="50"/>
  <c r="AF2171" i="50"/>
  <c r="AB3580" i="50"/>
  <c r="T3298" i="50"/>
  <c r="AF3298" i="50" s="1"/>
  <c r="AH3298" i="50" s="1"/>
  <c r="AF2584" i="50"/>
  <c r="AH2584" i="50" s="1"/>
  <c r="AM1566" i="50"/>
  <c r="AS1572" i="50"/>
  <c r="F3554" i="50"/>
  <c r="AF1325" i="50"/>
  <c r="AH1325" i="50" s="1"/>
  <c r="R870" i="50"/>
  <c r="AH870" i="50" s="1"/>
  <c r="S1293" i="50"/>
  <c r="S1294" i="50" s="1"/>
  <c r="AT201" i="50"/>
  <c r="AG3539" i="50"/>
  <c r="AG3540" i="50" s="1"/>
  <c r="H2864" i="50"/>
  <c r="I2864" i="50" s="1"/>
  <c r="AT1824" i="50"/>
  <c r="AF885" i="50"/>
  <c r="AH885" i="50" s="1"/>
  <c r="AT425" i="50"/>
  <c r="H2153" i="50"/>
  <c r="X2864" i="50"/>
  <c r="Y2864" i="50" s="1"/>
  <c r="AH3314" i="50"/>
  <c r="AG3448" i="50"/>
  <c r="AG3449" i="50" s="1"/>
  <c r="AU369" i="50"/>
  <c r="AT208" i="50"/>
  <c r="U27" i="72"/>
  <c r="U11" i="72"/>
  <c r="U12" i="72"/>
  <c r="AS418" i="50"/>
  <c r="H2866" i="50"/>
  <c r="I2866" i="50" s="1"/>
  <c r="AS1747" i="50"/>
  <c r="AU1747" i="50" s="1"/>
  <c r="K1422" i="50"/>
  <c r="Q5" i="72"/>
  <c r="Q3" i="72"/>
  <c r="S2384" i="50"/>
  <c r="S2385" i="50" s="1"/>
  <c r="AF3145" i="50"/>
  <c r="AH3145" i="50" s="1"/>
  <c r="S2818" i="50"/>
  <c r="S2819" i="50" s="1"/>
  <c r="F3262" i="50"/>
  <c r="R2548" i="50"/>
  <c r="AF2285" i="50"/>
  <c r="AH2285" i="50" s="1"/>
  <c r="T3543" i="50"/>
  <c r="AF2829" i="50"/>
  <c r="T3332" i="50"/>
  <c r="AF2618" i="50"/>
  <c r="T3172" i="50"/>
  <c r="T3176" i="50" s="1"/>
  <c r="AF2458" i="50"/>
  <c r="R2220" i="50"/>
  <c r="S2223" i="50" s="1"/>
  <c r="S2224" i="50" s="1"/>
  <c r="R2533" i="50"/>
  <c r="F3247" i="50"/>
  <c r="AU19" i="32"/>
  <c r="AW19" i="32"/>
  <c r="D59" i="32"/>
  <c r="P1768" i="50"/>
  <c r="AB3526" i="50"/>
  <c r="AT19" i="50"/>
  <c r="AV19" i="50" s="1"/>
  <c r="M4" i="72"/>
  <c r="AC4" i="72" s="1"/>
  <c r="AU1677" i="50"/>
  <c r="AD3337" i="50"/>
  <c r="R2347" i="50"/>
  <c r="X3456" i="50"/>
  <c r="R2593" i="50"/>
  <c r="AH2593" i="50" s="1"/>
  <c r="AT1733" i="50"/>
  <c r="F3149" i="50"/>
  <c r="J56" i="32"/>
  <c r="H56" i="32"/>
  <c r="I29" i="51"/>
  <c r="J9" i="51"/>
  <c r="F3065" i="50"/>
  <c r="AH2523" i="50"/>
  <c r="AM1756" i="50"/>
  <c r="AS1761" i="50"/>
  <c r="AT1726" i="50"/>
  <c r="N17" i="32"/>
  <c r="T3195" i="50"/>
  <c r="AJ23" i="32"/>
  <c r="AF2761" i="50"/>
  <c r="AH2761" i="50" s="1"/>
  <c r="T2988" i="50"/>
  <c r="AF2274" i="50"/>
  <c r="T3352" i="50"/>
  <c r="AF2638" i="50"/>
  <c r="P3344" i="50"/>
  <c r="T3073" i="50"/>
  <c r="AF2359" i="50"/>
  <c r="Z2999" i="50"/>
  <c r="Z3580" i="50" s="1"/>
  <c r="AM1736" i="50"/>
  <c r="AS1740" i="50"/>
  <c r="P1761" i="50"/>
  <c r="V3249" i="50"/>
  <c r="AF3249" i="50" s="1"/>
  <c r="AH3249" i="50" s="1"/>
  <c r="AH2857" i="50"/>
  <c r="R3320" i="50"/>
  <c r="J3508" i="50"/>
  <c r="R2698" i="50"/>
  <c r="AS1733" i="50"/>
  <c r="AB3001" i="50"/>
  <c r="AT1481" i="50"/>
  <c r="T2932" i="50"/>
  <c r="AF2218" i="50"/>
  <c r="R2281" i="50"/>
  <c r="V2865" i="50"/>
  <c r="W2865" i="50" s="1"/>
  <c r="S1363" i="50"/>
  <c r="S1364" i="50" s="1"/>
  <c r="AH3268" i="50"/>
  <c r="T2863" i="50"/>
  <c r="U2863" i="50" s="1"/>
  <c r="S2951" i="50"/>
  <c r="S2952" i="50" s="1"/>
  <c r="P2862" i="50"/>
  <c r="AH1087" i="50"/>
  <c r="AH1305" i="50"/>
  <c r="H3278" i="50"/>
  <c r="H3579" i="50" s="1"/>
  <c r="AH2884" i="50"/>
  <c r="R735" i="50"/>
  <c r="L1421" i="50"/>
  <c r="L1435" i="50" s="1"/>
  <c r="AH3422" i="50"/>
  <c r="V3179" i="50"/>
  <c r="V3183" i="50" s="1"/>
  <c r="J2865" i="50"/>
  <c r="K2865" i="50" s="1"/>
  <c r="AG1209" i="50"/>
  <c r="AG1210" i="50" s="1"/>
  <c r="AH1095" i="50"/>
  <c r="AH941" i="50"/>
  <c r="Z3179" i="50"/>
  <c r="Z3183" i="50" s="1"/>
  <c r="AD3179" i="50"/>
  <c r="AD3183" i="50" s="1"/>
  <c r="S3245" i="50"/>
  <c r="S3246" i="50" s="1"/>
  <c r="AH3572" i="50"/>
  <c r="S3560" i="50"/>
  <c r="S3561" i="50" s="1"/>
  <c r="AB3179" i="50"/>
  <c r="AB3183" i="50" s="1"/>
  <c r="X3236" i="50"/>
  <c r="X3239" i="50" s="1"/>
  <c r="Z3236" i="50"/>
  <c r="Z3239" i="50" s="1"/>
  <c r="Z2863" i="50"/>
  <c r="AA2863" i="50" s="1"/>
  <c r="P3278" i="50"/>
  <c r="AH2899" i="50"/>
  <c r="N3282" i="50"/>
  <c r="N3288" i="50" s="1"/>
  <c r="AH3045" i="50"/>
  <c r="S1258" i="50"/>
  <c r="S1259" i="50" s="1"/>
  <c r="AH3135" i="50"/>
  <c r="S852" i="50"/>
  <c r="S853" i="50" s="1"/>
  <c r="L2864" i="50"/>
  <c r="M2864" i="50" s="1"/>
  <c r="AF3388" i="50"/>
  <c r="AH3388" i="50" s="1"/>
  <c r="AH3290" i="50"/>
  <c r="AC231" i="49"/>
  <c r="AC233" i="49" s="1"/>
  <c r="AF3467" i="50"/>
  <c r="AH3467" i="50" s="1"/>
  <c r="AD3470" i="50"/>
  <c r="F1421" i="50"/>
  <c r="G1421" i="50" s="1"/>
  <c r="S3434" i="50"/>
  <c r="S3435" i="50" s="1"/>
  <c r="R952" i="50"/>
  <c r="S957" i="50" s="1"/>
  <c r="S958" i="50" s="1"/>
  <c r="AH1010" i="50"/>
  <c r="S1370" i="50"/>
  <c r="S1371" i="50" s="1"/>
  <c r="AH2961" i="50"/>
  <c r="N3278" i="50"/>
  <c r="N3579" i="50" s="1"/>
  <c r="AH3052" i="50"/>
  <c r="AH3541" i="50"/>
  <c r="T3540" i="50"/>
  <c r="T713" i="50"/>
  <c r="I9" i="42" s="1"/>
  <c r="Q9" i="72"/>
  <c r="S9" i="72"/>
  <c r="K8" i="72"/>
  <c r="K11" i="72"/>
  <c r="H1421" i="50"/>
  <c r="H1435" i="50" s="1"/>
  <c r="X2147" i="50"/>
  <c r="X2154" i="50" s="1"/>
  <c r="X2204" i="50"/>
  <c r="X1494" i="50"/>
  <c r="X1495" i="50" s="1"/>
  <c r="V2204" i="50"/>
  <c r="V2147" i="50"/>
  <c r="V1494" i="50"/>
  <c r="Z2204" i="50"/>
  <c r="Z2147" i="50"/>
  <c r="Z2154" i="50" s="1"/>
  <c r="Z1494" i="50"/>
  <c r="AD1494" i="50"/>
  <c r="AD1495" i="50" s="1"/>
  <c r="AD2147" i="50"/>
  <c r="AD2154" i="50" s="1"/>
  <c r="AD2204" i="50"/>
  <c r="AB2147" i="50"/>
  <c r="AB2154" i="50" s="1"/>
  <c r="AB2204" i="50"/>
  <c r="AB1494" i="50"/>
  <c r="AL1489" i="50"/>
  <c r="T2147" i="50"/>
  <c r="T1494" i="50"/>
  <c r="T2204" i="50"/>
  <c r="O9" i="72"/>
  <c r="AH2891" i="50"/>
  <c r="H3282" i="50"/>
  <c r="AH2933" i="50"/>
  <c r="X120" i="49"/>
  <c r="X116" i="49"/>
  <c r="O8" i="49" s="1"/>
  <c r="AH3436" i="50"/>
  <c r="AW120" i="49"/>
  <c r="AW116" i="49"/>
  <c r="R4" i="49" s="1"/>
  <c r="AC120" i="49"/>
  <c r="AC116" i="49"/>
  <c r="R8" i="49" s="1"/>
  <c r="X231" i="49"/>
  <c r="X233" i="49" s="1"/>
  <c r="AR120" i="49"/>
  <c r="AR116" i="49"/>
  <c r="O4" i="49" s="1"/>
  <c r="P3276" i="50"/>
  <c r="P3577" i="50" s="1"/>
  <c r="H3270" i="50"/>
  <c r="H3274" i="50" s="1"/>
  <c r="Z3248" i="50"/>
  <c r="Z3253" i="50" s="1"/>
  <c r="AH722" i="50"/>
  <c r="T1424" i="50"/>
  <c r="U1424" i="50" s="1"/>
  <c r="X3179" i="50"/>
  <c r="X3183" i="50" s="1"/>
  <c r="S1006" i="50"/>
  <c r="S1007" i="50" s="1"/>
  <c r="N3276" i="50"/>
  <c r="J3282" i="50"/>
  <c r="J3288" i="50" s="1"/>
  <c r="AW231" i="49"/>
  <c r="AH3310" i="50"/>
  <c r="AH231" i="49"/>
  <c r="AH233" i="49" s="1"/>
  <c r="AM231" i="49"/>
  <c r="AM233" i="49" s="1"/>
  <c r="AM116" i="49"/>
  <c r="R10" i="49" s="1"/>
  <c r="AM120" i="49"/>
  <c r="AR231" i="49"/>
  <c r="F3276" i="50"/>
  <c r="L3278" i="50"/>
  <c r="L3579" i="50" s="1"/>
  <c r="L3276" i="50"/>
  <c r="J3276" i="50"/>
  <c r="J3281" i="50" s="1"/>
  <c r="AH120" i="49"/>
  <c r="AH116" i="49"/>
  <c r="O10" i="49" s="1"/>
  <c r="U10" i="49" s="1"/>
  <c r="AH2976" i="50"/>
  <c r="AB9" i="72"/>
  <c r="AI9" i="72" s="1"/>
  <c r="AB3" i="72"/>
  <c r="AI3" i="72" s="1"/>
  <c r="AB6" i="72"/>
  <c r="AI6" i="72" s="1"/>
  <c r="BV116" i="49"/>
  <c r="AB10" i="72"/>
  <c r="AI10" i="72" s="1"/>
  <c r="V1421" i="50"/>
  <c r="AH2950" i="50"/>
  <c r="AB3239" i="50"/>
  <c r="AB3579" i="50"/>
  <c r="AF3339" i="50"/>
  <c r="AH3339" i="50" s="1"/>
  <c r="V3344" i="50"/>
  <c r="X3092" i="50"/>
  <c r="AF3090" i="50"/>
  <c r="AM1841" i="50"/>
  <c r="AS1845" i="50"/>
  <c r="AM237" i="50"/>
  <c r="AS243" i="50"/>
  <c r="AK784" i="50"/>
  <c r="S789" i="50"/>
  <c r="S790" i="50" s="1"/>
  <c r="AH882" i="50"/>
  <c r="AH938" i="50"/>
  <c r="AG943" i="50"/>
  <c r="AG944" i="50" s="1"/>
  <c r="S1314" i="50"/>
  <c r="S1315" i="50" s="1"/>
  <c r="BV231" i="49"/>
  <c r="AH966" i="50"/>
  <c r="R2516" i="50"/>
  <c r="F2866" i="50"/>
  <c r="AH723" i="50"/>
  <c r="AS201" i="50"/>
  <c r="J2931" i="50"/>
  <c r="J3579" i="50"/>
  <c r="AH903" i="50"/>
  <c r="AF2465" i="50"/>
  <c r="T2864" i="50"/>
  <c r="U2864" i="50" s="1"/>
  <c r="AH3464" i="50"/>
  <c r="G3" i="72"/>
  <c r="AS411" i="50"/>
  <c r="AH1183" i="50"/>
  <c r="J2864" i="50"/>
  <c r="K2864" i="50" s="1"/>
  <c r="AG1377" i="50"/>
  <c r="AG1378" i="50" s="1"/>
  <c r="AH1372" i="50"/>
  <c r="AI1377" i="50" s="1"/>
  <c r="AI1378" i="50" s="1"/>
  <c r="AH1106" i="50"/>
  <c r="AG1111" i="50"/>
  <c r="AG1112" i="50" s="1"/>
  <c r="AT264" i="50"/>
  <c r="AT229" i="50"/>
  <c r="AU1474" i="50"/>
  <c r="AH2992" i="50"/>
  <c r="AT75" i="50"/>
  <c r="J1852" i="50"/>
  <c r="S1146" i="50"/>
  <c r="S1147" i="50" s="1"/>
  <c r="AS124" i="50"/>
  <c r="F1436" i="50"/>
  <c r="R1422" i="50"/>
  <c r="AH3031" i="50"/>
  <c r="AF2929" i="50"/>
  <c r="AH1109" i="50"/>
  <c r="X2931" i="50"/>
  <c r="L2973" i="50"/>
  <c r="R2968" i="50"/>
  <c r="AH1295" i="50"/>
  <c r="AI1300" i="50" s="1"/>
  <c r="AI1301" i="50" s="1"/>
  <c r="AG1300" i="50"/>
  <c r="AG1301" i="50" s="1"/>
  <c r="AF2522" i="50"/>
  <c r="AH3116" i="50"/>
  <c r="S3119" i="50"/>
  <c r="S3120" i="50" s="1"/>
  <c r="AG950" i="50"/>
  <c r="AG951" i="50" s="1"/>
  <c r="AH945" i="50"/>
  <c r="AH3341" i="50"/>
  <c r="AH1204" i="50"/>
  <c r="AH1281" i="50"/>
  <c r="X2863" i="50"/>
  <c r="Y2863" i="50" s="1"/>
  <c r="AS194" i="50"/>
  <c r="I8" i="72"/>
  <c r="AH3394" i="50"/>
  <c r="AI708" i="50"/>
  <c r="AH1022" i="50"/>
  <c r="AG1027" i="50"/>
  <c r="AG1028" i="50" s="1"/>
  <c r="AD713" i="50"/>
  <c r="AH725" i="50"/>
  <c r="S1013" i="50"/>
  <c r="S1014" i="50" s="1"/>
  <c r="AH1232" i="50"/>
  <c r="AI1237" i="50" s="1"/>
  <c r="AI1238" i="50" s="1"/>
  <c r="AG1237" i="50"/>
  <c r="AG1238" i="50" s="1"/>
  <c r="AF777" i="50"/>
  <c r="AG782" i="50" s="1"/>
  <c r="AG783" i="50" s="1"/>
  <c r="AD3239" i="50"/>
  <c r="AD3579" i="50"/>
  <c r="AT82" i="50"/>
  <c r="P2864" i="50"/>
  <c r="AF3503" i="50"/>
  <c r="S1125" i="50"/>
  <c r="S1126" i="50" s="1"/>
  <c r="AB3577" i="50"/>
  <c r="AG873" i="50"/>
  <c r="AG874" i="50" s="1"/>
  <c r="AG1405" i="50"/>
  <c r="AG1406" i="50" s="1"/>
  <c r="AH1400" i="50"/>
  <c r="AH1134" i="50"/>
  <c r="AK805" i="50"/>
  <c r="S810" i="50"/>
  <c r="S811" i="50" s="1"/>
  <c r="AF3170" i="50"/>
  <c r="V3176" i="50"/>
  <c r="S2433" i="50"/>
  <c r="S2434" i="50" s="1"/>
  <c r="AH2430" i="50"/>
  <c r="S3147" i="50"/>
  <c r="S3148" i="50" s="1"/>
  <c r="AH1064" i="50"/>
  <c r="AG1069" i="50"/>
  <c r="AG1070" i="50" s="1"/>
  <c r="AG831" i="50"/>
  <c r="AG832" i="50" s="1"/>
  <c r="AH826" i="50"/>
  <c r="F1439" i="50"/>
  <c r="R1425" i="50"/>
  <c r="AL742" i="50"/>
  <c r="AF3263" i="50"/>
  <c r="AH3263" i="50" s="1"/>
  <c r="T3267" i="50"/>
  <c r="AH3012" i="50"/>
  <c r="AH3335" i="50"/>
  <c r="AU145" i="50"/>
  <c r="AV145" i="50"/>
  <c r="F3274" i="50"/>
  <c r="R3503" i="50"/>
  <c r="S3504" i="50" s="1"/>
  <c r="S3505" i="50" s="1"/>
  <c r="F3505" i="50"/>
  <c r="AG1419" i="50"/>
  <c r="AG1420" i="50" s="1"/>
  <c r="F1423" i="50"/>
  <c r="E7" i="72"/>
  <c r="AH889" i="50"/>
  <c r="AI894" i="50" s="1"/>
  <c r="AI895" i="50" s="1"/>
  <c r="AG894" i="50"/>
  <c r="AG895" i="50" s="1"/>
  <c r="AH1015" i="50"/>
  <c r="AT355" i="50"/>
  <c r="AH1302" i="50"/>
  <c r="AG1307" i="50"/>
  <c r="AG1308" i="50" s="1"/>
  <c r="AH910" i="50"/>
  <c r="AI915" i="50" s="1"/>
  <c r="AI916" i="50" s="1"/>
  <c r="AG915" i="50"/>
  <c r="AG916" i="50" s="1"/>
  <c r="AT47" i="50"/>
  <c r="G8" i="72"/>
  <c r="P3580" i="50"/>
  <c r="AT348" i="50"/>
  <c r="S1321" i="50"/>
  <c r="S1322" i="50" s="1"/>
  <c r="AH896" i="50"/>
  <c r="AG901" i="50"/>
  <c r="AG902" i="50" s="1"/>
  <c r="AH3275" i="50"/>
  <c r="AS299" i="50"/>
  <c r="AH840" i="50"/>
  <c r="AI845" i="50" s="1"/>
  <c r="AI846" i="50" s="1"/>
  <c r="AG845" i="50"/>
  <c r="AG846" i="50" s="1"/>
  <c r="AB27" i="72"/>
  <c r="AT61" i="50"/>
  <c r="G10" i="72"/>
  <c r="AC10" i="72" s="1"/>
  <c r="AH2809" i="50"/>
  <c r="AG3525" i="50"/>
  <c r="AG3526" i="50" s="1"/>
  <c r="AG2811" i="50"/>
  <c r="AG2812" i="50" s="1"/>
  <c r="J713" i="50"/>
  <c r="AH924" i="50"/>
  <c r="AG929" i="50"/>
  <c r="AG930" i="50" s="1"/>
  <c r="V3491" i="50"/>
  <c r="AF3488" i="50"/>
  <c r="AH1225" i="50"/>
  <c r="AG957" i="50"/>
  <c r="AG958" i="50" s="1"/>
  <c r="M3" i="72"/>
  <c r="AF3439" i="50"/>
  <c r="T3442" i="50"/>
  <c r="R2564" i="50"/>
  <c r="AH2564" i="50" s="1"/>
  <c r="AG2972" i="50"/>
  <c r="AG2973" i="50" s="1"/>
  <c r="AA3" i="72"/>
  <c r="AH973" i="50"/>
  <c r="AI978" i="50" s="1"/>
  <c r="AI979" i="50" s="1"/>
  <c r="AG978" i="50"/>
  <c r="AG979" i="50" s="1"/>
  <c r="AH3461" i="50"/>
  <c r="S3462" i="50"/>
  <c r="S3463" i="50" s="1"/>
  <c r="AS467" i="50"/>
  <c r="AT1803" i="50"/>
  <c r="O1423" i="50"/>
  <c r="AH3125" i="50"/>
  <c r="AI2272" i="50"/>
  <c r="AI2273" i="50" s="1"/>
  <c r="G5" i="72"/>
  <c r="AH1113" i="50"/>
  <c r="AG1118" i="50"/>
  <c r="AG1119" i="50" s="1"/>
  <c r="AV131" i="50"/>
  <c r="AU131" i="50"/>
  <c r="R2568" i="50"/>
  <c r="AH1127" i="50"/>
  <c r="AI1132" i="50" s="1"/>
  <c r="AI1133" i="50" s="1"/>
  <c r="S1251" i="50"/>
  <c r="S1252" i="50" s="1"/>
  <c r="L2931" i="50"/>
  <c r="AH994" i="50"/>
  <c r="AG999" i="50"/>
  <c r="AG1000" i="50" s="1"/>
  <c r="AM1819" i="50"/>
  <c r="AS1824" i="50"/>
  <c r="AH2183" i="50"/>
  <c r="AG2902" i="50"/>
  <c r="AG2903" i="50" s="1"/>
  <c r="AG2188" i="50"/>
  <c r="AG2189" i="50" s="1"/>
  <c r="AH3254" i="50"/>
  <c r="AS1803" i="50"/>
  <c r="S3133" i="50"/>
  <c r="S3134" i="50" s="1"/>
  <c r="AF3482" i="50"/>
  <c r="T3484" i="50"/>
  <c r="AH3528" i="50"/>
  <c r="Z713" i="50"/>
  <c r="H3276" i="50"/>
  <c r="F1424" i="50"/>
  <c r="G1424" i="50" s="1"/>
  <c r="AG859" i="50"/>
  <c r="AG860" i="50" s="1"/>
  <c r="AH854" i="50"/>
  <c r="AI859" i="50" s="1"/>
  <c r="AI860" i="50" s="1"/>
  <c r="AH931" i="50"/>
  <c r="AG936" i="50"/>
  <c r="AG937" i="50" s="1"/>
  <c r="AG1006" i="50"/>
  <c r="AG1007" i="50" s="1"/>
  <c r="AH1001" i="50"/>
  <c r="AI1006" i="50" s="1"/>
  <c r="AI1007" i="50" s="1"/>
  <c r="AH1092" i="50"/>
  <c r="AG1097" i="50"/>
  <c r="AG1098" i="50" s="1"/>
  <c r="AG1153" i="50"/>
  <c r="AG1154" i="50" s="1"/>
  <c r="AH1148" i="50"/>
  <c r="P2931" i="50"/>
  <c r="P3579" i="50"/>
  <c r="H3230" i="50"/>
  <c r="AL798" i="50"/>
  <c r="AG803" i="50"/>
  <c r="AG804" i="50" s="1"/>
  <c r="AH2376" i="50"/>
  <c r="AG2377" i="50"/>
  <c r="AG2378" i="50" s="1"/>
  <c r="Z3204" i="50"/>
  <c r="T1439" i="50"/>
  <c r="AH1439" i="50" s="1"/>
  <c r="AF1425" i="50"/>
  <c r="AG1223" i="50"/>
  <c r="AG1224" i="50" s="1"/>
  <c r="AH1218" i="50"/>
  <c r="AF3297" i="50"/>
  <c r="AH3297" i="50" s="1"/>
  <c r="AH1386" i="50"/>
  <c r="H2931" i="50"/>
  <c r="AH1176" i="50"/>
  <c r="AI1181" i="50" s="1"/>
  <c r="AI1182" i="50" s="1"/>
  <c r="AG1181" i="50"/>
  <c r="AG1182" i="50" s="1"/>
  <c r="AG2552" i="50"/>
  <c r="AG2553" i="50" s="1"/>
  <c r="AH2549" i="50"/>
  <c r="S3" i="72"/>
  <c r="N3578" i="50"/>
  <c r="P3270" i="50"/>
  <c r="R3515" i="50"/>
  <c r="AH3515" i="50" s="1"/>
  <c r="X713" i="50"/>
  <c r="AH1141" i="50"/>
  <c r="AG1146" i="50"/>
  <c r="AG1147" i="50" s="1"/>
  <c r="AH1099" i="50"/>
  <c r="AG1104" i="50"/>
  <c r="AG1105" i="50" s="1"/>
  <c r="AF3396" i="50"/>
  <c r="AD3400" i="50"/>
  <c r="AH1323" i="50"/>
  <c r="R3494" i="50"/>
  <c r="AH3494" i="50" s="1"/>
  <c r="F3498" i="50"/>
  <c r="AH1309" i="50"/>
  <c r="AG1314" i="50"/>
  <c r="AG1315" i="50" s="1"/>
  <c r="Q7" i="72"/>
  <c r="AG1265" i="50"/>
  <c r="AG1266" i="50" s="1"/>
  <c r="AH1260" i="50"/>
  <c r="AI1265" i="50" s="1"/>
  <c r="AI1266" i="50" s="1"/>
  <c r="E12" i="72"/>
  <c r="D11" i="72"/>
  <c r="AH1036" i="50"/>
  <c r="AI1041" i="50" s="1"/>
  <c r="AI1042" i="50" s="1"/>
  <c r="AG1041" i="50"/>
  <c r="AG1042" i="50" s="1"/>
  <c r="V2931" i="50"/>
  <c r="V3579" i="50"/>
  <c r="AF3222" i="50"/>
  <c r="AH3222" i="50" s="1"/>
  <c r="X3225" i="50"/>
  <c r="P713" i="50"/>
  <c r="Z2931" i="50"/>
  <c r="AH1312" i="50"/>
  <c r="K3" i="72"/>
  <c r="R2556" i="50"/>
  <c r="F2864" i="50"/>
  <c r="AH1115" i="50"/>
  <c r="AS271" i="50"/>
  <c r="AH1050" i="50"/>
  <c r="AG1055" i="50"/>
  <c r="AG1056" i="50" s="1"/>
  <c r="AH1071" i="50"/>
  <c r="AI1076" i="50" s="1"/>
  <c r="AI1077" i="50" s="1"/>
  <c r="AG1076" i="50"/>
  <c r="AG1077" i="50" s="1"/>
  <c r="AL784" i="50"/>
  <c r="AH784" i="50"/>
  <c r="AI789" i="50" s="1"/>
  <c r="AI790" i="50" s="1"/>
  <c r="AG3462" i="50"/>
  <c r="AG3463" i="50" s="1"/>
  <c r="R2929" i="50"/>
  <c r="AG852" i="50"/>
  <c r="AG853" i="50" s="1"/>
  <c r="AH847" i="50"/>
  <c r="AI852" i="50" s="1"/>
  <c r="AI853" i="50" s="1"/>
  <c r="T1436" i="50"/>
  <c r="AH1436" i="50" s="1"/>
  <c r="AF1422" i="50"/>
  <c r="AT89" i="50"/>
  <c r="AF3199" i="50"/>
  <c r="AH3199" i="50" s="1"/>
  <c r="T3204" i="50"/>
  <c r="AH1319" i="50"/>
  <c r="AH917" i="50"/>
  <c r="AI922" i="50" s="1"/>
  <c r="AI923" i="50" s="1"/>
  <c r="AG922" i="50"/>
  <c r="AG923" i="50" s="1"/>
  <c r="AH1344" i="50"/>
  <c r="AG1349" i="50"/>
  <c r="AG1350" i="50" s="1"/>
  <c r="T3179" i="50"/>
  <c r="AK791" i="50"/>
  <c r="S796" i="50"/>
  <c r="S797" i="50" s="1"/>
  <c r="AT33" i="50"/>
  <c r="K6" i="72"/>
  <c r="AC6" i="72" s="1"/>
  <c r="AL728" i="50"/>
  <c r="S2335" i="50"/>
  <c r="S2336" i="50" s="1"/>
  <c r="S3049" i="50"/>
  <c r="S3050" i="50" s="1"/>
  <c r="AH1288" i="50"/>
  <c r="AG1293" i="50"/>
  <c r="AG1294" i="50" s="1"/>
  <c r="AH819" i="50"/>
  <c r="AG824" i="50"/>
  <c r="AG825" i="50" s="1"/>
  <c r="G11" i="72"/>
  <c r="F11" i="72"/>
  <c r="AH2243" i="50"/>
  <c r="AI2244" i="50" s="1"/>
  <c r="AI2245" i="50" s="1"/>
  <c r="AG2244" i="50"/>
  <c r="AG2245" i="50" s="1"/>
  <c r="AH833" i="50"/>
  <c r="AG838" i="50"/>
  <c r="AG839" i="50" s="1"/>
  <c r="AT187" i="50"/>
  <c r="Y3" i="72"/>
  <c r="AH2942" i="50"/>
  <c r="AG2944" i="50"/>
  <c r="AG2945" i="50" s="1"/>
  <c r="O1424" i="50"/>
  <c r="AU96" i="50"/>
  <c r="AV96" i="50"/>
  <c r="AU278" i="50"/>
  <c r="AV278" i="50"/>
  <c r="AH3450" i="50"/>
  <c r="R2957" i="50"/>
  <c r="S2958" i="50" s="1"/>
  <c r="S2959" i="50" s="1"/>
  <c r="F2959" i="50"/>
  <c r="N27" i="51"/>
  <c r="AG1160" i="50"/>
  <c r="AG1161" i="50" s="1"/>
  <c r="AL749" i="50"/>
  <c r="AH749" i="50"/>
  <c r="AI754" i="50" s="1"/>
  <c r="AI755" i="50" s="1"/>
  <c r="F2154" i="50"/>
  <c r="F3282" i="50"/>
  <c r="AH1085" i="50"/>
  <c r="AG1090" i="50"/>
  <c r="AG1091" i="50" s="1"/>
  <c r="AM1807" i="50"/>
  <c r="AS1810" i="50"/>
  <c r="AG3105" i="50"/>
  <c r="AG3106" i="50" s="1"/>
  <c r="AS341" i="50"/>
  <c r="AS285" i="50"/>
  <c r="AH1057" i="50"/>
  <c r="AG1062" i="50"/>
  <c r="AG1063" i="50" s="1"/>
  <c r="AG1286" i="50"/>
  <c r="AG1287" i="50" s="1"/>
  <c r="T3253" i="50"/>
  <c r="AD3253" i="50"/>
  <c r="AD3577" i="50"/>
  <c r="AF3354" i="50"/>
  <c r="X3358" i="50"/>
  <c r="AH2768" i="50"/>
  <c r="AI2769" i="50" s="1"/>
  <c r="AI2770" i="50" s="1"/>
  <c r="AG2769" i="50"/>
  <c r="AG2770" i="50" s="1"/>
  <c r="M1424" i="50"/>
  <c r="AF2646" i="50"/>
  <c r="AH1197" i="50"/>
  <c r="AI1202" i="50" s="1"/>
  <c r="AI1203" i="50" s="1"/>
  <c r="AG1202" i="50"/>
  <c r="AG1203" i="50" s="1"/>
  <c r="AS187" i="50"/>
  <c r="AH1253" i="50"/>
  <c r="AI1258" i="50" s="1"/>
  <c r="AI1259" i="50" s="1"/>
  <c r="AG1258" i="50"/>
  <c r="AG1259" i="50" s="1"/>
  <c r="G1422" i="50"/>
  <c r="AH2759" i="50"/>
  <c r="AD3092" i="50"/>
  <c r="AG1083" i="50"/>
  <c r="AG1084" i="50" s="1"/>
  <c r="AH1078" i="50"/>
  <c r="AI1083" i="50" s="1"/>
  <c r="AI1084" i="50" s="1"/>
  <c r="S1062" i="50"/>
  <c r="S1063" i="50" s="1"/>
  <c r="S1307" i="50"/>
  <c r="S1308" i="50" s="1"/>
  <c r="Y1424" i="50"/>
  <c r="AL735" i="50"/>
  <c r="AH3079" i="50"/>
  <c r="AH1043" i="50"/>
  <c r="AI1048" i="50" s="1"/>
  <c r="AI1049" i="50" s="1"/>
  <c r="AG1048" i="50"/>
  <c r="AG1049" i="50" s="1"/>
  <c r="AL770" i="50"/>
  <c r="AH861" i="50"/>
  <c r="AI866" i="50" s="1"/>
  <c r="AI867" i="50" s="1"/>
  <c r="AG866" i="50"/>
  <c r="AG867" i="50" s="1"/>
  <c r="AG1279" i="50"/>
  <c r="AG1280" i="50" s="1"/>
  <c r="AH1274" i="50"/>
  <c r="AL763" i="50"/>
  <c r="S2678" i="50"/>
  <c r="S2679" i="50" s="1"/>
  <c r="AH2675" i="50"/>
  <c r="AI2678" i="50" s="1"/>
  <c r="AI2679" i="50" s="1"/>
  <c r="AG2510" i="50"/>
  <c r="AG2511" i="50" s="1"/>
  <c r="N2864" i="50"/>
  <c r="O2864" i="50" s="1"/>
  <c r="R2801" i="50"/>
  <c r="X3580" i="50"/>
  <c r="P3576" i="50"/>
  <c r="AH1351" i="50"/>
  <c r="AG1356" i="50"/>
  <c r="AG1357" i="50" s="1"/>
  <c r="AV117" i="50"/>
  <c r="AU117" i="50"/>
  <c r="AM1847" i="50"/>
  <c r="AS1852" i="50"/>
  <c r="AH1316" i="50"/>
  <c r="AG1321" i="50"/>
  <c r="AG1322" i="50" s="1"/>
  <c r="AF3473" i="50"/>
  <c r="AH3473" i="50" s="1"/>
  <c r="T3477" i="50"/>
  <c r="AG964" i="50"/>
  <c r="AG965" i="50" s="1"/>
  <c r="AH959" i="50"/>
  <c r="AI964" i="50" s="1"/>
  <c r="AI965" i="50" s="1"/>
  <c r="AG1195" i="50"/>
  <c r="AG1196" i="50" s="1"/>
  <c r="S978" i="50"/>
  <c r="S979" i="50" s="1"/>
  <c r="R11" i="72"/>
  <c r="R28" i="72" s="1"/>
  <c r="R2780" i="50"/>
  <c r="X3281" i="50"/>
  <c r="AH2850" i="50"/>
  <c r="AG3567" i="50"/>
  <c r="AG3568" i="50" s="1"/>
  <c r="AG2853" i="50"/>
  <c r="AG2854" i="50" s="1"/>
  <c r="R2562" i="50"/>
  <c r="I27" i="72"/>
  <c r="H11" i="72"/>
  <c r="H28" i="72" s="1"/>
  <c r="AH1291" i="50"/>
  <c r="AG2503" i="50"/>
  <c r="AG2504" i="50" s="1"/>
  <c r="AG3217" i="50"/>
  <c r="AG3218" i="50" s="1"/>
  <c r="AH2500" i="50"/>
  <c r="V3577" i="50"/>
  <c r="AD3578" i="50"/>
  <c r="N713" i="50"/>
  <c r="AH987" i="50"/>
  <c r="AI992" i="50" s="1"/>
  <c r="AI993" i="50" s="1"/>
  <c r="AG992" i="50"/>
  <c r="AG993" i="50" s="1"/>
  <c r="AK812" i="50"/>
  <c r="S817" i="50"/>
  <c r="S818" i="50" s="1"/>
  <c r="AH1211" i="50"/>
  <c r="AI1216" i="50" s="1"/>
  <c r="AI1217" i="50" s="1"/>
  <c r="AG1216" i="50"/>
  <c r="AG1217" i="50" s="1"/>
  <c r="AF3430" i="50"/>
  <c r="AH3430" i="50" s="1"/>
  <c r="T3435" i="50"/>
  <c r="AH2654" i="50"/>
  <c r="AH3234" i="50"/>
  <c r="S3238" i="50"/>
  <c r="S3239" i="50" s="1"/>
  <c r="Q12" i="72"/>
  <c r="P11" i="72"/>
  <c r="AT54" i="50"/>
  <c r="AV54" i="50" s="1"/>
  <c r="R3389" i="50"/>
  <c r="F1845" i="50"/>
  <c r="P1845" i="50" s="1"/>
  <c r="AH1029" i="50"/>
  <c r="AI1034" i="50" s="1"/>
  <c r="AI1035" i="50" s="1"/>
  <c r="R2214" i="50"/>
  <c r="F2928" i="50"/>
  <c r="F2865" i="50"/>
  <c r="G2865" i="50" s="1"/>
  <c r="AH1144" i="50"/>
  <c r="AH980" i="50"/>
  <c r="AS159" i="50"/>
  <c r="AH3040" i="50"/>
  <c r="AS264" i="50"/>
  <c r="S1153" i="50"/>
  <c r="S1154" i="50" s="1"/>
  <c r="AH1358" i="50"/>
  <c r="AG1363" i="50"/>
  <c r="AG1364" i="50" s="1"/>
  <c r="AS103" i="50"/>
  <c r="AH1008" i="50"/>
  <c r="AG1013" i="50"/>
  <c r="AG1014" i="50" s="1"/>
  <c r="L3230" i="50"/>
  <c r="F3230" i="50"/>
  <c r="AA1424" i="50"/>
  <c r="AH1162" i="50"/>
  <c r="AG1167" i="50"/>
  <c r="AG1168" i="50" s="1"/>
  <c r="AS110" i="50"/>
  <c r="G1425" i="50"/>
  <c r="AH2485" i="50"/>
  <c r="AG2489" i="50"/>
  <c r="AG2490" i="50" s="1"/>
  <c r="AM1750" i="50"/>
  <c r="AS1754" i="50"/>
  <c r="AU1754" i="50" s="1"/>
  <c r="L3270" i="50"/>
  <c r="J3270" i="50"/>
  <c r="AH780" i="50"/>
  <c r="T2928" i="50"/>
  <c r="AF2214" i="50"/>
  <c r="T2865" i="50"/>
  <c r="AG1125" i="50"/>
  <c r="AG1126" i="50" s="1"/>
  <c r="AH1120" i="50"/>
  <c r="S1160" i="50"/>
  <c r="S1161" i="50" s="1"/>
  <c r="AB2863" i="50"/>
  <c r="AC2863" i="50" s="1"/>
  <c r="AH2975" i="50"/>
  <c r="S2979" i="50"/>
  <c r="S2980" i="50" s="1"/>
  <c r="H3578" i="50"/>
  <c r="AF2957" i="50"/>
  <c r="T2959" i="50"/>
  <c r="S1118" i="50"/>
  <c r="S1119" i="50" s="1"/>
  <c r="AG1384" i="50"/>
  <c r="AG1385" i="50" s="1"/>
  <c r="AH1379" i="50"/>
  <c r="AI1384" i="50" s="1"/>
  <c r="AI1385" i="50" s="1"/>
  <c r="AS439" i="50"/>
  <c r="AL721" i="50"/>
  <c r="AL805" i="50"/>
  <c r="AH805" i="50"/>
  <c r="AI810" i="50" s="1"/>
  <c r="AI811" i="50" s="1"/>
  <c r="AG810" i="50"/>
  <c r="AG811" i="50" s="1"/>
  <c r="AH875" i="50"/>
  <c r="AG880" i="50"/>
  <c r="AG881" i="50" s="1"/>
  <c r="AH2215" i="50"/>
  <c r="S971" i="50"/>
  <c r="S972" i="50" s="1"/>
  <c r="AG1335" i="50"/>
  <c r="AG1336" i="50" s="1"/>
  <c r="AH1330" i="50"/>
  <c r="AI1335" i="50" s="1"/>
  <c r="AI1336" i="50" s="1"/>
  <c r="AH2779" i="50"/>
  <c r="AG3497" i="50"/>
  <c r="AG3498" i="50" s="1"/>
  <c r="AG2783" i="50"/>
  <c r="AG2784" i="50" s="1"/>
  <c r="AH3109" i="50"/>
  <c r="S3385" i="50"/>
  <c r="S3386" i="50" s="1"/>
  <c r="U1422" i="50"/>
  <c r="AG1398" i="50"/>
  <c r="AG1399" i="50" s="1"/>
  <c r="AH1393" i="50"/>
  <c r="AH3409" i="50"/>
  <c r="X11" i="72"/>
  <c r="T3236" i="50"/>
  <c r="AH1337" i="50"/>
  <c r="AS446" i="50"/>
  <c r="AF2534" i="50"/>
  <c r="AD2863" i="50"/>
  <c r="AE2863" i="50" s="1"/>
  <c r="V2863" i="50"/>
  <c r="AH3219" i="50"/>
  <c r="AS292" i="50"/>
  <c r="X3248" i="50"/>
  <c r="T3360" i="50"/>
  <c r="AS432" i="50"/>
  <c r="S943" i="50"/>
  <c r="S944" i="50" s="1"/>
  <c r="N2931" i="50"/>
  <c r="AL812" i="50"/>
  <c r="AH812" i="50"/>
  <c r="AI817" i="50" s="1"/>
  <c r="AI818" i="50" s="1"/>
  <c r="AG817" i="50"/>
  <c r="AG818" i="50" s="1"/>
  <c r="Q2863" i="50"/>
  <c r="AB713" i="50"/>
  <c r="AU362" i="50"/>
  <c r="AH1267" i="50"/>
  <c r="AI1272" i="50" s="1"/>
  <c r="AI1273" i="50" s="1"/>
  <c r="AG1272" i="50"/>
  <c r="AG1273" i="50" s="1"/>
  <c r="T11" i="72"/>
  <c r="AH2716" i="50"/>
  <c r="AG2720" i="50"/>
  <c r="AG2721" i="50" s="1"/>
  <c r="W9" i="72"/>
  <c r="AU1530" i="50"/>
  <c r="O3" i="72"/>
  <c r="S1384" i="50"/>
  <c r="S1385" i="50" s="1"/>
  <c r="AF2583" i="50"/>
  <c r="AS453" i="50"/>
  <c r="S1090" i="50"/>
  <c r="S1091" i="50" s="1"/>
  <c r="AB13" i="72"/>
  <c r="AS138" i="50"/>
  <c r="AS397" i="50"/>
  <c r="AH2789" i="50"/>
  <c r="AH1190" i="50"/>
  <c r="AI1195" i="50" s="1"/>
  <c r="AI1196" i="50" s="1"/>
  <c r="AH1239" i="50"/>
  <c r="U3" i="72"/>
  <c r="F713" i="50"/>
  <c r="L713" i="50"/>
  <c r="L28" i="72" l="1"/>
  <c r="J28" i="72"/>
  <c r="X28" i="72"/>
  <c r="AI831" i="50"/>
  <c r="AI832" i="50" s="1"/>
  <c r="AB17" i="72"/>
  <c r="P28" i="72"/>
  <c r="T28" i="72"/>
  <c r="AH770" i="50"/>
  <c r="AI775" i="50" s="1"/>
  <c r="AI776" i="50" s="1"/>
  <c r="S775" i="50"/>
  <c r="S776" i="50" s="1"/>
  <c r="AT26" i="50"/>
  <c r="Q15" i="72"/>
  <c r="AC15" i="72" s="1"/>
  <c r="AK763" i="50"/>
  <c r="S768" i="50"/>
  <c r="S769" i="50" s="1"/>
  <c r="AJ21" i="72"/>
  <c r="AK21" i="72" s="1"/>
  <c r="AL21" i="72" s="1"/>
  <c r="AJ18" i="72"/>
  <c r="AK18" i="72" s="1"/>
  <c r="AL18" i="72" s="1"/>
  <c r="AJ20" i="72"/>
  <c r="AJ22" i="72"/>
  <c r="AK22" i="72" s="1"/>
  <c r="AL22" i="72" s="1"/>
  <c r="AJ19" i="72"/>
  <c r="AI17" i="72"/>
  <c r="AK17" i="72" s="1"/>
  <c r="AL17" i="72" s="1"/>
  <c r="AE17" i="72"/>
  <c r="AG17" i="72" s="1"/>
  <c r="AE15" i="72"/>
  <c r="AG15" i="72" s="1"/>
  <c r="AK20" i="72"/>
  <c r="AL20" i="72" s="1"/>
  <c r="AI936" i="50"/>
  <c r="AI937" i="50" s="1"/>
  <c r="AI16" i="72"/>
  <c r="AE16" i="72"/>
  <c r="AG16" i="72" s="1"/>
  <c r="AL756" i="50"/>
  <c r="AG761" i="50"/>
  <c r="AG762" i="50" s="1"/>
  <c r="AK19" i="72"/>
  <c r="AL19" i="72" s="1"/>
  <c r="AI1244" i="50"/>
  <c r="AI1245" i="50" s="1"/>
  <c r="AG1230" i="50"/>
  <c r="AG1231" i="50" s="1"/>
  <c r="AI1104" i="50"/>
  <c r="AI1105" i="50" s="1"/>
  <c r="L3576" i="50"/>
  <c r="M3576" i="50" s="1"/>
  <c r="AU1572" i="50"/>
  <c r="AI2384" i="50"/>
  <c r="AI2385" i="50" s="1"/>
  <c r="K2862" i="50"/>
  <c r="AU1467" i="50"/>
  <c r="AU1712" i="50"/>
  <c r="R3209" i="50"/>
  <c r="S3210" i="50" s="1"/>
  <c r="S3211" i="50" s="1"/>
  <c r="AU1621" i="50"/>
  <c r="V3580" i="50"/>
  <c r="W3580" i="50" s="1"/>
  <c r="J2153" i="50"/>
  <c r="S3413" i="50"/>
  <c r="S3414" i="50" s="1"/>
  <c r="J3580" i="50"/>
  <c r="S3042" i="50"/>
  <c r="S3043" i="50" s="1"/>
  <c r="T3036" i="50"/>
  <c r="AF3279" i="50"/>
  <c r="AH3279" i="50" s="1"/>
  <c r="AG2594" i="50"/>
  <c r="AG2595" i="50" s="1"/>
  <c r="S3196" i="50"/>
  <c r="S3197" i="50" s="1"/>
  <c r="AH2935" i="50"/>
  <c r="S2902" i="50"/>
  <c r="S2903" i="50" s="1"/>
  <c r="AB14" i="72"/>
  <c r="AI14" i="72" s="1"/>
  <c r="AI706" i="50"/>
  <c r="AI3315" i="50"/>
  <c r="AI3316" i="50" s="1"/>
  <c r="X1435" i="50"/>
  <c r="X1440" i="50" s="1"/>
  <c r="AU341" i="50"/>
  <c r="AI1405" i="50"/>
  <c r="AI1406" i="50" s="1"/>
  <c r="AU250" i="50"/>
  <c r="AE1424" i="50"/>
  <c r="AT40" i="50"/>
  <c r="AV40" i="50" s="1"/>
  <c r="AG3133" i="50"/>
  <c r="AG3134" i="50" s="1"/>
  <c r="AH2352" i="50"/>
  <c r="AG3322" i="50"/>
  <c r="AG3323" i="50" s="1"/>
  <c r="T3246" i="50"/>
  <c r="AG2951" i="50"/>
  <c r="AG2952" i="50" s="1"/>
  <c r="AU1726" i="50"/>
  <c r="T3456" i="50"/>
  <c r="S3203" i="50"/>
  <c r="S3204" i="50" s="1"/>
  <c r="AI929" i="50"/>
  <c r="AI930" i="50" s="1"/>
  <c r="S3427" i="50"/>
  <c r="S3428" i="50" s="1"/>
  <c r="AU1838" i="50"/>
  <c r="AH2232" i="50"/>
  <c r="AI2237" i="50" s="1"/>
  <c r="AI2238" i="50" s="1"/>
  <c r="R2921" i="50"/>
  <c r="F2924" i="50"/>
  <c r="AV124" i="50"/>
  <c r="AU1698" i="50"/>
  <c r="T3323" i="50"/>
  <c r="L3498" i="50"/>
  <c r="AU208" i="50"/>
  <c r="S2916" i="50"/>
  <c r="S2917" i="50" s="1"/>
  <c r="AE26" i="72"/>
  <c r="AG26" i="72" s="1"/>
  <c r="S2202" i="50"/>
  <c r="S2203" i="50" s="1"/>
  <c r="AI15" i="72"/>
  <c r="K346" i="49"/>
  <c r="K345" i="49"/>
  <c r="K347" i="49"/>
  <c r="K348" i="49"/>
  <c r="K349" i="49"/>
  <c r="BP246" i="49"/>
  <c r="BH341" i="49"/>
  <c r="F28" i="72"/>
  <c r="AH2946" i="50"/>
  <c r="AI2951" i="50" s="1"/>
  <c r="AI2952" i="50" s="1"/>
  <c r="L2153" i="50"/>
  <c r="AU1817" i="50"/>
  <c r="AH2495" i="50"/>
  <c r="AI2496" i="50" s="1"/>
  <c r="AI2497" i="50" s="1"/>
  <c r="L712" i="50"/>
  <c r="F27" i="42" s="1"/>
  <c r="K31" i="72" s="1"/>
  <c r="AI2790" i="50"/>
  <c r="AI2791" i="50" s="1"/>
  <c r="AU1810" i="50"/>
  <c r="AD1435" i="50"/>
  <c r="AD1440" i="50" s="1"/>
  <c r="F3519" i="50"/>
  <c r="AU1614" i="50"/>
  <c r="S2167" i="50"/>
  <c r="S2168" i="50" s="1"/>
  <c r="AU1509" i="50"/>
  <c r="AF3437" i="50"/>
  <c r="AH3437" i="50" s="1"/>
  <c r="V3442" i="50"/>
  <c r="BK341" i="49"/>
  <c r="AH2670" i="50"/>
  <c r="S2671" i="50"/>
  <c r="S2672" i="50" s="1"/>
  <c r="AG2790" i="50"/>
  <c r="AG2791" i="50" s="1"/>
  <c r="AU1831" i="50"/>
  <c r="AU1705" i="50"/>
  <c r="AU1586" i="50"/>
  <c r="AC14" i="72"/>
  <c r="AH2723" i="50"/>
  <c r="AG2727" i="50"/>
  <c r="AG2728" i="50" s="1"/>
  <c r="BK116" i="49"/>
  <c r="T3337" i="50"/>
  <c r="AU1824" i="50"/>
  <c r="AU1481" i="50"/>
  <c r="R3088" i="50"/>
  <c r="F3092" i="50"/>
  <c r="AF3066" i="50"/>
  <c r="AG3070" i="50" s="1"/>
  <c r="AG3071" i="50" s="1"/>
  <c r="X3071" i="50"/>
  <c r="R3124" i="50"/>
  <c r="F3127" i="50"/>
  <c r="S2706" i="50"/>
  <c r="S2707" i="50" s="1"/>
  <c r="S2776" i="50"/>
  <c r="S2777" i="50" s="1"/>
  <c r="AH2774" i="50"/>
  <c r="S2713" i="50"/>
  <c r="S2714" i="50" s="1"/>
  <c r="AH2710" i="50"/>
  <c r="AI2713" i="50" s="1"/>
  <c r="AI2714" i="50" s="1"/>
  <c r="J3456" i="50"/>
  <c r="R3452" i="50"/>
  <c r="S3455" i="50" s="1"/>
  <c r="S3456" i="50" s="1"/>
  <c r="R3488" i="50"/>
  <c r="S3490" i="50" s="1"/>
  <c r="S3491" i="50" s="1"/>
  <c r="F3491" i="50"/>
  <c r="R3418" i="50"/>
  <c r="S3420" i="50" s="1"/>
  <c r="S3421" i="50" s="1"/>
  <c r="F3421" i="50"/>
  <c r="R2879" i="50"/>
  <c r="F2882" i="50"/>
  <c r="S2657" i="50"/>
  <c r="S2658" i="50" s="1"/>
  <c r="AH2656" i="50"/>
  <c r="AI2657" i="50" s="1"/>
  <c r="AI2658" i="50" s="1"/>
  <c r="AH2299" i="50"/>
  <c r="AG2300" i="50"/>
  <c r="AG2301" i="50" s="1"/>
  <c r="S2377" i="50"/>
  <c r="S2378" i="50" s="1"/>
  <c r="AH2374" i="50"/>
  <c r="AI2377" i="50" s="1"/>
  <c r="AI2378" i="50" s="1"/>
  <c r="AG2356" i="50"/>
  <c r="AG2357" i="50" s="1"/>
  <c r="AF3013" i="50"/>
  <c r="T3015" i="50"/>
  <c r="F3099" i="50"/>
  <c r="R3096" i="50"/>
  <c r="AH3096" i="50" s="1"/>
  <c r="J3533" i="50"/>
  <c r="R3529" i="50"/>
  <c r="AG2608" i="50"/>
  <c r="AG2609" i="50" s="1"/>
  <c r="AH2604" i="50"/>
  <c r="AI2608" i="50" s="1"/>
  <c r="AI2609" i="50" s="1"/>
  <c r="H3267" i="50"/>
  <c r="AI3462" i="50"/>
  <c r="AI3463" i="50" s="1"/>
  <c r="U4" i="49"/>
  <c r="U8" i="49"/>
  <c r="AF3332" i="50"/>
  <c r="AH3332" i="50" s="1"/>
  <c r="AU334" i="50"/>
  <c r="S2391" i="50"/>
  <c r="S2392" i="50" s="1"/>
  <c r="V3190" i="50"/>
  <c r="AG2566" i="50"/>
  <c r="AG2567" i="50" s="1"/>
  <c r="F3379" i="50"/>
  <c r="AG3035" i="50"/>
  <c r="AG3036" i="50" s="1"/>
  <c r="AH3032" i="50"/>
  <c r="AH2320" i="50"/>
  <c r="AG2573" i="50"/>
  <c r="AG2574" i="50" s="1"/>
  <c r="S2860" i="50"/>
  <c r="S2861" i="50" s="1"/>
  <c r="AI2860" i="50"/>
  <c r="AI2861" i="50" s="1"/>
  <c r="AD3580" i="50"/>
  <c r="AE3580" i="50" s="1"/>
  <c r="AH2318" i="50"/>
  <c r="AG2321" i="50"/>
  <c r="AG2322" i="50" s="1"/>
  <c r="X2153" i="50"/>
  <c r="AG3140" i="50"/>
  <c r="AG3141" i="50" s="1"/>
  <c r="AH2467" i="50"/>
  <c r="AH3209" i="50"/>
  <c r="AI3210" i="50" s="1"/>
  <c r="AI3211" i="50" s="1"/>
  <c r="J3547" i="50"/>
  <c r="R3545" i="50"/>
  <c r="AH3552" i="50"/>
  <c r="AF3418" i="50"/>
  <c r="X3578" i="50"/>
  <c r="Y3578" i="50" s="1"/>
  <c r="AG3168" i="50"/>
  <c r="AG3169" i="50" s="1"/>
  <c r="AI2391" i="50"/>
  <c r="AI2392" i="50" s="1"/>
  <c r="AK735" i="50"/>
  <c r="AJ26" i="72" s="1"/>
  <c r="AK26" i="72" s="1"/>
  <c r="AL26" i="72" s="1"/>
  <c r="S740" i="50"/>
  <c r="S741" i="50" s="1"/>
  <c r="AF3555" i="50"/>
  <c r="AH3555" i="50" s="1"/>
  <c r="AK742" i="50"/>
  <c r="S747" i="50"/>
  <c r="S748" i="50" s="1"/>
  <c r="AK721" i="50"/>
  <c r="S726" i="50"/>
  <c r="S727" i="50" s="1"/>
  <c r="U13" i="72"/>
  <c r="U28" i="72" s="1"/>
  <c r="AH728" i="50"/>
  <c r="AI733" i="50" s="1"/>
  <c r="AI734" i="50" s="1"/>
  <c r="AI1139" i="50"/>
  <c r="AI1140" i="50" s="1"/>
  <c r="Q1424" i="50"/>
  <c r="AI1027" i="50"/>
  <c r="AI1028" i="50" s="1"/>
  <c r="T1435" i="50"/>
  <c r="AI950" i="50"/>
  <c r="AI951" i="50" s="1"/>
  <c r="S1027" i="50"/>
  <c r="S1028" i="50" s="1"/>
  <c r="X717" i="50"/>
  <c r="X715" i="50" s="1"/>
  <c r="O1421" i="50"/>
  <c r="AI1188" i="50"/>
  <c r="AI1189" i="50" s="1"/>
  <c r="AH1347" i="50"/>
  <c r="AI1349" i="50" s="1"/>
  <c r="AI1350" i="50" s="1"/>
  <c r="AU173" i="50"/>
  <c r="AI1209" i="50"/>
  <c r="AI1210" i="50" s="1"/>
  <c r="AU432" i="50"/>
  <c r="K10" i="42"/>
  <c r="AU306" i="50"/>
  <c r="AI1062" i="50"/>
  <c r="AI1063" i="50" s="1"/>
  <c r="Y1423" i="50"/>
  <c r="AU376" i="50"/>
  <c r="AU348" i="50"/>
  <c r="N1435" i="50"/>
  <c r="N1440" i="50" s="1"/>
  <c r="AV110" i="50"/>
  <c r="AU453" i="50"/>
  <c r="AI1230" i="50"/>
  <c r="AI1231" i="50" s="1"/>
  <c r="AG1139" i="50"/>
  <c r="AG1140" i="50" s="1"/>
  <c r="S824" i="50"/>
  <c r="S825" i="50" s="1"/>
  <c r="AU397" i="50"/>
  <c r="S1279" i="50"/>
  <c r="S1280" i="50" s="1"/>
  <c r="AI1167" i="50"/>
  <c r="AI1168" i="50" s="1"/>
  <c r="M1423" i="50"/>
  <c r="AV236" i="50"/>
  <c r="AI1055" i="50"/>
  <c r="AI1056" i="50" s="1"/>
  <c r="AV152" i="50"/>
  <c r="AV103" i="50"/>
  <c r="AU425" i="50"/>
  <c r="AU19" i="50"/>
  <c r="AU474" i="50"/>
  <c r="AU138" i="50"/>
  <c r="AU418" i="50"/>
  <c r="AU166" i="50"/>
  <c r="AI1398" i="50"/>
  <c r="AI1399" i="50" s="1"/>
  <c r="AU460" i="50"/>
  <c r="S1356" i="50"/>
  <c r="S1357" i="50" s="1"/>
  <c r="AU404" i="50"/>
  <c r="AC1424" i="50"/>
  <c r="AU243" i="50"/>
  <c r="AU327" i="50"/>
  <c r="O2862" i="50"/>
  <c r="AH791" i="50"/>
  <c r="AI796" i="50" s="1"/>
  <c r="AI797" i="50" s="1"/>
  <c r="AK777" i="50"/>
  <c r="AU355" i="50"/>
  <c r="AC1421" i="50"/>
  <c r="AK756" i="50"/>
  <c r="AH835" i="50"/>
  <c r="AI838" i="50" s="1"/>
  <c r="AI839" i="50" s="1"/>
  <c r="AU271" i="50"/>
  <c r="AU446" i="50"/>
  <c r="AI1125" i="50"/>
  <c r="AI1126" i="50" s="1"/>
  <c r="AI1097" i="50"/>
  <c r="AI1098" i="50" s="1"/>
  <c r="AI1286" i="50"/>
  <c r="AI1287" i="50" s="1"/>
  <c r="L1440" i="50"/>
  <c r="AH756" i="50"/>
  <c r="AI761" i="50" s="1"/>
  <c r="AI762" i="50" s="1"/>
  <c r="AG796" i="50"/>
  <c r="AG797" i="50" s="1"/>
  <c r="AV215" i="50"/>
  <c r="AV285" i="50"/>
  <c r="AV208" i="50"/>
  <c r="AU292" i="50"/>
  <c r="AU215" i="50"/>
  <c r="S999" i="50"/>
  <c r="S1000" i="50" s="1"/>
  <c r="AU180" i="50"/>
  <c r="S950" i="50"/>
  <c r="S951" i="50" s="1"/>
  <c r="AH1425" i="50"/>
  <c r="AU467" i="50"/>
  <c r="AU152" i="50"/>
  <c r="AB8" i="72"/>
  <c r="AI8" i="72" s="1"/>
  <c r="AV257" i="50"/>
  <c r="AU194" i="50"/>
  <c r="AV180" i="50"/>
  <c r="AV173" i="50"/>
  <c r="AU383" i="50"/>
  <c r="AV222" i="50"/>
  <c r="H3331" i="50"/>
  <c r="H3337" i="50" s="1"/>
  <c r="N717" i="50"/>
  <c r="N715" i="50" s="1"/>
  <c r="AH742" i="50"/>
  <c r="AI747" i="50" s="1"/>
  <c r="AI748" i="50" s="1"/>
  <c r="AD2153" i="50"/>
  <c r="AK728" i="50"/>
  <c r="AJ3" i="72" s="1"/>
  <c r="Q3577" i="50"/>
  <c r="AC3580" i="50"/>
  <c r="O3580" i="50"/>
  <c r="K1424" i="50"/>
  <c r="AB1440" i="50"/>
  <c r="Y3580" i="50"/>
  <c r="T3134" i="50"/>
  <c r="S3056" i="50"/>
  <c r="S3057" i="50" s="1"/>
  <c r="AI873" i="50"/>
  <c r="AI874" i="50" s="1"/>
  <c r="AK798" i="50"/>
  <c r="AJ25" i="72" s="1"/>
  <c r="AK25" i="72" s="1"/>
  <c r="AL25" i="72" s="1"/>
  <c r="T3580" i="50"/>
  <c r="AH2330" i="50"/>
  <c r="AI2335" i="50" s="1"/>
  <c r="AI2336" i="50" s="1"/>
  <c r="M28" i="72"/>
  <c r="AC5" i="72"/>
  <c r="V28" i="72"/>
  <c r="AI2167" i="50"/>
  <c r="AI2168" i="50" s="1"/>
  <c r="S2503" i="50"/>
  <c r="S2504" i="50" s="1"/>
  <c r="R3213" i="50"/>
  <c r="AH3213" i="50" s="1"/>
  <c r="AI3217" i="50" s="1"/>
  <c r="AI3218" i="50" s="1"/>
  <c r="F3218" i="50"/>
  <c r="T3470" i="50"/>
  <c r="AF3465" i="50"/>
  <c r="AH3465" i="50" s="1"/>
  <c r="S2230" i="50"/>
  <c r="S2231" i="50" s="1"/>
  <c r="AH2227" i="50"/>
  <c r="AI2230" i="50" s="1"/>
  <c r="AI2231" i="50" s="1"/>
  <c r="T3414" i="50"/>
  <c r="AF3411" i="50"/>
  <c r="AH3411" i="50" s="1"/>
  <c r="AI3413" i="50" s="1"/>
  <c r="AI3414" i="50" s="1"/>
  <c r="F3331" i="50"/>
  <c r="F3576" i="50" s="1"/>
  <c r="R2617" i="50"/>
  <c r="S2622" i="50" s="1"/>
  <c r="S2623" i="50" s="1"/>
  <c r="AG2629" i="50"/>
  <c r="AG2630" i="50" s="1"/>
  <c r="AI1391" i="50"/>
  <c r="AI1392" i="50" s="1"/>
  <c r="AI1153" i="50"/>
  <c r="AI1154" i="50" s="1"/>
  <c r="N3281" i="50"/>
  <c r="N3582" i="50" s="1"/>
  <c r="S3035" i="50"/>
  <c r="S3036" i="50" s="1"/>
  <c r="AG3154" i="50"/>
  <c r="AG3155" i="50" s="1"/>
  <c r="AG2636" i="50"/>
  <c r="AG2637" i="50" s="1"/>
  <c r="AH2631" i="50"/>
  <c r="AI2636" i="50" s="1"/>
  <c r="AI2637" i="50" s="1"/>
  <c r="AF3122" i="50"/>
  <c r="T3127" i="50"/>
  <c r="V2882" i="50"/>
  <c r="AF2876" i="50"/>
  <c r="AH2876" i="50" s="1"/>
  <c r="AH2704" i="50"/>
  <c r="AG2706" i="50"/>
  <c r="AG2707" i="50" s="1"/>
  <c r="AH2360" i="50"/>
  <c r="S2363" i="50"/>
  <c r="S2364" i="50" s="1"/>
  <c r="F3106" i="50"/>
  <c r="R3100" i="50"/>
  <c r="AH3100" i="50" s="1"/>
  <c r="AI3105" i="50" s="1"/>
  <c r="AI3106" i="50" s="1"/>
  <c r="AG2475" i="50"/>
  <c r="AG2476" i="50" s="1"/>
  <c r="R2941" i="50"/>
  <c r="AH2941" i="50" s="1"/>
  <c r="F2945" i="50"/>
  <c r="AH2250" i="50"/>
  <c r="AI2251" i="50" s="1"/>
  <c r="AI2252" i="50" s="1"/>
  <c r="AG2251" i="50"/>
  <c r="AG2252" i="50" s="1"/>
  <c r="F3393" i="50"/>
  <c r="W1423" i="50"/>
  <c r="F3078" i="50"/>
  <c r="R3074" i="50"/>
  <c r="T3505" i="50"/>
  <c r="AV166" i="50"/>
  <c r="T3351" i="50"/>
  <c r="AF3345" i="50"/>
  <c r="AU1593" i="50"/>
  <c r="AH2414" i="50"/>
  <c r="AI3133" i="50" s="1"/>
  <c r="AI3134" i="50" s="1"/>
  <c r="AG2419" i="50"/>
  <c r="AG2420" i="50" s="1"/>
  <c r="T3407" i="50"/>
  <c r="AF3401" i="50"/>
  <c r="AG2846" i="50"/>
  <c r="AG2847" i="50" s="1"/>
  <c r="AH2841" i="50"/>
  <c r="AG2167" i="50"/>
  <c r="AG2168" i="50" s="1"/>
  <c r="AU159" i="50"/>
  <c r="Q2862" i="50"/>
  <c r="P1852" i="50"/>
  <c r="AT1852" i="50" s="1"/>
  <c r="AU1852" i="50" s="1"/>
  <c r="AB1768" i="50"/>
  <c r="AB2153" i="50" s="1"/>
  <c r="AH2179" i="50"/>
  <c r="AI2181" i="50" s="1"/>
  <c r="AI2182" i="50" s="1"/>
  <c r="AG2181" i="50"/>
  <c r="AG2182" i="50" s="1"/>
  <c r="R3173" i="50"/>
  <c r="AH3173" i="50" s="1"/>
  <c r="T3050" i="50"/>
  <c r="AF3044" i="50"/>
  <c r="AF3186" i="50"/>
  <c r="AH3186" i="50" s="1"/>
  <c r="T3190" i="50"/>
  <c r="R3376" i="50"/>
  <c r="AH3376" i="50" s="1"/>
  <c r="AH2687" i="50"/>
  <c r="AG2692" i="50"/>
  <c r="AG2693" i="50" s="1"/>
  <c r="AF3389" i="50"/>
  <c r="AH3389" i="50" s="1"/>
  <c r="AI3392" i="50" s="1"/>
  <c r="AI3393" i="50" s="1"/>
  <c r="R3181" i="50"/>
  <c r="F3183" i="50"/>
  <c r="R3468" i="50"/>
  <c r="F3470" i="50"/>
  <c r="AG2755" i="50"/>
  <c r="AG2756" i="50" s="1"/>
  <c r="AH2751" i="50"/>
  <c r="AI2755" i="50" s="1"/>
  <c r="AI2756" i="50" s="1"/>
  <c r="R3296" i="50"/>
  <c r="AH3296" i="50" s="1"/>
  <c r="F3302" i="50"/>
  <c r="AI880" i="50"/>
  <c r="AI881" i="50" s="1"/>
  <c r="T3155" i="50"/>
  <c r="AU222" i="50"/>
  <c r="AU257" i="50"/>
  <c r="R2988" i="50"/>
  <c r="S2993" i="50" s="1"/>
  <c r="S2994" i="50" s="1"/>
  <c r="F2994" i="50"/>
  <c r="AF2893" i="50"/>
  <c r="T2896" i="50"/>
  <c r="AG2580" i="50"/>
  <c r="AG2581" i="50" s="1"/>
  <c r="AH2577" i="50"/>
  <c r="S2307" i="50"/>
  <c r="S2308" i="50" s="1"/>
  <c r="AH2305" i="50"/>
  <c r="AI2307" i="50" s="1"/>
  <c r="AI2308" i="50" s="1"/>
  <c r="AH2578" i="50"/>
  <c r="S2580" i="50"/>
  <c r="S2581" i="50" s="1"/>
  <c r="F3323" i="50"/>
  <c r="T2917" i="50"/>
  <c r="AF2912" i="50"/>
  <c r="S2461" i="50"/>
  <c r="S2462" i="50" s="1"/>
  <c r="AH2459" i="50"/>
  <c r="AU439" i="50"/>
  <c r="AH721" i="50"/>
  <c r="AI726" i="50" s="1"/>
  <c r="AI727" i="50" s="1"/>
  <c r="AU236" i="50"/>
  <c r="Q1423" i="50"/>
  <c r="AG2699" i="50"/>
  <c r="AG2700" i="50" s="1"/>
  <c r="S3357" i="50"/>
  <c r="S3358" i="50" s="1"/>
  <c r="S2664" i="50"/>
  <c r="S2665" i="50" s="1"/>
  <c r="AH2662" i="50"/>
  <c r="AF3291" i="50"/>
  <c r="AH3291" i="50" s="1"/>
  <c r="T3295" i="50"/>
  <c r="AU1537" i="50"/>
  <c r="R3019" i="50"/>
  <c r="F3022" i="50"/>
  <c r="AH2313" i="50"/>
  <c r="AG2314" i="50"/>
  <c r="AG2315" i="50" s="1"/>
  <c r="X3386" i="50"/>
  <c r="AF3382" i="50"/>
  <c r="AH3382" i="50" s="1"/>
  <c r="AJ4" i="72"/>
  <c r="AK4" i="72" s="1"/>
  <c r="AL4" i="72" s="1"/>
  <c r="AF3027" i="50"/>
  <c r="T3029" i="50"/>
  <c r="AG2412" i="50"/>
  <c r="AG2413" i="50" s="1"/>
  <c r="AH2408" i="50"/>
  <c r="AI2412" i="50" s="1"/>
  <c r="AI2413" i="50" s="1"/>
  <c r="AG2762" i="50"/>
  <c r="AG2763" i="50" s="1"/>
  <c r="S2489" i="50"/>
  <c r="S2490" i="50" s="1"/>
  <c r="F2862" i="50"/>
  <c r="G2862" i="50" s="1"/>
  <c r="AV201" i="50"/>
  <c r="AU1733" i="50"/>
  <c r="AH3426" i="50"/>
  <c r="AU390" i="50"/>
  <c r="S3553" i="50"/>
  <c r="S3554" i="50" s="1"/>
  <c r="AH2198" i="50"/>
  <c r="AG2202" i="50"/>
  <c r="AG2203" i="50" s="1"/>
  <c r="AH2668" i="50"/>
  <c r="AG2671" i="50"/>
  <c r="AG2672" i="50" s="1"/>
  <c r="AG2426" i="50"/>
  <c r="AG2427" i="50" s="1"/>
  <c r="AH2422" i="50"/>
  <c r="AI2426" i="50" s="1"/>
  <c r="AI2427" i="50" s="1"/>
  <c r="AH2964" i="50"/>
  <c r="AI2965" i="50" s="1"/>
  <c r="AI2966" i="50" s="1"/>
  <c r="AG2965" i="50"/>
  <c r="AG2966" i="50" s="1"/>
  <c r="S2587" i="50"/>
  <c r="S2588" i="50" s="1"/>
  <c r="AH2582" i="50"/>
  <c r="AG2440" i="50"/>
  <c r="AG2441" i="50" s="1"/>
  <c r="AG2657" i="50"/>
  <c r="AG2658" i="50" s="1"/>
  <c r="AI824" i="50"/>
  <c r="AI825" i="50" s="1"/>
  <c r="AI1328" i="50"/>
  <c r="AI1329" i="50" s="1"/>
  <c r="AG1391" i="50"/>
  <c r="AG1392" i="50" s="1"/>
  <c r="V717" i="50"/>
  <c r="V715" i="50" s="1"/>
  <c r="AG1328" i="50"/>
  <c r="AG1329" i="50" s="1"/>
  <c r="W1424" i="50"/>
  <c r="L3281" i="50"/>
  <c r="J1440" i="50"/>
  <c r="AK770" i="50"/>
  <c r="AJ7" i="72" s="1"/>
  <c r="J3577" i="50"/>
  <c r="K3577" i="50" s="1"/>
  <c r="K1421" i="50"/>
  <c r="J717" i="50"/>
  <c r="J715" i="50" s="1"/>
  <c r="AC3579" i="50"/>
  <c r="K3580" i="50"/>
  <c r="Z3579" i="50"/>
  <c r="AA3579" i="50" s="1"/>
  <c r="AI1223" i="50"/>
  <c r="AI1224" i="50" s="1"/>
  <c r="Q3580" i="50"/>
  <c r="AG1020" i="50"/>
  <c r="AG1021" i="50" s="1"/>
  <c r="L3577" i="50"/>
  <c r="M3577" i="50" s="1"/>
  <c r="U1423" i="50"/>
  <c r="M10" i="42"/>
  <c r="E10" i="42"/>
  <c r="K1423" i="50"/>
  <c r="AH3320" i="50"/>
  <c r="AI1251" i="50"/>
  <c r="AI1252" i="50" s="1"/>
  <c r="S1223" i="50"/>
  <c r="S1224" i="50" s="1"/>
  <c r="I3578" i="50"/>
  <c r="I1423" i="50"/>
  <c r="AI1020" i="50"/>
  <c r="AI1021" i="50" s="1"/>
  <c r="P2158" i="50"/>
  <c r="P2156" i="50" s="1"/>
  <c r="AB717" i="50"/>
  <c r="AB715" i="50" s="1"/>
  <c r="AH798" i="50"/>
  <c r="AI803" i="50" s="1"/>
  <c r="AI804" i="50" s="1"/>
  <c r="R2866" i="50"/>
  <c r="S3224" i="50"/>
  <c r="S3225" i="50" s="1"/>
  <c r="V3578" i="50"/>
  <c r="W3578" i="50" s="1"/>
  <c r="F1435" i="50"/>
  <c r="AH1437" i="50"/>
  <c r="AF2866" i="50"/>
  <c r="L717" i="50"/>
  <c r="L715" i="50" s="1"/>
  <c r="AB3578" i="50"/>
  <c r="AC3578" i="50" s="1"/>
  <c r="AA1423" i="50"/>
  <c r="AF3452" i="50"/>
  <c r="AH982" i="50"/>
  <c r="AI985" i="50" s="1"/>
  <c r="AI986" i="50" s="1"/>
  <c r="AH952" i="50"/>
  <c r="AI957" i="50" s="1"/>
  <c r="AI958" i="50" s="1"/>
  <c r="M3579" i="50"/>
  <c r="AG2909" i="50"/>
  <c r="AG2910" i="50" s="1"/>
  <c r="H2158" i="50"/>
  <c r="H2156" i="50" s="1"/>
  <c r="R2863" i="50"/>
  <c r="AI1174" i="50"/>
  <c r="AI1175" i="50" s="1"/>
  <c r="Z717" i="50"/>
  <c r="Z715" i="50" s="1"/>
  <c r="R1421" i="50"/>
  <c r="I1421" i="50"/>
  <c r="AI901" i="50"/>
  <c r="AI902" i="50" s="1"/>
  <c r="M1421" i="50"/>
  <c r="AH763" i="50"/>
  <c r="AI768" i="50" s="1"/>
  <c r="AI769" i="50" s="1"/>
  <c r="S1174" i="50"/>
  <c r="S1175" i="50" s="1"/>
  <c r="L2158" i="50"/>
  <c r="L2156" i="50" s="1"/>
  <c r="AI1069" i="50"/>
  <c r="AI1070" i="50" s="1"/>
  <c r="AE3579" i="50"/>
  <c r="AE2865" i="50"/>
  <c r="AH906" i="50"/>
  <c r="AI908" i="50" s="1"/>
  <c r="AI909" i="50" s="1"/>
  <c r="AI887" i="50"/>
  <c r="AI888" i="50" s="1"/>
  <c r="Z1435" i="50"/>
  <c r="Z1440" i="50" s="1"/>
  <c r="N3576" i="50"/>
  <c r="O3576" i="50" s="1"/>
  <c r="R3338" i="50"/>
  <c r="AH3338" i="50" s="1"/>
  <c r="S1069" i="50"/>
  <c r="S1070" i="50" s="1"/>
  <c r="AI1363" i="50"/>
  <c r="AI1364" i="50" s="1"/>
  <c r="AI999" i="50"/>
  <c r="AI1000" i="50" s="1"/>
  <c r="AI943" i="50"/>
  <c r="AI944" i="50" s="1"/>
  <c r="M2863" i="50"/>
  <c r="I2862" i="50"/>
  <c r="F10" i="42"/>
  <c r="T3302" i="50"/>
  <c r="N3577" i="50"/>
  <c r="O3577" i="50" s="1"/>
  <c r="AG971" i="50"/>
  <c r="AG972" i="50" s="1"/>
  <c r="AG1342" i="50"/>
  <c r="AG1343" i="50" s="1"/>
  <c r="F3578" i="50"/>
  <c r="G3578" i="50" s="1"/>
  <c r="AI1279" i="50"/>
  <c r="AI1280" i="50" s="1"/>
  <c r="AI1090" i="50"/>
  <c r="AI1091" i="50" s="1"/>
  <c r="P717" i="50"/>
  <c r="P715" i="50" s="1"/>
  <c r="W3579" i="50"/>
  <c r="I1424" i="50"/>
  <c r="AI971" i="50"/>
  <c r="AI972" i="50" s="1"/>
  <c r="AG887" i="50"/>
  <c r="AG888" i="50" s="1"/>
  <c r="R2969" i="50"/>
  <c r="AH2969" i="50" s="1"/>
  <c r="T3577" i="50"/>
  <c r="AI1342" i="50"/>
  <c r="AI1343" i="50" s="1"/>
  <c r="AI1013" i="50"/>
  <c r="AI1014" i="50" s="1"/>
  <c r="H10" i="42"/>
  <c r="AI1307" i="50"/>
  <c r="AI1308" i="50" s="1"/>
  <c r="AE1423" i="50"/>
  <c r="AA1421" i="50"/>
  <c r="P3281" i="50"/>
  <c r="N10" i="42"/>
  <c r="AH735" i="50"/>
  <c r="AI740" i="50" s="1"/>
  <c r="AI741" i="50" s="1"/>
  <c r="P1435" i="50"/>
  <c r="P1440" i="50" s="1"/>
  <c r="AF1424" i="50"/>
  <c r="Q1421" i="50"/>
  <c r="S3063" i="50"/>
  <c r="S3064" i="50" s="1"/>
  <c r="S873" i="50"/>
  <c r="S874" i="50" s="1"/>
  <c r="L10" i="42"/>
  <c r="V3253" i="50"/>
  <c r="AD717" i="50"/>
  <c r="AD715" i="50" s="1"/>
  <c r="T1438" i="50"/>
  <c r="AH1438" i="50" s="1"/>
  <c r="I3579" i="50"/>
  <c r="J3576" i="50"/>
  <c r="K3576" i="50" s="1"/>
  <c r="AF1423" i="50"/>
  <c r="F3577" i="50"/>
  <c r="S901" i="50"/>
  <c r="S902" i="50" s="1"/>
  <c r="AI3322" i="50"/>
  <c r="AI3323" i="50" s="1"/>
  <c r="S2608" i="50"/>
  <c r="S2609" i="50" s="1"/>
  <c r="I10" i="42"/>
  <c r="AU124" i="50"/>
  <c r="AV194" i="50"/>
  <c r="AV243" i="50"/>
  <c r="T717" i="50"/>
  <c r="T715" i="50" s="1"/>
  <c r="N712" i="50"/>
  <c r="G27" i="42" s="1"/>
  <c r="M31" i="72" s="1"/>
  <c r="Y11" i="72"/>
  <c r="E13" i="72"/>
  <c r="S3000" i="50"/>
  <c r="S3001" i="50" s="1"/>
  <c r="S2286" i="50"/>
  <c r="S2287" i="50" s="1"/>
  <c r="AH2359" i="50"/>
  <c r="AI2363" i="50" s="1"/>
  <c r="AI2364" i="50" s="1"/>
  <c r="AG2363" i="50"/>
  <c r="AG2364" i="50" s="1"/>
  <c r="AH2638" i="50"/>
  <c r="AG2643" i="50"/>
  <c r="AG2644" i="50" s="1"/>
  <c r="R3065" i="50"/>
  <c r="AH3065" i="50" s="1"/>
  <c r="F3071" i="50"/>
  <c r="H59" i="32"/>
  <c r="J59" i="32"/>
  <c r="S2538" i="50"/>
  <c r="S2539" i="50" s="1"/>
  <c r="AH2533" i="50"/>
  <c r="AH2618" i="50"/>
  <c r="AG2622" i="50"/>
  <c r="AG2623" i="50" s="1"/>
  <c r="G13" i="72"/>
  <c r="Y12" i="72"/>
  <c r="AH2366" i="50"/>
  <c r="AI2370" i="50" s="1"/>
  <c r="AI2371" i="50" s="1"/>
  <c r="AG2370" i="50"/>
  <c r="AG2371" i="50" s="1"/>
  <c r="AF3146" i="50"/>
  <c r="AH3146" i="50" s="1"/>
  <c r="T3148" i="50"/>
  <c r="AI2405" i="50"/>
  <c r="AI2406" i="50" s="1"/>
  <c r="S2629" i="50"/>
  <c r="S2630" i="50" s="1"/>
  <c r="AH2624" i="50"/>
  <c r="AI2629" i="50" s="1"/>
  <c r="AI2630" i="50" s="1"/>
  <c r="P14" i="32"/>
  <c r="AS14" i="32"/>
  <c r="T3232" i="50"/>
  <c r="AF3228" i="50"/>
  <c r="AH3228" i="50" s="1"/>
  <c r="D60" i="32"/>
  <c r="AU20" i="32"/>
  <c r="AH3272" i="50"/>
  <c r="AG3273" i="50"/>
  <c r="AG3274" i="50" s="1"/>
  <c r="T1761" i="50"/>
  <c r="AT1761" i="50" s="1"/>
  <c r="AU1761" i="50" s="1"/>
  <c r="G27" i="72"/>
  <c r="S2797" i="50"/>
  <c r="S2798" i="50" s="1"/>
  <c r="AH2794" i="50"/>
  <c r="AI2797" i="50" s="1"/>
  <c r="AI2798" i="50" s="1"/>
  <c r="AH2281" i="50"/>
  <c r="AI2286" i="50" s="1"/>
  <c r="AI2287" i="50" s="1"/>
  <c r="J58" i="32"/>
  <c r="H58" i="32"/>
  <c r="AF3286" i="50"/>
  <c r="T3288" i="50"/>
  <c r="AG2398" i="50"/>
  <c r="AG2399" i="50" s="1"/>
  <c r="AH2396" i="50"/>
  <c r="AI2398" i="50" s="1"/>
  <c r="AI2399" i="50" s="1"/>
  <c r="R3158" i="50"/>
  <c r="S3161" i="50" s="1"/>
  <c r="S3162" i="50" s="1"/>
  <c r="F3162" i="50"/>
  <c r="AF3172" i="50"/>
  <c r="AH3172" i="50" s="1"/>
  <c r="S2510" i="50"/>
  <c r="S2511" i="50" s="1"/>
  <c r="AH2507" i="50"/>
  <c r="AI2510" i="50" s="1"/>
  <c r="AI2511" i="50" s="1"/>
  <c r="H3029" i="50"/>
  <c r="R3023" i="50"/>
  <c r="AH2451" i="50"/>
  <c r="S2454" i="50"/>
  <c r="S2455" i="50" s="1"/>
  <c r="F3330" i="50"/>
  <c r="R3324" i="50"/>
  <c r="AH2435" i="50"/>
  <c r="S2440" i="50"/>
  <c r="S2441" i="50" s="1"/>
  <c r="AG2776" i="50"/>
  <c r="AG2777" i="50" s="1"/>
  <c r="AH2772" i="50"/>
  <c r="AH2813" i="50"/>
  <c r="AI2818" i="50" s="1"/>
  <c r="AI2819" i="50" s="1"/>
  <c r="AG2818" i="50"/>
  <c r="AG2819" i="50" s="1"/>
  <c r="AH2620" i="50"/>
  <c r="AF2999" i="50"/>
  <c r="AH2999" i="50" s="1"/>
  <c r="S2888" i="50"/>
  <c r="S2889" i="50" s="1"/>
  <c r="G12" i="72"/>
  <c r="W11" i="72"/>
  <c r="E27" i="72"/>
  <c r="S3322" i="50"/>
  <c r="S3323" i="50" s="1"/>
  <c r="AH2218" i="50"/>
  <c r="AG2223" i="50"/>
  <c r="AG2224" i="50" s="1"/>
  <c r="AF3073" i="50"/>
  <c r="AH3073" i="50" s="1"/>
  <c r="T3078" i="50"/>
  <c r="T3358" i="50"/>
  <c r="AF3352" i="50"/>
  <c r="AH3352" i="50" s="1"/>
  <c r="AL23" i="32"/>
  <c r="AJ42" i="32"/>
  <c r="AL42" i="32" s="1"/>
  <c r="K9" i="51"/>
  <c r="J29" i="51"/>
  <c r="S2552" i="50"/>
  <c r="S2553" i="50" s="1"/>
  <c r="W12" i="72"/>
  <c r="AC1423" i="50"/>
  <c r="AH2323" i="50"/>
  <c r="AI2328" i="50" s="1"/>
  <c r="AI2329" i="50" s="1"/>
  <c r="AG2328" i="50"/>
  <c r="AG2329" i="50" s="1"/>
  <c r="AG3042" i="50"/>
  <c r="AG3043" i="50" s="1"/>
  <c r="AG2531" i="50"/>
  <c r="AG2532" i="50" s="1"/>
  <c r="AH2527" i="50"/>
  <c r="S2734" i="50"/>
  <c r="S2735" i="50" s="1"/>
  <c r="AH2732" i="50"/>
  <c r="AI2734" i="50" s="1"/>
  <c r="AI2735" i="50" s="1"/>
  <c r="AF3118" i="50"/>
  <c r="T3120" i="50"/>
  <c r="L42" i="32"/>
  <c r="N23" i="32"/>
  <c r="P23" i="32"/>
  <c r="AS23" i="32"/>
  <c r="AH2255" i="50"/>
  <c r="AI2258" i="50" s="1"/>
  <c r="AI2259" i="50" s="1"/>
  <c r="S2258" i="50"/>
  <c r="S2259" i="50" s="1"/>
  <c r="R3439" i="50"/>
  <c r="S3441" i="50" s="1"/>
  <c r="S3442" i="50" s="1"/>
  <c r="F3442" i="50"/>
  <c r="T3113" i="50"/>
  <c r="AF3110" i="50"/>
  <c r="R3011" i="50"/>
  <c r="F3015" i="50"/>
  <c r="R3165" i="50"/>
  <c r="AH3165" i="50" s="1"/>
  <c r="F3169" i="50"/>
  <c r="AG2741" i="50"/>
  <c r="AG2742" i="50" s="1"/>
  <c r="AH2738" i="50"/>
  <c r="AI2741" i="50" s="1"/>
  <c r="AI2742" i="50" s="1"/>
  <c r="AG2545" i="50"/>
  <c r="AG2546" i="50" s="1"/>
  <c r="AG3259" i="50"/>
  <c r="AG3260" i="50" s="1"/>
  <c r="AH2541" i="50"/>
  <c r="AI2545" i="50" s="1"/>
  <c r="AI2546" i="50" s="1"/>
  <c r="AH2444" i="50"/>
  <c r="AG2447" i="50"/>
  <c r="AG2448" i="50" s="1"/>
  <c r="T3491" i="50"/>
  <c r="AF3486" i="50"/>
  <c r="AH3486" i="50" s="1"/>
  <c r="AF3527" i="50"/>
  <c r="T3533" i="50"/>
  <c r="R3334" i="50"/>
  <c r="AH3334" i="50" s="1"/>
  <c r="Q11" i="72"/>
  <c r="Q13" i="72"/>
  <c r="I11" i="72"/>
  <c r="I12" i="72"/>
  <c r="I13" i="72"/>
  <c r="S11" i="72"/>
  <c r="S27" i="72"/>
  <c r="S13" i="72"/>
  <c r="T2938" i="50"/>
  <c r="AF2932" i="50"/>
  <c r="AH2698" i="50"/>
  <c r="AI2699" i="50" s="1"/>
  <c r="AI2700" i="50" s="1"/>
  <c r="S2699" i="50"/>
  <c r="S2700" i="50" s="1"/>
  <c r="AG2279" i="50"/>
  <c r="AG2280" i="50" s="1"/>
  <c r="AH2274" i="50"/>
  <c r="AI2279" i="50" s="1"/>
  <c r="AI2280" i="50" s="1"/>
  <c r="T3197" i="50"/>
  <c r="AF3195" i="50"/>
  <c r="F3155" i="50"/>
  <c r="R3149" i="50"/>
  <c r="AH3149" i="50" s="1"/>
  <c r="AH2458" i="50"/>
  <c r="AG2461" i="50"/>
  <c r="AG2462" i="50" s="1"/>
  <c r="AH2829" i="50"/>
  <c r="AI2832" i="50" s="1"/>
  <c r="AI2833" i="50" s="1"/>
  <c r="AG2832" i="50"/>
  <c r="AG2833" i="50" s="1"/>
  <c r="R3262" i="50"/>
  <c r="AH3262" i="50" s="1"/>
  <c r="F3267" i="50"/>
  <c r="AH2171" i="50"/>
  <c r="AG2174" i="50"/>
  <c r="AG2175" i="50" s="1"/>
  <c r="R3185" i="50"/>
  <c r="AH3185" i="50" s="1"/>
  <c r="T3309" i="50"/>
  <c r="AF3306" i="50"/>
  <c r="AH2471" i="50"/>
  <c r="S2475" i="50"/>
  <c r="S2476" i="50" s="1"/>
  <c r="AH2290" i="50"/>
  <c r="AG2293" i="50"/>
  <c r="AG2294" i="50" s="1"/>
  <c r="X3246" i="50"/>
  <c r="AF3241" i="50"/>
  <c r="AH3241" i="50" s="1"/>
  <c r="R3446" i="50"/>
  <c r="AH3446" i="50" s="1"/>
  <c r="F3449" i="50"/>
  <c r="S2937" i="50"/>
  <c r="S2938" i="50" s="1"/>
  <c r="AU1600" i="50"/>
  <c r="AH2351" i="50"/>
  <c r="S2356" i="50"/>
  <c r="S2357" i="50" s="1"/>
  <c r="AF3366" i="50"/>
  <c r="T3372" i="50"/>
  <c r="AG3455" i="50"/>
  <c r="AG3456" i="50" s="1"/>
  <c r="AA3580" i="50"/>
  <c r="S2727" i="50"/>
  <c r="S2728" i="50" s="1"/>
  <c r="AH2725" i="50"/>
  <c r="AI2727" i="50" s="1"/>
  <c r="AI2728" i="50" s="1"/>
  <c r="F3540" i="50"/>
  <c r="R3537" i="50"/>
  <c r="AU1642" i="50"/>
  <c r="AH2592" i="50"/>
  <c r="S2594" i="50"/>
  <c r="S2595" i="50" s="1"/>
  <c r="AG2839" i="50"/>
  <c r="AG2840" i="50" s="1"/>
  <c r="AH2835" i="50"/>
  <c r="AH2291" i="50"/>
  <c r="S2293" i="50"/>
  <c r="S2294" i="50" s="1"/>
  <c r="AH2823" i="50"/>
  <c r="AI2825" i="50" s="1"/>
  <c r="AI2826" i="50" s="1"/>
  <c r="AH2297" i="50"/>
  <c r="S2300" i="50"/>
  <c r="S2301" i="50" s="1"/>
  <c r="AH2481" i="50"/>
  <c r="AI2482" i="50" s="1"/>
  <c r="AI2483" i="50" s="1"/>
  <c r="AG2482" i="50"/>
  <c r="AG2483" i="50" s="1"/>
  <c r="AH2611" i="50"/>
  <c r="AG2615" i="50"/>
  <c r="AG2616" i="50" s="1"/>
  <c r="AF3158" i="50"/>
  <c r="T3162" i="50"/>
  <c r="S2643" i="50"/>
  <c r="S2644" i="50" s="1"/>
  <c r="AH2640" i="50"/>
  <c r="D62" i="32"/>
  <c r="AU22" i="32"/>
  <c r="AU1635" i="50"/>
  <c r="AG3098" i="50"/>
  <c r="AG3099" i="50" s="1"/>
  <c r="AH3097" i="50"/>
  <c r="S12" i="72"/>
  <c r="R3508" i="50"/>
  <c r="J3512" i="50"/>
  <c r="T2994" i="50"/>
  <c r="AF2988" i="50"/>
  <c r="AH2347" i="50"/>
  <c r="S2349" i="50"/>
  <c r="S2350" i="50" s="1"/>
  <c r="R3247" i="50"/>
  <c r="AH3247" i="50" s="1"/>
  <c r="F3253" i="50"/>
  <c r="T3547" i="50"/>
  <c r="AF3543" i="50"/>
  <c r="AH3543" i="50" s="1"/>
  <c r="Q27" i="72"/>
  <c r="W27" i="72"/>
  <c r="AF2885" i="50"/>
  <c r="T2889" i="50"/>
  <c r="T3008" i="50"/>
  <c r="AF3004" i="50"/>
  <c r="AH3004" i="50" s="1"/>
  <c r="T3085" i="50"/>
  <c r="AF3080" i="50"/>
  <c r="AH3573" i="50"/>
  <c r="AI3574" i="50" s="1"/>
  <c r="AI3575" i="50" s="1"/>
  <c r="AG3574" i="50"/>
  <c r="AG3575" i="50" s="1"/>
  <c r="AH2191" i="50"/>
  <c r="AG2195" i="50"/>
  <c r="AG2196" i="50" s="1"/>
  <c r="AG2405" i="50"/>
  <c r="AG2406" i="50" s="1"/>
  <c r="AH2838" i="50"/>
  <c r="S2839" i="50"/>
  <c r="S2840" i="50" s="1"/>
  <c r="AU1740" i="50"/>
  <c r="AU39" i="32"/>
  <c r="AU25" i="32"/>
  <c r="AU36" i="32"/>
  <c r="AU34" i="32"/>
  <c r="AW15" i="32"/>
  <c r="AU28" i="32"/>
  <c r="AU32" i="32"/>
  <c r="AU35" i="32"/>
  <c r="AU29" i="32"/>
  <c r="AU15" i="32"/>
  <c r="AU37" i="32"/>
  <c r="AU21" i="32"/>
  <c r="AU38" i="32"/>
  <c r="AU33" i="32"/>
  <c r="AU31" i="32"/>
  <c r="AU40" i="32"/>
  <c r="AU30" i="32"/>
  <c r="AU24" i="32"/>
  <c r="D55" i="32"/>
  <c r="F57" i="32" s="1"/>
  <c r="AU26" i="32"/>
  <c r="AU27" i="32"/>
  <c r="AU41" i="32"/>
  <c r="AU16" i="32"/>
  <c r="AG2517" i="50"/>
  <c r="AG2518" i="50" s="1"/>
  <c r="AH2514" i="50"/>
  <c r="AG3147" i="50"/>
  <c r="AG3148" i="50" s="1"/>
  <c r="AG2433" i="50"/>
  <c r="AG2434" i="50" s="1"/>
  <c r="AH2431" i="50"/>
  <c r="AI2433" i="50" s="1"/>
  <c r="AI2434" i="50" s="1"/>
  <c r="Y27" i="72"/>
  <c r="AG2286" i="50"/>
  <c r="AG2287" i="50" s="1"/>
  <c r="AU18" i="32"/>
  <c r="S2447" i="50"/>
  <c r="S2448" i="50" s="1"/>
  <c r="R3306" i="50"/>
  <c r="S3308" i="50" s="1"/>
  <c r="S3309" i="50" s="1"/>
  <c r="F3309" i="50"/>
  <c r="J50" i="32"/>
  <c r="H50" i="32"/>
  <c r="D46" i="32"/>
  <c r="D45" i="32"/>
  <c r="AF3549" i="50"/>
  <c r="AH3549" i="50" s="1"/>
  <c r="T3554" i="50"/>
  <c r="R3005" i="50"/>
  <c r="AH3005" i="50" s="1"/>
  <c r="F3008" i="50"/>
  <c r="S2314" i="50"/>
  <c r="S2315" i="50" s="1"/>
  <c r="AH2309" i="50"/>
  <c r="AI2314" i="50" s="1"/>
  <c r="AI2315" i="50" s="1"/>
  <c r="AH2548" i="50"/>
  <c r="AI2552" i="50" s="1"/>
  <c r="AI2553" i="50" s="1"/>
  <c r="AG3056" i="50"/>
  <c r="AG3057" i="50" s="1"/>
  <c r="AG2342" i="50"/>
  <c r="AG2343" i="50" s="1"/>
  <c r="AH2339" i="50"/>
  <c r="AI2342" i="50" s="1"/>
  <c r="AI2343" i="50" s="1"/>
  <c r="H57" i="32"/>
  <c r="J57" i="32"/>
  <c r="S2615" i="50"/>
  <c r="S2616" i="50" s="1"/>
  <c r="AH2610" i="50"/>
  <c r="T3330" i="50"/>
  <c r="AF3325" i="50"/>
  <c r="AH3325" i="50" s="1"/>
  <c r="AH2220" i="50"/>
  <c r="Z3001" i="50"/>
  <c r="AI2979" i="50"/>
  <c r="AI2980" i="50" s="1"/>
  <c r="Z3578" i="50"/>
  <c r="AA3578" i="50" s="1"/>
  <c r="AG3203" i="50"/>
  <c r="AG3204" i="50" s="1"/>
  <c r="AI1321" i="50"/>
  <c r="AI1322" i="50" s="1"/>
  <c r="G2866" i="50"/>
  <c r="D10" i="42"/>
  <c r="R3278" i="50"/>
  <c r="AH3278" i="50" s="1"/>
  <c r="AJ5" i="72"/>
  <c r="AK5" i="72" s="1"/>
  <c r="AL5" i="72" s="1"/>
  <c r="AG3434" i="50"/>
  <c r="AG3435" i="50" s="1"/>
  <c r="H717" i="50"/>
  <c r="H715" i="50" s="1"/>
  <c r="AF3248" i="50"/>
  <c r="AH3248" i="50" s="1"/>
  <c r="J2158" i="50"/>
  <c r="J2156" i="50" s="1"/>
  <c r="AF1421" i="50"/>
  <c r="AG3343" i="50"/>
  <c r="AG3344" i="50" s="1"/>
  <c r="X3579" i="50"/>
  <c r="Y3579" i="50" s="1"/>
  <c r="F3281" i="50"/>
  <c r="AG3266" i="50"/>
  <c r="AG3267" i="50" s="1"/>
  <c r="Z3577" i="50"/>
  <c r="AH2968" i="50"/>
  <c r="AI1356" i="50"/>
  <c r="AI1357" i="50" s="1"/>
  <c r="AH1422" i="50"/>
  <c r="R3276" i="50"/>
  <c r="AH3276" i="50" s="1"/>
  <c r="O28" i="72"/>
  <c r="T2918" i="50"/>
  <c r="T2862" i="50"/>
  <c r="U2862" i="50" s="1"/>
  <c r="AF2204" i="50"/>
  <c r="Z2918" i="50"/>
  <c r="Z2862" i="50"/>
  <c r="Z2158" i="50" s="1"/>
  <c r="Z2156" i="50" s="1"/>
  <c r="V2918" i="50"/>
  <c r="V2862" i="50"/>
  <c r="W3577" i="50" s="1"/>
  <c r="AB2862" i="50"/>
  <c r="AC2862" i="50" s="1"/>
  <c r="AB2918" i="50"/>
  <c r="AT1495" i="50"/>
  <c r="T2154" i="50"/>
  <c r="I28" i="42" s="1"/>
  <c r="X2918" i="50"/>
  <c r="X2862" i="50"/>
  <c r="Y2862" i="50" s="1"/>
  <c r="AM1489" i="50"/>
  <c r="AS1495" i="50"/>
  <c r="AD2918" i="50"/>
  <c r="AD2862" i="50"/>
  <c r="AE3577" i="50" s="1"/>
  <c r="V2154" i="50"/>
  <c r="J28" i="42" s="1"/>
  <c r="BI120" i="49"/>
  <c r="BM120" i="49"/>
  <c r="AG3224" i="50"/>
  <c r="AG3225" i="50" s="1"/>
  <c r="H3288" i="50"/>
  <c r="AC8" i="72"/>
  <c r="W1421" i="50"/>
  <c r="J10" i="42"/>
  <c r="V1435" i="50"/>
  <c r="V1440" i="50" s="1"/>
  <c r="F717" i="50"/>
  <c r="F715" i="50" s="1"/>
  <c r="C10" i="42"/>
  <c r="N2158" i="50"/>
  <c r="N2156" i="50" s="1"/>
  <c r="T1845" i="50"/>
  <c r="AT1845" i="50" s="1"/>
  <c r="AU1845" i="50" s="1"/>
  <c r="AF3236" i="50"/>
  <c r="AH3236" i="50" s="1"/>
  <c r="T3239" i="50"/>
  <c r="P712" i="50"/>
  <c r="H27" i="42" s="1"/>
  <c r="O31" i="72" s="1"/>
  <c r="AH2957" i="50"/>
  <c r="AI2958" i="50" s="1"/>
  <c r="AI2959" i="50" s="1"/>
  <c r="AG2958" i="50"/>
  <c r="AG2959" i="50" s="1"/>
  <c r="AF2865" i="50"/>
  <c r="J3274" i="50"/>
  <c r="J3578" i="50"/>
  <c r="K3578" i="50" s="1"/>
  <c r="R3230" i="50"/>
  <c r="F3232" i="50"/>
  <c r="S2216" i="50"/>
  <c r="S2217" i="50" s="1"/>
  <c r="AI2503" i="50"/>
  <c r="AI2504" i="50" s="1"/>
  <c r="S3392" i="50"/>
  <c r="S3393" i="50" s="1"/>
  <c r="AH3354" i="50"/>
  <c r="AT299" i="50"/>
  <c r="R2864" i="50"/>
  <c r="G2864" i="50"/>
  <c r="AT68" i="50"/>
  <c r="E11" i="72"/>
  <c r="T712" i="50"/>
  <c r="V712" i="50"/>
  <c r="J27" i="42" s="1"/>
  <c r="S31" i="72" s="1"/>
  <c r="K28" i="42"/>
  <c r="W2863" i="50"/>
  <c r="AI1118" i="50"/>
  <c r="AI1119" i="50" s="1"/>
  <c r="AH3170" i="50"/>
  <c r="AL777" i="50"/>
  <c r="AH777" i="50"/>
  <c r="AI782" i="50" s="1"/>
  <c r="AI783" i="50" s="1"/>
  <c r="N9" i="42"/>
  <c r="AU103" i="50"/>
  <c r="AV264" i="50"/>
  <c r="AU264" i="50"/>
  <c r="AH2516" i="50"/>
  <c r="S2517" i="50"/>
  <c r="S2518" i="50" s="1"/>
  <c r="H1440" i="50"/>
  <c r="AH3090" i="50"/>
  <c r="AG3091" i="50"/>
  <c r="AG3092" i="50" s="1"/>
  <c r="I8" i="42"/>
  <c r="P31" i="72" s="1"/>
  <c r="P32" i="72" s="1"/>
  <c r="AJ6" i="72"/>
  <c r="AK6" i="72" s="1"/>
  <c r="AL6" i="72" s="1"/>
  <c r="AV138" i="50"/>
  <c r="O3578" i="50"/>
  <c r="AU110" i="50"/>
  <c r="C9" i="42"/>
  <c r="R713" i="50"/>
  <c r="AI3434" i="50"/>
  <c r="AI3435" i="50" s="1"/>
  <c r="AI2720" i="50"/>
  <c r="AI2721" i="50" s="1"/>
  <c r="AE3578" i="50"/>
  <c r="L3578" i="50"/>
  <c r="M3578" i="50" s="1"/>
  <c r="L3274" i="50"/>
  <c r="L3232" i="50"/>
  <c r="L3580" i="50"/>
  <c r="M3580" i="50" s="1"/>
  <c r="AU54" i="50"/>
  <c r="D28" i="42"/>
  <c r="AH2562" i="50"/>
  <c r="S2566" i="50"/>
  <c r="S2567" i="50" s="1"/>
  <c r="Q3576" i="50"/>
  <c r="AH2646" i="50"/>
  <c r="AG2650" i="50"/>
  <c r="AG2651" i="50" s="1"/>
  <c r="R2154" i="50"/>
  <c r="C28" i="42"/>
  <c r="AF3179" i="50"/>
  <c r="AH3179" i="50" s="1"/>
  <c r="T3183" i="50"/>
  <c r="T3578" i="50"/>
  <c r="AV89" i="50"/>
  <c r="AU89" i="50"/>
  <c r="AH2556" i="50"/>
  <c r="S2559" i="50"/>
  <c r="S2560" i="50" s="1"/>
  <c r="AI1314" i="50"/>
  <c r="AI1315" i="50" s="1"/>
  <c r="AH3396" i="50"/>
  <c r="AI3399" i="50" s="1"/>
  <c r="AI3400" i="50" s="1"/>
  <c r="AG3399" i="50"/>
  <c r="AG3400" i="50" s="1"/>
  <c r="P3274" i="50"/>
  <c r="P3578" i="50"/>
  <c r="Q3578" i="50" s="1"/>
  <c r="L9" i="42"/>
  <c r="AG3441" i="50"/>
  <c r="AG3442" i="50" s="1"/>
  <c r="AU285" i="50"/>
  <c r="E9" i="42"/>
  <c r="AI27" i="72"/>
  <c r="AC7" i="72"/>
  <c r="Q3579" i="50"/>
  <c r="N28" i="42"/>
  <c r="K3579" i="50"/>
  <c r="AC3" i="72"/>
  <c r="AI7" i="72"/>
  <c r="AV271" i="50"/>
  <c r="D8" i="42"/>
  <c r="F31" i="72" s="1"/>
  <c r="AU201" i="50"/>
  <c r="AI13" i="72"/>
  <c r="T3365" i="50"/>
  <c r="AF3360" i="50"/>
  <c r="AH3360" i="50" s="1"/>
  <c r="X3253" i="50"/>
  <c r="X3577" i="50"/>
  <c r="AG2216" i="50"/>
  <c r="AG2217" i="50" s="1"/>
  <c r="AH2214" i="50"/>
  <c r="F9" i="42"/>
  <c r="F8" i="42" s="1"/>
  <c r="J31" i="72" s="1"/>
  <c r="J32" i="72" s="1"/>
  <c r="AH2583" i="50"/>
  <c r="AG3301" i="50"/>
  <c r="AG3302" i="50" s="1"/>
  <c r="AG2587" i="50"/>
  <c r="AG2588" i="50" s="1"/>
  <c r="AH2534" i="50"/>
  <c r="AG2538" i="50"/>
  <c r="AG2539" i="50" s="1"/>
  <c r="AI12" i="72"/>
  <c r="AF2928" i="50"/>
  <c r="AG2930" i="50" s="1"/>
  <c r="AG2931" i="50" s="1"/>
  <c r="T3579" i="50"/>
  <c r="T2931" i="50"/>
  <c r="AI3203" i="50"/>
  <c r="AI3204" i="50" s="1"/>
  <c r="AI2489" i="50"/>
  <c r="AI2490" i="50" s="1"/>
  <c r="R2865" i="50"/>
  <c r="J8" i="42"/>
  <c r="R31" i="72" s="1"/>
  <c r="R32" i="72" s="1"/>
  <c r="AH2780" i="50"/>
  <c r="AI2783" i="50" s="1"/>
  <c r="AI2784" i="50" s="1"/>
  <c r="S2783" i="50"/>
  <c r="S2784" i="50" s="1"/>
  <c r="S3497" i="50"/>
  <c r="S3498" i="50" s="1"/>
  <c r="AH2801" i="50"/>
  <c r="S3518" i="50"/>
  <c r="S3519" i="50" s="1"/>
  <c r="S2804" i="50"/>
  <c r="S2805" i="50" s="1"/>
  <c r="AG3476" i="50"/>
  <c r="AG3477" i="50" s="1"/>
  <c r="L28" i="42"/>
  <c r="AV187" i="50"/>
  <c r="AU187" i="50"/>
  <c r="AI1293" i="50"/>
  <c r="AI1294" i="50" s="1"/>
  <c r="AU33" i="50"/>
  <c r="AV33" i="50"/>
  <c r="F3580" i="50"/>
  <c r="G3580" i="50" s="1"/>
  <c r="AS712" i="50"/>
  <c r="K28" i="72"/>
  <c r="AC9" i="72"/>
  <c r="H9" i="42"/>
  <c r="AI1146" i="50"/>
  <c r="AI1147" i="50" s="1"/>
  <c r="K9" i="42"/>
  <c r="H3232" i="50"/>
  <c r="H3580" i="50"/>
  <c r="I3580" i="50" s="1"/>
  <c r="H3281" i="50"/>
  <c r="H3577" i="50"/>
  <c r="S2573" i="50"/>
  <c r="S2574" i="50" s="1"/>
  <c r="AH2568" i="50"/>
  <c r="AU26" i="50"/>
  <c r="AV26" i="50"/>
  <c r="AI3525" i="50"/>
  <c r="AI3526" i="50" s="1"/>
  <c r="AI2811" i="50"/>
  <c r="AI2812" i="50" s="1"/>
  <c r="AU61" i="50"/>
  <c r="AV61" i="50"/>
  <c r="AU47" i="50"/>
  <c r="AV47" i="50"/>
  <c r="F712" i="50"/>
  <c r="F1437" i="50"/>
  <c r="R1423" i="50"/>
  <c r="G1423" i="50"/>
  <c r="R3270" i="50"/>
  <c r="AH3270" i="50" s="1"/>
  <c r="AH2522" i="50"/>
  <c r="AG2524" i="50"/>
  <c r="AG2525" i="50" s="1"/>
  <c r="AH2929" i="50"/>
  <c r="AU75" i="50"/>
  <c r="AV75" i="50"/>
  <c r="AI1111" i="50"/>
  <c r="AI1112" i="50" s="1"/>
  <c r="H712" i="50"/>
  <c r="D27" i="42" s="1"/>
  <c r="G31" i="72" s="1"/>
  <c r="AF2864" i="50"/>
  <c r="AV292" i="50"/>
  <c r="AV159" i="50"/>
  <c r="M9" i="42"/>
  <c r="F2931" i="50"/>
  <c r="R2928" i="50"/>
  <c r="S2930" i="50" s="1"/>
  <c r="S2931" i="50" s="1"/>
  <c r="F3579" i="50"/>
  <c r="R3579" i="50" s="1"/>
  <c r="F2153" i="50"/>
  <c r="G9" i="42"/>
  <c r="AI3567" i="50"/>
  <c r="AI3568" i="50" s="1"/>
  <c r="AI2853" i="50"/>
  <c r="AI2854" i="50" s="1"/>
  <c r="O3579" i="50"/>
  <c r="AI2762" i="50"/>
  <c r="AI2763" i="50" s="1"/>
  <c r="AI3476" i="50"/>
  <c r="AI3477" i="50" s="1"/>
  <c r="R3282" i="50"/>
  <c r="AH3282" i="50" s="1"/>
  <c r="F3288" i="50"/>
  <c r="E28" i="42"/>
  <c r="AB11" i="72"/>
  <c r="AJ10" i="72"/>
  <c r="AK10" i="72" s="1"/>
  <c r="AL10" i="72" s="1"/>
  <c r="AJ11" i="72"/>
  <c r="F1438" i="50"/>
  <c r="R1424" i="50"/>
  <c r="D28" i="72"/>
  <c r="AH3482" i="50"/>
  <c r="AI3483" i="50" s="1"/>
  <c r="AI3484" i="50" s="1"/>
  <c r="AG3483" i="50"/>
  <c r="AG3484" i="50" s="1"/>
  <c r="AI2902" i="50"/>
  <c r="AI2903" i="50" s="1"/>
  <c r="AI2188" i="50"/>
  <c r="AI2189" i="50" s="1"/>
  <c r="H28" i="42"/>
  <c r="J31" i="42" s="1"/>
  <c r="AU1803" i="50"/>
  <c r="AH3488" i="50"/>
  <c r="AF2863" i="50"/>
  <c r="AG3280" i="50"/>
  <c r="AG3281" i="50" s="1"/>
  <c r="AH3503" i="50"/>
  <c r="AI3504" i="50" s="1"/>
  <c r="AI3505" i="50" s="1"/>
  <c r="AG3504" i="50"/>
  <c r="AG3505" i="50" s="1"/>
  <c r="AU82" i="50"/>
  <c r="AV82" i="50"/>
  <c r="J712" i="50"/>
  <c r="E27" i="42" s="1"/>
  <c r="I31" i="72" s="1"/>
  <c r="U2865" i="50"/>
  <c r="AJ9" i="72"/>
  <c r="AK9" i="72" s="1"/>
  <c r="AL9" i="72" s="1"/>
  <c r="M28" i="42"/>
  <c r="AU229" i="50"/>
  <c r="AV229" i="50"/>
  <c r="AH2465" i="50"/>
  <c r="AG2468" i="50"/>
  <c r="AG2469" i="50" s="1"/>
  <c r="G28" i="42"/>
  <c r="AJ8" i="72"/>
  <c r="Q2864" i="50"/>
  <c r="AF713" i="50"/>
  <c r="AJ15" i="72" l="1"/>
  <c r="AJ16" i="72"/>
  <c r="O10" i="42"/>
  <c r="O9" i="42"/>
  <c r="AU40" i="50"/>
  <c r="AJ24" i="72"/>
  <c r="AK24" i="72" s="1"/>
  <c r="AL24" i="72" s="1"/>
  <c r="AJ23" i="72"/>
  <c r="AK23" i="72" s="1"/>
  <c r="AL23" i="72" s="1"/>
  <c r="AJ14" i="72"/>
  <c r="AK16" i="72"/>
  <c r="AL16" i="72" s="1"/>
  <c r="AI2776" i="50"/>
  <c r="AI2777" i="50" s="1"/>
  <c r="AI3343" i="50"/>
  <c r="AI3344" i="50" s="1"/>
  <c r="AI2944" i="50"/>
  <c r="AI2945" i="50" s="1"/>
  <c r="AI2300" i="50"/>
  <c r="AI2301" i="50" s="1"/>
  <c r="AH2617" i="50"/>
  <c r="AG3560" i="50"/>
  <c r="AG3561" i="50" s="1"/>
  <c r="P2153" i="50"/>
  <c r="R2153" i="50" s="1"/>
  <c r="P3582" i="50"/>
  <c r="AI3098" i="50"/>
  <c r="AI3099" i="50" s="1"/>
  <c r="AI3035" i="50"/>
  <c r="AI3036" i="50" s="1"/>
  <c r="AG3238" i="50"/>
  <c r="AG3239" i="50" s="1"/>
  <c r="AK7" i="72"/>
  <c r="AL7" i="72" s="1"/>
  <c r="AE14" i="72"/>
  <c r="AG14" i="72" s="1"/>
  <c r="K32" i="72"/>
  <c r="F29" i="42"/>
  <c r="AG3385" i="50"/>
  <c r="AG3386" i="50" s="1"/>
  <c r="AH2921" i="50"/>
  <c r="S2923" i="50"/>
  <c r="S2924" i="50" s="1"/>
  <c r="AK15" i="72"/>
  <c r="AL15" i="72" s="1"/>
  <c r="F32" i="72"/>
  <c r="BU246" i="49"/>
  <c r="BU341" i="49" s="1"/>
  <c r="BP341" i="49"/>
  <c r="S3301" i="50"/>
  <c r="S3302" i="50" s="1"/>
  <c r="O32" i="72"/>
  <c r="M32" i="72"/>
  <c r="AH3418" i="50"/>
  <c r="AI3420" i="50" s="1"/>
  <c r="AI3421" i="50" s="1"/>
  <c r="AI2671" i="50"/>
  <c r="AI2672" i="50" s="1"/>
  <c r="AK14" i="72"/>
  <c r="AL14" i="72" s="1"/>
  <c r="H3576" i="50"/>
  <c r="I3576" i="50" s="1"/>
  <c r="AH2988" i="50"/>
  <c r="AI2993" i="50" s="1"/>
  <c r="AI2994" i="50" s="1"/>
  <c r="AI2461" i="50"/>
  <c r="AI2462" i="50" s="1"/>
  <c r="AI3427" i="50"/>
  <c r="AI3428" i="50" s="1"/>
  <c r="AH3529" i="50"/>
  <c r="S3532" i="50"/>
  <c r="S3533" i="50" s="1"/>
  <c r="AH2879" i="50"/>
  <c r="AI2881" i="50" s="1"/>
  <c r="AI2882" i="50" s="1"/>
  <c r="S2881" i="50"/>
  <c r="S2882" i="50" s="1"/>
  <c r="AH3066" i="50"/>
  <c r="AI3070" i="50" s="1"/>
  <c r="AI3071" i="50" s="1"/>
  <c r="AH3124" i="50"/>
  <c r="S3126" i="50"/>
  <c r="S3127" i="50" s="1"/>
  <c r="AH3088" i="50"/>
  <c r="AI3091" i="50" s="1"/>
  <c r="AI3092" i="50" s="1"/>
  <c r="S3091" i="50"/>
  <c r="S3092" i="50" s="1"/>
  <c r="AG3014" i="50"/>
  <c r="AG3015" i="50" s="1"/>
  <c r="AH3013" i="50"/>
  <c r="AI3147" i="50"/>
  <c r="AI3148" i="50" s="1"/>
  <c r="AG3336" i="50"/>
  <c r="AG3337" i="50" s="1"/>
  <c r="AH3452" i="50"/>
  <c r="S3098" i="50"/>
  <c r="S3099" i="50" s="1"/>
  <c r="F62" i="32"/>
  <c r="AG3392" i="50"/>
  <c r="AG3393" i="50" s="1"/>
  <c r="S3217" i="50"/>
  <c r="S3218" i="50" s="1"/>
  <c r="AH1435" i="50"/>
  <c r="AH1440" i="50" s="1"/>
  <c r="R3331" i="50"/>
  <c r="AH3331" i="50" s="1"/>
  <c r="AI3336" i="50" s="1"/>
  <c r="AI3337" i="50" s="1"/>
  <c r="AI3224" i="50"/>
  <c r="AI3225" i="50" s="1"/>
  <c r="AG3231" i="50"/>
  <c r="AG3232" i="50" s="1"/>
  <c r="S3070" i="50"/>
  <c r="S3071" i="50" s="1"/>
  <c r="AF3580" i="50"/>
  <c r="AI2321" i="50"/>
  <c r="AI2322" i="50" s="1"/>
  <c r="AG3413" i="50"/>
  <c r="AG3414" i="50" s="1"/>
  <c r="AG3420" i="50"/>
  <c r="AG3421" i="50" s="1"/>
  <c r="S3378" i="50"/>
  <c r="S3379" i="50" s="1"/>
  <c r="S3546" i="50"/>
  <c r="S3547" i="50" s="1"/>
  <c r="AH3545" i="50"/>
  <c r="AI3546" i="50" s="1"/>
  <c r="AI3547" i="50" s="1"/>
  <c r="S2944" i="50"/>
  <c r="S2945" i="50" s="1"/>
  <c r="AI2419" i="50"/>
  <c r="AI2420" i="50" s="1"/>
  <c r="S3105" i="50"/>
  <c r="S3106" i="50" s="1"/>
  <c r="W13" i="72"/>
  <c r="W28" i="72" s="1"/>
  <c r="X712" i="50"/>
  <c r="K27" i="42" s="1"/>
  <c r="T1440" i="50"/>
  <c r="AK8" i="72"/>
  <c r="AL8" i="72" s="1"/>
  <c r="G29" i="42"/>
  <c r="AJ27" i="72"/>
  <c r="AK27" i="72" s="1"/>
  <c r="AL27" i="72" s="1"/>
  <c r="AB28" i="72"/>
  <c r="U3580" i="50"/>
  <c r="G3577" i="50"/>
  <c r="D29" i="42"/>
  <c r="I28" i="72"/>
  <c r="I32" i="72" s="1"/>
  <c r="F3337" i="50"/>
  <c r="F3582" i="50" s="1"/>
  <c r="G28" i="72"/>
  <c r="G32" i="72" s="1"/>
  <c r="AH1421" i="50"/>
  <c r="AG2881" i="50"/>
  <c r="AG2882" i="50" s="1"/>
  <c r="R2862" i="50"/>
  <c r="R2158" i="50" s="1"/>
  <c r="AH2863" i="50"/>
  <c r="F2158" i="50"/>
  <c r="F2156" i="50" s="1"/>
  <c r="AF3579" i="50"/>
  <c r="AH3579" i="50" s="1"/>
  <c r="AG3000" i="50"/>
  <c r="AG3001" i="50" s="1"/>
  <c r="AG3469" i="50"/>
  <c r="AG3470" i="50" s="1"/>
  <c r="AH3027" i="50"/>
  <c r="AG3028" i="50"/>
  <c r="AG3029" i="50" s="1"/>
  <c r="AI2706" i="50"/>
  <c r="AI2707" i="50" s="1"/>
  <c r="AI2664" i="50"/>
  <c r="AI2665" i="50" s="1"/>
  <c r="AI3378" i="50"/>
  <c r="AI3379" i="50" s="1"/>
  <c r="S3182" i="50"/>
  <c r="S3183" i="50" s="1"/>
  <c r="AH3181" i="50"/>
  <c r="AI3182" i="50" s="1"/>
  <c r="AI3183" i="50" s="1"/>
  <c r="AI2517" i="50"/>
  <c r="AI2518" i="50" s="1"/>
  <c r="T2153" i="50"/>
  <c r="AF2153" i="50" s="1"/>
  <c r="Q28" i="72"/>
  <c r="AI2580" i="50"/>
  <c r="AI2581" i="50" s="1"/>
  <c r="AI3294" i="50"/>
  <c r="AI3295" i="50" s="1"/>
  <c r="AH3074" i="50"/>
  <c r="AI3077" i="50" s="1"/>
  <c r="AI3078" i="50" s="1"/>
  <c r="S3077" i="50"/>
  <c r="S3078" i="50" s="1"/>
  <c r="AT1768" i="50"/>
  <c r="AU1768" i="50" s="1"/>
  <c r="AU1495" i="50"/>
  <c r="AH2912" i="50"/>
  <c r="AI2916" i="50" s="1"/>
  <c r="AI2917" i="50" s="1"/>
  <c r="AG2916" i="50"/>
  <c r="AG2917" i="50" s="1"/>
  <c r="AG3294" i="50"/>
  <c r="AG3295" i="50" s="1"/>
  <c r="AI2692" i="50"/>
  <c r="AI2693" i="50" s="1"/>
  <c r="AI2202" i="50"/>
  <c r="AI2203" i="50" s="1"/>
  <c r="AI3385" i="50"/>
  <c r="AI3386" i="50" s="1"/>
  <c r="AH3019" i="50"/>
  <c r="AI3021" i="50" s="1"/>
  <c r="AI3022" i="50" s="1"/>
  <c r="S3021" i="50"/>
  <c r="S3022" i="50" s="1"/>
  <c r="AH3345" i="50"/>
  <c r="AI3350" i="50" s="1"/>
  <c r="AI3351" i="50" s="1"/>
  <c r="AG3350" i="50"/>
  <c r="AG3351" i="50" s="1"/>
  <c r="S28" i="72"/>
  <c r="S32" i="72" s="1"/>
  <c r="AI3140" i="50"/>
  <c r="AI3141" i="50" s="1"/>
  <c r="AI2846" i="50"/>
  <c r="AI2847" i="50" s="1"/>
  <c r="AI3560" i="50"/>
  <c r="AI3561" i="50" s="1"/>
  <c r="AH3122" i="50"/>
  <c r="AG3126" i="50"/>
  <c r="AG3127" i="50" s="1"/>
  <c r="AH3468" i="50"/>
  <c r="AI3469" i="50" s="1"/>
  <c r="AI3470" i="50" s="1"/>
  <c r="S3469" i="50"/>
  <c r="S3470" i="50" s="1"/>
  <c r="AG3189" i="50"/>
  <c r="AG3190" i="50" s="1"/>
  <c r="AH2893" i="50"/>
  <c r="AI2895" i="50" s="1"/>
  <c r="AI2896" i="50" s="1"/>
  <c r="AG2895" i="50"/>
  <c r="AG2896" i="50" s="1"/>
  <c r="AG3049" i="50"/>
  <c r="AG3050" i="50" s="1"/>
  <c r="AH3044" i="50"/>
  <c r="AI3049" i="50" s="1"/>
  <c r="AI3050" i="50" s="1"/>
  <c r="AH3401" i="50"/>
  <c r="AI3406" i="50" s="1"/>
  <c r="AI3407" i="50" s="1"/>
  <c r="AG3406" i="50"/>
  <c r="AG3407" i="50" s="1"/>
  <c r="S3175" i="50"/>
  <c r="S3176" i="50" s="1"/>
  <c r="AI2972" i="50"/>
  <c r="AI2973" i="50" s="1"/>
  <c r="AH2866" i="50"/>
  <c r="AI2615" i="50"/>
  <c r="AI2616" i="50" s="1"/>
  <c r="AI3490" i="50"/>
  <c r="AI3491" i="50" s="1"/>
  <c r="J3582" i="50"/>
  <c r="E14" i="42" s="1"/>
  <c r="AI3266" i="50"/>
  <c r="AI3267" i="50" s="1"/>
  <c r="J2872" i="50"/>
  <c r="AH3439" i="50"/>
  <c r="AI3441" i="50" s="1"/>
  <c r="AI3442" i="50" s="1"/>
  <c r="AJ12" i="72"/>
  <c r="AK12" i="72" s="1"/>
  <c r="AL12" i="72" s="1"/>
  <c r="AG3175" i="50"/>
  <c r="AG3176" i="50" s="1"/>
  <c r="AG3490" i="50"/>
  <c r="AG3491" i="50" s="1"/>
  <c r="AH2864" i="50"/>
  <c r="N2872" i="50"/>
  <c r="AC11" i="72"/>
  <c r="U3577" i="50"/>
  <c r="AH1424" i="50"/>
  <c r="AI3175" i="50"/>
  <c r="AI3176" i="50" s="1"/>
  <c r="T2158" i="50"/>
  <c r="T2156" i="50" s="1"/>
  <c r="AI3448" i="50"/>
  <c r="AI3449" i="50" s="1"/>
  <c r="AI3000" i="50"/>
  <c r="AI3001" i="50" s="1"/>
  <c r="S3189" i="50"/>
  <c r="S3190" i="50" s="1"/>
  <c r="S2972" i="50"/>
  <c r="S2973" i="50" s="1"/>
  <c r="S3343" i="50"/>
  <c r="S3344" i="50" s="1"/>
  <c r="S3280" i="50"/>
  <c r="S3281" i="50" s="1"/>
  <c r="AG3357" i="50"/>
  <c r="AG3358" i="50" s="1"/>
  <c r="AI3042" i="50"/>
  <c r="AI3043" i="50" s="1"/>
  <c r="AI3357" i="50"/>
  <c r="AI3358" i="50" s="1"/>
  <c r="AS2153" i="50"/>
  <c r="AF2154" i="50"/>
  <c r="AH2154" i="50" s="1"/>
  <c r="AC12" i="72"/>
  <c r="J29" i="42"/>
  <c r="AF717" i="50"/>
  <c r="AF715" i="50" s="1"/>
  <c r="J55" i="32"/>
  <c r="F79" i="32"/>
  <c r="H55" i="32"/>
  <c r="F77" i="32"/>
  <c r="F64" i="32"/>
  <c r="F69" i="32"/>
  <c r="F72" i="32"/>
  <c r="F61" i="32"/>
  <c r="F90" i="32"/>
  <c r="F83" i="32"/>
  <c r="F66" i="32"/>
  <c r="F70" i="32"/>
  <c r="F89" i="32"/>
  <c r="F74" i="32"/>
  <c r="F76" i="32"/>
  <c r="F75" i="32"/>
  <c r="D84" i="32"/>
  <c r="F68" i="32"/>
  <c r="F86" i="32"/>
  <c r="F78" i="32"/>
  <c r="F92" i="32"/>
  <c r="F67" i="32"/>
  <c r="F73" i="32"/>
  <c r="F55" i="32"/>
  <c r="F87" i="32"/>
  <c r="F85" i="32"/>
  <c r="F80" i="32"/>
  <c r="F81" i="32"/>
  <c r="F88" i="32"/>
  <c r="F65" i="32"/>
  <c r="D63" i="32"/>
  <c r="F71" i="32"/>
  <c r="F91" i="32"/>
  <c r="F56" i="32"/>
  <c r="AI2195" i="50"/>
  <c r="AI2196" i="50" s="1"/>
  <c r="AI2909" i="50"/>
  <c r="AI2910" i="50" s="1"/>
  <c r="AH2885" i="50"/>
  <c r="AI2888" i="50" s="1"/>
  <c r="AI2889" i="50" s="1"/>
  <c r="AG2888" i="50"/>
  <c r="AG2889" i="50" s="1"/>
  <c r="AI2349" i="50"/>
  <c r="AI2350" i="50" s="1"/>
  <c r="AI3063" i="50"/>
  <c r="AI3064" i="50" s="1"/>
  <c r="S3511" i="50"/>
  <c r="S3512" i="50" s="1"/>
  <c r="AH3508" i="50"/>
  <c r="AI3511" i="50" s="1"/>
  <c r="AI3512" i="50" s="1"/>
  <c r="S3539" i="50"/>
  <c r="S3540" i="50" s="1"/>
  <c r="AH3537" i="50"/>
  <c r="AI3539" i="50" s="1"/>
  <c r="AI3540" i="50" s="1"/>
  <c r="AH3366" i="50"/>
  <c r="AI3371" i="50" s="1"/>
  <c r="AI3372" i="50" s="1"/>
  <c r="AG3371" i="50"/>
  <c r="AG3372" i="50" s="1"/>
  <c r="AI2475" i="50"/>
  <c r="AI2476" i="50" s="1"/>
  <c r="AI3189" i="50"/>
  <c r="AI3190" i="50" s="1"/>
  <c r="AI3056" i="50"/>
  <c r="AI3057" i="50" s="1"/>
  <c r="AH3011" i="50"/>
  <c r="S3014" i="50"/>
  <c r="S3015" i="50" s="1"/>
  <c r="AH3118" i="50"/>
  <c r="AI3119" i="50" s="1"/>
  <c r="AI3120" i="50" s="1"/>
  <c r="AG3119" i="50"/>
  <c r="AG3120" i="50" s="1"/>
  <c r="AI3245" i="50"/>
  <c r="AI3246" i="50" s="1"/>
  <c r="AI2531" i="50"/>
  <c r="AI2532" i="50" s="1"/>
  <c r="S3266" i="50"/>
  <c r="S3267" i="50" s="1"/>
  <c r="AI3259" i="50"/>
  <c r="AI3260" i="50" s="1"/>
  <c r="AI2440" i="50"/>
  <c r="AI2441" i="50" s="1"/>
  <c r="AI3154" i="50"/>
  <c r="AI3155" i="50" s="1"/>
  <c r="AI3168" i="50"/>
  <c r="AI3169" i="50" s="1"/>
  <c r="AI2454" i="50"/>
  <c r="AI2455" i="50" s="1"/>
  <c r="F58" i="32"/>
  <c r="AW14" i="32"/>
  <c r="D54" i="32"/>
  <c r="AI2622" i="50"/>
  <c r="AI2623" i="50" s="1"/>
  <c r="F59" i="32"/>
  <c r="AH3158" i="50"/>
  <c r="AI3161" i="50" s="1"/>
  <c r="AI3162" i="50" s="1"/>
  <c r="AG3161" i="50"/>
  <c r="AG3162" i="50" s="1"/>
  <c r="AG3553" i="50"/>
  <c r="AG3554" i="50" s="1"/>
  <c r="AI2293" i="50"/>
  <c r="AI2294" i="50" s="1"/>
  <c r="AI3007" i="50"/>
  <c r="AI3008" i="50" s="1"/>
  <c r="AH3306" i="50"/>
  <c r="AI3308" i="50" s="1"/>
  <c r="AI3309" i="50" s="1"/>
  <c r="AG3308" i="50"/>
  <c r="AG3309" i="50" s="1"/>
  <c r="AI2174" i="50"/>
  <c r="AI2175" i="50" s="1"/>
  <c r="AG3546" i="50"/>
  <c r="AG3547" i="50" s="1"/>
  <c r="AG2993" i="50"/>
  <c r="AG2994" i="50" s="1"/>
  <c r="AH3110" i="50"/>
  <c r="AI3112" i="50" s="1"/>
  <c r="AI3113" i="50" s="1"/>
  <c r="AG3112" i="50"/>
  <c r="AG3113" i="50" s="1"/>
  <c r="AG3245" i="50"/>
  <c r="AG3246" i="50" s="1"/>
  <c r="AC27" i="72"/>
  <c r="AE27" i="72" s="1"/>
  <c r="AG27" i="72" s="1"/>
  <c r="AH3324" i="50"/>
  <c r="AI3329" i="50" s="1"/>
  <c r="AI3330" i="50" s="1"/>
  <c r="S3329" i="50"/>
  <c r="S3330" i="50" s="1"/>
  <c r="S3168" i="50"/>
  <c r="S3169" i="50" s="1"/>
  <c r="AH3286" i="50"/>
  <c r="AI3287" i="50" s="1"/>
  <c r="AI3288" i="50" s="1"/>
  <c r="AG3287" i="50"/>
  <c r="AG3288" i="50" s="1"/>
  <c r="H60" i="32"/>
  <c r="F60" i="32"/>
  <c r="J60" i="32"/>
  <c r="S3252" i="50"/>
  <c r="S3253" i="50" s="1"/>
  <c r="S3007" i="50"/>
  <c r="S3008" i="50" s="1"/>
  <c r="AI3553" i="50"/>
  <c r="AI3554" i="50" s="1"/>
  <c r="AI2839" i="50"/>
  <c r="AI2840" i="50" s="1"/>
  <c r="AI2594" i="50"/>
  <c r="AI2595" i="50" s="1"/>
  <c r="AH2932" i="50"/>
  <c r="AI2937" i="50" s="1"/>
  <c r="AI2938" i="50" s="1"/>
  <c r="AG2937" i="50"/>
  <c r="AG2938" i="50" s="1"/>
  <c r="P42" i="32"/>
  <c r="N42" i="32"/>
  <c r="S3154" i="50"/>
  <c r="S3155" i="50" s="1"/>
  <c r="AI2643" i="50"/>
  <c r="AI2644" i="50" s="1"/>
  <c r="AI3455" i="50"/>
  <c r="AI3456" i="50" s="1"/>
  <c r="AH3080" i="50"/>
  <c r="AI3084" i="50" s="1"/>
  <c r="AI3085" i="50" s="1"/>
  <c r="AG3084" i="50"/>
  <c r="AG3085" i="50" s="1"/>
  <c r="AG3329" i="50"/>
  <c r="AG3330" i="50" s="1"/>
  <c r="AI2356" i="50"/>
  <c r="AI2357" i="50" s="1"/>
  <c r="AG3007" i="50"/>
  <c r="AG3008" i="50" s="1"/>
  <c r="AG3196" i="50"/>
  <c r="AG3197" i="50" s="1"/>
  <c r="AH3195" i="50"/>
  <c r="AI3196" i="50" s="1"/>
  <c r="AI3197" i="50" s="1"/>
  <c r="AH3527" i="50"/>
  <c r="AG3532" i="50"/>
  <c r="AG3533" i="50" s="1"/>
  <c r="AI2447" i="50"/>
  <c r="AI2448" i="50" s="1"/>
  <c r="AS42" i="32"/>
  <c r="AW23" i="32"/>
  <c r="AU23" i="32"/>
  <c r="S3448" i="50"/>
  <c r="S3449" i="50" s="1"/>
  <c r="L9" i="51"/>
  <c r="K29" i="51"/>
  <c r="AI2223" i="50"/>
  <c r="AI2224" i="50" s="1"/>
  <c r="AH3023" i="50"/>
  <c r="S3028" i="50"/>
  <c r="S3029" i="50" s="1"/>
  <c r="AG3077" i="50"/>
  <c r="AG3078" i="50" s="1"/>
  <c r="AG3252" i="50"/>
  <c r="AG3253" i="50" s="1"/>
  <c r="AG3182" i="50"/>
  <c r="AG3183" i="50" s="1"/>
  <c r="AA2862" i="50"/>
  <c r="AJ13" i="72"/>
  <c r="AK13" i="72" s="1"/>
  <c r="AL13" i="72" s="1"/>
  <c r="L3582" i="50"/>
  <c r="AG1426" i="50"/>
  <c r="AG1427" i="50" s="1"/>
  <c r="AB2158" i="50"/>
  <c r="AB2156" i="50" s="1"/>
  <c r="V2158" i="50"/>
  <c r="V2156" i="50" s="1"/>
  <c r="AC3577" i="50"/>
  <c r="P2872" i="50"/>
  <c r="AD2158" i="50"/>
  <c r="AD2156" i="50" s="1"/>
  <c r="X2158" i="50"/>
  <c r="X2156" i="50" s="1"/>
  <c r="W2862" i="50"/>
  <c r="AD2924" i="50"/>
  <c r="AD3582" i="50" s="1"/>
  <c r="AD3576" i="50"/>
  <c r="X3576" i="50"/>
  <c r="Y3576" i="50" s="1"/>
  <c r="X2924" i="50"/>
  <c r="X3582" i="50" s="1"/>
  <c r="AF2918" i="50"/>
  <c r="AH2918" i="50" s="1"/>
  <c r="AB3576" i="50"/>
  <c r="AB2924" i="50"/>
  <c r="AB3582" i="50" s="1"/>
  <c r="AE2862" i="50"/>
  <c r="V2924" i="50"/>
  <c r="V3582" i="50" s="1"/>
  <c r="V3576" i="50"/>
  <c r="AG2209" i="50"/>
  <c r="AG2210" i="50" s="1"/>
  <c r="AH2204" i="50"/>
  <c r="AG2923" i="50"/>
  <c r="AG2924" i="50" s="1"/>
  <c r="AA3577" i="50"/>
  <c r="AF2862" i="50"/>
  <c r="Z2924" i="50"/>
  <c r="Z3582" i="50" s="1"/>
  <c r="Z3576" i="50"/>
  <c r="T2924" i="50"/>
  <c r="T3582" i="50" s="1"/>
  <c r="T3576" i="50"/>
  <c r="T2872" i="50" s="1"/>
  <c r="U3579" i="50"/>
  <c r="F1440" i="50"/>
  <c r="H3582" i="50"/>
  <c r="E28" i="72"/>
  <c r="S1426" i="50"/>
  <c r="S1427" i="50" s="1"/>
  <c r="G3576" i="50"/>
  <c r="F2872" i="50"/>
  <c r="M8" i="42"/>
  <c r="X31" i="72" s="1"/>
  <c r="X32" i="72" s="1"/>
  <c r="C27" i="42"/>
  <c r="E31" i="72" s="1"/>
  <c r="R712" i="50"/>
  <c r="S3287" i="50"/>
  <c r="S3288" i="50" s="1"/>
  <c r="Y3577" i="50"/>
  <c r="E8" i="42"/>
  <c r="H31" i="72" s="1"/>
  <c r="H32" i="72" s="1"/>
  <c r="AF3578" i="50"/>
  <c r="U3578" i="50"/>
  <c r="AI3364" i="50"/>
  <c r="AI3365" i="50" s="1"/>
  <c r="AI2650" i="50"/>
  <c r="AI2651" i="50" s="1"/>
  <c r="R717" i="50"/>
  <c r="J32" i="42"/>
  <c r="J34" i="42" s="1"/>
  <c r="AK3" i="72"/>
  <c r="AI3518" i="50"/>
  <c r="AI3519" i="50" s="1"/>
  <c r="AI2804" i="50"/>
  <c r="AI2805" i="50" s="1"/>
  <c r="AI3252" i="50"/>
  <c r="AI3253" i="50" s="1"/>
  <c r="AI2538" i="50"/>
  <c r="AI2539" i="50" s="1"/>
  <c r="L8" i="42"/>
  <c r="V31" i="72" s="1"/>
  <c r="V32" i="72" s="1"/>
  <c r="AI2559" i="50"/>
  <c r="AI2560" i="50" s="1"/>
  <c r="AI3273" i="50"/>
  <c r="AI3274" i="50" s="1"/>
  <c r="AI2566" i="50"/>
  <c r="AI2567" i="50" s="1"/>
  <c r="AI3280" i="50"/>
  <c r="AI3281" i="50" s="1"/>
  <c r="C8" i="42"/>
  <c r="D31" i="72" s="1"/>
  <c r="D32" i="72" s="1"/>
  <c r="I27" i="42"/>
  <c r="G3579" i="50"/>
  <c r="AH3230" i="50"/>
  <c r="AI3231" i="50" s="1"/>
  <c r="AI3232" i="50" s="1"/>
  <c r="S3231" i="50"/>
  <c r="S3232" i="50" s="1"/>
  <c r="AH2865" i="50"/>
  <c r="AI3497" i="50"/>
  <c r="AI3498" i="50" s="1"/>
  <c r="AF3577" i="50"/>
  <c r="AI2468" i="50"/>
  <c r="AI2469" i="50" s="1"/>
  <c r="AI3238" i="50"/>
  <c r="AI3239" i="50" s="1"/>
  <c r="AI2524" i="50"/>
  <c r="AI2525" i="50" s="1"/>
  <c r="AI2573" i="50"/>
  <c r="AI2574" i="50" s="1"/>
  <c r="R3577" i="50"/>
  <c r="I3577" i="50"/>
  <c r="AI3301" i="50"/>
  <c r="AI3302" i="50" s="1"/>
  <c r="AI2587" i="50"/>
  <c r="AI2588" i="50" s="1"/>
  <c r="AI2216" i="50"/>
  <c r="AI2217" i="50" s="1"/>
  <c r="AG3364" i="50"/>
  <c r="AG3365" i="50" s="1"/>
  <c r="R3578" i="50"/>
  <c r="L2872" i="50"/>
  <c r="E29" i="42"/>
  <c r="AI11" i="72"/>
  <c r="G14" i="42"/>
  <c r="G8" i="42"/>
  <c r="L31" i="72" s="1"/>
  <c r="L32" i="72" s="1"/>
  <c r="K8" i="42"/>
  <c r="T31" i="72" s="1"/>
  <c r="T32" i="72" s="1"/>
  <c r="H14" i="42"/>
  <c r="H8" i="42"/>
  <c r="N31" i="72" s="1"/>
  <c r="N32" i="72" s="1"/>
  <c r="R3580" i="50"/>
  <c r="AH2928" i="50"/>
  <c r="AI2930" i="50" s="1"/>
  <c r="AI2931" i="50" s="1"/>
  <c r="S3273" i="50"/>
  <c r="S3274" i="50" s="1"/>
  <c r="C23" i="42"/>
  <c r="D23" i="42" s="1"/>
  <c r="E23" i="42" s="1"/>
  <c r="F23" i="42" s="1"/>
  <c r="G23" i="42" s="1"/>
  <c r="H23" i="42" s="1"/>
  <c r="I23" i="42" s="1"/>
  <c r="J23" i="42" s="1"/>
  <c r="K23" i="42" s="1"/>
  <c r="L23" i="42" s="1"/>
  <c r="M23" i="42" s="1"/>
  <c r="N23" i="42" s="1"/>
  <c r="O23" i="42" s="1"/>
  <c r="O28" i="42"/>
  <c r="AH713" i="50"/>
  <c r="N8" i="42"/>
  <c r="Z31" i="72" s="1"/>
  <c r="Z32" i="72" s="1"/>
  <c r="AH1423" i="50"/>
  <c r="AV68" i="50"/>
  <c r="AU68" i="50"/>
  <c r="AV299" i="50"/>
  <c r="AU299" i="50"/>
  <c r="H29" i="42"/>
  <c r="H32" i="42"/>
  <c r="AT411" i="50"/>
  <c r="AI3532" i="50" l="1"/>
  <c r="AI3533" i="50" s="1"/>
  <c r="AT2153" i="50"/>
  <c r="O12" i="42"/>
  <c r="AH2153" i="50"/>
  <c r="R3576" i="50"/>
  <c r="R2872" i="50" s="1"/>
  <c r="H2872" i="50"/>
  <c r="BV341" i="49"/>
  <c r="E32" i="72"/>
  <c r="AU2153" i="50"/>
  <c r="I29" i="42"/>
  <c r="Q31" i="72"/>
  <c r="AB31" i="72"/>
  <c r="AB32" i="72" s="1"/>
  <c r="K29" i="42"/>
  <c r="U31" i="72"/>
  <c r="U32" i="72" s="1"/>
  <c r="AI3126" i="50"/>
  <c r="AI3127" i="50" s="1"/>
  <c r="AI3028" i="50"/>
  <c r="AI3029" i="50" s="1"/>
  <c r="AI3014" i="50"/>
  <c r="AI3015" i="50" s="1"/>
  <c r="S3336" i="50"/>
  <c r="S3337" i="50" s="1"/>
  <c r="Z712" i="50"/>
  <c r="L27" i="42" s="1"/>
  <c r="AH2862" i="50"/>
  <c r="AI2867" i="50" s="1"/>
  <c r="AI2868" i="50" s="1"/>
  <c r="S2867" i="50"/>
  <c r="S2868" i="50" s="1"/>
  <c r="D14" i="42"/>
  <c r="D15" i="42" s="1"/>
  <c r="N14" i="42"/>
  <c r="N15" i="42" s="1"/>
  <c r="C14" i="42"/>
  <c r="I14" i="42"/>
  <c r="J14" i="42"/>
  <c r="F14" i="42"/>
  <c r="F15" i="42" s="1"/>
  <c r="L14" i="42"/>
  <c r="K14" i="42"/>
  <c r="K18" i="42" s="1"/>
  <c r="K19" i="42" s="1"/>
  <c r="M14" i="42"/>
  <c r="M15" i="42" s="1"/>
  <c r="AH717" i="50"/>
  <c r="AH715" i="50" s="1"/>
  <c r="AI1426" i="50"/>
  <c r="AI1427" i="50" s="1"/>
  <c r="J84" i="32"/>
  <c r="H84" i="32"/>
  <c r="F84" i="32"/>
  <c r="H54" i="32"/>
  <c r="J54" i="32"/>
  <c r="M9" i="51"/>
  <c r="L29" i="51"/>
  <c r="AW42" i="32"/>
  <c r="AU42" i="32"/>
  <c r="J63" i="32"/>
  <c r="D82" i="32"/>
  <c r="H63" i="32"/>
  <c r="F63" i="32"/>
  <c r="AJ28" i="72"/>
  <c r="AJ29" i="72" s="1"/>
  <c r="D9" i="70"/>
  <c r="J3" i="70" s="1"/>
  <c r="J8" i="70" s="1"/>
  <c r="J10" i="70" s="1"/>
  <c r="P10" i="42"/>
  <c r="AG2867" i="50"/>
  <c r="AG2868" i="50" s="1"/>
  <c r="X2872" i="50"/>
  <c r="AF2158" i="50"/>
  <c r="AF2156" i="50" s="1"/>
  <c r="AI2923" i="50"/>
  <c r="AI2924" i="50" s="1"/>
  <c r="AI2209" i="50"/>
  <c r="AI2210" i="50" s="1"/>
  <c r="U3576" i="50"/>
  <c r="AF3576" i="50"/>
  <c r="AF2872" i="50" s="1"/>
  <c r="W3576" i="50"/>
  <c r="V2872" i="50"/>
  <c r="AC3576" i="50"/>
  <c r="AB2872" i="50"/>
  <c r="AE3576" i="50"/>
  <c r="AD2872" i="50"/>
  <c r="AA3576" i="50"/>
  <c r="Z2872" i="50"/>
  <c r="R715" i="50"/>
  <c r="AH3578" i="50"/>
  <c r="AH3580" i="50"/>
  <c r="AU411" i="50"/>
  <c r="H15" i="42"/>
  <c r="H18" i="42"/>
  <c r="H19" i="42" s="1"/>
  <c r="P11" i="42"/>
  <c r="R2156" i="50"/>
  <c r="C29" i="42"/>
  <c r="AK11" i="72"/>
  <c r="AL11" i="72" s="1"/>
  <c r="AI28" i="72"/>
  <c r="AI29" i="72" s="1"/>
  <c r="AH3577" i="50"/>
  <c r="E18" i="42"/>
  <c r="E19" i="42" s="1"/>
  <c r="E15" i="42"/>
  <c r="G15" i="42"/>
  <c r="G18" i="42"/>
  <c r="G19" i="42" s="1"/>
  <c r="C24" i="42"/>
  <c r="D24" i="42" s="1"/>
  <c r="E24" i="42" s="1"/>
  <c r="F24" i="42" s="1"/>
  <c r="G24" i="42" s="1"/>
  <c r="H24" i="42" s="1"/>
  <c r="I24" i="42" s="1"/>
  <c r="J24" i="42" s="1"/>
  <c r="K24" i="42" s="1"/>
  <c r="L24" i="42" s="1"/>
  <c r="M24" i="42" s="1"/>
  <c r="N24" i="42" s="1"/>
  <c r="O24" i="42" s="1"/>
  <c r="O8" i="42"/>
  <c r="AB29" i="72" s="1"/>
  <c r="AL3" i="72"/>
  <c r="C18" i="42" l="1"/>
  <c r="O14" i="42"/>
  <c r="S3581" i="50"/>
  <c r="S3582" i="50" s="1"/>
  <c r="Q32" i="72"/>
  <c r="L29" i="42"/>
  <c r="W31" i="72"/>
  <c r="W32" i="72" s="1"/>
  <c r="AB712" i="50"/>
  <c r="M27" i="42" s="1"/>
  <c r="Y13" i="72"/>
  <c r="F18" i="42"/>
  <c r="F19" i="42" s="1"/>
  <c r="N18" i="42"/>
  <c r="N19" i="42" s="1"/>
  <c r="I18" i="42"/>
  <c r="I19" i="42" s="1"/>
  <c r="K15" i="42"/>
  <c r="C15" i="42"/>
  <c r="P14" i="42"/>
  <c r="M18" i="42"/>
  <c r="M19" i="42" s="1"/>
  <c r="J15" i="42"/>
  <c r="D18" i="42"/>
  <c r="D19" i="42" s="1"/>
  <c r="L18" i="42"/>
  <c r="L19" i="42" s="1"/>
  <c r="J18" i="42"/>
  <c r="J19" i="42" s="1"/>
  <c r="L15" i="42"/>
  <c r="I15" i="42"/>
  <c r="AK28" i="72"/>
  <c r="AH2158" i="50"/>
  <c r="AH2156" i="50" s="1"/>
  <c r="H82" i="32"/>
  <c r="D93" i="32"/>
  <c r="F82" i="32"/>
  <c r="J82" i="32"/>
  <c r="N9" i="51"/>
  <c r="N29" i="51" s="1"/>
  <c r="M29" i="51"/>
  <c r="AG3581" i="50"/>
  <c r="AG3582" i="50" s="1"/>
  <c r="G9" i="70"/>
  <c r="AH3576" i="50"/>
  <c r="AI3581" i="50" s="1"/>
  <c r="AI3582" i="50" s="1"/>
  <c r="AH2872" i="50"/>
  <c r="J11" i="70"/>
  <c r="J14" i="70"/>
  <c r="AV6" i="61"/>
  <c r="AV8" i="61" s="1"/>
  <c r="AW6" i="61"/>
  <c r="P12" i="42"/>
  <c r="AK29" i="72" l="1"/>
  <c r="C19" i="42"/>
  <c r="O18" i="42"/>
  <c r="AD712" i="50"/>
  <c r="N27" i="42" s="1"/>
  <c r="O27" i="42" s="1"/>
  <c r="O29" i="42" s="1"/>
  <c r="AA13" i="72"/>
  <c r="AA28" i="72" s="1"/>
  <c r="Y28" i="72"/>
  <c r="M29" i="42"/>
  <c r="Y31" i="72"/>
  <c r="AT12" i="50"/>
  <c r="O15" i="42"/>
  <c r="D95" i="32"/>
  <c r="D97" i="32" s="1"/>
  <c r="H93" i="32"/>
  <c r="F93" i="32"/>
  <c r="J93" i="32"/>
  <c r="AV9" i="61"/>
  <c r="AV13" i="61" s="1"/>
  <c r="AV27" i="61" s="1"/>
  <c r="AV31" i="61" s="1"/>
  <c r="AV33" i="61" s="1"/>
  <c r="AV34" i="61" s="1"/>
  <c r="P18" i="42" l="1"/>
  <c r="AF712" i="50"/>
  <c r="AH712" i="50" s="1"/>
  <c r="Y32" i="72"/>
  <c r="AC13" i="72"/>
  <c r="AE13" i="72" s="1"/>
  <c r="N29" i="42"/>
  <c r="AA31" i="72"/>
  <c r="AC31" i="72" s="1"/>
  <c r="O31" i="42"/>
  <c r="AU12" i="50"/>
  <c r="AU712" i="50" s="1"/>
  <c r="AV12" i="50"/>
  <c r="AT712" i="50"/>
  <c r="O19" i="42"/>
  <c r="AG13" i="72" l="1"/>
  <c r="AC28" i="72"/>
  <c r="AC32" i="72" s="1"/>
  <c r="AA32" i="72"/>
  <c r="AE12" i="72"/>
  <c r="AG12" i="72" s="1"/>
  <c r="AE5" i="72"/>
  <c r="AG5" i="72" s="1"/>
  <c r="AE11" i="72"/>
  <c r="AG11" i="72" s="1"/>
  <c r="AE4" i="72"/>
  <c r="AG4" i="72" s="1"/>
  <c r="AE8" i="72"/>
  <c r="AG8" i="72" s="1"/>
  <c r="AE7" i="72"/>
  <c r="AG7" i="72" s="1"/>
  <c r="AE6" i="72"/>
  <c r="AG6" i="72" s="1"/>
  <c r="AE9" i="72"/>
  <c r="AG9" i="72" s="1"/>
  <c r="AM9" i="72" s="1"/>
  <c r="AE10" i="72" l="1"/>
  <c r="AG10" i="72" s="1"/>
  <c r="AE3" i="72"/>
  <c r="C28" i="72"/>
  <c r="Q22" i="42" s="1"/>
  <c r="C29" i="72" l="1"/>
  <c r="C22" i="42"/>
  <c r="D22" i="42" s="1"/>
  <c r="E22" i="42" s="1"/>
  <c r="F22" i="42" s="1"/>
  <c r="G22" i="42" s="1"/>
  <c r="AM10" i="72"/>
  <c r="AE28" i="72"/>
  <c r="AG3" i="72"/>
  <c r="AG28" i="72" s="1"/>
  <c r="H22" i="42" l="1"/>
  <c r="I22" i="42" s="1"/>
  <c r="J22" i="42" s="1"/>
  <c r="K22" i="42" s="1"/>
  <c r="L22" i="42" s="1"/>
  <c r="M22" i="42" s="1"/>
  <c r="N22" i="42" s="1"/>
  <c r="O22" i="42" s="1"/>
  <c r="H31" i="42"/>
  <c r="H33" i="42" s="1"/>
  <c r="H34" i="42" s="1"/>
  <c r="P22" i="42" l="1"/>
  <c r="AE31" i="72"/>
  <c r="AE32" i="72" s="1"/>
</calcChain>
</file>

<file path=xl/comments1.xml><?xml version="1.0" encoding="utf-8"?>
<comments xmlns="http://schemas.openxmlformats.org/spreadsheetml/2006/main">
  <authors>
    <author>a.kanaykin</author>
    <author>Алексей</author>
  </authors>
  <commentList>
    <comment ref="S16" authorId="0" shapeId="0">
      <text>
        <r>
          <rPr>
            <b/>
            <sz val="9"/>
            <color indexed="81"/>
            <rFont val="Tahoma"/>
            <family val="2"/>
            <charset val="204"/>
          </rPr>
          <t>a.kanaykin:</t>
        </r>
        <r>
          <rPr>
            <sz val="9"/>
            <color indexed="81"/>
            <rFont val="Tahoma"/>
            <family val="2"/>
            <charset val="204"/>
          </rPr>
          <t xml:space="preserve">
Закупка SS21</t>
        </r>
      </text>
    </comment>
    <comment ref="S18" authorId="0" shapeId="0">
      <text>
        <r>
          <rPr>
            <b/>
            <sz val="9"/>
            <color indexed="81"/>
            <rFont val="Tahoma"/>
            <family val="2"/>
            <charset val="204"/>
          </rPr>
          <t>Закупка SS21</t>
        </r>
      </text>
    </comment>
    <comment ref="S25" authorId="0" shapeId="0">
      <text>
        <r>
          <rPr>
            <b/>
            <sz val="9"/>
            <color indexed="81"/>
            <rFont val="Tahoma"/>
            <family val="2"/>
            <charset val="204"/>
          </rPr>
          <t>a.kanaykin:</t>
        </r>
        <r>
          <rPr>
            <sz val="9"/>
            <color indexed="81"/>
            <rFont val="Tahoma"/>
            <family val="2"/>
            <charset val="204"/>
          </rPr>
          <t xml:space="preserve">
Закупка SS21</t>
        </r>
      </text>
    </comment>
    <comment ref="U82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1 311 276</t>
        </r>
      </text>
    </comment>
    <comment ref="AE82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594 412</t>
        </r>
      </text>
    </comment>
    <comment ref="P83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11 519 600</t>
        </r>
      </text>
    </comment>
    <comment ref="Z83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4 026 510</t>
        </r>
      </text>
    </comment>
    <comment ref="U84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6 285 684</t>
        </r>
      </text>
    </comment>
    <comment ref="AE84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2 261 517</t>
        </r>
      </text>
    </comment>
    <comment ref="U307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1 311 276</t>
        </r>
      </text>
    </comment>
    <comment ref="AE307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594 412</t>
        </r>
      </text>
    </comment>
    <comment ref="P308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11 519 600</t>
        </r>
      </text>
    </comment>
    <comment ref="Z308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4 026 510</t>
        </r>
      </text>
    </comment>
    <comment ref="U309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6 285 684</t>
        </r>
      </text>
    </comment>
    <comment ref="AE309" authorId="1" shapeId="0">
      <text>
        <r>
          <rPr>
            <b/>
            <sz val="9"/>
            <color indexed="81"/>
            <rFont val="Tahoma"/>
            <family val="2"/>
            <charset val="204"/>
          </rPr>
          <t>Алексей:</t>
        </r>
        <r>
          <rPr>
            <sz val="9"/>
            <color indexed="81"/>
            <rFont val="Tahoma"/>
            <family val="2"/>
            <charset val="204"/>
          </rPr>
          <t xml:space="preserve">
COGS 2 261 517</t>
        </r>
      </text>
    </comment>
  </commentList>
</comments>
</file>

<file path=xl/comments2.xml><?xml version="1.0" encoding="utf-8"?>
<comments xmlns="http://schemas.openxmlformats.org/spreadsheetml/2006/main">
  <authors>
    <author>Алексей</author>
  </authors>
  <commentList>
    <comment ref="AR194" authorId="0" shapeId="0">
      <text>
        <r>
          <rPr>
            <b/>
            <sz val="9"/>
            <color indexed="81"/>
            <rFont val="Tahoma"/>
            <family val="2"/>
            <charset val="204"/>
          </rPr>
          <t>6 000 000</t>
        </r>
      </text>
    </comment>
    <comment ref="AR327" authorId="0" shapeId="0">
      <text>
        <r>
          <rPr>
            <b/>
            <sz val="9"/>
            <color indexed="81"/>
            <rFont val="Tahoma"/>
            <family val="2"/>
            <charset val="204"/>
          </rPr>
          <t>БГ плвн 2,5 млн</t>
        </r>
      </text>
    </comment>
    <comment ref="AR341" authorId="0" shapeId="0">
      <text>
        <r>
          <rPr>
            <b/>
            <sz val="9"/>
            <color indexed="81"/>
            <rFont val="Tahoma"/>
            <family val="2"/>
            <charset val="204"/>
          </rPr>
          <t>БГ план 15 млн</t>
        </r>
      </text>
    </comment>
    <comment ref="AR171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20млн
</t>
        </r>
      </text>
    </comment>
    <comment ref="AR1768" authorId="0" shapeId="0">
      <text>
        <r>
          <rPr>
            <b/>
            <sz val="9"/>
            <color indexed="81"/>
            <rFont val="Tahoma"/>
            <family val="2"/>
            <charset val="204"/>
          </rPr>
          <t>БГ плвн 2,5 млн</t>
        </r>
      </text>
    </comment>
    <comment ref="AR1782" authorId="0" shapeId="0">
      <text>
        <r>
          <rPr>
            <b/>
            <sz val="9"/>
            <color indexed="81"/>
            <rFont val="Tahoma"/>
            <family val="2"/>
            <charset val="204"/>
          </rPr>
          <t>БГ план 15 млн</t>
        </r>
      </text>
    </comment>
  </commentList>
</comments>
</file>

<file path=xl/comments3.xml><?xml version="1.0" encoding="utf-8"?>
<comments xmlns="http://schemas.openxmlformats.org/spreadsheetml/2006/main">
  <authors>
    <author>parygina</author>
  </authors>
  <commentList>
    <comment ref="D64" authorId="0" shapeId="0">
      <text>
        <r>
          <rPr>
            <sz val="8"/>
            <color indexed="81"/>
            <rFont val="Tahoma"/>
            <family val="2"/>
            <charset val="204"/>
          </rPr>
          <t xml:space="preserve">аренда шоурума учтена в статье </t>
        </r>
        <r>
          <rPr>
            <sz val="8"/>
            <color indexed="81"/>
            <rFont val="Tahoma"/>
            <family val="2"/>
            <charset val="204"/>
          </rPr>
          <t xml:space="preserve">
Warehouse &amp; office rent в АП офиса на Бакунинской</t>
        </r>
      </text>
    </comment>
  </commentList>
</comments>
</file>

<file path=xl/sharedStrings.xml><?xml version="1.0" encoding="utf-8"?>
<sst xmlns="http://schemas.openxmlformats.org/spreadsheetml/2006/main" count="3311" uniqueCount="1058">
  <si>
    <t>Курс EUR/RUR</t>
  </si>
  <si>
    <t>Actual Purchase Orders</t>
  </si>
  <si>
    <t>Курс EUR/USD</t>
  </si>
  <si>
    <t>Сезон</t>
  </si>
  <si>
    <t>Сумма кредита за сезон (EUR)</t>
  </si>
  <si>
    <t>Сумма кредита за год (EUR)</t>
  </si>
  <si>
    <t>Сумма кредита за сезон (RUR)</t>
  </si>
  <si>
    <t>Сумма кредита за год (RUR)</t>
  </si>
  <si>
    <t>ИТОГО ПОМЕСЯЧНО</t>
  </si>
  <si>
    <t>Реклама и маркетинг</t>
  </si>
  <si>
    <t>Бонус за предоплату</t>
  </si>
  <si>
    <t>Компенсация брака</t>
  </si>
  <si>
    <t>Годовой бонус</t>
  </si>
  <si>
    <t>Форма для персонала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</si>
  <si>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</si>
  <si>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</si>
  <si>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</si>
  <si>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</si>
  <si>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</si>
  <si>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</si>
  <si>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</si>
  <si>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</si>
  <si>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</si>
  <si>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</si>
  <si>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</si>
  <si>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</si>
  <si>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Итого</t>
  </si>
  <si>
    <t>Retail</t>
  </si>
  <si>
    <t>Totals</t>
  </si>
  <si>
    <t>January</t>
  </si>
  <si>
    <t>February</t>
  </si>
  <si>
    <t>March</t>
  </si>
  <si>
    <t>April</t>
  </si>
  <si>
    <t xml:space="preserve">May </t>
  </si>
  <si>
    <t>June</t>
  </si>
  <si>
    <t>RUR</t>
  </si>
  <si>
    <t>%</t>
  </si>
  <si>
    <t>July</t>
  </si>
  <si>
    <t>August</t>
  </si>
  <si>
    <t>September</t>
  </si>
  <si>
    <t>October</t>
  </si>
  <si>
    <t>November</t>
  </si>
  <si>
    <t>December</t>
  </si>
  <si>
    <t>LINE</t>
  </si>
  <si>
    <t>Retail price Russian Market (RUR)</t>
  </si>
  <si>
    <t>Actual Mark Up</t>
  </si>
  <si>
    <t>ИТОГО</t>
  </si>
  <si>
    <t>SHOPDOOR CONTRIBUTION</t>
  </si>
  <si>
    <t>Gross sales</t>
  </si>
  <si>
    <t>Gross sales: retail &amp; franchise</t>
  </si>
  <si>
    <t>Gross sales: defective goods</t>
  </si>
  <si>
    <t>Gross sales: other</t>
  </si>
  <si>
    <t>VAT</t>
  </si>
  <si>
    <t>Net Sales</t>
  </si>
  <si>
    <t>Cost of goods in buying prices</t>
  </si>
  <si>
    <t>Delivery</t>
  </si>
  <si>
    <t>Customs</t>
  </si>
  <si>
    <t>Total Cost of goods</t>
  </si>
  <si>
    <t>Gross Margin</t>
  </si>
  <si>
    <t>Shop (&amp; shop warehouse) rent (show-room)</t>
  </si>
  <si>
    <t>Salary and рay-roll tax shop staff</t>
  </si>
  <si>
    <t>Shop (&amp; shop warehouse) depreciation</t>
  </si>
  <si>
    <t>Other shop costs: VM</t>
  </si>
  <si>
    <t>Other shop costs: IT</t>
  </si>
  <si>
    <t>Other shop costs: Exploitation</t>
  </si>
  <si>
    <t>Other shop costs: Security</t>
  </si>
  <si>
    <t>Other shop costs: Security salary and рay-roll tax</t>
  </si>
  <si>
    <t>Other shop costs: bank comission</t>
  </si>
  <si>
    <t>Total Direct Sales costs</t>
  </si>
  <si>
    <t>Shopdoor contribution</t>
  </si>
  <si>
    <t>Salary &amp; payroll tax (brand mngt, etc.)</t>
  </si>
  <si>
    <t>Marketing costs</t>
  </si>
  <si>
    <t>Other credits</t>
  </si>
  <si>
    <t>Business trip &amp; other costs of sales Dept.</t>
  </si>
  <si>
    <t>Total Indirect sales costs</t>
  </si>
  <si>
    <t>Brand contribution</t>
  </si>
  <si>
    <t>Форма 1(0).</t>
  </si>
  <si>
    <t>Город</t>
  </si>
  <si>
    <t>Юр.Лицо</t>
  </si>
  <si>
    <t>Утвержденная скидка</t>
  </si>
  <si>
    <t>coeff</t>
  </si>
  <si>
    <t>Returns and Credits</t>
  </si>
  <si>
    <t>Marketing contribution</t>
  </si>
  <si>
    <t>Uniform compensation</t>
  </si>
  <si>
    <t>Other shop costs: (ORP expences)</t>
  </si>
  <si>
    <t>TOTALS</t>
  </si>
  <si>
    <t>VM (goods bought in RF)</t>
  </si>
  <si>
    <t>VM (goods bought abroad)</t>
  </si>
  <si>
    <t xml:space="preserve">Commission for Direct customers paid by Internationals </t>
  </si>
  <si>
    <t>Commission paid by Direct customers</t>
  </si>
  <si>
    <t>TOTAL all partners</t>
  </si>
  <si>
    <t>TOTAL FRANCHIZE</t>
  </si>
  <si>
    <t>Наименование</t>
  </si>
  <si>
    <t>6. Commission for Direct Customers From Internationals / Коммиссия за прямых партнеров от Бренд-держателей</t>
  </si>
  <si>
    <t>Комииссия за прямых партнеров</t>
  </si>
  <si>
    <t xml:space="preserve">Департамент </t>
  </si>
  <si>
    <t xml:space="preserve">Бренд </t>
  </si>
  <si>
    <t>Род Деятельности</t>
  </si>
  <si>
    <t>Установленные курсовые значения</t>
  </si>
  <si>
    <t>EUR/RUR</t>
  </si>
  <si>
    <t>USD/RUR</t>
  </si>
  <si>
    <t>GBP/RUR</t>
  </si>
  <si>
    <t>Курс USD/RUR</t>
  </si>
  <si>
    <t>Номинал скидки / Компенсации / Бонуса</t>
  </si>
  <si>
    <t>Сумма выданной униформы</t>
  </si>
  <si>
    <t>Calvin Klein</t>
  </si>
  <si>
    <t xml:space="preserve">Terms of Cooperation with Wholesale and Franchaising Partners according to "Commercial Policy" </t>
  </si>
  <si>
    <t>Brand</t>
  </si>
  <si>
    <t>KEY ACCOUNTS</t>
  </si>
  <si>
    <t>FRANCHAISE</t>
  </si>
  <si>
    <t>MONOBRANDS / MULTIBRANDS</t>
  </si>
  <si>
    <t>REGULAR</t>
  </si>
  <si>
    <t>Status</t>
  </si>
  <si>
    <t xml:space="preserve">
Franchaisee - Partner owning concept stores of one or several Brands, which belong to the Company.  
</t>
  </si>
  <si>
    <t xml:space="preserve">
Monobrands and Multibrands ( Wholesale Partner)  
- sell the goods through non-concept Monobrand  and Multibrand stores;  
- place regular orders for goods in fixed terms.   
</t>
  </si>
  <si>
    <t xml:space="preserve">
Regular (Wholesale Partner) 
- doesn't own Monobrand stores; 
- doesn't place regular orders in fixed terms; 
- purchase the goods out of free stock leftovers. 
</t>
  </si>
  <si>
    <t>Exclusivity for a Region</t>
  </si>
  <si>
    <t>Allowed</t>
  </si>
  <si>
    <t xml:space="preserve">Not allowed </t>
  </si>
  <si>
    <t>Business Plan</t>
  </si>
  <si>
    <t>Essential</t>
  </si>
  <si>
    <t>Not essential</t>
  </si>
  <si>
    <t xml:space="preserve">Roll Out Plan </t>
  </si>
  <si>
    <t xml:space="preserve">Basic Discount from Approved Retail Price 
(according to Terms of Payment: Prepayment/Deffered Payment) </t>
  </si>
  <si>
    <t>Prepayment</t>
  </si>
  <si>
    <t>Deferred Payment</t>
  </si>
  <si>
    <t>No</t>
  </si>
  <si>
    <t>Additional Discount for Delivery Delay 
(due to the Company fault)</t>
  </si>
  <si>
    <t xml:space="preserve">from 14 to 30 days of delivery delay - 5% discount to the nominal value of the present basic discount; 
above 31 days of delivery delay     - 10% discount to the nominal value of the present basic discount; </t>
  </si>
  <si>
    <t>Additional Retro-Bonus 
for Business Plan Overfulfillment</t>
  </si>
  <si>
    <t xml:space="preserve">business-plan overfulfillment from 105%  to 110% - 1%; 
business-plan overfulfillment from 111%  to 115% - 2%; 
business-plan overfulfillment from 116% and more - 3%.  </t>
  </si>
  <si>
    <t>Parties Participation in Marketing and Advertising Expenses</t>
  </si>
  <si>
    <t xml:space="preserve">50%/50% </t>
  </si>
  <si>
    <t>Not requested</t>
  </si>
  <si>
    <t>Terms of Payment</t>
  </si>
  <si>
    <t>Guarantee</t>
  </si>
  <si>
    <t>Bank Guarantee, Deposit (15% from season order)</t>
  </si>
  <si>
    <t>Bank Guarantee, Deposit (10% from season order)</t>
  </si>
  <si>
    <t>Credit Limit</t>
  </si>
  <si>
    <t>For the amount equal to the guarantee provided</t>
  </si>
  <si>
    <t>Compensation for Defected Goods</t>
  </si>
  <si>
    <t>In accordance to aggrement with particular Brand</t>
  </si>
  <si>
    <t>Terms of Delivery of Goods</t>
  </si>
  <si>
    <t>EXW Mow</t>
  </si>
  <si>
    <t>Terms of Delivery of Equipment</t>
  </si>
  <si>
    <t>Additional service</t>
  </si>
  <si>
    <t>Support in negotiations with the Landlords</t>
  </si>
  <si>
    <t>Option is granted</t>
  </si>
  <si>
    <t>Free of charge store project</t>
  </si>
  <si>
    <t>Open-team visit for store opening</t>
  </si>
  <si>
    <t>Support in range of products selection</t>
  </si>
  <si>
    <t>Regular VM support</t>
  </si>
  <si>
    <t>Training, probation and testing employees</t>
  </si>
  <si>
    <t>Road-show (new collections presentation)</t>
  </si>
  <si>
    <t>Corporate loyalty programme for stores</t>
  </si>
  <si>
    <t>Placing info about the stores with call-centre</t>
  </si>
  <si>
    <t xml:space="preserve">Providing with recommendations on business-plan composing and calculations for wholesale budget for store </t>
  </si>
  <si>
    <t>Opportunity to place season order at specially equiped show-room, where the whole european collection is presented</t>
  </si>
  <si>
    <r>
      <t xml:space="preserve">
Key Accounts – the important Wholesale Partner; cooperation with KA is of great strategic interest for the Company. 
</t>
    </r>
    <r>
      <rPr>
        <b/>
        <i/>
        <sz val="10"/>
        <rFont val="Arial Cyr"/>
        <charset val="204"/>
      </rPr>
      <t xml:space="preserve">Devided into: 
- Key Wholesale Partner; 
- Key Franchaise Partner. 
</t>
    </r>
  </si>
  <si>
    <r>
      <t>Yes</t>
    </r>
    <r>
      <rPr>
        <b/>
        <sz val="9"/>
        <rFont val="Arial Cyr"/>
        <charset val="204"/>
      </rPr>
      <t xml:space="preserve"> (up to 45 days without additional bonus)</t>
    </r>
  </si>
  <si>
    <r>
      <t>Yes</t>
    </r>
    <r>
      <rPr>
        <b/>
        <sz val="9"/>
        <rFont val="Arial Cyr"/>
        <charset val="204"/>
      </rPr>
      <t xml:space="preserve"> (up to 30 days without additional bonus)</t>
    </r>
  </si>
  <si>
    <r>
      <t>Yes</t>
    </r>
    <r>
      <rPr>
        <b/>
        <sz val="9"/>
        <rFont val="Arial Cyr"/>
        <charset val="204"/>
      </rPr>
      <t xml:space="preserve"> (up to 15 days without additional bonus)</t>
    </r>
  </si>
  <si>
    <r>
      <t xml:space="preserve">Option </t>
    </r>
    <r>
      <rPr>
        <b/>
        <sz val="9"/>
        <color indexed="16"/>
        <rFont val="Arial Cyr"/>
        <charset val="204"/>
      </rPr>
      <t xml:space="preserve">is not </t>
    </r>
    <r>
      <rPr>
        <b/>
        <sz val="9"/>
        <rFont val="Arial Cyr"/>
        <charset val="204"/>
      </rPr>
      <t>granted</t>
    </r>
  </si>
  <si>
    <t>Условия оплаты</t>
  </si>
  <si>
    <t>Предоплата</t>
  </si>
  <si>
    <t xml:space="preserve">Коммерческие условия и планируемые бюджеты закупок партнеров по направлению </t>
  </si>
  <si>
    <t>Существующие Партнеры (По регулярным договорам)</t>
  </si>
  <si>
    <t>Mark Up(s)</t>
  </si>
  <si>
    <t xml:space="preserve">Форма 11. </t>
  </si>
  <si>
    <t>Партнер</t>
  </si>
  <si>
    <t>в оптовых ценах</t>
  </si>
  <si>
    <t>ПО ВСЕМ ПАРТНЕРАМ</t>
  </si>
  <si>
    <t>Скидка</t>
  </si>
  <si>
    <t>Mark Up</t>
  </si>
  <si>
    <t xml:space="preserve">Итого: </t>
  </si>
  <si>
    <t>Mark Up Change</t>
  </si>
  <si>
    <t>Year to Year Retail Price Difference</t>
  </si>
  <si>
    <t>YOUTH</t>
  </si>
  <si>
    <t>1. Advertising and marketing / Реклама и маркетинг (Franchaizing/Франчайзинг)</t>
  </si>
  <si>
    <t>2. Annual Bonus / Годовой бонус (Franchaizing/Франчайзинг)</t>
  </si>
  <si>
    <t>3. Advance Payment / Бонус за предоплату (Franchaizing/Франчайзинг)</t>
  </si>
  <si>
    <t>4. Defective goods / Компенсация брака (Franchaizing/Франчайзинг)</t>
  </si>
  <si>
    <t>5. Uniform / Форма для персонала (Franchaizing/Франчайзинг)</t>
  </si>
  <si>
    <t>Monobrands</t>
  </si>
  <si>
    <t>Multibrands</t>
  </si>
  <si>
    <t>Franchaizing</t>
  </si>
  <si>
    <t>Key-Acounts</t>
  </si>
  <si>
    <t>Regular</t>
  </si>
  <si>
    <t>ACCORDING TO COMMERCIAL TERMS</t>
  </si>
  <si>
    <t>Salary and рay-roll tax warehouse staff</t>
  </si>
  <si>
    <t>Deffective goods</t>
  </si>
  <si>
    <t>Franchizing &amp; Wholesale</t>
  </si>
  <si>
    <t>франчайзинговой и оптовой сети</t>
  </si>
  <si>
    <t>Отображать в Строках:</t>
  </si>
  <si>
    <t xml:space="preserve">     Статьи Бюджета</t>
  </si>
  <si>
    <t xml:space="preserve">     ЦФО</t>
  </si>
  <si>
    <t>Отображать в Столбцах:</t>
  </si>
  <si>
    <t xml:space="preserve">     Период</t>
  </si>
  <si>
    <t xml:space="preserve">     Бюджет Версия</t>
  </si>
  <si>
    <t>Версия 10.12.09</t>
  </si>
  <si>
    <t xml:space="preserve">  Реализация Розница и Опт+Франчайзинг</t>
  </si>
  <si>
    <t xml:space="preserve">    ОПТ МЕХХ</t>
  </si>
  <si>
    <t>НДС</t>
  </si>
  <si>
    <t xml:space="preserve">  Себестоимость Розница и Опт+Франчайзинг</t>
  </si>
  <si>
    <t xml:space="preserve">  Таможня</t>
  </si>
  <si>
    <t xml:space="preserve">  Доставка</t>
  </si>
  <si>
    <t xml:space="preserve">      ФЗП бренд-менеджер</t>
  </si>
  <si>
    <t xml:space="preserve">      Премии бренд-менеджеров</t>
  </si>
  <si>
    <t xml:space="preserve">      ЕСН бренд-менеджеров</t>
  </si>
  <si>
    <t xml:space="preserve">      ФЗП отдела закупок</t>
  </si>
  <si>
    <t xml:space="preserve">      Премии отдела закупок</t>
  </si>
  <si>
    <t xml:space="preserve">      ЕСН отдела закупок</t>
  </si>
  <si>
    <t xml:space="preserve">      ФЗП розничного отдела</t>
  </si>
  <si>
    <t xml:space="preserve">      Премии розничного отдела</t>
  </si>
  <si>
    <t xml:space="preserve">      ЕСН розничного отдела</t>
  </si>
  <si>
    <t xml:space="preserve">      ФЗП отдела мерчендайзинга</t>
  </si>
  <si>
    <t xml:space="preserve">      Премии отдела мерчендайзинга</t>
  </si>
  <si>
    <t xml:space="preserve">      ЕСН отдела мерчендайзинга</t>
  </si>
  <si>
    <t xml:space="preserve">      ФЗП управления маркетингом</t>
  </si>
  <si>
    <t xml:space="preserve">      Премии управления маркетингом</t>
  </si>
  <si>
    <t xml:space="preserve">      ЕСН управления маркетингом</t>
  </si>
  <si>
    <t xml:space="preserve">      ФЗП персонала представительства</t>
  </si>
  <si>
    <t xml:space="preserve">      Премии персонала представительства</t>
  </si>
  <si>
    <t xml:space="preserve">      ЕСН персонала представительства</t>
  </si>
  <si>
    <t xml:space="preserve">      ФЗП магазинов</t>
  </si>
  <si>
    <t xml:space="preserve">      Премии магазинов</t>
  </si>
  <si>
    <t xml:space="preserve">      ЕСН магазинов</t>
  </si>
  <si>
    <t xml:space="preserve">      Расходы на персонал</t>
  </si>
  <si>
    <t xml:space="preserve">      Прочие расходы ОРП</t>
  </si>
  <si>
    <t xml:space="preserve">      Инвестиции отдела розницы</t>
  </si>
  <si>
    <t xml:space="preserve">      P.O.S. Материалы и оформление витрин</t>
  </si>
  <si>
    <t xml:space="preserve">      Оформление распродаж</t>
  </si>
  <si>
    <t xml:space="preserve">      Оформление примерочных</t>
  </si>
  <si>
    <t xml:space="preserve">      Фирменные пакеты и упаковочные материалы</t>
  </si>
  <si>
    <t xml:space="preserve">      Прочие расходы мерчендайзинга</t>
  </si>
  <si>
    <t xml:space="preserve">      Инвестиции отдела мерчендайзинга</t>
  </si>
  <si>
    <t xml:space="preserve">      Возмещаемые расходы</t>
  </si>
  <si>
    <t xml:space="preserve">      Невозмещаемые расходы</t>
  </si>
  <si>
    <t xml:space="preserve">      Зарубежные командировки деп. продаж</t>
  </si>
  <si>
    <t xml:space="preserve">      Местные командировки деп. продаж</t>
  </si>
  <si>
    <t xml:space="preserve">      Представительские департамента продаж</t>
  </si>
  <si>
    <t xml:space="preserve">    Списание брака</t>
  </si>
  <si>
    <t xml:space="preserve">          Реклама и маркетинг</t>
  </si>
  <si>
    <t xml:space="preserve">          Комиссия прямых партнеров</t>
  </si>
  <si>
    <t xml:space="preserve">          Форма ТЗ</t>
  </si>
  <si>
    <t xml:space="preserve">          Брак</t>
  </si>
  <si>
    <t xml:space="preserve">          Бонус</t>
  </si>
  <si>
    <t xml:space="preserve">          Скидка за предоплату</t>
  </si>
  <si>
    <t xml:space="preserve">          Штраф за отказ от закупки</t>
  </si>
  <si>
    <t>Credits on deffective goods</t>
  </si>
  <si>
    <t>Inventory</t>
  </si>
  <si>
    <t>Salary costs</t>
  </si>
  <si>
    <t>Shop investment costs</t>
  </si>
  <si>
    <t>Total depreciation</t>
  </si>
  <si>
    <t>Other shop costs: WS expences</t>
  </si>
  <si>
    <t>Total other costs</t>
  </si>
  <si>
    <t>2011(value)</t>
  </si>
  <si>
    <t>2011(%)</t>
  </si>
  <si>
    <t>ПЛАН 2010</t>
  </si>
  <si>
    <t>ФАКТ+ПРОГНОЗ 2010</t>
  </si>
  <si>
    <t>value (RUR)</t>
  </si>
  <si>
    <t>FOOTWEAR</t>
  </si>
  <si>
    <t>APPAREL</t>
  </si>
  <si>
    <t>Mark Up by Amersport 2009</t>
  </si>
  <si>
    <t>Mark Up by Amersport 2010</t>
  </si>
  <si>
    <t>AMERSPORT Retail Mark-up 2009</t>
  </si>
  <si>
    <t>ACCESSORIES</t>
  </si>
  <si>
    <t>Курс USD/USD</t>
  </si>
  <si>
    <t>SS12</t>
  </si>
  <si>
    <t>FW12</t>
  </si>
  <si>
    <t>Бюджет по разделу 6. Закупка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</si>
  <si>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</si>
  <si>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</si>
  <si>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</si>
  <si>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</si>
  <si>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</si>
  <si>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</si>
  <si>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</si>
  <si>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</si>
  <si>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</si>
  <si>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</si>
  <si>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</si>
  <si>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</si>
  <si>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Provision for bad debts</t>
  </si>
  <si>
    <t>Stock losses</t>
  </si>
  <si>
    <t>Depreciation</t>
  </si>
  <si>
    <t>income tax</t>
  </si>
  <si>
    <t>Net result</t>
  </si>
  <si>
    <t>Cost of sales</t>
  </si>
  <si>
    <t>Margin, %</t>
  </si>
  <si>
    <t>Inventory provision</t>
  </si>
  <si>
    <t>General expenses</t>
  </si>
  <si>
    <t>Salary</t>
  </si>
  <si>
    <t>EBIT</t>
  </si>
  <si>
    <t>Income tax</t>
  </si>
  <si>
    <t>Net result, %</t>
  </si>
  <si>
    <t>Sales w/out VAT</t>
  </si>
  <si>
    <t>IT</t>
  </si>
  <si>
    <t>EBITDA</t>
  </si>
  <si>
    <t>Retail expenses</t>
  </si>
  <si>
    <t>Rent</t>
  </si>
  <si>
    <t>Visual merchendasing</t>
  </si>
  <si>
    <t>Exploitation</t>
  </si>
  <si>
    <t>Security</t>
  </si>
  <si>
    <t>Bank comission</t>
  </si>
  <si>
    <t>Atrium</t>
  </si>
  <si>
    <t>Gross Margin excl. FX</t>
  </si>
  <si>
    <t>Ebitda</t>
  </si>
  <si>
    <t>Warehouse</t>
  </si>
  <si>
    <t>Manezh</t>
  </si>
  <si>
    <t>AMERSPORT RETAIL PRICE AND MARK UP FW 2013</t>
  </si>
  <si>
    <t>Mega Khimki</t>
  </si>
  <si>
    <t>Mega Belaya Dacha</t>
  </si>
  <si>
    <t>Leninsky</t>
  </si>
  <si>
    <t>Kapitoly</t>
  </si>
  <si>
    <t>Metropolis</t>
  </si>
  <si>
    <t>Belaya Dacha Outlet Village</t>
  </si>
  <si>
    <t>Piterland</t>
  </si>
  <si>
    <t>Galeria</t>
  </si>
  <si>
    <t>Mega Parnas</t>
  </si>
  <si>
    <t>Gorizont Rostov</t>
  </si>
  <si>
    <t>Mega Ekaterinburg</t>
  </si>
  <si>
    <t>Projects, kRUR</t>
  </si>
  <si>
    <t>Fixed assets</t>
  </si>
  <si>
    <t>SQM</t>
  </si>
  <si>
    <t>Capex per SQM, USD</t>
  </si>
  <si>
    <t>Existing</t>
  </si>
  <si>
    <t>New Moscow</t>
  </si>
  <si>
    <t>New Saint-Petersburg</t>
  </si>
  <si>
    <t>New Regions</t>
  </si>
  <si>
    <t>RUR/USD rate</t>
  </si>
  <si>
    <t>Retail total</t>
  </si>
  <si>
    <t>Office total</t>
  </si>
  <si>
    <t>AMERSPORT RETAIL PRICE AND MARK UP SS 2014</t>
  </si>
  <si>
    <t>AMERSPORT RETAIL PRICE AND MARK UP FW 2014</t>
  </si>
  <si>
    <t>Mark Up by Amersport 2012</t>
  </si>
  <si>
    <t>Mark Up by Amersport 2013</t>
  </si>
  <si>
    <t>Mark Up by Amersport 2014</t>
  </si>
  <si>
    <t>ИП Бабарскова Екатерина Николаевна</t>
  </si>
  <si>
    <t>ИП Животов Юрий Юрьевич</t>
  </si>
  <si>
    <t>ИП Капранов Вячеслав Александрович</t>
  </si>
  <si>
    <t>ИП Крылов П. А.</t>
  </si>
  <si>
    <t>ИП Лысенко Дмитрий Александрович</t>
  </si>
  <si>
    <t>ИП Мазуркевич Антон Юрьевич</t>
  </si>
  <si>
    <t>ИП Мельник Андрей Анатольевич</t>
  </si>
  <si>
    <t>ИП Мирзоев</t>
  </si>
  <si>
    <t>ИП Несмелов Константин Юрьевич</t>
  </si>
  <si>
    <t>ИП Серебрянников Андрей Евгеньевич</t>
  </si>
  <si>
    <t>ИП Снигерева Галина Васильевна</t>
  </si>
  <si>
    <t>ИП Цейлонский</t>
  </si>
  <si>
    <t>ИП Шпажников Александр Борисович</t>
  </si>
  <si>
    <t>ИП Юрин Никита Алексеевич</t>
  </si>
  <si>
    <t>Купишуз ООО</t>
  </si>
  <si>
    <t>Перфект Трэйд ООО</t>
  </si>
  <si>
    <t>Подиум маркет ООО</t>
  </si>
  <si>
    <t>УК Универмаг ООО</t>
  </si>
  <si>
    <t>Фреш Логистик ООО</t>
  </si>
  <si>
    <t>CIT</t>
  </si>
  <si>
    <t>Deferred tax</t>
  </si>
  <si>
    <t>ИП Ершов Андрей Юрьевич</t>
  </si>
  <si>
    <t>КЕЙК-МАРКЕТ ООО</t>
  </si>
  <si>
    <t>Пара кед ООО</t>
  </si>
  <si>
    <t>СкейтСкай ООО</t>
  </si>
  <si>
    <t>Budget 2014 P&amp;L retail (k RUR)</t>
  </si>
  <si>
    <t>Working months</t>
  </si>
  <si>
    <t>5YP</t>
  </si>
  <si>
    <t>Sales with VAT</t>
  </si>
  <si>
    <t>Uniform</t>
  </si>
  <si>
    <t>IT &amp; Telecom</t>
  </si>
  <si>
    <t>Estim 2014 P&amp;L retail (k RUR)</t>
  </si>
  <si>
    <t>OB</t>
  </si>
  <si>
    <t>Diff FCST vs BUD</t>
  </si>
  <si>
    <t>Diff FCST vs BUD %</t>
  </si>
  <si>
    <t>BUD</t>
  </si>
  <si>
    <t xml:space="preserve">BUD % </t>
  </si>
  <si>
    <t xml:space="preserve">FCST % </t>
  </si>
  <si>
    <t>Total FCST</t>
  </si>
  <si>
    <t>Jan/ACT</t>
  </si>
  <si>
    <t>Feb/ACT</t>
  </si>
  <si>
    <t>Mar/ACT</t>
  </si>
  <si>
    <t>Apr/ACT</t>
  </si>
  <si>
    <t>FCST 2014 P&amp;L total (k RUR)</t>
  </si>
  <si>
    <t>FX (Cost of Sales)</t>
  </si>
  <si>
    <t>CB</t>
  </si>
  <si>
    <t>Purchases (at invoice cost)</t>
  </si>
  <si>
    <t>Customs and freight</t>
  </si>
  <si>
    <t>Other</t>
  </si>
  <si>
    <t>TOTAL NEW STORES</t>
  </si>
  <si>
    <t>Gross Sales</t>
  </si>
  <si>
    <t>NS Retail</t>
  </si>
  <si>
    <t>DIFF</t>
  </si>
  <si>
    <t>NS Wholesale</t>
  </si>
  <si>
    <t>Margin WH</t>
  </si>
  <si>
    <t>Margin Retail</t>
  </si>
  <si>
    <t>Margin</t>
  </si>
  <si>
    <t>DIFF %</t>
  </si>
  <si>
    <t>DEV retail expenses</t>
  </si>
  <si>
    <t>LFL retail expenses</t>
  </si>
  <si>
    <t>Jan-April</t>
  </si>
  <si>
    <t xml:space="preserve">Office rent </t>
  </si>
  <si>
    <t>movement to more expensive office + 0,250 fee for search</t>
  </si>
  <si>
    <t>Legal expenses (Court deal, Alrud)</t>
  </si>
  <si>
    <t>Consultancy (reduction of MTX charges)</t>
  </si>
  <si>
    <t>Samples 2012 write-off</t>
  </si>
  <si>
    <t>DEV depreciation</t>
  </si>
  <si>
    <t>LFL depreciation</t>
  </si>
  <si>
    <t>Office depreciation</t>
  </si>
  <si>
    <t>P&amp;L details</t>
  </si>
  <si>
    <t>Logistics (WH-stores including DEV)</t>
  </si>
  <si>
    <t xml:space="preserve">Other office </t>
  </si>
  <si>
    <t>Q4 2013 bonus + Fin.manager (compensated by decrease of MTX fees)</t>
  </si>
  <si>
    <t>LH disposal (prev.office)</t>
  </si>
  <si>
    <t>rate</t>
  </si>
  <si>
    <t>CORE</t>
  </si>
  <si>
    <t>Космос Ритэйл ООО</t>
  </si>
  <si>
    <t>Mark-Up</t>
  </si>
  <si>
    <t>Утвержденный общий Mark-Up</t>
  </si>
  <si>
    <t>Бюджет продаж в оптовых ценах (RUR)</t>
  </si>
  <si>
    <t>Бюджет продаж в оптовых ценах (USD)</t>
  </si>
  <si>
    <t>Бюджет продаж в себестоимости в Рублях</t>
  </si>
  <si>
    <t>Average mark-up</t>
  </si>
  <si>
    <t>Скидка от РРЦ будет  (справочно)</t>
  </si>
  <si>
    <t>Бюджет Закупки ценах закупки (USD)</t>
  </si>
  <si>
    <t>Опт</t>
  </si>
  <si>
    <r>
      <t xml:space="preserve">2009 Mark Up Formation </t>
    </r>
    <r>
      <rPr>
        <b/>
        <sz val="10"/>
        <color indexed="16"/>
        <rFont val="Arial"/>
        <family val="2"/>
      </rPr>
      <t>FW 2013</t>
    </r>
  </si>
  <si>
    <t>Selling Price, USD</t>
  </si>
  <si>
    <t>Rate $/USDo from AMERSPORT</t>
  </si>
  <si>
    <t>Mark Up by AMERSPORT 2009</t>
  </si>
  <si>
    <t>AMERSPORT int. Selling price USD 2009</t>
  </si>
  <si>
    <t>Retail Price USD</t>
  </si>
  <si>
    <t>Internal rate of USD/RUR</t>
  </si>
  <si>
    <t>Actual rate of USD/RUR</t>
  </si>
  <si>
    <r>
      <t xml:space="preserve">2009 Mark Up Formation </t>
    </r>
    <r>
      <rPr>
        <b/>
        <sz val="10"/>
        <color indexed="16"/>
        <rFont val="Arial"/>
        <family val="2"/>
      </rPr>
      <t>SS 2014</t>
    </r>
  </si>
  <si>
    <r>
      <t xml:space="preserve">2013 Mark Up Formation </t>
    </r>
    <r>
      <rPr>
        <b/>
        <sz val="10"/>
        <color indexed="16"/>
        <rFont val="Arial"/>
        <family val="2"/>
      </rPr>
      <t>FW 2014</t>
    </r>
  </si>
  <si>
    <t>Mark Up by AMERSPORT 2010</t>
  </si>
  <si>
    <t>AMERSPORT int. Selling price USD 2010</t>
  </si>
  <si>
    <t>AMERSPORT Retail Mark-up 2010</t>
  </si>
  <si>
    <t>2011 Mark Up Formation SS 2016</t>
  </si>
  <si>
    <t>AMERSPORT int. Selling price USD 2011</t>
  </si>
  <si>
    <t>AMERSPORT Retail Mark-up 2011</t>
  </si>
  <si>
    <t>AMERSPORT RETAIL PRICE AND MARK UP SS 2016</t>
  </si>
  <si>
    <t>2011 Mark Up Formation FW 2016</t>
  </si>
  <si>
    <t>AMERSPORT RETAIL PRICE AND MARK UP FW 2016</t>
  </si>
  <si>
    <t>Customs and delivery on BP</t>
  </si>
  <si>
    <t>CHUCK II CORE</t>
  </si>
  <si>
    <t>В оптовых ценах в RUR</t>
  </si>
  <si>
    <t>В оптовых ценах  в USD</t>
  </si>
  <si>
    <t>манагер</t>
  </si>
  <si>
    <t>Зачет Депозит SS16</t>
  </si>
  <si>
    <t>БРЕНДШОП ООО</t>
  </si>
  <si>
    <t>Буреев</t>
  </si>
  <si>
    <t>Вайлдберриз ООО</t>
  </si>
  <si>
    <t>90 дней</t>
  </si>
  <si>
    <t>Чеприна</t>
  </si>
  <si>
    <t>ИНТЕРМОДЕ ООО</t>
  </si>
  <si>
    <t>Интернет Решения ООО</t>
  </si>
  <si>
    <t>60 дней</t>
  </si>
  <si>
    <t>ИП Гапон Юлия Николаевна</t>
  </si>
  <si>
    <t>ИП Зубова Татьяна Борисовна</t>
  </si>
  <si>
    <t>ИП Кузнецова Лариса Вальтеровна</t>
  </si>
  <si>
    <t>ИП Лутовинова Елена Сергеевна</t>
  </si>
  <si>
    <t>ИП Любимова А.Ю.</t>
  </si>
  <si>
    <t>ИП Марков Евгений Сергеевич</t>
  </si>
  <si>
    <t>ИП Михальчук Олег Александрович</t>
  </si>
  <si>
    <t>ИП Пилюгина Юлия Юрьевна</t>
  </si>
  <si>
    <t>ИП Рыжков Михаил Николаевич</t>
  </si>
  <si>
    <t>ИП Самчук Наталья Владимировна</t>
  </si>
  <si>
    <t>ИП Цомартова Маргарита Ильинична</t>
  </si>
  <si>
    <t>ЛЕВАЙС ООО</t>
  </si>
  <si>
    <t>Лезарк ООО</t>
  </si>
  <si>
    <t>Майкл и Ко ООО</t>
  </si>
  <si>
    <t>Марта ООО</t>
  </si>
  <si>
    <t>НЕВА ООО</t>
  </si>
  <si>
    <t>Реинвент ООО</t>
  </si>
  <si>
    <t>Синяя Гусеница ООО</t>
  </si>
  <si>
    <t>Стрит Стайл ООО</t>
  </si>
  <si>
    <t>Фолис Лтд ООО</t>
  </si>
  <si>
    <t>ЧЕРИКО-групп ООО</t>
  </si>
  <si>
    <t>New Clients</t>
  </si>
  <si>
    <t>Product Category</t>
  </si>
  <si>
    <t>Total SS 2016</t>
  </si>
  <si>
    <t>Total FW 2016</t>
  </si>
  <si>
    <t>Total 2016</t>
  </si>
  <si>
    <t>% Депозит</t>
  </si>
  <si>
    <t>CASHFLOW</t>
  </si>
  <si>
    <t>БГ</t>
  </si>
  <si>
    <t>Fstock</t>
  </si>
  <si>
    <t>GM w/out stock losses</t>
  </si>
  <si>
    <t>NS</t>
  </si>
  <si>
    <t>KRUR</t>
  </si>
  <si>
    <t>Less Stock losses, other</t>
  </si>
  <si>
    <t>Less COGS retail</t>
  </si>
  <si>
    <t>Less COGS wholesales</t>
  </si>
  <si>
    <t>Purchases (at invoice cost+duties)</t>
  </si>
  <si>
    <t>Less COGS online</t>
  </si>
  <si>
    <t>customs duties</t>
  </si>
  <si>
    <t>mvm, RUR</t>
  </si>
  <si>
    <t>mvm, USD (invoice cost)</t>
  </si>
  <si>
    <t>mvm, USD (COGS)</t>
  </si>
  <si>
    <t>остаток  - перезакупка 2015 в себестоимости</t>
  </si>
  <si>
    <t xml:space="preserve">продажи 1-го квартала </t>
  </si>
  <si>
    <t>классика</t>
  </si>
  <si>
    <t>неликвид</t>
  </si>
  <si>
    <t>COGS</t>
  </si>
  <si>
    <t>резерв</t>
  </si>
  <si>
    <t>GM</t>
  </si>
  <si>
    <t>продажи в себестоимости</t>
  </si>
  <si>
    <t>необходимая закупка</t>
  </si>
  <si>
    <t>закуплено</t>
  </si>
  <si>
    <t>разница в рублях (себестоимость)</t>
  </si>
  <si>
    <t>разница в долларах (себестоимость)</t>
  </si>
  <si>
    <t>Дисконт продажи в себестоимости</t>
  </si>
  <si>
    <t>закуплено для 1кв.след. года</t>
  </si>
  <si>
    <t>закуплено в пр. году на 1кв.текущего года</t>
  </si>
  <si>
    <t>продажи старых коллекций</t>
  </si>
  <si>
    <t>1. Exchange Rate 65</t>
  </si>
  <si>
    <t>2. Price increase vs last price forming  +18%</t>
  </si>
  <si>
    <t xml:space="preserve">Notes </t>
  </si>
  <si>
    <t>3. RUR invoicing @ exchange rate 65</t>
  </si>
  <si>
    <t>Trade receivables</t>
  </si>
  <si>
    <t xml:space="preserve">P&amp;L </t>
  </si>
  <si>
    <t>BS</t>
  </si>
  <si>
    <t>CF</t>
  </si>
  <si>
    <t>Gross sales WH</t>
  </si>
  <si>
    <t>Компания Новая Эра ООО</t>
  </si>
  <si>
    <t>РОСТ%</t>
  </si>
  <si>
    <t>Депозит FW17 план</t>
  </si>
  <si>
    <t>Депозит SS18 факт</t>
  </si>
  <si>
    <t>cash</t>
  </si>
  <si>
    <t>sales</t>
  </si>
  <si>
    <t>Наименование магазина/сети/сайта</t>
  </si>
  <si>
    <t>ВОЗВРАТЫ</t>
  </si>
  <si>
    <t>Бюджет возвратов в оптовых ценах (RUR)</t>
  </si>
  <si>
    <t>Бюджет возвратов в оптовых ценах (USD)</t>
  </si>
  <si>
    <t>Бюджет Возвратов ценах закупки (USD)</t>
  </si>
  <si>
    <t xml:space="preserve">График Отгрузок (продажи) со склада по партнерам </t>
  </si>
  <si>
    <t xml:space="preserve">График Возвратов по партнерам </t>
  </si>
  <si>
    <t>РЕЗЕРВ</t>
  </si>
  <si>
    <t>COGS w/out delivery &amp; customs</t>
  </si>
  <si>
    <t>Total Reserves</t>
  </si>
  <si>
    <t>Provision</t>
  </si>
  <si>
    <t>Возвраты</t>
  </si>
  <si>
    <t xml:space="preserve">Provision </t>
  </si>
  <si>
    <t xml:space="preserve">Brandshop  </t>
  </si>
  <si>
    <t xml:space="preserve">Wildberries  </t>
  </si>
  <si>
    <t xml:space="preserve">Super Step  </t>
  </si>
  <si>
    <t xml:space="preserve">Ozon  </t>
  </si>
  <si>
    <t xml:space="preserve">Allkeds  </t>
  </si>
  <si>
    <t xml:space="preserve">34 Play SPb  </t>
  </si>
  <si>
    <t xml:space="preserve">Boots Omsk  </t>
  </si>
  <si>
    <t xml:space="preserve">Boston Store Vologda  </t>
  </si>
  <si>
    <t xml:space="preserve">Zeppelin Novosibirsk  </t>
  </si>
  <si>
    <t xml:space="preserve">Sportmarket Vladivostok  </t>
  </si>
  <si>
    <t xml:space="preserve">Street Star Novorossiysk  </t>
  </si>
  <si>
    <t xml:space="preserve">Urban Step  </t>
  </si>
  <si>
    <t xml:space="preserve">To Be Hip Vladikavkaz  </t>
  </si>
  <si>
    <t xml:space="preserve">Mustang Ivanovo  </t>
  </si>
  <si>
    <t xml:space="preserve">Lamoda  </t>
  </si>
  <si>
    <t xml:space="preserve">Unior SPb  </t>
  </si>
  <si>
    <t>Look Like Astrahan  (Fashion Point)</t>
  </si>
  <si>
    <t xml:space="preserve">Over Kill Novosibirsk  </t>
  </si>
  <si>
    <t xml:space="preserve">Street Beat  </t>
  </si>
  <si>
    <t xml:space="preserve">FAB Store SPb  </t>
  </si>
  <si>
    <t xml:space="preserve">Maska Krasnoyarsk  </t>
  </si>
  <si>
    <t xml:space="preserve">Kix Box  </t>
  </si>
  <si>
    <t xml:space="preserve">Tsum Tomsk  </t>
  </si>
  <si>
    <t xml:space="preserve">Upper Ekaterinburg  </t>
  </si>
  <si>
    <t xml:space="preserve">DroP  </t>
  </si>
  <si>
    <t>Kedy</t>
  </si>
  <si>
    <t>Tver</t>
  </si>
  <si>
    <t>Moscow</t>
  </si>
  <si>
    <t>Атлет ООО</t>
  </si>
  <si>
    <t>Samara</t>
  </si>
  <si>
    <t>SPb</t>
  </si>
  <si>
    <t>Astrahan</t>
  </si>
  <si>
    <t>Omsk</t>
  </si>
  <si>
    <t>ИП Исхакова Т.А.</t>
  </si>
  <si>
    <t>Vologda</t>
  </si>
  <si>
    <t>Novosibirsk</t>
  </si>
  <si>
    <t>Vladivostok</t>
  </si>
  <si>
    <t>Novorossiysk</t>
  </si>
  <si>
    <t>Kaliningrad</t>
  </si>
  <si>
    <t>Vladikavkaz</t>
  </si>
  <si>
    <t>Ivanovo</t>
  </si>
  <si>
    <t>Krasnoyarsk</t>
  </si>
  <si>
    <t>Спорт-Люкс ООО</t>
  </si>
  <si>
    <t>Торговый дом ЦУМ ОАО</t>
  </si>
  <si>
    <t>Tomsk</t>
  </si>
  <si>
    <t>Ekaterinburg</t>
  </si>
  <si>
    <t xml:space="preserve">Absolut Tver  </t>
  </si>
  <si>
    <t xml:space="preserve">TSUM  </t>
  </si>
  <si>
    <t xml:space="preserve">Zu Element Samara  </t>
  </si>
  <si>
    <t>Butik.ru</t>
  </si>
  <si>
    <t>Tolaytti</t>
  </si>
  <si>
    <t>Champion</t>
  </si>
  <si>
    <t>Naberegniye Chelny</t>
  </si>
  <si>
    <t>Вайлдберриз ООО реализ</t>
  </si>
  <si>
    <t>Outpack</t>
  </si>
  <si>
    <t>долг по дебиторке</t>
  </si>
  <si>
    <t>оплата</t>
  </si>
  <si>
    <t>итого</t>
  </si>
  <si>
    <t>выкуп товара</t>
  </si>
  <si>
    <t xml:space="preserve">оплата </t>
  </si>
  <si>
    <t>Stokmann</t>
  </si>
  <si>
    <t>СТОКМАНН АО</t>
  </si>
  <si>
    <t>Престиж ООО</t>
  </si>
  <si>
    <t>Voroneg</t>
  </si>
  <si>
    <t>Gallery Chizhov</t>
  </si>
  <si>
    <t>Sport Point</t>
  </si>
  <si>
    <t>Rebate</t>
  </si>
  <si>
    <t>Other expenses</t>
  </si>
  <si>
    <t>Ebit, %</t>
  </si>
  <si>
    <t>В оптовых ценах в EUR</t>
  </si>
  <si>
    <t>В оптовых ценах  в EUR</t>
  </si>
  <si>
    <t>Бюджет продаж в оптовых ценах (EUR)</t>
  </si>
  <si>
    <t>Бюджет Закупки ценах закупки (EUR)</t>
  </si>
  <si>
    <t>Бюджет продаж сезона SS 2018</t>
  </si>
  <si>
    <t>Бюджет возвратов сезона FW 2018</t>
  </si>
  <si>
    <t>Совокупный бюджет возвратов 2018</t>
  </si>
  <si>
    <t>Total SS 2018</t>
  </si>
  <si>
    <t>Total FW 2018</t>
  </si>
  <si>
    <t>Total 2018</t>
  </si>
  <si>
    <t>Депозит FW18план</t>
  </si>
  <si>
    <t>Фирма Голубой экран ООО</t>
  </si>
  <si>
    <t>СПОРТ ПОИНТ ООО</t>
  </si>
  <si>
    <t>On Skate Tambov</t>
  </si>
  <si>
    <t>Tambov</t>
  </si>
  <si>
    <t>Бутик ООО</t>
  </si>
  <si>
    <t>ИП Алемасова-Жижко Екатерина Викторовна</t>
  </si>
  <si>
    <t>Kartel Bestia Krasnoyarsk</t>
  </si>
  <si>
    <t>ИП Земцова Наталья Демьяновна</t>
  </si>
  <si>
    <t>Big Ben SPb</t>
  </si>
  <si>
    <t>ИП Канатов Вячеслав Александрович</t>
  </si>
  <si>
    <t>ИП Кравченко Владимир Геннадиевич</t>
  </si>
  <si>
    <t>Ufa</t>
  </si>
  <si>
    <t>Brooklyn Ufa</t>
  </si>
  <si>
    <t>Спортмастер ООО</t>
  </si>
  <si>
    <t>Sportmaster</t>
  </si>
  <si>
    <t>RATE ACT</t>
  </si>
  <si>
    <r>
      <t xml:space="preserve">2012 Mark Up Formation </t>
    </r>
    <r>
      <rPr>
        <b/>
        <sz val="10"/>
        <color indexed="16"/>
        <rFont val="Arial"/>
        <family val="2"/>
      </rPr>
      <t>FW 2013</t>
    </r>
  </si>
  <si>
    <t>Rate $/USDo from Amersport</t>
  </si>
  <si>
    <t>Amersport int. Selling price USD 2009</t>
  </si>
  <si>
    <t>Russian | USDopian Retail Price Difference</t>
  </si>
  <si>
    <r>
      <t>2013 Mark Up Formation SS</t>
    </r>
    <r>
      <rPr>
        <b/>
        <sz val="10"/>
        <color indexed="16"/>
        <rFont val="Arial"/>
        <family val="2"/>
      </rPr>
      <t xml:space="preserve"> 2014</t>
    </r>
  </si>
  <si>
    <t>2014 Mark Up Formation SS 2016</t>
  </si>
  <si>
    <t>2014 Mark Up Formation FW 2016</t>
  </si>
  <si>
    <t>FLIP-FLOPS</t>
  </si>
  <si>
    <t>ORIGINALS</t>
  </si>
  <si>
    <t>HAVAIANAS</t>
  </si>
  <si>
    <t>Свободный Склад</t>
  </si>
  <si>
    <t>Stock</t>
  </si>
  <si>
    <t>Себестоимость единицы</t>
  </si>
  <si>
    <t>Реализация, штуки</t>
  </si>
  <si>
    <t>Категория продажи</t>
  </si>
  <si>
    <t>Unit Price</t>
  </si>
  <si>
    <t>Total Units</t>
  </si>
  <si>
    <t>Purchasing Units</t>
  </si>
  <si>
    <t>Total</t>
  </si>
  <si>
    <t>Balance on 01/01/2019</t>
  </si>
  <si>
    <t>Balance on 31/12/2019</t>
  </si>
  <si>
    <t>Net sales</t>
  </si>
  <si>
    <t>Deposit</t>
  </si>
  <si>
    <t>BL w/t deposit</t>
  </si>
  <si>
    <t>ЭРГО СПОРТ ООО</t>
  </si>
  <si>
    <t>PROSWIM</t>
  </si>
  <si>
    <t>Fizkultura</t>
  </si>
  <si>
    <t>Tolyatti</t>
  </si>
  <si>
    <t>Wildberries old stock</t>
  </si>
  <si>
    <t>Вайлдберриз ООО 2019</t>
  </si>
  <si>
    <t>Реализация</t>
  </si>
  <si>
    <t>Вайлдберриз ООО 2018</t>
  </si>
  <si>
    <t>лист ST</t>
  </si>
  <si>
    <t>АЙЗЕЛ ООО</t>
  </si>
  <si>
    <t>HAV</t>
  </si>
  <si>
    <t>продано остатков</t>
  </si>
  <si>
    <t>TTL</t>
  </si>
  <si>
    <t>TTL, %</t>
  </si>
  <si>
    <t>Контрагент</t>
  </si>
  <si>
    <t>ИП ПЕТРУХИН А.К</t>
  </si>
  <si>
    <t>Общий итог</t>
  </si>
  <si>
    <t>ед</t>
  </si>
  <si>
    <t>ОПТ Евро</t>
  </si>
  <si>
    <t>NCF Mega</t>
  </si>
  <si>
    <t>Lamoda</t>
  </si>
  <si>
    <t>TSUM</t>
  </si>
  <si>
    <t>Условия</t>
  </si>
  <si>
    <t>реализация</t>
  </si>
  <si>
    <t>СТОК!!</t>
  </si>
  <si>
    <t>СТОК</t>
  </si>
  <si>
    <t>EUR</t>
  </si>
  <si>
    <t>USD</t>
  </si>
  <si>
    <t>SS 2019</t>
  </si>
  <si>
    <t>SS 2020</t>
  </si>
  <si>
    <t>FW 2020</t>
  </si>
  <si>
    <t>Сезон SS 2020</t>
  </si>
  <si>
    <t>Сезон FW 2020</t>
  </si>
  <si>
    <t>Бюджет продаж сезона SS 2020</t>
  </si>
  <si>
    <t>Бюджет продаж сезона FW 2020</t>
  </si>
  <si>
    <t>Совокупный бюджет продаж 2020</t>
  </si>
  <si>
    <t>Кол-во</t>
  </si>
  <si>
    <t>Purchasing UNITS</t>
  </si>
  <si>
    <t>Sales UNITS</t>
  </si>
  <si>
    <t>FTW CORE</t>
  </si>
  <si>
    <t>FTW</t>
  </si>
  <si>
    <t>APP</t>
  </si>
  <si>
    <t>ACC</t>
  </si>
  <si>
    <t>Purchasing Value</t>
  </si>
  <si>
    <t>Вайлдберриз ООО 2019 реализация</t>
  </si>
  <si>
    <t>Депозит SS20 факт</t>
  </si>
  <si>
    <t>Сальдо311219</t>
  </si>
  <si>
    <t>Wildberries Реализация</t>
  </si>
  <si>
    <t>вспомогат.листы</t>
  </si>
  <si>
    <t>CHECK</t>
  </si>
  <si>
    <t>Carryover</t>
  </si>
  <si>
    <t>SS 2017</t>
  </si>
  <si>
    <t>SS 2018</t>
  </si>
  <si>
    <t>Бюджет расходов на 2021 год</t>
  </si>
  <si>
    <t>Mark Up Validation Sheet 2021</t>
  </si>
  <si>
    <t>Approved 2021 Mark Up</t>
  </si>
  <si>
    <t>A.V.R. 2021</t>
  </si>
  <si>
    <t>SS 2021</t>
  </si>
  <si>
    <t>FW 2021</t>
  </si>
  <si>
    <t>SS21</t>
  </si>
  <si>
    <t>FW21</t>
  </si>
  <si>
    <t>Total 2021</t>
  </si>
  <si>
    <t>Total FW 2021</t>
  </si>
  <si>
    <t>Total SS 2021</t>
  </si>
  <si>
    <t>Тип заказа</t>
  </si>
  <si>
    <t>а Стор ООО</t>
  </si>
  <si>
    <t>Prebook</t>
  </si>
  <si>
    <t>А-Группа ООО</t>
  </si>
  <si>
    <t>Freestock 2021</t>
  </si>
  <si>
    <t>15 credit days</t>
  </si>
  <si>
    <t>Абсолют-Парк ООО</t>
  </si>
  <si>
    <t>Freestock before 2021</t>
  </si>
  <si>
    <t>30 credit days</t>
  </si>
  <si>
    <t>Авиапарк АО ТВК</t>
  </si>
  <si>
    <t>Old Stock</t>
  </si>
  <si>
    <t>60 credit days</t>
  </si>
  <si>
    <t>АГ Марин ООО</t>
  </si>
  <si>
    <t>90 credit days</t>
  </si>
  <si>
    <t>Альтаир ООО</t>
  </si>
  <si>
    <t>АЛЬФА ООО</t>
  </si>
  <si>
    <t>АльфаИндустрия ООО</t>
  </si>
  <si>
    <t>Альянс ООО</t>
  </si>
  <si>
    <t>Анисоль ООО</t>
  </si>
  <si>
    <t>АРИЗОНА СКАЙ ООО</t>
  </si>
  <si>
    <t>АРТ ПЛЮС ООО</t>
  </si>
  <si>
    <t>Аскира ООО</t>
  </si>
  <si>
    <t>Аталант ООО</t>
  </si>
  <si>
    <t>Аурум ООО</t>
  </si>
  <si>
    <t>АУТПАК ООО</t>
  </si>
  <si>
    <t>АЯ ООО</t>
  </si>
  <si>
    <t>БАТТОН ООО</t>
  </si>
  <si>
    <t>Баухаус ООО</t>
  </si>
  <si>
    <t>Белитон ООО</t>
  </si>
  <si>
    <t>БИТ ООО</t>
  </si>
  <si>
    <t>Битубаскет Трейдинг ООО</t>
  </si>
  <si>
    <t>БНС Груп ОАО</t>
  </si>
  <si>
    <t>БОИНГ АВИА СЕРВИС</t>
  </si>
  <si>
    <t>Боинг Раша, Инк.</t>
  </si>
  <si>
    <t>Бон Аппетит ООО</t>
  </si>
  <si>
    <t>БРЕНД АУТЛЕТ ООО</t>
  </si>
  <si>
    <t>Бренд Стрит ООО</t>
  </si>
  <si>
    <t>Бренд-маркет ООО</t>
  </si>
  <si>
    <t>БрендБокс ООО</t>
  </si>
  <si>
    <t>Брента ООО</t>
  </si>
  <si>
    <t>Бриз ООО</t>
  </si>
  <si>
    <t>Брикс ООО</t>
  </si>
  <si>
    <t>Бубновый валет ООО</t>
  </si>
  <si>
    <t>БШ Стор ООО</t>
  </si>
  <si>
    <t>Вектор ЗЭТ ООО</t>
  </si>
  <si>
    <t>Вектор ООО</t>
  </si>
  <si>
    <t>Гардероб на Малой Никитской ООО</t>
  </si>
  <si>
    <t>Готичный Кактус ООО</t>
  </si>
  <si>
    <t>ДАН ООО</t>
  </si>
  <si>
    <t>Джангшоп</t>
  </si>
  <si>
    <t>Джинсовая Симфония ООО</t>
  </si>
  <si>
    <t>Джой ООО</t>
  </si>
  <si>
    <t>ДНК-РУС ООО</t>
  </si>
  <si>
    <t>Домино ООО</t>
  </si>
  <si>
    <t>Дримтим ООО</t>
  </si>
  <si>
    <t>ДС ОПТ ООО</t>
  </si>
  <si>
    <t>ДЭННИ ООО</t>
  </si>
  <si>
    <t>Империя Винни ООО</t>
  </si>
  <si>
    <t>ИНАКО ООО</t>
  </si>
  <si>
    <t>Интерстеп ДВ ООО</t>
  </si>
  <si>
    <t>Иохастон ООО</t>
  </si>
  <si>
    <t>ИП Адамов Вадим Семенович</t>
  </si>
  <si>
    <t>ИП Аладин</t>
  </si>
  <si>
    <t>ИП Бабаева Лейла Адиловна</t>
  </si>
  <si>
    <t>ИП Бадалян Роман Валерьевич</t>
  </si>
  <si>
    <t>ИП Базылевич Андрей Сергеевич</t>
  </si>
  <si>
    <t>ИП Балабанов С.Г</t>
  </si>
  <si>
    <t>ИП Белоглазов</t>
  </si>
  <si>
    <t>ИП Бердюгин Станислав Сергеевич</t>
  </si>
  <si>
    <t>ИП Бондарь Наталья Викторовна</t>
  </si>
  <si>
    <t>ИП Борисов Евгений Евгеньевич</t>
  </si>
  <si>
    <t>ИП Борисова Светлана  Михайловна</t>
  </si>
  <si>
    <t>ИП Борченко Максим Владимирович</t>
  </si>
  <si>
    <t>ИП Бочкарёв Алексей Владимирович</t>
  </si>
  <si>
    <t>ИП Брюкова Анна Александровна</t>
  </si>
  <si>
    <t>ИП Бтемирова Ольга Александровна</t>
  </si>
  <si>
    <t>ИП Ватутин А.А.</t>
  </si>
  <si>
    <t>ИП Веретенникова Светлана Владимировна</t>
  </si>
  <si>
    <t>ИП Верхолаз Наталья Владимировна</t>
  </si>
  <si>
    <t>ИП Вершкова Наталья Игоревна</t>
  </si>
  <si>
    <t>ИП Габрукович Николай Анатольевич</t>
  </si>
  <si>
    <t>ИП Гагарин Никита Валерьевич</t>
  </si>
  <si>
    <t>ИП Газизов Р.М.</t>
  </si>
  <si>
    <t>ИП Газиян Сурен Эдвинович</t>
  </si>
  <si>
    <t>ИП Галаева Эсет Магаметовна</t>
  </si>
  <si>
    <t>ИП Галютин Александр Александрович</t>
  </si>
  <si>
    <t>ИП Гоголь Александр Владимирович</t>
  </si>
  <si>
    <t>ИП Гоголь Виктория Валерьевна</t>
  </si>
  <si>
    <t>ИП Голубкова Наталья Васильевна</t>
  </si>
  <si>
    <t>ИП Гончаров Андрей Михайлович</t>
  </si>
  <si>
    <t>ИП Горшунов Александр Олегович</t>
  </si>
  <si>
    <t>ИП Гранин А.Е.</t>
  </si>
  <si>
    <t>ИП Гречка</t>
  </si>
  <si>
    <t>ИП Григорьев Сергей Борисович</t>
  </si>
  <si>
    <t>ИП Губанов Олег Владимирович</t>
  </si>
  <si>
    <t>ИП Гультяев Виталий Анатольевич</t>
  </si>
  <si>
    <t>ИП Гундорова Полина Андреевна</t>
  </si>
  <si>
    <t xml:space="preserve">ИП Гуненков Сергей Валентинович </t>
  </si>
  <si>
    <t>ИП Гурьянова</t>
  </si>
  <si>
    <t>ИП Гуськов Дмитрий Геннадьевич</t>
  </si>
  <si>
    <t>ИП Давыдов Али Косимович</t>
  </si>
  <si>
    <t>ИП Джадраева Эльмира Ханатовна</t>
  </si>
  <si>
    <t>ИП Дружинина Мария Андреевна</t>
  </si>
  <si>
    <t>ИП Еременко Александр Сергеевич</t>
  </si>
  <si>
    <t>ИП Еременко Николай Владимирович</t>
  </si>
  <si>
    <t>ИП Ермолин Иван Юрьевич</t>
  </si>
  <si>
    <t>ИП Жукова Мария Ивановна</t>
  </si>
  <si>
    <t>ИП Журавлев Андрей  Васильевич</t>
  </si>
  <si>
    <t>ИП Зажигаев Игнат Александрович</t>
  </si>
  <si>
    <t>ИП Закирова Ирина Александровна</t>
  </si>
  <si>
    <t>ИП Зубова Ульяна Константиновна</t>
  </si>
  <si>
    <t>ИП Иванов Милен Атанасов</t>
  </si>
  <si>
    <t>ИП Иванов Олег Юрьевич</t>
  </si>
  <si>
    <t>ИП Исаханова Тотуй Махмудовна</t>
  </si>
  <si>
    <t>ИП Кабакова Светлана Владимировна</t>
  </si>
  <si>
    <t xml:space="preserve">ИП Калинин Олег Владимирович </t>
  </si>
  <si>
    <t>ИП Карпеченков Антон Александрович</t>
  </si>
  <si>
    <t>ИП Катков Игорь Евгеньевич</t>
  </si>
  <si>
    <t>ИП Конькова Елена Андреевна</t>
  </si>
  <si>
    <t>ИП Корниенко Ольга Анатольевна</t>
  </si>
  <si>
    <t>ИП Костина Лилия Юрьевна</t>
  </si>
  <si>
    <t>ИП Котовский Д.П.</t>
  </si>
  <si>
    <t>ИП Кочинова Рита Юрьевна</t>
  </si>
  <si>
    <t>ИП Крыжановская Дарья Геннадьевна</t>
  </si>
  <si>
    <t>ИП Крячко Сергей Владимирович</t>
  </si>
  <si>
    <t>ИП Кубракова Наталия Алексеевна</t>
  </si>
  <si>
    <t>ИП Кулагина Екатерина Владимировна</t>
  </si>
  <si>
    <t>ИП Кумарин Владимир Владимирович</t>
  </si>
  <si>
    <t>ИП Курбанова Л.А.</t>
  </si>
  <si>
    <t>ИП Лавицкая</t>
  </si>
  <si>
    <t>ИП Лапшина Анна Филипповна</t>
  </si>
  <si>
    <t>ИП Левин Антон Николаевич</t>
  </si>
  <si>
    <t>ИП Леженко Елена Витальевна</t>
  </si>
  <si>
    <t>ИП Ли Че Шил</t>
  </si>
  <si>
    <t>ИП Лихобабин А. В.</t>
  </si>
  <si>
    <t>ИП Лохова Юлия Сергеевна</t>
  </si>
  <si>
    <t>ИП Луковский Геннадий Вальтерович</t>
  </si>
  <si>
    <t>ИП Любарский Михаил Моисеевич</t>
  </si>
  <si>
    <t>ИП Любимова Анастасия Юрьевна</t>
  </si>
  <si>
    <t>ИП Макаренко Игорь Юрьевич</t>
  </si>
  <si>
    <t>ИП Максимов Андрей Викторович</t>
  </si>
  <si>
    <t>ИП Марин Сергей Валериевич</t>
  </si>
  <si>
    <t>ИП Марина Яна Анатольевна</t>
  </si>
  <si>
    <t>ИП Маркарян Арсен Владимирович</t>
  </si>
  <si>
    <t>ИП Маслов Сергей Викторович</t>
  </si>
  <si>
    <t>ИП Минеева Екатерина Константиновна</t>
  </si>
  <si>
    <t>ИП Миронов Сергей Петрович</t>
  </si>
  <si>
    <t>ИП Можейко Сергей Олегович</t>
  </si>
  <si>
    <t>ИП Моор Андрей Александрович</t>
  </si>
  <si>
    <t>ИП Морозов Алексей Николаевич</t>
  </si>
  <si>
    <t>ИП Мохаммад Момен Надежда Станиславовна</t>
  </si>
  <si>
    <t>ИП Мусин Артур Вадимович</t>
  </si>
  <si>
    <t>ИП Мусинов Сергей Германович</t>
  </si>
  <si>
    <t>ИП МУСОХРАНОВА Ольга Геннадьевна</t>
  </si>
  <si>
    <t>ИП Мясников Александр Юрьевич</t>
  </si>
  <si>
    <t>ИП Назаренко Евгений Николаевич</t>
  </si>
  <si>
    <t>ИП Неганов Дмитрий Витальевич</t>
  </si>
  <si>
    <t>ИП Немов Дмитрий Викторович</t>
  </si>
  <si>
    <t>ИП Никитина Ю.А.</t>
  </si>
  <si>
    <t>ИП Новикова</t>
  </si>
  <si>
    <t>ИП Новинская Татьяна Николаевна</t>
  </si>
  <si>
    <t>ИП Новоселова Полина Викторовна</t>
  </si>
  <si>
    <t>ИП Осипов Александр Александрович</t>
  </si>
  <si>
    <t>ИП Осипов Тарас Евгеньевич</t>
  </si>
  <si>
    <t>ИП Очиров Сергей Сергеевич</t>
  </si>
  <si>
    <t>ИП Павловский Илья Александрович</t>
  </si>
  <si>
    <t>ИП Пастушков Владимир Алексеевич</t>
  </si>
  <si>
    <t>ИП Пескова Людмила Аркадьевна</t>
  </si>
  <si>
    <t>ИП ПЕТРУХИН АЛЕКСАНДР КОНСТАНТИНОВИЧ</t>
  </si>
  <si>
    <t>ИП Пинкин А.А.</t>
  </si>
  <si>
    <t>ИП Попов Валерий Викторович</t>
  </si>
  <si>
    <t>ИП Попов Никита Валерьевич</t>
  </si>
  <si>
    <t>ИП Прокофьева Екатерина Юрьевна</t>
  </si>
  <si>
    <t>ИП Пташник Константин Михайлович</t>
  </si>
  <si>
    <t>ИП Пушин Алексей Николаевич</t>
  </si>
  <si>
    <t>ИП Рамазанова Гульшат Назифовна</t>
  </si>
  <si>
    <t>ИП Розбицкий Никита Сергеевич</t>
  </si>
  <si>
    <t>ИП Рудый Михаил Романович</t>
  </si>
  <si>
    <t>ИП Рыжко Людмила Анатольевна</t>
  </si>
  <si>
    <t xml:space="preserve">ИП Сайпов Дайтбек Магомедхабибович </t>
  </si>
  <si>
    <t>ИП Сайпова Диана Андреевна</t>
  </si>
  <si>
    <t>ИП Сапегин Григорий Анатольевич</t>
  </si>
  <si>
    <t>ИП Свистун Антон Николаевич</t>
  </si>
  <si>
    <t>ИП Сектяев Николай Николаевич</t>
  </si>
  <si>
    <t>ИП Семко Сергей Николаевич</t>
  </si>
  <si>
    <t>ИП Скрыль Наталья Олеговна</t>
  </si>
  <si>
    <t>ИП Соковнин А.А.</t>
  </si>
  <si>
    <t>ИП Соколова Инна Петровна</t>
  </si>
  <si>
    <t>ИП Стерхов Денис Дмитриевич</t>
  </si>
  <si>
    <t>ИП Сульдин Михаил Владимирович</t>
  </si>
  <si>
    <t>ИП Тарасов Игорь Павлович</t>
  </si>
  <si>
    <t>ИП Типикин Олег Николаевич</t>
  </si>
  <si>
    <t>ИП Толстухин Роман Константинович</t>
  </si>
  <si>
    <t>ИП Трацевская С.С.</t>
  </si>
  <si>
    <t>ИП Туровников Николай Юрьевич</t>
  </si>
  <si>
    <t>ИП Тюкина Елена Федоровна</t>
  </si>
  <si>
    <t>ИП Федоров Дмитрий Анатольевич</t>
  </si>
  <si>
    <t>ИП Филимонов Никита Борисович</t>
  </si>
  <si>
    <t>ИП Флорова Татьяна Анатольевна</t>
  </si>
  <si>
    <t>ИП Харитонов Сергей Владимирович</t>
  </si>
  <si>
    <t>ИП Ходенков</t>
  </si>
  <si>
    <t>ИП Черненко Олег Сергеевич</t>
  </si>
  <si>
    <t>ИП Чичигинаров Яков Ильич</t>
  </si>
  <si>
    <t>ИП Шахбазов М.Д.</t>
  </si>
  <si>
    <t>ИП Швец Ольга Владимировна</t>
  </si>
  <si>
    <t>ИП Шенкман Илья Олегович</t>
  </si>
  <si>
    <t>ИП Шпанцев Виталий Вячеславович</t>
  </si>
  <si>
    <t>ИП Щеткина Татьяна Николаевна</t>
  </si>
  <si>
    <t>ИП Юдин Антон Сергеевич</t>
  </si>
  <si>
    <t>ИП Юн Евгений Аркадьевич</t>
  </si>
  <si>
    <t>ИП Яковлев Федор Евгеньевич</t>
  </si>
  <si>
    <t>К-Спорт Премьер ООО</t>
  </si>
  <si>
    <t>КАЛИПСО ООО</t>
  </si>
  <si>
    <t>Картел ООО</t>
  </si>
  <si>
    <t>Кеды Вегас</t>
  </si>
  <si>
    <t>Кеды ООО</t>
  </si>
  <si>
    <t>Компания Отрада ООО</t>
  </si>
  <si>
    <t>КомфортТорг ООО</t>
  </si>
  <si>
    <t>КОНТИНЕНТСТРОЙ ООО</t>
  </si>
  <si>
    <t>Креатив Ритейл ООО</t>
  </si>
  <si>
    <t>Кузнецкий Мост 20 ООО</t>
  </si>
  <si>
    <t>Лабутены ООО</t>
  </si>
  <si>
    <t>Лайф ООО</t>
  </si>
  <si>
    <t>Ланч ООО</t>
  </si>
  <si>
    <t>Лаура-Тур ООО</t>
  </si>
  <si>
    <t>ЛВБ ЗАО</t>
  </si>
  <si>
    <t>Легион ООО</t>
  </si>
  <si>
    <t>ЛесСнаб ООО</t>
  </si>
  <si>
    <t>Лига ООО</t>
  </si>
  <si>
    <t>Лидан ООО</t>
  </si>
  <si>
    <t>МАКСИМА ГРУПП ООО</t>
  </si>
  <si>
    <t>Мамси ООО</t>
  </si>
  <si>
    <t>МЕГАПОЛИС77 ООО</t>
  </si>
  <si>
    <t>Меркато ООО</t>
  </si>
  <si>
    <t>МИДГАРД ООО</t>
  </si>
  <si>
    <t>Мистраль ООО</t>
  </si>
  <si>
    <t>Мосье Башмаков ООО</t>
  </si>
  <si>
    <t>Мультибрэнд ООО</t>
  </si>
  <si>
    <t>НайсУан ООО</t>
  </si>
  <si>
    <t>Ника-Тула ООО</t>
  </si>
  <si>
    <t>Новатор ООО</t>
  </si>
  <si>
    <t>НОВАЯ ЕВРОПА ООО</t>
  </si>
  <si>
    <t>Обед Буфет ООО</t>
  </si>
  <si>
    <t>Обувь АГ ООО</t>
  </si>
  <si>
    <t>ОганСпорт ООО</t>
  </si>
  <si>
    <t>Отрада-Ритейл ООО</t>
  </si>
  <si>
    <t>ОФФПРАЙС ООО</t>
  </si>
  <si>
    <t>ПараПар ООО</t>
  </si>
  <si>
    <t>Пицца ООО</t>
  </si>
  <si>
    <t>Призма ООО</t>
  </si>
  <si>
    <t>ПроОнлайн ООО</t>
  </si>
  <si>
    <t>Просвим ООО</t>
  </si>
  <si>
    <t>ПРОСТОР ООО</t>
  </si>
  <si>
    <t>Профи Трейд ООО</t>
  </si>
  <si>
    <t>Прямая линия ООО</t>
  </si>
  <si>
    <t>РАНДЕВУ ООО</t>
  </si>
  <si>
    <t>РЕГСТАЭР-М ООО</t>
  </si>
  <si>
    <t>Ритейл Бренд Хаус ООО</t>
  </si>
  <si>
    <t>Савар ООО</t>
  </si>
  <si>
    <t>СВ Групп ООО</t>
  </si>
  <si>
    <t>СВИК и Ко ООО</t>
  </si>
  <si>
    <t>Секундочку-Урал ООО</t>
  </si>
  <si>
    <t>Селект Трэйд ООО</t>
  </si>
  <si>
    <t>СИБСПОРТ ООО</t>
  </si>
  <si>
    <t>Ситара ООО</t>
  </si>
  <si>
    <t>Смарт Шоп ООО</t>
  </si>
  <si>
    <t>Сникер Архив Рус ООО</t>
  </si>
  <si>
    <t>СНКРС ООО</t>
  </si>
  <si>
    <t>СОФТ ООО</t>
  </si>
  <si>
    <t>Спектр ООО</t>
  </si>
  <si>
    <t>Спорт Онлайн Групп ООО</t>
  </si>
  <si>
    <t>СТАФ ФО ЛАЙФ ООО</t>
  </si>
  <si>
    <t>Столовка Фудс ООО</t>
  </si>
  <si>
    <t>СТОУНС ООО</t>
  </si>
  <si>
    <t>ТД Холдинг-Центр ПАО</t>
  </si>
  <si>
    <t>ТК Петроградская ООО</t>
  </si>
  <si>
    <t>ТОО CARC Sport</t>
  </si>
  <si>
    <t>ТОО DSL PARTNERS</t>
  </si>
  <si>
    <t>ТОО VILED FASHION</t>
  </si>
  <si>
    <t>ТОРГСИН ООО</t>
  </si>
  <si>
    <t>Траектория ООО</t>
  </si>
  <si>
    <t>ТрейдЛимитед ООО</t>
  </si>
  <si>
    <t>УК ВВК ООО</t>
  </si>
  <si>
    <t>УК Отель Менеджмент</t>
  </si>
  <si>
    <t>Фаворит ООО Обувь 21 века</t>
  </si>
  <si>
    <t>Фальтер ООО</t>
  </si>
  <si>
    <t>Форвард ООО</t>
  </si>
  <si>
    <t>Фордевинд ООО</t>
  </si>
  <si>
    <t>Футстеп ООО</t>
  </si>
  <si>
    <t>Хороший выбор ООО</t>
  </si>
  <si>
    <t>Цветной Централ Маркет ООО</t>
  </si>
  <si>
    <t>Центральный универмаг ООО</t>
  </si>
  <si>
    <t>ЧЕГЕТ ООО</t>
  </si>
  <si>
    <t>Ш-Орион Групп ООО</t>
  </si>
  <si>
    <t>Эшберри ООО</t>
  </si>
  <si>
    <t>ЮСИМИ ООО</t>
  </si>
  <si>
    <t>TOTAL</t>
  </si>
  <si>
    <t>Комиссия</t>
  </si>
  <si>
    <t xml:space="preserve">Exchange Rate SS </t>
  </si>
  <si>
    <t xml:space="preserve">Exchange Rate FW </t>
  </si>
  <si>
    <t>Legal name rus</t>
  </si>
  <si>
    <t>Факт пары</t>
  </si>
  <si>
    <t>Факт РРЦ</t>
  </si>
  <si>
    <t>Сумма опт евро</t>
  </si>
  <si>
    <t>Интернет решения ООО</t>
  </si>
  <si>
    <t>ИП Вербицкая</t>
  </si>
  <si>
    <t>ООО Купишуз</t>
  </si>
  <si>
    <t>ООО Вайлдберриз</t>
  </si>
  <si>
    <t>План 2021 %</t>
  </si>
  <si>
    <t xml:space="preserve"> Руб опт ттл </t>
  </si>
  <si>
    <t xml:space="preserve"> Евро опт ттл </t>
  </si>
  <si>
    <t>План 2021 WB</t>
  </si>
  <si>
    <t xml:space="preserve">                -  </t>
  </si>
  <si>
    <t>WB 2021</t>
  </si>
  <si>
    <t>План 2021 LAMODA</t>
  </si>
  <si>
    <t>Ламода</t>
  </si>
  <si>
    <t>Апр</t>
  </si>
  <si>
    <t>ТТЛ</t>
  </si>
  <si>
    <t>План 2021 % для таргет</t>
  </si>
  <si>
    <t>Уловия</t>
  </si>
  <si>
    <t xml:space="preserve"> Факт РРЦ </t>
  </si>
  <si>
    <t xml:space="preserve"> Сумма опт евро </t>
  </si>
  <si>
    <t>Preorders</t>
  </si>
  <si>
    <t>Commission</t>
  </si>
  <si>
    <t>Св.склад (re-orders)</t>
  </si>
  <si>
    <t>Preorders Free stock</t>
  </si>
  <si>
    <t>Итого к размещению</t>
  </si>
  <si>
    <t>ИП Кузнецова  Мария Павловна</t>
  </si>
  <si>
    <t>ИП Щербакова Полина Леонидовна</t>
  </si>
  <si>
    <t>FS</t>
  </si>
  <si>
    <t>ДРОП 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</si>
</sst>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#,##0&quot;р.&quot;;[Red]\-#,##0&quot;р.&quot;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-* #,##0.00_€_-;\-* #,##0.00_€_-;_-* &quot;-&quot;??_€_-;_-@_-"/>
    <numFmt numFmtId="172" formatCode="0.0%"/>
    <numFmt numFmtId="173" formatCode="[$€-2]\ #,##0"/>
    <numFmt numFmtId="174" formatCode="[$$-409]#,##0"/>
    <numFmt numFmtId="175" formatCode="[$€-456]\ #,##0"/>
    <numFmt numFmtId="176" formatCode="#,##0.00_ ;\-#,##0.00\ "/>
    <numFmt numFmtId="177" formatCode="#,##0&quot;р.&quot;"/>
    <numFmt numFmtId="178" formatCode="_-[$€-456]\ * #,##0.00_-;\-[$€-456]\ * #,##0.00_-;_-[$€-456]\ * &quot;-&quot;??_-;_-@_-"/>
    <numFmt numFmtId="179" formatCode="_-[$$-C09]* #,##0_-;\-[$$-C09]* #,##0_-;_-[$$-C09]* &quot;-&quot;_-;_-@_-"/>
    <numFmt numFmtId="180" formatCode="_-[$$-1009]* #,##0.00_-;\-[$$-1009]* #,##0.00_-;_-[$$-1009]* &quot;-&quot;??_-;_-@_-"/>
    <numFmt numFmtId="181" formatCode="_-[$$-C09]* #,##0.00_-;\-[$$-C09]* #,##0.00_-;_-[$$-C09]* &quot;-&quot;??_-;_-@_-"/>
    <numFmt numFmtId="182" formatCode="_-* #,##0_€_-;\-* #,##0_€_-;_-* &quot;-&quot;??_€_-;_-@_-"/>
    <numFmt numFmtId="183" formatCode="_-* #,##0.00&quot;р.&quot;_-;\-* #,##0.00&quot;р.&quot;_-;_-* &quot;-&quot;&quot;р.&quot;_-;_-@_-"/>
    <numFmt numFmtId="184" formatCode="_-[$$-409]* #,##0.00_ ;_-[$$-409]* \-#,##0.00\ ;_-[$$-409]* &quot;-&quot;??_ ;_-@_ "/>
    <numFmt numFmtId="185" formatCode="[$$-409]#,##0.00"/>
    <numFmt numFmtId="186" formatCode="[$$-409]#,##0_ ;\-[$$-409]#,##0\ "/>
    <numFmt numFmtId="187" formatCode="#,##0;\-#,##0;\-"/>
    <numFmt numFmtId="188" formatCode="_-* #,##0&quot;р.&quot;_-;\-* #,##0&quot;р.&quot;_-;_-* &quot;-&quot;??&quot;р.&quot;_-;_-@_-"/>
    <numFmt numFmtId="189" formatCode="[$$-409]#,##0.00_ ;\-[$$-409]#,##0.00\ "/>
    <numFmt numFmtId="190" formatCode="0%;\-0%;\-"/>
    <numFmt numFmtId="191" formatCode="_(* #,##0.00_);_(* \(#,##0.00\);_(* &quot;-&quot;??_);_(@_)"/>
    <numFmt numFmtId="192" formatCode="_-* #,##0.000_€_-;\-* #,##0.000_€_-;_-* &quot;-&quot;??_€_-;_-@_-"/>
    <numFmt numFmtId="193" formatCode="_-&quot;\&quot;* #,##0_-;\-&quot;\&quot;* #,##0_-;_-&quot;\&quot;* &quot;-&quot;_-;_-@_-"/>
    <numFmt numFmtId="194" formatCode="&quot;NT$&quot;#,##0;[Red]\-&quot;NT$&quot;#,##0"/>
    <numFmt numFmtId="195" formatCode="&quot;NT$&quot;#,##0.00;[Red]\-&quot;NT$&quot;#,##0.00"/>
    <numFmt numFmtId="196" formatCode="&quot;?#,##0_);[Red]\(&quot;&quot;?&quot;#,##0\)"/>
    <numFmt numFmtId="197" formatCode="&quot;?#,##0.00_);[Red]\(&quot;&quot;?&quot;#,##0.00\)"/>
    <numFmt numFmtId="198" formatCode="_ * #,##0_ ;_ * \-#,##0_ ;_ * &quot;-&quot;_ ;_ @_ "/>
    <numFmt numFmtId="199" formatCode="_ * #,##0.00_ ;_ * \-#,##0.00_ ;_ * &quot;-&quot;??_ ;_ @_ "/>
    <numFmt numFmtId="200" formatCode="#,##0.0_);\(#,##0.0\)"/>
    <numFmt numFmtId="201" formatCode="&quot;￡&quot;#,##0.00;[Red]\-&quot;￡&quot;#,##0.00"/>
    <numFmt numFmtId="202" formatCode="_-&quot;$&quot;* #,##0.00_-;\-&quot;$&quot;* #,##0.00_-;_-&quot;$&quot;* &quot;-&quot;??_-;_-@_-"/>
    <numFmt numFmtId="203" formatCode="#,##0.000_);[Red]\(#,##0.000\)"/>
    <numFmt numFmtId="204" formatCode="_-[$€-2]\ * #,##0.00_-;\-[$€-2]\ * #,##0.00_-;_-[$€-2]\ * &quot;-&quot;??_-"/>
    <numFmt numFmtId="205" formatCode="0.00_)"/>
    <numFmt numFmtId="206" formatCode="#,##0&quot; $&quot;;[Red]\-#,##0&quot; $&quot;"/>
    <numFmt numFmtId="207" formatCode="_-&quot;$&quot;* #,##0_-;\-&quot;$&quot;* #,##0_-;_-&quot;$&quot;* &quot;-&quot;_-;_-@_-"/>
    <numFmt numFmtId="208" formatCode="_(* #,##0_);_(* \(#,##0\);_(* &quot;-&quot;_);_(@_)"/>
    <numFmt numFmtId="209" formatCode="&quot;?&quot;#,##0.00;\-&quot;?&quot;#,##0.00"/>
    <numFmt numFmtId="210" formatCode="&quot;?&quot;#,##0;\-&quot;?&quot;#,##0"/>
    <numFmt numFmtId="211" formatCode="yy/m"/>
    <numFmt numFmtId="212" formatCode="yy/mm"/>
    <numFmt numFmtId="213" formatCode="_-* #,##0.0000_€_-;\-* #,##0.0000_€_-;_-* &quot;-&quot;??_€_-;_-@_-"/>
    <numFmt numFmtId="214" formatCode="0.000"/>
    <numFmt numFmtId="215" formatCode="_-* #,##0.00_ _-;\-* #,##0.00_ _-;_-* &quot;-&quot;??_ _-;_-@_-"/>
    <numFmt numFmtId="216" formatCode="#,##0&quot; F&quot;_);[Red]\(#,##0&quot; F&quot;\)"/>
    <numFmt numFmtId="217" formatCode="#,##0.00&quot; F&quot;_);[Red]\(#,##0.00&quot; F&quot;\)"/>
    <numFmt numFmtId="218" formatCode="[$-419]mmmm\ yyyy;@"/>
    <numFmt numFmtId="219" formatCode="_-* #,##0.00\ [$€-1]_-;\-* #,##0.00\ [$€-1]_-;_-* &quot;-&quot;??\ [$€-1]_-"/>
    <numFmt numFmtId="220" formatCode="_-* #&quot; &quot;##0.00[$€-1]_-;\-* #&quot; &quot;##0.00[$€-1]_-;_-* &quot;-&quot;??[$€-1]_-"/>
    <numFmt numFmtId="221" formatCode="[$$-1009]#,##0;\-[$$-1009]#,##0"/>
    <numFmt numFmtId="222" formatCode="_-[$$-C09]* #,##0.0_-;\-[$$-C09]* #,##0.0_-;_-[$$-C09]* &quot;-&quot;_-;_-@_-"/>
    <numFmt numFmtId="223" formatCode="[$€-2]\ #,##0.00"/>
    <numFmt numFmtId="224" formatCode="#,##0.0\ &quot;₽&quot;;\-#,##0.0\ &quot;₽&quot;"/>
    <numFmt numFmtId="225" formatCode="[$€-1809]#,##0.0;\-[$€-1809]#,##0.0"/>
    <numFmt numFmtId="226" formatCode="_-* #,##0_-;\-* #,##0_-;_-* &quot;-&quot;??_-;_-@_-"/>
    <numFmt numFmtId="227" formatCode="_-[$€-2]\ * #,##0.00_-;\-[$€-2]\ * #,##0.00_-;_-[$€-2]\ * &quot;-&quot;??_-;_-@_-"/>
    <numFmt numFmtId="228" formatCode="#,##0\ &quot;₽&quot;"/>
    <numFmt numFmtId="229" formatCode="#,##0.0\ &quot;₽&quot;"/>
  </numFmts>
  <fonts count="258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2"/>
      <name val="Arial Cyr"/>
      <charset val="204"/>
    </font>
    <font>
      <b/>
      <sz val="12"/>
      <color indexed="9"/>
      <name val="Arial Cyr"/>
      <charset val="204"/>
    </font>
    <font>
      <b/>
      <sz val="10"/>
      <name val="Arial"/>
      <family val="2"/>
      <charset val="204"/>
    </font>
    <font>
      <b/>
      <sz val="11"/>
      <color indexed="63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11"/>
      <color indexed="16"/>
      <name val="Arial Cyr"/>
      <charset val="204"/>
    </font>
    <font>
      <b/>
      <sz val="12"/>
      <color indexed="16"/>
      <name val="Arial Cyr"/>
      <charset val="204"/>
    </font>
    <font>
      <b/>
      <sz val="12"/>
      <color indexed="10"/>
      <name val="Arial Cyr"/>
      <charset val="204"/>
    </font>
    <font>
      <b/>
      <sz val="12"/>
      <name val="Arial"/>
      <family val="2"/>
      <charset val="204"/>
    </font>
    <font>
      <b/>
      <sz val="10"/>
      <color indexed="9"/>
      <name val="Arial Cyr"/>
      <charset val="204"/>
    </font>
    <font>
      <b/>
      <sz val="11"/>
      <color indexed="9"/>
      <name val="Arial Cyr"/>
      <charset val="204"/>
    </font>
    <font>
      <sz val="10"/>
      <color indexed="9"/>
      <name val="Arial Cyr"/>
      <charset val="204"/>
    </font>
    <font>
      <b/>
      <sz val="9"/>
      <name val="Arial Cyr"/>
      <charset val="204"/>
    </font>
    <font>
      <b/>
      <sz val="8"/>
      <name val="Arial Cyr"/>
      <charset val="204"/>
    </font>
    <font>
      <b/>
      <sz val="10"/>
      <color indexed="16"/>
      <name val="Arial Cyr"/>
      <charset val="204"/>
    </font>
    <font>
      <b/>
      <i/>
      <sz val="8"/>
      <color indexed="9"/>
      <name val="Arial Cyr"/>
      <charset val="204"/>
    </font>
    <font>
      <b/>
      <i/>
      <sz val="8"/>
      <name val="Arial Cyr"/>
      <charset val="204"/>
    </font>
    <font>
      <b/>
      <i/>
      <sz val="10"/>
      <name val="Arial Cyr"/>
      <charset val="204"/>
    </font>
    <font>
      <b/>
      <sz val="10"/>
      <color indexed="10"/>
      <name val="Arial Cyr"/>
      <charset val="204"/>
    </font>
    <font>
      <b/>
      <sz val="8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4"/>
      <name val="Arial"/>
      <family val="2"/>
    </font>
    <font>
      <b/>
      <sz val="10"/>
      <color indexed="51"/>
      <name val="Arial"/>
      <family val="2"/>
      <charset val="204"/>
    </font>
    <font>
      <sz val="8"/>
      <name val="Arial"/>
      <family val="2"/>
      <charset val="204"/>
    </font>
    <font>
      <i/>
      <sz val="10"/>
      <name val="Arial"/>
      <family val="2"/>
      <charset val="204"/>
    </font>
    <font>
      <sz val="10"/>
      <color indexed="62"/>
      <name val="Arial Cyr"/>
      <charset val="204"/>
    </font>
    <font>
      <b/>
      <sz val="10"/>
      <color indexed="62"/>
      <name val="Arial Cyr"/>
      <charset val="204"/>
    </font>
    <font>
      <b/>
      <sz val="14"/>
      <name val="Arial Cyr"/>
      <charset val="204"/>
    </font>
    <font>
      <b/>
      <sz val="9"/>
      <color indexed="16"/>
      <name val="Arial Cyr"/>
      <charset val="204"/>
    </font>
    <font>
      <b/>
      <sz val="24"/>
      <name val="Arial Cyr"/>
      <charset val="204"/>
    </font>
    <font>
      <b/>
      <sz val="8"/>
      <name val="Arial"/>
      <family val="2"/>
    </font>
    <font>
      <sz val="9"/>
      <name val="Arial Cyr"/>
      <charset val="204"/>
    </font>
    <font>
      <sz val="11"/>
      <name val="Arial"/>
      <family val="2"/>
      <charset val="204"/>
    </font>
    <font>
      <b/>
      <sz val="9"/>
      <color indexed="8"/>
      <name val="Arial Cyr"/>
      <charset val="204"/>
    </font>
    <font>
      <b/>
      <i/>
      <sz val="10"/>
      <color indexed="9"/>
      <name val="Arial Cyr"/>
      <charset val="204"/>
    </font>
    <font>
      <b/>
      <sz val="10"/>
      <color indexed="18"/>
      <name val="Arial Cyr"/>
      <charset val="204"/>
    </font>
    <font>
      <sz val="18"/>
      <name val="Arial Cyr"/>
      <charset val="204"/>
    </font>
    <font>
      <sz val="10"/>
      <color indexed="10"/>
      <name val="Arial Cyr"/>
      <charset val="204"/>
    </font>
    <font>
      <sz val="10"/>
      <color indexed="18"/>
      <name val="Arial Cyr"/>
      <charset val="204"/>
    </font>
    <font>
      <sz val="10"/>
      <name val="Types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Arial Cyr"/>
    </font>
    <font>
      <sz val="10"/>
      <color indexed="16"/>
      <name val="Arial Cyr"/>
      <charset val="204"/>
    </font>
    <font>
      <sz val="10"/>
      <name val="Arial Cyr"/>
      <charset val="204"/>
    </font>
    <font>
      <sz val="10"/>
      <name val="Arial"/>
      <family val="2"/>
    </font>
    <font>
      <sz val="10"/>
      <name val="Arial CY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0"/>
      <color rgb="FFFF0000"/>
      <name val="Arial Cyr"/>
      <charset val="204"/>
    </font>
    <font>
      <sz val="11"/>
      <color rgb="FFFF0000"/>
      <name val="Calibri"/>
      <family val="2"/>
      <charset val="204"/>
      <scheme val="minor"/>
    </font>
    <font>
      <i/>
      <sz val="11"/>
      <color theme="4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10"/>
      <name val="Arial Cyr"/>
      <charset val="204"/>
    </font>
    <font>
      <b/>
      <u/>
      <sz val="11"/>
      <name val="Calibri"/>
      <family val="2"/>
      <charset val="204"/>
      <scheme val="minor"/>
    </font>
    <font>
      <sz val="10"/>
      <color theme="1"/>
      <name val="Arial Cyr"/>
      <charset val="204"/>
    </font>
    <font>
      <b/>
      <sz val="10"/>
      <color theme="1"/>
      <name val="Arial Cyr"/>
      <charset val="204"/>
    </font>
    <font>
      <i/>
      <sz val="11"/>
      <color rgb="FFFF0000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i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indexed="14"/>
      <name val="新細明體"/>
      <family val="1"/>
    </font>
    <font>
      <sz val="11"/>
      <name val="??"/>
      <family val="3"/>
    </font>
    <font>
      <u/>
      <sz val="10"/>
      <color indexed="12"/>
      <name val="新細明體"/>
      <family val="1"/>
    </font>
    <font>
      <sz val="12"/>
      <name val="????"/>
      <family val="1"/>
    </font>
    <font>
      <sz val="10"/>
      <name val="Times New Roman"/>
      <family val="1"/>
    </font>
    <font>
      <sz val="12"/>
      <name val="新細明體"/>
      <family val="1"/>
    </font>
    <font>
      <sz val="14"/>
      <name val="??"/>
      <family val="3"/>
    </font>
    <font>
      <sz val="14"/>
      <name val=""/>
      <family val="3"/>
      <charset val="134"/>
    </font>
    <font>
      <sz val="12"/>
      <name val="??"/>
      <family val="1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9"/>
      <name val="宋体"/>
      <charset val="134"/>
    </font>
    <font>
      <sz val="12"/>
      <name val="細明體"/>
      <family val="3"/>
    </font>
    <font>
      <sz val="12"/>
      <name val="1UAAA?"/>
      <family val="1"/>
    </font>
    <font>
      <sz val="10"/>
      <name val="Helv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sz val="10"/>
      <color indexed="8"/>
      <name val="Arial"/>
      <family val="2"/>
    </font>
    <font>
      <u/>
      <sz val="10"/>
      <color indexed="36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indexed="16"/>
      <name val="Calibri"/>
      <family val="2"/>
    </font>
    <font>
      <b/>
      <i/>
      <sz val="16"/>
      <name val="Helv"/>
      <family val="2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9"/>
      <name val="冼极"/>
    </font>
    <font>
      <sz val="12"/>
      <name val="新細明體"/>
      <family val="1"/>
      <charset val="255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宋体"/>
      <charset val="134"/>
    </font>
    <font>
      <u/>
      <sz val="10"/>
      <name val="MS Sans Serif"/>
      <family val="2"/>
    </font>
    <font>
      <sz val="12"/>
      <name val=""/>
      <family val="2"/>
    </font>
    <font>
      <sz val="12"/>
      <name val="標楷體"/>
      <charset val="136"/>
    </font>
    <font>
      <sz val="11"/>
      <name val="돋움"/>
      <family val="3"/>
      <charset val="255"/>
    </font>
    <font>
      <sz val="12"/>
      <name val="宋体"/>
      <charset val="134"/>
    </font>
    <font>
      <sz val="12"/>
      <name val="宋体"/>
      <charset val="134"/>
    </font>
    <font>
      <sz val="12"/>
      <color indexed="19"/>
      <name val="新細明體"/>
      <family val="1"/>
      <charset val="136"/>
    </font>
    <font>
      <sz val="12"/>
      <name val="宋体"/>
      <charset val="134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sz val="11"/>
      <name val="ＭＳ Ｐゴシック"/>
      <family val="2"/>
    </font>
    <font>
      <b/>
      <sz val="18"/>
      <color indexed="62"/>
      <name val="新細明體"/>
      <family val="1"/>
      <charset val="136"/>
    </font>
    <font>
      <b/>
      <sz val="15"/>
      <color indexed="6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name val="夥鰻羹"/>
      <charset val="134"/>
    </font>
    <font>
      <i/>
      <sz val="9"/>
      <color theme="3" tint="0.39997558519241921"/>
      <name val="Arial Cyr"/>
      <charset val="204"/>
    </font>
    <font>
      <i/>
      <sz val="9"/>
      <color theme="3" tint="0.39997558519241921"/>
      <name val="Calibri"/>
      <family val="2"/>
      <charset val="204"/>
      <scheme val="minor"/>
    </font>
    <font>
      <b/>
      <i/>
      <sz val="11"/>
      <color theme="4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i/>
      <sz val="10"/>
      <color rgb="FF0070C0"/>
      <name val="Arial Cyr"/>
      <charset val="204"/>
    </font>
    <font>
      <b/>
      <i/>
      <sz val="11"/>
      <color rgb="FF0070C0"/>
      <name val="Calibri"/>
      <family val="2"/>
      <charset val="204"/>
      <scheme val="minor"/>
    </font>
    <font>
      <b/>
      <sz val="10"/>
      <color theme="0"/>
      <name val="Arial Cyr"/>
      <charset val="204"/>
    </font>
    <font>
      <sz val="10"/>
      <name val="Helv"/>
    </font>
    <font>
      <sz val="10"/>
      <name val="Helv"/>
      <charset val="204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0"/>
      <color theme="0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  <charset val="204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color rgb="FF006100"/>
      <name val="Trebuchet MS"/>
      <family val="2"/>
      <charset val="238"/>
    </font>
    <font>
      <sz val="10"/>
      <name val="Arial"/>
      <family val="2"/>
      <charset val="238"/>
    </font>
    <font>
      <u/>
      <sz val="8"/>
      <color indexed="12"/>
      <name val="Arial"/>
      <family val="2"/>
      <charset val="204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color rgb="FF9C6500"/>
      <name val="Trebuchet MS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0"/>
      <color theme="1"/>
      <name val="Trebuchet MS"/>
      <family val="2"/>
      <charset val="238"/>
    </font>
    <font>
      <u/>
      <sz val="8"/>
      <color indexed="36"/>
      <name val="Arial"/>
      <family val="2"/>
      <charset val="204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rgb="FF9C0006"/>
      <name val="Trebuchet MS"/>
      <family val="2"/>
      <charset val="238"/>
    </font>
    <font>
      <i/>
      <sz val="8"/>
      <color theme="4"/>
      <name val="Arial Cyr"/>
      <charset val="204"/>
    </font>
    <font>
      <i/>
      <sz val="9"/>
      <name val="Arial Cyr"/>
      <charset val="204"/>
    </font>
    <font>
      <sz val="11"/>
      <color rgb="FF00B050"/>
      <name val="Calibri"/>
      <family val="2"/>
      <charset val="204"/>
      <scheme val="minor"/>
    </font>
    <font>
      <b/>
      <sz val="10"/>
      <name val="Arial"/>
      <family val="2"/>
    </font>
    <font>
      <b/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51"/>
      <name val="Arial"/>
      <family val="2"/>
    </font>
    <font>
      <b/>
      <sz val="10"/>
      <name val="Arial CYR"/>
    </font>
    <font>
      <b/>
      <sz val="10"/>
      <color rgb="FFFF000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0"/>
      <name val="Arial Cyr"/>
      <charset val="204"/>
    </font>
    <font>
      <b/>
      <i/>
      <sz val="10"/>
      <color rgb="FFFF0000"/>
      <name val="Arial Cyr"/>
      <charset val="204"/>
    </font>
    <font>
      <sz val="10"/>
      <color rgb="FF7030A0"/>
      <name val="Arial Cyr"/>
      <charset val="204"/>
    </font>
    <font>
      <b/>
      <sz val="10"/>
      <color rgb="FF7030A0"/>
      <name val="Arial Cyr"/>
      <charset val="204"/>
    </font>
    <font>
      <sz val="9"/>
      <color indexed="81"/>
      <name val="Tahoma"/>
      <family val="2"/>
      <charset val="204"/>
    </font>
    <font>
      <b/>
      <i/>
      <sz val="8"/>
      <color rgb="FFFF0000"/>
      <name val="Arial Cyr"/>
      <charset val="204"/>
    </font>
    <font>
      <i/>
      <sz val="9"/>
      <color rgb="FFFF0000"/>
      <name val="Arial Cyr"/>
      <charset val="204"/>
    </font>
    <font>
      <b/>
      <sz val="11"/>
      <color rgb="FF000000"/>
      <name val="Calibri"/>
      <family val="2"/>
      <charset val="204"/>
    </font>
    <font>
      <b/>
      <sz val="10"/>
      <color rgb="FF0070C0"/>
      <name val="Arial"/>
      <family val="2"/>
    </font>
    <font>
      <sz val="10"/>
      <color rgb="FF0070C0"/>
      <name val="Arial Cyr"/>
      <charset val="204"/>
    </font>
    <font>
      <sz val="11"/>
      <color indexed="8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lightGray"/>
    </fill>
    <fill>
      <patternFill patternType="mediumGray">
        <bgColor indexed="9"/>
      </patternFill>
    </fill>
    <fill>
      <patternFill patternType="mediumGray">
        <bgColor indexed="22"/>
      </patternFill>
    </fill>
    <fill>
      <patternFill patternType="solid">
        <fgColor indexed="59"/>
        <bgColor indexed="64"/>
      </patternFill>
    </fill>
    <fill>
      <patternFill patternType="lightTrellis">
        <b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3"/>
        <bgColor indexed="43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>
        <bgColor rgb="FF00B0F0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</fills>
  <borders count="1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9"/>
      </left>
      <right style="double">
        <color indexed="9"/>
      </right>
      <top/>
      <bottom style="double">
        <color indexed="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9"/>
      </right>
      <top/>
      <bottom style="double">
        <color indexed="9"/>
      </bottom>
      <diagonal/>
    </border>
    <border>
      <left style="double">
        <color indexed="9"/>
      </left>
      <right style="medium">
        <color indexed="64"/>
      </right>
      <top style="double">
        <color indexed="9"/>
      </top>
      <bottom style="double">
        <color indexed="9"/>
      </bottom>
      <diagonal/>
    </border>
    <border>
      <left style="medium">
        <color indexed="64"/>
      </left>
      <right style="medium">
        <color indexed="64"/>
      </right>
      <top style="double">
        <color indexed="9"/>
      </top>
      <bottom style="double">
        <color indexed="9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9"/>
      </left>
      <right/>
      <top style="double">
        <color indexed="9"/>
      </top>
      <bottom/>
      <diagonal/>
    </border>
    <border>
      <left/>
      <right style="double">
        <color indexed="9"/>
      </right>
      <top style="double">
        <color indexed="9"/>
      </top>
      <bottom/>
      <diagonal/>
    </border>
    <border>
      <left style="double">
        <color indexed="9"/>
      </left>
      <right/>
      <top/>
      <bottom style="double">
        <color indexed="9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9"/>
      </right>
      <top style="double">
        <color indexed="9"/>
      </top>
      <bottom/>
      <diagonal/>
    </border>
    <border>
      <left style="double">
        <color indexed="64"/>
      </left>
      <right style="double">
        <color indexed="9"/>
      </right>
      <top/>
      <bottom style="double">
        <color indexed="9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/>
      <diagonal/>
    </border>
    <border>
      <left style="double">
        <color indexed="9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9"/>
      </top>
      <bottom style="double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medium">
        <color theme="1" tint="0.34998626667073579"/>
      </right>
      <top style="double">
        <color indexed="64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double">
        <color indexed="64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auto="1"/>
      </right>
      <top style="double">
        <color indexed="64"/>
      </top>
      <bottom style="medium">
        <color theme="1" tint="0.34998626667073579"/>
      </bottom>
      <diagonal/>
    </border>
    <border>
      <left style="thin">
        <color auto="1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auto="1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1644">
    <xf numFmtId="0" fontId="0" fillId="0" borderId="0"/>
    <xf numFmtId="0" fontId="64" fillId="2" borderId="0" applyNumberFormat="0" applyBorder="0" applyAlignment="0" applyProtection="0"/>
    <xf numFmtId="0" fontId="86" fillId="2" borderId="0" applyNumberFormat="0" applyBorder="0" applyAlignment="0" applyProtection="0"/>
    <xf numFmtId="0" fontId="64" fillId="3" borderId="0" applyNumberFormat="0" applyBorder="0" applyAlignment="0" applyProtection="0"/>
    <xf numFmtId="0" fontId="86" fillId="3" borderId="0" applyNumberFormat="0" applyBorder="0" applyAlignment="0" applyProtection="0"/>
    <xf numFmtId="0" fontId="64" fillId="4" borderId="0" applyNumberFormat="0" applyBorder="0" applyAlignment="0" applyProtection="0"/>
    <xf numFmtId="0" fontId="86" fillId="4" borderId="0" applyNumberFormat="0" applyBorder="0" applyAlignment="0" applyProtection="0"/>
    <xf numFmtId="0" fontId="64" fillId="5" borderId="0" applyNumberFormat="0" applyBorder="0" applyAlignment="0" applyProtection="0"/>
    <xf numFmtId="0" fontId="86" fillId="5" borderId="0" applyNumberFormat="0" applyBorder="0" applyAlignment="0" applyProtection="0"/>
    <xf numFmtId="0" fontId="64" fillId="6" borderId="0" applyNumberFormat="0" applyBorder="0" applyAlignment="0" applyProtection="0"/>
    <xf numFmtId="0" fontId="86" fillId="6" borderId="0" applyNumberFormat="0" applyBorder="0" applyAlignment="0" applyProtection="0"/>
    <xf numFmtId="0" fontId="64" fillId="7" borderId="0" applyNumberFormat="0" applyBorder="0" applyAlignment="0" applyProtection="0"/>
    <xf numFmtId="0" fontId="86" fillId="7" borderId="0" applyNumberFormat="0" applyBorder="0" applyAlignment="0" applyProtection="0"/>
    <xf numFmtId="0" fontId="64" fillId="8" borderId="0" applyNumberFormat="0" applyBorder="0" applyAlignment="0" applyProtection="0"/>
    <xf numFmtId="0" fontId="86" fillId="8" borderId="0" applyNumberFormat="0" applyBorder="0" applyAlignment="0" applyProtection="0"/>
    <xf numFmtId="0" fontId="64" fillId="9" borderId="0" applyNumberFormat="0" applyBorder="0" applyAlignment="0" applyProtection="0"/>
    <xf numFmtId="0" fontId="86" fillId="9" borderId="0" applyNumberFormat="0" applyBorder="0" applyAlignment="0" applyProtection="0"/>
    <xf numFmtId="0" fontId="64" fillId="10" borderId="0" applyNumberFormat="0" applyBorder="0" applyAlignment="0" applyProtection="0"/>
    <xf numFmtId="0" fontId="86" fillId="10" borderId="0" applyNumberFormat="0" applyBorder="0" applyAlignment="0" applyProtection="0"/>
    <xf numFmtId="0" fontId="64" fillId="5" borderId="0" applyNumberFormat="0" applyBorder="0" applyAlignment="0" applyProtection="0"/>
    <xf numFmtId="0" fontId="86" fillId="5" borderId="0" applyNumberFormat="0" applyBorder="0" applyAlignment="0" applyProtection="0"/>
    <xf numFmtId="0" fontId="64" fillId="8" borderId="0" applyNumberFormat="0" applyBorder="0" applyAlignment="0" applyProtection="0"/>
    <xf numFmtId="0" fontId="86" fillId="8" borderId="0" applyNumberFormat="0" applyBorder="0" applyAlignment="0" applyProtection="0"/>
    <xf numFmtId="0" fontId="64" fillId="11" borderId="0" applyNumberFormat="0" applyBorder="0" applyAlignment="0" applyProtection="0"/>
    <xf numFmtId="0" fontId="86" fillId="11" borderId="0" applyNumberFormat="0" applyBorder="0" applyAlignment="0" applyProtection="0"/>
    <xf numFmtId="0" fontId="65" fillId="12" borderId="0" applyNumberFormat="0" applyBorder="0" applyAlignment="0" applyProtection="0"/>
    <xf numFmtId="0" fontId="87" fillId="12" borderId="0" applyNumberFormat="0" applyBorder="0" applyAlignment="0" applyProtection="0"/>
    <xf numFmtId="0" fontId="65" fillId="9" borderId="0" applyNumberFormat="0" applyBorder="0" applyAlignment="0" applyProtection="0"/>
    <xf numFmtId="0" fontId="87" fillId="9" borderId="0" applyNumberFormat="0" applyBorder="0" applyAlignment="0" applyProtection="0"/>
    <xf numFmtId="0" fontId="65" fillId="10" borderId="0" applyNumberFormat="0" applyBorder="0" applyAlignment="0" applyProtection="0"/>
    <xf numFmtId="0" fontId="87" fillId="10" borderId="0" applyNumberFormat="0" applyBorder="0" applyAlignment="0" applyProtection="0"/>
    <xf numFmtId="0" fontId="65" fillId="13" borderId="0" applyNumberFormat="0" applyBorder="0" applyAlignment="0" applyProtection="0"/>
    <xf numFmtId="0" fontId="87" fillId="13" borderId="0" applyNumberFormat="0" applyBorder="0" applyAlignment="0" applyProtection="0"/>
    <xf numFmtId="0" fontId="65" fillId="14" borderId="0" applyNumberFormat="0" applyBorder="0" applyAlignment="0" applyProtection="0"/>
    <xf numFmtId="0" fontId="87" fillId="14" borderId="0" applyNumberFormat="0" applyBorder="0" applyAlignment="0" applyProtection="0"/>
    <xf numFmtId="0" fontId="65" fillId="15" borderId="0" applyNumberFormat="0" applyBorder="0" applyAlignment="0" applyProtection="0"/>
    <xf numFmtId="0" fontId="87" fillId="15" borderId="0" applyNumberFormat="0" applyBorder="0" applyAlignment="0" applyProtection="0"/>
    <xf numFmtId="0" fontId="65" fillId="16" borderId="0" applyNumberFormat="0" applyBorder="0" applyAlignment="0" applyProtection="0"/>
    <xf numFmtId="0" fontId="87" fillId="16" borderId="0" applyNumberFormat="0" applyBorder="0" applyAlignment="0" applyProtection="0"/>
    <xf numFmtId="0" fontId="65" fillId="17" borderId="0" applyNumberFormat="0" applyBorder="0" applyAlignment="0" applyProtection="0"/>
    <xf numFmtId="0" fontId="87" fillId="17" borderId="0" applyNumberFormat="0" applyBorder="0" applyAlignment="0" applyProtection="0"/>
    <xf numFmtId="0" fontId="65" fillId="18" borderId="0" applyNumberFormat="0" applyBorder="0" applyAlignment="0" applyProtection="0"/>
    <xf numFmtId="0" fontId="87" fillId="18" borderId="0" applyNumberFormat="0" applyBorder="0" applyAlignment="0" applyProtection="0"/>
    <xf numFmtId="0" fontId="65" fillId="13" borderId="0" applyNumberFormat="0" applyBorder="0" applyAlignment="0" applyProtection="0"/>
    <xf numFmtId="0" fontId="87" fillId="13" borderId="0" applyNumberFormat="0" applyBorder="0" applyAlignment="0" applyProtection="0"/>
    <xf numFmtId="0" fontId="65" fillId="14" borderId="0" applyNumberFormat="0" applyBorder="0" applyAlignment="0" applyProtection="0"/>
    <xf numFmtId="0" fontId="87" fillId="14" borderId="0" applyNumberFormat="0" applyBorder="0" applyAlignment="0" applyProtection="0"/>
    <xf numFmtId="0" fontId="65" fillId="19" borderId="0" applyNumberFormat="0" applyBorder="0" applyAlignment="0" applyProtection="0"/>
    <xf numFmtId="0" fontId="87" fillId="19" borderId="0" applyNumberFormat="0" applyBorder="0" applyAlignment="0" applyProtection="0"/>
    <xf numFmtId="0" fontId="66" fillId="7" borderId="1" applyNumberFormat="0" applyAlignment="0" applyProtection="0"/>
    <xf numFmtId="0" fontId="88" fillId="7" borderId="1" applyNumberFormat="0" applyAlignment="0" applyProtection="0"/>
    <xf numFmtId="0" fontId="67" fillId="20" borderId="2" applyNumberFormat="0" applyAlignment="0" applyProtection="0"/>
    <xf numFmtId="0" fontId="89" fillId="20" borderId="2" applyNumberFormat="0" applyAlignment="0" applyProtection="0"/>
    <xf numFmtId="0" fontId="68" fillId="20" borderId="1" applyNumberFormat="0" applyAlignment="0" applyProtection="0"/>
    <xf numFmtId="0" fontId="90" fillId="20" borderId="1" applyNumberFormat="0" applyAlignment="0" applyProtection="0"/>
    <xf numFmtId="169" fontId="13" fillId="0" borderId="0" applyFont="0" applyFill="0" applyBorder="0" applyAlignment="0" applyProtection="0"/>
    <xf numFmtId="0" fontId="69" fillId="0" borderId="3" applyNumberFormat="0" applyFill="0" applyAlignment="0" applyProtection="0"/>
    <xf numFmtId="0" fontId="91" fillId="0" borderId="3" applyNumberFormat="0" applyFill="0" applyAlignment="0" applyProtection="0"/>
    <xf numFmtId="0" fontId="70" fillId="0" borderId="4" applyNumberFormat="0" applyFill="0" applyAlignment="0" applyProtection="0"/>
    <xf numFmtId="0" fontId="92" fillId="0" borderId="4" applyNumberFormat="0" applyFill="0" applyAlignment="0" applyProtection="0"/>
    <xf numFmtId="0" fontId="71" fillId="0" borderId="5" applyNumberFormat="0" applyFill="0" applyAlignment="0" applyProtection="0"/>
    <xf numFmtId="0" fontId="93" fillId="0" borderId="5" applyNumberFormat="0" applyFill="0" applyAlignment="0" applyProtection="0"/>
    <xf numFmtId="0" fontId="7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2" fillId="0" borderId="6" applyNumberFormat="0" applyFill="0" applyAlignment="0" applyProtection="0"/>
    <xf numFmtId="0" fontId="94" fillId="0" borderId="6" applyNumberFormat="0" applyFill="0" applyAlignment="0" applyProtection="0"/>
    <xf numFmtId="0" fontId="73" fillId="21" borderId="7" applyNumberFormat="0" applyAlignment="0" applyProtection="0"/>
    <xf numFmtId="0" fontId="95" fillId="21" borderId="7" applyNumberFormat="0" applyAlignment="0" applyProtection="0"/>
    <xf numFmtId="0" fontId="7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97" fillId="22" borderId="0" applyNumberFormat="0" applyBorder="0" applyAlignment="0" applyProtection="0"/>
    <xf numFmtId="0" fontId="13" fillId="0" borderId="0"/>
    <xf numFmtId="0" fontId="83" fillId="0" borderId="0"/>
    <xf numFmtId="0" fontId="85" fillId="0" borderId="0"/>
    <xf numFmtId="0" fontId="103" fillId="0" borderId="0"/>
    <xf numFmtId="0" fontId="13" fillId="0" borderId="0"/>
    <xf numFmtId="0" fontId="76" fillId="3" borderId="0" applyNumberFormat="0" applyBorder="0" applyAlignment="0" applyProtection="0"/>
    <xf numFmtId="0" fontId="98" fillId="3" borderId="0" applyNumberFormat="0" applyBorder="0" applyAlignment="0" applyProtection="0"/>
    <xf numFmtId="0" fontId="7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" fillId="23" borderId="8" applyNumberFormat="0" applyFont="0" applyAlignment="0" applyProtection="0"/>
    <xf numFmtId="0" fontId="83" fillId="23" borderId="8" applyNumberFormat="0" applyFont="0" applyAlignment="0" applyProtection="0"/>
    <xf numFmtId="0" fontId="85" fillId="23" borderId="8" applyNumberFormat="0" applyFont="0" applyAlignment="0" applyProtection="0"/>
    <xf numFmtId="9" fontId="1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78" fillId="0" borderId="9" applyNumberFormat="0" applyFill="0" applyAlignment="0" applyProtection="0"/>
    <xf numFmtId="0" fontId="100" fillId="0" borderId="9" applyNumberFormat="0" applyFill="0" applyAlignment="0" applyProtection="0"/>
    <xf numFmtId="0" fontId="7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1" fontId="13" fillId="0" borderId="0" applyFont="0" applyFill="0" applyBorder="0" applyAlignment="0" applyProtection="0"/>
    <xf numFmtId="171" fontId="83" fillId="0" borderId="0" applyFont="0" applyFill="0" applyBorder="0" applyAlignment="0" applyProtection="0"/>
    <xf numFmtId="171" fontId="85" fillId="0" borderId="0" applyFont="0" applyFill="0" applyBorder="0" applyAlignment="0" applyProtection="0"/>
    <xf numFmtId="0" fontId="80" fillId="4" borderId="0" applyNumberFormat="0" applyBorder="0" applyAlignment="0" applyProtection="0"/>
    <xf numFmtId="0" fontId="102" fillId="4" borderId="0" applyNumberFormat="0" applyBorder="0" applyAlignment="0" applyProtection="0"/>
    <xf numFmtId="0" fontId="15" fillId="0" borderId="0"/>
    <xf numFmtId="0" fontId="12" fillId="0" borderId="0"/>
    <xf numFmtId="9" fontId="13" fillId="0" borderId="0" applyFont="0" applyFill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18" fillId="12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18" fillId="13" borderId="0" applyNumberFormat="0" applyBorder="0" applyAlignment="0" applyProtection="0"/>
    <xf numFmtId="0" fontId="118" fillId="14" borderId="0" applyNumberFormat="0" applyBorder="0" applyAlignment="0" applyProtection="0"/>
    <xf numFmtId="0" fontId="118" fillId="15" borderId="0" applyNumberFormat="0" applyBorder="0" applyAlignment="0" applyProtection="0"/>
    <xf numFmtId="0" fontId="118" fillId="16" borderId="0" applyNumberFormat="0" applyBorder="0" applyAlignment="0" applyProtection="0"/>
    <xf numFmtId="0" fontId="118" fillId="17" borderId="0" applyNumberFormat="0" applyBorder="0" applyAlignment="0" applyProtection="0"/>
    <xf numFmtId="0" fontId="118" fillId="18" borderId="0" applyNumberFormat="0" applyBorder="0" applyAlignment="0" applyProtection="0"/>
    <xf numFmtId="0" fontId="118" fillId="13" borderId="0" applyNumberFormat="0" applyBorder="0" applyAlignment="0" applyProtection="0"/>
    <xf numFmtId="0" fontId="118" fillId="14" borderId="0" applyNumberFormat="0" applyBorder="0" applyAlignment="0" applyProtection="0"/>
    <xf numFmtId="0" fontId="118" fillId="19" borderId="0" applyNumberFormat="0" applyBorder="0" applyAlignment="0" applyProtection="0"/>
    <xf numFmtId="0" fontId="119" fillId="7" borderId="1" applyNumberFormat="0" applyAlignment="0" applyProtection="0"/>
    <xf numFmtId="0" fontId="120" fillId="20" borderId="2" applyNumberFormat="0" applyAlignment="0" applyProtection="0"/>
    <xf numFmtId="0" fontId="121" fillId="20" borderId="1" applyNumberFormat="0" applyAlignment="0" applyProtection="0"/>
    <xf numFmtId="0" fontId="122" fillId="0" borderId="3" applyNumberFormat="0" applyFill="0" applyAlignment="0" applyProtection="0"/>
    <xf numFmtId="0" fontId="123" fillId="0" borderId="4" applyNumberFormat="0" applyFill="0" applyAlignment="0" applyProtection="0"/>
    <xf numFmtId="0" fontId="124" fillId="0" borderId="5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6" applyNumberFormat="0" applyFill="0" applyAlignment="0" applyProtection="0"/>
    <xf numFmtId="0" fontId="126" fillId="21" borderId="7" applyNumberFormat="0" applyAlignment="0" applyProtection="0"/>
    <xf numFmtId="0" fontId="127" fillId="22" borderId="0" applyNumberFormat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5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5" fillId="0" borderId="0"/>
    <xf numFmtId="0" fontId="1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7" fillId="0" borderId="0"/>
    <xf numFmtId="0" fontId="15" fillId="0" borderId="0"/>
    <xf numFmtId="0" fontId="15" fillId="0" borderId="0"/>
    <xf numFmtId="0" fontId="117" fillId="0" borderId="0"/>
    <xf numFmtId="0" fontId="117" fillId="0" borderId="0"/>
    <xf numFmtId="0" fontId="128" fillId="3" borderId="0" applyNumberFormat="0" applyBorder="0" applyAlignment="0" applyProtection="0"/>
    <xf numFmtId="0" fontId="129" fillId="0" borderId="0" applyNumberFormat="0" applyFill="0" applyBorder="0" applyAlignment="0" applyProtection="0"/>
    <xf numFmtId="0" fontId="130" fillId="23" borderId="8" applyNumberFormat="0" applyFont="0" applyAlignment="0" applyProtection="0"/>
    <xf numFmtId="0" fontId="117" fillId="23" borderId="8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1" fillId="0" borderId="9" applyNumberFormat="0" applyFill="0" applyAlignment="0" applyProtection="0"/>
    <xf numFmtId="0" fontId="132" fillId="0" borderId="0" applyNumberFormat="0" applyFill="0" applyBorder="0" applyAlignment="0" applyProtection="0"/>
    <xf numFmtId="191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91" fontId="15" fillId="0" borderId="0" applyFont="0" applyFill="0" applyBorder="0" applyAlignment="0" applyProtection="0"/>
    <xf numFmtId="171" fontId="8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70" fontId="117" fillId="0" borderId="0" applyFont="0" applyFill="0" applyBorder="0" applyAlignment="0" applyProtection="0"/>
    <xf numFmtId="170" fontId="117" fillId="0" borderId="0" applyFont="0" applyFill="0" applyBorder="0" applyAlignment="0" applyProtection="0"/>
    <xf numFmtId="191" fontId="15" fillId="0" borderId="0" applyFont="0" applyFill="0" applyBorder="0" applyAlignment="0" applyProtection="0"/>
    <xf numFmtId="170" fontId="117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91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70" fontId="13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33" fillId="4" borderId="0" applyNumberFormat="0" applyBorder="0" applyAlignment="0" applyProtection="0"/>
    <xf numFmtId="0" fontId="10" fillId="0" borderId="0"/>
    <xf numFmtId="170" fontId="10" fillId="0" borderId="0" applyFont="0" applyFill="0" applyBorder="0" applyAlignment="0" applyProtection="0"/>
    <xf numFmtId="0" fontId="135" fillId="0" borderId="0"/>
    <xf numFmtId="0" fontId="136" fillId="0" borderId="0"/>
    <xf numFmtId="0" fontId="137" fillId="0" borderId="0" applyNumberFormat="0" applyFill="0" applyBorder="0" applyAlignment="0" applyProtection="0"/>
    <xf numFmtId="193" fontId="13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164" fontId="140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194" fontId="142" fillId="0" borderId="0" applyFont="0" applyFill="0" applyBorder="0" applyAlignment="0" applyProtection="0"/>
    <xf numFmtId="0" fontId="84" fillId="0" borderId="0"/>
    <xf numFmtId="40" fontId="143" fillId="0" borderId="0" applyFont="0" applyFill="0" applyBorder="0" applyAlignment="0" applyProtection="0"/>
    <xf numFmtId="38" fontId="14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3" fillId="0" borderId="0" applyFont="0" applyFill="0" applyBorder="0" applyAlignment="0" applyProtection="0"/>
    <xf numFmtId="40" fontId="144" fillId="0" borderId="0" applyFont="0" applyFill="0" applyBorder="0" applyAlignment="0" applyProtection="0"/>
    <xf numFmtId="38" fontId="144" fillId="0" borderId="0" applyFont="0" applyFill="0" applyBorder="0" applyAlignment="0" applyProtection="0"/>
    <xf numFmtId="0" fontId="136" fillId="0" borderId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38" fontId="142" fillId="0" borderId="0" applyFont="0" applyFill="0" applyBorder="0" applyAlignment="0" applyProtection="0"/>
    <xf numFmtId="40" fontId="142" fillId="0" borderId="0" applyFont="0" applyFill="0" applyBorder="0" applyAlignment="0" applyProtection="0"/>
    <xf numFmtId="0" fontId="145" fillId="0" borderId="0"/>
    <xf numFmtId="0" fontId="84" fillId="0" borderId="0"/>
    <xf numFmtId="40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0" fontId="84" fillId="0" borderId="0"/>
    <xf numFmtId="0" fontId="142" fillId="0" borderId="0" applyProtection="0"/>
    <xf numFmtId="0" fontId="142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7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7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2" fillId="0" borderId="0" applyProtection="0"/>
    <xf numFmtId="0" fontId="147" fillId="0" borderId="0" applyProtection="0"/>
    <xf numFmtId="0" fontId="146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2" fillId="0" borderId="0" applyProtection="0"/>
    <xf numFmtId="0" fontId="147" fillId="0" borderId="0" applyProtection="0"/>
    <xf numFmtId="0" fontId="147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7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2" fillId="0" borderId="0" applyProtection="0"/>
    <xf numFmtId="0" fontId="142" fillId="0" borderId="0" applyProtection="0"/>
    <xf numFmtId="0" fontId="147" fillId="0" borderId="0" applyProtection="0"/>
    <xf numFmtId="0" fontId="146" fillId="0" borderId="0" applyProtection="0"/>
    <xf numFmtId="0" fontId="146" fillId="0" borderId="0" applyProtection="0"/>
    <xf numFmtId="0" fontId="142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7" fillId="0" borderId="0" applyProtection="0"/>
    <xf numFmtId="0" fontId="146" fillId="0" borderId="0" applyProtection="0"/>
    <xf numFmtId="0" fontId="142" fillId="0" borderId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9" fontId="84" fillId="36" borderId="0"/>
    <xf numFmtId="0" fontId="84" fillId="0" borderId="0"/>
    <xf numFmtId="0" fontId="148" fillId="0" borderId="0" applyFont="0"/>
    <xf numFmtId="0" fontId="149" fillId="8" borderId="0" applyNumberFormat="0" applyBorder="0" applyAlignment="0" applyProtection="0">
      <alignment vertical="center"/>
    </xf>
    <xf numFmtId="0" fontId="149" fillId="9" borderId="0" applyNumberFormat="0" applyBorder="0" applyAlignment="0" applyProtection="0">
      <alignment vertical="center"/>
    </xf>
    <xf numFmtId="0" fontId="149" fillId="23" borderId="0" applyNumberFormat="0" applyBorder="0" applyAlignment="0" applyProtection="0">
      <alignment vertical="center"/>
    </xf>
    <xf numFmtId="0" fontId="149" fillId="7" borderId="0" applyNumberFormat="0" applyBorder="0" applyAlignment="0" applyProtection="0">
      <alignment vertical="center"/>
    </xf>
    <xf numFmtId="0" fontId="149" fillId="6" borderId="0" applyNumberFormat="0" applyBorder="0" applyAlignment="0" applyProtection="0">
      <alignment vertical="center"/>
    </xf>
    <xf numFmtId="0" fontId="149" fillId="23" borderId="0" applyNumberFormat="0" applyBorder="0" applyAlignment="0" applyProtection="0">
      <alignment vertical="center"/>
    </xf>
    <xf numFmtId="194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0" fontId="149" fillId="6" borderId="0" applyNumberFormat="0" applyBorder="0" applyAlignment="0" applyProtection="0">
      <alignment vertical="center"/>
    </xf>
    <xf numFmtId="0" fontId="149" fillId="9" borderId="0" applyNumberFormat="0" applyBorder="0" applyAlignment="0" applyProtection="0">
      <alignment vertical="center"/>
    </xf>
    <xf numFmtId="0" fontId="149" fillId="22" borderId="0" applyNumberFormat="0" applyBorder="0" applyAlignment="0" applyProtection="0">
      <alignment vertical="center"/>
    </xf>
    <xf numFmtId="0" fontId="149" fillId="3" borderId="0" applyNumberFormat="0" applyBorder="0" applyAlignment="0" applyProtection="0">
      <alignment vertical="center"/>
    </xf>
    <xf numFmtId="0" fontId="149" fillId="6" borderId="0" applyNumberFormat="0" applyBorder="0" applyAlignment="0" applyProtection="0">
      <alignment vertical="center"/>
    </xf>
    <xf numFmtId="0" fontId="149" fillId="23" borderId="0" applyNumberFormat="0" applyBorder="0" applyAlignment="0" applyProtection="0">
      <alignment vertical="center"/>
    </xf>
    <xf numFmtId="0" fontId="150" fillId="6" borderId="0" applyNumberFormat="0" applyBorder="0" applyAlignment="0" applyProtection="0">
      <alignment vertical="center"/>
    </xf>
    <xf numFmtId="0" fontId="150" fillId="19" borderId="0" applyNumberFormat="0" applyBorder="0" applyAlignment="0" applyProtection="0">
      <alignment vertical="center"/>
    </xf>
    <xf numFmtId="0" fontId="150" fillId="11" borderId="0" applyNumberFormat="0" applyBorder="0" applyAlignment="0" applyProtection="0">
      <alignment vertical="center"/>
    </xf>
    <xf numFmtId="0" fontId="150" fillId="3" borderId="0" applyNumberFormat="0" applyBorder="0" applyAlignment="0" applyProtection="0">
      <alignment vertical="center"/>
    </xf>
    <xf numFmtId="0" fontId="150" fillId="6" borderId="0" applyNumberFormat="0" applyBorder="0" applyAlignment="0" applyProtection="0">
      <alignment vertical="center"/>
    </xf>
    <xf numFmtId="0" fontId="150" fillId="9" borderId="0" applyNumberFormat="0" applyBorder="0" applyAlignment="0" applyProtection="0">
      <alignment vertical="center"/>
    </xf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7" fillId="45" borderId="0" applyNumberFormat="0" applyBorder="0" applyAlignment="0" applyProtection="0"/>
    <xf numFmtId="0" fontId="151" fillId="16" borderId="0" applyNumberFormat="0" applyBorder="0" applyAlignment="0" applyProtection="0">
      <alignment vertical="center"/>
    </xf>
    <xf numFmtId="0" fontId="86" fillId="46" borderId="0" applyNumberFormat="0" applyBorder="0" applyAlignment="0" applyProtection="0"/>
    <xf numFmtId="0" fontId="86" fillId="47" borderId="0" applyNumberFormat="0" applyBorder="0" applyAlignment="0" applyProtection="0"/>
    <xf numFmtId="0" fontId="87" fillId="48" borderId="0" applyNumberFormat="0" applyBorder="0" applyAlignment="0" applyProtection="0"/>
    <xf numFmtId="0" fontId="151" fillId="17" borderId="0" applyNumberFormat="0" applyBorder="0" applyAlignment="0" applyProtection="0">
      <alignment vertical="center"/>
    </xf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7" fillId="47" borderId="0" applyNumberFormat="0" applyBorder="0" applyAlignment="0" applyProtection="0"/>
    <xf numFmtId="0" fontId="151" fillId="18" borderId="0" applyNumberFormat="0" applyBorder="0" applyAlignment="0" applyProtection="0">
      <alignment vertical="center"/>
    </xf>
    <xf numFmtId="0" fontId="86" fillId="44" borderId="0" applyNumberFormat="0" applyBorder="0" applyAlignment="0" applyProtection="0"/>
    <xf numFmtId="0" fontId="86" fillId="47" borderId="0" applyNumberFormat="0" applyBorder="0" applyAlignment="0" applyProtection="0"/>
    <xf numFmtId="0" fontId="87" fillId="47" borderId="0" applyNumberFormat="0" applyBorder="0" applyAlignment="0" applyProtection="0"/>
    <xf numFmtId="0" fontId="151" fillId="13" borderId="0" applyNumberFormat="0" applyBorder="0" applyAlignment="0" applyProtection="0">
      <alignment vertical="center"/>
    </xf>
    <xf numFmtId="0" fontId="86" fillId="50" borderId="0" applyNumberFormat="0" applyBorder="0" applyAlignment="0" applyProtection="0"/>
    <xf numFmtId="0" fontId="86" fillId="44" borderId="0" applyNumberFormat="0" applyBorder="0" applyAlignment="0" applyProtection="0"/>
    <xf numFmtId="0" fontId="87" fillId="45" borderId="0" applyNumberFormat="0" applyBorder="0" applyAlignment="0" applyProtection="0"/>
    <xf numFmtId="0" fontId="151" fillId="14" borderId="0" applyNumberFormat="0" applyBorder="0" applyAlignment="0" applyProtection="0">
      <alignment vertical="center"/>
    </xf>
    <xf numFmtId="0" fontId="86" fillId="46" borderId="0" applyNumberFormat="0" applyBorder="0" applyAlignment="0" applyProtection="0"/>
    <xf numFmtId="0" fontId="86" fillId="51" borderId="0" applyNumberFormat="0" applyBorder="0" applyAlignment="0" applyProtection="0"/>
    <xf numFmtId="0" fontId="87" fillId="51" borderId="0" applyNumberFormat="0" applyBorder="0" applyAlignment="0" applyProtection="0"/>
    <xf numFmtId="0" fontId="151" fillId="19" borderId="0" applyNumberFormat="0" applyBorder="0" applyAlignment="0" applyProtection="0">
      <alignment vertical="center"/>
    </xf>
    <xf numFmtId="196" fontId="152" fillId="0" borderId="0" applyFont="0" applyFill="0" applyBorder="0" applyAlignment="0" applyProtection="0"/>
    <xf numFmtId="197" fontId="152" fillId="0" borderId="0" applyFont="0" applyFill="0" applyBorder="0" applyAlignment="0" applyProtection="0"/>
    <xf numFmtId="0" fontId="153" fillId="0" borderId="0"/>
    <xf numFmtId="198" fontId="153" fillId="0" borderId="0" applyFont="0" applyFill="0" applyBorder="0" applyAlignment="0" applyProtection="0"/>
    <xf numFmtId="199" fontId="153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53" fillId="0" borderId="0"/>
    <xf numFmtId="0" fontId="84" fillId="0" borderId="0" applyFill="0" applyBorder="0" applyAlignment="0"/>
    <xf numFmtId="200" fontId="154" fillId="0" borderId="0" applyFill="0" applyBorder="0" applyAlignment="0"/>
    <xf numFmtId="201" fontId="152" fillId="0" borderId="0" applyFill="0" applyBorder="0" applyAlignment="0"/>
    <xf numFmtId="0" fontId="84" fillId="0" borderId="0" applyFill="0" applyBorder="0" applyAlignment="0"/>
    <xf numFmtId="0" fontId="84" fillId="0" borderId="0" applyFill="0" applyBorder="0" applyAlignment="0"/>
    <xf numFmtId="202" fontId="154" fillId="0" borderId="0" applyFill="0" applyBorder="0" applyAlignment="0"/>
    <xf numFmtId="203" fontId="152" fillId="0" borderId="0" applyFill="0" applyBorder="0" applyAlignment="0"/>
    <xf numFmtId="200" fontId="154" fillId="0" borderId="0" applyFill="0" applyBorder="0" applyAlignment="0"/>
    <xf numFmtId="0" fontId="155" fillId="52" borderId="1" applyNumberFormat="0" applyAlignment="0" applyProtection="0"/>
    <xf numFmtId="0" fontId="156" fillId="0" borderId="9" applyNumberFormat="0" applyFill="0" applyAlignment="0" applyProtection="0"/>
    <xf numFmtId="202" fontId="154" fillId="0" borderId="0" applyFont="0" applyFill="0" applyBorder="0" applyAlignment="0" applyProtection="0"/>
    <xf numFmtId="0" fontId="84" fillId="46" borderId="8" applyNumberFormat="0" applyFont="0" applyAlignment="0" applyProtection="0"/>
    <xf numFmtId="200" fontId="154" fillId="0" borderId="0" applyFont="0" applyFill="0" applyBorder="0" applyAlignment="0" applyProtection="0"/>
    <xf numFmtId="14" fontId="157" fillId="0" borderId="0" applyFill="0" applyBorder="0" applyAlignment="0"/>
    <xf numFmtId="0" fontId="94" fillId="53" borderId="0" applyNumberFormat="0" applyBorder="0" applyAlignment="0" applyProtection="0"/>
    <xf numFmtId="0" fontId="94" fillId="54" borderId="0" applyNumberFormat="0" applyBorder="0" applyAlignment="0" applyProtection="0"/>
    <xf numFmtId="0" fontId="94" fillId="55" borderId="0" applyNumberFormat="0" applyBorder="0" applyAlignment="0" applyProtection="0"/>
    <xf numFmtId="202" fontId="154" fillId="0" borderId="0" applyFill="0" applyBorder="0" applyAlignment="0"/>
    <xf numFmtId="200" fontId="154" fillId="0" borderId="0" applyFill="0" applyBorder="0" applyAlignment="0"/>
    <xf numFmtId="202" fontId="154" fillId="0" borderId="0" applyFill="0" applyBorder="0" applyAlignment="0"/>
    <xf numFmtId="203" fontId="152" fillId="0" borderId="0" applyFill="0" applyBorder="0" applyAlignment="0"/>
    <xf numFmtId="200" fontId="154" fillId="0" borderId="0" applyFill="0" applyBorder="0" applyAlignment="0"/>
    <xf numFmtId="0" fontId="88" fillId="51" borderId="1" applyNumberFormat="0" applyAlignment="0" applyProtection="0"/>
    <xf numFmtId="204" fontId="84" fillId="0" borderId="0" applyFont="0" applyFill="0" applyBorder="0" applyAlignment="0" applyProtection="0"/>
    <xf numFmtId="0" fontId="158" fillId="0" borderId="0" applyNumberFormat="0" applyFill="0" applyBorder="0" applyAlignment="0" applyProtection="0">
      <alignment vertical="top"/>
      <protection locked="0"/>
    </xf>
    <xf numFmtId="0" fontId="159" fillId="25" borderId="0" applyNumberFormat="0" applyBorder="0" applyAlignment="0" applyProtection="0"/>
    <xf numFmtId="0" fontId="16" fillId="0" borderId="22" applyNumberFormat="0" applyAlignment="0" applyProtection="0">
      <alignment horizontal="left" vertical="center"/>
    </xf>
    <xf numFmtId="0" fontId="16" fillId="0" borderId="33">
      <alignment horizontal="left"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159" fillId="56" borderId="39" applyNumberFormat="0" applyBorder="0" applyAlignment="0" applyProtection="0"/>
    <xf numFmtId="0" fontId="161" fillId="57" borderId="0" applyNumberFormat="0" applyBorder="0" applyAlignment="0" applyProtection="0"/>
    <xf numFmtId="202" fontId="154" fillId="0" borderId="0" applyFill="0" applyBorder="0" applyAlignment="0"/>
    <xf numFmtId="200" fontId="154" fillId="0" borderId="0" applyFill="0" applyBorder="0" applyAlignment="0"/>
    <xf numFmtId="202" fontId="154" fillId="0" borderId="0" applyFill="0" applyBorder="0" applyAlignment="0"/>
    <xf numFmtId="203" fontId="152" fillId="0" borderId="0" applyFill="0" applyBorder="0" applyAlignment="0"/>
    <xf numFmtId="200" fontId="154" fillId="0" borderId="0" applyFill="0" applyBorder="0" applyAlignment="0"/>
    <xf numFmtId="0" fontId="97" fillId="58" borderId="0" applyNumberFormat="0" applyBorder="0" applyAlignment="0" applyProtection="0"/>
    <xf numFmtId="205" fontId="162" fillId="0" borderId="0"/>
    <xf numFmtId="0" fontId="146" fillId="0" borderId="0">
      <alignment vertical="center"/>
    </xf>
    <xf numFmtId="0" fontId="142" fillId="0" borderId="0" applyProtection="0"/>
    <xf numFmtId="0" fontId="163" fillId="0" borderId="0"/>
    <xf numFmtId="0" fontId="164" fillId="0" borderId="0"/>
    <xf numFmtId="0" fontId="165" fillId="0" borderId="0" applyFont="0" applyAlignment="0">
      <alignment vertical="center"/>
    </xf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/>
    <xf numFmtId="0" fontId="84" fillId="0" borderId="0" applyFont="0" applyFill="0" applyBorder="0" applyAlignment="0" applyProtection="0"/>
    <xf numFmtId="206" fontId="142" fillId="0" borderId="0" applyFont="0" applyFill="0" applyBorder="0" applyAlignment="0" applyProtection="0"/>
    <xf numFmtId="10" fontId="142" fillId="0" borderId="0" applyFont="0" applyFill="0" applyBorder="0" applyAlignment="0" applyProtection="0"/>
    <xf numFmtId="202" fontId="154" fillId="0" borderId="0" applyFill="0" applyBorder="0" applyAlignment="0"/>
    <xf numFmtId="200" fontId="154" fillId="0" borderId="0" applyFill="0" applyBorder="0" applyAlignment="0"/>
    <xf numFmtId="202" fontId="154" fillId="0" borderId="0" applyFill="0" applyBorder="0" applyAlignment="0"/>
    <xf numFmtId="203" fontId="152" fillId="0" borderId="0" applyFill="0" applyBorder="0" applyAlignment="0"/>
    <xf numFmtId="200" fontId="154" fillId="0" borderId="0" applyFill="0" applyBorder="0" applyAlignment="0"/>
    <xf numFmtId="0" fontId="102" fillId="49" borderId="0" applyNumberFormat="0" applyBorder="0" applyAlignment="0" applyProtection="0"/>
    <xf numFmtId="0" fontId="89" fillId="52" borderId="2" applyNumberFormat="0" applyAlignment="0" applyProtection="0"/>
    <xf numFmtId="0" fontId="166" fillId="0" borderId="0" applyProtection="0"/>
    <xf numFmtId="0" fontId="146" fillId="0" borderId="0" applyProtection="0"/>
    <xf numFmtId="0" fontId="146" fillId="0" borderId="0" applyProtection="0"/>
    <xf numFmtId="49" fontId="157" fillId="0" borderId="0" applyFill="0" applyBorder="0" applyAlignment="0"/>
    <xf numFmtId="0" fontId="84" fillId="0" borderId="0" applyFill="0" applyBorder="0" applyAlignment="0"/>
    <xf numFmtId="205" fontId="84" fillId="0" borderId="0" applyFill="0" applyBorder="0" applyAlignment="0"/>
    <xf numFmtId="0" fontId="167" fillId="0" borderId="0" applyNumberFormat="0" applyFill="0" applyBorder="0" applyAlignment="0" applyProtection="0"/>
    <xf numFmtId="0" fontId="168" fillId="0" borderId="104" applyNumberFormat="0" applyFill="0" applyAlignment="0" applyProtection="0"/>
    <xf numFmtId="0" fontId="169" fillId="0" borderId="4" applyNumberFormat="0" applyFill="0" applyAlignment="0" applyProtection="0"/>
    <xf numFmtId="0" fontId="170" fillId="0" borderId="105" applyNumberFormat="0" applyFill="0" applyAlignment="0" applyProtection="0"/>
    <xf numFmtId="0" fontId="170" fillId="0" borderId="0" applyNumberFormat="0" applyFill="0" applyBorder="0" applyAlignment="0" applyProtection="0"/>
    <xf numFmtId="0" fontId="171" fillId="0" borderId="6" applyNumberFormat="0" applyFill="0" applyAlignment="0" applyProtection="0">
      <alignment vertical="center"/>
    </xf>
    <xf numFmtId="164" fontId="142" fillId="0" borderId="0" applyFont="0" applyFill="0" applyBorder="0" applyAlignment="0" applyProtection="0"/>
    <xf numFmtId="165" fontId="142" fillId="0" borderId="0" applyFont="0" applyFill="0" applyBorder="0" applyAlignment="0" applyProtection="0"/>
    <xf numFmtId="0" fontId="172" fillId="0" borderId="0"/>
    <xf numFmtId="207" fontId="142" fillId="0" borderId="0" applyFont="0" applyFill="0" applyBorder="0" applyAlignment="0" applyProtection="0"/>
    <xf numFmtId="202" fontId="142" fillId="0" borderId="0" applyFont="0" applyFill="0" applyBorder="0" applyAlignment="0" applyProtection="0"/>
    <xf numFmtId="0" fontId="95" fillId="48" borderId="7" applyNumberFormat="0" applyAlignment="0" applyProtection="0"/>
    <xf numFmtId="0" fontId="84" fillId="0" borderId="0"/>
    <xf numFmtId="0" fontId="144" fillId="0" borderId="0" applyFont="0" applyFill="0" applyBorder="0" applyAlignment="0" applyProtection="0"/>
    <xf numFmtId="0" fontId="144" fillId="0" borderId="0" applyFont="0" applyFill="0" applyBorder="0" applyAlignment="0" applyProtection="0"/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0" fontId="173" fillId="0" borderId="0"/>
    <xf numFmtId="0" fontId="84" fillId="0" borderId="0"/>
    <xf numFmtId="0" fontId="13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8" fontId="84" fillId="0" borderId="0" applyFont="0" applyFill="0" applyBorder="0" applyAlignment="0" applyProtection="0"/>
    <xf numFmtId="165" fontId="174" fillId="0" borderId="0" applyFont="0" applyFill="0" applyBorder="0" applyAlignment="0" applyProtection="0"/>
    <xf numFmtId="193" fontId="175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/>
    <xf numFmtId="0" fontId="139" fillId="0" borderId="0" applyNumberFormat="0" applyFill="0" applyBorder="0" applyAlignment="0" applyProtection="0"/>
    <xf numFmtId="0" fontId="176" fillId="0" borderId="0"/>
    <xf numFmtId="0" fontId="176" fillId="0" borderId="0"/>
    <xf numFmtId="0" fontId="177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46" fillId="0" borderId="0" applyProtection="0"/>
    <xf numFmtId="0" fontId="146" fillId="0" borderId="0" applyProtection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84" fillId="0" borderId="0"/>
    <xf numFmtId="0" fontId="84" fillId="0" borderId="0"/>
    <xf numFmtId="0" fontId="178" fillId="22" borderId="0" applyNumberFormat="0" applyBorder="0" applyAlignment="0" applyProtection="0">
      <alignment vertical="center"/>
    </xf>
    <xf numFmtId="0" fontId="148" fillId="23" borderId="8" applyNumberFormat="0" applyFont="0" applyAlignment="0" applyProtection="0">
      <alignment vertical="center"/>
    </xf>
    <xf numFmtId="199" fontId="176" fillId="0" borderId="0" applyFont="0" applyFill="0" applyBorder="0" applyAlignment="0" applyProtection="0"/>
    <xf numFmtId="191" fontId="179" fillId="0" borderId="0" applyFont="0" applyFill="0" applyBorder="0" applyAlignment="0" applyProtection="0"/>
    <xf numFmtId="191" fontId="179" fillId="0" borderId="0" applyFont="0" applyFill="0" applyBorder="0" applyAlignment="0" applyProtection="0"/>
    <xf numFmtId="191" fontId="179" fillId="0" borderId="0" applyFont="0" applyFill="0" applyBorder="0" applyAlignment="0" applyProtection="0"/>
    <xf numFmtId="191" fontId="179" fillId="0" borderId="0" applyFont="0" applyFill="0" applyBorder="0" applyAlignment="0" applyProtection="0"/>
    <xf numFmtId="191" fontId="179" fillId="0" borderId="0" applyFont="0" applyFill="0" applyBorder="0" applyAlignment="0" applyProtection="0"/>
    <xf numFmtId="191" fontId="179" fillId="0" borderId="0" applyFont="0" applyFill="0" applyBorder="0" applyAlignment="0" applyProtection="0"/>
    <xf numFmtId="191" fontId="179" fillId="0" borderId="0" applyFont="0" applyFill="0" applyBorder="0" applyAlignment="0" applyProtection="0"/>
    <xf numFmtId="191" fontId="179" fillId="0" borderId="0" applyFont="0" applyFill="0" applyBorder="0" applyAlignment="0" applyProtection="0"/>
    <xf numFmtId="199" fontId="179" fillId="0" borderId="0" applyFont="0" applyFill="0" applyBorder="0" applyAlignment="0" applyProtection="0"/>
    <xf numFmtId="199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91" fontId="84" fillId="0" borderId="0" applyFont="0" applyFill="0" applyBorder="0" applyAlignment="0" applyProtection="0"/>
    <xf numFmtId="199" fontId="176" fillId="0" borderId="0" applyFont="0" applyFill="0" applyBorder="0" applyAlignment="0" applyProtection="0"/>
    <xf numFmtId="0" fontId="180" fillId="0" borderId="106" applyNumberFormat="0" applyFill="0" applyAlignment="0" applyProtection="0">
      <alignment vertical="center"/>
    </xf>
    <xf numFmtId="0" fontId="181" fillId="5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5" borderId="0" applyNumberFormat="0" applyBorder="0" applyAlignment="0" applyProtection="0">
      <alignment vertical="center"/>
    </xf>
    <xf numFmtId="0" fontId="181" fillId="5" borderId="0" applyNumberFormat="0" applyBorder="0" applyAlignment="0" applyProtection="0">
      <alignment vertical="center"/>
    </xf>
    <xf numFmtId="0" fontId="181" fillId="5" borderId="0" applyNumberFormat="0" applyBorder="0" applyAlignment="0" applyProtection="0">
      <alignment vertical="center"/>
    </xf>
    <xf numFmtId="0" fontId="182" fillId="4" borderId="0" applyNumberFormat="0" applyBorder="0" applyAlignment="0" applyProtection="0">
      <alignment vertical="center"/>
    </xf>
    <xf numFmtId="0" fontId="182" fillId="4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4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82" fillId="6" borderId="0" applyNumberFormat="0" applyBorder="0" applyAlignment="0" applyProtection="0">
      <alignment vertical="center"/>
    </xf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0" fontId="183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81" fillId="5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77" fillId="0" borderId="0"/>
    <xf numFmtId="0" fontId="84" fillId="0" borderId="39" applyBorder="0">
      <alignment horizontal="center"/>
      <protection locked="0"/>
    </xf>
    <xf numFmtId="0" fontId="184" fillId="0" borderId="0" applyNumberFormat="0" applyFill="0" applyBorder="0" applyAlignment="0" applyProtection="0">
      <alignment vertical="center"/>
    </xf>
    <xf numFmtId="0" fontId="142" fillId="0" borderId="0" applyProtection="0"/>
    <xf numFmtId="199" fontId="84" fillId="0" borderId="0" applyFont="0" applyFill="0" applyBorder="0" applyAlignment="0" applyProtection="0"/>
    <xf numFmtId="198" fontId="84" fillId="0" borderId="0" applyFont="0" applyFill="0" applyBorder="0" applyAlignment="0" applyProtection="0"/>
    <xf numFmtId="199" fontId="84" fillId="0" borderId="0" applyFont="0" applyFill="0" applyBorder="0" applyAlignment="0" applyProtection="0"/>
    <xf numFmtId="198" fontId="84" fillId="0" borderId="0" applyFont="0" applyFill="0" applyBorder="0" applyAlignment="0" applyProtection="0"/>
    <xf numFmtId="0" fontId="185" fillId="0" borderId="0"/>
    <xf numFmtId="0" fontId="186" fillId="0" borderId="0" applyNumberFormat="0" applyFill="0" applyBorder="0" applyAlignment="0" applyProtection="0">
      <alignment vertical="center"/>
    </xf>
    <xf numFmtId="0" fontId="187" fillId="0" borderId="107" applyNumberFormat="0" applyFill="0" applyAlignment="0" applyProtection="0">
      <alignment vertical="center"/>
    </xf>
    <xf numFmtId="0" fontId="188" fillId="0" borderId="108" applyNumberFormat="0" applyFill="0" applyAlignment="0" applyProtection="0">
      <alignment vertical="center"/>
    </xf>
    <xf numFmtId="0" fontId="189" fillId="0" borderId="109" applyNumberFormat="0" applyFill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46" fillId="0" borderId="0" applyProtection="0"/>
    <xf numFmtId="0" fontId="190" fillId="21" borderId="7" applyNumberFormat="0" applyAlignment="0" applyProtection="0">
      <alignment vertical="center"/>
    </xf>
    <xf numFmtId="0" fontId="191" fillId="59" borderId="1" applyNumberFormat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207" fontId="142" fillId="0" borderId="0" applyFont="0" applyFill="0" applyBorder="0" applyAlignment="0" applyProtection="0"/>
    <xf numFmtId="0" fontId="150" fillId="60" borderId="0" applyNumberFormat="0" applyBorder="0" applyAlignment="0" applyProtection="0">
      <alignment vertical="center"/>
    </xf>
    <xf numFmtId="0" fontId="150" fillId="19" borderId="0" applyNumberFormat="0" applyBorder="0" applyAlignment="0" applyProtection="0">
      <alignment vertical="center"/>
    </xf>
    <xf numFmtId="0" fontId="150" fillId="11" borderId="0" applyNumberFormat="0" applyBorder="0" applyAlignment="0" applyProtection="0">
      <alignment vertical="center"/>
    </xf>
    <xf numFmtId="0" fontId="150" fillId="61" borderId="0" applyNumberFormat="0" applyBorder="0" applyAlignment="0" applyProtection="0">
      <alignment vertical="center"/>
    </xf>
    <xf numFmtId="0" fontId="150" fillId="14" borderId="0" applyNumberFormat="0" applyBorder="0" applyAlignment="0" applyProtection="0">
      <alignment vertical="center"/>
    </xf>
    <xf numFmtId="0" fontId="150" fillId="17" borderId="0" applyNumberFormat="0" applyBorder="0" applyAlignment="0" applyProtection="0">
      <alignment vertical="center"/>
    </xf>
    <xf numFmtId="0" fontId="194" fillId="22" borderId="1" applyNumberFormat="0" applyAlignment="0" applyProtection="0">
      <alignment vertical="center"/>
    </xf>
    <xf numFmtId="0" fontId="195" fillId="59" borderId="2" applyNumberFormat="0" applyAlignment="0" applyProtection="0">
      <alignment vertical="center"/>
    </xf>
    <xf numFmtId="202" fontId="84" fillId="0" borderId="0" applyFont="0" applyFill="0" applyBorder="0" applyAlignment="0" applyProtection="0"/>
    <xf numFmtId="207" fontId="84" fillId="0" borderId="0" applyFont="0" applyFill="0" applyBorder="0" applyAlignment="0" applyProtection="0"/>
    <xf numFmtId="0" fontId="193" fillId="0" borderId="110" applyNumberFormat="0" applyFill="0" applyAlignment="0" applyProtection="0">
      <alignment vertical="center"/>
    </xf>
    <xf numFmtId="0" fontId="196" fillId="0" borderId="0"/>
    <xf numFmtId="209" fontId="148" fillId="0" borderId="0" applyFont="0" applyFill="0" applyBorder="0" applyAlignment="0" applyProtection="0"/>
    <xf numFmtId="210" fontId="148" fillId="0" borderId="0" applyFont="0" applyFill="0" applyBorder="0" applyAlignment="0" applyProtection="0"/>
    <xf numFmtId="211" fontId="142" fillId="0" borderId="0" applyFont="0" applyFill="0" applyBorder="0" applyAlignment="0" applyProtection="0"/>
    <xf numFmtId="212" fontId="142" fillId="0" borderId="0" applyFont="0" applyFill="0" applyBorder="0" applyAlignment="0" applyProtection="0"/>
    <xf numFmtId="215" fontId="13" fillId="0" borderId="0" applyFont="0" applyFill="0" applyBorder="0" applyAlignment="0" applyProtection="0"/>
    <xf numFmtId="0" fontId="204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206" fillId="2" borderId="0" applyNumberFormat="0" applyBorder="0" applyAlignment="0" applyProtection="0"/>
    <xf numFmtId="0" fontId="206" fillId="3" borderId="0" applyNumberFormat="0" applyBorder="0" applyAlignment="0" applyProtection="0"/>
    <xf numFmtId="0" fontId="206" fillId="4" borderId="0" applyNumberFormat="0" applyBorder="0" applyAlignment="0" applyProtection="0"/>
    <xf numFmtId="0" fontId="206" fillId="5" borderId="0" applyNumberFormat="0" applyBorder="0" applyAlignment="0" applyProtection="0"/>
    <xf numFmtId="0" fontId="206" fillId="6" borderId="0" applyNumberFormat="0" applyBorder="0" applyAlignment="0" applyProtection="0"/>
    <xf numFmtId="0" fontId="206" fillId="7" borderId="0" applyNumberFormat="0" applyBorder="0" applyAlignment="0" applyProtection="0"/>
    <xf numFmtId="0" fontId="117" fillId="2" borderId="0" applyNumberFormat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206" fillId="8" borderId="0" applyNumberFormat="0" applyBorder="0" applyAlignment="0" applyProtection="0"/>
    <xf numFmtId="0" fontId="206" fillId="9" borderId="0" applyNumberFormat="0" applyBorder="0" applyAlignment="0" applyProtection="0"/>
    <xf numFmtId="0" fontId="206" fillId="10" borderId="0" applyNumberFormat="0" applyBorder="0" applyAlignment="0" applyProtection="0"/>
    <xf numFmtId="0" fontId="206" fillId="5" borderId="0" applyNumberFormat="0" applyBorder="0" applyAlignment="0" applyProtection="0"/>
    <xf numFmtId="0" fontId="206" fillId="8" borderId="0" applyNumberFormat="0" applyBorder="0" applyAlignment="0" applyProtection="0"/>
    <xf numFmtId="0" fontId="206" fillId="11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207" fillId="12" borderId="0" applyNumberFormat="0" applyBorder="0" applyAlignment="0" applyProtection="0"/>
    <xf numFmtId="0" fontId="207" fillId="9" borderId="0" applyNumberFormat="0" applyBorder="0" applyAlignment="0" applyProtection="0"/>
    <xf numFmtId="0" fontId="207" fillId="10" borderId="0" applyNumberFormat="0" applyBorder="0" applyAlignment="0" applyProtection="0"/>
    <xf numFmtId="0" fontId="207" fillId="13" borderId="0" applyNumberFormat="0" applyBorder="0" applyAlignment="0" applyProtection="0"/>
    <xf numFmtId="0" fontId="208" fillId="63" borderId="0" applyNumberFormat="0" applyBorder="0" applyAlignment="0" applyProtection="0"/>
    <xf numFmtId="0" fontId="207" fillId="14" borderId="0" applyNumberFormat="0" applyBorder="0" applyAlignment="0" applyProtection="0"/>
    <xf numFmtId="0" fontId="207" fillId="15" borderId="0" applyNumberFormat="0" applyBorder="0" applyAlignment="0" applyProtection="0"/>
    <xf numFmtId="0" fontId="118" fillId="12" borderId="0" applyNumberFormat="0" applyBorder="0" applyAlignment="0" applyProtection="0"/>
    <xf numFmtId="0" fontId="118" fillId="12" borderId="0" applyNumberFormat="0" applyBorder="0" applyAlignment="0" applyProtection="0"/>
    <xf numFmtId="0" fontId="118" fillId="9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3" borderId="0" applyNumberFormat="0" applyBorder="0" applyAlignment="0" applyProtection="0"/>
    <xf numFmtId="0" fontId="118" fillId="13" borderId="0" applyNumberFormat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18" fillId="15" borderId="0" applyNumberFormat="0" applyBorder="0" applyAlignment="0" applyProtection="0"/>
    <xf numFmtId="0" fontId="118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9" borderId="0" applyNumberFormat="0" applyBorder="0" applyAlignment="0" applyProtection="0"/>
    <xf numFmtId="0" fontId="207" fillId="16" borderId="0" applyNumberFormat="0" applyBorder="0" applyAlignment="0" applyProtection="0"/>
    <xf numFmtId="0" fontId="207" fillId="17" borderId="0" applyNumberFormat="0" applyBorder="0" applyAlignment="0" applyProtection="0"/>
    <xf numFmtId="0" fontId="208" fillId="64" borderId="0" applyNumberFormat="0" applyBorder="0" applyAlignment="0" applyProtection="0"/>
    <xf numFmtId="0" fontId="207" fillId="18" borderId="0" applyNumberFormat="0" applyBorder="0" applyAlignment="0" applyProtection="0"/>
    <xf numFmtId="0" fontId="209" fillId="65" borderId="0" applyNumberFormat="0" applyBorder="0" applyAlignment="0" applyProtection="0"/>
    <xf numFmtId="0" fontId="207" fillId="13" borderId="0" applyNumberFormat="0" applyBorder="0" applyAlignment="0" applyProtection="0"/>
    <xf numFmtId="0" fontId="207" fillId="14" borderId="0" applyNumberFormat="0" applyBorder="0" applyAlignment="0" applyProtection="0"/>
    <xf numFmtId="0" fontId="207" fillId="19" borderId="0" applyNumberFormat="0" applyBorder="0" applyAlignment="0" applyProtection="0"/>
    <xf numFmtId="0" fontId="76" fillId="3" borderId="0" applyNumberFormat="0" applyBorder="0" applyAlignment="0" applyProtection="0"/>
    <xf numFmtId="0" fontId="68" fillId="20" borderId="1" applyNumberFormat="0" applyAlignment="0" applyProtection="0"/>
    <xf numFmtId="0" fontId="73" fillId="21" borderId="7" applyNumberFormat="0" applyAlignment="0" applyProtection="0"/>
    <xf numFmtId="164" fontId="15" fillId="0" borderId="0" applyFont="0" applyFill="0" applyBorder="0" applyAlignment="0" applyProtection="0"/>
    <xf numFmtId="191" fontId="210" fillId="0" borderId="0" applyFont="0" applyFill="0" applyBorder="0" applyAlignment="0" applyProtection="0"/>
    <xf numFmtId="40" fontId="211" fillId="0" borderId="0" applyFont="0" applyFill="0" applyBorder="0" applyAlignment="0" applyProtection="0"/>
    <xf numFmtId="216" fontId="211" fillId="0" borderId="0" applyFont="0" applyFill="0" applyBorder="0" applyAlignment="0" applyProtection="0"/>
    <xf numFmtId="217" fontId="211" fillId="0" borderId="0" applyFont="0" applyFill="0" applyBorder="0" applyAlignment="0" applyProtection="0"/>
    <xf numFmtId="218" fontId="212" fillId="7" borderId="1" applyNumberFormat="0" applyAlignment="0" applyProtection="0"/>
    <xf numFmtId="0" fontId="212" fillId="7" borderId="1" applyNumberFormat="0" applyAlignment="0" applyProtection="0"/>
    <xf numFmtId="218" fontId="213" fillId="20" borderId="2" applyNumberFormat="0" applyAlignment="0" applyProtection="0"/>
    <xf numFmtId="0" fontId="213" fillId="20" borderId="2" applyNumberFormat="0" applyAlignment="0" applyProtection="0"/>
    <xf numFmtId="0" fontId="214" fillId="4" borderId="0" applyNumberFormat="0" applyBorder="0" applyAlignment="0" applyProtection="0"/>
    <xf numFmtId="0" fontId="215" fillId="66" borderId="0" applyNumberFormat="0" applyBorder="0" applyAlignment="0" applyProtection="0"/>
    <xf numFmtId="191" fontId="21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80" fillId="4" borderId="0" applyNumberFormat="0" applyBorder="0" applyAlignment="0" applyProtection="0"/>
    <xf numFmtId="0" fontId="69" fillId="0" borderId="3" applyNumberFormat="0" applyFill="0" applyAlignment="0" applyProtection="0"/>
    <xf numFmtId="0" fontId="70" fillId="0" borderId="4" applyNumberFormat="0" applyFill="0" applyAlignment="0" applyProtection="0"/>
    <xf numFmtId="0" fontId="71" fillId="0" borderId="5" applyNumberFormat="0" applyFill="0" applyAlignment="0" applyProtection="0"/>
    <xf numFmtId="0" fontId="71" fillId="0" borderId="0" applyNumberFormat="0" applyFill="0" applyBorder="0" applyAlignment="0" applyProtection="0"/>
    <xf numFmtId="218" fontId="217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66" fillId="7" borderId="1" applyNumberFormat="0" applyAlignment="0" applyProtection="0"/>
    <xf numFmtId="218" fontId="218" fillId="0" borderId="9" applyNumberFormat="0" applyFill="0" applyAlignment="0" applyProtection="0"/>
    <xf numFmtId="218" fontId="219" fillId="21" borderId="7" applyNumberFormat="0" applyAlignment="0" applyProtection="0"/>
    <xf numFmtId="0" fontId="218" fillId="0" borderId="9" applyNumberFormat="0" applyFill="0" applyAlignment="0" applyProtection="0"/>
    <xf numFmtId="0" fontId="219" fillId="21" borderId="7" applyNumberFormat="0" applyAlignment="0" applyProtection="0"/>
    <xf numFmtId="0" fontId="220" fillId="67" borderId="111" applyNumberFormat="0" applyAlignment="0" applyProtection="0"/>
    <xf numFmtId="0" fontId="78" fillId="0" borderId="9" applyNumberFormat="0" applyFill="0" applyAlignment="0" applyProtection="0"/>
    <xf numFmtId="218" fontId="221" fillId="0" borderId="3" applyNumberFormat="0" applyFill="0" applyAlignment="0" applyProtection="0"/>
    <xf numFmtId="218" fontId="222" fillId="0" borderId="4" applyNumberFormat="0" applyFill="0" applyAlignment="0" applyProtection="0"/>
    <xf numFmtId="218" fontId="223" fillId="0" borderId="5" applyNumberFormat="0" applyFill="0" applyAlignment="0" applyProtection="0"/>
    <xf numFmtId="218" fontId="223" fillId="0" borderId="0" applyNumberFormat="0" applyFill="0" applyBorder="0" applyAlignment="0" applyProtection="0"/>
    <xf numFmtId="0" fontId="221" fillId="0" borderId="3" applyNumberFormat="0" applyFill="0" applyAlignment="0" applyProtection="0"/>
    <xf numFmtId="0" fontId="222" fillId="0" borderId="4" applyNumberFormat="0" applyFill="0" applyAlignment="0" applyProtection="0"/>
    <xf numFmtId="0" fontId="223" fillId="0" borderId="5" applyNumberFormat="0" applyFill="0" applyAlignment="0" applyProtection="0"/>
    <xf numFmtId="0" fontId="223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224" fillId="22" borderId="0" applyNumberFormat="0" applyBorder="0" applyAlignment="0" applyProtection="0"/>
    <xf numFmtId="0" fontId="225" fillId="68" borderId="0" applyNumberFormat="0" applyBorder="0" applyAlignment="0" applyProtection="0"/>
    <xf numFmtId="218" fontId="205" fillId="0" borderId="0"/>
    <xf numFmtId="0" fontId="135" fillId="0" borderId="0"/>
    <xf numFmtId="0" fontId="15" fillId="0" borderId="0"/>
    <xf numFmtId="0" fontId="204" fillId="0" borderId="0"/>
    <xf numFmtId="0" fontId="164" fillId="0" borderId="0"/>
    <xf numFmtId="0" fontId="163" fillId="0" borderId="0"/>
    <xf numFmtId="0" fontId="163" fillId="0" borderId="0"/>
    <xf numFmtId="0" fontId="163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06" fillId="0" borderId="0"/>
    <xf numFmtId="0" fontId="210" fillId="0" borderId="0"/>
    <xf numFmtId="0" fontId="226" fillId="0" borderId="0"/>
    <xf numFmtId="0" fontId="226" fillId="0" borderId="0"/>
    <xf numFmtId="0" fontId="164" fillId="0" borderId="0"/>
    <xf numFmtId="0" fontId="164" fillId="0" borderId="0"/>
    <xf numFmtId="0" fontId="15" fillId="0" borderId="0"/>
    <xf numFmtId="0" fontId="13" fillId="23" borderId="8" applyNumberFormat="0" applyFont="0" applyAlignment="0" applyProtection="0"/>
    <xf numFmtId="0" fontId="15" fillId="23" borderId="8" applyNumberFormat="0" applyFont="0" applyAlignment="0" applyProtection="0"/>
    <xf numFmtId="0" fontId="15" fillId="23" borderId="8" applyNumberFormat="0" applyFont="0" applyAlignment="0" applyProtection="0"/>
    <xf numFmtId="0" fontId="15" fillId="23" borderId="8" applyNumberFormat="0" applyFont="0" applyAlignment="0" applyProtection="0"/>
    <xf numFmtId="0" fontId="15" fillId="23" borderId="8" applyNumberFormat="0" applyFont="0" applyAlignment="0" applyProtection="0"/>
    <xf numFmtId="0" fontId="15" fillId="23" borderId="8" applyNumberFormat="0" applyFont="0" applyAlignment="0" applyProtection="0"/>
    <xf numFmtId="0" fontId="227" fillId="20" borderId="1" applyNumberFormat="0" applyAlignment="0" applyProtection="0"/>
    <xf numFmtId="0" fontId="67" fillId="20" borderId="2" applyNumberFormat="0" applyAlignment="0" applyProtection="0"/>
    <xf numFmtId="40" fontId="157" fillId="24" borderId="0">
      <alignment horizontal="right"/>
    </xf>
    <xf numFmtId="0" fontId="67" fillId="20" borderId="2" applyNumberFormat="0" applyAlignment="0" applyProtection="0"/>
    <xf numFmtId="9" fontId="210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216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28" fillId="0" borderId="0" applyFont="0" applyFill="0" applyBorder="0" applyAlignment="0" applyProtection="0"/>
    <xf numFmtId="9" fontId="226" fillId="0" borderId="0" applyFont="0" applyFill="0" applyBorder="0" applyAlignment="0" applyProtection="0"/>
    <xf numFmtId="218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6" applyNumberFormat="0" applyFill="0" applyAlignment="0" applyProtection="0"/>
    <xf numFmtId="218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218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6" applyNumberFormat="0" applyFill="0" applyAlignment="0" applyProtection="0"/>
    <xf numFmtId="218" fontId="23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6" fillId="23" borderId="8" applyNumberFormat="0" applyFont="0" applyAlignment="0" applyProtection="0"/>
    <xf numFmtId="0" fontId="79" fillId="0" borderId="0" applyNumberFormat="0" applyFill="0" applyBorder="0" applyAlignment="0" applyProtection="0"/>
    <xf numFmtId="218" fontId="234" fillId="3" borderId="0" applyNumberFormat="0" applyBorder="0" applyAlignment="0" applyProtection="0"/>
    <xf numFmtId="0" fontId="234" fillId="3" borderId="0" applyNumberFormat="0" applyBorder="0" applyAlignment="0" applyProtection="0"/>
    <xf numFmtId="0" fontId="235" fillId="69" borderId="0" applyNumberFormat="0" applyBorder="0" applyAlignment="0" applyProtection="0"/>
    <xf numFmtId="0" fontId="118" fillId="16" borderId="0" applyNumberFormat="0" applyBorder="0" applyAlignment="0" applyProtection="0"/>
    <xf numFmtId="0" fontId="118" fillId="16" borderId="0" applyNumberFormat="0" applyBorder="0" applyAlignment="0" applyProtection="0"/>
    <xf numFmtId="0" fontId="118" fillId="17" borderId="0" applyNumberFormat="0" applyBorder="0" applyAlignment="0" applyProtection="0"/>
    <xf numFmtId="0" fontId="118" fillId="17" borderId="0" applyNumberFormat="0" applyBorder="0" applyAlignment="0" applyProtection="0"/>
    <xf numFmtId="0" fontId="118" fillId="18" borderId="0" applyNumberFormat="0" applyBorder="0" applyAlignment="0" applyProtection="0"/>
    <xf numFmtId="0" fontId="118" fillId="18" borderId="0" applyNumberFormat="0" applyBorder="0" applyAlignment="0" applyProtection="0"/>
    <xf numFmtId="0" fontId="118" fillId="13" borderId="0" applyNumberFormat="0" applyBorder="0" applyAlignment="0" applyProtection="0"/>
    <xf numFmtId="0" fontId="118" fillId="13" borderId="0" applyNumberFormat="0" applyBorder="0" applyAlignment="0" applyProtection="0"/>
    <xf numFmtId="0" fontId="118" fillId="14" borderId="0" applyNumberFormat="0" applyBorder="0" applyAlignment="0" applyProtection="0"/>
    <xf numFmtId="0" fontId="118" fillId="14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9" fillId="7" borderId="1" applyNumberFormat="0" applyAlignment="0" applyProtection="0"/>
    <xf numFmtId="0" fontId="119" fillId="7" borderId="1" applyNumberFormat="0" applyAlignment="0" applyProtection="0"/>
    <xf numFmtId="0" fontId="120" fillId="20" borderId="2" applyNumberFormat="0" applyAlignment="0" applyProtection="0"/>
    <xf numFmtId="0" fontId="120" fillId="20" borderId="2" applyNumberFormat="0" applyAlignment="0" applyProtection="0"/>
    <xf numFmtId="0" fontId="121" fillId="20" borderId="1" applyNumberFormat="0" applyAlignment="0" applyProtection="0"/>
    <xf numFmtId="0" fontId="121" fillId="20" borderId="1" applyNumberFormat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3" fillId="0" borderId="4" applyNumberFormat="0" applyFill="0" applyAlignment="0" applyProtection="0"/>
    <xf numFmtId="0" fontId="123" fillId="0" borderId="4" applyNumberFormat="0" applyFill="0" applyAlignment="0" applyProtection="0"/>
    <xf numFmtId="0" fontId="124" fillId="0" borderId="5" applyNumberFormat="0" applyFill="0" applyAlignment="0" applyProtection="0"/>
    <xf numFmtId="0" fontId="124" fillId="0" borderId="5" applyNumberFormat="0" applyFill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6" applyNumberFormat="0" applyFill="0" applyAlignment="0" applyProtection="0"/>
    <xf numFmtId="0" fontId="125" fillId="0" borderId="6" applyNumberFormat="0" applyFill="0" applyAlignment="0" applyProtection="0"/>
    <xf numFmtId="0" fontId="126" fillId="21" borderId="7" applyNumberFormat="0" applyAlignment="0" applyProtection="0"/>
    <xf numFmtId="0" fontId="126" fillId="21" borderId="7" applyNumberFormat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7" fillId="22" borderId="0" applyNumberFormat="0" applyBorder="0" applyAlignment="0" applyProtection="0"/>
    <xf numFmtId="0" fontId="127" fillId="2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164" fillId="0" borderId="0"/>
    <xf numFmtId="0" fontId="15" fillId="0" borderId="0"/>
    <xf numFmtId="219" fontId="164" fillId="0" borderId="0"/>
    <xf numFmtId="219" fontId="164" fillId="0" borderId="0"/>
    <xf numFmtId="220" fontId="164" fillId="0" borderId="0"/>
    <xf numFmtId="218" fontId="164" fillId="0" borderId="0"/>
    <xf numFmtId="218" fontId="16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18" fontId="13" fillId="0" borderId="0"/>
    <xf numFmtId="0" fontId="8" fillId="0" borderId="0"/>
    <xf numFmtId="0" fontId="8" fillId="0" borderId="0"/>
    <xf numFmtId="0" fontId="128" fillId="3" borderId="0" applyNumberFormat="0" applyBorder="0" applyAlignment="0" applyProtection="0"/>
    <xf numFmtId="0" fontId="128" fillId="3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" fillId="23" borderId="8" applyNumberFormat="0" applyFont="0" applyAlignment="0" applyProtection="0"/>
    <xf numFmtId="9" fontId="8" fillId="0" borderId="0" applyFont="0" applyFill="0" applyBorder="0" applyAlignment="0" applyProtection="0"/>
    <xf numFmtId="0" fontId="131" fillId="0" borderId="9" applyNumberFormat="0" applyFill="0" applyAlignment="0" applyProtection="0"/>
    <xf numFmtId="0" fontId="131" fillId="0" borderId="9" applyNumberFormat="0" applyFill="0" applyAlignment="0" applyProtection="0"/>
    <xf numFmtId="0" fontId="204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215" fontId="8" fillId="0" borderId="0" applyFont="0" applyFill="0" applyBorder="0" applyAlignment="0" applyProtection="0"/>
    <xf numFmtId="215" fontId="8" fillId="0" borderId="0" applyFont="0" applyFill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215" fontId="13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35" fillId="0" borderId="0"/>
    <xf numFmtId="0" fontId="5" fillId="0" borderId="0"/>
    <xf numFmtId="170" fontId="5" fillId="0" borderId="0" applyFont="0" applyFill="0" applyBorder="0" applyAlignment="0" applyProtection="0"/>
    <xf numFmtId="0" fontId="5" fillId="0" borderId="0"/>
    <xf numFmtId="0" fontId="84" fillId="0" borderId="0"/>
    <xf numFmtId="0" fontId="66" fillId="7" borderId="114" applyNumberFormat="0" applyAlignment="0" applyProtection="0"/>
    <xf numFmtId="0" fontId="88" fillId="7" borderId="114" applyNumberFormat="0" applyAlignment="0" applyProtection="0"/>
    <xf numFmtId="0" fontId="67" fillId="20" borderId="115" applyNumberFormat="0" applyAlignment="0" applyProtection="0"/>
    <xf numFmtId="0" fontId="89" fillId="20" borderId="115" applyNumberFormat="0" applyAlignment="0" applyProtection="0"/>
    <xf numFmtId="0" fontId="68" fillId="20" borderId="114" applyNumberFormat="0" applyAlignment="0" applyProtection="0"/>
    <xf numFmtId="0" fontId="90" fillId="20" borderId="114" applyNumberFormat="0" applyAlignment="0" applyProtection="0"/>
    <xf numFmtId="0" fontId="72" fillId="0" borderId="116" applyNumberFormat="0" applyFill="0" applyAlignment="0" applyProtection="0"/>
    <xf numFmtId="0" fontId="94" fillId="0" borderId="116" applyNumberFormat="0" applyFill="0" applyAlignment="0" applyProtection="0"/>
    <xf numFmtId="0" fontId="13" fillId="0" borderId="0"/>
    <xf numFmtId="0" fontId="4" fillId="0" borderId="0"/>
    <xf numFmtId="0" fontId="13" fillId="23" borderId="117" applyNumberFormat="0" applyFont="0" applyAlignment="0" applyProtection="0"/>
    <xf numFmtId="0" fontId="13" fillId="23" borderId="117" applyNumberFormat="0" applyFont="0" applyAlignment="0" applyProtection="0"/>
    <xf numFmtId="0" fontId="85" fillId="23" borderId="117" applyNumberFormat="0" applyFont="0" applyAlignment="0" applyProtection="0"/>
    <xf numFmtId="171" fontId="13" fillId="0" borderId="0" applyFont="0" applyFill="0" applyBorder="0" applyAlignment="0" applyProtection="0"/>
    <xf numFmtId="0" fontId="4" fillId="0" borderId="0"/>
    <xf numFmtId="0" fontId="84" fillId="46" borderId="123" applyNumberFormat="0" applyFont="0" applyAlignment="0" applyProtection="0"/>
    <xf numFmtId="0" fontId="119" fillId="7" borderId="114" applyNumberFormat="0" applyAlignment="0" applyProtection="0"/>
    <xf numFmtId="0" fontId="120" fillId="20" borderId="115" applyNumberFormat="0" applyAlignment="0" applyProtection="0"/>
    <xf numFmtId="0" fontId="121" fillId="20" borderId="114" applyNumberFormat="0" applyAlignment="0" applyProtection="0"/>
    <xf numFmtId="0" fontId="125" fillId="0" borderId="116" applyNumberFormat="0" applyFill="0" applyAlignment="0" applyProtection="0"/>
    <xf numFmtId="0" fontId="4" fillId="0" borderId="0"/>
    <xf numFmtId="0" fontId="117" fillId="23" borderId="123" applyNumberFormat="0" applyFont="0" applyAlignment="0" applyProtection="0"/>
    <xf numFmtId="0" fontId="130" fillId="23" borderId="123" applyNumberFormat="0" applyFont="0" applyAlignment="0" applyProtection="0"/>
    <xf numFmtId="0" fontId="130" fillId="23" borderId="117" applyNumberFormat="0" applyFont="0" applyAlignment="0" applyProtection="0"/>
    <xf numFmtId="0" fontId="117" fillId="23" borderId="117" applyNumberFormat="0" applyFont="0" applyAlignment="0" applyProtection="0"/>
    <xf numFmtId="9" fontId="4" fillId="0" borderId="0" applyFont="0" applyFill="0" applyBorder="0" applyAlignment="0" applyProtection="0"/>
    <xf numFmtId="0" fontId="125" fillId="0" borderId="122" applyNumberFormat="0" applyFill="0" applyAlignment="0" applyProtection="0"/>
    <xf numFmtId="0" fontId="121" fillId="20" borderId="120" applyNumberFormat="0" applyAlignment="0" applyProtection="0"/>
    <xf numFmtId="0" fontId="120" fillId="20" borderId="121" applyNumberFormat="0" applyAlignment="0" applyProtection="0"/>
    <xf numFmtId="0" fontId="119" fillId="7" borderId="120" applyNumberFormat="0" applyAlignment="0" applyProtection="0"/>
    <xf numFmtId="0" fontId="4" fillId="0" borderId="0"/>
    <xf numFmtId="170" fontId="4" fillId="0" borderId="0" applyFont="0" applyFill="0" applyBorder="0" applyAlignment="0" applyProtection="0"/>
    <xf numFmtId="0" fontId="206" fillId="23" borderId="123" applyNumberFormat="0" applyFont="0" applyAlignment="0" applyProtection="0"/>
    <xf numFmtId="0" fontId="72" fillId="0" borderId="122" applyNumberFormat="0" applyFill="0" applyAlignment="0" applyProtection="0"/>
    <xf numFmtId="0" fontId="230" fillId="0" borderId="122" applyNumberFormat="0" applyFill="0" applyAlignment="0" applyProtection="0"/>
    <xf numFmtId="0" fontId="67" fillId="20" borderId="121" applyNumberFormat="0" applyAlignment="0" applyProtection="0"/>
    <xf numFmtId="0" fontId="227" fillId="20" borderId="120" applyNumberFormat="0" applyAlignment="0" applyProtection="0"/>
    <xf numFmtId="0" fontId="15" fillId="23" borderId="123" applyNumberFormat="0" applyFont="0" applyAlignment="0" applyProtection="0"/>
    <xf numFmtId="0" fontId="15" fillId="23" borderId="123" applyNumberFormat="0" applyFont="0" applyAlignment="0" applyProtection="0"/>
    <xf numFmtId="0" fontId="15" fillId="23" borderId="123" applyNumberFormat="0" applyFont="0" applyAlignment="0" applyProtection="0"/>
    <xf numFmtId="0" fontId="15" fillId="23" borderId="123" applyNumberFormat="0" applyFont="0" applyAlignment="0" applyProtection="0"/>
    <xf numFmtId="0" fontId="15" fillId="23" borderId="123" applyNumberFormat="0" applyFont="0" applyAlignment="0" applyProtection="0"/>
    <xf numFmtId="0" fontId="13" fillId="23" borderId="123" applyNumberFormat="0" applyFont="0" applyAlignment="0" applyProtection="0"/>
    <xf numFmtId="0" fontId="66" fillId="7" borderId="120" applyNumberFormat="0" applyAlignment="0" applyProtection="0"/>
    <xf numFmtId="0" fontId="213" fillId="20" borderId="121" applyNumberFormat="0" applyAlignment="0" applyProtection="0"/>
    <xf numFmtId="218" fontId="213" fillId="20" borderId="121" applyNumberFormat="0" applyAlignment="0" applyProtection="0"/>
    <xf numFmtId="0" fontId="212" fillId="7" borderId="120" applyNumberFormat="0" applyAlignment="0" applyProtection="0"/>
    <xf numFmtId="218" fontId="212" fillId="7" borderId="120" applyNumberFormat="0" applyAlignment="0" applyProtection="0"/>
    <xf numFmtId="0" fontId="68" fillId="20" borderId="120" applyNumberFormat="0" applyAlignment="0" applyProtection="0"/>
    <xf numFmtId="0" fontId="195" fillId="59" borderId="121" applyNumberFormat="0" applyAlignment="0" applyProtection="0">
      <alignment vertical="center"/>
    </xf>
    <xf numFmtId="0" fontId="194" fillId="22" borderId="120" applyNumberFormat="0" applyAlignment="0" applyProtection="0">
      <alignment vertical="center"/>
    </xf>
    <xf numFmtId="0" fontId="191" fillId="59" borderId="120" applyNumberFormat="0" applyAlignment="0" applyProtection="0">
      <alignment vertical="center"/>
    </xf>
    <xf numFmtId="0" fontId="180" fillId="0" borderId="124" applyNumberFormat="0" applyFill="0" applyAlignment="0" applyProtection="0">
      <alignment vertical="center"/>
    </xf>
    <xf numFmtId="0" fontId="148" fillId="23" borderId="123" applyNumberFormat="0" applyFont="0" applyAlignment="0" applyProtection="0">
      <alignment vertical="center"/>
    </xf>
    <xf numFmtId="0" fontId="171" fillId="0" borderId="122" applyNumberFormat="0" applyFill="0" applyAlignment="0" applyProtection="0">
      <alignment vertical="center"/>
    </xf>
    <xf numFmtId="0" fontId="89" fillId="52" borderId="121" applyNumberFormat="0" applyAlignment="0" applyProtection="0"/>
    <xf numFmtId="0" fontId="155" fillId="52" borderId="114" applyNumberFormat="0" applyAlignment="0" applyProtection="0"/>
    <xf numFmtId="0" fontId="84" fillId="46" borderId="117" applyNumberFormat="0" applyFont="0" applyAlignment="0" applyProtection="0"/>
    <xf numFmtId="0" fontId="88" fillId="51" borderId="114" applyNumberFormat="0" applyAlignment="0" applyProtection="0"/>
    <xf numFmtId="0" fontId="16" fillId="0" borderId="113">
      <alignment horizontal="left" vertical="center"/>
    </xf>
    <xf numFmtId="0" fontId="159" fillId="56" borderId="112" applyNumberFormat="0" applyBorder="0" applyAlignment="0" applyProtection="0"/>
    <xf numFmtId="0" fontId="89" fillId="52" borderId="115" applyNumberFormat="0" applyAlignment="0" applyProtection="0"/>
    <xf numFmtId="0" fontId="171" fillId="0" borderId="116" applyNumberFormat="0" applyFill="0" applyAlignment="0" applyProtection="0">
      <alignment vertical="center"/>
    </xf>
    <xf numFmtId="0" fontId="85" fillId="23" borderId="123" applyNumberFormat="0" applyFont="0" applyAlignment="0" applyProtection="0"/>
    <xf numFmtId="0" fontId="13" fillId="23" borderId="123" applyNumberFormat="0" applyFont="0" applyAlignment="0" applyProtection="0"/>
    <xf numFmtId="0" fontId="13" fillId="23" borderId="123" applyNumberFormat="0" applyFont="0" applyAlignment="0" applyProtection="0"/>
    <xf numFmtId="0" fontId="148" fillId="23" borderId="117" applyNumberFormat="0" applyFont="0" applyAlignment="0" applyProtection="0">
      <alignment vertical="center"/>
    </xf>
    <xf numFmtId="0" fontId="94" fillId="0" borderId="122" applyNumberFormat="0" applyFill="0" applyAlignment="0" applyProtection="0"/>
    <xf numFmtId="0" fontId="72" fillId="0" borderId="122" applyNumberFormat="0" applyFill="0" applyAlignment="0" applyProtection="0"/>
    <xf numFmtId="0" fontId="180" fillId="0" borderId="118" applyNumberFormat="0" applyFill="0" applyAlignment="0" applyProtection="0">
      <alignment vertical="center"/>
    </xf>
    <xf numFmtId="0" fontId="90" fillId="20" borderId="120" applyNumberFormat="0" applyAlignment="0" applyProtection="0"/>
    <xf numFmtId="0" fontId="68" fillId="20" borderId="120" applyNumberFormat="0" applyAlignment="0" applyProtection="0"/>
    <xf numFmtId="0" fontId="89" fillId="20" borderId="121" applyNumberFormat="0" applyAlignment="0" applyProtection="0"/>
    <xf numFmtId="0" fontId="67" fillId="20" borderId="121" applyNumberFormat="0" applyAlignment="0" applyProtection="0"/>
    <xf numFmtId="0" fontId="88" fillId="7" borderId="120" applyNumberFormat="0" applyAlignment="0" applyProtection="0"/>
    <xf numFmtId="0" fontId="66" fillId="7" borderId="120" applyNumberFormat="0" applyAlignment="0" applyProtection="0"/>
    <xf numFmtId="0" fontId="84" fillId="0" borderId="112" applyBorder="0">
      <alignment horizontal="center"/>
      <protection locked="0"/>
    </xf>
    <xf numFmtId="0" fontId="191" fillId="59" borderId="114" applyNumberFormat="0" applyAlignment="0" applyProtection="0">
      <alignment vertical="center"/>
    </xf>
    <xf numFmtId="0" fontId="194" fillId="22" borderId="114" applyNumberFormat="0" applyAlignment="0" applyProtection="0">
      <alignment vertical="center"/>
    </xf>
    <xf numFmtId="0" fontId="195" fillId="59" borderId="115" applyNumberFormat="0" applyAlignment="0" applyProtection="0">
      <alignment vertical="center"/>
    </xf>
    <xf numFmtId="0" fontId="16" fillId="0" borderId="119">
      <alignment horizontal="left" vertical="center"/>
    </xf>
    <xf numFmtId="0" fontId="88" fillId="51" borderId="120" applyNumberFormat="0" applyAlignment="0" applyProtection="0"/>
    <xf numFmtId="0" fontId="155" fillId="52" borderId="120" applyNumberFormat="0" applyAlignment="0" applyProtection="0"/>
    <xf numFmtId="0" fontId="68" fillId="20" borderId="114" applyNumberFormat="0" applyAlignment="0" applyProtection="0"/>
    <xf numFmtId="218" fontId="212" fillId="7" borderId="114" applyNumberFormat="0" applyAlignment="0" applyProtection="0"/>
    <xf numFmtId="0" fontId="212" fillId="7" borderId="114" applyNumberFormat="0" applyAlignment="0" applyProtection="0"/>
    <xf numFmtId="218" fontId="213" fillId="20" borderId="115" applyNumberFormat="0" applyAlignment="0" applyProtection="0"/>
    <xf numFmtId="0" fontId="213" fillId="20" borderId="115" applyNumberFormat="0" applyAlignment="0" applyProtection="0"/>
    <xf numFmtId="0" fontId="66" fillId="7" borderId="114" applyNumberFormat="0" applyAlignment="0" applyProtection="0"/>
    <xf numFmtId="0" fontId="13" fillId="23" borderId="117" applyNumberFormat="0" applyFont="0" applyAlignment="0" applyProtection="0"/>
    <xf numFmtId="0" fontId="15" fillId="23" borderId="117" applyNumberFormat="0" applyFont="0" applyAlignment="0" applyProtection="0"/>
    <xf numFmtId="0" fontId="15" fillId="23" borderId="117" applyNumberFormat="0" applyFont="0" applyAlignment="0" applyProtection="0"/>
    <xf numFmtId="0" fontId="15" fillId="23" borderId="117" applyNumberFormat="0" applyFont="0" applyAlignment="0" applyProtection="0"/>
    <xf numFmtId="0" fontId="15" fillId="23" borderId="117" applyNumberFormat="0" applyFont="0" applyAlignment="0" applyProtection="0"/>
    <xf numFmtId="0" fontId="15" fillId="23" borderId="117" applyNumberFormat="0" applyFont="0" applyAlignment="0" applyProtection="0"/>
    <xf numFmtId="0" fontId="227" fillId="20" borderId="114" applyNumberFormat="0" applyAlignment="0" applyProtection="0"/>
    <xf numFmtId="0" fontId="67" fillId="20" borderId="115" applyNumberFormat="0" applyAlignment="0" applyProtection="0"/>
    <xf numFmtId="0" fontId="230" fillId="0" borderId="116" applyNumberFormat="0" applyFill="0" applyAlignment="0" applyProtection="0"/>
    <xf numFmtId="0" fontId="72" fillId="0" borderId="116" applyNumberFormat="0" applyFill="0" applyAlignment="0" applyProtection="0"/>
    <xf numFmtId="0" fontId="206" fillId="23" borderId="117" applyNumberFormat="0" applyFont="0" applyAlignment="0" applyProtection="0"/>
    <xf numFmtId="0" fontId="119" fillId="7" borderId="114" applyNumberFormat="0" applyAlignment="0" applyProtection="0"/>
    <xf numFmtId="0" fontId="119" fillId="7" borderId="114" applyNumberFormat="0" applyAlignment="0" applyProtection="0"/>
    <xf numFmtId="0" fontId="120" fillId="20" borderId="115" applyNumberFormat="0" applyAlignment="0" applyProtection="0"/>
    <xf numFmtId="0" fontId="120" fillId="20" borderId="115" applyNumberFormat="0" applyAlignment="0" applyProtection="0"/>
    <xf numFmtId="0" fontId="121" fillId="20" borderId="114" applyNumberFormat="0" applyAlignment="0" applyProtection="0"/>
    <xf numFmtId="0" fontId="121" fillId="20" borderId="114" applyNumberFormat="0" applyAlignment="0" applyProtection="0"/>
    <xf numFmtId="0" fontId="125" fillId="0" borderId="116" applyNumberFormat="0" applyFill="0" applyAlignment="0" applyProtection="0"/>
    <xf numFmtId="0" fontId="125" fillId="0" borderId="11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23" borderId="117" applyNumberFormat="0" applyFont="0" applyAlignment="0" applyProtection="0"/>
    <xf numFmtId="9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0" fontId="4" fillId="0" borderId="0"/>
    <xf numFmtId="0" fontId="119" fillId="7" borderId="120" applyNumberFormat="0" applyAlignment="0" applyProtection="0"/>
    <xf numFmtId="0" fontId="119" fillId="7" borderId="120" applyNumberFormat="0" applyAlignment="0" applyProtection="0"/>
    <xf numFmtId="0" fontId="120" fillId="20" borderId="121" applyNumberFormat="0" applyAlignment="0" applyProtection="0"/>
    <xf numFmtId="0" fontId="120" fillId="20" borderId="121" applyNumberFormat="0" applyAlignment="0" applyProtection="0"/>
    <xf numFmtId="0" fontId="121" fillId="20" borderId="120" applyNumberFormat="0" applyAlignment="0" applyProtection="0"/>
    <xf numFmtId="0" fontId="121" fillId="20" borderId="120" applyNumberFormat="0" applyAlignment="0" applyProtection="0"/>
    <xf numFmtId="0" fontId="125" fillId="0" borderId="122" applyNumberFormat="0" applyFill="0" applyAlignment="0" applyProtection="0"/>
    <xf numFmtId="0" fontId="125" fillId="0" borderId="122" applyNumberFormat="0" applyFill="0" applyAlignment="0" applyProtection="0"/>
    <xf numFmtId="0" fontId="13" fillId="23" borderId="123" applyNumberFormat="0" applyFont="0" applyAlignment="0" applyProtection="0"/>
    <xf numFmtId="0" fontId="2" fillId="0" borderId="0"/>
    <xf numFmtId="0" fontId="159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9" borderId="0" applyNumberFormat="0" applyBorder="0" applyAlignment="0" applyProtection="0"/>
    <xf numFmtId="0" fontId="66" fillId="7" borderId="153" applyNumberFormat="0" applyAlignment="0" applyProtection="0"/>
    <xf numFmtId="0" fontId="88" fillId="7" borderId="153" applyNumberFormat="0" applyAlignment="0" applyProtection="0"/>
    <xf numFmtId="0" fontId="67" fillId="20" borderId="154" applyNumberFormat="0" applyAlignment="0" applyProtection="0"/>
    <xf numFmtId="0" fontId="89" fillId="20" borderId="154" applyNumberFormat="0" applyAlignment="0" applyProtection="0"/>
    <xf numFmtId="0" fontId="68" fillId="20" borderId="153" applyNumberFormat="0" applyAlignment="0" applyProtection="0"/>
    <xf numFmtId="0" fontId="90" fillId="20" borderId="153" applyNumberFormat="0" applyAlignment="0" applyProtection="0"/>
    <xf numFmtId="0" fontId="69" fillId="0" borderId="3" applyNumberFormat="0" applyFill="0" applyAlignment="0" applyProtection="0"/>
    <xf numFmtId="0" fontId="70" fillId="0" borderId="4" applyNumberFormat="0" applyFill="0" applyAlignment="0" applyProtection="0"/>
    <xf numFmtId="0" fontId="71" fillId="0" borderId="5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155" applyNumberFormat="0" applyFill="0" applyAlignment="0" applyProtection="0"/>
    <xf numFmtId="0" fontId="94" fillId="0" borderId="155" applyNumberFormat="0" applyFill="0" applyAlignment="0" applyProtection="0"/>
    <xf numFmtId="0" fontId="73" fillId="21" borderId="7" applyNumberFormat="0" applyAlignment="0" applyProtection="0"/>
    <xf numFmtId="0" fontId="74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1" fillId="0" borderId="0"/>
    <xf numFmtId="0" fontId="76" fillId="3" borderId="0" applyNumberFormat="0" applyBorder="0" applyAlignment="0" applyProtection="0"/>
    <xf numFmtId="0" fontId="77" fillId="0" borderId="0" applyNumberFormat="0" applyFill="0" applyBorder="0" applyAlignment="0" applyProtection="0"/>
    <xf numFmtId="0" fontId="13" fillId="23" borderId="156" applyNumberFormat="0" applyFont="0" applyAlignment="0" applyProtection="0"/>
    <xf numFmtId="0" fontId="13" fillId="23" borderId="156" applyNumberFormat="0" applyFont="0" applyAlignment="0" applyProtection="0"/>
    <xf numFmtId="0" fontId="85" fillId="23" borderId="156" applyNumberFormat="0" applyFont="0" applyAlignment="0" applyProtection="0"/>
    <xf numFmtId="9" fontId="13" fillId="0" borderId="0" applyFont="0" applyFill="0" applyBorder="0" applyAlignment="0" applyProtection="0"/>
    <xf numFmtId="0" fontId="78" fillId="0" borderId="9" applyNumberFormat="0" applyFill="0" applyAlignment="0" applyProtection="0"/>
    <xf numFmtId="0" fontId="79" fillId="0" borderId="0" applyNumberFormat="0" applyFill="0" applyBorder="0" applyAlignment="0" applyProtection="0"/>
    <xf numFmtId="171" fontId="13" fillId="0" borderId="0" applyFont="0" applyFill="0" applyBorder="0" applyAlignment="0" applyProtection="0"/>
    <xf numFmtId="0" fontId="80" fillId="4" borderId="0" applyNumberFormat="0" applyBorder="0" applyAlignment="0" applyProtection="0"/>
    <xf numFmtId="0" fontId="1" fillId="0" borderId="0"/>
    <xf numFmtId="0" fontId="119" fillId="7" borderId="153" applyNumberFormat="0" applyAlignment="0" applyProtection="0"/>
    <xf numFmtId="0" fontId="120" fillId="20" borderId="154" applyNumberFormat="0" applyAlignment="0" applyProtection="0"/>
    <xf numFmtId="0" fontId="121" fillId="20" borderId="153" applyNumberFormat="0" applyAlignment="0" applyProtection="0"/>
    <xf numFmtId="0" fontId="125" fillId="0" borderId="155" applyNumberFormat="0" applyFill="0" applyAlignment="0" applyProtection="0"/>
    <xf numFmtId="0" fontId="1" fillId="0" borderId="0"/>
    <xf numFmtId="0" fontId="130" fillId="23" borderId="156" applyNumberFormat="0" applyFont="0" applyAlignment="0" applyProtection="0"/>
    <xf numFmtId="0" fontId="117" fillId="23" borderId="156" applyNumberFormat="0" applyFont="0" applyAlignment="0" applyProtection="0"/>
    <xf numFmtId="9" fontId="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46" fillId="0" borderId="0" applyProtection="0"/>
    <xf numFmtId="0" fontId="155" fillId="52" borderId="153" applyNumberFormat="0" applyAlignment="0" applyProtection="0"/>
    <xf numFmtId="0" fontId="84" fillId="46" borderId="156" applyNumberFormat="0" applyFont="0" applyAlignment="0" applyProtection="0"/>
    <xf numFmtId="0" fontId="88" fillId="51" borderId="153" applyNumberFormat="0" applyAlignment="0" applyProtection="0"/>
    <xf numFmtId="0" fontId="89" fillId="52" borderId="154" applyNumberFormat="0" applyAlignment="0" applyProtection="0"/>
    <xf numFmtId="0" fontId="171" fillId="0" borderId="155" applyNumberFormat="0" applyFill="0" applyAlignment="0" applyProtection="0">
      <alignment vertical="center"/>
    </xf>
    <xf numFmtId="0" fontId="176" fillId="0" borderId="0"/>
    <xf numFmtId="0" fontId="148" fillId="23" borderId="156" applyNumberFormat="0" applyFont="0" applyAlignment="0" applyProtection="0">
      <alignment vertical="center"/>
    </xf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99" fontId="176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80" fillId="0" borderId="157" applyNumberFormat="0" applyFill="0" applyAlignment="0" applyProtection="0">
      <alignment vertical="center"/>
    </xf>
    <xf numFmtId="0" fontId="191" fillId="59" borderId="153" applyNumberFormat="0" applyAlignment="0" applyProtection="0">
      <alignment vertical="center"/>
    </xf>
    <xf numFmtId="0" fontId="194" fillId="22" borderId="153" applyNumberFormat="0" applyAlignment="0" applyProtection="0">
      <alignment vertical="center"/>
    </xf>
    <xf numFmtId="0" fontId="195" fillId="59" borderId="154" applyNumberFormat="0" applyAlignment="0" applyProtection="0">
      <alignment vertical="center"/>
    </xf>
    <xf numFmtId="0" fontId="68" fillId="20" borderId="153" applyNumberFormat="0" applyAlignment="0" applyProtection="0"/>
    <xf numFmtId="165" fontId="210" fillId="0" borderId="0" applyFont="0" applyFill="0" applyBorder="0" applyAlignment="0" applyProtection="0"/>
    <xf numFmtId="218" fontId="212" fillId="7" borderId="153" applyNumberFormat="0" applyAlignment="0" applyProtection="0"/>
    <xf numFmtId="0" fontId="212" fillId="7" borderId="153" applyNumberFormat="0" applyAlignment="0" applyProtection="0"/>
    <xf numFmtId="218" fontId="213" fillId="20" borderId="154" applyNumberFormat="0" applyAlignment="0" applyProtection="0"/>
    <xf numFmtId="0" fontId="213" fillId="20" borderId="154" applyNumberFormat="0" applyAlignment="0" applyProtection="0"/>
    <xf numFmtId="165" fontId="216" fillId="0" borderId="0" applyFont="0" applyFill="0" applyBorder="0" applyAlignment="0" applyProtection="0"/>
    <xf numFmtId="0" fontId="66" fillId="7" borderId="153" applyNumberFormat="0" applyAlignment="0" applyProtection="0"/>
    <xf numFmtId="0" fontId="13" fillId="23" borderId="156" applyNumberFormat="0" applyFont="0" applyAlignment="0" applyProtection="0"/>
    <xf numFmtId="0" fontId="15" fillId="23" borderId="156" applyNumberFormat="0" applyFont="0" applyAlignment="0" applyProtection="0"/>
    <xf numFmtId="0" fontId="15" fillId="23" borderId="156" applyNumberFormat="0" applyFont="0" applyAlignment="0" applyProtection="0"/>
    <xf numFmtId="0" fontId="15" fillId="23" borderId="156" applyNumberFormat="0" applyFont="0" applyAlignment="0" applyProtection="0"/>
    <xf numFmtId="0" fontId="15" fillId="23" borderId="156" applyNumberFormat="0" applyFont="0" applyAlignment="0" applyProtection="0"/>
    <xf numFmtId="0" fontId="15" fillId="23" borderId="156" applyNumberFormat="0" applyFont="0" applyAlignment="0" applyProtection="0"/>
    <xf numFmtId="0" fontId="227" fillId="20" borderId="153" applyNumberFormat="0" applyAlignment="0" applyProtection="0"/>
    <xf numFmtId="0" fontId="67" fillId="20" borderId="154" applyNumberFormat="0" applyAlignment="0" applyProtection="0"/>
    <xf numFmtId="0" fontId="230" fillId="0" borderId="155" applyNumberFormat="0" applyFill="0" applyAlignment="0" applyProtection="0"/>
    <xf numFmtId="0" fontId="72" fillId="0" borderId="155" applyNumberFormat="0" applyFill="0" applyAlignment="0" applyProtection="0"/>
    <xf numFmtId="0" fontId="206" fillId="23" borderId="156" applyNumberFormat="0" applyFont="0" applyAlignment="0" applyProtection="0"/>
    <xf numFmtId="0" fontId="119" fillId="7" borderId="153" applyNumberFormat="0" applyAlignment="0" applyProtection="0"/>
    <xf numFmtId="0" fontId="119" fillId="7" borderId="153" applyNumberFormat="0" applyAlignment="0" applyProtection="0"/>
    <xf numFmtId="0" fontId="120" fillId="20" borderId="154" applyNumberFormat="0" applyAlignment="0" applyProtection="0"/>
    <xf numFmtId="0" fontId="120" fillId="20" borderId="154" applyNumberFormat="0" applyAlignment="0" applyProtection="0"/>
    <xf numFmtId="0" fontId="121" fillId="20" borderId="153" applyNumberFormat="0" applyAlignment="0" applyProtection="0"/>
    <xf numFmtId="0" fontId="121" fillId="20" borderId="153" applyNumberFormat="0" applyAlignment="0" applyProtection="0"/>
    <xf numFmtId="0" fontId="125" fillId="0" borderId="155" applyNumberFormat="0" applyFill="0" applyAlignment="0" applyProtection="0"/>
    <xf numFmtId="0" fontId="125" fillId="0" borderId="15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3" borderId="156" applyNumberFormat="0" applyFont="0" applyAlignment="0" applyProtection="0"/>
    <xf numFmtId="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66" fillId="7" borderId="160" applyNumberFormat="0" applyAlignment="0" applyProtection="0"/>
    <xf numFmtId="0" fontId="88" fillId="7" borderId="160" applyNumberFormat="0" applyAlignment="0" applyProtection="0"/>
    <xf numFmtId="0" fontId="67" fillId="20" borderId="161" applyNumberFormat="0" applyAlignment="0" applyProtection="0"/>
    <xf numFmtId="0" fontId="89" fillId="20" borderId="161" applyNumberFormat="0" applyAlignment="0" applyProtection="0"/>
    <xf numFmtId="0" fontId="68" fillId="20" borderId="160" applyNumberFormat="0" applyAlignment="0" applyProtection="0"/>
    <xf numFmtId="0" fontId="90" fillId="20" borderId="160" applyNumberFormat="0" applyAlignment="0" applyProtection="0"/>
    <xf numFmtId="0" fontId="72" fillId="0" borderId="162" applyNumberFormat="0" applyFill="0" applyAlignment="0" applyProtection="0"/>
    <xf numFmtId="0" fontId="94" fillId="0" borderId="162" applyNumberFormat="0" applyFill="0" applyAlignment="0" applyProtection="0"/>
    <xf numFmtId="0" fontId="1" fillId="0" borderId="0"/>
    <xf numFmtId="0" fontId="13" fillId="23" borderId="163" applyNumberFormat="0" applyFont="0" applyAlignment="0" applyProtection="0"/>
    <xf numFmtId="0" fontId="13" fillId="23" borderId="163" applyNumberFormat="0" applyFont="0" applyAlignment="0" applyProtection="0"/>
    <xf numFmtId="0" fontId="85" fillId="23" borderId="163" applyNumberFormat="0" applyFont="0" applyAlignment="0" applyProtection="0"/>
    <xf numFmtId="0" fontId="1" fillId="0" borderId="0"/>
    <xf numFmtId="0" fontId="84" fillId="46" borderId="163" applyNumberFormat="0" applyFont="0" applyAlignment="0" applyProtection="0"/>
    <xf numFmtId="0" fontId="119" fillId="7" borderId="160" applyNumberFormat="0" applyAlignment="0" applyProtection="0"/>
    <xf numFmtId="0" fontId="120" fillId="20" borderId="161" applyNumberFormat="0" applyAlignment="0" applyProtection="0"/>
    <xf numFmtId="0" fontId="121" fillId="20" borderId="160" applyNumberFormat="0" applyAlignment="0" applyProtection="0"/>
    <xf numFmtId="0" fontId="125" fillId="0" borderId="162" applyNumberFormat="0" applyFill="0" applyAlignment="0" applyProtection="0"/>
    <xf numFmtId="0" fontId="1" fillId="0" borderId="0"/>
    <xf numFmtId="0" fontId="117" fillId="23" borderId="163" applyNumberFormat="0" applyFont="0" applyAlignment="0" applyProtection="0"/>
    <xf numFmtId="0" fontId="130" fillId="23" borderId="163" applyNumberFormat="0" applyFont="0" applyAlignment="0" applyProtection="0"/>
    <xf numFmtId="0" fontId="130" fillId="23" borderId="163" applyNumberFormat="0" applyFont="0" applyAlignment="0" applyProtection="0"/>
    <xf numFmtId="0" fontId="117" fillId="23" borderId="163" applyNumberFormat="0" applyFont="0" applyAlignment="0" applyProtection="0"/>
    <xf numFmtId="9" fontId="1" fillId="0" borderId="0" applyFont="0" applyFill="0" applyBorder="0" applyAlignment="0" applyProtection="0"/>
    <xf numFmtId="0" fontId="125" fillId="0" borderId="162" applyNumberFormat="0" applyFill="0" applyAlignment="0" applyProtection="0"/>
    <xf numFmtId="0" fontId="121" fillId="20" borderId="160" applyNumberFormat="0" applyAlignment="0" applyProtection="0"/>
    <xf numFmtId="0" fontId="120" fillId="20" borderId="161" applyNumberFormat="0" applyAlignment="0" applyProtection="0"/>
    <xf numFmtId="0" fontId="119" fillId="7" borderId="160" applyNumberFormat="0" applyAlignment="0" applyProtection="0"/>
    <xf numFmtId="0" fontId="1" fillId="0" borderId="0"/>
    <xf numFmtId="170" fontId="1" fillId="0" borderId="0" applyFont="0" applyFill="0" applyBorder="0" applyAlignment="0" applyProtection="0"/>
    <xf numFmtId="0" fontId="206" fillId="23" borderId="163" applyNumberFormat="0" applyFont="0" applyAlignment="0" applyProtection="0"/>
    <xf numFmtId="0" fontId="72" fillId="0" borderId="162" applyNumberFormat="0" applyFill="0" applyAlignment="0" applyProtection="0"/>
    <xf numFmtId="0" fontId="230" fillId="0" borderId="162" applyNumberFormat="0" applyFill="0" applyAlignment="0" applyProtection="0"/>
    <xf numFmtId="0" fontId="67" fillId="20" borderId="161" applyNumberFormat="0" applyAlignment="0" applyProtection="0"/>
    <xf numFmtId="0" fontId="227" fillId="20" borderId="160" applyNumberForma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13" fillId="23" borderId="163" applyNumberFormat="0" applyFont="0" applyAlignment="0" applyProtection="0"/>
    <xf numFmtId="0" fontId="66" fillId="7" borderId="160" applyNumberFormat="0" applyAlignment="0" applyProtection="0"/>
    <xf numFmtId="0" fontId="213" fillId="20" borderId="161" applyNumberFormat="0" applyAlignment="0" applyProtection="0"/>
    <xf numFmtId="218" fontId="213" fillId="20" borderId="161" applyNumberFormat="0" applyAlignment="0" applyProtection="0"/>
    <xf numFmtId="0" fontId="212" fillId="7" borderId="160" applyNumberFormat="0" applyAlignment="0" applyProtection="0"/>
    <xf numFmtId="218" fontId="212" fillId="7" borderId="160" applyNumberFormat="0" applyAlignment="0" applyProtection="0"/>
    <xf numFmtId="0" fontId="68" fillId="20" borderId="160" applyNumberFormat="0" applyAlignment="0" applyProtection="0"/>
    <xf numFmtId="0" fontId="195" fillId="59" borderId="161" applyNumberFormat="0" applyAlignment="0" applyProtection="0">
      <alignment vertical="center"/>
    </xf>
    <xf numFmtId="0" fontId="194" fillId="22" borderId="160" applyNumberFormat="0" applyAlignment="0" applyProtection="0">
      <alignment vertical="center"/>
    </xf>
    <xf numFmtId="0" fontId="191" fillId="59" borderId="160" applyNumberFormat="0" applyAlignment="0" applyProtection="0">
      <alignment vertical="center"/>
    </xf>
    <xf numFmtId="0" fontId="180" fillId="0" borderId="164" applyNumberFormat="0" applyFill="0" applyAlignment="0" applyProtection="0">
      <alignment vertical="center"/>
    </xf>
    <xf numFmtId="0" fontId="148" fillId="23" borderId="163" applyNumberFormat="0" applyFont="0" applyAlignment="0" applyProtection="0">
      <alignment vertical="center"/>
    </xf>
    <xf numFmtId="0" fontId="171" fillId="0" borderId="162" applyNumberFormat="0" applyFill="0" applyAlignment="0" applyProtection="0">
      <alignment vertical="center"/>
    </xf>
    <xf numFmtId="0" fontId="89" fillId="52" borderId="161" applyNumberFormat="0" applyAlignment="0" applyProtection="0"/>
    <xf numFmtId="0" fontId="155" fillId="52" borderId="160" applyNumberFormat="0" applyAlignment="0" applyProtection="0"/>
    <xf numFmtId="0" fontId="84" fillId="46" borderId="163" applyNumberFormat="0" applyFont="0" applyAlignment="0" applyProtection="0"/>
    <xf numFmtId="0" fontId="88" fillId="51" borderId="160" applyNumberFormat="0" applyAlignment="0" applyProtection="0"/>
    <xf numFmtId="0" fontId="16" fillId="0" borderId="159">
      <alignment horizontal="left" vertical="center"/>
    </xf>
    <xf numFmtId="0" fontId="159" fillId="56" borderId="158" applyNumberFormat="0" applyBorder="0" applyAlignment="0" applyProtection="0"/>
    <xf numFmtId="0" fontId="89" fillId="52" borderId="161" applyNumberFormat="0" applyAlignment="0" applyProtection="0"/>
    <xf numFmtId="0" fontId="171" fillId="0" borderId="162" applyNumberFormat="0" applyFill="0" applyAlignment="0" applyProtection="0">
      <alignment vertical="center"/>
    </xf>
    <xf numFmtId="0" fontId="85" fillId="23" borderId="163" applyNumberFormat="0" applyFont="0" applyAlignment="0" applyProtection="0"/>
    <xf numFmtId="0" fontId="13" fillId="23" borderId="163" applyNumberFormat="0" applyFont="0" applyAlignment="0" applyProtection="0"/>
    <xf numFmtId="0" fontId="13" fillId="23" borderId="163" applyNumberFormat="0" applyFont="0" applyAlignment="0" applyProtection="0"/>
    <xf numFmtId="0" fontId="148" fillId="23" borderId="163" applyNumberFormat="0" applyFont="0" applyAlignment="0" applyProtection="0">
      <alignment vertical="center"/>
    </xf>
    <xf numFmtId="0" fontId="94" fillId="0" borderId="162" applyNumberFormat="0" applyFill="0" applyAlignment="0" applyProtection="0"/>
    <xf numFmtId="0" fontId="72" fillId="0" borderId="162" applyNumberFormat="0" applyFill="0" applyAlignment="0" applyProtection="0"/>
    <xf numFmtId="0" fontId="180" fillId="0" borderId="164" applyNumberFormat="0" applyFill="0" applyAlignment="0" applyProtection="0">
      <alignment vertical="center"/>
    </xf>
    <xf numFmtId="0" fontId="90" fillId="20" borderId="160" applyNumberFormat="0" applyAlignment="0" applyProtection="0"/>
    <xf numFmtId="0" fontId="68" fillId="20" borderId="160" applyNumberFormat="0" applyAlignment="0" applyProtection="0"/>
    <xf numFmtId="0" fontId="89" fillId="20" borderId="161" applyNumberFormat="0" applyAlignment="0" applyProtection="0"/>
    <xf numFmtId="0" fontId="67" fillId="20" borderId="161" applyNumberFormat="0" applyAlignment="0" applyProtection="0"/>
    <xf numFmtId="0" fontId="88" fillId="7" borderId="160" applyNumberFormat="0" applyAlignment="0" applyProtection="0"/>
    <xf numFmtId="0" fontId="66" fillId="7" borderId="160" applyNumberFormat="0" applyAlignment="0" applyProtection="0"/>
    <xf numFmtId="0" fontId="84" fillId="0" borderId="158" applyBorder="0">
      <alignment horizontal="center"/>
      <protection locked="0"/>
    </xf>
    <xf numFmtId="0" fontId="191" fillId="59" borderId="160" applyNumberFormat="0" applyAlignment="0" applyProtection="0">
      <alignment vertical="center"/>
    </xf>
    <xf numFmtId="0" fontId="194" fillId="22" borderId="160" applyNumberFormat="0" applyAlignment="0" applyProtection="0">
      <alignment vertical="center"/>
    </xf>
    <xf numFmtId="0" fontId="195" fillId="59" borderId="161" applyNumberFormat="0" applyAlignment="0" applyProtection="0">
      <alignment vertical="center"/>
    </xf>
    <xf numFmtId="0" fontId="16" fillId="0" borderId="159">
      <alignment horizontal="left" vertical="center"/>
    </xf>
    <xf numFmtId="0" fontId="88" fillId="51" borderId="160" applyNumberFormat="0" applyAlignment="0" applyProtection="0"/>
    <xf numFmtId="0" fontId="155" fillId="52" borderId="160" applyNumberFormat="0" applyAlignment="0" applyProtection="0"/>
    <xf numFmtId="0" fontId="68" fillId="20" borderId="160" applyNumberFormat="0" applyAlignment="0" applyProtection="0"/>
    <xf numFmtId="218" fontId="212" fillId="7" borderId="160" applyNumberFormat="0" applyAlignment="0" applyProtection="0"/>
    <xf numFmtId="0" fontId="212" fillId="7" borderId="160" applyNumberFormat="0" applyAlignment="0" applyProtection="0"/>
    <xf numFmtId="218" fontId="213" fillId="20" borderId="161" applyNumberFormat="0" applyAlignment="0" applyProtection="0"/>
    <xf numFmtId="0" fontId="213" fillId="20" borderId="161" applyNumberFormat="0" applyAlignment="0" applyProtection="0"/>
    <xf numFmtId="0" fontId="66" fillId="7" borderId="160" applyNumberFormat="0" applyAlignment="0" applyProtection="0"/>
    <xf numFmtId="0" fontId="13" fillId="23" borderId="163" applyNumberFormat="0" applyFon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15" fillId="23" borderId="163" applyNumberFormat="0" applyFont="0" applyAlignment="0" applyProtection="0"/>
    <xf numFmtId="0" fontId="227" fillId="20" borderId="160" applyNumberFormat="0" applyAlignment="0" applyProtection="0"/>
    <xf numFmtId="0" fontId="67" fillId="20" borderId="161" applyNumberFormat="0" applyAlignment="0" applyProtection="0"/>
    <xf numFmtId="0" fontId="230" fillId="0" borderId="162" applyNumberFormat="0" applyFill="0" applyAlignment="0" applyProtection="0"/>
    <xf numFmtId="0" fontId="72" fillId="0" borderId="162" applyNumberFormat="0" applyFill="0" applyAlignment="0" applyProtection="0"/>
    <xf numFmtId="0" fontId="206" fillId="23" borderId="163" applyNumberFormat="0" applyFont="0" applyAlignment="0" applyProtection="0"/>
    <xf numFmtId="0" fontId="119" fillId="7" borderId="160" applyNumberFormat="0" applyAlignment="0" applyProtection="0"/>
    <xf numFmtId="0" fontId="119" fillId="7" borderId="160" applyNumberFormat="0" applyAlignment="0" applyProtection="0"/>
    <xf numFmtId="0" fontId="120" fillId="20" borderId="161" applyNumberFormat="0" applyAlignment="0" applyProtection="0"/>
    <xf numFmtId="0" fontId="120" fillId="20" borderId="161" applyNumberFormat="0" applyAlignment="0" applyProtection="0"/>
    <xf numFmtId="0" fontId="121" fillId="20" borderId="160" applyNumberFormat="0" applyAlignment="0" applyProtection="0"/>
    <xf numFmtId="0" fontId="121" fillId="20" borderId="160" applyNumberFormat="0" applyAlignment="0" applyProtection="0"/>
    <xf numFmtId="0" fontId="125" fillId="0" borderId="162" applyNumberFormat="0" applyFill="0" applyAlignment="0" applyProtection="0"/>
    <xf numFmtId="0" fontId="125" fillId="0" borderId="16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3" borderId="163" applyNumberFormat="0" applyFont="0" applyAlignment="0" applyProtection="0"/>
    <xf numFmtId="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19" fillId="7" borderId="160" applyNumberFormat="0" applyAlignment="0" applyProtection="0"/>
    <xf numFmtId="0" fontId="119" fillId="7" borderId="160" applyNumberFormat="0" applyAlignment="0" applyProtection="0"/>
    <xf numFmtId="0" fontId="120" fillId="20" borderId="161" applyNumberFormat="0" applyAlignment="0" applyProtection="0"/>
    <xf numFmtId="0" fontId="120" fillId="20" borderId="161" applyNumberFormat="0" applyAlignment="0" applyProtection="0"/>
    <xf numFmtId="0" fontId="121" fillId="20" borderId="160" applyNumberFormat="0" applyAlignment="0" applyProtection="0"/>
    <xf numFmtId="0" fontId="121" fillId="20" borderId="160" applyNumberFormat="0" applyAlignment="0" applyProtection="0"/>
    <xf numFmtId="0" fontId="125" fillId="0" borderId="162" applyNumberFormat="0" applyFill="0" applyAlignment="0" applyProtection="0"/>
    <xf numFmtId="0" fontId="125" fillId="0" borderId="162" applyNumberFormat="0" applyFill="0" applyAlignment="0" applyProtection="0"/>
    <xf numFmtId="0" fontId="13" fillId="23" borderId="163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1277">
    <xf numFmtId="0" fontId="0" fillId="0" borderId="0" xfId="0"/>
    <xf numFmtId="0" fontId="15" fillId="0" borderId="0" xfId="0" applyFont="1"/>
    <xf numFmtId="0" fontId="15" fillId="0" borderId="0" xfId="0" applyFont="1" applyBorder="1"/>
    <xf numFmtId="0" fontId="19" fillId="0" borderId="0" xfId="0" applyFont="1"/>
    <xf numFmtId="0" fontId="0" fillId="0" borderId="0" xfId="0" applyFill="1"/>
    <xf numFmtId="0" fontId="21" fillId="24" borderId="0" xfId="0" applyFont="1" applyFill="1"/>
    <xf numFmtId="0" fontId="0" fillId="24" borderId="0" xfId="0" applyFill="1"/>
    <xf numFmtId="0" fontId="19" fillId="24" borderId="0" xfId="0" applyFont="1" applyFill="1"/>
    <xf numFmtId="0" fontId="0" fillId="24" borderId="0" xfId="0" applyFill="1" applyBorder="1"/>
    <xf numFmtId="0" fontId="0" fillId="24" borderId="10" xfId="0" applyFill="1" applyBorder="1"/>
    <xf numFmtId="0" fontId="0" fillId="0" borderId="0" xfId="0" applyFill="1" applyBorder="1"/>
    <xf numFmtId="0" fontId="23" fillId="24" borderId="0" xfId="0" applyFont="1" applyFill="1"/>
    <xf numFmtId="0" fontId="0" fillId="24" borderId="14" xfId="0" applyFill="1" applyBorder="1"/>
    <xf numFmtId="0" fontId="39" fillId="25" borderId="0" xfId="0" applyFont="1" applyFill="1" applyBorder="1" applyAlignment="1">
      <alignment horizontal="center" vertical="justify"/>
    </xf>
    <xf numFmtId="0" fontId="39" fillId="24" borderId="0" xfId="0" applyFont="1" applyFill="1" applyBorder="1" applyAlignment="1">
      <alignment horizontal="center" vertical="justify"/>
    </xf>
    <xf numFmtId="2" fontId="43" fillId="26" borderId="0" xfId="0" applyNumberFormat="1" applyFont="1" applyFill="1" applyBorder="1" applyAlignment="1">
      <alignment horizontal="center"/>
    </xf>
    <xf numFmtId="2" fontId="41" fillId="26" borderId="0" xfId="0" applyNumberFormat="1" applyFont="1" applyFill="1" applyBorder="1" applyAlignment="1">
      <alignment horizontal="center"/>
    </xf>
    <xf numFmtId="0" fontId="17" fillId="24" borderId="0" xfId="0" applyFont="1" applyFill="1" applyAlignment="1">
      <alignment horizontal="right"/>
    </xf>
    <xf numFmtId="0" fontId="48" fillId="24" borderId="0" xfId="0" applyFont="1" applyFill="1"/>
    <xf numFmtId="0" fontId="50" fillId="24" borderId="0" xfId="0" applyFont="1" applyFill="1"/>
    <xf numFmtId="0" fontId="17" fillId="24" borderId="0" xfId="0" applyFont="1" applyFill="1" applyAlignment="1">
      <alignment horizontal="left"/>
    </xf>
    <xf numFmtId="2" fontId="23" fillId="24" borderId="0" xfId="0" applyNumberFormat="1" applyFont="1" applyFill="1" applyBorder="1" applyAlignment="1">
      <alignment horizontal="center"/>
    </xf>
    <xf numFmtId="2" fontId="19" fillId="24" borderId="0" xfId="0" applyNumberFormat="1" applyFont="1" applyFill="1" applyBorder="1"/>
    <xf numFmtId="0" fontId="39" fillId="24" borderId="0" xfId="0" applyFont="1" applyFill="1" applyBorder="1" applyAlignment="1">
      <alignment horizontal="left"/>
    </xf>
    <xf numFmtId="0" fontId="14" fillId="24" borderId="0" xfId="0" applyFont="1" applyFill="1"/>
    <xf numFmtId="0" fontId="39" fillId="24" borderId="0" xfId="0" applyFont="1" applyFill="1" applyBorder="1"/>
    <xf numFmtId="0" fontId="44" fillId="24" borderId="0" xfId="0" applyFont="1" applyFill="1" applyBorder="1"/>
    <xf numFmtId="0" fontId="28" fillId="24" borderId="0" xfId="0" applyFont="1" applyFill="1"/>
    <xf numFmtId="172" fontId="21" fillId="24" borderId="0" xfId="0" applyNumberFormat="1" applyFont="1" applyFill="1" applyBorder="1" applyAlignment="1">
      <alignment horizontal="center"/>
    </xf>
    <xf numFmtId="2" fontId="21" fillId="24" borderId="0" xfId="0" applyNumberFormat="1" applyFont="1" applyFill="1" applyBorder="1" applyAlignment="1">
      <alignment horizontal="center"/>
    </xf>
    <xf numFmtId="10" fontId="21" fillId="24" borderId="0" xfId="0" applyNumberFormat="1" applyFont="1" applyFill="1" applyBorder="1" applyAlignment="1">
      <alignment horizontal="center" vertical="center"/>
    </xf>
    <xf numFmtId="178" fontId="41" fillId="24" borderId="0" xfId="0" applyNumberFormat="1" applyFont="1" applyFill="1" applyBorder="1" applyAlignment="1">
      <alignment horizontal="center"/>
    </xf>
    <xf numFmtId="180" fontId="41" fillId="24" borderId="0" xfId="0" applyNumberFormat="1" applyFont="1" applyFill="1" applyBorder="1" applyAlignment="1">
      <alignment horizontal="center"/>
    </xf>
    <xf numFmtId="181" fontId="41" fillId="24" borderId="0" xfId="0" applyNumberFormat="1" applyFont="1" applyFill="1" applyBorder="1" applyAlignment="1">
      <alignment horizontal="center"/>
    </xf>
    <xf numFmtId="2" fontId="41" fillId="24" borderId="0" xfId="0" applyNumberFormat="1" applyFont="1" applyFill="1" applyBorder="1" applyAlignment="1">
      <alignment horizontal="center"/>
    </xf>
    <xf numFmtId="2" fontId="43" fillId="24" borderId="0" xfId="0" applyNumberFormat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29" fillId="26" borderId="17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3" fillId="25" borderId="17" xfId="0" applyFont="1" applyFill="1" applyBorder="1" applyAlignment="1">
      <alignment horizontal="left" vertical="justify" wrapText="1"/>
    </xf>
    <xf numFmtId="0" fontId="23" fillId="25" borderId="23" xfId="0" applyNumberFormat="1" applyFont="1" applyFill="1" applyBorder="1" applyAlignment="1">
      <alignment horizontal="left" vertical="justify" wrapText="1"/>
    </xf>
    <xf numFmtId="0" fontId="32" fillId="0" borderId="0" xfId="0" applyFont="1"/>
    <xf numFmtId="0" fontId="32" fillId="24" borderId="24" xfId="0" applyFont="1" applyFill="1" applyBorder="1" applyAlignment="1">
      <alignment horizontal="center"/>
    </xf>
    <xf numFmtId="0" fontId="32" fillId="30" borderId="24" xfId="0" applyFont="1" applyFill="1" applyBorder="1"/>
    <xf numFmtId="0" fontId="32" fillId="27" borderId="24" xfId="0" applyFont="1" applyFill="1" applyBorder="1" applyAlignment="1">
      <alignment vertical="justify"/>
    </xf>
    <xf numFmtId="9" fontId="32" fillId="24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9" fontId="49" fillId="24" borderId="24" xfId="0" applyNumberFormat="1" applyFont="1" applyFill="1" applyBorder="1" applyAlignment="1">
      <alignment horizontal="center"/>
    </xf>
    <xf numFmtId="0" fontId="33" fillId="24" borderId="24" xfId="0" applyFont="1" applyFill="1" applyBorder="1" applyAlignment="1">
      <alignment horizontal="left" wrapText="1"/>
    </xf>
    <xf numFmtId="0" fontId="0" fillId="0" borderId="0" xfId="0" applyBorder="1"/>
    <xf numFmtId="0" fontId="32" fillId="24" borderId="24" xfId="0" applyFont="1" applyFill="1" applyBorder="1" applyAlignment="1">
      <alignment horizontal="center" wrapText="1"/>
    </xf>
    <xf numFmtId="0" fontId="52" fillId="0" borderId="0" xfId="0" applyFont="1"/>
    <xf numFmtId="0" fontId="53" fillId="0" borderId="0" xfId="0" applyFont="1" applyBorder="1" applyAlignment="1"/>
    <xf numFmtId="9" fontId="54" fillId="24" borderId="24" xfId="0" applyNumberFormat="1" applyFont="1" applyFill="1" applyBorder="1" applyAlignment="1">
      <alignment horizontal="center"/>
    </xf>
    <xf numFmtId="0" fontId="49" fillId="24" borderId="24" xfId="0" applyFont="1" applyFill="1" applyBorder="1" applyAlignment="1">
      <alignment horizontal="center"/>
    </xf>
    <xf numFmtId="0" fontId="13" fillId="0" borderId="0" xfId="0" applyFont="1" applyFill="1" applyProtection="1">
      <protection locked="0"/>
    </xf>
    <xf numFmtId="0" fontId="13" fillId="24" borderId="0" xfId="0" applyFont="1" applyFill="1" applyProtection="1">
      <protection locked="0"/>
    </xf>
    <xf numFmtId="172" fontId="13" fillId="24" borderId="0" xfId="0" applyNumberFormat="1" applyFont="1" applyFill="1" applyProtection="1">
      <protection locked="0"/>
    </xf>
    <xf numFmtId="2" fontId="19" fillId="24" borderId="0" xfId="0" applyNumberFormat="1" applyFont="1" applyFill="1" applyBorder="1" applyAlignment="1" applyProtection="1">
      <protection locked="0"/>
    </xf>
    <xf numFmtId="2" fontId="48" fillId="24" borderId="0" xfId="0" applyNumberFormat="1" applyFont="1" applyFill="1" applyBorder="1" applyAlignment="1" applyProtection="1">
      <protection locked="0"/>
    </xf>
    <xf numFmtId="0" fontId="19" fillId="24" borderId="0" xfId="0" applyFont="1" applyFill="1" applyProtection="1">
      <protection locked="0"/>
    </xf>
    <xf numFmtId="0" fontId="13" fillId="24" borderId="25" xfId="0" applyFont="1" applyFill="1" applyBorder="1" applyProtection="1">
      <protection locked="0"/>
    </xf>
    <xf numFmtId="172" fontId="13" fillId="24" borderId="25" xfId="0" applyNumberFormat="1" applyFont="1" applyFill="1" applyBorder="1" applyProtection="1">
      <protection locked="0"/>
    </xf>
    <xf numFmtId="0" fontId="13" fillId="24" borderId="26" xfId="0" applyFont="1" applyFill="1" applyBorder="1" applyProtection="1">
      <protection locked="0"/>
    </xf>
    <xf numFmtId="0" fontId="13" fillId="24" borderId="27" xfId="0" applyFont="1" applyFill="1" applyBorder="1" applyProtection="1">
      <protection locked="0"/>
    </xf>
    <xf numFmtId="0" fontId="32" fillId="0" borderId="28" xfId="0" applyFont="1" applyFill="1" applyBorder="1" applyAlignment="1" applyProtection="1">
      <alignment horizontal="center"/>
      <protection locked="0"/>
    </xf>
    <xf numFmtId="0" fontId="32" fillId="0" borderId="29" xfId="0" applyFont="1" applyFill="1" applyBorder="1" applyAlignment="1" applyProtection="1">
      <alignment horizontal="center"/>
      <protection locked="0"/>
    </xf>
    <xf numFmtId="3" fontId="23" fillId="0" borderId="30" xfId="0" applyNumberFormat="1" applyFont="1" applyFill="1" applyBorder="1" applyProtection="1">
      <protection locked="0"/>
    </xf>
    <xf numFmtId="10" fontId="35" fillId="27" borderId="31" xfId="0" applyNumberFormat="1" applyFont="1" applyFill="1" applyBorder="1" applyProtection="1">
      <protection locked="0"/>
    </xf>
    <xf numFmtId="3" fontId="23" fillId="0" borderId="32" xfId="0" applyNumberFormat="1" applyFont="1" applyFill="1" applyBorder="1" applyProtection="1">
      <protection locked="0"/>
    </xf>
    <xf numFmtId="3" fontId="23" fillId="0" borderId="34" xfId="0" applyNumberFormat="1" applyFont="1" applyFill="1" applyBorder="1" applyProtection="1">
      <protection locked="0"/>
    </xf>
    <xf numFmtId="10" fontId="35" fillId="27" borderId="35" xfId="0" applyNumberFormat="1" applyFont="1" applyFill="1" applyBorder="1" applyProtection="1">
      <protection locked="0"/>
    </xf>
    <xf numFmtId="0" fontId="13" fillId="24" borderId="0" xfId="0" applyFont="1" applyFill="1" applyProtection="1"/>
    <xf numFmtId="0" fontId="32" fillId="24" borderId="0" xfId="0" applyFont="1" applyFill="1" applyProtection="1"/>
    <xf numFmtId="0" fontId="48" fillId="24" borderId="0" xfId="0" applyFont="1" applyFill="1" applyProtection="1"/>
    <xf numFmtId="0" fontId="33" fillId="24" borderId="0" xfId="0" applyFont="1" applyFill="1" applyProtection="1"/>
    <xf numFmtId="0" fontId="19" fillId="24" borderId="0" xfId="0" applyFont="1" applyFill="1" applyProtection="1"/>
    <xf numFmtId="0" fontId="33" fillId="24" borderId="29" xfId="0" applyFont="1" applyFill="1" applyBorder="1" applyProtection="1"/>
    <xf numFmtId="0" fontId="33" fillId="24" borderId="25" xfId="0" applyFont="1" applyFill="1" applyBorder="1" applyProtection="1"/>
    <xf numFmtId="0" fontId="19" fillId="24" borderId="25" xfId="0" applyFont="1" applyFill="1" applyBorder="1" applyProtection="1"/>
    <xf numFmtId="0" fontId="13" fillId="24" borderId="36" xfId="0" applyFont="1" applyFill="1" applyBorder="1" applyProtection="1"/>
    <xf numFmtId="0" fontId="23" fillId="24" borderId="36" xfId="0" applyFont="1" applyFill="1" applyBorder="1" applyProtection="1"/>
    <xf numFmtId="0" fontId="21" fillId="25" borderId="30" xfId="0" applyNumberFormat="1" applyFont="1" applyFill="1" applyBorder="1" applyAlignment="1" applyProtection="1">
      <alignment horizontal="left" vertical="center"/>
    </xf>
    <xf numFmtId="0" fontId="21" fillId="25" borderId="32" xfId="0" applyNumberFormat="1" applyFont="1" applyFill="1" applyBorder="1" applyAlignment="1" applyProtection="1">
      <alignment horizontal="left" vertical="center"/>
    </xf>
    <xf numFmtId="0" fontId="21" fillId="25" borderId="34" xfId="0" applyNumberFormat="1" applyFont="1" applyFill="1" applyBorder="1" applyAlignment="1" applyProtection="1">
      <alignment horizontal="left" vertical="center"/>
    </xf>
    <xf numFmtId="0" fontId="13" fillId="0" borderId="0" xfId="0" applyFont="1" applyFill="1" applyProtection="1"/>
    <xf numFmtId="167" fontId="29" fillId="27" borderId="30" xfId="0" applyNumberFormat="1" applyFont="1" applyFill="1" applyBorder="1" applyProtection="1"/>
    <xf numFmtId="167" fontId="29" fillId="27" borderId="32" xfId="0" applyNumberFormat="1" applyFont="1" applyFill="1" applyBorder="1" applyProtection="1"/>
    <xf numFmtId="167" fontId="29" fillId="27" borderId="34" xfId="0" applyNumberFormat="1" applyFont="1" applyFill="1" applyBorder="1" applyProtection="1"/>
    <xf numFmtId="0" fontId="0" fillId="24" borderId="0" xfId="0" applyFill="1" applyProtection="1">
      <protection locked="0"/>
    </xf>
    <xf numFmtId="0" fontId="0" fillId="0" borderId="0" xfId="0" applyProtection="1">
      <protection locked="0"/>
    </xf>
    <xf numFmtId="0" fontId="23" fillId="24" borderId="0" xfId="0" applyFont="1" applyFill="1" applyProtection="1">
      <protection locked="0"/>
    </xf>
    <xf numFmtId="0" fontId="23" fillId="0" borderId="37" xfId="0" applyFont="1" applyFill="1" applyBorder="1" applyProtection="1">
      <protection locked="0"/>
    </xf>
    <xf numFmtId="10" fontId="23" fillId="0" borderId="37" xfId="0" applyNumberFormat="1" applyFont="1" applyFill="1" applyBorder="1" applyProtection="1">
      <protection locked="0"/>
    </xf>
    <xf numFmtId="167" fontId="41" fillId="26" borderId="38" xfId="0" applyNumberFormat="1" applyFont="1" applyFill="1" applyBorder="1" applyAlignment="1" applyProtection="1">
      <alignment horizontal="right"/>
      <protection locked="0"/>
    </xf>
    <xf numFmtId="172" fontId="0" fillId="0" borderId="0" xfId="0" applyNumberFormat="1" applyProtection="1">
      <protection locked="0"/>
    </xf>
    <xf numFmtId="176" fontId="23" fillId="24" borderId="20" xfId="0" applyNumberFormat="1" applyFont="1" applyFill="1" applyBorder="1" applyProtection="1">
      <protection locked="0"/>
    </xf>
    <xf numFmtId="179" fontId="23" fillId="24" borderId="0" xfId="0" applyNumberFormat="1" applyFont="1" applyFill="1" applyProtection="1">
      <protection locked="0"/>
    </xf>
    <xf numFmtId="0" fontId="13" fillId="0" borderId="0" xfId="0" applyFont="1" applyFill="1" applyBorder="1" applyProtection="1">
      <protection locked="0"/>
    </xf>
    <xf numFmtId="0" fontId="13" fillId="24" borderId="41" xfId="0" applyFont="1" applyFill="1" applyBorder="1" applyProtection="1"/>
    <xf numFmtId="0" fontId="33" fillId="24" borderId="36" xfId="0" applyFont="1" applyFill="1" applyBorder="1" applyProtection="1"/>
    <xf numFmtId="0" fontId="33" fillId="24" borderId="0" xfId="0" applyFont="1" applyFill="1" applyBorder="1" applyProtection="1"/>
    <xf numFmtId="0" fontId="21" fillId="25" borderId="42" xfId="0" applyNumberFormat="1" applyFont="1" applyFill="1" applyBorder="1" applyAlignment="1" applyProtection="1">
      <alignment horizontal="left" vertical="center"/>
    </xf>
    <xf numFmtId="0" fontId="21" fillId="25" borderId="43" xfId="0" applyNumberFormat="1" applyFont="1" applyFill="1" applyBorder="1" applyAlignment="1" applyProtection="1">
      <alignment horizontal="left" vertical="center"/>
    </xf>
    <xf numFmtId="0" fontId="21" fillId="25" borderId="44" xfId="0" applyNumberFormat="1" applyFont="1" applyFill="1" applyBorder="1" applyAlignment="1" applyProtection="1">
      <alignment horizontal="left" vertical="center"/>
    </xf>
    <xf numFmtId="10" fontId="35" fillId="31" borderId="31" xfId="0" applyNumberFormat="1" applyFont="1" applyFill="1" applyBorder="1" applyProtection="1">
      <protection locked="0"/>
    </xf>
    <xf numFmtId="10" fontId="35" fillId="31" borderId="35" xfId="0" applyNumberFormat="1" applyFont="1" applyFill="1" applyBorder="1" applyProtection="1">
      <protection locked="0"/>
    </xf>
    <xf numFmtId="3" fontId="23" fillId="0" borderId="43" xfId="0" applyNumberFormat="1" applyFont="1" applyFill="1" applyBorder="1" applyProtection="1">
      <protection locked="0"/>
    </xf>
    <xf numFmtId="3" fontId="23" fillId="0" borderId="44" xfId="0" applyNumberFormat="1" applyFont="1" applyFill="1" applyBorder="1" applyProtection="1">
      <protection locked="0"/>
    </xf>
    <xf numFmtId="3" fontId="23" fillId="0" borderId="45" xfId="0" applyNumberFormat="1" applyFont="1" applyFill="1" applyBorder="1" applyProtection="1">
      <protection locked="0"/>
    </xf>
    <xf numFmtId="10" fontId="35" fillId="31" borderId="46" xfId="0" applyNumberFormat="1" applyFont="1" applyFill="1" applyBorder="1" applyProtection="1">
      <protection locked="0"/>
    </xf>
    <xf numFmtId="2" fontId="55" fillId="27" borderId="30" xfId="0" applyNumberFormat="1" applyFont="1" applyFill="1" applyBorder="1" applyAlignment="1" applyProtection="1">
      <alignment horizontal="center"/>
      <protection locked="0"/>
    </xf>
    <xf numFmtId="2" fontId="55" fillId="27" borderId="32" xfId="0" applyNumberFormat="1" applyFont="1" applyFill="1" applyBorder="1" applyAlignment="1" applyProtection="1">
      <alignment horizontal="center"/>
      <protection locked="0"/>
    </xf>
    <xf numFmtId="2" fontId="55" fillId="27" borderId="34" xfId="0" applyNumberFormat="1" applyFont="1" applyFill="1" applyBorder="1" applyAlignment="1" applyProtection="1">
      <alignment horizontal="center"/>
      <protection locked="0"/>
    </xf>
    <xf numFmtId="0" fontId="13" fillId="24" borderId="0" xfId="0" applyFont="1" applyFill="1" applyBorder="1" applyProtection="1"/>
    <xf numFmtId="167" fontId="34" fillId="24" borderId="0" xfId="0" applyNumberFormat="1" applyFont="1" applyFill="1" applyBorder="1" applyProtection="1"/>
    <xf numFmtId="0" fontId="23" fillId="24" borderId="0" xfId="0" applyFont="1" applyFill="1" applyAlignment="1" applyProtection="1">
      <alignment horizontal="right"/>
    </xf>
    <xf numFmtId="3" fontId="23" fillId="0" borderId="30" xfId="0" applyNumberFormat="1" applyFont="1" applyFill="1" applyBorder="1" applyProtection="1"/>
    <xf numFmtId="0" fontId="23" fillId="24" borderId="0" xfId="0" applyFont="1" applyFill="1" applyBorder="1" applyProtection="1"/>
    <xf numFmtId="3" fontId="23" fillId="0" borderId="32" xfId="0" applyNumberFormat="1" applyFont="1" applyFill="1" applyBorder="1" applyProtection="1"/>
    <xf numFmtId="3" fontId="23" fillId="0" borderId="34" xfId="0" applyNumberFormat="1" applyFont="1" applyFill="1" applyBorder="1" applyProtection="1"/>
    <xf numFmtId="0" fontId="13" fillId="0" borderId="27" xfId="0" applyFont="1" applyFill="1" applyBorder="1" applyProtection="1"/>
    <xf numFmtId="0" fontId="13" fillId="0" borderId="0" xfId="0" applyFont="1" applyFill="1" applyBorder="1" applyProtection="1"/>
    <xf numFmtId="3" fontId="34" fillId="24" borderId="0" xfId="0" applyNumberFormat="1" applyFont="1" applyFill="1" applyBorder="1" applyProtection="1"/>
    <xf numFmtId="2" fontId="56" fillId="24" borderId="20" xfId="0" applyNumberFormat="1" applyFont="1" applyFill="1" applyBorder="1" applyProtection="1"/>
    <xf numFmtId="3" fontId="34" fillId="25" borderId="0" xfId="0" applyNumberFormat="1" applyFont="1" applyFill="1" applyBorder="1" applyProtection="1"/>
    <xf numFmtId="0" fontId="32" fillId="25" borderId="47" xfId="0" applyFont="1" applyFill="1" applyBorder="1" applyAlignment="1" applyProtection="1">
      <alignment horizontal="center"/>
      <protection locked="0"/>
    </xf>
    <xf numFmtId="0" fontId="32" fillId="24" borderId="47" xfId="0" applyFont="1" applyFill="1" applyBorder="1" applyAlignment="1" applyProtection="1">
      <alignment horizontal="center"/>
      <protection locked="0"/>
    </xf>
    <xf numFmtId="167" fontId="29" fillId="27" borderId="30" xfId="0" applyNumberFormat="1" applyFont="1" applyFill="1" applyBorder="1" applyProtection="1">
      <protection locked="0"/>
    </xf>
    <xf numFmtId="167" fontId="23" fillId="24" borderId="30" xfId="0" applyNumberFormat="1" applyFont="1" applyFill="1" applyBorder="1" applyProtection="1">
      <protection locked="0"/>
    </xf>
    <xf numFmtId="10" fontId="36" fillId="24" borderId="30" xfId="0" applyNumberFormat="1" applyFont="1" applyFill="1" applyBorder="1" applyProtection="1">
      <protection locked="0"/>
    </xf>
    <xf numFmtId="167" fontId="29" fillId="27" borderId="32" xfId="0" applyNumberFormat="1" applyFont="1" applyFill="1" applyBorder="1" applyProtection="1">
      <protection locked="0"/>
    </xf>
    <xf numFmtId="167" fontId="23" fillId="24" borderId="32" xfId="0" applyNumberFormat="1" applyFont="1" applyFill="1" applyBorder="1" applyProtection="1">
      <protection locked="0"/>
    </xf>
    <xf numFmtId="10" fontId="36" fillId="24" borderId="32" xfId="0" applyNumberFormat="1" applyFont="1" applyFill="1" applyBorder="1" applyProtection="1">
      <protection locked="0"/>
    </xf>
    <xf numFmtId="167" fontId="29" fillId="27" borderId="34" xfId="0" applyNumberFormat="1" applyFont="1" applyFill="1" applyBorder="1" applyProtection="1">
      <protection locked="0"/>
    </xf>
    <xf numFmtId="167" fontId="23" fillId="24" borderId="34" xfId="0" applyNumberFormat="1" applyFont="1" applyFill="1" applyBorder="1" applyProtection="1">
      <protection locked="0"/>
    </xf>
    <xf numFmtId="10" fontId="36" fillId="24" borderId="34" xfId="0" applyNumberFormat="1" applyFont="1" applyFill="1" applyBorder="1" applyProtection="1">
      <protection locked="0"/>
    </xf>
    <xf numFmtId="0" fontId="33" fillId="24" borderId="0" xfId="0" applyFont="1" applyFill="1" applyBorder="1" applyProtection="1">
      <protection locked="0"/>
    </xf>
    <xf numFmtId="0" fontId="0" fillId="24" borderId="0" xfId="0" applyFill="1" applyProtection="1"/>
    <xf numFmtId="0" fontId="0" fillId="0" borderId="0" xfId="0" applyProtection="1"/>
    <xf numFmtId="0" fontId="19" fillId="0" borderId="0" xfId="0" applyFont="1" applyProtection="1"/>
    <xf numFmtId="0" fontId="17" fillId="24" borderId="0" xfId="0" applyFont="1" applyFill="1" applyAlignment="1" applyProtection="1">
      <alignment horizontal="left"/>
    </xf>
    <xf numFmtId="2" fontId="23" fillId="24" borderId="20" xfId="0" applyNumberFormat="1" applyFont="1" applyFill="1" applyBorder="1" applyAlignment="1" applyProtection="1">
      <alignment horizontal="center"/>
    </xf>
    <xf numFmtId="0" fontId="17" fillId="24" borderId="0" xfId="0" applyFont="1" applyFill="1" applyAlignment="1" applyProtection="1">
      <alignment horizontal="right"/>
    </xf>
    <xf numFmtId="2" fontId="19" fillId="24" borderId="0" xfId="0" applyNumberFormat="1" applyFont="1" applyFill="1" applyProtection="1"/>
    <xf numFmtId="167" fontId="0" fillId="24" borderId="0" xfId="0" applyNumberFormat="1" applyFill="1" applyProtection="1"/>
    <xf numFmtId="0" fontId="34" fillId="27" borderId="49" xfId="0" applyFont="1" applyFill="1" applyBorder="1" applyAlignment="1" applyProtection="1">
      <alignment horizontal="center"/>
    </xf>
    <xf numFmtId="0" fontId="34" fillId="27" borderId="12" xfId="0" applyFont="1" applyFill="1" applyBorder="1" applyAlignment="1" applyProtection="1">
      <alignment horizontal="center"/>
    </xf>
    <xf numFmtId="0" fontId="34" fillId="27" borderId="13" xfId="0" applyFont="1" applyFill="1" applyBorder="1" applyAlignment="1" applyProtection="1">
      <alignment horizontal="center"/>
    </xf>
    <xf numFmtId="0" fontId="52" fillId="0" borderId="24" xfId="0" applyFont="1" applyBorder="1" applyAlignment="1" applyProtection="1">
      <alignment horizontal="center" vertical="justify"/>
    </xf>
    <xf numFmtId="167" fontId="29" fillId="32" borderId="52" xfId="0" applyNumberFormat="1" applyFont="1" applyFill="1" applyBorder="1" applyAlignment="1" applyProtection="1">
      <alignment horizontal="center"/>
    </xf>
    <xf numFmtId="2" fontId="0" fillId="24" borderId="0" xfId="0" applyNumberFormat="1" applyFill="1" applyBorder="1"/>
    <xf numFmtId="172" fontId="21" fillId="30" borderId="0" xfId="0" applyNumberFormat="1" applyFont="1" applyFill="1" applyBorder="1" applyAlignment="1">
      <alignment horizontal="center"/>
    </xf>
    <xf numFmtId="180" fontId="41" fillId="30" borderId="0" xfId="0" applyNumberFormat="1" applyFont="1" applyFill="1" applyBorder="1" applyAlignment="1">
      <alignment horizontal="center"/>
    </xf>
    <xf numFmtId="10" fontId="21" fillId="24" borderId="0" xfId="0" applyNumberFormat="1" applyFont="1" applyFill="1" applyBorder="1" applyAlignment="1">
      <alignment vertical="center"/>
    </xf>
    <xf numFmtId="10" fontId="0" fillId="24" borderId="0" xfId="0" applyNumberFormat="1" applyFill="1"/>
    <xf numFmtId="167" fontId="23" fillId="24" borderId="30" xfId="0" applyNumberFormat="1" applyFont="1" applyFill="1" applyBorder="1" applyProtection="1"/>
    <xf numFmtId="167" fontId="23" fillId="24" borderId="32" xfId="0" applyNumberFormat="1" applyFont="1" applyFill="1" applyBorder="1" applyProtection="1"/>
    <xf numFmtId="167" fontId="23" fillId="24" borderId="34" xfId="0" applyNumberFormat="1" applyFont="1" applyFill="1" applyBorder="1" applyProtection="1"/>
    <xf numFmtId="10" fontId="35" fillId="27" borderId="30" xfId="0" applyNumberFormat="1" applyFont="1" applyFill="1" applyBorder="1" applyProtection="1">
      <protection locked="0"/>
    </xf>
    <xf numFmtId="10" fontId="35" fillId="27" borderId="32" xfId="0" applyNumberFormat="1" applyFont="1" applyFill="1" applyBorder="1" applyProtection="1">
      <protection locked="0"/>
    </xf>
    <xf numFmtId="10" fontId="35" fillId="27" borderId="34" xfId="0" applyNumberFormat="1" applyFont="1" applyFill="1" applyBorder="1" applyProtection="1">
      <protection locked="0"/>
    </xf>
    <xf numFmtId="0" fontId="13" fillId="24" borderId="0" xfId="0" applyFont="1" applyFill="1" applyBorder="1" applyProtection="1">
      <protection locked="0"/>
    </xf>
    <xf numFmtId="167" fontId="13" fillId="24" borderId="0" xfId="0" applyNumberFormat="1" applyFont="1" applyFill="1" applyBorder="1" applyProtection="1">
      <protection locked="0"/>
    </xf>
    <xf numFmtId="172" fontId="13" fillId="25" borderId="25" xfId="0" applyNumberFormat="1" applyFont="1" applyFill="1" applyBorder="1" applyProtection="1">
      <protection locked="0"/>
    </xf>
    <xf numFmtId="0" fontId="0" fillId="0" borderId="0" xfId="0" applyFill="1" applyProtection="1">
      <protection locked="0"/>
    </xf>
    <xf numFmtId="0" fontId="15" fillId="24" borderId="0" xfId="0" applyFont="1" applyFill="1" applyProtection="1"/>
    <xf numFmtId="0" fontId="16" fillId="24" borderId="0" xfId="0" applyFont="1" applyFill="1" applyProtection="1"/>
    <xf numFmtId="0" fontId="28" fillId="24" borderId="0" xfId="76" applyFont="1" applyFill="1" applyAlignment="1" applyProtection="1">
      <alignment vertical="center"/>
    </xf>
    <xf numFmtId="0" fontId="15" fillId="24" borderId="0" xfId="76" applyFont="1" applyFill="1" applyAlignment="1" applyProtection="1">
      <alignment vertical="center"/>
    </xf>
    <xf numFmtId="0" fontId="40" fillId="24" borderId="20" xfId="76" applyFont="1" applyFill="1" applyBorder="1" applyAlignment="1" applyProtection="1">
      <alignment horizontal="center" vertical="center"/>
    </xf>
    <xf numFmtId="0" fontId="15" fillId="24" borderId="0" xfId="0" applyFont="1" applyFill="1" applyBorder="1" applyProtection="1"/>
    <xf numFmtId="0" fontId="15" fillId="0" borderId="0" xfId="0" applyFont="1" applyFill="1" applyProtection="1"/>
    <xf numFmtId="0" fontId="15" fillId="0" borderId="0" xfId="0" applyFont="1" applyFill="1" applyBorder="1" applyProtection="1"/>
    <xf numFmtId="0" fontId="15" fillId="0" borderId="0" xfId="0" applyFont="1" applyProtection="1"/>
    <xf numFmtId="0" fontId="21" fillId="24" borderId="0" xfId="0" applyFont="1" applyFill="1" applyBorder="1" applyProtection="1"/>
    <xf numFmtId="0" fontId="17" fillId="24" borderId="0" xfId="0" applyFont="1" applyFill="1" applyProtection="1"/>
    <xf numFmtId="2" fontId="18" fillId="24" borderId="20" xfId="0" applyNumberFormat="1" applyFont="1" applyFill="1" applyBorder="1" applyAlignment="1" applyProtection="1">
      <alignment horizontal="left"/>
    </xf>
    <xf numFmtId="2" fontId="18" fillId="24" borderId="0" xfId="0" applyNumberFormat="1" applyFont="1" applyFill="1" applyAlignment="1" applyProtection="1">
      <alignment horizontal="left"/>
    </xf>
    <xf numFmtId="10" fontId="21" fillId="24" borderId="0" xfId="0" applyNumberFormat="1" applyFont="1" applyFill="1" applyBorder="1" applyAlignment="1" applyProtection="1">
      <alignment horizontal="center"/>
    </xf>
    <xf numFmtId="0" fontId="0" fillId="0" borderId="0" xfId="0" applyFill="1" applyProtection="1"/>
    <xf numFmtId="0" fontId="0" fillId="0" borderId="0" xfId="0" applyFill="1" applyBorder="1" applyProtection="1"/>
    <xf numFmtId="0" fontId="0" fillId="24" borderId="0" xfId="0" applyFill="1" applyBorder="1" applyProtection="1"/>
    <xf numFmtId="0" fontId="0" fillId="24" borderId="10" xfId="0" applyFill="1" applyBorder="1" applyProtection="1"/>
    <xf numFmtId="175" fontId="24" fillId="0" borderId="14" xfId="0" applyNumberFormat="1" applyFont="1" applyBorder="1" applyProtection="1"/>
    <xf numFmtId="175" fontId="24" fillId="0" borderId="53" xfId="0" applyNumberFormat="1" applyFont="1" applyBorder="1" applyProtection="1"/>
    <xf numFmtId="167" fontId="25" fillId="0" borderId="14" xfId="0" applyNumberFormat="1" applyFont="1" applyBorder="1" applyProtection="1"/>
    <xf numFmtId="167" fontId="25" fillId="0" borderId="54" xfId="0" applyNumberFormat="1" applyFont="1" applyBorder="1" applyProtection="1"/>
    <xf numFmtId="0" fontId="45" fillId="24" borderId="0" xfId="0" applyFont="1" applyFill="1" applyProtection="1"/>
    <xf numFmtId="4" fontId="46" fillId="24" borderId="0" xfId="0" applyNumberFormat="1" applyFont="1" applyFill="1" applyBorder="1" applyAlignment="1" applyProtection="1">
      <alignment horizontal="center" vertical="top"/>
    </xf>
    <xf numFmtId="0" fontId="57" fillId="24" borderId="0" xfId="0" applyFont="1" applyFill="1" applyProtection="1"/>
    <xf numFmtId="4" fontId="38" fillId="24" borderId="0" xfId="0" applyNumberFormat="1" applyFont="1" applyFill="1" applyBorder="1" applyAlignment="1" applyProtection="1">
      <alignment horizontal="center" vertical="top"/>
    </xf>
    <xf numFmtId="0" fontId="23" fillId="24" borderId="0" xfId="0" applyFont="1" applyFill="1" applyProtection="1"/>
    <xf numFmtId="1" fontId="23" fillId="24" borderId="20" xfId="0" applyNumberFormat="1" applyFont="1" applyFill="1" applyBorder="1" applyProtection="1"/>
    <xf numFmtId="4" fontId="23" fillId="26" borderId="55" xfId="0" applyNumberFormat="1" applyFont="1" applyFill="1" applyBorder="1" applyAlignment="1" applyProtection="1">
      <alignment horizontal="center" vertical="center"/>
    </xf>
    <xf numFmtId="0" fontId="0" fillId="24" borderId="0" xfId="0" applyNumberFormat="1" applyFill="1" applyProtection="1"/>
    <xf numFmtId="4" fontId="23" fillId="26" borderId="36" xfId="0" applyNumberFormat="1" applyFont="1" applyFill="1" applyBorder="1" applyAlignment="1" applyProtection="1">
      <alignment horizontal="center" vertical="center"/>
    </xf>
    <xf numFmtId="0" fontId="49" fillId="25" borderId="12" xfId="0" applyNumberFormat="1" applyFont="1" applyFill="1" applyBorder="1" applyAlignment="1" applyProtection="1">
      <alignment horizontal="center" vertical="center"/>
    </xf>
    <xf numFmtId="4" fontId="23" fillId="26" borderId="56" xfId="0" applyNumberFormat="1" applyFont="1" applyFill="1" applyBorder="1" applyAlignment="1" applyProtection="1">
      <alignment horizontal="center" vertical="center"/>
    </xf>
    <xf numFmtId="0" fontId="49" fillId="25" borderId="16" xfId="0" applyNumberFormat="1" applyFont="1" applyFill="1" applyBorder="1" applyAlignment="1" applyProtection="1">
      <alignment horizontal="center" vertical="center"/>
    </xf>
    <xf numFmtId="4" fontId="23" fillId="26" borderId="57" xfId="0" applyNumberFormat="1" applyFont="1" applyFill="1" applyBorder="1" applyAlignment="1" applyProtection="1">
      <alignment horizontal="left" vertical="center"/>
    </xf>
    <xf numFmtId="168" fontId="23" fillId="24" borderId="57" xfId="0" applyNumberFormat="1" applyFont="1" applyFill="1" applyBorder="1" applyAlignment="1" applyProtection="1">
      <alignment horizontal="center" vertical="center"/>
    </xf>
    <xf numFmtId="172" fontId="0" fillId="0" borderId="32" xfId="0" applyNumberFormat="1" applyBorder="1" applyAlignment="1" applyProtection="1">
      <alignment horizontal="center"/>
    </xf>
    <xf numFmtId="172" fontId="47" fillId="24" borderId="57" xfId="84" applyNumberFormat="1" applyFont="1" applyFill="1" applyBorder="1" applyAlignment="1" applyProtection="1">
      <alignment horizontal="center" vertical="center"/>
    </xf>
    <xf numFmtId="172" fontId="47" fillId="24" borderId="58" xfId="84" applyNumberFormat="1" applyFont="1" applyFill="1" applyBorder="1" applyAlignment="1" applyProtection="1">
      <alignment horizontal="center" vertical="center"/>
    </xf>
    <xf numFmtId="4" fontId="13" fillId="26" borderId="32" xfId="0" applyNumberFormat="1" applyFont="1" applyFill="1" applyBorder="1" applyAlignment="1" applyProtection="1">
      <alignment horizontal="left" vertical="center"/>
    </xf>
    <xf numFmtId="168" fontId="23" fillId="0" borderId="32" xfId="0" applyNumberFormat="1" applyFont="1" applyBorder="1" applyProtection="1"/>
    <xf numFmtId="172" fontId="47" fillId="24" borderId="32" xfId="84" applyNumberFormat="1" applyFont="1" applyFill="1" applyBorder="1" applyAlignment="1" applyProtection="1">
      <alignment horizontal="center" vertical="center"/>
    </xf>
    <xf numFmtId="172" fontId="47" fillId="24" borderId="59" xfId="84" applyNumberFormat="1" applyFont="1" applyFill="1" applyBorder="1" applyAlignment="1" applyProtection="1">
      <alignment horizontal="center" vertical="center"/>
    </xf>
    <xf numFmtId="168" fontId="0" fillId="0" borderId="32" xfId="0" applyNumberFormat="1" applyBorder="1" applyProtection="1"/>
    <xf numFmtId="4" fontId="23" fillId="26" borderId="32" xfId="0" applyNumberFormat="1" applyFont="1" applyFill="1" applyBorder="1" applyAlignment="1" applyProtection="1">
      <alignment horizontal="left" vertical="center"/>
    </xf>
    <xf numFmtId="168" fontId="13" fillId="0" borderId="32" xfId="55" applyNumberFormat="1" applyBorder="1" applyProtection="1"/>
    <xf numFmtId="172" fontId="46" fillId="24" borderId="32" xfId="84" applyNumberFormat="1" applyFont="1" applyFill="1" applyBorder="1" applyAlignment="1" applyProtection="1">
      <alignment horizontal="center" vertical="center"/>
    </xf>
    <xf numFmtId="168" fontId="0" fillId="0" borderId="32" xfId="0" applyNumberFormat="1" applyFill="1" applyBorder="1" applyProtection="1"/>
    <xf numFmtId="4" fontId="23" fillId="26" borderId="60" xfId="0" applyNumberFormat="1" applyFont="1" applyFill="1" applyBorder="1" applyAlignment="1" applyProtection="1">
      <alignment horizontal="left" vertical="center"/>
    </xf>
    <xf numFmtId="168" fontId="23" fillId="0" borderId="60" xfId="0" applyNumberFormat="1" applyFont="1" applyBorder="1" applyProtection="1"/>
    <xf numFmtId="172" fontId="0" fillId="0" borderId="60" xfId="0" applyNumberFormat="1" applyBorder="1" applyAlignment="1" applyProtection="1">
      <alignment horizontal="center"/>
    </xf>
    <xf numFmtId="172" fontId="47" fillId="24" borderId="60" xfId="84" applyNumberFormat="1" applyFont="1" applyFill="1" applyBorder="1" applyAlignment="1" applyProtection="1">
      <alignment horizontal="center" vertical="center"/>
    </xf>
    <xf numFmtId="172" fontId="47" fillId="24" borderId="61" xfId="84" applyNumberFormat="1" applyFont="1" applyFill="1" applyBorder="1" applyAlignment="1" applyProtection="1">
      <alignment horizontal="center" vertical="center"/>
    </xf>
    <xf numFmtId="0" fontId="23" fillId="24" borderId="20" xfId="0" applyFont="1" applyFill="1" applyBorder="1" applyProtection="1"/>
    <xf numFmtId="168" fontId="23" fillId="24" borderId="62" xfId="0" applyNumberFormat="1" applyFont="1" applyFill="1" applyBorder="1" applyAlignment="1" applyProtection="1">
      <alignment horizontal="center" vertical="center"/>
    </xf>
    <xf numFmtId="172" fontId="47" fillId="24" borderId="63" xfId="84" applyNumberFormat="1" applyFont="1" applyFill="1" applyBorder="1" applyAlignment="1" applyProtection="1">
      <alignment horizontal="center" vertical="center"/>
    </xf>
    <xf numFmtId="167" fontId="58" fillId="0" borderId="32" xfId="0" applyNumberFormat="1" applyFont="1" applyFill="1" applyBorder="1" applyAlignment="1" applyProtection="1">
      <alignment horizontal="center" vertical="center"/>
    </xf>
    <xf numFmtId="167" fontId="13" fillId="0" borderId="64" xfId="0" applyNumberFormat="1" applyFont="1" applyFill="1" applyBorder="1" applyAlignment="1" applyProtection="1">
      <alignment horizontal="center" vertical="center"/>
    </xf>
    <xf numFmtId="172" fontId="59" fillId="0" borderId="32" xfId="0" applyNumberFormat="1" applyFont="1" applyFill="1" applyBorder="1" applyAlignment="1" applyProtection="1">
      <alignment horizontal="center" vertical="center"/>
    </xf>
    <xf numFmtId="167" fontId="23" fillId="0" borderId="64" xfId="0" applyNumberFormat="1" applyFont="1" applyFill="1" applyBorder="1" applyAlignment="1" applyProtection="1">
      <alignment horizontal="center" vertical="center"/>
    </xf>
    <xf numFmtId="172" fontId="56" fillId="0" borderId="32" xfId="0" applyNumberFormat="1" applyFont="1" applyFill="1" applyBorder="1" applyAlignment="1" applyProtection="1">
      <alignment horizontal="center" vertical="center"/>
    </xf>
    <xf numFmtId="167" fontId="23" fillId="0" borderId="65" xfId="0" applyNumberFormat="1" applyFont="1" applyFill="1" applyBorder="1" applyAlignment="1" applyProtection="1">
      <alignment horizontal="center" vertical="center"/>
    </xf>
    <xf numFmtId="172" fontId="56" fillId="0" borderId="6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vertical="justify"/>
    </xf>
    <xf numFmtId="175" fontId="19" fillId="0" borderId="0" xfId="0" applyNumberFormat="1" applyFont="1" applyFill="1" applyBorder="1" applyProtection="1"/>
    <xf numFmtId="0" fontId="22" fillId="0" borderId="66" xfId="0" applyFont="1" applyBorder="1" applyAlignment="1" applyProtection="1">
      <alignment horizontal="center"/>
    </xf>
    <xf numFmtId="0" fontId="22" fillId="0" borderId="67" xfId="0" applyFont="1" applyBorder="1" applyAlignment="1" applyProtection="1">
      <alignment horizontal="center"/>
    </xf>
    <xf numFmtId="0" fontId="15" fillId="0" borderId="0" xfId="0" applyFont="1" applyBorder="1" applyProtection="1"/>
    <xf numFmtId="0" fontId="15" fillId="0" borderId="10" xfId="0" applyFont="1" applyBorder="1" applyProtection="1"/>
    <xf numFmtId="0" fontId="19" fillId="24" borderId="14" xfId="0" applyFont="1" applyFill="1" applyBorder="1" applyAlignment="1" applyProtection="1">
      <alignment vertical="justify"/>
    </xf>
    <xf numFmtId="0" fontId="19" fillId="24" borderId="10" xfId="0" applyFont="1" applyFill="1" applyBorder="1" applyAlignment="1" applyProtection="1">
      <alignment vertical="justify"/>
    </xf>
    <xf numFmtId="0" fontId="19" fillId="25" borderId="10" xfId="0" applyFont="1" applyFill="1" applyBorder="1" applyAlignment="1" applyProtection="1">
      <alignment vertical="justify"/>
    </xf>
    <xf numFmtId="0" fontId="19" fillId="24" borderId="15" xfId="0" applyFont="1" applyFill="1" applyBorder="1" applyAlignment="1" applyProtection="1">
      <alignment vertical="justify"/>
    </xf>
    <xf numFmtId="0" fontId="19" fillId="25" borderId="16" xfId="0" applyFont="1" applyFill="1" applyBorder="1" applyAlignment="1" applyProtection="1">
      <alignment vertical="justify"/>
    </xf>
    <xf numFmtId="0" fontId="19" fillId="24" borderId="0" xfId="0" applyFont="1" applyFill="1" applyBorder="1" applyAlignment="1" applyProtection="1">
      <alignment horizontal="center" vertical="justify"/>
    </xf>
    <xf numFmtId="0" fontId="0" fillId="26" borderId="0" xfId="0" applyFill="1" applyProtection="1"/>
    <xf numFmtId="0" fontId="19" fillId="26" borderId="0" xfId="0" applyFont="1" applyFill="1" applyBorder="1" applyAlignment="1" applyProtection="1">
      <alignment horizontal="center" vertical="justify"/>
    </xf>
    <xf numFmtId="175" fontId="19" fillId="26" borderId="0" xfId="0" applyNumberFormat="1" applyFont="1" applyFill="1" applyBorder="1" applyProtection="1"/>
    <xf numFmtId="0" fontId="23" fillId="24" borderId="0" xfId="0" applyFont="1" applyFill="1" applyBorder="1" applyAlignment="1" applyProtection="1">
      <alignment vertical="center"/>
    </xf>
    <xf numFmtId="174" fontId="26" fillId="24" borderId="0" xfId="0" applyNumberFormat="1" applyFont="1" applyFill="1" applyBorder="1" applyAlignment="1" applyProtection="1">
      <alignment horizontal="center" vertical="center"/>
    </xf>
    <xf numFmtId="0" fontId="24" fillId="24" borderId="0" xfId="0" applyFont="1" applyFill="1" applyBorder="1" applyAlignment="1" applyProtection="1">
      <alignment vertical="center"/>
    </xf>
    <xf numFmtId="2" fontId="23" fillId="33" borderId="20" xfId="0" applyNumberFormat="1" applyFont="1" applyFill="1" applyBorder="1" applyProtection="1"/>
    <xf numFmtId="2" fontId="23" fillId="33" borderId="68" xfId="0" applyNumberFormat="1" applyFont="1" applyFill="1" applyBorder="1" applyProtection="1"/>
    <xf numFmtId="167" fontId="23" fillId="33" borderId="20" xfId="0" applyNumberFormat="1" applyFont="1" applyFill="1" applyBorder="1" applyProtection="1"/>
    <xf numFmtId="167" fontId="23" fillId="33" borderId="68" xfId="0" applyNumberFormat="1" applyFont="1" applyFill="1" applyBorder="1" applyProtection="1"/>
    <xf numFmtId="3" fontId="27" fillId="24" borderId="0" xfId="0" applyNumberFormat="1" applyFont="1" applyFill="1" applyBorder="1" applyAlignment="1" applyProtection="1">
      <alignment horizontal="center" vertical="center"/>
    </xf>
    <xf numFmtId="0" fontId="19" fillId="24" borderId="0" xfId="0" applyFont="1" applyFill="1" applyBorder="1" applyProtection="1"/>
    <xf numFmtId="0" fontId="31" fillId="24" borderId="0" xfId="0" applyFont="1" applyFill="1" applyBorder="1" applyProtection="1"/>
    <xf numFmtId="0" fontId="23" fillId="0" borderId="39" xfId="0" applyFont="1" applyFill="1" applyBorder="1"/>
    <xf numFmtId="0" fontId="60" fillId="0" borderId="0" xfId="0" applyFont="1" applyProtection="1">
      <protection locked="0"/>
    </xf>
    <xf numFmtId="4" fontId="23" fillId="0" borderId="0" xfId="0" applyNumberFormat="1" applyFont="1" applyBorder="1" applyAlignment="1" applyProtection="1">
      <alignment horizontal="left" vertical="center"/>
    </xf>
    <xf numFmtId="4" fontId="23" fillId="26" borderId="0" xfId="0" applyNumberFormat="1" applyFont="1" applyFill="1" applyBorder="1" applyAlignment="1" applyProtection="1">
      <alignment horizontal="left" vertical="center"/>
    </xf>
    <xf numFmtId="168" fontId="23" fillId="0" borderId="0" xfId="0" applyNumberFormat="1" applyFont="1" applyBorder="1" applyProtection="1"/>
    <xf numFmtId="172" fontId="0" fillId="0" borderId="0" xfId="0" applyNumberFormat="1" applyBorder="1" applyAlignment="1" applyProtection="1">
      <alignment horizontal="center"/>
    </xf>
    <xf numFmtId="172" fontId="47" fillId="24" borderId="0" xfId="84" applyNumberFormat="1" applyFont="1" applyFill="1" applyBorder="1" applyAlignment="1" applyProtection="1">
      <alignment horizontal="center" vertical="center"/>
    </xf>
    <xf numFmtId="4" fontId="23" fillId="0" borderId="69" xfId="0" applyNumberFormat="1" applyFont="1" applyBorder="1" applyAlignment="1">
      <alignment horizontal="left" vertical="center"/>
    </xf>
    <xf numFmtId="4" fontId="13" fillId="0" borderId="64" xfId="0" applyNumberFormat="1" applyFont="1" applyBorder="1" applyAlignment="1">
      <alignment horizontal="left" vertical="center"/>
    </xf>
    <xf numFmtId="4" fontId="23" fillId="0" borderId="64" xfId="0" applyNumberFormat="1" applyFont="1" applyBorder="1" applyAlignment="1">
      <alignment horizontal="left" vertical="center"/>
    </xf>
    <xf numFmtId="4" fontId="13" fillId="25" borderId="64" xfId="0" applyNumberFormat="1" applyFont="1" applyFill="1" applyBorder="1" applyAlignment="1">
      <alignment horizontal="right" vertical="center"/>
    </xf>
    <xf numFmtId="4" fontId="23" fillId="0" borderId="65" xfId="0" applyNumberFormat="1" applyFont="1" applyBorder="1" applyAlignment="1">
      <alignment horizontal="left" vertical="center"/>
    </xf>
    <xf numFmtId="4" fontId="23" fillId="0" borderId="70" xfId="0" applyNumberFormat="1" applyFont="1" applyBorder="1" applyAlignment="1">
      <alignment horizontal="left" vertical="center"/>
    </xf>
    <xf numFmtId="4" fontId="13" fillId="0" borderId="70" xfId="0" applyNumberFormat="1" applyFont="1" applyBorder="1" applyAlignment="1">
      <alignment horizontal="left" vertical="center"/>
    </xf>
    <xf numFmtId="4" fontId="23" fillId="0" borderId="71" xfId="0" applyNumberFormat="1" applyFont="1" applyBorder="1" applyAlignment="1">
      <alignment horizontal="left" vertical="center"/>
    </xf>
    <xf numFmtId="0" fontId="44" fillId="29" borderId="72" xfId="0" applyFont="1" applyFill="1" applyBorder="1"/>
    <xf numFmtId="10" fontId="15" fillId="0" borderId="72" xfId="0" applyNumberFormat="1" applyFont="1" applyFill="1" applyBorder="1"/>
    <xf numFmtId="0" fontId="44" fillId="29" borderId="73" xfId="0" applyFont="1" applyFill="1" applyBorder="1"/>
    <xf numFmtId="0" fontId="23" fillId="24" borderId="0" xfId="0" applyFont="1" applyFill="1" applyAlignment="1">
      <alignment horizontal="right"/>
    </xf>
    <xf numFmtId="2" fontId="29" fillId="26" borderId="0" xfId="0" applyNumberFormat="1" applyFont="1" applyFill="1" applyProtection="1"/>
    <xf numFmtId="167" fontId="23" fillId="24" borderId="0" xfId="0" applyNumberFormat="1" applyFont="1" applyFill="1" applyBorder="1" applyProtection="1"/>
    <xf numFmtId="2" fontId="23" fillId="24" borderId="0" xfId="0" applyNumberFormat="1" applyFont="1" applyFill="1" applyProtection="1"/>
    <xf numFmtId="3" fontId="20" fillId="24" borderId="0" xfId="0" applyNumberFormat="1" applyFont="1" applyFill="1" applyBorder="1" applyAlignment="1">
      <alignment horizontal="center" vertical="center"/>
    </xf>
    <xf numFmtId="0" fontId="23" fillId="24" borderId="0" xfId="0" applyFont="1" applyFill="1" applyBorder="1" applyAlignment="1">
      <alignment vertical="center"/>
    </xf>
    <xf numFmtId="3" fontId="23" fillId="24" borderId="0" xfId="0" applyNumberFormat="1" applyFont="1" applyFill="1" applyBorder="1" applyAlignment="1">
      <alignment horizontal="center" vertical="center"/>
    </xf>
    <xf numFmtId="0" fontId="23" fillId="24" borderId="24" xfId="0" applyFont="1" applyFill="1" applyBorder="1" applyAlignment="1">
      <alignment vertical="center"/>
    </xf>
    <xf numFmtId="177" fontId="24" fillId="24" borderId="40" xfId="0" applyNumberFormat="1" applyFont="1" applyFill="1" applyBorder="1" applyAlignment="1">
      <alignment horizontal="center" vertical="center"/>
    </xf>
    <xf numFmtId="177" fontId="24" fillId="24" borderId="20" xfId="0" applyNumberFormat="1" applyFont="1" applyFill="1" applyBorder="1" applyAlignment="1">
      <alignment horizontal="center" vertical="center"/>
    </xf>
    <xf numFmtId="0" fontId="23" fillId="24" borderId="74" xfId="0" applyFont="1" applyFill="1" applyBorder="1" applyAlignment="1">
      <alignment vertical="center"/>
    </xf>
    <xf numFmtId="0" fontId="29" fillId="26" borderId="17" xfId="0" applyFont="1" applyFill="1" applyBorder="1" applyAlignment="1">
      <alignment vertical="center"/>
    </xf>
    <xf numFmtId="177" fontId="30" fillId="26" borderId="40" xfId="0" applyNumberFormat="1" applyFont="1" applyFill="1" applyBorder="1" applyAlignment="1">
      <alignment horizontal="center" vertical="center"/>
    </xf>
    <xf numFmtId="3" fontId="27" fillId="24" borderId="0" xfId="0" applyNumberFormat="1" applyFont="1" applyFill="1" applyBorder="1" applyAlignment="1">
      <alignment horizontal="center" vertical="center"/>
    </xf>
    <xf numFmtId="0" fontId="31" fillId="24" borderId="0" xfId="0" applyFont="1" applyFill="1" applyBorder="1"/>
    <xf numFmtId="0" fontId="29" fillId="24" borderId="0" xfId="0" applyFont="1" applyFill="1" applyBorder="1" applyAlignment="1">
      <alignment vertical="center"/>
    </xf>
    <xf numFmtId="4" fontId="61" fillId="0" borderId="0" xfId="0" applyNumberFormat="1" applyFont="1"/>
    <xf numFmtId="4" fontId="62" fillId="0" borderId="0" xfId="0" applyNumberFormat="1" applyFont="1"/>
    <xf numFmtId="4" fontId="62" fillId="0" borderId="39" xfId="0" applyNumberFormat="1" applyFont="1" applyBorder="1" applyAlignment="1">
      <alignment horizontal="center" vertical="top"/>
    </xf>
    <xf numFmtId="4" fontId="62" fillId="0" borderId="39" xfId="0" applyNumberFormat="1" applyFont="1" applyBorder="1" applyAlignment="1">
      <alignment horizontal="left" vertical="center"/>
    </xf>
    <xf numFmtId="3" fontId="62" fillId="34" borderId="39" xfId="0" applyNumberFormat="1" applyFont="1" applyFill="1" applyBorder="1" applyAlignment="1" applyProtection="1">
      <alignment horizontal="right" vertical="center"/>
      <protection locked="0"/>
    </xf>
    <xf numFmtId="4" fontId="61" fillId="0" borderId="39" xfId="0" applyNumberFormat="1" applyFont="1" applyBorder="1" applyAlignment="1">
      <alignment horizontal="left" vertical="center"/>
    </xf>
    <xf numFmtId="3" fontId="61" fillId="34" borderId="39" xfId="0" applyNumberFormat="1" applyFont="1" applyFill="1" applyBorder="1" applyAlignment="1" applyProtection="1">
      <alignment horizontal="right" vertical="center"/>
      <protection locked="0"/>
    </xf>
    <xf numFmtId="4" fontId="62" fillId="0" borderId="39" xfId="0" applyNumberFormat="1" applyFont="1" applyFill="1" applyBorder="1" applyAlignment="1">
      <alignment horizontal="left" vertical="center"/>
    </xf>
    <xf numFmtId="3" fontId="0" fillId="0" borderId="0" xfId="0" applyNumberFormat="1"/>
    <xf numFmtId="168" fontId="23" fillId="0" borderId="62" xfId="0" applyNumberFormat="1" applyFont="1" applyFill="1" applyBorder="1" applyAlignment="1" applyProtection="1">
      <alignment horizontal="center" vertical="center"/>
    </xf>
    <xf numFmtId="168" fontId="13" fillId="0" borderId="62" xfId="0" applyNumberFormat="1" applyFont="1" applyFill="1" applyBorder="1" applyAlignment="1" applyProtection="1">
      <alignment horizontal="center" vertical="center"/>
    </xf>
    <xf numFmtId="168" fontId="13" fillId="24" borderId="62" xfId="0" applyNumberFormat="1" applyFont="1" applyFill="1" applyBorder="1" applyAlignment="1" applyProtection="1">
      <alignment horizontal="center" vertical="center"/>
    </xf>
    <xf numFmtId="175" fontId="24" fillId="0" borderId="68" xfId="0" applyNumberFormat="1" applyFont="1" applyBorder="1" applyProtection="1"/>
    <xf numFmtId="9" fontId="0" fillId="0" borderId="0" xfId="84" applyFont="1"/>
    <xf numFmtId="177" fontId="0" fillId="0" borderId="0" xfId="0" applyNumberFormat="1" applyFill="1" applyProtection="1"/>
    <xf numFmtId="177" fontId="24" fillId="24" borderId="0" xfId="0" applyNumberFormat="1" applyFont="1" applyFill="1" applyBorder="1" applyAlignment="1" applyProtection="1">
      <alignment horizontal="center" vertical="center"/>
    </xf>
    <xf numFmtId="0" fontId="58" fillId="24" borderId="0" xfId="0" applyFont="1" applyFill="1" applyBorder="1" applyProtection="1"/>
    <xf numFmtId="0" fontId="58" fillId="24" borderId="0" xfId="0" applyFont="1" applyFill="1" applyBorder="1"/>
    <xf numFmtId="0" fontId="27" fillId="24" borderId="0" xfId="0" applyFont="1" applyFill="1" applyBorder="1" applyAlignment="1">
      <alignment vertical="center"/>
    </xf>
    <xf numFmtId="9" fontId="27" fillId="24" borderId="0" xfId="84" applyFont="1" applyFill="1" applyBorder="1" applyAlignment="1">
      <alignment horizontal="center" vertical="center"/>
    </xf>
    <xf numFmtId="0" fontId="58" fillId="0" borderId="0" xfId="0" applyFont="1" applyFill="1" applyProtection="1"/>
    <xf numFmtId="0" fontId="58" fillId="0" borderId="0" xfId="0" applyFont="1" applyFill="1" applyBorder="1" applyProtection="1"/>
    <xf numFmtId="0" fontId="58" fillId="0" borderId="0" xfId="0" applyFont="1" applyProtection="1"/>
    <xf numFmtId="10" fontId="27" fillId="24" borderId="0" xfId="84" applyNumberFormat="1" applyFont="1" applyFill="1" applyBorder="1" applyAlignment="1">
      <alignment horizontal="center" vertical="center"/>
    </xf>
    <xf numFmtId="3" fontId="62" fillId="35" borderId="39" xfId="0" applyNumberFormat="1" applyFont="1" applyFill="1" applyBorder="1" applyAlignment="1" applyProtection="1">
      <alignment horizontal="right" vertical="center"/>
      <protection locked="0"/>
    </xf>
    <xf numFmtId="4" fontId="23" fillId="0" borderId="30" xfId="0" applyNumberFormat="1" applyFont="1" applyFill="1" applyBorder="1" applyProtection="1"/>
    <xf numFmtId="4" fontId="23" fillId="0" borderId="32" xfId="0" applyNumberFormat="1" applyFont="1" applyFill="1" applyBorder="1" applyProtection="1"/>
    <xf numFmtId="4" fontId="23" fillId="0" borderId="34" xfId="0" applyNumberFormat="1" applyFont="1" applyFill="1" applyBorder="1" applyProtection="1"/>
    <xf numFmtId="0" fontId="23" fillId="25" borderId="67" xfId="0" applyFont="1" applyFill="1" applyBorder="1" applyAlignment="1">
      <alignment horizontal="center" vertical="center" wrapText="1"/>
    </xf>
    <xf numFmtId="0" fontId="23" fillId="25" borderId="24" xfId="0" applyFont="1" applyFill="1" applyBorder="1" applyAlignment="1">
      <alignment horizontal="center" vertical="center" wrapText="1"/>
    </xf>
    <xf numFmtId="182" fontId="32" fillId="24" borderId="0" xfId="91" applyNumberFormat="1" applyFont="1" applyFill="1" applyProtection="1">
      <protection locked="0"/>
    </xf>
    <xf numFmtId="172" fontId="0" fillId="0" borderId="0" xfId="0" applyNumberFormat="1" applyFill="1" applyProtection="1">
      <protection locked="0"/>
    </xf>
    <xf numFmtId="182" fontId="0" fillId="24" borderId="0" xfId="91" applyNumberFormat="1" applyFont="1" applyFill="1" applyProtection="1">
      <protection locked="0"/>
    </xf>
    <xf numFmtId="182" fontId="33" fillId="24" borderId="0" xfId="91" applyNumberFormat="1" applyFont="1" applyFill="1" applyProtection="1">
      <protection locked="0"/>
    </xf>
    <xf numFmtId="182" fontId="0" fillId="0" borderId="0" xfId="91" applyNumberFormat="1" applyFont="1" applyProtection="1">
      <protection locked="0"/>
    </xf>
    <xf numFmtId="0" fontId="23" fillId="0" borderId="0" xfId="0" applyFont="1" applyFill="1" applyProtection="1">
      <protection locked="0"/>
    </xf>
    <xf numFmtId="182" fontId="13" fillId="0" borderId="27" xfId="91" applyNumberFormat="1" applyFont="1" applyFill="1" applyBorder="1" applyProtection="1"/>
    <xf numFmtId="182" fontId="13" fillId="24" borderId="76" xfId="91" applyNumberFormat="1" applyFont="1" applyFill="1" applyBorder="1" applyProtection="1"/>
    <xf numFmtId="182" fontId="13" fillId="24" borderId="41" xfId="91" applyNumberFormat="1" applyFont="1" applyFill="1" applyBorder="1" applyProtection="1"/>
    <xf numFmtId="182" fontId="34" fillId="25" borderId="41" xfId="91" applyNumberFormat="1" applyFont="1" applyFill="1" applyBorder="1" applyProtection="1"/>
    <xf numFmtId="182" fontId="13" fillId="25" borderId="41" xfId="91" applyNumberFormat="1" applyFont="1" applyFill="1" applyBorder="1" applyProtection="1">
      <protection locked="0"/>
    </xf>
    <xf numFmtId="182" fontId="34" fillId="24" borderId="41" xfId="91" applyNumberFormat="1" applyFont="1" applyFill="1" applyBorder="1" applyProtection="1"/>
    <xf numFmtId="182" fontId="13" fillId="24" borderId="41" xfId="91" applyNumberFormat="1" applyFont="1" applyFill="1" applyBorder="1" applyProtection="1">
      <protection locked="0"/>
    </xf>
    <xf numFmtId="182" fontId="23" fillId="24" borderId="41" xfId="91" applyNumberFormat="1" applyFont="1" applyFill="1" applyBorder="1" applyProtection="1"/>
    <xf numFmtId="182" fontId="13" fillId="24" borderId="77" xfId="91" applyNumberFormat="1" applyFont="1" applyFill="1" applyBorder="1" applyProtection="1">
      <protection locked="0"/>
    </xf>
    <xf numFmtId="182" fontId="13" fillId="0" borderId="0" xfId="91" applyNumberFormat="1" applyFont="1" applyFill="1" applyProtection="1">
      <protection locked="0"/>
    </xf>
    <xf numFmtId="4" fontId="81" fillId="24" borderId="0" xfId="0" applyNumberFormat="1" applyFont="1" applyFill="1" applyBorder="1" applyAlignment="1">
      <alignment horizontal="center" vertical="top"/>
    </xf>
    <xf numFmtId="172" fontId="47" fillId="0" borderId="24" xfId="84" applyNumberFormat="1" applyFont="1" applyFill="1" applyBorder="1" applyAlignment="1">
      <alignment horizontal="center" vertical="center"/>
    </xf>
    <xf numFmtId="9" fontId="34" fillId="24" borderId="57" xfId="84" applyNumberFormat="1" applyFont="1" applyFill="1" applyBorder="1" applyAlignment="1" applyProtection="1">
      <alignment horizontal="center" vertical="center"/>
    </xf>
    <xf numFmtId="172" fontId="34" fillId="24" borderId="32" xfId="84" applyNumberFormat="1" applyFont="1" applyFill="1" applyBorder="1" applyAlignment="1" applyProtection="1">
      <alignment horizontal="center" vertical="center"/>
    </xf>
    <xf numFmtId="9" fontId="82" fillId="24" borderId="57" xfId="84" applyNumberFormat="1" applyFont="1" applyFill="1" applyBorder="1" applyAlignment="1" applyProtection="1">
      <alignment horizontal="center" vertical="center"/>
    </xf>
    <xf numFmtId="9" fontId="34" fillId="24" borderId="60" xfId="84" applyNumberFormat="1" applyFont="1" applyFill="1" applyBorder="1" applyAlignment="1" applyProtection="1">
      <alignment horizontal="center" vertical="center"/>
    </xf>
    <xf numFmtId="9" fontId="34" fillId="24" borderId="32" xfId="84" applyNumberFormat="1" applyFont="1" applyFill="1" applyBorder="1" applyAlignment="1" applyProtection="1">
      <alignment horizontal="center" vertical="center"/>
    </xf>
    <xf numFmtId="9" fontId="82" fillId="24" borderId="32" xfId="84" applyNumberFormat="1" applyFont="1" applyFill="1" applyBorder="1" applyAlignment="1" applyProtection="1">
      <alignment horizontal="center" vertical="center"/>
    </xf>
    <xf numFmtId="9" fontId="82" fillId="0" borderId="32" xfId="0" applyNumberFormat="1" applyFont="1" applyFill="1" applyBorder="1" applyAlignment="1" applyProtection="1">
      <alignment horizontal="center" vertical="center"/>
    </xf>
    <xf numFmtId="9" fontId="34" fillId="24" borderId="59" xfId="84" applyNumberFormat="1" applyFont="1" applyFill="1" applyBorder="1" applyAlignment="1" applyProtection="1">
      <alignment horizontal="center" vertical="center"/>
    </xf>
    <xf numFmtId="9" fontId="34" fillId="0" borderId="32" xfId="0" applyNumberFormat="1" applyFont="1" applyFill="1" applyBorder="1" applyAlignment="1" applyProtection="1">
      <alignment horizontal="center" vertical="center"/>
    </xf>
    <xf numFmtId="9" fontId="34" fillId="0" borderId="60" xfId="0" applyNumberFormat="1" applyFont="1" applyFill="1" applyBorder="1" applyAlignment="1" applyProtection="1">
      <alignment horizontal="center" vertical="center"/>
    </xf>
    <xf numFmtId="0" fontId="0" fillId="36" borderId="0" xfId="0" applyFill="1"/>
    <xf numFmtId="4" fontId="13" fillId="36" borderId="64" xfId="0" applyNumberFormat="1" applyFont="1" applyFill="1" applyBorder="1" applyAlignment="1">
      <alignment horizontal="left" vertical="center"/>
    </xf>
    <xf numFmtId="4" fontId="23" fillId="36" borderId="32" xfId="0" applyNumberFormat="1" applyFont="1" applyFill="1" applyBorder="1" applyAlignment="1" applyProtection="1">
      <alignment horizontal="left" vertical="center"/>
    </xf>
    <xf numFmtId="168" fontId="23" fillId="36" borderId="32" xfId="0" applyNumberFormat="1" applyFont="1" applyFill="1" applyBorder="1" applyProtection="1"/>
    <xf numFmtId="172" fontId="0" fillId="36" borderId="32" xfId="0" applyNumberFormat="1" applyFill="1" applyBorder="1" applyAlignment="1" applyProtection="1">
      <alignment horizontal="center"/>
    </xf>
    <xf numFmtId="172" fontId="46" fillId="36" borderId="32" xfId="84" applyNumberFormat="1" applyFont="1" applyFill="1" applyBorder="1" applyAlignment="1" applyProtection="1">
      <alignment horizontal="center" vertical="center"/>
    </xf>
    <xf numFmtId="172" fontId="34" fillId="36" borderId="32" xfId="84" applyNumberFormat="1" applyFont="1" applyFill="1" applyBorder="1" applyAlignment="1" applyProtection="1">
      <alignment horizontal="center" vertical="center"/>
    </xf>
    <xf numFmtId="172" fontId="47" fillId="36" borderId="32" xfId="84" applyNumberFormat="1" applyFont="1" applyFill="1" applyBorder="1" applyAlignment="1" applyProtection="1">
      <alignment horizontal="center" vertical="center"/>
    </xf>
    <xf numFmtId="172" fontId="47" fillId="36" borderId="59" xfId="84" applyNumberFormat="1" applyFont="1" applyFill="1" applyBorder="1" applyAlignment="1" applyProtection="1">
      <alignment horizontal="center" vertical="center"/>
    </xf>
    <xf numFmtId="0" fontId="0" fillId="36" borderId="0" xfId="0" applyFill="1" applyProtection="1"/>
    <xf numFmtId="9" fontId="32" fillId="24" borderId="0" xfId="84" applyFont="1" applyFill="1" applyProtection="1">
      <protection locked="0"/>
    </xf>
    <xf numFmtId="9" fontId="35" fillId="27" borderId="31" xfId="84" applyFont="1" applyFill="1" applyBorder="1" applyAlignment="1" applyProtection="1">
      <alignment horizontal="right"/>
      <protection locked="0"/>
    </xf>
    <xf numFmtId="182" fontId="13" fillId="0" borderId="0" xfId="91" applyNumberFormat="1" applyFont="1" applyFill="1" applyProtection="1"/>
    <xf numFmtId="182" fontId="13" fillId="0" borderId="0" xfId="0" applyNumberFormat="1" applyFont="1" applyFill="1" applyProtection="1">
      <protection locked="0"/>
    </xf>
    <xf numFmtId="182" fontId="0" fillId="24" borderId="0" xfId="91" applyNumberFormat="1" applyFont="1" applyFill="1" applyProtection="1"/>
    <xf numFmtId="182" fontId="0" fillId="0" borderId="0" xfId="91" applyNumberFormat="1" applyFont="1" applyProtection="1"/>
    <xf numFmtId="173" fontId="0" fillId="24" borderId="0" xfId="0" applyNumberFormat="1" applyFill="1" applyProtection="1">
      <protection locked="0"/>
    </xf>
    <xf numFmtId="9" fontId="0" fillId="24" borderId="0" xfId="84" applyFont="1" applyFill="1" applyProtection="1"/>
    <xf numFmtId="9" fontId="0" fillId="24" borderId="0" xfId="0" applyNumberFormat="1" applyFill="1" applyProtection="1"/>
    <xf numFmtId="173" fontId="0" fillId="24" borderId="0" xfId="0" applyNumberFormat="1" applyFill="1" applyProtection="1"/>
    <xf numFmtId="0" fontId="51" fillId="24" borderId="0" xfId="0" applyFont="1" applyFill="1" applyBorder="1" applyAlignment="1">
      <alignment horizontal="right"/>
    </xf>
    <xf numFmtId="0" fontId="14" fillId="24" borderId="0" xfId="0" applyFont="1" applyFill="1" applyBorder="1"/>
    <xf numFmtId="0" fontId="44" fillId="24" borderId="0" xfId="0" applyFont="1" applyFill="1" applyBorder="1" applyAlignment="1">
      <alignment horizontal="right"/>
    </xf>
    <xf numFmtId="185" fontId="19" fillId="0" borderId="78" xfId="0" applyNumberFormat="1" applyFont="1" applyBorder="1" applyProtection="1"/>
    <xf numFmtId="185" fontId="19" fillId="0" borderId="79" xfId="0" applyNumberFormat="1" applyFont="1" applyBorder="1" applyProtection="1"/>
    <xf numFmtId="185" fontId="19" fillId="0" borderId="80" xfId="0" applyNumberFormat="1" applyFont="1" applyBorder="1" applyProtection="1"/>
    <xf numFmtId="185" fontId="0" fillId="24" borderId="0" xfId="0" applyNumberFormat="1" applyFill="1" applyBorder="1" applyProtection="1"/>
    <xf numFmtId="185" fontId="0" fillId="24" borderId="10" xfId="0" applyNumberFormat="1" applyFill="1" applyBorder="1" applyProtection="1"/>
    <xf numFmtId="185" fontId="20" fillId="26" borderId="17" xfId="0" applyNumberFormat="1" applyFont="1" applyFill="1" applyBorder="1" applyProtection="1"/>
    <xf numFmtId="185" fontId="19" fillId="24" borderId="0" xfId="0" applyNumberFormat="1" applyFont="1" applyFill="1" applyBorder="1" applyProtection="1"/>
    <xf numFmtId="186" fontId="29" fillId="32" borderId="51" xfId="0" applyNumberFormat="1" applyFont="1" applyFill="1" applyBorder="1" applyAlignment="1" applyProtection="1">
      <alignment horizontal="center"/>
      <protection locked="0"/>
    </xf>
    <xf numFmtId="187" fontId="0" fillId="0" borderId="0" xfId="0" applyNumberFormat="1"/>
    <xf numFmtId="0" fontId="105" fillId="0" borderId="0" xfId="0" applyFont="1"/>
    <xf numFmtId="0" fontId="104" fillId="37" borderId="0" xfId="0" applyFont="1" applyFill="1" applyAlignment="1">
      <alignment horizontal="right"/>
    </xf>
    <xf numFmtId="170" fontId="0" fillId="24" borderId="0" xfId="0" applyNumberFormat="1" applyFill="1" applyProtection="1"/>
    <xf numFmtId="168" fontId="0" fillId="24" borderId="0" xfId="0" applyNumberFormat="1" applyFill="1" applyProtection="1"/>
    <xf numFmtId="188" fontId="0" fillId="24" borderId="0" xfId="0" applyNumberFormat="1" applyFill="1" applyProtection="1"/>
    <xf numFmtId="185" fontId="0" fillId="0" borderId="0" xfId="0" applyNumberFormat="1" applyProtection="1"/>
    <xf numFmtId="0" fontId="107" fillId="0" borderId="37" xfId="0" applyFont="1" applyFill="1" applyBorder="1" applyProtection="1">
      <protection locked="0"/>
    </xf>
    <xf numFmtId="171" fontId="0" fillId="24" borderId="0" xfId="91" applyFont="1" applyFill="1" applyProtection="1"/>
    <xf numFmtId="172" fontId="0" fillId="24" borderId="0" xfId="84" applyNumberFormat="1" applyFont="1" applyFill="1" applyProtection="1"/>
    <xf numFmtId="0" fontId="0" fillId="0" borderId="0" xfId="0" applyAlignment="1">
      <alignment horizontal="left" indent="1"/>
    </xf>
    <xf numFmtId="187" fontId="108" fillId="0" borderId="0" xfId="0" applyNumberFormat="1" applyFont="1"/>
    <xf numFmtId="187" fontId="104" fillId="37" borderId="0" xfId="0" applyNumberFormat="1" applyFont="1" applyFill="1"/>
    <xf numFmtId="0" fontId="105" fillId="38" borderId="0" xfId="0" applyFont="1" applyFill="1"/>
    <xf numFmtId="0" fontId="104" fillId="37" borderId="0" xfId="0" applyFont="1" applyFill="1" applyAlignment="1">
      <alignment horizontal="left"/>
    </xf>
    <xf numFmtId="190" fontId="109" fillId="0" borderId="0" xfId="84" applyNumberFormat="1" applyFont="1"/>
    <xf numFmtId="0" fontId="109" fillId="0" borderId="0" xfId="0" applyFont="1" applyAlignment="1">
      <alignment horizontal="left"/>
    </xf>
    <xf numFmtId="0" fontId="110" fillId="0" borderId="0" xfId="0" applyFont="1"/>
    <xf numFmtId="189" fontId="0" fillId="24" borderId="0" xfId="0" applyNumberFormat="1" applyFill="1" applyProtection="1">
      <protection locked="0"/>
    </xf>
    <xf numFmtId="189" fontId="0" fillId="0" borderId="0" xfId="0" applyNumberFormat="1" applyFill="1" applyProtection="1">
      <protection locked="0"/>
    </xf>
    <xf numFmtId="9" fontId="0" fillId="0" borderId="0" xfId="84" applyFont="1" applyProtection="1">
      <protection locked="0"/>
    </xf>
    <xf numFmtId="0" fontId="103" fillId="0" borderId="0" xfId="0" applyFont="1"/>
    <xf numFmtId="187" fontId="105" fillId="0" borderId="0" xfId="0" applyNumberFormat="1" applyFont="1"/>
    <xf numFmtId="0" fontId="105" fillId="0" borderId="0" xfId="0" applyFont="1"/>
    <xf numFmtId="0" fontId="0" fillId="0" borderId="0" xfId="0" applyAlignment="1">
      <alignment horizontal="right"/>
    </xf>
    <xf numFmtId="0" fontId="23" fillId="0" borderId="0" xfId="0" applyFont="1"/>
    <xf numFmtId="182" fontId="109" fillId="0" borderId="0" xfId="91" applyNumberFormat="1" applyFont="1"/>
    <xf numFmtId="167" fontId="0" fillId="0" borderId="0" xfId="0" applyNumberFormat="1" applyProtection="1">
      <protection locked="0"/>
    </xf>
    <xf numFmtId="0" fontId="15" fillId="0" borderId="0" xfId="96"/>
    <xf numFmtId="0" fontId="21" fillId="24" borderId="0" xfId="96" applyFont="1" applyFill="1" applyBorder="1"/>
    <xf numFmtId="0" fontId="15" fillId="24" borderId="0" xfId="96" applyFill="1" applyBorder="1"/>
    <xf numFmtId="172" fontId="21" fillId="24" borderId="0" xfId="96" applyNumberFormat="1" applyFont="1" applyFill="1" applyBorder="1" applyAlignment="1">
      <alignment horizontal="center"/>
    </xf>
    <xf numFmtId="2" fontId="21" fillId="24" borderId="0" xfId="96" applyNumberFormat="1" applyFont="1" applyFill="1" applyBorder="1" applyAlignment="1">
      <alignment horizontal="center"/>
    </xf>
    <xf numFmtId="2" fontId="43" fillId="24" borderId="0" xfId="96" applyNumberFormat="1" applyFont="1" applyFill="1" applyBorder="1" applyAlignment="1">
      <alignment horizontal="center"/>
    </xf>
    <xf numFmtId="10" fontId="21" fillId="24" borderId="0" xfId="96" applyNumberFormat="1" applyFont="1" applyFill="1" applyBorder="1" applyAlignment="1">
      <alignment vertical="center"/>
    </xf>
    <xf numFmtId="10" fontId="21" fillId="24" borderId="0" xfId="96" applyNumberFormat="1" applyFont="1" applyFill="1" applyBorder="1" applyAlignment="1">
      <alignment horizontal="center" vertical="center"/>
    </xf>
    <xf numFmtId="0" fontId="21" fillId="25" borderId="0" xfId="96" applyFont="1" applyFill="1" applyBorder="1" applyAlignment="1">
      <alignment vertical="center"/>
    </xf>
    <xf numFmtId="0" fontId="39" fillId="25" borderId="0" xfId="96" applyFont="1" applyFill="1" applyBorder="1" applyAlignment="1">
      <alignment horizontal="center" vertical="justify"/>
    </xf>
    <xf numFmtId="0" fontId="39" fillId="24" borderId="0" xfId="96" applyFont="1" applyFill="1" applyBorder="1" applyAlignment="1">
      <alignment horizontal="center" vertical="justify"/>
    </xf>
    <xf numFmtId="0" fontId="21" fillId="24" borderId="0" xfId="96" applyFont="1" applyFill="1" applyBorder="1" applyAlignment="1">
      <alignment vertical="center"/>
    </xf>
    <xf numFmtId="2" fontId="15" fillId="24" borderId="0" xfId="96" applyNumberFormat="1" applyFill="1" applyBorder="1"/>
    <xf numFmtId="184" fontId="41" fillId="26" borderId="0" xfId="96" applyNumberFormat="1" applyFont="1" applyFill="1" applyBorder="1" applyAlignment="1">
      <alignment horizontal="center"/>
    </xf>
    <xf numFmtId="172" fontId="21" fillId="30" borderId="0" xfId="96" applyNumberFormat="1" applyFont="1" applyFill="1" applyBorder="1" applyAlignment="1">
      <alignment horizontal="center"/>
    </xf>
    <xf numFmtId="180" fontId="41" fillId="30" borderId="0" xfId="96" applyNumberFormat="1" applyFont="1" applyFill="1" applyBorder="1" applyAlignment="1">
      <alignment horizontal="center"/>
    </xf>
    <xf numFmtId="2" fontId="43" fillId="26" borderId="0" xfId="96" applyNumberFormat="1" applyFont="1" applyFill="1" applyBorder="1" applyAlignment="1">
      <alignment horizontal="center"/>
    </xf>
    <xf numFmtId="2" fontId="41" fillId="26" borderId="0" xfId="96" applyNumberFormat="1" applyFont="1" applyFill="1" applyBorder="1" applyAlignment="1">
      <alignment horizontal="center"/>
    </xf>
    <xf numFmtId="184" fontId="41" fillId="26" borderId="0" xfId="0" applyNumberFormat="1" applyFont="1" applyFill="1" applyBorder="1" applyAlignment="1">
      <alignment horizontal="center"/>
    </xf>
    <xf numFmtId="0" fontId="21" fillId="0" borderId="36" xfId="0" applyNumberFormat="1" applyFont="1" applyBorder="1" applyAlignment="1" applyProtection="1">
      <alignment horizontal="center" vertical="center"/>
    </xf>
    <xf numFmtId="0" fontId="21" fillId="25" borderId="47" xfId="0" applyNumberFormat="1" applyFont="1" applyFill="1" applyBorder="1" applyAlignment="1" applyProtection="1">
      <alignment horizontal="left" vertical="center"/>
    </xf>
    <xf numFmtId="3" fontId="23" fillId="0" borderId="47" xfId="0" applyNumberFormat="1" applyFont="1" applyFill="1" applyBorder="1" applyProtection="1"/>
    <xf numFmtId="10" fontId="35" fillId="27" borderId="0" xfId="0" applyNumberFormat="1" applyFont="1" applyFill="1" applyBorder="1" applyProtection="1">
      <protection locked="0"/>
    </xf>
    <xf numFmtId="167" fontId="29" fillId="27" borderId="47" xfId="0" applyNumberFormat="1" applyFont="1" applyFill="1" applyBorder="1" applyProtection="1"/>
    <xf numFmtId="10" fontId="35" fillId="27" borderId="47" xfId="0" applyNumberFormat="1" applyFont="1" applyFill="1" applyBorder="1" applyProtection="1">
      <protection locked="0"/>
    </xf>
    <xf numFmtId="167" fontId="23" fillId="24" borderId="47" xfId="0" applyNumberFormat="1" applyFont="1" applyFill="1" applyBorder="1" applyProtection="1"/>
    <xf numFmtId="10" fontId="36" fillId="24" borderId="47" xfId="0" applyNumberFormat="1" applyFont="1" applyFill="1" applyBorder="1" applyProtection="1">
      <protection locked="0"/>
    </xf>
    <xf numFmtId="0" fontId="21" fillId="40" borderId="36" xfId="0" applyNumberFormat="1" applyFont="1" applyFill="1" applyBorder="1" applyAlignment="1" applyProtection="1">
      <alignment horizontal="center" vertical="center"/>
    </xf>
    <xf numFmtId="3" fontId="23" fillId="40" borderId="47" xfId="0" applyNumberFormat="1" applyFont="1" applyFill="1" applyBorder="1" applyProtection="1"/>
    <xf numFmtId="4" fontId="23" fillId="40" borderId="47" xfId="0" applyNumberFormat="1" applyFont="1" applyFill="1" applyBorder="1" applyProtection="1"/>
    <xf numFmtId="0" fontId="21" fillId="0" borderId="0" xfId="0" applyNumberFormat="1" applyFont="1" applyBorder="1" applyAlignment="1" applyProtection="1">
      <alignment horizontal="center" vertical="center"/>
    </xf>
    <xf numFmtId="0" fontId="21" fillId="25" borderId="0" xfId="0" applyNumberFormat="1" applyFont="1" applyFill="1" applyBorder="1" applyAlignment="1" applyProtection="1">
      <alignment horizontal="left" vertical="center"/>
    </xf>
    <xf numFmtId="3" fontId="23" fillId="0" borderId="0" xfId="0" applyNumberFormat="1" applyFont="1" applyFill="1" applyBorder="1" applyProtection="1"/>
    <xf numFmtId="4" fontId="23" fillId="0" borderId="0" xfId="0" applyNumberFormat="1" applyFont="1" applyFill="1" applyBorder="1" applyProtection="1"/>
    <xf numFmtId="167" fontId="29" fillId="27" borderId="0" xfId="0" applyNumberFormat="1" applyFont="1" applyFill="1" applyBorder="1" applyProtection="1"/>
    <xf numFmtId="9" fontId="35" fillId="27" borderId="0" xfId="84" applyFont="1" applyFill="1" applyBorder="1" applyAlignment="1" applyProtection="1">
      <alignment horizontal="right"/>
      <protection locked="0"/>
    </xf>
    <xf numFmtId="10" fontId="36" fillId="24" borderId="0" xfId="0" applyNumberFormat="1" applyFont="1" applyFill="1" applyBorder="1" applyProtection="1">
      <protection locked="0"/>
    </xf>
    <xf numFmtId="0" fontId="13" fillId="40" borderId="0" xfId="0" applyFont="1" applyFill="1" applyProtection="1"/>
    <xf numFmtId="0" fontId="24" fillId="40" borderId="0" xfId="0" applyFont="1" applyFill="1" applyProtection="1"/>
    <xf numFmtId="169" fontId="13" fillId="0" borderId="0" xfId="0" applyNumberFormat="1" applyFont="1" applyFill="1" applyProtection="1">
      <protection locked="0"/>
    </xf>
    <xf numFmtId="187" fontId="0" fillId="39" borderId="0" xfId="0" applyNumberFormat="1" applyFill="1"/>
    <xf numFmtId="0" fontId="105" fillId="0" borderId="0" xfId="0" applyFont="1" applyAlignment="1">
      <alignment horizontal="left"/>
    </xf>
    <xf numFmtId="3" fontId="0" fillId="0" borderId="0" xfId="0" applyNumberFormat="1" applyBorder="1" applyAlignment="1">
      <alignment horizontal="left"/>
    </xf>
    <xf numFmtId="0" fontId="113" fillId="0" borderId="0" xfId="0" applyFont="1" applyAlignment="1">
      <alignment horizontal="left"/>
    </xf>
    <xf numFmtId="3" fontId="112" fillId="0" borderId="0" xfId="0" applyNumberFormat="1" applyFont="1" applyBorder="1" applyAlignment="1">
      <alignment horizontal="left"/>
    </xf>
    <xf numFmtId="3" fontId="23" fillId="0" borderId="0" xfId="0" applyNumberFormat="1" applyFont="1" applyFill="1" applyBorder="1" applyAlignment="1">
      <alignment horizontal="left"/>
    </xf>
    <xf numFmtId="3" fontId="23" fillId="0" borderId="0" xfId="0" applyNumberFormat="1" applyFont="1"/>
    <xf numFmtId="0" fontId="114" fillId="24" borderId="0" xfId="0" applyFont="1" applyFill="1" applyProtection="1">
      <protection locked="0"/>
    </xf>
    <xf numFmtId="0" fontId="115" fillId="24" borderId="0" xfId="0" applyFont="1" applyFill="1" applyProtection="1">
      <protection locked="0"/>
    </xf>
    <xf numFmtId="0" fontId="115" fillId="0" borderId="39" xfId="0" applyFont="1" applyFill="1" applyBorder="1"/>
    <xf numFmtId="0" fontId="115" fillId="0" borderId="37" xfId="0" applyFont="1" applyFill="1" applyBorder="1" applyProtection="1">
      <protection locked="0"/>
    </xf>
    <xf numFmtId="182" fontId="114" fillId="0" borderId="0" xfId="91" applyNumberFormat="1" applyFont="1" applyProtection="1">
      <protection locked="0"/>
    </xf>
    <xf numFmtId="0" fontId="114" fillId="0" borderId="0" xfId="0" applyFont="1" applyProtection="1">
      <protection locked="0"/>
    </xf>
    <xf numFmtId="9" fontId="114" fillId="0" borderId="0" xfId="84" applyFont="1" applyProtection="1">
      <protection locked="0"/>
    </xf>
    <xf numFmtId="172" fontId="114" fillId="0" borderId="0" xfId="0" applyNumberFormat="1" applyFont="1" applyProtection="1">
      <protection locked="0"/>
    </xf>
    <xf numFmtId="3" fontId="13" fillId="0" borderId="0" xfId="0" applyNumberFormat="1" applyFont="1" applyFill="1" applyProtection="1">
      <protection locked="0"/>
    </xf>
    <xf numFmtId="171" fontId="13" fillId="0" borderId="0" xfId="91" applyFont="1" applyFill="1" applyProtection="1">
      <protection locked="0"/>
    </xf>
    <xf numFmtId="187" fontId="0" fillId="0" borderId="0" xfId="0" applyNumberFormat="1" applyFill="1"/>
    <xf numFmtId="172" fontId="104" fillId="37" borderId="0" xfId="84" applyNumberFormat="1" applyFont="1" applyFill="1"/>
    <xf numFmtId="187" fontId="0" fillId="42" borderId="0" xfId="0" applyNumberFormat="1" applyFill="1"/>
    <xf numFmtId="172" fontId="0" fillId="42" borderId="0" xfId="84" applyNumberFormat="1" applyFont="1" applyFill="1"/>
    <xf numFmtId="0" fontId="105" fillId="0" borderId="0" xfId="0" applyFont="1" applyFill="1"/>
    <xf numFmtId="0" fontId="110" fillId="0" borderId="0" xfId="74" applyFont="1"/>
    <xf numFmtId="3" fontId="85" fillId="0" borderId="0" xfId="74" applyNumberFormat="1"/>
    <xf numFmtId="0" fontId="85" fillId="0" borderId="0" xfId="74"/>
    <xf numFmtId="0" fontId="85" fillId="0" borderId="0" xfId="74" applyAlignment="1">
      <alignment horizontal="right"/>
    </xf>
    <xf numFmtId="0" fontId="105" fillId="0" borderId="0" xfId="74" applyFont="1"/>
    <xf numFmtId="0" fontId="104" fillId="0" borderId="0" xfId="74" applyNumberFormat="1" applyFont="1"/>
    <xf numFmtId="0" fontId="104" fillId="37" borderId="0" xfId="74" applyFont="1" applyFill="1"/>
    <xf numFmtId="3" fontId="104" fillId="37" borderId="0" xfId="74" applyNumberFormat="1" applyFont="1" applyFill="1" applyAlignment="1">
      <alignment horizontal="right"/>
    </xf>
    <xf numFmtId="0" fontId="104" fillId="37" borderId="0" xfId="74" applyFont="1" applyFill="1" applyAlignment="1">
      <alignment horizontal="right"/>
    </xf>
    <xf numFmtId="0" fontId="85" fillId="0" borderId="0" xfId="74" applyAlignment="1">
      <alignment horizontal="left"/>
    </xf>
    <xf numFmtId="187" fontId="85" fillId="0" borderId="0" xfId="74" applyNumberFormat="1"/>
    <xf numFmtId="10" fontId="105" fillId="0" borderId="0" xfId="86" applyNumberFormat="1" applyFont="1"/>
    <xf numFmtId="0" fontId="109" fillId="0" borderId="0" xfId="74" applyFont="1" applyAlignment="1">
      <alignment horizontal="left"/>
    </xf>
    <xf numFmtId="190" fontId="109" fillId="0" borderId="0" xfId="86" applyNumberFormat="1" applyFont="1"/>
    <xf numFmtId="9" fontId="105" fillId="0" borderId="0" xfId="86" applyFont="1"/>
    <xf numFmtId="0" fontId="104" fillId="37" borderId="0" xfId="74" applyFont="1" applyFill="1" applyAlignment="1">
      <alignment horizontal="left"/>
    </xf>
    <xf numFmtId="187" fontId="104" fillId="37" borderId="0" xfId="74" applyNumberFormat="1" applyFont="1" applyFill="1"/>
    <xf numFmtId="10" fontId="111" fillId="0" borderId="0" xfId="86" applyNumberFormat="1" applyFont="1"/>
    <xf numFmtId="0" fontId="105" fillId="38" borderId="0" xfId="74" applyFont="1" applyFill="1"/>
    <xf numFmtId="172" fontId="0" fillId="0" borderId="0" xfId="86" applyNumberFormat="1" applyFont="1" applyFill="1"/>
    <xf numFmtId="0" fontId="85" fillId="0" borderId="0" xfId="74" applyFill="1" applyAlignment="1">
      <alignment horizontal="left"/>
    </xf>
    <xf numFmtId="187" fontId="85" fillId="0" borderId="0" xfId="74" applyNumberFormat="1" applyFill="1"/>
    <xf numFmtId="182" fontId="0" fillId="0" borderId="0" xfId="91" applyNumberFormat="1" applyFont="1"/>
    <xf numFmtId="182" fontId="0" fillId="0" borderId="0" xfId="0" applyNumberFormat="1"/>
    <xf numFmtId="172" fontId="0" fillId="39" borderId="0" xfId="84" applyNumberFormat="1" applyFont="1" applyFill="1"/>
    <xf numFmtId="172" fontId="0" fillId="0" borderId="0" xfId="84" applyNumberFormat="1" applyFont="1"/>
    <xf numFmtId="172" fontId="109" fillId="0" borderId="0" xfId="84" applyNumberFormat="1" applyFont="1"/>
    <xf numFmtId="0" fontId="104" fillId="39" borderId="0" xfId="0" applyFont="1" applyFill="1" applyAlignment="1">
      <alignment horizontal="left" wrapText="1"/>
    </xf>
    <xf numFmtId="0" fontId="104" fillId="0" borderId="0" xfId="0" applyFont="1" applyFill="1" applyAlignment="1">
      <alignment horizontal="right" vertical="distributed"/>
    </xf>
    <xf numFmtId="190" fontId="109" fillId="0" borderId="0" xfId="84" applyNumberFormat="1" applyFont="1" applyFill="1"/>
    <xf numFmtId="0" fontId="104" fillId="42" borderId="0" xfId="0" applyFont="1" applyFill="1"/>
    <xf numFmtId="0" fontId="104" fillId="42" borderId="0" xfId="0" applyFont="1" applyFill="1" applyAlignment="1">
      <alignment horizontal="right"/>
    </xf>
    <xf numFmtId="0" fontId="104" fillId="39" borderId="0" xfId="0" applyFont="1" applyFill="1" applyAlignment="1">
      <alignment horizontal="left"/>
    </xf>
    <xf numFmtId="0" fontId="104" fillId="37" borderId="0" xfId="0" applyFont="1" applyFill="1" applyAlignment="1">
      <alignment horizontal="left" wrapText="1"/>
    </xf>
    <xf numFmtId="172" fontId="0" fillId="37" borderId="0" xfId="84" applyNumberFormat="1" applyFont="1" applyFill="1"/>
    <xf numFmtId="172" fontId="109" fillId="37" borderId="0" xfId="84" applyNumberFormat="1" applyFont="1" applyFill="1"/>
    <xf numFmtId="172" fontId="0" fillId="0" borderId="0" xfId="84" applyNumberFormat="1" applyFont="1" applyFill="1"/>
    <xf numFmtId="0" fontId="104" fillId="42" borderId="0" xfId="0" applyFont="1" applyFill="1" applyAlignment="1">
      <alignment horizontal="center"/>
    </xf>
    <xf numFmtId="0" fontId="104" fillId="42" borderId="0" xfId="0" applyFont="1" applyFill="1" applyAlignment="1">
      <alignment horizontal="center" vertical="distributed"/>
    </xf>
    <xf numFmtId="182" fontId="105" fillId="37" borderId="0" xfId="91" applyNumberFormat="1" applyFont="1" applyFill="1"/>
    <xf numFmtId="182" fontId="105" fillId="0" borderId="0" xfId="91" applyNumberFormat="1" applyFont="1"/>
    <xf numFmtId="171" fontId="0" fillId="24" borderId="0" xfId="91" applyFont="1" applyFill="1"/>
    <xf numFmtId="17" fontId="0" fillId="24" borderId="0" xfId="0" applyNumberFormat="1" applyFill="1"/>
    <xf numFmtId="192" fontId="0" fillId="24" borderId="0" xfId="91" applyNumberFormat="1" applyFont="1" applyFill="1"/>
    <xf numFmtId="0" fontId="104" fillId="0" borderId="0" xfId="0" applyFont="1" applyFill="1" applyAlignment="1"/>
    <xf numFmtId="0" fontId="104" fillId="0" borderId="0" xfId="0" applyFont="1" applyFill="1" applyAlignment="1">
      <alignment horizontal="center" wrapText="1"/>
    </xf>
    <xf numFmtId="187" fontId="104" fillId="0" borderId="0" xfId="0" applyNumberFormat="1" applyFont="1" applyFill="1"/>
    <xf numFmtId="0" fontId="104" fillId="0" borderId="0" xfId="0" applyFont="1" applyFill="1" applyAlignment="1">
      <alignment horizontal="left"/>
    </xf>
    <xf numFmtId="0" fontId="104" fillId="0" borderId="0" xfId="0" applyFont="1" applyFill="1" applyAlignment="1">
      <alignment horizontal="center"/>
    </xf>
    <xf numFmtId="187" fontId="105" fillId="0" borderId="0" xfId="0" applyNumberFormat="1" applyFont="1" applyFill="1"/>
    <xf numFmtId="0" fontId="104" fillId="0" borderId="0" xfId="0" applyFont="1" applyFill="1" applyAlignment="1">
      <alignment horizontal="right"/>
    </xf>
    <xf numFmtId="9" fontId="105" fillId="0" borderId="0" xfId="84" applyFont="1" applyFill="1"/>
    <xf numFmtId="3" fontId="105" fillId="0" borderId="0" xfId="0" applyNumberFormat="1" applyFont="1" applyFill="1"/>
    <xf numFmtId="0" fontId="110" fillId="0" borderId="0" xfId="0" applyFont="1" applyFill="1"/>
    <xf numFmtId="0" fontId="104" fillId="0" borderId="0" xfId="0" applyFont="1" applyFill="1" applyAlignment="1">
      <alignment horizontal="right" wrapText="1"/>
    </xf>
    <xf numFmtId="0" fontId="109" fillId="0" borderId="0" xfId="0" applyFont="1" applyFill="1" applyAlignment="1">
      <alignment horizontal="left"/>
    </xf>
    <xf numFmtId="0" fontId="116" fillId="0" borderId="0" xfId="0" applyFont="1" applyAlignment="1">
      <alignment horizontal="left"/>
    </xf>
    <xf numFmtId="182" fontId="116" fillId="0" borderId="0" xfId="91" applyNumberFormat="1" applyFont="1"/>
    <xf numFmtId="0" fontId="108" fillId="0" borderId="0" xfId="0" applyFont="1" applyFill="1" applyAlignment="1">
      <alignment horizontal="right" vertical="distributed"/>
    </xf>
    <xf numFmtId="0" fontId="111" fillId="0" borderId="0" xfId="0" applyFont="1"/>
    <xf numFmtId="0" fontId="10" fillId="0" borderId="0" xfId="267"/>
    <xf numFmtId="182" fontId="111" fillId="0" borderId="0" xfId="91" applyNumberFormat="1" applyFont="1"/>
    <xf numFmtId="182" fontId="108" fillId="0" borderId="0" xfId="91" applyNumberFormat="1" applyFont="1"/>
    <xf numFmtId="182" fontId="105" fillId="0" borderId="0" xfId="0" applyNumberFormat="1" applyFont="1"/>
    <xf numFmtId="192" fontId="105" fillId="0" borderId="0" xfId="91" applyNumberFormat="1" applyFont="1"/>
    <xf numFmtId="0" fontId="104" fillId="0" borderId="0" xfId="0" applyFont="1" applyFill="1" applyAlignment="1">
      <alignment horizontal="left" wrapText="1"/>
    </xf>
    <xf numFmtId="172" fontId="109" fillId="0" borderId="0" xfId="84" applyNumberFormat="1" applyFont="1" applyFill="1"/>
    <xf numFmtId="182" fontId="0" fillId="0" borderId="0" xfId="91" applyNumberFormat="1" applyFont="1" applyFill="1"/>
    <xf numFmtId="182" fontId="0" fillId="39" borderId="0" xfId="91" applyNumberFormat="1" applyFont="1" applyFill="1"/>
    <xf numFmtId="0" fontId="105" fillId="0" borderId="0" xfId="0" applyFont="1" applyFill="1" applyBorder="1"/>
    <xf numFmtId="182" fontId="197" fillId="0" borderId="0" xfId="91" applyNumberFormat="1" applyFont="1"/>
    <xf numFmtId="0" fontId="198" fillId="0" borderId="0" xfId="0" applyFont="1"/>
    <xf numFmtId="213" fontId="105" fillId="0" borderId="0" xfId="91" applyNumberFormat="1" applyFont="1"/>
    <xf numFmtId="172" fontId="105" fillId="0" borderId="0" xfId="84" applyNumberFormat="1" applyFont="1"/>
    <xf numFmtId="172" fontId="105" fillId="0" borderId="0" xfId="0" applyNumberFormat="1" applyFont="1" applyFill="1"/>
    <xf numFmtId="187" fontId="0" fillId="0" borderId="0" xfId="0" applyNumberFormat="1" applyFill="1" applyBorder="1"/>
    <xf numFmtId="182" fontId="108" fillId="0" borderId="0" xfId="0" applyNumberFormat="1" applyFont="1" applyFill="1"/>
    <xf numFmtId="190" fontId="199" fillId="0" borderId="0" xfId="84" applyNumberFormat="1" applyFont="1"/>
    <xf numFmtId="172" fontId="23" fillId="0" borderId="0" xfId="84" applyNumberFormat="1" applyFont="1" applyFill="1"/>
    <xf numFmtId="182" fontId="111" fillId="37" borderId="0" xfId="91" applyNumberFormat="1" applyFont="1" applyFill="1"/>
    <xf numFmtId="187" fontId="23" fillId="0" borderId="0" xfId="0" applyNumberFormat="1" applyFont="1" applyFill="1"/>
    <xf numFmtId="0" fontId="23" fillId="0" borderId="0" xfId="0" applyFont="1" applyFill="1"/>
    <xf numFmtId="0" fontId="111" fillId="0" borderId="0" xfId="0" applyFont="1" applyFill="1"/>
    <xf numFmtId="0" fontId="0" fillId="0" borderId="0" xfId="0" applyFont="1" applyFill="1"/>
    <xf numFmtId="182" fontId="111" fillId="37" borderId="33" xfId="91" applyNumberFormat="1" applyFont="1" applyFill="1" applyBorder="1"/>
    <xf numFmtId="172" fontId="23" fillId="37" borderId="33" xfId="84" applyNumberFormat="1" applyFont="1" applyFill="1" applyBorder="1"/>
    <xf numFmtId="187" fontId="23" fillId="39" borderId="33" xfId="0" applyNumberFormat="1" applyFont="1" applyFill="1" applyBorder="1"/>
    <xf numFmtId="172" fontId="23" fillId="39" borderId="33" xfId="84" applyNumberFormat="1" applyFont="1" applyFill="1" applyBorder="1"/>
    <xf numFmtId="0" fontId="23" fillId="0" borderId="33" xfId="0" applyFont="1" applyBorder="1" applyAlignment="1">
      <alignment horizontal="left"/>
    </xf>
    <xf numFmtId="187" fontId="23" fillId="0" borderId="33" xfId="0" applyNumberFormat="1" applyFont="1" applyBorder="1"/>
    <xf numFmtId="172" fontId="23" fillId="42" borderId="33" xfId="84" applyNumberFormat="1" applyFont="1" applyFill="1" applyBorder="1"/>
    <xf numFmtId="0" fontId="0" fillId="43" borderId="33" xfId="0" applyFont="1" applyFill="1" applyBorder="1" applyAlignment="1">
      <alignment horizontal="left" indent="1"/>
    </xf>
    <xf numFmtId="187" fontId="0" fillId="43" borderId="33" xfId="0" applyNumberFormat="1" applyFont="1" applyFill="1" applyBorder="1"/>
    <xf numFmtId="172" fontId="13" fillId="43" borderId="33" xfId="84" applyNumberFormat="1" applyFont="1" applyFill="1" applyBorder="1"/>
    <xf numFmtId="190" fontId="109" fillId="0" borderId="33" xfId="84" applyNumberFormat="1" applyFont="1" applyFill="1" applyBorder="1"/>
    <xf numFmtId="182" fontId="105" fillId="43" borderId="33" xfId="91" applyNumberFormat="1" applyFont="1" applyFill="1" applyBorder="1"/>
    <xf numFmtId="172" fontId="9" fillId="43" borderId="33" xfId="84" applyNumberFormat="1" applyFont="1" applyFill="1" applyBorder="1"/>
    <xf numFmtId="187" fontId="0" fillId="43" borderId="33" xfId="0" applyNumberFormat="1" applyFill="1" applyBorder="1"/>
    <xf numFmtId="172" fontId="104" fillId="43" borderId="33" xfId="84" applyNumberFormat="1" applyFont="1" applyFill="1" applyBorder="1"/>
    <xf numFmtId="187" fontId="104" fillId="43" borderId="33" xfId="0" applyNumberFormat="1" applyFont="1" applyFill="1" applyBorder="1"/>
    <xf numFmtId="187" fontId="0" fillId="0" borderId="33" xfId="0" applyNumberFormat="1" applyBorder="1"/>
    <xf numFmtId="172" fontId="0" fillId="43" borderId="33" xfId="84" applyNumberFormat="1" applyFont="1" applyFill="1" applyBorder="1"/>
    <xf numFmtId="172" fontId="105" fillId="37" borderId="0" xfId="84" applyNumberFormat="1" applyFont="1" applyFill="1"/>
    <xf numFmtId="182" fontId="105" fillId="0" borderId="0" xfId="91" applyNumberFormat="1" applyFont="1" applyFill="1"/>
    <xf numFmtId="0" fontId="104" fillId="43" borderId="33" xfId="0" applyFont="1" applyFill="1" applyBorder="1" applyAlignment="1">
      <alignment horizontal="left"/>
    </xf>
    <xf numFmtId="172" fontId="105" fillId="0" borderId="0" xfId="84" applyNumberFormat="1" applyFont="1" applyFill="1"/>
    <xf numFmtId="182" fontId="105" fillId="0" borderId="0" xfId="0" applyNumberFormat="1" applyFont="1" applyFill="1"/>
    <xf numFmtId="190" fontId="200" fillId="0" borderId="0" xfId="84" applyNumberFormat="1" applyFont="1" applyFill="1"/>
    <xf numFmtId="182" fontId="200" fillId="0" borderId="0" xfId="91" applyNumberFormat="1" applyFont="1" applyFill="1"/>
    <xf numFmtId="0" fontId="200" fillId="0" borderId="0" xfId="0" applyFont="1" applyFill="1"/>
    <xf numFmtId="182" fontId="200" fillId="0" borderId="0" xfId="0" applyNumberFormat="1" applyFont="1" applyFill="1"/>
    <xf numFmtId="3" fontId="105" fillId="0" borderId="0" xfId="0" applyNumberFormat="1" applyFont="1" applyFill="1" applyBorder="1"/>
    <xf numFmtId="0" fontId="0" fillId="62" borderId="33" xfId="0" applyFill="1" applyBorder="1" applyAlignment="1">
      <alignment horizontal="left"/>
    </xf>
    <xf numFmtId="182" fontId="105" fillId="62" borderId="33" xfId="0" applyNumberFormat="1" applyFont="1" applyFill="1" applyBorder="1"/>
    <xf numFmtId="172" fontId="105" fillId="62" borderId="33" xfId="84" applyNumberFormat="1" applyFont="1" applyFill="1" applyBorder="1"/>
    <xf numFmtId="0" fontId="105" fillId="62" borderId="33" xfId="0" applyFont="1" applyFill="1" applyBorder="1"/>
    <xf numFmtId="0" fontId="201" fillId="0" borderId="0" xfId="0" applyFont="1" applyFill="1" applyAlignment="1">
      <alignment horizontal="left" indent="1"/>
    </xf>
    <xf numFmtId="0" fontId="202" fillId="0" borderId="0" xfId="0" applyFont="1" applyFill="1" applyAlignment="1">
      <alignment horizontal="left"/>
    </xf>
    <xf numFmtId="0" fontId="201" fillId="0" borderId="0" xfId="0" applyFont="1" applyFill="1"/>
    <xf numFmtId="172" fontId="134" fillId="0" borderId="0" xfId="84" applyNumberFormat="1" applyFont="1" applyFill="1"/>
    <xf numFmtId="214" fontId="0" fillId="24" borderId="0" xfId="0" applyNumberFormat="1" applyFill="1" applyProtection="1"/>
    <xf numFmtId="182" fontId="0" fillId="0" borderId="0" xfId="0" applyNumberFormat="1" applyFill="1"/>
    <xf numFmtId="182" fontId="111" fillId="0" borderId="0" xfId="91" applyNumberFormat="1" applyFont="1" applyFill="1"/>
    <xf numFmtId="172" fontId="104" fillId="0" borderId="0" xfId="84" applyNumberFormat="1" applyFont="1" applyFill="1" applyAlignment="1">
      <alignment horizontal="left" wrapText="1"/>
    </xf>
    <xf numFmtId="9" fontId="33" fillId="24" borderId="0" xfId="84" applyFont="1" applyFill="1" applyProtection="1">
      <protection locked="0"/>
    </xf>
    <xf numFmtId="182" fontId="236" fillId="0" borderId="0" xfId="91" applyNumberFormat="1" applyFont="1" applyFill="1"/>
    <xf numFmtId="182" fontId="108" fillId="0" borderId="0" xfId="0" applyNumberFormat="1" applyFont="1" applyFill="1" applyAlignment="1">
      <alignment horizontal="right" vertical="distributed"/>
    </xf>
    <xf numFmtId="182" fontId="23" fillId="24" borderId="0" xfId="91" applyNumberFormat="1" applyFont="1" applyFill="1" applyBorder="1" applyProtection="1"/>
    <xf numFmtId="182" fontId="23" fillId="24" borderId="36" xfId="91" applyNumberFormat="1" applyFont="1" applyFill="1" applyBorder="1" applyProtection="1"/>
    <xf numFmtId="182" fontId="21" fillId="25" borderId="32" xfId="91" applyNumberFormat="1" applyFont="1" applyFill="1" applyBorder="1" applyAlignment="1" applyProtection="1">
      <alignment horizontal="left" vertical="center"/>
    </xf>
    <xf numFmtId="182" fontId="23" fillId="0" borderId="32" xfId="91" applyNumberFormat="1" applyFont="1" applyFill="1" applyBorder="1" applyProtection="1"/>
    <xf numFmtId="182" fontId="35" fillId="27" borderId="31" xfId="91" applyNumberFormat="1" applyFont="1" applyFill="1" applyBorder="1" applyProtection="1">
      <protection locked="0"/>
    </xf>
    <xf numFmtId="182" fontId="29" fillId="27" borderId="32" xfId="91" applyNumberFormat="1" applyFont="1" applyFill="1" applyBorder="1" applyProtection="1"/>
    <xf numFmtId="182" fontId="23" fillId="24" borderId="32" xfId="91" applyNumberFormat="1" applyFont="1" applyFill="1" applyBorder="1" applyProtection="1"/>
    <xf numFmtId="182" fontId="36" fillId="24" borderId="32" xfId="91" applyNumberFormat="1" applyFont="1" applyFill="1" applyBorder="1" applyProtection="1">
      <protection locked="0"/>
    </xf>
    <xf numFmtId="182" fontId="13" fillId="24" borderId="27" xfId="91" applyNumberFormat="1" applyFont="1" applyFill="1" applyBorder="1" applyProtection="1">
      <protection locked="0"/>
    </xf>
    <xf numFmtId="182" fontId="21" fillId="40" borderId="36" xfId="91" applyNumberFormat="1" applyFont="1" applyFill="1" applyBorder="1" applyAlignment="1" applyProtection="1">
      <alignment horizontal="center" vertical="center"/>
    </xf>
    <xf numFmtId="182" fontId="21" fillId="25" borderId="47" xfId="91" applyNumberFormat="1" applyFont="1" applyFill="1" applyBorder="1" applyAlignment="1" applyProtection="1">
      <alignment horizontal="left" vertical="center"/>
    </xf>
    <xf numFmtId="182" fontId="23" fillId="40" borderId="47" xfId="91" applyNumberFormat="1" applyFont="1" applyFill="1" applyBorder="1" applyProtection="1"/>
    <xf numFmtId="182" fontId="35" fillId="27" borderId="0" xfId="91" applyNumberFormat="1" applyFont="1" applyFill="1" applyBorder="1" applyProtection="1">
      <protection locked="0"/>
    </xf>
    <xf numFmtId="182" fontId="29" fillId="27" borderId="47" xfId="91" applyNumberFormat="1" applyFont="1" applyFill="1" applyBorder="1" applyProtection="1"/>
    <xf numFmtId="182" fontId="35" fillId="27" borderId="47" xfId="91" applyNumberFormat="1" applyFont="1" applyFill="1" applyBorder="1" applyProtection="1">
      <protection locked="0"/>
    </xf>
    <xf numFmtId="182" fontId="23" fillId="24" borderId="47" xfId="91" applyNumberFormat="1" applyFont="1" applyFill="1" applyBorder="1" applyProtection="1"/>
    <xf numFmtId="182" fontId="36" fillId="24" borderId="47" xfId="91" applyNumberFormat="1" applyFont="1" applyFill="1" applyBorder="1" applyProtection="1">
      <protection locked="0"/>
    </xf>
    <xf numFmtId="182" fontId="23" fillId="24" borderId="0" xfId="91" applyNumberFormat="1" applyFont="1" applyFill="1" applyProtection="1">
      <protection locked="0"/>
    </xf>
    <xf numFmtId="182" fontId="23" fillId="0" borderId="39" xfId="91" applyNumberFormat="1" applyFont="1" applyFill="1" applyBorder="1"/>
    <xf numFmtId="182" fontId="23" fillId="0" borderId="37" xfId="91" applyNumberFormat="1" applyFont="1" applyFill="1" applyBorder="1" applyProtection="1">
      <protection locked="0"/>
    </xf>
    <xf numFmtId="182" fontId="0" fillId="0" borderId="0" xfId="91" applyNumberFormat="1" applyFont="1" applyFill="1" applyProtection="1">
      <protection locked="0"/>
    </xf>
    <xf numFmtId="172" fontId="111" fillId="0" borderId="0" xfId="84" applyNumberFormat="1" applyFont="1" applyAlignment="1"/>
    <xf numFmtId="172" fontId="111" fillId="42" borderId="0" xfId="84" applyNumberFormat="1" applyFont="1" applyFill="1" applyAlignment="1">
      <alignment horizontal="center" vertical="distributed"/>
    </xf>
    <xf numFmtId="172" fontId="111" fillId="0" borderId="0" xfId="84" applyNumberFormat="1" applyFont="1" applyFill="1" applyAlignment="1">
      <alignment horizontal="center" vertical="distributed"/>
    </xf>
    <xf numFmtId="172" fontId="237" fillId="0" borderId="0" xfId="84" applyNumberFormat="1" applyFont="1"/>
    <xf numFmtId="172" fontId="13" fillId="42" borderId="0" xfId="84" applyNumberFormat="1" applyFont="1" applyFill="1"/>
    <xf numFmtId="172" fontId="13" fillId="42" borderId="33" xfId="84" applyNumberFormat="1" applyFont="1" applyFill="1" applyBorder="1"/>
    <xf numFmtId="172" fontId="13" fillId="0" borderId="0" xfId="84" applyNumberFormat="1" applyFont="1" applyFill="1"/>
    <xf numFmtId="182" fontId="104" fillId="0" borderId="0" xfId="91" applyNumberFormat="1" applyFont="1" applyAlignment="1"/>
    <xf numFmtId="182" fontId="104" fillId="42" borderId="0" xfId="91" applyNumberFormat="1" applyFont="1" applyFill="1" applyAlignment="1">
      <alignment horizontal="center"/>
    </xf>
    <xf numFmtId="182" fontId="104" fillId="0" borderId="0" xfId="91" applyNumberFormat="1" applyFont="1" applyFill="1" applyAlignment="1">
      <alignment horizontal="center"/>
    </xf>
    <xf numFmtId="182" fontId="104" fillId="0" borderId="0" xfId="91" applyNumberFormat="1" applyFont="1" applyFill="1" applyAlignment="1">
      <alignment horizontal="left" wrapText="1"/>
    </xf>
    <xf numFmtId="182" fontId="104" fillId="0" borderId="0" xfId="91" applyNumberFormat="1" applyFont="1" applyFill="1" applyAlignment="1"/>
    <xf numFmtId="182" fontId="197" fillId="0" borderId="0" xfId="91" applyNumberFormat="1" applyFont="1" applyFill="1"/>
    <xf numFmtId="182" fontId="0" fillId="0" borderId="33" xfId="91" applyNumberFormat="1" applyFont="1" applyFill="1" applyBorder="1"/>
    <xf numFmtId="182" fontId="109" fillId="0" borderId="0" xfId="91" applyNumberFormat="1" applyFont="1" applyFill="1"/>
    <xf numFmtId="176" fontId="23" fillId="24" borderId="0" xfId="0" applyNumberFormat="1" applyFont="1" applyFill="1" applyBorder="1" applyProtection="1">
      <protection locked="0"/>
    </xf>
    <xf numFmtId="171" fontId="23" fillId="0" borderId="37" xfId="91" applyFont="1" applyFill="1" applyBorder="1" applyProtection="1">
      <protection locked="0"/>
    </xf>
    <xf numFmtId="176" fontId="23" fillId="25" borderId="75" xfId="91" applyNumberFormat="1" applyFont="1" applyFill="1" applyBorder="1" applyAlignment="1">
      <alignment horizontal="center"/>
    </xf>
    <xf numFmtId="0" fontId="21" fillId="25" borderId="36" xfId="0" applyNumberFormat="1" applyFont="1" applyFill="1" applyBorder="1" applyAlignment="1" applyProtection="1">
      <alignment horizontal="left" vertical="center"/>
    </xf>
    <xf numFmtId="3" fontId="23" fillId="0" borderId="47" xfId="0" applyNumberFormat="1" applyFont="1" applyFill="1" applyBorder="1" applyProtection="1">
      <protection locked="0"/>
    </xf>
    <xf numFmtId="10" fontId="35" fillId="31" borderId="0" xfId="0" applyNumberFormat="1" applyFont="1" applyFill="1" applyBorder="1" applyProtection="1">
      <protection locked="0"/>
    </xf>
    <xf numFmtId="167" fontId="29" fillId="27" borderId="47" xfId="0" applyNumberFormat="1" applyFont="1" applyFill="1" applyBorder="1" applyProtection="1">
      <protection locked="0"/>
    </xf>
    <xf numFmtId="167" fontId="23" fillId="24" borderId="47" xfId="0" applyNumberFormat="1" applyFont="1" applyFill="1" applyBorder="1" applyProtection="1">
      <protection locked="0"/>
    </xf>
    <xf numFmtId="4" fontId="23" fillId="0" borderId="47" xfId="0" applyNumberFormat="1" applyFont="1" applyFill="1" applyBorder="1" applyProtection="1"/>
    <xf numFmtId="179" fontId="41" fillId="26" borderId="17" xfId="0" applyNumberFormat="1" applyFont="1" applyFill="1" applyBorder="1" applyAlignment="1" applyProtection="1">
      <alignment horizontal="right"/>
      <protection locked="0"/>
    </xf>
    <xf numFmtId="176" fontId="23" fillId="70" borderId="20" xfId="0" applyNumberFormat="1" applyFont="1" applyFill="1" applyBorder="1" applyProtection="1">
      <protection locked="0"/>
    </xf>
    <xf numFmtId="182" fontId="0" fillId="39" borderId="0" xfId="0" applyNumberFormat="1" applyFill="1"/>
    <xf numFmtId="0" fontId="29" fillId="26" borderId="18" xfId="0" applyFont="1" applyFill="1" applyBorder="1" applyAlignment="1" applyProtection="1">
      <alignment horizontal="left"/>
      <protection locked="0"/>
    </xf>
    <xf numFmtId="0" fontId="21" fillId="24" borderId="0" xfId="1129" applyFont="1" applyFill="1"/>
    <xf numFmtId="0" fontId="84" fillId="24" borderId="0" xfId="1129" applyFill="1"/>
    <xf numFmtId="0" fontId="28" fillId="24" borderId="0" xfId="1129" applyFont="1" applyFill="1"/>
    <xf numFmtId="0" fontId="239" fillId="24" borderId="0" xfId="0" applyFont="1" applyFill="1" applyAlignment="1">
      <alignment horizontal="right"/>
    </xf>
    <xf numFmtId="0" fontId="239" fillId="24" borderId="0" xfId="0" applyFont="1" applyFill="1"/>
    <xf numFmtId="172" fontId="239" fillId="24" borderId="0" xfId="0" applyNumberFormat="1" applyFont="1" applyFill="1"/>
    <xf numFmtId="0" fontId="239" fillId="24" borderId="0" xfId="0" applyFont="1" applyFill="1" applyBorder="1"/>
    <xf numFmtId="178" fontId="241" fillId="24" borderId="0" xfId="0" applyNumberFormat="1" applyFont="1" applyFill="1" applyBorder="1" applyAlignment="1">
      <alignment horizontal="center"/>
    </xf>
    <xf numFmtId="172" fontId="239" fillId="24" borderId="0" xfId="0" applyNumberFormat="1" applyFont="1" applyFill="1" applyBorder="1" applyAlignment="1">
      <alignment horizontal="center"/>
    </xf>
    <xf numFmtId="180" fontId="241" fillId="24" borderId="0" xfId="0" applyNumberFormat="1" applyFont="1" applyFill="1" applyBorder="1" applyAlignment="1">
      <alignment horizontal="center"/>
    </xf>
    <xf numFmtId="2" fontId="239" fillId="24" borderId="0" xfId="0" applyNumberFormat="1" applyFont="1" applyFill="1" applyBorder="1" applyAlignment="1">
      <alignment horizontal="center"/>
    </xf>
    <xf numFmtId="181" fontId="241" fillId="24" borderId="0" xfId="0" applyNumberFormat="1" applyFont="1" applyFill="1" applyBorder="1" applyAlignment="1">
      <alignment horizontal="center"/>
    </xf>
    <xf numFmtId="2" fontId="242" fillId="24" borderId="0" xfId="0" applyNumberFormat="1" applyFont="1" applyFill="1" applyBorder="1" applyAlignment="1">
      <alignment horizontal="center"/>
    </xf>
    <xf numFmtId="2" fontId="241" fillId="24" borderId="0" xfId="0" applyNumberFormat="1" applyFont="1" applyFill="1" applyBorder="1" applyAlignment="1">
      <alignment horizontal="center"/>
    </xf>
    <xf numFmtId="10" fontId="239" fillId="24" borderId="0" xfId="0" applyNumberFormat="1" applyFont="1" applyFill="1" applyBorder="1" applyAlignment="1">
      <alignment vertical="center"/>
    </xf>
    <xf numFmtId="10" fontId="239" fillId="24" borderId="0" xfId="0" applyNumberFormat="1" applyFont="1" applyFill="1" applyBorder="1" applyAlignment="1">
      <alignment horizontal="center" vertical="center"/>
    </xf>
    <xf numFmtId="0" fontId="239" fillId="25" borderId="0" xfId="1129" applyFont="1" applyFill="1" applyBorder="1" applyAlignment="1">
      <alignment vertical="center"/>
    </xf>
    <xf numFmtId="0" fontId="51" fillId="25" borderId="0" xfId="0" applyFont="1" applyFill="1" applyBorder="1" applyAlignment="1">
      <alignment horizontal="center" vertical="justify"/>
    </xf>
    <xf numFmtId="0" fontId="51" fillId="24" borderId="0" xfId="0" applyFont="1" applyFill="1" applyBorder="1" applyAlignment="1">
      <alignment horizontal="center" vertical="justify"/>
    </xf>
    <xf numFmtId="0" fontId="239" fillId="24" borderId="0" xfId="1129" applyFont="1" applyFill="1" applyBorder="1" applyAlignment="1">
      <alignment vertical="center"/>
    </xf>
    <xf numFmtId="0" fontId="239" fillId="24" borderId="0" xfId="1129" applyFont="1" applyFill="1" applyBorder="1"/>
    <xf numFmtId="172" fontId="239" fillId="30" borderId="0" xfId="0" applyNumberFormat="1" applyFont="1" applyFill="1" applyBorder="1" applyAlignment="1">
      <alignment horizontal="center"/>
    </xf>
    <xf numFmtId="180" fontId="241" fillId="30" borderId="0" xfId="0" applyNumberFormat="1" applyFont="1" applyFill="1" applyBorder="1" applyAlignment="1">
      <alignment horizontal="center"/>
    </xf>
    <xf numFmtId="2" fontId="242" fillId="26" borderId="0" xfId="0" applyNumberFormat="1" applyFont="1" applyFill="1" applyBorder="1" applyAlignment="1">
      <alignment horizontal="center"/>
    </xf>
    <xf numFmtId="2" fontId="241" fillId="26" borderId="0" xfId="0" applyNumberFormat="1" applyFont="1" applyFill="1" applyBorder="1" applyAlignment="1">
      <alignment horizontal="center"/>
    </xf>
    <xf numFmtId="0" fontId="84" fillId="24" borderId="0" xfId="1129" applyFill="1" applyBorder="1"/>
    <xf numFmtId="0" fontId="51" fillId="25" borderId="0" xfId="1129" applyFont="1" applyFill="1" applyBorder="1" applyAlignment="1">
      <alignment horizontal="center" vertical="justify"/>
    </xf>
    <xf numFmtId="0" fontId="16" fillId="24" borderId="0" xfId="0" applyFont="1" applyFill="1"/>
    <xf numFmtId="2" fontId="243" fillId="24" borderId="0" xfId="0" applyNumberFormat="1" applyFont="1" applyFill="1" applyBorder="1" applyAlignment="1">
      <alignment horizontal="center"/>
    </xf>
    <xf numFmtId="0" fontId="84" fillId="0" borderId="0" xfId="1129"/>
    <xf numFmtId="0" fontId="84" fillId="0" borderId="0" xfId="1129" applyFill="1"/>
    <xf numFmtId="0" fontId="203" fillId="27" borderId="48" xfId="0" applyFont="1" applyFill="1" applyBorder="1" applyAlignment="1" applyProtection="1">
      <alignment horizontal="left"/>
    </xf>
    <xf numFmtId="0" fontId="203" fillId="27" borderId="49" xfId="0" applyFont="1" applyFill="1" applyBorder="1" applyAlignment="1" applyProtection="1">
      <alignment horizontal="center"/>
    </xf>
    <xf numFmtId="0" fontId="23" fillId="0" borderId="112" xfId="0" applyFont="1" applyFill="1" applyBorder="1"/>
    <xf numFmtId="171" fontId="23" fillId="72" borderId="37" xfId="91" applyFont="1" applyFill="1" applyBorder="1" applyProtection="1">
      <protection locked="0"/>
    </xf>
    <xf numFmtId="10" fontId="23" fillId="38" borderId="37" xfId="84" applyNumberFormat="1" applyFont="1" applyFill="1" applyBorder="1" applyProtection="1">
      <protection locked="0"/>
    </xf>
    <xf numFmtId="0" fontId="106" fillId="0" borderId="0" xfId="0" applyFont="1" applyFill="1" applyProtection="1">
      <protection locked="0"/>
    </xf>
    <xf numFmtId="0" fontId="107" fillId="0" borderId="0" xfId="0" applyFont="1" applyFill="1" applyProtection="1">
      <protection locked="0"/>
    </xf>
    <xf numFmtId="0" fontId="107" fillId="0" borderId="39" xfId="0" applyFont="1" applyFill="1" applyBorder="1"/>
    <xf numFmtId="171" fontId="107" fillId="72" borderId="37" xfId="91" applyFont="1" applyFill="1" applyBorder="1" applyProtection="1">
      <protection locked="0"/>
    </xf>
    <xf numFmtId="176" fontId="107" fillId="25" borderId="75" xfId="91" applyNumberFormat="1" applyFont="1" applyFill="1" applyBorder="1" applyAlignment="1">
      <alignment horizontal="center"/>
    </xf>
    <xf numFmtId="182" fontId="106" fillId="0" borderId="0" xfId="91" applyNumberFormat="1" applyFont="1" applyProtection="1">
      <protection locked="0"/>
    </xf>
    <xf numFmtId="10" fontId="107" fillId="0" borderId="37" xfId="0" applyNumberFormat="1" applyFont="1" applyFill="1" applyBorder="1" applyProtection="1">
      <protection locked="0"/>
    </xf>
    <xf numFmtId="171" fontId="107" fillId="0" borderId="37" xfId="91" applyFont="1" applyFill="1" applyBorder="1" applyProtection="1">
      <protection locked="0"/>
    </xf>
    <xf numFmtId="9" fontId="106" fillId="0" borderId="0" xfId="84" applyFont="1" applyProtection="1">
      <protection locked="0"/>
    </xf>
    <xf numFmtId="167" fontId="106" fillId="0" borderId="0" xfId="0" applyNumberFormat="1" applyFont="1" applyProtection="1">
      <protection locked="0"/>
    </xf>
    <xf numFmtId="172" fontId="106" fillId="0" borderId="0" xfId="0" applyNumberFormat="1" applyFont="1" applyFill="1" applyProtection="1">
      <protection locked="0"/>
    </xf>
    <xf numFmtId="9" fontId="23" fillId="24" borderId="20" xfId="84" applyNumberFormat="1" applyFont="1" applyFill="1" applyBorder="1" applyProtection="1">
      <protection locked="0"/>
    </xf>
    <xf numFmtId="182" fontId="23" fillId="0" borderId="0" xfId="91" applyNumberFormat="1" applyFont="1" applyFill="1" applyProtection="1">
      <protection locked="0"/>
    </xf>
    <xf numFmtId="9" fontId="13" fillId="0" borderId="0" xfId="84" applyFont="1" applyFill="1" applyProtection="1">
      <protection locked="0"/>
    </xf>
    <xf numFmtId="9" fontId="0" fillId="0" borderId="0" xfId="84" applyFont="1" applyFill="1" applyProtection="1">
      <protection locked="0"/>
    </xf>
    <xf numFmtId="182" fontId="23" fillId="40" borderId="0" xfId="91" applyNumberFormat="1" applyFont="1" applyFill="1" applyProtection="1">
      <protection locked="0"/>
    </xf>
    <xf numFmtId="0" fontId="0" fillId="0" borderId="0" xfId="0" applyFont="1" applyFill="1" applyProtection="1">
      <protection locked="0"/>
    </xf>
    <xf numFmtId="0" fontId="23" fillId="40" borderId="0" xfId="0" applyFont="1" applyFill="1" applyProtection="1">
      <protection locked="0"/>
    </xf>
    <xf numFmtId="167" fontId="115" fillId="71" borderId="47" xfId="0" applyNumberFormat="1" applyFont="1" applyFill="1" applyBorder="1" applyProtection="1">
      <protection locked="0"/>
    </xf>
    <xf numFmtId="0" fontId="21" fillId="40" borderId="36" xfId="0" applyNumberFormat="1" applyFont="1" applyFill="1" applyBorder="1" applyAlignment="1" applyProtection="1">
      <alignment horizontal="left" vertical="center"/>
    </xf>
    <xf numFmtId="3" fontId="23" fillId="40" borderId="47" xfId="0" applyNumberFormat="1" applyFont="1" applyFill="1" applyBorder="1" applyProtection="1">
      <protection locked="0"/>
    </xf>
    <xf numFmtId="10" fontId="35" fillId="40" borderId="0" xfId="0" applyNumberFormat="1" applyFont="1" applyFill="1" applyBorder="1" applyProtection="1">
      <protection locked="0"/>
    </xf>
    <xf numFmtId="10" fontId="35" fillId="73" borderId="0" xfId="0" applyNumberFormat="1" applyFont="1" applyFill="1" applyBorder="1" applyProtection="1">
      <protection locked="0"/>
    </xf>
    <xf numFmtId="167" fontId="29" fillId="40" borderId="36" xfId="0" applyNumberFormat="1" applyFont="1" applyFill="1" applyBorder="1" applyProtection="1">
      <protection locked="0"/>
    </xf>
    <xf numFmtId="3" fontId="23" fillId="40" borderId="27" xfId="0" applyNumberFormat="1" applyFont="1" applyFill="1" applyBorder="1" applyProtection="1">
      <protection locked="0"/>
    </xf>
    <xf numFmtId="167" fontId="29" fillId="40" borderId="47" xfId="0" applyNumberFormat="1" applyFont="1" applyFill="1" applyBorder="1" applyProtection="1">
      <protection locked="0"/>
    </xf>
    <xf numFmtId="167" fontId="23" fillId="40" borderId="47" xfId="0" applyNumberFormat="1" applyFont="1" applyFill="1" applyBorder="1" applyProtection="1">
      <protection locked="0"/>
    </xf>
    <xf numFmtId="0" fontId="13" fillId="38" borderId="27" xfId="0" applyFont="1" applyFill="1" applyBorder="1" applyProtection="1">
      <protection locked="0"/>
    </xf>
    <xf numFmtId="10" fontId="35" fillId="31" borderId="103" xfId="0" applyNumberFormat="1" applyFont="1" applyFill="1" applyBorder="1" applyProtection="1">
      <protection locked="0"/>
    </xf>
    <xf numFmtId="167" fontId="115" fillId="40" borderId="47" xfId="0" applyNumberFormat="1" applyFont="1" applyFill="1" applyBorder="1" applyProtection="1">
      <protection locked="0"/>
    </xf>
    <xf numFmtId="182" fontId="23" fillId="0" borderId="0" xfId="91" applyNumberFormat="1" applyFont="1"/>
    <xf numFmtId="172" fontId="111" fillId="0" borderId="0" xfId="84" applyNumberFormat="1" applyFont="1"/>
    <xf numFmtId="182" fontId="13" fillId="0" borderId="0" xfId="91" applyNumberFormat="1" applyFont="1"/>
    <xf numFmtId="0" fontId="0" fillId="0" borderId="0" xfId="0"/>
    <xf numFmtId="182" fontId="0" fillId="0" borderId="0" xfId="91" applyNumberFormat="1" applyFont="1" applyFill="1"/>
    <xf numFmtId="221" fontId="29" fillId="32" borderId="52" xfId="0" applyNumberFormat="1" applyFont="1" applyFill="1" applyBorder="1" applyAlignment="1" applyProtection="1">
      <alignment horizontal="center"/>
    </xf>
    <xf numFmtId="182" fontId="106" fillId="0" borderId="0" xfId="0" applyNumberFormat="1" applyFont="1" applyFill="1" applyProtection="1">
      <protection locked="0"/>
    </xf>
    <xf numFmtId="182" fontId="0" fillId="0" borderId="119" xfId="91" applyNumberFormat="1" applyFont="1" applyBorder="1"/>
    <xf numFmtId="0" fontId="3" fillId="0" borderId="0" xfId="267" applyFont="1" applyFill="1"/>
    <xf numFmtId="171" fontId="0" fillId="0" borderId="0" xfId="91" applyNumberFormat="1" applyFont="1"/>
    <xf numFmtId="170" fontId="0" fillId="0" borderId="0" xfId="0" applyNumberFormat="1"/>
    <xf numFmtId="182" fontId="0" fillId="0" borderId="119" xfId="0" applyNumberFormat="1" applyBorder="1"/>
    <xf numFmtId="0" fontId="21" fillId="0" borderId="47" xfId="0" applyNumberFormat="1" applyFont="1" applyBorder="1" applyAlignment="1" applyProtection="1">
      <alignment horizontal="center" vertical="center"/>
    </xf>
    <xf numFmtId="10" fontId="35" fillId="27" borderId="119" xfId="0" applyNumberFormat="1" applyFont="1" applyFill="1" applyBorder="1" applyProtection="1">
      <protection locked="0"/>
    </xf>
    <xf numFmtId="182" fontId="35" fillId="27" borderId="119" xfId="91" applyNumberFormat="1" applyFont="1" applyFill="1" applyBorder="1" applyProtection="1">
      <protection locked="0"/>
    </xf>
    <xf numFmtId="3" fontId="23" fillId="40" borderId="112" xfId="0" applyNumberFormat="1" applyFont="1" applyFill="1" applyBorder="1" applyProtection="1"/>
    <xf numFmtId="0" fontId="23" fillId="40" borderId="112" xfId="0" applyFont="1" applyFill="1" applyBorder="1" applyProtection="1">
      <protection locked="0"/>
    </xf>
    <xf numFmtId="0" fontId="13" fillId="40" borderId="112" xfId="0" applyFont="1" applyFill="1" applyBorder="1" applyProtection="1">
      <protection locked="0"/>
    </xf>
    <xf numFmtId="10" fontId="35" fillId="31" borderId="119" xfId="0" applyNumberFormat="1" applyFont="1" applyFill="1" applyBorder="1" applyProtection="1">
      <protection locked="0"/>
    </xf>
    <xf numFmtId="172" fontId="107" fillId="40" borderId="112" xfId="84" applyNumberFormat="1" applyFont="1" applyFill="1" applyBorder="1" applyProtection="1">
      <protection locked="0"/>
    </xf>
    <xf numFmtId="183" fontId="35" fillId="31" borderId="119" xfId="0" applyNumberFormat="1" applyFont="1" applyFill="1" applyBorder="1" applyProtection="1">
      <protection locked="0"/>
    </xf>
    <xf numFmtId="9" fontId="105" fillId="0" borderId="0" xfId="0" applyNumberFormat="1" applyFont="1" applyFill="1"/>
    <xf numFmtId="182" fontId="0" fillId="0" borderId="0" xfId="0" applyNumberFormat="1" applyFont="1" applyFill="1"/>
    <xf numFmtId="182" fontId="105" fillId="0" borderId="0" xfId="91" applyNumberFormat="1" applyFont="1" applyBorder="1"/>
    <xf numFmtId="182" fontId="105" fillId="42" borderId="0" xfId="91" applyNumberFormat="1" applyFont="1" applyFill="1" applyBorder="1"/>
    <xf numFmtId="182" fontId="105" fillId="71" borderId="0" xfId="91" applyNumberFormat="1" applyFont="1" applyFill="1"/>
    <xf numFmtId="171" fontId="32" fillId="24" borderId="0" xfId="91" applyFont="1" applyFill="1" applyProtection="1">
      <protection locked="0"/>
    </xf>
    <xf numFmtId="167" fontId="0" fillId="0" borderId="0" xfId="0" applyNumberFormat="1" applyFont="1" applyProtection="1">
      <protection locked="0"/>
    </xf>
    <xf numFmtId="172" fontId="0" fillId="0" borderId="0" xfId="0" applyNumberFormat="1" applyFont="1" applyFill="1" applyProtection="1">
      <protection locked="0"/>
    </xf>
    <xf numFmtId="9" fontId="0" fillId="0" borderId="0" xfId="84" applyFont="1" applyProtection="1"/>
    <xf numFmtId="9" fontId="106" fillId="0" borderId="0" xfId="84" applyFont="1" applyFill="1" applyProtection="1">
      <protection locked="0"/>
    </xf>
    <xf numFmtId="221" fontId="0" fillId="0" borderId="0" xfId="0" applyNumberFormat="1" applyProtection="1">
      <protection locked="0"/>
    </xf>
    <xf numFmtId="167" fontId="23" fillId="40" borderId="0" xfId="91" applyNumberFormat="1" applyFont="1" applyFill="1" applyProtection="1">
      <protection locked="0"/>
    </xf>
    <xf numFmtId="166" fontId="106" fillId="0" borderId="0" xfId="0" applyNumberFormat="1" applyFont="1" applyFill="1" applyProtection="1">
      <protection locked="0"/>
    </xf>
    <xf numFmtId="166" fontId="23" fillId="40" borderId="112" xfId="0" applyNumberFormat="1" applyFont="1" applyFill="1" applyBorder="1" applyProtection="1"/>
    <xf numFmtId="166" fontId="0" fillId="0" borderId="0" xfId="0" applyNumberFormat="1" applyFont="1" applyFill="1" applyProtection="1">
      <protection locked="0"/>
    </xf>
    <xf numFmtId="166" fontId="0" fillId="0" borderId="0" xfId="91" applyNumberFormat="1" applyFont="1" applyFill="1" applyProtection="1">
      <protection locked="0"/>
    </xf>
    <xf numFmtId="171" fontId="0" fillId="24" borderId="0" xfId="91" applyFont="1" applyFill="1" applyProtection="1">
      <protection locked="0"/>
    </xf>
    <xf numFmtId="0" fontId="29" fillId="26" borderId="18" xfId="0" applyFont="1" applyFill="1" applyBorder="1" applyAlignment="1" applyProtection="1">
      <alignment horizontal="left"/>
      <protection locked="0"/>
    </xf>
    <xf numFmtId="0" fontId="21" fillId="0" borderId="47" xfId="0" applyNumberFormat="1" applyFont="1" applyBorder="1" applyAlignment="1" applyProtection="1">
      <alignment horizontal="center" vertical="center"/>
    </xf>
    <xf numFmtId="0" fontId="0" fillId="38" borderId="0" xfId="0" applyFont="1" applyFill="1" applyProtection="1">
      <protection locked="0"/>
    </xf>
    <xf numFmtId="0" fontId="23" fillId="38" borderId="0" xfId="0" applyFont="1" applyFill="1" applyProtection="1">
      <protection locked="0"/>
    </xf>
    <xf numFmtId="0" fontId="23" fillId="38" borderId="39" xfId="0" applyFont="1" applyFill="1" applyBorder="1"/>
    <xf numFmtId="0" fontId="23" fillId="38" borderId="37" xfId="0" applyFont="1" applyFill="1" applyBorder="1" applyProtection="1">
      <protection locked="0"/>
    </xf>
    <xf numFmtId="171" fontId="23" fillId="38" borderId="37" xfId="91" applyFont="1" applyFill="1" applyBorder="1" applyProtection="1">
      <protection locked="0"/>
    </xf>
    <xf numFmtId="176" fontId="23" fillId="38" borderId="75" xfId="91" applyNumberFormat="1" applyFont="1" applyFill="1" applyBorder="1" applyAlignment="1">
      <alignment horizontal="center"/>
    </xf>
    <xf numFmtId="182" fontId="0" fillId="38" borderId="0" xfId="91" applyNumberFormat="1" applyFont="1" applyFill="1" applyProtection="1">
      <protection locked="0"/>
    </xf>
    <xf numFmtId="10" fontId="23" fillId="38" borderId="37" xfId="0" applyNumberFormat="1" applyFont="1" applyFill="1" applyBorder="1" applyProtection="1">
      <protection locked="0"/>
    </xf>
    <xf numFmtId="9" fontId="0" fillId="38" borderId="0" xfId="84" applyFont="1" applyFill="1" applyProtection="1">
      <protection locked="0"/>
    </xf>
    <xf numFmtId="167" fontId="0" fillId="38" borderId="0" xfId="0" applyNumberFormat="1" applyFont="1" applyFill="1" applyProtection="1">
      <protection locked="0"/>
    </xf>
    <xf numFmtId="172" fontId="0" fillId="38" borderId="0" xfId="0" applyNumberFormat="1" applyFont="1" applyFill="1" applyProtection="1">
      <protection locked="0"/>
    </xf>
    <xf numFmtId="0" fontId="13" fillId="38" borderId="0" xfId="0" applyFont="1" applyFill="1" applyProtection="1">
      <protection locked="0"/>
    </xf>
    <xf numFmtId="0" fontId="0" fillId="38" borderId="0" xfId="0" applyFill="1" applyProtection="1">
      <protection locked="0"/>
    </xf>
    <xf numFmtId="167" fontId="0" fillId="38" borderId="0" xfId="0" applyNumberFormat="1" applyFill="1" applyProtection="1">
      <protection locked="0"/>
    </xf>
    <xf numFmtId="172" fontId="0" fillId="38" borderId="0" xfId="0" applyNumberFormat="1" applyFill="1" applyProtection="1">
      <protection locked="0"/>
    </xf>
    <xf numFmtId="0" fontId="203" fillId="74" borderId="48" xfId="0" applyFont="1" applyFill="1" applyBorder="1" applyAlignment="1" applyProtection="1">
      <alignment horizontal="left"/>
    </xf>
    <xf numFmtId="0" fontId="203" fillId="74" borderId="49" xfId="0" applyFont="1" applyFill="1" applyBorder="1" applyAlignment="1" applyProtection="1">
      <alignment horizontal="center"/>
    </xf>
    <xf numFmtId="0" fontId="247" fillId="74" borderId="0" xfId="0" applyFont="1" applyFill="1" applyProtection="1"/>
    <xf numFmtId="182" fontId="105" fillId="0" borderId="126" xfId="91" applyNumberFormat="1" applyFont="1" applyBorder="1" applyAlignment="1"/>
    <xf numFmtId="0" fontId="107" fillId="76" borderId="37" xfId="0" applyFont="1" applyFill="1" applyBorder="1" applyProtection="1">
      <protection locked="0"/>
    </xf>
    <xf numFmtId="0" fontId="244" fillId="40" borderId="36" xfId="0" applyNumberFormat="1" applyFont="1" applyFill="1" applyBorder="1" applyAlignment="1" applyProtection="1">
      <alignment horizontal="center" vertical="center"/>
    </xf>
    <xf numFmtId="3" fontId="23" fillId="40" borderId="125" xfId="0" applyNumberFormat="1" applyFont="1" applyFill="1" applyBorder="1" applyProtection="1"/>
    <xf numFmtId="167" fontId="23" fillId="0" borderId="0" xfId="91" applyNumberFormat="1" applyFont="1" applyFill="1" applyProtection="1">
      <protection locked="0"/>
    </xf>
    <xf numFmtId="171" fontId="35" fillId="27" borderId="31" xfId="91" applyFont="1" applyFill="1" applyBorder="1" applyProtection="1">
      <protection locked="0"/>
    </xf>
    <xf numFmtId="166" fontId="248" fillId="0" borderId="0" xfId="0" applyNumberFormat="1" applyFont="1" applyFill="1" applyProtection="1">
      <protection locked="0"/>
    </xf>
    <xf numFmtId="182" fontId="13" fillId="24" borderId="0" xfId="0" applyNumberFormat="1" applyFont="1" applyFill="1" applyProtection="1">
      <protection locked="0"/>
    </xf>
    <xf numFmtId="171" fontId="23" fillId="24" borderId="20" xfId="91" applyFont="1" applyFill="1" applyBorder="1" applyProtection="1">
      <protection locked="0"/>
    </xf>
    <xf numFmtId="182" fontId="248" fillId="24" borderId="41" xfId="91" applyNumberFormat="1" applyFont="1" applyFill="1" applyBorder="1" applyProtection="1"/>
    <xf numFmtId="0" fontId="111" fillId="0" borderId="0" xfId="0" applyFont="1" applyAlignment="1"/>
    <xf numFmtId="0" fontId="105" fillId="0" borderId="0" xfId="0" applyFont="1" applyAlignment="1"/>
    <xf numFmtId="0" fontId="0" fillId="0" borderId="0" xfId="0" applyAlignment="1"/>
    <xf numFmtId="0" fontId="104" fillId="42" borderId="0" xfId="0" applyFont="1" applyFill="1" applyAlignment="1"/>
    <xf numFmtId="0" fontId="110" fillId="0" borderId="0" xfId="0" applyFont="1" applyAlignment="1"/>
    <xf numFmtId="0" fontId="197" fillId="0" borderId="0" xfId="0" applyFont="1" applyAlignment="1"/>
    <xf numFmtId="182" fontId="0" fillId="0" borderId="0" xfId="91" applyNumberFormat="1" applyFont="1" applyAlignment="1"/>
    <xf numFmtId="0" fontId="0" fillId="0" borderId="0" xfId="0" applyFill="1" applyAlignment="1"/>
    <xf numFmtId="0" fontId="0" fillId="0" borderId="33" xfId="0" applyBorder="1" applyAlignment="1"/>
    <xf numFmtId="172" fontId="109" fillId="0" borderId="0" xfId="84" applyNumberFormat="1" applyFont="1" applyAlignment="1"/>
    <xf numFmtId="0" fontId="134" fillId="0" borderId="0" xfId="0" applyFont="1" applyBorder="1" applyAlignment="1"/>
    <xf numFmtId="172" fontId="13" fillId="0" borderId="0" xfId="84" applyNumberFormat="1" applyFont="1" applyFill="1" applyProtection="1">
      <protection locked="0"/>
    </xf>
    <xf numFmtId="167" fontId="0" fillId="24" borderId="0" xfId="0" applyNumberFormat="1" applyFill="1" applyProtection="1">
      <protection locked="0"/>
    </xf>
    <xf numFmtId="183" fontId="0" fillId="24" borderId="0" xfId="0" applyNumberFormat="1" applyFill="1" applyProtection="1">
      <protection locked="0"/>
    </xf>
    <xf numFmtId="222" fontId="23" fillId="24" borderId="0" xfId="0" applyNumberFormat="1" applyFont="1" applyFill="1" applyProtection="1">
      <protection locked="0"/>
    </xf>
    <xf numFmtId="182" fontId="13" fillId="0" borderId="0" xfId="91" applyNumberFormat="1" applyFont="1" applyProtection="1">
      <protection locked="0"/>
    </xf>
    <xf numFmtId="0" fontId="0" fillId="24" borderId="0" xfId="0" applyFont="1" applyFill="1" applyProtection="1">
      <protection locked="0"/>
    </xf>
    <xf numFmtId="0" fontId="0" fillId="0" borderId="0" xfId="0" applyFont="1" applyProtection="1">
      <protection locked="0"/>
    </xf>
    <xf numFmtId="172" fontId="0" fillId="0" borderId="0" xfId="0" applyNumberFormat="1" applyFont="1" applyProtection="1">
      <protection locked="0"/>
    </xf>
    <xf numFmtId="167" fontId="0" fillId="0" borderId="0" xfId="0" applyNumberFormat="1" applyFont="1" applyFill="1" applyProtection="1">
      <protection locked="0"/>
    </xf>
    <xf numFmtId="182" fontId="104" fillId="0" borderId="0" xfId="91" applyNumberFormat="1" applyFont="1" applyFill="1" applyAlignment="1">
      <alignment horizontal="right"/>
    </xf>
    <xf numFmtId="10" fontId="109" fillId="0" borderId="0" xfId="84" applyNumberFormat="1" applyFont="1"/>
    <xf numFmtId="171" fontId="13" fillId="0" borderId="0" xfId="91" applyFont="1"/>
    <xf numFmtId="171" fontId="105" fillId="0" borderId="0" xfId="91" applyFont="1"/>
    <xf numFmtId="171" fontId="239" fillId="39" borderId="20" xfId="1143" applyFont="1" applyFill="1" applyBorder="1" applyAlignment="1">
      <alignment horizontal="center"/>
    </xf>
    <xf numFmtId="182" fontId="23" fillId="0" borderId="0" xfId="91" applyNumberFormat="1" applyFont="1" applyProtection="1">
      <protection locked="0"/>
    </xf>
    <xf numFmtId="9" fontId="23" fillId="0" borderId="0" xfId="84" applyFont="1" applyProtection="1">
      <protection locked="0"/>
    </xf>
    <xf numFmtId="167" fontId="23" fillId="0" borderId="0" xfId="0" applyNumberFormat="1" applyFont="1" applyProtection="1">
      <protection locked="0"/>
    </xf>
    <xf numFmtId="9" fontId="23" fillId="0" borderId="0" xfId="84" applyFont="1" applyFill="1" applyProtection="1">
      <protection locked="0"/>
    </xf>
    <xf numFmtId="172" fontId="23" fillId="0" borderId="0" xfId="0" applyNumberFormat="1" applyFont="1" applyFill="1" applyProtection="1">
      <protection locked="0"/>
    </xf>
    <xf numFmtId="0" fontId="249" fillId="0" borderId="0" xfId="0" applyFont="1" applyFill="1" applyProtection="1">
      <protection locked="0"/>
    </xf>
    <xf numFmtId="0" fontId="250" fillId="0" borderId="0" xfId="0" applyFont="1" applyFill="1" applyProtection="1">
      <protection locked="0"/>
    </xf>
    <xf numFmtId="182" fontId="249" fillId="0" borderId="0" xfId="91" applyNumberFormat="1" applyFont="1" applyProtection="1">
      <protection locked="0"/>
    </xf>
    <xf numFmtId="10" fontId="250" fillId="0" borderId="37" xfId="0" applyNumberFormat="1" applyFont="1" applyFill="1" applyBorder="1" applyProtection="1">
      <protection locked="0"/>
    </xf>
    <xf numFmtId="171" fontId="250" fillId="0" borderId="37" xfId="91" applyFont="1" applyFill="1" applyBorder="1" applyProtection="1">
      <protection locked="0"/>
    </xf>
    <xf numFmtId="9" fontId="249" fillId="0" borderId="0" xfId="84" applyFont="1" applyProtection="1">
      <protection locked="0"/>
    </xf>
    <xf numFmtId="167" fontId="249" fillId="0" borderId="0" xfId="0" applyNumberFormat="1" applyFont="1" applyProtection="1">
      <protection locked="0"/>
    </xf>
    <xf numFmtId="9" fontId="249" fillId="0" borderId="0" xfId="84" applyFont="1" applyFill="1" applyProtection="1">
      <protection locked="0"/>
    </xf>
    <xf numFmtId="172" fontId="249" fillId="0" borderId="0" xfId="0" applyNumberFormat="1" applyFont="1" applyFill="1" applyProtection="1">
      <protection locked="0"/>
    </xf>
    <xf numFmtId="167" fontId="13" fillId="0" borderId="0" xfId="0" applyNumberFormat="1" applyFont="1" applyFill="1" applyProtection="1">
      <protection locked="0"/>
    </xf>
    <xf numFmtId="3" fontId="107" fillId="0" borderId="125" xfId="0" applyNumberFormat="1" applyFont="1" applyFill="1" applyBorder="1" applyProtection="1">
      <protection locked="0"/>
    </xf>
    <xf numFmtId="10" fontId="252" fillId="31" borderId="125" xfId="0" applyNumberFormat="1" applyFont="1" applyFill="1" applyBorder="1" applyProtection="1">
      <protection locked="0"/>
    </xf>
    <xf numFmtId="3" fontId="107" fillId="40" borderId="125" xfId="0" applyNumberFormat="1" applyFont="1" applyFill="1" applyBorder="1" applyProtection="1">
      <protection locked="0"/>
    </xf>
    <xf numFmtId="10" fontId="252" fillId="73" borderId="125" xfId="0" applyNumberFormat="1" applyFont="1" applyFill="1" applyBorder="1" applyProtection="1">
      <protection locked="0"/>
    </xf>
    <xf numFmtId="3" fontId="23" fillId="0" borderId="125" xfId="0" applyNumberFormat="1" applyFont="1" applyFill="1" applyBorder="1" applyProtection="1">
      <protection locked="0"/>
    </xf>
    <xf numFmtId="10" fontId="35" fillId="31" borderId="125" xfId="0" applyNumberFormat="1" applyFont="1" applyFill="1" applyBorder="1" applyProtection="1">
      <protection locked="0"/>
    </xf>
    <xf numFmtId="172" fontId="107" fillId="40" borderId="127" xfId="84" applyNumberFormat="1" applyFont="1" applyFill="1" applyBorder="1" applyProtection="1">
      <protection locked="0"/>
    </xf>
    <xf numFmtId="10" fontId="35" fillId="31" borderId="126" xfId="0" applyNumberFormat="1" applyFont="1" applyFill="1" applyBorder="1" applyProtection="1">
      <protection locked="0"/>
    </xf>
    <xf numFmtId="167" fontId="115" fillId="71" borderId="36" xfId="0" applyNumberFormat="1" applyFont="1" applyFill="1" applyBorder="1" applyProtection="1">
      <protection locked="0"/>
    </xf>
    <xf numFmtId="3" fontId="23" fillId="40" borderId="112" xfId="0" applyNumberFormat="1" applyFont="1" applyFill="1" applyBorder="1" applyProtection="1">
      <protection locked="0"/>
    </xf>
    <xf numFmtId="10" fontId="35" fillId="73" borderId="112" xfId="0" applyNumberFormat="1" applyFont="1" applyFill="1" applyBorder="1" applyProtection="1">
      <protection locked="0"/>
    </xf>
    <xf numFmtId="3" fontId="23" fillId="0" borderId="112" xfId="0" applyNumberFormat="1" applyFont="1" applyFill="1" applyBorder="1" applyProtection="1">
      <protection locked="0"/>
    </xf>
    <xf numFmtId="10" fontId="35" fillId="31" borderId="112" xfId="0" applyNumberFormat="1" applyFont="1" applyFill="1" applyBorder="1" applyProtection="1">
      <protection locked="0"/>
    </xf>
    <xf numFmtId="10" fontId="252" fillId="31" borderId="112" xfId="0" applyNumberFormat="1" applyFont="1" applyFill="1" applyBorder="1" applyProtection="1">
      <protection locked="0"/>
    </xf>
    <xf numFmtId="167" fontId="107" fillId="24" borderId="30" xfId="0" applyNumberFormat="1" applyFont="1" applyFill="1" applyBorder="1" applyProtection="1">
      <protection locked="0"/>
    </xf>
    <xf numFmtId="167" fontId="107" fillId="24" borderId="32" xfId="0" applyNumberFormat="1" applyFont="1" applyFill="1" applyBorder="1" applyProtection="1">
      <protection locked="0"/>
    </xf>
    <xf numFmtId="167" fontId="107" fillId="24" borderId="34" xfId="0" applyNumberFormat="1" applyFont="1" applyFill="1" applyBorder="1" applyProtection="1">
      <protection locked="0"/>
    </xf>
    <xf numFmtId="167" fontId="107" fillId="24" borderId="47" xfId="0" applyNumberFormat="1" applyFont="1" applyFill="1" applyBorder="1" applyProtection="1">
      <protection locked="0"/>
    </xf>
    <xf numFmtId="167" fontId="107" fillId="40" borderId="47" xfId="0" applyNumberFormat="1" applyFont="1" applyFill="1" applyBorder="1" applyProtection="1">
      <protection locked="0"/>
    </xf>
    <xf numFmtId="182" fontId="106" fillId="0" borderId="0" xfId="91" applyNumberFormat="1" applyFont="1" applyFill="1"/>
    <xf numFmtId="0" fontId="2" fillId="0" borderId="0" xfId="1267" applyFill="1"/>
    <xf numFmtId="223" fontId="29" fillId="32" borderId="52" xfId="0" applyNumberFormat="1" applyFont="1" applyFill="1" applyBorder="1" applyAlignment="1" applyProtection="1">
      <alignment horizontal="center"/>
    </xf>
    <xf numFmtId="223" fontId="0" fillId="24" borderId="0" xfId="0" applyNumberFormat="1" applyFill="1" applyProtection="1">
      <protection locked="0"/>
    </xf>
    <xf numFmtId="223" fontId="23" fillId="24" borderId="0" xfId="0" applyNumberFormat="1" applyFont="1" applyFill="1" applyBorder="1" applyProtection="1">
      <protection locked="0"/>
    </xf>
    <xf numFmtId="223" fontId="41" fillId="26" borderId="17" xfId="0" applyNumberFormat="1" applyFont="1" applyFill="1" applyBorder="1" applyAlignment="1" applyProtection="1">
      <alignment horizontal="right"/>
      <protection locked="0"/>
    </xf>
    <xf numFmtId="167" fontId="23" fillId="0" borderId="0" xfId="0" applyNumberFormat="1" applyFont="1" applyFill="1" applyProtection="1">
      <protection locked="0"/>
    </xf>
    <xf numFmtId="173" fontId="29" fillId="32" borderId="52" xfId="0" applyNumberFormat="1" applyFont="1" applyFill="1" applyBorder="1" applyAlignment="1" applyProtection="1">
      <alignment horizontal="center"/>
    </xf>
    <xf numFmtId="167" fontId="107" fillId="40" borderId="0" xfId="91" applyNumberFormat="1" applyFont="1" applyFill="1" applyProtection="1">
      <protection locked="0"/>
    </xf>
    <xf numFmtId="10" fontId="252" fillId="27" borderId="0" xfId="0" applyNumberFormat="1" applyFont="1" applyFill="1" applyBorder="1" applyProtection="1">
      <protection locked="0"/>
    </xf>
    <xf numFmtId="10" fontId="252" fillId="27" borderId="31" xfId="0" applyNumberFormat="1" applyFont="1" applyFill="1" applyBorder="1" applyProtection="1">
      <protection locked="0"/>
    </xf>
    <xf numFmtId="9" fontId="13" fillId="24" borderId="41" xfId="84" applyFont="1" applyFill="1" applyBorder="1" applyProtection="1"/>
    <xf numFmtId="9" fontId="13" fillId="24" borderId="0" xfId="84" applyFont="1" applyFill="1" applyProtection="1">
      <protection locked="0"/>
    </xf>
    <xf numFmtId="182" fontId="134" fillId="0" borderId="0" xfId="91" applyNumberFormat="1" applyFont="1" applyFill="1"/>
    <xf numFmtId="0" fontId="84" fillId="24" borderId="0" xfId="1129" applyFont="1" applyFill="1"/>
    <xf numFmtId="2" fontId="84" fillId="43" borderId="20" xfId="1129" applyNumberFormat="1" applyFill="1" applyBorder="1"/>
    <xf numFmtId="0" fontId="42" fillId="24" borderId="0" xfId="1129" applyFont="1" applyFill="1"/>
    <xf numFmtId="9" fontId="84" fillId="24" borderId="0" xfId="1129" applyNumberFormat="1" applyFill="1"/>
    <xf numFmtId="10" fontId="84" fillId="24" borderId="0" xfId="1129" applyNumberFormat="1" applyFill="1"/>
    <xf numFmtId="0" fontId="239" fillId="24" borderId="0" xfId="1129" applyFont="1" applyFill="1" applyAlignment="1">
      <alignment horizontal="right"/>
    </xf>
    <xf numFmtId="0" fontId="84" fillId="0" borderId="0" xfId="1129" applyFill="1" applyBorder="1"/>
    <xf numFmtId="0" fontId="239" fillId="24" borderId="0" xfId="1129" applyFont="1" applyFill="1"/>
    <xf numFmtId="172" fontId="239" fillId="24" borderId="0" xfId="1129" applyNumberFormat="1" applyFont="1" applyFill="1"/>
    <xf numFmtId="0" fontId="84" fillId="24" borderId="11" xfId="1129" applyFill="1" applyBorder="1"/>
    <xf numFmtId="0" fontId="84" fillId="24" borderId="128" xfId="1129" applyFill="1" applyBorder="1"/>
    <xf numFmtId="0" fontId="84" fillId="24" borderId="129" xfId="1129" applyFill="1" applyBorder="1"/>
    <xf numFmtId="0" fontId="84" fillId="24" borderId="14" xfId="1129" applyFill="1" applyBorder="1"/>
    <xf numFmtId="178" fontId="241" fillId="24" borderId="0" xfId="1129" applyNumberFormat="1" applyFont="1" applyFill="1" applyBorder="1" applyAlignment="1">
      <alignment horizontal="center"/>
    </xf>
    <xf numFmtId="172" fontId="239" fillId="24" borderId="0" xfId="1129" applyNumberFormat="1" applyFont="1" applyFill="1" applyBorder="1" applyAlignment="1">
      <alignment horizontal="center"/>
    </xf>
    <xf numFmtId="180" fontId="241" fillId="24" borderId="0" xfId="1129" applyNumberFormat="1" applyFont="1" applyFill="1" applyBorder="1" applyAlignment="1">
      <alignment horizontal="center"/>
    </xf>
    <xf numFmtId="2" fontId="239" fillId="24" borderId="0" xfId="1129" applyNumberFormat="1" applyFont="1" applyFill="1" applyBorder="1" applyAlignment="1">
      <alignment horizontal="center"/>
    </xf>
    <xf numFmtId="181" fontId="241" fillId="24" borderId="0" xfId="1129" applyNumberFormat="1" applyFont="1" applyFill="1" applyBorder="1" applyAlignment="1">
      <alignment horizontal="center"/>
    </xf>
    <xf numFmtId="2" fontId="242" fillId="24" borderId="0" xfId="1129" applyNumberFormat="1" applyFont="1" applyFill="1" applyBorder="1" applyAlignment="1">
      <alignment horizontal="center"/>
    </xf>
    <xf numFmtId="2" fontId="241" fillId="24" borderId="0" xfId="1129" applyNumberFormat="1" applyFont="1" applyFill="1" applyBorder="1" applyAlignment="1">
      <alignment horizontal="center"/>
    </xf>
    <xf numFmtId="10" fontId="239" fillId="24" borderId="0" xfId="1129" applyNumberFormat="1" applyFont="1" applyFill="1" applyBorder="1" applyAlignment="1">
      <alignment vertical="center"/>
    </xf>
    <xf numFmtId="10" fontId="239" fillId="24" borderId="0" xfId="1129" applyNumberFormat="1" applyFont="1" applyFill="1" applyBorder="1" applyAlignment="1">
      <alignment horizontal="center" vertical="center"/>
    </xf>
    <xf numFmtId="0" fontId="84" fillId="24" borderId="10" xfId="1129" applyFill="1" applyBorder="1"/>
    <xf numFmtId="0" fontId="21" fillId="25" borderId="0" xfId="1129" applyFont="1" applyFill="1" applyBorder="1" applyAlignment="1">
      <alignment vertical="center"/>
    </xf>
    <xf numFmtId="0" fontId="39" fillId="25" borderId="0" xfId="1129" applyFont="1" applyFill="1" applyBorder="1" applyAlignment="1">
      <alignment horizontal="center" vertical="justify"/>
    </xf>
    <xf numFmtId="0" fontId="39" fillId="24" borderId="0" xfId="1129" applyFont="1" applyFill="1" applyBorder="1" applyAlignment="1">
      <alignment horizontal="center" vertical="justify"/>
    </xf>
    <xf numFmtId="10" fontId="21" fillId="24" borderId="0" xfId="1129" applyNumberFormat="1" applyFont="1" applyFill="1" applyBorder="1" applyAlignment="1">
      <alignment horizontal="center" vertical="center"/>
    </xf>
    <xf numFmtId="0" fontId="21" fillId="24" borderId="0" xfId="1129" applyFont="1" applyFill="1" applyBorder="1" applyAlignment="1">
      <alignment vertical="center"/>
    </xf>
    <xf numFmtId="2" fontId="84" fillId="24" borderId="0" xfId="1129" applyNumberFormat="1" applyFill="1" applyBorder="1"/>
    <xf numFmtId="0" fontId="21" fillId="24" borderId="0" xfId="1129" applyFont="1" applyFill="1" applyBorder="1"/>
    <xf numFmtId="184" fontId="41" fillId="26" borderId="0" xfId="1129" applyNumberFormat="1" applyFont="1" applyFill="1" applyBorder="1" applyAlignment="1">
      <alignment horizontal="center"/>
    </xf>
    <xf numFmtId="172" fontId="21" fillId="30" borderId="0" xfId="1129" applyNumberFormat="1" applyFont="1" applyFill="1" applyBorder="1" applyAlignment="1">
      <alignment horizontal="center"/>
    </xf>
    <xf numFmtId="180" fontId="41" fillId="30" borderId="0" xfId="1129" applyNumberFormat="1" applyFont="1" applyFill="1" applyBorder="1" applyAlignment="1">
      <alignment horizontal="center"/>
    </xf>
    <xf numFmtId="2" fontId="21" fillId="24" borderId="0" xfId="1129" applyNumberFormat="1" applyFont="1" applyFill="1" applyBorder="1" applyAlignment="1">
      <alignment horizontal="center"/>
    </xf>
    <xf numFmtId="2" fontId="43" fillId="26" borderId="0" xfId="1129" applyNumberFormat="1" applyFont="1" applyFill="1" applyBorder="1" applyAlignment="1">
      <alignment horizontal="center"/>
    </xf>
    <xf numFmtId="172" fontId="21" fillId="24" borderId="0" xfId="1129" applyNumberFormat="1" applyFont="1" applyFill="1" applyBorder="1" applyAlignment="1">
      <alignment horizontal="center"/>
    </xf>
    <xf numFmtId="2" fontId="41" fillId="26" borderId="0" xfId="1129" applyNumberFormat="1" applyFont="1" applyFill="1" applyBorder="1" applyAlignment="1">
      <alignment horizontal="center"/>
    </xf>
    <xf numFmtId="2" fontId="43" fillId="24" borderId="0" xfId="1129" applyNumberFormat="1" applyFont="1" applyFill="1" applyBorder="1" applyAlignment="1">
      <alignment horizontal="center"/>
    </xf>
    <xf numFmtId="10" fontId="21" fillId="24" borderId="130" xfId="1129" applyNumberFormat="1" applyFont="1" applyFill="1" applyBorder="1" applyAlignment="1">
      <alignment horizontal="center" vertical="center"/>
    </xf>
    <xf numFmtId="178" fontId="41" fillId="24" borderId="0" xfId="1129" applyNumberFormat="1" applyFont="1" applyFill="1" applyBorder="1" applyAlignment="1">
      <alignment horizontal="center"/>
    </xf>
    <xf numFmtId="180" fontId="41" fillId="24" borderId="0" xfId="1129" applyNumberFormat="1" applyFont="1" applyFill="1" applyBorder="1" applyAlignment="1">
      <alignment horizontal="center"/>
    </xf>
    <xf numFmtId="181" fontId="41" fillId="24" borderId="0" xfId="1129" applyNumberFormat="1" applyFont="1" applyFill="1" applyBorder="1" applyAlignment="1">
      <alignment horizontal="center"/>
    </xf>
    <xf numFmtId="2" fontId="41" fillId="24" borderId="0" xfId="1129" applyNumberFormat="1" applyFont="1" applyFill="1" applyBorder="1" applyAlignment="1">
      <alignment horizontal="center"/>
    </xf>
    <xf numFmtId="10" fontId="21" fillId="24" borderId="0" xfId="1129" applyNumberFormat="1" applyFont="1" applyFill="1" applyBorder="1" applyAlignment="1">
      <alignment vertical="center"/>
    </xf>
    <xf numFmtId="10" fontId="21" fillId="24" borderId="130" xfId="96" applyNumberFormat="1" applyFont="1" applyFill="1" applyBorder="1" applyAlignment="1">
      <alignment horizontal="center" vertical="center"/>
    </xf>
    <xf numFmtId="0" fontId="84" fillId="24" borderId="131" xfId="1129" applyFill="1" applyBorder="1"/>
    <xf numFmtId="0" fontId="239" fillId="24" borderId="132" xfId="1129" applyFont="1" applyFill="1" applyBorder="1"/>
    <xf numFmtId="0" fontId="84" fillId="24" borderId="132" xfId="1129" applyFill="1" applyBorder="1"/>
    <xf numFmtId="172" fontId="239" fillId="24" borderId="132" xfId="1129" applyNumberFormat="1" applyFont="1" applyFill="1" applyBorder="1"/>
    <xf numFmtId="0" fontId="84" fillId="24" borderId="133" xfId="1129" applyFill="1" applyBorder="1"/>
    <xf numFmtId="171" fontId="239" fillId="77" borderId="20" xfId="1143" applyFont="1" applyFill="1" applyBorder="1" applyAlignment="1">
      <alignment horizontal="center"/>
    </xf>
    <xf numFmtId="171" fontId="239" fillId="78" borderId="20" xfId="1143" applyFont="1" applyFill="1" applyBorder="1" applyAlignment="1">
      <alignment horizontal="center"/>
    </xf>
    <xf numFmtId="171" fontId="239" fillId="42" borderId="20" xfId="1143" applyFont="1" applyFill="1" applyBorder="1" applyAlignment="1">
      <alignment horizontal="center"/>
    </xf>
    <xf numFmtId="224" fontId="239" fillId="77" borderId="20" xfId="1143" applyNumberFormat="1" applyFont="1" applyFill="1" applyBorder="1" applyAlignment="1">
      <alignment horizontal="center"/>
    </xf>
    <xf numFmtId="224" fontId="239" fillId="78" borderId="20" xfId="1143" applyNumberFormat="1" applyFont="1" applyFill="1" applyBorder="1" applyAlignment="1">
      <alignment horizontal="center"/>
    </xf>
    <xf numFmtId="0" fontId="0" fillId="24" borderId="0" xfId="0" applyFill="1" applyAlignment="1">
      <alignment horizontal="right"/>
    </xf>
    <xf numFmtId="224" fontId="239" fillId="42" borderId="20" xfId="1143" applyNumberFormat="1" applyFont="1" applyFill="1" applyBorder="1" applyAlignment="1">
      <alignment horizontal="right"/>
    </xf>
    <xf numFmtId="0" fontId="84" fillId="0" borderId="0" xfId="1129" applyFill="1" applyAlignment="1"/>
    <xf numFmtId="0" fontId="0" fillId="24" borderId="134" xfId="0" applyFill="1" applyBorder="1"/>
    <xf numFmtId="0" fontId="0" fillId="24" borderId="128" xfId="0" applyFill="1" applyBorder="1"/>
    <xf numFmtId="0" fontId="0" fillId="24" borderId="129" xfId="0" applyFill="1" applyBorder="1"/>
    <xf numFmtId="0" fontId="0" fillId="24" borderId="131" xfId="0" applyFill="1" applyBorder="1"/>
    <xf numFmtId="0" fontId="239" fillId="24" borderId="132" xfId="0" applyFont="1" applyFill="1" applyBorder="1"/>
    <xf numFmtId="0" fontId="0" fillId="24" borderId="132" xfId="0" applyFill="1" applyBorder="1"/>
    <xf numFmtId="172" fontId="239" fillId="24" borderId="132" xfId="0" applyNumberFormat="1" applyFont="1" applyFill="1" applyBorder="1"/>
    <xf numFmtId="0" fontId="0" fillId="24" borderId="133" xfId="0" applyFill="1" applyBorder="1"/>
    <xf numFmtId="0" fontId="16" fillId="24" borderId="135" xfId="0" applyFont="1" applyFill="1" applyBorder="1"/>
    <xf numFmtId="0" fontId="0" fillId="24" borderId="135" xfId="0" applyFill="1" applyBorder="1"/>
    <xf numFmtId="2" fontId="240" fillId="24" borderId="135" xfId="0" applyNumberFormat="1" applyFont="1" applyFill="1" applyBorder="1" applyAlignment="1">
      <alignment horizontal="center"/>
    </xf>
    <xf numFmtId="10" fontId="239" fillId="24" borderId="130" xfId="0" applyNumberFormat="1" applyFont="1" applyFill="1" applyBorder="1" applyAlignment="1">
      <alignment horizontal="center" vertical="center"/>
    </xf>
    <xf numFmtId="171" fontId="239" fillId="78" borderId="136" xfId="1143" applyFont="1" applyFill="1" applyBorder="1" applyAlignment="1">
      <alignment horizontal="center"/>
    </xf>
    <xf numFmtId="171" fontId="239" fillId="39" borderId="136" xfId="1143" applyFont="1" applyFill="1" applyBorder="1" applyAlignment="1">
      <alignment horizontal="center"/>
    </xf>
    <xf numFmtId="171" fontId="239" fillId="42" borderId="136" xfId="1143" applyFont="1" applyFill="1" applyBorder="1" applyAlignment="1">
      <alignment horizontal="center"/>
    </xf>
    <xf numFmtId="225" fontId="239" fillId="77" borderId="20" xfId="1143" applyNumberFormat="1" applyFont="1" applyFill="1" applyBorder="1" applyAlignment="1">
      <alignment horizontal="center"/>
    </xf>
    <xf numFmtId="225" fontId="239" fillId="78" borderId="20" xfId="1143" applyNumberFormat="1" applyFont="1" applyFill="1" applyBorder="1" applyAlignment="1">
      <alignment horizontal="center"/>
    </xf>
    <xf numFmtId="225" fontId="239" fillId="39" borderId="20" xfId="1143" applyNumberFormat="1" applyFont="1" applyFill="1" applyBorder="1" applyAlignment="1">
      <alignment horizontal="right"/>
    </xf>
    <xf numFmtId="0" fontId="23" fillId="0" borderId="74" xfId="0" applyFont="1" applyFill="1" applyBorder="1" applyAlignment="1" applyProtection="1">
      <alignment horizontal="center" vertical="justify"/>
    </xf>
    <xf numFmtId="0" fontId="23" fillId="0" borderId="54" xfId="0" applyFont="1" applyFill="1" applyBorder="1" applyAlignment="1" applyProtection="1">
      <alignment horizontal="center" vertical="justify"/>
    </xf>
    <xf numFmtId="0" fontId="23" fillId="0" borderId="53" xfId="0" applyFont="1" applyFill="1" applyBorder="1" applyAlignment="1" applyProtection="1">
      <alignment horizontal="center" vertical="justify"/>
    </xf>
    <xf numFmtId="0" fontId="21" fillId="0" borderId="30" xfId="0" applyNumberFormat="1" applyFont="1" applyFill="1" applyBorder="1" applyAlignment="1" applyProtection="1">
      <alignment horizontal="left" vertical="center"/>
    </xf>
    <xf numFmtId="182" fontId="13" fillId="39" borderId="0" xfId="91" applyNumberFormat="1" applyFont="1" applyFill="1" applyProtection="1">
      <protection locked="0"/>
    </xf>
    <xf numFmtId="0" fontId="13" fillId="39" borderId="0" xfId="0" applyFont="1" applyFill="1" applyProtection="1">
      <protection locked="0"/>
    </xf>
    <xf numFmtId="172" fontId="33" fillId="24" borderId="125" xfId="84" applyNumberFormat="1" applyFont="1" applyFill="1" applyBorder="1" applyProtection="1">
      <protection locked="0"/>
    </xf>
    <xf numFmtId="172" fontId="0" fillId="24" borderId="0" xfId="84" applyNumberFormat="1" applyFont="1" applyFill="1" applyProtection="1">
      <protection locked="0"/>
    </xf>
    <xf numFmtId="182" fontId="23" fillId="24" borderId="20" xfId="91" applyNumberFormat="1" applyFont="1" applyFill="1" applyBorder="1" applyProtection="1">
      <protection locked="0"/>
    </xf>
    <xf numFmtId="182" fontId="13" fillId="0" borderId="35" xfId="0" applyNumberFormat="1" applyFont="1" applyFill="1" applyBorder="1" applyProtection="1">
      <protection locked="0"/>
    </xf>
    <xf numFmtId="182" fontId="13" fillId="0" borderId="0" xfId="0" applyNumberFormat="1" applyFont="1" applyFill="1" applyBorder="1" applyProtection="1">
      <protection locked="0"/>
    </xf>
    <xf numFmtId="223" fontId="0" fillId="24" borderId="0" xfId="0" applyNumberFormat="1" applyFill="1" applyProtection="1"/>
    <xf numFmtId="0" fontId="0" fillId="0" borderId="0" xfId="0" applyFont="1" applyFill="1" applyBorder="1"/>
    <xf numFmtId="0" fontId="21" fillId="40" borderId="76" xfId="0" applyNumberFormat="1" applyFont="1" applyFill="1" applyBorder="1" applyAlignment="1" applyProtection="1">
      <alignment vertical="center"/>
    </xf>
    <xf numFmtId="9" fontId="13" fillId="0" borderId="0" xfId="0" applyNumberFormat="1" applyFont="1" applyFill="1" applyProtection="1">
      <protection locked="0"/>
    </xf>
    <xf numFmtId="9" fontId="0" fillId="0" borderId="0" xfId="84" applyNumberFormat="1" applyFont="1"/>
    <xf numFmtId="182" fontId="0" fillId="81" borderId="0" xfId="91" applyNumberFormat="1" applyFont="1" applyFill="1"/>
    <xf numFmtId="0" fontId="21" fillId="0" borderId="47" xfId="0" applyNumberFormat="1" applyFont="1" applyBorder="1" applyAlignment="1" applyProtection="1">
      <alignment horizontal="center" vertical="center"/>
    </xf>
    <xf numFmtId="172" fontId="111" fillId="0" borderId="0" xfId="84" applyNumberFormat="1" applyFont="1" applyFill="1"/>
    <xf numFmtId="182" fontId="111" fillId="0" borderId="0" xfId="0" applyNumberFormat="1" applyFont="1" applyFill="1"/>
    <xf numFmtId="172" fontId="111" fillId="0" borderId="0" xfId="0" applyNumberFormat="1" applyFont="1" applyFill="1"/>
    <xf numFmtId="172" fontId="104" fillId="0" borderId="0" xfId="84" applyNumberFormat="1" applyFont="1" applyFill="1" applyAlignment="1"/>
    <xf numFmtId="0" fontId="238" fillId="0" borderId="0" xfId="0" applyFont="1" applyFill="1"/>
    <xf numFmtId="182" fontId="253" fillId="0" borderId="0" xfId="91" applyNumberFormat="1" applyFont="1" applyFill="1"/>
    <xf numFmtId="172" fontId="197" fillId="0" borderId="0" xfId="84" applyNumberFormat="1" applyFont="1" applyFill="1"/>
    <xf numFmtId="0" fontId="197" fillId="0" borderId="0" xfId="0" applyFont="1" applyFill="1"/>
    <xf numFmtId="182" fontId="198" fillId="0" borderId="0" xfId="0" applyNumberFormat="1" applyFont="1" applyFill="1"/>
    <xf numFmtId="172" fontId="198" fillId="0" borderId="0" xfId="0" applyNumberFormat="1" applyFont="1" applyFill="1"/>
    <xf numFmtId="0" fontId="198" fillId="0" borderId="0" xfId="0" applyFont="1" applyFill="1"/>
    <xf numFmtId="172" fontId="105" fillId="0" borderId="0" xfId="91" applyNumberFormat="1" applyFont="1" applyFill="1"/>
    <xf numFmtId="187" fontId="106" fillId="0" borderId="33" xfId="0" applyNumberFormat="1" applyFont="1" applyFill="1" applyBorder="1"/>
    <xf numFmtId="187" fontId="0" fillId="0" borderId="33" xfId="0" applyNumberFormat="1" applyFill="1" applyBorder="1"/>
    <xf numFmtId="172" fontId="0" fillId="0" borderId="33" xfId="84" applyNumberFormat="1" applyFont="1" applyFill="1" applyBorder="1"/>
    <xf numFmtId="182" fontId="116" fillId="0" borderId="0" xfId="91" applyNumberFormat="1" applyFont="1" applyFill="1"/>
    <xf numFmtId="172" fontId="116" fillId="0" borderId="0" xfId="84" applyNumberFormat="1" applyFont="1" applyFill="1"/>
    <xf numFmtId="172" fontId="0" fillId="0" borderId="0" xfId="0" applyNumberFormat="1" applyFill="1"/>
    <xf numFmtId="171" fontId="0" fillId="0" borderId="0" xfId="91" applyFont="1" applyFill="1"/>
    <xf numFmtId="226" fontId="0" fillId="0" borderId="0" xfId="91" applyNumberFormat="1" applyFont="1"/>
    <xf numFmtId="182" fontId="0" fillId="24" borderId="41" xfId="91" applyNumberFormat="1" applyFont="1" applyFill="1" applyBorder="1" applyProtection="1"/>
    <xf numFmtId="0" fontId="0" fillId="24" borderId="0" xfId="0" applyFont="1" applyFill="1" applyBorder="1" applyProtection="1"/>
    <xf numFmtId="0" fontId="0" fillId="24" borderId="0" xfId="0" applyFont="1" applyFill="1" applyProtection="1"/>
    <xf numFmtId="0" fontId="0" fillId="40" borderId="77" xfId="0" applyFont="1" applyFill="1" applyBorder="1" applyAlignment="1">
      <alignment vertical="center"/>
    </xf>
    <xf numFmtId="0" fontId="0" fillId="0" borderId="0" xfId="0" applyFont="1" applyFill="1" applyProtection="1"/>
    <xf numFmtId="182" fontId="0" fillId="0" borderId="0" xfId="91" applyNumberFormat="1" applyFont="1" applyFill="1" applyProtection="1"/>
    <xf numFmtId="182" fontId="244" fillId="40" borderId="36" xfId="91" applyNumberFormat="1" applyFont="1" applyFill="1" applyBorder="1" applyAlignment="1" applyProtection="1">
      <alignment horizontal="center" vertical="center"/>
    </xf>
    <xf numFmtId="167" fontId="21" fillId="26" borderId="38" xfId="0" applyNumberFormat="1" applyFont="1" applyFill="1" applyBorder="1" applyAlignment="1" applyProtection="1">
      <alignment horizontal="right"/>
      <protection locked="0"/>
    </xf>
    <xf numFmtId="223" fontId="21" fillId="26" borderId="17" xfId="0" applyNumberFormat="1" applyFont="1" applyFill="1" applyBorder="1" applyAlignment="1" applyProtection="1">
      <alignment horizontal="right"/>
      <protection locked="0"/>
    </xf>
    <xf numFmtId="0" fontId="107" fillId="24" borderId="0" xfId="0" applyFont="1" applyFill="1" applyBorder="1" applyProtection="1"/>
    <xf numFmtId="0" fontId="107" fillId="24" borderId="36" xfId="0" applyFont="1" applyFill="1" applyBorder="1" applyProtection="1"/>
    <xf numFmtId="0" fontId="244" fillId="25" borderId="47" xfId="0" applyNumberFormat="1" applyFont="1" applyFill="1" applyBorder="1" applyAlignment="1" applyProtection="1">
      <alignment horizontal="left" vertical="center"/>
    </xf>
    <xf numFmtId="167" fontId="107" fillId="27" borderId="47" xfId="0" applyNumberFormat="1" applyFont="1" applyFill="1" applyBorder="1" applyProtection="1"/>
    <xf numFmtId="10" fontId="252" fillId="27" borderId="47" xfId="0" applyNumberFormat="1" applyFont="1" applyFill="1" applyBorder="1" applyProtection="1">
      <protection locked="0"/>
    </xf>
    <xf numFmtId="167" fontId="107" fillId="24" borderId="47" xfId="0" applyNumberFormat="1" applyFont="1" applyFill="1" applyBorder="1" applyProtection="1"/>
    <xf numFmtId="10" fontId="252" fillId="24" borderId="47" xfId="0" applyNumberFormat="1" applyFont="1" applyFill="1" applyBorder="1" applyProtection="1">
      <protection locked="0"/>
    </xf>
    <xf numFmtId="0" fontId="106" fillId="24" borderId="27" xfId="0" applyFont="1" applyFill="1" applyBorder="1" applyProtection="1">
      <protection locked="0"/>
    </xf>
    <xf numFmtId="3" fontId="106" fillId="0" borderId="0" xfId="0" applyNumberFormat="1" applyFont="1" applyFill="1" applyProtection="1">
      <protection locked="0"/>
    </xf>
    <xf numFmtId="171" fontId="106" fillId="0" borderId="0" xfId="91" applyFont="1" applyFill="1" applyProtection="1">
      <protection locked="0"/>
    </xf>
    <xf numFmtId="170" fontId="106" fillId="0" borderId="0" xfId="0" applyNumberFormat="1" applyFont="1" applyFill="1" applyProtection="1">
      <protection locked="0"/>
    </xf>
    <xf numFmtId="182" fontId="107" fillId="24" borderId="0" xfId="91" applyNumberFormat="1" applyFont="1" applyFill="1" applyBorder="1" applyProtection="1"/>
    <xf numFmtId="182" fontId="107" fillId="24" borderId="36" xfId="91" applyNumberFormat="1" applyFont="1" applyFill="1" applyBorder="1" applyProtection="1"/>
    <xf numFmtId="182" fontId="244" fillId="25" borderId="47" xfId="91" applyNumberFormat="1" applyFont="1" applyFill="1" applyBorder="1" applyAlignment="1" applyProtection="1">
      <alignment horizontal="left" vertical="center"/>
    </xf>
    <xf numFmtId="182" fontId="252" fillId="27" borderId="0" xfId="91" applyNumberFormat="1" applyFont="1" applyFill="1" applyBorder="1" applyProtection="1">
      <protection locked="0"/>
    </xf>
    <xf numFmtId="182" fontId="252" fillId="27" borderId="31" xfId="91" applyNumberFormat="1" applyFont="1" applyFill="1" applyBorder="1" applyProtection="1">
      <protection locked="0"/>
    </xf>
    <xf numFmtId="182" fontId="107" fillId="27" borderId="47" xfId="91" applyNumberFormat="1" applyFont="1" applyFill="1" applyBorder="1" applyProtection="1"/>
    <xf numFmtId="182" fontId="252" fillId="27" borderId="47" xfId="91" applyNumberFormat="1" applyFont="1" applyFill="1" applyBorder="1" applyProtection="1">
      <protection locked="0"/>
    </xf>
    <xf numFmtId="182" fontId="107" fillId="24" borderId="47" xfId="91" applyNumberFormat="1" applyFont="1" applyFill="1" applyBorder="1" applyProtection="1"/>
    <xf numFmtId="182" fontId="252" fillId="24" borderId="47" xfId="91" applyNumberFormat="1" applyFont="1" applyFill="1" applyBorder="1" applyProtection="1">
      <protection locked="0"/>
    </xf>
    <xf numFmtId="182" fontId="106" fillId="24" borderId="27" xfId="91" applyNumberFormat="1" applyFont="1" applyFill="1" applyBorder="1" applyProtection="1">
      <protection locked="0"/>
    </xf>
    <xf numFmtId="182" fontId="106" fillId="0" borderId="0" xfId="91" applyNumberFormat="1" applyFont="1" applyFill="1" applyProtection="1">
      <protection locked="0"/>
    </xf>
    <xf numFmtId="0" fontId="106" fillId="0" borderId="0" xfId="0" applyFont="1"/>
    <xf numFmtId="0" fontId="52" fillId="0" borderId="130" xfId="0" applyFont="1" applyBorder="1" applyAlignment="1" applyProtection="1">
      <alignment horizontal="center" vertical="justify"/>
    </xf>
    <xf numFmtId="223" fontId="29" fillId="32" borderId="47" xfId="0" applyNumberFormat="1" applyFont="1" applyFill="1" applyBorder="1" applyAlignment="1" applyProtection="1">
      <alignment horizontal="center"/>
    </xf>
    <xf numFmtId="167" fontId="29" fillId="32" borderId="138" xfId="0" applyNumberFormat="1" applyFont="1" applyFill="1" applyBorder="1" applyAlignment="1" applyProtection="1">
      <alignment horizontal="center"/>
    </xf>
    <xf numFmtId="223" fontId="29" fillId="32" borderId="138" xfId="0" applyNumberFormat="1" applyFont="1" applyFill="1" applyBorder="1" applyAlignment="1" applyProtection="1">
      <alignment horizontal="center"/>
    </xf>
    <xf numFmtId="0" fontId="52" fillId="0" borderId="140" xfId="0" applyFont="1" applyBorder="1" applyAlignment="1" applyProtection="1">
      <alignment horizontal="center" vertical="justify"/>
    </xf>
    <xf numFmtId="0" fontId="34" fillId="27" borderId="139" xfId="0" applyFont="1" applyFill="1" applyBorder="1" applyAlignment="1" applyProtection="1">
      <alignment horizontal="center"/>
    </xf>
    <xf numFmtId="0" fontId="23" fillId="0" borderId="139" xfId="0" applyFont="1" applyFill="1" applyBorder="1" applyAlignment="1" applyProtection="1">
      <alignment horizontal="center" vertical="justify"/>
    </xf>
    <xf numFmtId="172" fontId="33" fillId="24" borderId="0" xfId="84" applyNumberFormat="1" applyFont="1" applyFill="1" applyBorder="1" applyProtection="1">
      <protection locked="0"/>
    </xf>
    <xf numFmtId="182" fontId="23" fillId="24" borderId="0" xfId="91" applyNumberFormat="1" applyFont="1" applyFill="1" applyBorder="1" applyProtection="1">
      <protection locked="0"/>
    </xf>
    <xf numFmtId="0" fontId="203" fillId="74" borderId="142" xfId="0" applyFont="1" applyFill="1" applyBorder="1" applyAlignment="1" applyProtection="1">
      <alignment horizontal="left"/>
    </xf>
    <xf numFmtId="221" fontId="29" fillId="32" borderId="138" xfId="0" applyNumberFormat="1" applyFont="1" applyFill="1" applyBorder="1" applyAlignment="1" applyProtection="1">
      <alignment horizontal="center"/>
    </xf>
    <xf numFmtId="0" fontId="34" fillId="27" borderId="143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center" vertical="justify"/>
    </xf>
    <xf numFmtId="171" fontId="23" fillId="24" borderId="0" xfId="91" applyFont="1" applyFill="1" applyBorder="1" applyProtection="1">
      <protection locked="0"/>
    </xf>
    <xf numFmtId="9" fontId="23" fillId="24" borderId="0" xfId="84" applyNumberFormat="1" applyFont="1" applyFill="1" applyBorder="1" applyProtection="1">
      <protection locked="0"/>
    </xf>
    <xf numFmtId="0" fontId="23" fillId="0" borderId="144" xfId="0" applyFont="1" applyBorder="1" applyAlignment="1">
      <alignment horizontal="left" vertical="center" wrapText="1"/>
    </xf>
    <xf numFmtId="0" fontId="23" fillId="0" borderId="145" xfId="0" applyFont="1" applyFill="1" applyBorder="1" applyProtection="1">
      <protection locked="0"/>
    </xf>
    <xf numFmtId="0" fontId="23" fillId="0" borderId="145" xfId="0" applyFont="1" applyBorder="1" applyProtection="1">
      <protection locked="0"/>
    </xf>
    <xf numFmtId="176" fontId="23" fillId="25" borderId="145" xfId="91" applyNumberFormat="1" applyFont="1" applyFill="1" applyBorder="1" applyAlignment="1">
      <alignment horizontal="center"/>
    </xf>
    <xf numFmtId="167" fontId="23" fillId="0" borderId="145" xfId="0" applyNumberFormat="1" applyFont="1" applyFill="1" applyBorder="1" applyAlignment="1" applyProtection="1">
      <alignment horizontal="center"/>
    </xf>
    <xf numFmtId="173" fontId="23" fillId="42" borderId="145" xfId="0" applyNumberFormat="1" applyFont="1" applyFill="1" applyBorder="1" applyAlignment="1" applyProtection="1">
      <alignment horizontal="center"/>
    </xf>
    <xf numFmtId="3" fontId="23" fillId="42" borderId="146" xfId="0" applyNumberFormat="1" applyFont="1" applyFill="1" applyBorder="1" applyAlignment="1" applyProtection="1">
      <alignment horizontal="center"/>
    </xf>
    <xf numFmtId="173" fontId="23" fillId="72" borderId="145" xfId="0" applyNumberFormat="1" applyFont="1" applyFill="1" applyBorder="1" applyAlignment="1" applyProtection="1">
      <alignment horizontal="center"/>
    </xf>
    <xf numFmtId="227" fontId="23" fillId="72" borderId="146" xfId="0" applyNumberFormat="1" applyFont="1" applyFill="1" applyBorder="1" applyAlignment="1" applyProtection="1">
      <alignment horizontal="center"/>
    </xf>
    <xf numFmtId="223" fontId="23" fillId="72" borderId="146" xfId="0" applyNumberFormat="1" applyFont="1" applyFill="1" applyBorder="1" applyAlignment="1" applyProtection="1">
      <alignment horizontal="center"/>
    </xf>
    <xf numFmtId="223" fontId="23" fillId="72" borderId="145" xfId="0" applyNumberFormat="1" applyFont="1" applyFill="1" applyBorder="1" applyAlignment="1" applyProtection="1">
      <alignment horizontal="center"/>
    </xf>
    <xf numFmtId="167" fontId="21" fillId="0" borderId="145" xfId="0" applyNumberFormat="1" applyFont="1" applyFill="1" applyBorder="1" applyAlignment="1" applyProtection="1">
      <alignment horizontal="right"/>
      <protection locked="0"/>
    </xf>
    <xf numFmtId="223" fontId="23" fillId="42" borderId="145" xfId="0" applyNumberFormat="1" applyFont="1" applyFill="1" applyBorder="1" applyAlignment="1" applyProtection="1">
      <alignment horizontal="center"/>
    </xf>
    <xf numFmtId="1" fontId="23" fillId="42" borderId="145" xfId="0" applyNumberFormat="1" applyFont="1" applyFill="1" applyBorder="1" applyAlignment="1" applyProtection="1">
      <alignment horizontal="center"/>
    </xf>
    <xf numFmtId="167" fontId="21" fillId="38" borderId="145" xfId="0" applyNumberFormat="1" applyFont="1" applyFill="1" applyBorder="1" applyAlignment="1" applyProtection="1">
      <alignment horizontal="right"/>
      <protection locked="0"/>
    </xf>
    <xf numFmtId="1" fontId="23" fillId="42" borderId="146" xfId="0" applyNumberFormat="1" applyFont="1" applyFill="1" applyBorder="1" applyAlignment="1" applyProtection="1">
      <alignment horizontal="center"/>
    </xf>
    <xf numFmtId="223" fontId="23" fillId="72" borderId="147" xfId="0" applyNumberFormat="1" applyFont="1" applyFill="1" applyBorder="1" applyAlignment="1" applyProtection="1">
      <alignment horizontal="center"/>
    </xf>
    <xf numFmtId="0" fontId="23" fillId="0" borderId="148" xfId="0" applyFont="1" applyBorder="1"/>
    <xf numFmtId="0" fontId="23" fillId="0" borderId="146" xfId="0" applyFont="1" applyBorder="1" applyProtection="1">
      <protection locked="0"/>
    </xf>
    <xf numFmtId="0" fontId="23" fillId="0" borderId="146" xfId="0" applyFont="1" applyFill="1" applyBorder="1" applyProtection="1">
      <protection locked="0"/>
    </xf>
    <xf numFmtId="171" fontId="23" fillId="0" borderId="146" xfId="91" applyFont="1" applyFill="1" applyBorder="1" applyProtection="1">
      <protection locked="0"/>
    </xf>
    <xf numFmtId="172" fontId="0" fillId="0" borderId="146" xfId="84" applyNumberFormat="1" applyFont="1" applyBorder="1"/>
    <xf numFmtId="176" fontId="23" fillId="25" borderId="146" xfId="91" applyNumberFormat="1" applyFont="1" applyFill="1" applyBorder="1" applyAlignment="1">
      <alignment horizontal="center"/>
    </xf>
    <xf numFmtId="167" fontId="23" fillId="0" borderId="146" xfId="0" applyNumberFormat="1" applyFont="1" applyFill="1" applyBorder="1" applyAlignment="1" applyProtection="1">
      <alignment horizontal="center"/>
    </xf>
    <xf numFmtId="173" fontId="23" fillId="42" borderId="146" xfId="0" applyNumberFormat="1" applyFont="1" applyFill="1" applyBorder="1" applyAlignment="1" applyProtection="1">
      <alignment horizontal="center"/>
    </xf>
    <xf numFmtId="173" fontId="23" fillId="72" borderId="146" xfId="0" applyNumberFormat="1" applyFont="1" applyFill="1" applyBorder="1" applyAlignment="1" applyProtection="1">
      <alignment horizontal="center"/>
    </xf>
    <xf numFmtId="223" fontId="23" fillId="42" borderId="146" xfId="0" applyNumberFormat="1" applyFont="1" applyFill="1" applyBorder="1" applyAlignment="1" applyProtection="1">
      <alignment horizontal="center"/>
    </xf>
    <xf numFmtId="167" fontId="21" fillId="0" borderId="146" xfId="0" applyNumberFormat="1" applyFont="1" applyFill="1" applyBorder="1" applyAlignment="1" applyProtection="1">
      <alignment horizontal="right"/>
      <protection locked="0"/>
    </xf>
    <xf numFmtId="167" fontId="21" fillId="38" borderId="146" xfId="0" applyNumberFormat="1" applyFont="1" applyFill="1" applyBorder="1" applyAlignment="1" applyProtection="1">
      <alignment horizontal="right"/>
      <protection locked="0"/>
    </xf>
    <xf numFmtId="223" fontId="23" fillId="72" borderId="149" xfId="0" applyNumberFormat="1" applyFont="1" applyFill="1" applyBorder="1" applyAlignment="1" applyProtection="1">
      <alignment horizontal="center"/>
    </xf>
    <xf numFmtId="223" fontId="23" fillId="24" borderId="20" xfId="0" applyNumberFormat="1" applyFont="1" applyFill="1" applyBorder="1" applyAlignment="1" applyProtection="1">
      <alignment horizontal="center"/>
    </xf>
    <xf numFmtId="228" fontId="23" fillId="24" borderId="20" xfId="0" applyNumberFormat="1" applyFont="1" applyFill="1" applyBorder="1" applyAlignment="1" applyProtection="1">
      <alignment horizontal="center"/>
    </xf>
    <xf numFmtId="223" fontId="23" fillId="24" borderId="136" xfId="0" applyNumberFormat="1" applyFont="1" applyFill="1" applyBorder="1" applyAlignment="1" applyProtection="1">
      <alignment horizontal="center"/>
    </xf>
    <xf numFmtId="3" fontId="23" fillId="24" borderId="136" xfId="0" applyNumberFormat="1" applyFont="1" applyFill="1" applyBorder="1" applyAlignment="1" applyProtection="1">
      <alignment horizontal="center"/>
    </xf>
    <xf numFmtId="223" fontId="19" fillId="24" borderId="0" xfId="0" applyNumberFormat="1" applyFont="1" applyFill="1" applyProtection="1"/>
    <xf numFmtId="229" fontId="19" fillId="24" borderId="0" xfId="0" applyNumberFormat="1" applyFont="1" applyFill="1" applyProtection="1"/>
    <xf numFmtId="3" fontId="19" fillId="24" borderId="0" xfId="0" applyNumberFormat="1" applyFont="1" applyFill="1" applyProtection="1"/>
    <xf numFmtId="3" fontId="23" fillId="24" borderId="20" xfId="0" applyNumberFormat="1" applyFont="1" applyFill="1" applyBorder="1" applyAlignment="1" applyProtection="1">
      <alignment horizontal="center"/>
    </xf>
    <xf numFmtId="229" fontId="0" fillId="24" borderId="0" xfId="0" applyNumberFormat="1" applyFill="1" applyProtection="1"/>
    <xf numFmtId="3" fontId="0" fillId="24" borderId="0" xfId="0" applyNumberFormat="1" applyFill="1" applyProtection="1"/>
    <xf numFmtId="182" fontId="0" fillId="38" borderId="0" xfId="91" applyNumberFormat="1" applyFont="1" applyFill="1" applyProtection="1"/>
    <xf numFmtId="223" fontId="0" fillId="38" borderId="0" xfId="91" applyNumberFormat="1" applyFont="1" applyFill="1" applyProtection="1"/>
    <xf numFmtId="229" fontId="0" fillId="38" borderId="0" xfId="91" applyNumberFormat="1" applyFont="1" applyFill="1" applyProtection="1"/>
    <xf numFmtId="3" fontId="0" fillId="38" borderId="0" xfId="91" applyNumberFormat="1" applyFont="1" applyFill="1" applyProtection="1"/>
    <xf numFmtId="3" fontId="29" fillId="32" borderId="52" xfId="0" applyNumberFormat="1" applyFont="1" applyFill="1" applyBorder="1" applyAlignment="1" applyProtection="1">
      <alignment horizontal="center"/>
    </xf>
    <xf numFmtId="3" fontId="0" fillId="24" borderId="0" xfId="0" applyNumberFormat="1" applyFill="1" applyAlignment="1" applyProtection="1">
      <alignment horizontal="center"/>
      <protection locked="0"/>
    </xf>
    <xf numFmtId="3" fontId="29" fillId="32" borderId="138" xfId="0" applyNumberFormat="1" applyFont="1" applyFill="1" applyBorder="1" applyAlignment="1" applyProtection="1">
      <alignment horizontal="center"/>
    </xf>
    <xf numFmtId="3" fontId="107" fillId="42" borderId="146" xfId="0" applyNumberFormat="1" applyFont="1" applyFill="1" applyBorder="1" applyAlignment="1" applyProtection="1">
      <alignment horizontal="center"/>
    </xf>
    <xf numFmtId="174" fontId="23" fillId="72" borderId="146" xfId="0" applyNumberFormat="1" applyFont="1" applyFill="1" applyBorder="1" applyAlignment="1" applyProtection="1">
      <alignment horizontal="center"/>
    </xf>
    <xf numFmtId="3" fontId="115" fillId="42" borderId="146" xfId="0" applyNumberFormat="1" applyFont="1" applyFill="1" applyBorder="1" applyAlignment="1" applyProtection="1">
      <alignment horizontal="center"/>
    </xf>
    <xf numFmtId="174" fontId="23" fillId="72" borderId="145" xfId="0" applyNumberFormat="1" applyFont="1" applyFill="1" applyBorder="1" applyAlignment="1" applyProtection="1">
      <alignment horizontal="center"/>
    </xf>
    <xf numFmtId="176" fontId="23" fillId="38" borderId="150" xfId="91" applyNumberFormat="1" applyFont="1" applyFill="1" applyBorder="1" applyAlignment="1">
      <alignment horizontal="center"/>
    </xf>
    <xf numFmtId="171" fontId="255" fillId="78" borderId="20" xfId="1143" applyFont="1" applyFill="1" applyBorder="1" applyAlignment="1">
      <alignment horizontal="center"/>
    </xf>
    <xf numFmtId="0" fontId="40" fillId="24" borderId="20" xfId="1129" applyFont="1" applyFill="1" applyBorder="1" applyAlignment="1">
      <alignment horizontal="center"/>
    </xf>
    <xf numFmtId="0" fontId="115" fillId="37" borderId="39" xfId="0" applyFont="1" applyFill="1" applyBorder="1" applyAlignment="1" applyProtection="1">
      <alignment horizontal="center" vertical="top" wrapText="1"/>
    </xf>
    <xf numFmtId="9" fontId="245" fillId="24" borderId="0" xfId="1129" applyNumberFormat="1" applyFont="1" applyFill="1"/>
    <xf numFmtId="0" fontId="106" fillId="39" borderId="0" xfId="0" applyFont="1" applyFill="1" applyBorder="1"/>
    <xf numFmtId="182" fontId="106" fillId="0" borderId="0" xfId="0" applyNumberFormat="1" applyFont="1"/>
    <xf numFmtId="0" fontId="106" fillId="83" borderId="0" xfId="0" applyFont="1" applyFill="1" applyBorder="1"/>
    <xf numFmtId="43" fontId="106" fillId="0" borderId="0" xfId="0" applyNumberFormat="1" applyFont="1"/>
    <xf numFmtId="182" fontId="106" fillId="0" borderId="0" xfId="91" applyNumberFormat="1" applyFont="1"/>
    <xf numFmtId="0" fontId="29" fillId="26" borderId="18" xfId="0" applyFont="1" applyFill="1" applyBorder="1" applyAlignment="1" applyProtection="1">
      <alignment horizontal="left"/>
      <protection locked="0"/>
    </xf>
    <xf numFmtId="182" fontId="256" fillId="0" borderId="0" xfId="91" applyNumberFormat="1" applyFont="1"/>
    <xf numFmtId="0" fontId="257" fillId="24" borderId="0" xfId="1268" applyNumberFormat="1" applyFont="1" applyFill="1" applyBorder="1" applyAlignment="1">
      <alignment vertical="top" wrapText="1"/>
    </xf>
    <xf numFmtId="9" fontId="0" fillId="0" borderId="0" xfId="0" applyNumberFormat="1" applyProtection="1">
      <protection locked="0"/>
    </xf>
    <xf numFmtId="182" fontId="0" fillId="0" borderId="103" xfId="0" applyNumberFormat="1" applyBorder="1"/>
    <xf numFmtId="0" fontId="23" fillId="0" borderId="103" xfId="0" applyFont="1" applyBorder="1"/>
    <xf numFmtId="182" fontId="23" fillId="0" borderId="103" xfId="91" applyNumberFormat="1" applyFont="1" applyBorder="1"/>
    <xf numFmtId="9" fontId="0" fillId="0" borderId="103" xfId="84" applyFont="1" applyBorder="1"/>
    <xf numFmtId="0" fontId="0" fillId="0" borderId="103" xfId="0" applyBorder="1"/>
    <xf numFmtId="182" fontId="0" fillId="0" borderId="103" xfId="91" applyNumberFormat="1" applyFont="1" applyBorder="1"/>
    <xf numFmtId="182" fontId="0" fillId="43" borderId="0" xfId="91" applyNumberFormat="1" applyFont="1" applyFill="1"/>
    <xf numFmtId="0" fontId="244" fillId="0" borderId="36" xfId="0" applyNumberFormat="1" applyFont="1" applyBorder="1" applyAlignment="1" applyProtection="1">
      <alignment horizontal="center" vertical="center"/>
    </xf>
    <xf numFmtId="0" fontId="106" fillId="0" borderId="103" xfId="0" applyFont="1" applyBorder="1"/>
    <xf numFmtId="182" fontId="106" fillId="0" borderId="103" xfId="91" applyNumberFormat="1" applyFont="1" applyBorder="1"/>
    <xf numFmtId="173" fontId="23" fillId="42" borderId="145" xfId="0" applyNumberFormat="1" applyFont="1" applyFill="1" applyBorder="1" applyAlignment="1" applyProtection="1">
      <alignment horizontal="center"/>
      <protection locked="0"/>
    </xf>
    <xf numFmtId="3" fontId="23" fillId="42" borderId="146" xfId="0" applyNumberFormat="1" applyFont="1" applyFill="1" applyBorder="1" applyAlignment="1" applyProtection="1">
      <alignment horizontal="center"/>
      <protection locked="0"/>
    </xf>
    <xf numFmtId="173" fontId="23" fillId="42" borderId="146" xfId="0" applyNumberFormat="1" applyFont="1" applyFill="1" applyBorder="1" applyAlignment="1" applyProtection="1">
      <alignment horizontal="center"/>
      <protection locked="0"/>
    </xf>
    <xf numFmtId="173" fontId="23" fillId="0" borderId="146" xfId="0" applyNumberFormat="1" applyFont="1" applyFill="1" applyBorder="1" applyAlignment="1" applyProtection="1">
      <alignment horizontal="center"/>
    </xf>
    <xf numFmtId="223" fontId="23" fillId="42" borderId="146" xfId="0" applyNumberFormat="1" applyFont="1" applyFill="1" applyBorder="1" applyAlignment="1" applyProtection="1">
      <alignment horizontal="center"/>
      <protection locked="0"/>
    </xf>
    <xf numFmtId="0" fontId="21" fillId="56" borderId="151" xfId="0" applyFont="1" applyFill="1" applyBorder="1" applyAlignment="1">
      <alignment vertical="top" wrapText="1"/>
    </xf>
    <xf numFmtId="0" fontId="0" fillId="0" borderId="152" xfId="0" applyBorder="1" applyAlignment="1">
      <alignment vertical="top" wrapText="1"/>
    </xf>
    <xf numFmtId="0" fontId="52" fillId="43" borderId="24" xfId="0" applyFont="1" applyFill="1" applyBorder="1" applyAlignment="1" applyProtection="1">
      <alignment horizontal="center" vertical="justify"/>
    </xf>
    <xf numFmtId="0" fontId="52" fillId="43" borderId="130" xfId="0" applyFont="1" applyFill="1" applyBorder="1" applyAlignment="1" applyProtection="1">
      <alignment horizontal="center" vertical="justify"/>
    </xf>
    <xf numFmtId="0" fontId="52" fillId="43" borderId="140" xfId="0" applyFont="1" applyFill="1" applyBorder="1" applyAlignment="1" applyProtection="1">
      <alignment horizontal="center" vertical="justify"/>
    </xf>
    <xf numFmtId="10" fontId="35" fillId="27" borderId="126" xfId="0" applyNumberFormat="1" applyFont="1" applyFill="1" applyBorder="1" applyProtection="1">
      <protection locked="0"/>
    </xf>
    <xf numFmtId="0" fontId="21" fillId="43" borderId="36" xfId="0" applyNumberFormat="1" applyFont="1" applyFill="1" applyBorder="1" applyAlignment="1" applyProtection="1">
      <alignment horizontal="center" vertical="center"/>
    </xf>
    <xf numFmtId="182" fontId="21" fillId="43" borderId="36" xfId="91" applyNumberFormat="1" applyFont="1" applyFill="1" applyBorder="1" applyAlignment="1" applyProtection="1">
      <alignment horizontal="center" vertical="center"/>
    </xf>
    <xf numFmtId="0" fontId="32" fillId="43" borderId="28" xfId="0" applyFont="1" applyFill="1" applyBorder="1" applyAlignment="1" applyProtection="1">
      <alignment horizontal="center"/>
      <protection locked="0"/>
    </xf>
    <xf numFmtId="0" fontId="32" fillId="43" borderId="29" xfId="0" applyFont="1" applyFill="1" applyBorder="1" applyAlignment="1" applyProtection="1">
      <alignment horizontal="center"/>
      <protection locked="0"/>
    </xf>
    <xf numFmtId="0" fontId="0" fillId="43" borderId="0" xfId="0" applyFill="1"/>
    <xf numFmtId="182" fontId="0" fillId="43" borderId="0" xfId="0" applyNumberFormat="1" applyFill="1"/>
    <xf numFmtId="182" fontId="23" fillId="39" borderId="0" xfId="0" applyNumberFormat="1" applyFont="1" applyFill="1"/>
    <xf numFmtId="172" fontId="0" fillId="0" borderId="146" xfId="84" applyNumberFormat="1" applyFont="1" applyBorder="1" applyProtection="1">
      <protection locked="0"/>
    </xf>
    <xf numFmtId="3" fontId="107" fillId="40" borderId="47" xfId="0" applyNumberFormat="1" applyFont="1" applyFill="1" applyBorder="1" applyProtection="1">
      <protection locked="0"/>
    </xf>
    <xf numFmtId="182" fontId="107" fillId="40" borderId="47" xfId="91" applyNumberFormat="1" applyFont="1" applyFill="1" applyBorder="1" applyProtection="1">
      <protection locked="0"/>
    </xf>
    <xf numFmtId="4" fontId="23" fillId="40" borderId="47" xfId="0" applyNumberFormat="1" applyFont="1" applyFill="1" applyBorder="1" applyProtection="1">
      <protection locked="0"/>
    </xf>
    <xf numFmtId="0" fontId="0" fillId="0" borderId="152" xfId="0" applyBorder="1" applyProtection="1">
      <protection locked="0"/>
    </xf>
    <xf numFmtId="9" fontId="0" fillId="0" borderId="0" xfId="0" applyNumberFormat="1"/>
    <xf numFmtId="226" fontId="0" fillId="0" borderId="0" xfId="0" applyNumberFormat="1"/>
    <xf numFmtId="0" fontId="1" fillId="0" borderId="0" xfId="1269"/>
    <xf numFmtId="226" fontId="1" fillId="0" borderId="0" xfId="1270" applyNumberFormat="1" applyFont="1"/>
    <xf numFmtId="9" fontId="1" fillId="0" borderId="0" xfId="1271" applyFont="1"/>
    <xf numFmtId="0" fontId="0" fillId="39" borderId="0" xfId="0" applyFill="1"/>
    <xf numFmtId="3" fontId="0" fillId="39" borderId="0" xfId="0" applyNumberFormat="1" applyFill="1"/>
    <xf numFmtId="9" fontId="0" fillId="39" borderId="0" xfId="0" applyNumberFormat="1" applyFill="1"/>
    <xf numFmtId="0" fontId="0" fillId="62" borderId="0" xfId="0" applyFill="1"/>
    <xf numFmtId="182" fontId="0" fillId="62" borderId="0" xfId="91" applyNumberFormat="1" applyFont="1" applyFill="1"/>
    <xf numFmtId="0" fontId="0" fillId="0" borderId="0" xfId="0" applyFont="1" applyFill="1" applyBorder="1" applyAlignment="1">
      <alignment horizontal="left"/>
    </xf>
    <xf numFmtId="0" fontId="254" fillId="80" borderId="0" xfId="0" applyFont="1" applyFill="1" applyBorder="1" applyAlignment="1">
      <alignment horizontal="left"/>
    </xf>
    <xf numFmtId="0" fontId="32" fillId="24" borderId="48" xfId="0" applyFont="1" applyFill="1" applyBorder="1" applyAlignment="1">
      <alignment vertical="justify"/>
    </xf>
    <xf numFmtId="0" fontId="32" fillId="24" borderId="67" xfId="0" applyFont="1" applyFill="1" applyBorder="1" applyAlignment="1">
      <alignment vertical="justify"/>
    </xf>
    <xf numFmtId="0" fontId="29" fillId="26" borderId="81" xfId="0" applyFont="1" applyFill="1" applyBorder="1" applyAlignment="1">
      <alignment horizontal="center" vertical="center"/>
    </xf>
    <xf numFmtId="0" fontId="29" fillId="26" borderId="82" xfId="0" applyFont="1" applyFill="1" applyBorder="1" applyAlignment="1">
      <alignment horizontal="center" vertical="center"/>
    </xf>
    <xf numFmtId="0" fontId="23" fillId="25" borderId="83" xfId="0" applyFont="1" applyFill="1" applyBorder="1" applyAlignment="1">
      <alignment horizontal="center" vertical="center"/>
    </xf>
    <xf numFmtId="0" fontId="23" fillId="25" borderId="50" xfId="0" applyFont="1" applyFill="1" applyBorder="1" applyAlignment="1">
      <alignment horizontal="center" vertical="center"/>
    </xf>
    <xf numFmtId="0" fontId="32" fillId="24" borderId="48" xfId="0" applyFont="1" applyFill="1" applyBorder="1" applyAlignment="1">
      <alignment vertical="justify" wrapText="1"/>
    </xf>
    <xf numFmtId="0" fontId="20" fillId="27" borderId="48" xfId="0" applyFont="1" applyFill="1" applyBorder="1" applyAlignment="1" applyProtection="1">
      <alignment horizontal="center" vertical="center"/>
    </xf>
    <xf numFmtId="0" fontId="20" fillId="27" borderId="67" xfId="0" applyFont="1" applyFill="1" applyBorder="1" applyAlignment="1" applyProtection="1">
      <alignment horizontal="center" vertical="center"/>
    </xf>
    <xf numFmtId="0" fontId="24" fillId="24" borderId="48" xfId="0" applyFont="1" applyFill="1" applyBorder="1" applyAlignment="1" applyProtection="1">
      <alignment horizontal="left" vertical="center"/>
    </xf>
    <xf numFmtId="0" fontId="24" fillId="24" borderId="67" xfId="0" applyFont="1" applyFill="1" applyBorder="1" applyAlignment="1" applyProtection="1">
      <alignment horizontal="left" vertical="center"/>
    </xf>
    <xf numFmtId="0" fontId="20" fillId="28" borderId="92" xfId="0" applyFont="1" applyFill="1" applyBorder="1" applyAlignment="1" applyProtection="1">
      <alignment horizontal="center"/>
    </xf>
    <xf numFmtId="0" fontId="20" fillId="28" borderId="93" xfId="0" applyFont="1" applyFill="1" applyBorder="1" applyAlignment="1" applyProtection="1">
      <alignment horizontal="center"/>
    </xf>
    <xf numFmtId="0" fontId="20" fillId="28" borderId="94" xfId="0" applyFont="1" applyFill="1" applyBorder="1" applyAlignment="1" applyProtection="1">
      <alignment horizontal="center"/>
    </xf>
    <xf numFmtId="167" fontId="26" fillId="27" borderId="48" xfId="0" applyNumberFormat="1" applyFont="1" applyFill="1" applyBorder="1" applyAlignment="1" applyProtection="1">
      <alignment horizontal="center" vertical="center"/>
    </xf>
    <xf numFmtId="167" fontId="26" fillId="27" borderId="67" xfId="0" applyNumberFormat="1" applyFont="1" applyFill="1" applyBorder="1" applyAlignment="1" applyProtection="1">
      <alignment horizontal="center" vertical="center"/>
    </xf>
    <xf numFmtId="172" fontId="25" fillId="0" borderId="90" xfId="0" applyNumberFormat="1" applyFont="1" applyBorder="1" applyAlignment="1" applyProtection="1">
      <alignment horizontal="center"/>
    </xf>
    <xf numFmtId="172" fontId="25" fillId="0" borderId="91" xfId="0" applyNumberFormat="1" applyFont="1" applyBorder="1" applyAlignment="1" applyProtection="1">
      <alignment horizontal="center"/>
    </xf>
    <xf numFmtId="0" fontId="20" fillId="28" borderId="95" xfId="0" applyFont="1" applyFill="1" applyBorder="1" applyAlignment="1" applyProtection="1">
      <alignment horizontal="center"/>
    </xf>
    <xf numFmtId="9" fontId="25" fillId="0" borderId="90" xfId="0" applyNumberFormat="1" applyFont="1" applyBorder="1" applyAlignment="1" applyProtection="1">
      <alignment horizontal="center"/>
    </xf>
    <xf numFmtId="9" fontId="25" fillId="0" borderId="91" xfId="0" applyNumberFormat="1" applyFont="1" applyBorder="1" applyAlignment="1" applyProtection="1">
      <alignment horizontal="center"/>
    </xf>
    <xf numFmtId="173" fontId="24" fillId="25" borderId="48" xfId="0" applyNumberFormat="1" applyFont="1" applyFill="1" applyBorder="1" applyAlignment="1" applyProtection="1">
      <alignment horizontal="center" vertical="center"/>
    </xf>
    <xf numFmtId="173" fontId="24" fillId="25" borderId="67" xfId="0" applyNumberFormat="1" applyFont="1" applyFill="1" applyBorder="1" applyAlignment="1" applyProtection="1">
      <alignment horizontal="center" vertical="center"/>
    </xf>
    <xf numFmtId="0" fontId="20" fillId="27" borderId="74" xfId="0" applyFont="1" applyFill="1" applyBorder="1" applyAlignment="1">
      <alignment horizontal="center" vertical="center"/>
    </xf>
    <xf numFmtId="0" fontId="20" fillId="27" borderId="54" xfId="0" applyFont="1" applyFill="1" applyBorder="1" applyAlignment="1">
      <alignment horizontal="center" vertical="center"/>
    </xf>
    <xf numFmtId="0" fontId="20" fillId="27" borderId="53" xfId="0" applyFont="1" applyFill="1" applyBorder="1" applyAlignment="1">
      <alignment horizontal="center" vertical="center"/>
    </xf>
    <xf numFmtId="167" fontId="26" fillId="0" borderId="48" xfId="0" applyNumberFormat="1" applyFont="1" applyBorder="1" applyAlignment="1" applyProtection="1">
      <alignment horizontal="center" vertical="center"/>
    </xf>
    <xf numFmtId="167" fontId="26" fillId="0" borderId="67" xfId="0" applyNumberFormat="1" applyFont="1" applyBorder="1" applyAlignment="1" applyProtection="1">
      <alignment horizontal="center" vertical="center"/>
    </xf>
    <xf numFmtId="0" fontId="19" fillId="24" borderId="11" xfId="0" applyFont="1" applyFill="1" applyBorder="1" applyAlignment="1" applyProtection="1">
      <alignment horizontal="center" vertical="center"/>
    </xf>
    <xf numFmtId="0" fontId="19" fillId="24" borderId="13" xfId="0" applyFont="1" applyFill="1" applyBorder="1" applyAlignment="1" applyProtection="1">
      <alignment horizontal="center" vertical="center"/>
    </xf>
    <xf numFmtId="0" fontId="19" fillId="24" borderId="14" xfId="0" applyFont="1" applyFill="1" applyBorder="1" applyAlignment="1" applyProtection="1">
      <alignment horizontal="center" vertical="center"/>
    </xf>
    <xf numFmtId="0" fontId="19" fillId="24" borderId="10" xfId="0" applyFont="1" applyFill="1" applyBorder="1" applyAlignment="1" applyProtection="1">
      <alignment horizontal="center" vertical="center"/>
    </xf>
    <xf numFmtId="0" fontId="20" fillId="27" borderId="14" xfId="0" applyFont="1" applyFill="1" applyBorder="1" applyAlignment="1">
      <alignment horizontal="center" vertical="center"/>
    </xf>
    <xf numFmtId="0" fontId="20" fillId="27" borderId="15" xfId="0" applyFont="1" applyFill="1" applyBorder="1" applyAlignment="1">
      <alignment horizontal="center" vertical="center"/>
    </xf>
    <xf numFmtId="0" fontId="44" fillId="24" borderId="0" xfId="0" applyFont="1" applyFill="1" applyBorder="1" applyAlignment="1">
      <alignment horizontal="center"/>
    </xf>
    <xf numFmtId="0" fontId="40" fillId="24" borderId="21" xfId="1129" applyFont="1" applyFill="1" applyBorder="1" applyAlignment="1">
      <alignment horizontal="center"/>
    </xf>
    <xf numFmtId="0" fontId="40" fillId="24" borderId="22" xfId="1129" applyFont="1" applyFill="1" applyBorder="1" applyAlignment="1">
      <alignment horizontal="center"/>
    </xf>
    <xf numFmtId="0" fontId="40" fillId="24" borderId="40" xfId="1129" applyFont="1" applyFill="1" applyBorder="1" applyAlignment="1">
      <alignment horizontal="center"/>
    </xf>
    <xf numFmtId="0" fontId="23" fillId="24" borderId="21" xfId="0" applyFont="1" applyFill="1" applyBorder="1" applyAlignment="1">
      <alignment horizontal="center"/>
    </xf>
    <xf numFmtId="0" fontId="23" fillId="24" borderId="40" xfId="0" applyFont="1" applyFill="1" applyBorder="1" applyAlignment="1">
      <alignment horizontal="center"/>
    </xf>
    <xf numFmtId="0" fontId="40" fillId="24" borderId="21" xfId="0" applyFont="1" applyFill="1" applyBorder="1" applyAlignment="1">
      <alignment horizontal="center"/>
    </xf>
    <xf numFmtId="0" fontId="40" fillId="24" borderId="22" xfId="0" applyFont="1" applyFill="1" applyBorder="1" applyAlignment="1">
      <alignment horizontal="center"/>
    </xf>
    <xf numFmtId="0" fontId="40" fillId="24" borderId="40" xfId="0" applyFont="1" applyFill="1" applyBorder="1" applyAlignment="1">
      <alignment horizontal="center"/>
    </xf>
    <xf numFmtId="0" fontId="23" fillId="24" borderId="22" xfId="0" applyFont="1" applyFill="1" applyBorder="1" applyAlignment="1">
      <alignment horizontal="center"/>
    </xf>
    <xf numFmtId="0" fontId="240" fillId="24" borderId="21" xfId="0" applyFont="1" applyFill="1" applyBorder="1" applyAlignment="1">
      <alignment horizontal="center"/>
    </xf>
    <xf numFmtId="0" fontId="240" fillId="24" borderId="22" xfId="0" applyFont="1" applyFill="1" applyBorder="1" applyAlignment="1">
      <alignment horizontal="center"/>
    </xf>
    <xf numFmtId="0" fontId="240" fillId="24" borderId="40" xfId="0" applyFont="1" applyFill="1" applyBorder="1" applyAlignment="1">
      <alignment horizontal="center"/>
    </xf>
    <xf numFmtId="0" fontId="29" fillId="26" borderId="88" xfId="0" applyFont="1" applyFill="1" applyBorder="1" applyAlignment="1" applyProtection="1">
      <alignment horizontal="center" vertical="justify"/>
    </xf>
    <xf numFmtId="0" fontId="29" fillId="26" borderId="23" xfId="0" applyFont="1" applyFill="1" applyBorder="1" applyAlignment="1" applyProtection="1">
      <alignment horizontal="center" vertical="justify"/>
    </xf>
    <xf numFmtId="0" fontId="29" fillId="26" borderId="84" xfId="0" applyFont="1" applyFill="1" applyBorder="1" applyAlignment="1" applyProtection="1">
      <alignment horizontal="left"/>
      <protection locked="0"/>
    </xf>
    <xf numFmtId="0" fontId="29" fillId="26" borderId="18" xfId="0" applyFont="1" applyFill="1" applyBorder="1" applyAlignment="1" applyProtection="1">
      <alignment horizontal="left"/>
      <protection locked="0"/>
    </xf>
    <xf numFmtId="0" fontId="29" fillId="26" borderId="38" xfId="0" applyFont="1" applyFill="1" applyBorder="1" applyAlignment="1" applyProtection="1">
      <alignment horizontal="left"/>
      <protection locked="0"/>
    </xf>
    <xf numFmtId="0" fontId="23" fillId="0" borderId="48" xfId="0" applyFont="1" applyFill="1" applyBorder="1" applyAlignment="1" applyProtection="1">
      <alignment horizontal="center" vertical="justify"/>
    </xf>
    <xf numFmtId="0" fontId="23" fillId="0" borderId="67" xfId="0" applyFont="1" applyFill="1" applyBorder="1" applyAlignment="1" applyProtection="1">
      <alignment horizontal="center" vertical="justify"/>
    </xf>
    <xf numFmtId="0" fontId="23" fillId="0" borderId="85" xfId="0" applyFont="1" applyFill="1" applyBorder="1" applyAlignment="1" applyProtection="1">
      <alignment horizontal="center" vertical="justify"/>
    </xf>
    <xf numFmtId="0" fontId="29" fillId="26" borderId="84" xfId="0" applyFont="1" applyFill="1" applyBorder="1" applyAlignment="1" applyProtection="1">
      <alignment horizontal="center" vertical="justify"/>
    </xf>
    <xf numFmtId="0" fontId="29" fillId="26" borderId="38" xfId="0" applyFont="1" applyFill="1" applyBorder="1" applyAlignment="1" applyProtection="1">
      <alignment horizontal="center" vertical="justify"/>
    </xf>
    <xf numFmtId="0" fontId="23" fillId="0" borderId="74" xfId="0" applyFont="1" applyFill="1" applyBorder="1" applyAlignment="1" applyProtection="1">
      <alignment horizontal="center" vertical="justify"/>
    </xf>
    <xf numFmtId="0" fontId="23" fillId="0" borderId="54" xfId="0" applyFont="1" applyFill="1" applyBorder="1" applyAlignment="1" applyProtection="1">
      <alignment horizontal="center" vertical="justify"/>
    </xf>
    <xf numFmtId="0" fontId="23" fillId="0" borderId="53" xfId="0" applyFont="1" applyFill="1" applyBorder="1" applyAlignment="1" applyProtection="1">
      <alignment horizontal="center" vertical="justify"/>
    </xf>
    <xf numFmtId="2" fontId="23" fillId="24" borderId="48" xfId="0" applyNumberFormat="1" applyFont="1" applyFill="1" applyBorder="1" applyAlignment="1" applyProtection="1">
      <alignment horizontal="center" vertical="justify"/>
    </xf>
    <xf numFmtId="2" fontId="23" fillId="24" borderId="49" xfId="0" applyNumberFormat="1" applyFont="1" applyFill="1" applyBorder="1" applyAlignment="1" applyProtection="1">
      <alignment horizontal="center" vertical="justify"/>
    </xf>
    <xf numFmtId="2" fontId="23" fillId="24" borderId="67" xfId="0" applyNumberFormat="1" applyFont="1" applyFill="1" applyBorder="1" applyAlignment="1" applyProtection="1">
      <alignment horizontal="center" vertical="justify"/>
    </xf>
    <xf numFmtId="2" fontId="23" fillId="24" borderId="139" xfId="0" applyNumberFormat="1" applyFont="1" applyFill="1" applyBorder="1" applyAlignment="1" applyProtection="1">
      <alignment horizontal="center" vertical="justify"/>
    </xf>
    <xf numFmtId="0" fontId="23" fillId="0" borderId="141" xfId="0" applyFont="1" applyFill="1" applyBorder="1" applyAlignment="1" applyProtection="1">
      <alignment horizontal="center" vertical="justify"/>
    </xf>
    <xf numFmtId="0" fontId="29" fillId="26" borderId="86" xfId="0" applyFont="1" applyFill="1" applyBorder="1" applyAlignment="1" applyProtection="1">
      <alignment horizontal="center" vertical="justify"/>
    </xf>
    <xf numFmtId="0" fontId="29" fillId="26" borderId="87" xfId="0" applyFont="1" applyFill="1" applyBorder="1" applyAlignment="1" applyProtection="1">
      <alignment horizontal="center" vertical="justify"/>
    </xf>
    <xf numFmtId="0" fontId="23" fillId="0" borderId="48" xfId="0" applyFont="1" applyBorder="1" applyAlignment="1" applyProtection="1">
      <alignment horizontal="center" vertical="center"/>
    </xf>
    <xf numFmtId="0" fontId="23" fillId="0" borderId="49" xfId="0" applyFont="1" applyBorder="1" applyAlignment="1" applyProtection="1">
      <alignment horizontal="center" vertical="center"/>
    </xf>
    <xf numFmtId="0" fontId="23" fillId="0" borderId="67" xfId="0" applyFont="1" applyBorder="1" applyAlignment="1" applyProtection="1">
      <alignment horizontal="center" vertical="center"/>
    </xf>
    <xf numFmtId="0" fontId="23" fillId="0" borderId="139" xfId="0" applyFont="1" applyBorder="1" applyAlignment="1" applyProtection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139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3" fillId="0" borderId="74" xfId="0" applyFont="1" applyFill="1" applyBorder="1" applyAlignment="1" applyProtection="1">
      <alignment horizontal="center" vertical="center"/>
    </xf>
    <xf numFmtId="0" fontId="23" fillId="0" borderId="54" xfId="0" applyFont="1" applyFill="1" applyBorder="1" applyAlignment="1" applyProtection="1">
      <alignment horizontal="center" vertical="center"/>
    </xf>
    <xf numFmtId="0" fontId="23" fillId="0" borderId="53" xfId="0" applyFont="1" applyFill="1" applyBorder="1" applyAlignment="1" applyProtection="1">
      <alignment horizontal="center" vertical="center"/>
    </xf>
    <xf numFmtId="2" fontId="29" fillId="41" borderId="48" xfId="0" applyNumberFormat="1" applyFont="1" applyFill="1" applyBorder="1" applyAlignment="1" applyProtection="1">
      <alignment horizontal="center" vertical="center"/>
    </xf>
    <xf numFmtId="2" fontId="29" fillId="41" borderId="49" xfId="0" applyNumberFormat="1" applyFont="1" applyFill="1" applyBorder="1" applyAlignment="1" applyProtection="1">
      <alignment horizontal="center" vertical="center"/>
    </xf>
    <xf numFmtId="2" fontId="29" fillId="41" borderId="67" xfId="0" applyNumberFormat="1" applyFont="1" applyFill="1" applyBorder="1" applyAlignment="1" applyProtection="1">
      <alignment horizontal="center" vertical="center"/>
    </xf>
    <xf numFmtId="2" fontId="29" fillId="41" borderId="139" xfId="0" applyNumberFormat="1" applyFont="1" applyFill="1" applyBorder="1" applyAlignment="1" applyProtection="1">
      <alignment horizontal="center" vertical="center"/>
    </xf>
    <xf numFmtId="0" fontId="0" fillId="0" borderId="85" xfId="0" applyBorder="1" applyAlignment="1">
      <alignment horizontal="center" vertical="center"/>
    </xf>
    <xf numFmtId="2" fontId="29" fillId="41" borderId="89" xfId="0" applyNumberFormat="1" applyFont="1" applyFill="1" applyBorder="1" applyAlignment="1" applyProtection="1">
      <alignment horizontal="center" vertical="center"/>
    </xf>
    <xf numFmtId="0" fontId="23" fillId="79" borderId="127" xfId="0" applyFont="1" applyFill="1" applyBorder="1" applyAlignment="1"/>
    <xf numFmtId="0" fontId="0" fillId="79" borderId="126" xfId="0" applyFill="1" applyBorder="1" applyAlignment="1"/>
    <xf numFmtId="0" fontId="0" fillId="79" borderId="137" xfId="0" applyFill="1" applyBorder="1" applyAlignment="1"/>
    <xf numFmtId="2" fontId="23" fillId="24" borderId="142" xfId="0" applyNumberFormat="1" applyFont="1" applyFill="1" applyBorder="1" applyAlignment="1" applyProtection="1">
      <alignment horizontal="center" vertical="justify"/>
    </xf>
    <xf numFmtId="2" fontId="29" fillId="75" borderId="48" xfId="0" applyNumberFormat="1" applyFont="1" applyFill="1" applyBorder="1" applyAlignment="1" applyProtection="1">
      <alignment horizontal="center" vertical="center"/>
    </xf>
    <xf numFmtId="2" fontId="29" fillId="75" borderId="49" xfId="0" applyNumberFormat="1" applyFont="1" applyFill="1" applyBorder="1" applyAlignment="1" applyProtection="1">
      <alignment horizontal="center" vertical="center"/>
    </xf>
    <xf numFmtId="2" fontId="29" fillId="75" borderId="139" xfId="0" applyNumberFormat="1" applyFont="1" applyFill="1" applyBorder="1" applyAlignment="1" applyProtection="1">
      <alignment horizontal="center" vertical="center"/>
    </xf>
    <xf numFmtId="2" fontId="29" fillId="75" borderId="67" xfId="0" applyNumberFormat="1" applyFont="1" applyFill="1" applyBorder="1" applyAlignment="1" applyProtection="1">
      <alignment horizontal="center" vertical="center"/>
    </xf>
    <xf numFmtId="0" fontId="203" fillId="82" borderId="21" xfId="0" applyFont="1" applyFill="1" applyBorder="1" applyAlignment="1" applyProtection="1">
      <alignment horizontal="center" vertical="center"/>
    </xf>
    <xf numFmtId="0" fontId="203" fillId="82" borderId="22" xfId="0" applyFont="1" applyFill="1" applyBorder="1" applyAlignment="1" applyProtection="1">
      <alignment horizontal="center" vertical="center"/>
    </xf>
    <xf numFmtId="0" fontId="203" fillId="82" borderId="40" xfId="0" applyFont="1" applyFill="1" applyBorder="1" applyAlignment="1" applyProtection="1">
      <alignment horizontal="center" vertical="center"/>
    </xf>
    <xf numFmtId="0" fontId="203" fillId="82" borderId="29" xfId="0" applyFont="1" applyFill="1" applyBorder="1" applyAlignment="1" applyProtection="1">
      <alignment horizontal="center"/>
    </xf>
    <xf numFmtId="0" fontId="203" fillId="82" borderId="25" xfId="0" applyFont="1" applyFill="1" applyBorder="1" applyAlignment="1" applyProtection="1">
      <alignment horizontal="center"/>
    </xf>
    <xf numFmtId="0" fontId="203" fillId="82" borderId="26" xfId="0" applyFont="1" applyFill="1" applyBorder="1" applyAlignment="1" applyProtection="1">
      <alignment horizontal="center"/>
    </xf>
    <xf numFmtId="0" fontId="203" fillId="82" borderId="21" xfId="0" applyFont="1" applyFill="1" applyBorder="1" applyAlignment="1" applyProtection="1">
      <alignment horizontal="center"/>
    </xf>
    <xf numFmtId="0" fontId="203" fillId="82" borderId="22" xfId="0" applyFont="1" applyFill="1" applyBorder="1" applyAlignment="1" applyProtection="1">
      <alignment horizontal="center"/>
    </xf>
    <xf numFmtId="0" fontId="203" fillId="82" borderId="40" xfId="0" applyFont="1" applyFill="1" applyBorder="1" applyAlignment="1" applyProtection="1">
      <alignment horizontal="center"/>
    </xf>
    <xf numFmtId="0" fontId="23" fillId="43" borderId="74" xfId="0" applyFont="1" applyFill="1" applyBorder="1" applyAlignment="1" applyProtection="1">
      <alignment horizontal="center" vertical="justify"/>
    </xf>
    <xf numFmtId="0" fontId="23" fillId="43" borderId="54" xfId="0" applyFont="1" applyFill="1" applyBorder="1" applyAlignment="1" applyProtection="1">
      <alignment horizontal="center" vertical="justify"/>
    </xf>
    <xf numFmtId="0" fontId="23" fillId="43" borderId="53" xfId="0" applyFont="1" applyFill="1" applyBorder="1" applyAlignment="1" applyProtection="1">
      <alignment horizontal="center" vertical="justify"/>
    </xf>
    <xf numFmtId="0" fontId="23" fillId="43" borderId="141" xfId="0" applyFont="1" applyFill="1" applyBorder="1" applyAlignment="1">
      <alignment horizontal="center" vertical="center"/>
    </xf>
    <xf numFmtId="0" fontId="23" fillId="43" borderId="54" xfId="0" applyFont="1" applyFill="1" applyBorder="1" applyAlignment="1">
      <alignment horizontal="center" vertical="center"/>
    </xf>
    <xf numFmtId="0" fontId="23" fillId="43" borderId="53" xfId="0" applyFont="1" applyFill="1" applyBorder="1" applyAlignment="1">
      <alignment horizontal="center" vertical="center"/>
    </xf>
    <xf numFmtId="0" fontId="21" fillId="40" borderId="76" xfId="0" applyNumberFormat="1" applyFont="1" applyFill="1" applyBorder="1" applyAlignment="1" applyProtection="1">
      <alignment horizontal="center" vertical="center"/>
    </xf>
    <xf numFmtId="0" fontId="0" fillId="40" borderId="77" xfId="0" applyFill="1" applyBorder="1" applyAlignment="1">
      <alignment horizontal="center" vertical="center"/>
    </xf>
    <xf numFmtId="0" fontId="21" fillId="0" borderId="28" xfId="0" applyNumberFormat="1" applyFont="1" applyBorder="1" applyAlignment="1" applyProtection="1">
      <alignment horizontal="center" vertical="center"/>
    </xf>
    <xf numFmtId="0" fontId="21" fillId="0" borderId="47" xfId="0" applyNumberFormat="1" applyFont="1" applyBorder="1" applyAlignment="1" applyProtection="1">
      <alignment horizontal="center" vertical="center"/>
    </xf>
    <xf numFmtId="0" fontId="21" fillId="0" borderId="19" xfId="0" applyNumberFormat="1" applyFont="1" applyBorder="1" applyAlignment="1" applyProtection="1">
      <alignment horizontal="center" vertical="center"/>
    </xf>
    <xf numFmtId="0" fontId="21" fillId="0" borderId="42" xfId="0" applyNumberFormat="1" applyFont="1" applyBorder="1" applyAlignment="1" applyProtection="1">
      <alignment horizontal="center" vertical="center"/>
    </xf>
    <xf numFmtId="0" fontId="21" fillId="0" borderId="43" xfId="0" applyNumberFormat="1" applyFont="1" applyBorder="1" applyAlignment="1" applyProtection="1">
      <alignment horizontal="center" vertical="center"/>
    </xf>
    <xf numFmtId="0" fontId="21" fillId="0" borderId="44" xfId="0" applyNumberFormat="1" applyFont="1" applyBorder="1" applyAlignment="1" applyProtection="1">
      <alignment horizontal="center" vertical="center"/>
    </xf>
    <xf numFmtId="0" fontId="23" fillId="0" borderId="21" xfId="0" applyFont="1" applyFill="1" applyBorder="1" applyAlignment="1" applyProtection="1">
      <alignment horizontal="center"/>
      <protection locked="0"/>
    </xf>
    <xf numFmtId="0" fontId="23" fillId="0" borderId="40" xfId="0" applyFont="1" applyFill="1" applyBorder="1" applyAlignment="1" applyProtection="1">
      <alignment horizontal="center"/>
      <protection locked="0"/>
    </xf>
    <xf numFmtId="0" fontId="23" fillId="25" borderId="21" xfId="0" applyFont="1" applyFill="1" applyBorder="1" applyAlignment="1" applyProtection="1">
      <alignment horizontal="center"/>
      <protection locked="0"/>
    </xf>
    <xf numFmtId="0" fontId="23" fillId="25" borderId="40" xfId="0" applyFont="1" applyFill="1" applyBorder="1" applyAlignment="1" applyProtection="1">
      <alignment horizontal="center"/>
      <protection locked="0"/>
    </xf>
    <xf numFmtId="0" fontId="23" fillId="24" borderId="21" xfId="0" applyFont="1" applyFill="1" applyBorder="1" applyAlignment="1" applyProtection="1">
      <alignment horizontal="center"/>
      <protection locked="0"/>
    </xf>
    <xf numFmtId="0" fontId="23" fillId="24" borderId="40" xfId="0" applyFont="1" applyFill="1" applyBorder="1" applyAlignment="1" applyProtection="1">
      <alignment horizontal="center"/>
      <protection locked="0"/>
    </xf>
    <xf numFmtId="0" fontId="23" fillId="0" borderId="28" xfId="0" applyFont="1" applyFill="1" applyBorder="1" applyAlignment="1" applyProtection="1">
      <alignment horizontal="center" vertical="center"/>
    </xf>
    <xf numFmtId="0" fontId="23" fillId="0" borderId="47" xfId="0" applyFont="1" applyFill="1" applyBorder="1" applyAlignment="1" applyProtection="1">
      <alignment horizontal="center" vertical="center"/>
    </xf>
    <xf numFmtId="0" fontId="23" fillId="0" borderId="19" xfId="0" applyFont="1" applyFill="1" applyBorder="1" applyAlignment="1" applyProtection="1">
      <alignment horizontal="center" vertical="center"/>
    </xf>
    <xf numFmtId="0" fontId="21" fillId="76" borderId="42" xfId="0" applyNumberFormat="1" applyFont="1" applyFill="1" applyBorder="1" applyAlignment="1" applyProtection="1">
      <alignment horizontal="center" vertical="center"/>
    </xf>
    <xf numFmtId="0" fontId="21" fillId="76" borderId="43" xfId="0" applyNumberFormat="1" applyFont="1" applyFill="1" applyBorder="1" applyAlignment="1" applyProtection="1">
      <alignment horizontal="center" vertical="center"/>
    </xf>
    <xf numFmtId="0" fontId="21" fillId="76" borderId="44" xfId="0" applyNumberFormat="1" applyFont="1" applyFill="1" applyBorder="1" applyAlignment="1" applyProtection="1">
      <alignment horizontal="center" vertical="center"/>
    </xf>
    <xf numFmtId="0" fontId="21" fillId="0" borderId="28" xfId="0" applyNumberFormat="1" applyFont="1" applyFill="1" applyBorder="1" applyAlignment="1" applyProtection="1">
      <alignment horizontal="center" vertical="center"/>
    </xf>
    <xf numFmtId="0" fontId="21" fillId="0" borderId="47" xfId="0" applyNumberFormat="1" applyFont="1" applyFill="1" applyBorder="1" applyAlignment="1" applyProtection="1">
      <alignment horizontal="center" vertical="center"/>
    </xf>
    <xf numFmtId="0" fontId="21" fillId="0" borderId="19" xfId="0" applyNumberFormat="1" applyFont="1" applyFill="1" applyBorder="1" applyAlignment="1" applyProtection="1">
      <alignment horizontal="center" vertical="center"/>
    </xf>
    <xf numFmtId="0" fontId="21" fillId="39" borderId="28" xfId="0" applyNumberFormat="1" applyFont="1" applyFill="1" applyBorder="1" applyAlignment="1" applyProtection="1">
      <alignment horizontal="center" vertical="center"/>
    </xf>
    <xf numFmtId="0" fontId="21" fillId="39" borderId="47" xfId="0" applyNumberFormat="1" applyFont="1" applyFill="1" applyBorder="1" applyAlignment="1" applyProtection="1">
      <alignment horizontal="center" vertical="center"/>
    </xf>
    <xf numFmtId="0" fontId="21" fillId="39" borderId="19" xfId="0" applyNumberFormat="1" applyFont="1" applyFill="1" applyBorder="1" applyAlignment="1" applyProtection="1">
      <alignment horizontal="center" vertical="center"/>
    </xf>
    <xf numFmtId="0" fontId="21" fillId="0" borderId="42" xfId="0" applyNumberFormat="1" applyFont="1" applyFill="1" applyBorder="1" applyAlignment="1" applyProtection="1">
      <alignment horizontal="center" vertical="center"/>
    </xf>
    <xf numFmtId="0" fontId="21" fillId="0" borderId="43" xfId="0" applyNumberFormat="1" applyFont="1" applyFill="1" applyBorder="1" applyAlignment="1" applyProtection="1">
      <alignment horizontal="center" vertical="center"/>
    </xf>
    <xf numFmtId="0" fontId="21" fillId="0" borderId="44" xfId="0" applyNumberFormat="1" applyFont="1" applyFill="1" applyBorder="1" applyAlignment="1" applyProtection="1">
      <alignment horizontal="center" vertical="center"/>
    </xf>
    <xf numFmtId="0" fontId="244" fillId="0" borderId="42" xfId="0" applyNumberFormat="1" applyFont="1" applyFill="1" applyBorder="1" applyAlignment="1" applyProtection="1">
      <alignment horizontal="center" vertical="center"/>
    </xf>
    <xf numFmtId="0" fontId="244" fillId="0" borderId="43" xfId="0" applyNumberFormat="1" applyFont="1" applyFill="1" applyBorder="1" applyAlignment="1" applyProtection="1">
      <alignment horizontal="center" vertical="center"/>
    </xf>
    <xf numFmtId="0" fontId="244" fillId="0" borderId="44" xfId="0" applyNumberFormat="1" applyFont="1" applyFill="1" applyBorder="1" applyAlignment="1" applyProtection="1">
      <alignment horizontal="center" vertical="center"/>
    </xf>
    <xf numFmtId="0" fontId="104" fillId="0" borderId="0" xfId="0" applyFont="1" applyAlignment="1">
      <alignment horizontal="center"/>
    </xf>
    <xf numFmtId="0" fontId="104" fillId="0" borderId="0" xfId="0" applyFont="1" applyFill="1" applyAlignment="1">
      <alignment horizontal="center"/>
    </xf>
    <xf numFmtId="4" fontId="23" fillId="25" borderId="100" xfId="0" applyNumberFormat="1" applyFont="1" applyFill="1" applyBorder="1" applyAlignment="1" applyProtection="1">
      <alignment horizontal="center" vertical="center"/>
    </xf>
    <xf numFmtId="4" fontId="23" fillId="25" borderId="101" xfId="0" applyNumberFormat="1" applyFont="1" applyFill="1" applyBorder="1" applyAlignment="1" applyProtection="1">
      <alignment horizontal="center" vertical="center"/>
    </xf>
    <xf numFmtId="4" fontId="23" fillId="25" borderId="102" xfId="0" applyNumberFormat="1" applyFont="1" applyFill="1" applyBorder="1" applyAlignment="1" applyProtection="1">
      <alignment horizontal="center" vertical="center"/>
    </xf>
    <xf numFmtId="4" fontId="34" fillId="25" borderId="48" xfId="0" applyNumberFormat="1" applyFont="1" applyFill="1" applyBorder="1" applyAlignment="1" applyProtection="1">
      <alignment horizontal="center" vertical="center"/>
    </xf>
    <xf numFmtId="4" fontId="34" fillId="25" borderId="49" xfId="0" applyNumberFormat="1" applyFont="1" applyFill="1" applyBorder="1" applyAlignment="1" applyProtection="1">
      <alignment horizontal="center" vertical="center"/>
    </xf>
    <xf numFmtId="4" fontId="34" fillId="25" borderId="67" xfId="0" applyNumberFormat="1" applyFont="1" applyFill="1" applyBorder="1" applyAlignment="1" applyProtection="1">
      <alignment horizontal="center" vertical="center"/>
    </xf>
    <xf numFmtId="0" fontId="34" fillId="25" borderId="98" xfId="0" applyNumberFormat="1" applyFont="1" applyFill="1" applyBorder="1" applyAlignment="1" applyProtection="1">
      <alignment horizontal="center" vertical="center"/>
    </xf>
    <xf numFmtId="0" fontId="34" fillId="25" borderId="99" xfId="0" applyNumberFormat="1" applyFont="1" applyFill="1" applyBorder="1" applyAlignment="1" applyProtection="1">
      <alignment horizontal="center" vertical="center"/>
    </xf>
    <xf numFmtId="4" fontId="34" fillId="25" borderId="96" xfId="0" applyNumberFormat="1" applyFont="1" applyFill="1" applyBorder="1" applyAlignment="1" applyProtection="1">
      <alignment horizontal="center" vertical="center"/>
    </xf>
    <xf numFmtId="4" fontId="34" fillId="25" borderId="97" xfId="0" applyNumberFormat="1" applyFont="1" applyFill="1" applyBorder="1" applyAlignment="1" applyProtection="1">
      <alignment horizontal="center" vertical="center"/>
    </xf>
    <xf numFmtId="0" fontId="23" fillId="25" borderId="48" xfId="0" applyFont="1" applyFill="1" applyBorder="1" applyAlignment="1">
      <alignment horizontal="center" vertical="center" wrapText="1"/>
    </xf>
    <xf numFmtId="0" fontId="23" fillId="25" borderId="67" xfId="0" applyFont="1" applyFill="1" applyBorder="1" applyAlignment="1">
      <alignment horizontal="center" vertical="center" wrapText="1"/>
    </xf>
    <xf numFmtId="4" fontId="34" fillId="25" borderId="15" xfId="0" applyNumberFormat="1" applyFont="1" applyFill="1" applyBorder="1" applyAlignment="1" applyProtection="1">
      <alignment horizontal="center" vertical="center"/>
    </xf>
    <xf numFmtId="4" fontId="34" fillId="25" borderId="16" xfId="0" applyNumberFormat="1" applyFont="1" applyFill="1" applyBorder="1" applyAlignment="1" applyProtection="1">
      <alignment horizontal="center" vertical="center"/>
    </xf>
    <xf numFmtId="0" fontId="104" fillId="0" borderId="0" xfId="74" applyFont="1" applyAlignment="1">
      <alignment horizontal="center"/>
    </xf>
  </cellXfs>
  <cellStyles count="1644">
    <cellStyle name=" 1" xfId="863"/>
    <cellStyle name="??" xfId="270"/>
    <cellStyle name="?? ?? ?????_CONVERSE ORDER.xls Chart 1" xfId="271"/>
    <cellStyle name="?? [0]_Book3" xfId="272"/>
    <cellStyle name="?????_CONVERSE ORDER.xls Chart 1" xfId="273"/>
    <cellStyle name="???[0]_LOAD-W" xfId="274"/>
    <cellStyle name="???_2001SeptemberINDO (1)" xfId="275"/>
    <cellStyle name="??[0]_PRESHPY3" xfId="276"/>
    <cellStyle name="??_1Y883" xfId="277"/>
    <cellStyle name="??a??e [0.00]_PRODUCT DETAIL Q1" xfId="278"/>
    <cellStyle name="??a??e_PRODUCT DETAIL Q1" xfId="279"/>
    <cellStyle name="??Y [0.00]_PRODUCT DETAIL Q1" xfId="280"/>
    <cellStyle name="??Y_PRODUCT DETAIL Q1" xfId="281"/>
    <cellStyle name="??? [0.00]_PRODUCT DETAIL Q1" xfId="282"/>
    <cellStyle name="???_PRODUCT DETAIL Q1" xfId="283"/>
    <cellStyle name="?@!Ae_PRESHPY3" xfId="284"/>
    <cellStyle name="?…????è [0.00]_laroux" xfId="285"/>
    <cellStyle name="?…????è_laroux" xfId="286"/>
    <cellStyle name="?…?a?e [0.00]_laroux" xfId="287"/>
    <cellStyle name="?…?a?e_laroux" xfId="288"/>
    <cellStyle name="?d?A|i[0]_PRSP121" xfId="289"/>
    <cellStyle name="?d?A|i_PRSP121" xfId="290"/>
    <cellStyle name="?W?_BOOKSHIP" xfId="291"/>
    <cellStyle name="?W弨_laroux" xfId="292"/>
    <cellStyle name="? [0.00]_PRODUCT DETAIL Q1" xfId="293"/>
    <cellStyle name="?_PRODUCT DETAIL Q1" xfId="294"/>
    <cellStyle name="?遽_97曖濰棟溘天遴艙啗?" xfId="295"/>
    <cellStyle name="_11 buy 排柜明细" xfId="296"/>
    <cellStyle name="_1Y883" xfId="297"/>
    <cellStyle name="_1Y883_GLX1004-0059 Converse YT (Trade card)" xfId="298"/>
    <cellStyle name="_2007.1.15 0#" xfId="299"/>
    <cellStyle name="_2007.1.15 0#_Canada Sep" xfId="300"/>
    <cellStyle name="_2007.1.15 0#_EUROPE Jul" xfId="301"/>
    <cellStyle name="_2007.1.15 0#_EUROPE May" xfId="302"/>
    <cellStyle name="_2007.1.15 0#_EUROPE May_APL COLORADO V.008E" xfId="303"/>
    <cellStyle name="_2007.1.15 0#_EUROPE May_APL COLORADO V.008E_GLX11030133 Converse CIW (Trade card)" xfId="304"/>
    <cellStyle name="_2007.1.15 0#_EUROPE May_HANJIN BOSTON V.0049E" xfId="305"/>
    <cellStyle name="_2007.1.15 0#_EUROPE May_HANJIN BOSTON V.0049E_GLX11030133 Converse CIW (Trade card)" xfId="306"/>
    <cellStyle name="_2007.1.15 0#_EUROPE May_USA June" xfId="307"/>
    <cellStyle name="_2007.1.15 0#_EUROPE May_USA June_GLX11030133 Converse CIW (Trade card)" xfId="308"/>
    <cellStyle name="_2007.1.15 0#_EUROPE May_USA May" xfId="309"/>
    <cellStyle name="_2007.1.15 0#_USA Dec" xfId="310"/>
    <cellStyle name="_2007.1.15 0#_USA Jan" xfId="311"/>
    <cellStyle name="_2007.1.15 0#_USA Jan_PX1007-0947 Converse USA air LC" xfId="312"/>
    <cellStyle name="_2007.1.15 0#_USA Nov" xfId="313"/>
    <cellStyle name="_2007.1.15 0#_USA Nov_GLX11030133 Converse CIW (Trade card)" xfId="314"/>
    <cellStyle name="_2007.1.15 0#_USA Nov_PX1007-0947 Converse USA air LC" xfId="315"/>
    <cellStyle name="_2007.1.15 0#_USA Oct" xfId="316"/>
    <cellStyle name="_5523 of 10-09 by air" xfId="317"/>
    <cellStyle name="_5523 of 10-09 by air 2" xfId="1352"/>
    <cellStyle name="_5523 of 10-09 by air_PX1007-0947 Converse USA air LC" xfId="318"/>
    <cellStyle name="_5523 of apl singapore v105-1" xfId="319"/>
    <cellStyle name="_5523 of apl singapore v105-1 2" xfId="1353"/>
    <cellStyle name="_5523 of apl singapore v105-1_PX1007-0947 Converse USA air LC" xfId="320"/>
    <cellStyle name="_5523 of BY AIR" xfId="321"/>
    <cellStyle name="_5523 of BY AIR 2" xfId="1354"/>
    <cellStyle name="_5523 of BY AIR_PX1007-0947 Converse USA air LC" xfId="322"/>
    <cellStyle name="_5523 of clifford maersk v0609" xfId="323"/>
    <cellStyle name="_5523 of clifford maersk v0609 2" xfId="1355"/>
    <cellStyle name="_5523 of clifford maersk v0609_PX1007-0947 Converse USA air LC" xfId="324"/>
    <cellStyle name="_5523 of KATRINE MAERSK V.0610" xfId="325"/>
    <cellStyle name="_5523 of KATRINE MAERSK V.0610 2" xfId="1356"/>
    <cellStyle name="_5523 of KATRINE MAERSK V.0610_PX1007-0947 Converse USA air LC" xfId="326"/>
    <cellStyle name="_5523-ANNA MAERSK V.0905" xfId="327"/>
    <cellStyle name="_5523-ANNA MAERSK V.0905 2" xfId="1357"/>
    <cellStyle name="_5523-ANNA MAERSK V.0905_PX1007-0947 Converse USA air LC" xfId="328"/>
    <cellStyle name="_5523-APL CANADA V.166-2" xfId="329"/>
    <cellStyle name="_5523-APL CANADA V.166-2 2" xfId="1358"/>
    <cellStyle name="_5523-APL CANADA V.166-2_PX1007-0947 Converse USA air LC" xfId="330"/>
    <cellStyle name="_5523-APL ENGLAND 177E" xfId="331"/>
    <cellStyle name="_5523-APL ENGLAND 177E 2" xfId="1359"/>
    <cellStyle name="_5523-APL ENGLAND 177E_PX1007-0947 Converse USA air LC" xfId="332"/>
    <cellStyle name="_5523-APL Holland v.167-1" xfId="333"/>
    <cellStyle name="_5523-APL Holland v.167-1 2" xfId="1360"/>
    <cellStyle name="_5523-APL Holland v.167-1_PX1007-0947 Converse USA air LC" xfId="334"/>
    <cellStyle name="_5523-APL HOLLAND(HOL)V.176E" xfId="335"/>
    <cellStyle name="_5523-APL HOLLAND(HOL)V.176E 2" xfId="1361"/>
    <cellStyle name="_5523-APL HOLLAND(HOL)V.176E_PX1007-0947 Converse USA air LC" xfId="336"/>
    <cellStyle name="_5523-APL SCOTLAND V.175-1" xfId="337"/>
    <cellStyle name="_5523-APL SCOTLAND V.175-1 2" xfId="1362"/>
    <cellStyle name="_5523-APL SCOTLAND V.175-1_PX1007-0947 Converse USA air LC" xfId="338"/>
    <cellStyle name="_5523-APL SPAIN V.133-1" xfId="339"/>
    <cellStyle name="_5523-APL SPAIN V.133-1 2" xfId="1363"/>
    <cellStyle name="_5523-APL SPAIN V.133-1_PX1007-0947 Converse USA air LC" xfId="340"/>
    <cellStyle name="_5523-ARNOLD MAERSK V.0901" xfId="341"/>
    <cellStyle name="_5523-ARNOLD MAERSK V.0901 2" xfId="1364"/>
    <cellStyle name="_5523-ARNOLD MAERSK V.0901_PX1007-0947 Converse USA air LC" xfId="342"/>
    <cellStyle name="_5523-B-GRADE" xfId="343"/>
    <cellStyle name="_5523-B-GRADE 2" xfId="1365"/>
    <cellStyle name="_5523-B-GRADE_PX1007-0947 Converse USA air LC" xfId="344"/>
    <cellStyle name="_5523-COSCO PANAMA V.26E" xfId="345"/>
    <cellStyle name="_5523-COSCO PANAMA V.26E 2" xfId="1366"/>
    <cellStyle name="_5523-COSCO PANAMA V.26E_PX1007-0947 Converse USA air LC" xfId="346"/>
    <cellStyle name="_5523-COSCO QINGDAO V.0066E" xfId="347"/>
    <cellStyle name="_5523-COSCO QINGDAO V.0066E 2" xfId="1367"/>
    <cellStyle name="_5523-COSCO QINGDAO V.0066E_PX1007-0947 Converse USA air LC" xfId="348"/>
    <cellStyle name="_5523-COSCO SHANGHAI V.0055E" xfId="349"/>
    <cellStyle name="_5523-COSCO SHANGHAI V.0055E 2" xfId="1368"/>
    <cellStyle name="_5523-COSCO SHANGHAI V.0055E_PX1007-0947 Converse USA air LC" xfId="350"/>
    <cellStyle name="_5523-GERD MAERSK V.0903" xfId="351"/>
    <cellStyle name="_5523-GERD MAERSK V.0903 2" xfId="1369"/>
    <cellStyle name="_5523-GERD MAERSK V.0903_PX1007-0947 Converse USA air LC" xfId="352"/>
    <cellStyle name="_5523-GUDRUN MAERSK V.0908" xfId="353"/>
    <cellStyle name="_5523-GUDRUN MAERSK V.0908 2" xfId="1370"/>
    <cellStyle name="_5523-GUDRUN MAERSK V.0908_PX1007-0947 Converse USA air LC" xfId="354"/>
    <cellStyle name="_5523-H.INDEPENDENCE V 125E" xfId="355"/>
    <cellStyle name="_5523-H.INDEPENDENCE V 125E 2" xfId="1371"/>
    <cellStyle name="_5523-H.INDEPENDENCE V 125E_PX1007-0947 Converse USA air LC" xfId="356"/>
    <cellStyle name="_5523-HANJIN ATHENS 57E" xfId="357"/>
    <cellStyle name="_5523-HANJIN ATHENS 57E 2" xfId="1372"/>
    <cellStyle name="_5523-HANJIN ATHENS 57E_PX1007-0947 Converse USA air LC" xfId="358"/>
    <cellStyle name="_5523-HANJIN BALTIMORE V.38E" xfId="359"/>
    <cellStyle name="_5523-HANJIN BALTIMORE V.38E_PX1007-0947 Converse USA air LC" xfId="360"/>
    <cellStyle name="_5523-HANJIN COLOMBO V.102E" xfId="361"/>
    <cellStyle name="_5523-HANJIN COLOMBO V.102E 2" xfId="1373"/>
    <cellStyle name="_5523-HANJIN COLOMBO V.102E_PX1007-0947 Converse USA air LC" xfId="362"/>
    <cellStyle name="_5523-HANJIN GENEVA V.0058E" xfId="363"/>
    <cellStyle name="_5523-HANJIN GENEVA V.0058E 2" xfId="1374"/>
    <cellStyle name="_5523-HANJIN GENEVA V.0058E_PX1007-0947 Converse USA air LC" xfId="364"/>
    <cellStyle name="_5523-HANJIN MIAMI V.0036E" xfId="365"/>
    <cellStyle name="_5523-HANJIN MIAMI V.0036E 2" xfId="1375"/>
    <cellStyle name="_5523-HANJIN MIAMI V.0036E_PX1007-0947 Converse USA air LC" xfId="366"/>
    <cellStyle name="_5523-Hanjin ottawa 60e" xfId="367"/>
    <cellStyle name="_5523-Hanjin ottawa 60e 2" xfId="1376"/>
    <cellStyle name="_5523-Hanjin ottawa 60e_PX1007-0947 Converse USA air LC" xfId="368"/>
    <cellStyle name="_5523-HANJIN PARIS" xfId="369"/>
    <cellStyle name="_5523-HANJIN PARIS 2" xfId="1377"/>
    <cellStyle name="_5523-HANJIN PARIS_PX1007-0947 Converse USA air LC" xfId="370"/>
    <cellStyle name="_5523-HANJIN ROME V.0071E" xfId="371"/>
    <cellStyle name="_5523-HANJIN ROME V.0071E 2" xfId="1378"/>
    <cellStyle name="_5523-HANJIN ROME V.0071E_PX1007-0947 Converse USA air LC" xfId="372"/>
    <cellStyle name="_5523-HANJIN YANTIAN V.35E" xfId="373"/>
    <cellStyle name="_5523-HANJIN YANTIAN V.35E 2" xfId="1379"/>
    <cellStyle name="_5523-HANJIN YANTIAN V.35E_PX1007-0947 Converse USA air LC" xfId="374"/>
    <cellStyle name="_5523-MAERSK ALFIRK 0905" xfId="375"/>
    <cellStyle name="_5523-MAERSK ALFIRK 0905 2" xfId="1380"/>
    <cellStyle name="_5523-MAERSK ALFIRK 0905_PX1007-0947 Converse USA air LC" xfId="376"/>
    <cellStyle name="_5523-MAERSK DEVA 0906 (1)" xfId="377"/>
    <cellStyle name="_5523-MAERSK DEVA 0906 (1) 2" xfId="1381"/>
    <cellStyle name="_5523-MAERSK DEVA 0906 (1)_PX1007-0947 Converse USA air LC" xfId="378"/>
    <cellStyle name="_5523-MAERSK KARLSKRO 0804" xfId="379"/>
    <cellStyle name="_5523-MAERSK KARLSKRO 0804 2" xfId="1382"/>
    <cellStyle name="_5523-MAERSK KARLSKRO 0804_PX1007-0947 Converse USA air LC" xfId="380"/>
    <cellStyle name="_5523-MAERSK KARLSKRON V.0902" xfId="381"/>
    <cellStyle name="_5523-MAERSK KARLSKRON V.0902 2" xfId="1383"/>
    <cellStyle name="_5523-MAERSK KARLSKRON V.0902_PX1007-0947 Converse USA air LC" xfId="382"/>
    <cellStyle name="_5523-MAERSK KOTKA V.0808" xfId="383"/>
    <cellStyle name="_5523-MAERSK KOTKA V.0808-" xfId="384"/>
    <cellStyle name="_5523-MAERSK KOTKA V.0808 2" xfId="1384"/>
    <cellStyle name="_5523-MAERSK KOTKA V.0808- 2" xfId="1385"/>
    <cellStyle name="_5523-MAERSK KOTKA V.0808_PX1007-0947 Converse USA air LC" xfId="385"/>
    <cellStyle name="_5523-MAERSK KOTKA V.0808-_PX1007-0947 Converse USA air LC" xfId="386"/>
    <cellStyle name="_5523-MARCHEN MAERSK V.0907" xfId="387"/>
    <cellStyle name="_5523-MARCHEN MAERSK V.0907_PX1007-0947 Converse USA air LC" xfId="388"/>
    <cellStyle name="_5523-METTE MAERSK V0907" xfId="389"/>
    <cellStyle name="_5523-METTE MAERSK V0907 2" xfId="1386"/>
    <cellStyle name="_5523-METTE MAERSK V0907_PX1007-0947 Converse USA air LC" xfId="390"/>
    <cellStyle name="_5523-MOL PARADISE V.021E" xfId="391"/>
    <cellStyle name="_5523-MOL PARADISE V.021E 2" xfId="1387"/>
    <cellStyle name="_5523-MOL PARADISE V.021E_PX1007-0947 Converse USA air LC" xfId="392"/>
    <cellStyle name="_5523-MOL PARADISE V.025E" xfId="393"/>
    <cellStyle name="_5523-MOL PARADISE V.025E 2" xfId="1388"/>
    <cellStyle name="_5523-MOL PARADISE V.025E_PX1007-0947 Converse USA air LC" xfId="394"/>
    <cellStyle name="_5523-MOL PARTNER V.037E" xfId="395"/>
    <cellStyle name="_5523-MOL PARTNER V.037E 2" xfId="1389"/>
    <cellStyle name="_5523-MOL PARTNER V.037E_PX1007-0947 Converse USA air LC" xfId="396"/>
    <cellStyle name="_5523-MOL PARTNER(PTE)V.040E" xfId="397"/>
    <cellStyle name="_5523-MOL PARTNER(PTE)V.040E 2" xfId="1390"/>
    <cellStyle name="_5523-MOL PARTNER(PTE)V.040E_PX1007-0947 Converse USA air LC" xfId="398"/>
    <cellStyle name="_5523-MOL PROSPERITY V.019E" xfId="399"/>
    <cellStyle name="_5523-MOL PROSPERITY V.019E 2" xfId="1391"/>
    <cellStyle name="_5523-MOL PROSPERITY V.019E_PX1007-0947 Converse USA air LC" xfId="400"/>
    <cellStyle name="_5523-PENANG SENATOR V.48E" xfId="401"/>
    <cellStyle name="_5523-PENANG SENATOR V.48E_PX1007-0947 Converse USA air LC" xfId="402"/>
    <cellStyle name="_5523-PORTLAND SENATOR V.0054E" xfId="403"/>
    <cellStyle name="_5523-PORTLAND SENATOR V.0054E 2" xfId="1392"/>
    <cellStyle name="_5523-PORTLAND SENATOR V.0054E_PX1007-0947 Converse USA air LC" xfId="404"/>
    <cellStyle name="_5523-RIVER ELEGANCE V.0135E" xfId="405"/>
    <cellStyle name="_5523-RIVER ELEGANCE V.0135E 2" xfId="1393"/>
    <cellStyle name="_5523-RIVER ELEGANCE V.0135E_PX1007-0947 Converse USA air LC" xfId="406"/>
    <cellStyle name="_5523-SL MICHIGAN 0906" xfId="407"/>
    <cellStyle name="_5523-SL MICHIGAN 0906 2" xfId="1394"/>
    <cellStyle name="_5523-SL MICHIGAN 0906_PX1007-0947 Converse USA air LC" xfId="408"/>
    <cellStyle name="_APL Earnest V.10E" xfId="409"/>
    <cellStyle name="_APL Earnest V.10E 2" xfId="1395"/>
    <cellStyle name="_APL Earnest V.10E_PX1007-0947 Converse USA air LC" xfId="410"/>
    <cellStyle name="_AUGUST BOOKING " xfId="411"/>
    <cellStyle name="_AUGUST BOOKING  2" xfId="1396"/>
    <cellStyle name="_AUGUST BOOKING _AUSTRALIA May" xfId="412"/>
    <cellStyle name="_AUGUST BOOKING _AUSTRALIA May 2" xfId="1397"/>
    <cellStyle name="_AUGUST BOOKING _NEW ZEALAND Dec" xfId="413"/>
    <cellStyle name="_AUGUST BOOKING _NEW ZEALAND Dec 2" xfId="1398"/>
    <cellStyle name="_AUGUST BOOKING _NEW ZEALAND Mar" xfId="414"/>
    <cellStyle name="_AUGUST BOOKING _PX1003-0336 Conquest Sport" xfId="415"/>
    <cellStyle name="_AUGUST BOOKING _PX1007-0947 Converse USA air LC" xfId="416"/>
    <cellStyle name="_AUGUST BOOKING _副本Licensee PK" xfId="417"/>
    <cellStyle name="_AUGUST BOOKING _副本Licensee_Invoice" xfId="418"/>
    <cellStyle name="_B grade 5523" xfId="419"/>
    <cellStyle name="_B grade 5523 2" xfId="1399"/>
    <cellStyle name="_B grade 5523_PX1007-0947 Converse USA air LC" xfId="420"/>
    <cellStyle name="_BL information" xfId="421"/>
    <cellStyle name="_BL information_APL KOREA V.107-1 SI" xfId="422"/>
    <cellStyle name="_BL information_APL KOREA V.107-1 SI_BL information" xfId="423"/>
    <cellStyle name="_BL information_BL information" xfId="424"/>
    <cellStyle name="_BL information_BL information_BL information" xfId="425"/>
    <cellStyle name="_BL information_BL information_BL information_APL KOREA V.107-1 SI" xfId="426"/>
    <cellStyle name="_BL information_BL information_BL information_APL KOREA V.107-1 SI_BL information" xfId="427"/>
    <cellStyle name="_BL information_BL information_BL information_BL information" xfId="428"/>
    <cellStyle name="_BL information_BL information_BL information_BL information_BL information" xfId="429"/>
    <cellStyle name="_BL information-1" xfId="430"/>
    <cellStyle name="_BL information-1_APL KOREA V.107-1 SI" xfId="431"/>
    <cellStyle name="_BL information-1_APL KOREA V.107-1 SI_BL information" xfId="432"/>
    <cellStyle name="_BL information-1_BL information" xfId="433"/>
    <cellStyle name="_BL information-1_BL information_BL information" xfId="434"/>
    <cellStyle name="_BL information-1_BL information_BL information_APL KOREA V.107-1 SI" xfId="435"/>
    <cellStyle name="_BL information-1_BL information_BL information_APL KOREA V.107-1 SI_BL information" xfId="436"/>
    <cellStyle name="_BL information-1_BL information_BL information_BL information" xfId="437"/>
    <cellStyle name="_BL information-1_BL information_BL information_BL information_BL information" xfId="438"/>
    <cellStyle name="_BL information-1_BL information_BL information_BL information_BL information_APL KOREA V.107-1 SI" xfId="439"/>
    <cellStyle name="_BL information-1_BL information_BL information_BL information_BL information_APL KOREA V.107-1 SI_BL information" xfId="440"/>
    <cellStyle name="_BL information-1_BL information_BL information_BL information_BL information_BL information" xfId="441"/>
    <cellStyle name="_BL information-1_BL information_BL information_BL information_BL information_BL information_BL information" xfId="442"/>
    <cellStyle name="_Book1" xfId="443"/>
    <cellStyle name="_Book1 2" xfId="1400"/>
    <cellStyle name="_Book1_PX1007-0947 Converse USA air LC" xfId="444"/>
    <cellStyle name="_by air 08-30" xfId="445"/>
    <cellStyle name="_by air 08-30 2" xfId="1401"/>
    <cellStyle name="_by air 08-30_PX1007-0947 Converse USA air LC" xfId="446"/>
    <cellStyle name="_Canada Sep" xfId="447"/>
    <cellStyle name="_Closures 2009 (2)" xfId="864"/>
    <cellStyle name="_Comparison of diff budgets value 10 02 2009-last (2)" xfId="865"/>
    <cellStyle name="_Converse Italy (sea-air)New" xfId="448"/>
    <cellStyle name="_Converse Italy (sea-air)New 2" xfId="1402"/>
    <cellStyle name="_Converse Italy (sea-air)New_AUSTRALIA May" xfId="449"/>
    <cellStyle name="_Converse Italy (sea-air)New_AUSTRALIA May 2" xfId="1403"/>
    <cellStyle name="_Converse Italy (sea-air)New_NEW ZEALAND Dec" xfId="450"/>
    <cellStyle name="_Converse Italy (sea-air)New_NEW ZEALAND Dec 2" xfId="1404"/>
    <cellStyle name="_Converse Italy (sea-air)New_NEW ZEALAND Mar" xfId="451"/>
    <cellStyle name="_Converse Italy (sea-air)New_PX1003-0336 Conquest Sport" xfId="452"/>
    <cellStyle name="_Converse Italy (sea-air)New_PX1007-0947 Converse USA air LC" xfId="453"/>
    <cellStyle name="_Converse Italy (sea-air)New_副本Licensee PK" xfId="454"/>
    <cellStyle name="_Converse Italy (sea-air)New_副本Licensee_Invoice" xfId="455"/>
    <cellStyle name="_ET_STYLE_NoName_00_" xfId="456"/>
    <cellStyle name="_ETD 0418 NEW-SO-HLC" xfId="457"/>
    <cellStyle name="_EUROPE Jul" xfId="458"/>
    <cellStyle name="_EUROPE May" xfId="459"/>
    <cellStyle name="_EUROPE May_APL COLORADO V.008E" xfId="460"/>
    <cellStyle name="_EUROPE May_APL COLORADO V.008E_GLX11030133 Converse CIW (Trade card)" xfId="461"/>
    <cellStyle name="_EUROPE May_HANJIN BOSTON V.0049E" xfId="462"/>
    <cellStyle name="_EUROPE May_HANJIN BOSTON V.0049E_GLX11030133 Converse CIW (Trade card)" xfId="463"/>
    <cellStyle name="_EUROPE May_USA June" xfId="464"/>
    <cellStyle name="_EUROPE May_USA June_GLX11030133 Converse CIW (Trade card)" xfId="465"/>
    <cellStyle name="_EUROPE May_USA May" xfId="466"/>
    <cellStyle name="_FA08 Confirmed 110308" xfId="467"/>
    <cellStyle name="_FA09 Confirmed 021809" xfId="468"/>
    <cellStyle name="_GW Maersk Kalmar V.0806" xfId="469"/>
    <cellStyle name="_GW Maersk Kalmar V.0806 2" xfId="1405"/>
    <cellStyle name="_GW Maersk Kalmar V.0806_PX1007-0947 Converse USA air LC" xfId="470"/>
    <cellStyle name="_HF06062005C" xfId="471"/>
    <cellStyle name="_HF06070405C" xfId="472"/>
    <cellStyle name="_HF06071003C" xfId="473"/>
    <cellStyle name="_HF06071701C" xfId="474"/>
    <cellStyle name="_HF06102305C" xfId="475"/>
    <cellStyle name="_HF06103001C PROMO" xfId="476"/>
    <cellStyle name="_HF-BKG Summary (2007-3-18)" xfId="477"/>
    <cellStyle name="_HF-BKG Summary (28)" xfId="478"/>
    <cellStyle name="_HF-BKG Summary (32)" xfId="479"/>
    <cellStyle name="_HO08 Confirmed 110308" xfId="480"/>
    <cellStyle name="_ITALY" xfId="481"/>
    <cellStyle name="_ITALY 2" xfId="1406"/>
    <cellStyle name="_ITALY_AUSTRALIA May" xfId="482"/>
    <cellStyle name="_ITALY_AUSTRALIA May 2" xfId="1407"/>
    <cellStyle name="_ITALY_NEW ZEALAND Dec" xfId="483"/>
    <cellStyle name="_ITALY_NEW ZEALAND Dec 2" xfId="1408"/>
    <cellStyle name="_ITALY_NEW ZEALAND Mar" xfId="484"/>
    <cellStyle name="_ITALY_PX1003-0336 Conquest Sport" xfId="485"/>
    <cellStyle name="_ITALY_PX1007-0947 Converse USA air LC" xfId="486"/>
    <cellStyle name="_ITALY_副本Licensee PK" xfId="487"/>
    <cellStyle name="_ITALY_副本Licensee_Invoice" xfId="488"/>
    <cellStyle name="_LOADING REPORT OF ANNA MAERSK V0905" xfId="489"/>
    <cellStyle name="_LOADING REPORT OF ANNA MAERSK V0905 2" xfId="1409"/>
    <cellStyle name="_LOADING REPORT OF ANNA MAERSK V0905_PX1007-0947 Converse USA air LC" xfId="490"/>
    <cellStyle name="_LOADING REPORT OF APL BELGIUM V.159-2" xfId="491"/>
    <cellStyle name="_LOADING REPORT OF APL BELGIUM V.159-2 2" xfId="1410"/>
    <cellStyle name="_LOADING REPORT OF APL BELGIUM V.159-2_PX1007-0947 Converse USA air LC" xfId="492"/>
    <cellStyle name="_LOADING REPORT OF APL CANADA V.166-2" xfId="493"/>
    <cellStyle name="_LOADING REPORT OF APL CANADA V.166-2 2" xfId="1411"/>
    <cellStyle name="_LOADING REPORT OF APL CANADA V.166-2_PX1007-0947 Converse USA air LC" xfId="494"/>
    <cellStyle name="_LOADING REPORT OF APL DENMARK V.145-1" xfId="495"/>
    <cellStyle name="_LOADING REPORT OF APL DENMARK V.145-1 2" xfId="1412"/>
    <cellStyle name="_LOADING REPORT OF APL DENMARK V.145-1_PX1007-0947 Converse USA air LC" xfId="496"/>
    <cellStyle name="_LOADING REPORT OF APL SPAIN V.133-1" xfId="497"/>
    <cellStyle name="_LOADING REPORT OF APL SPAIN V.133-1 2" xfId="1413"/>
    <cellStyle name="_LOADING REPORT OF APL SPAIN V.133-1_PX1007-0947 Converse USA air LC" xfId="498"/>
    <cellStyle name="_LOADING REPORT OF ARNOLD MAERSK V.0901" xfId="499"/>
    <cellStyle name="_LOADING REPORT OF ARNOLD MAERSK V.0901 2" xfId="1414"/>
    <cellStyle name="_LOADING REPORT OF ARNOLD MAERSK V.0901_PX1007-0947 Converse USA air LC" xfId="500"/>
    <cellStyle name="_LOADING REPORT OF COSCO PANAMA V.26E" xfId="501"/>
    <cellStyle name="_LOADING REPORT OF COSCO PANAMA V.26E 2" xfId="1415"/>
    <cellStyle name="_LOADING REPORT OF COSCO PANAMA V.26E_PX1007-0947 Converse USA air LC" xfId="502"/>
    <cellStyle name="_LOADING REPORT OF COSCO QINGDAO V.0066E" xfId="503"/>
    <cellStyle name="_LOADING REPORT OF COSCO QINGDAO V.0066E 2" xfId="1416"/>
    <cellStyle name="_LOADING REPORT OF COSCO QINGDAO V.0066E_PX1007-0947 Converse USA air LC" xfId="504"/>
    <cellStyle name="_LOADING REPORT OF COSCO SHANGHAI V.0055E" xfId="505"/>
    <cellStyle name="_LOADING REPORT OF COSCO SHANGHAI V.0055E 2" xfId="1417"/>
    <cellStyle name="_LOADING REPORT OF COSCO SHANGHAI V.0055E_PX1007-0947 Converse USA air LC" xfId="506"/>
    <cellStyle name="_LOADING REPORT OF H.INDEPENDENCE V 125E" xfId="507"/>
    <cellStyle name="_LOADING REPORT OF H.INDEPENDENCE V 125E 2" xfId="1418"/>
    <cellStyle name="_LOADING REPORT OF H.INDEPENDENCE V 125E_PX1007-0947 Converse USA air LC" xfId="508"/>
    <cellStyle name="_LOADING REPORT OF HANJIN ATHENS 57E-" xfId="509"/>
    <cellStyle name="_LOADING REPORT OF HANJIN ATHENS 57E- 2" xfId="1419"/>
    <cellStyle name="_LOADING REPORT OF HANJIN ATHENS 57E-_PX1007-0947 Converse USA air LC" xfId="510"/>
    <cellStyle name="_LOADING REPORT OF HANJIN COLOMBO V.102E" xfId="511"/>
    <cellStyle name="_LOADING REPORT OF HANJIN COLOMBO V.102E 2" xfId="1420"/>
    <cellStyle name="_LOADING REPORT OF HANJIN COLOMBO V.102E_PX1007-0947 Converse USA air LC" xfId="512"/>
    <cellStyle name="_LOADING REPORT OF HANJIN MIAMI V.0036E" xfId="513"/>
    <cellStyle name="_LOADING REPORT OF HANJIN MIAMI V.0036E 2" xfId="1421"/>
    <cellStyle name="_LOADING REPORT OF HANJIN MIAMI V.0036E_PX1007-0947 Converse USA air LC" xfId="514"/>
    <cellStyle name="_LOADING REPORT OF MAERSK SANTANA V.0903" xfId="515"/>
    <cellStyle name="_LOADING REPORT OF MAERSK SANTANA V.0903 2" xfId="1422"/>
    <cellStyle name="_LOADING REPORT OF MAERSK SANTANA V.0903_PX1007-0947 Converse USA air LC" xfId="516"/>
    <cellStyle name="_LOADING REPORT OF MAESRK KARLSKRON V.0902" xfId="517"/>
    <cellStyle name="_LOADING REPORT OF MAESRK KARLSKRON V.0902 2" xfId="1423"/>
    <cellStyle name="_LOADING REPORT OF MAESRK KARLSKRON V.0902_PX1007-0947 Converse USA air LC" xfId="518"/>
    <cellStyle name="_LOADING REPORT OF MARCHEN MAERSK V.0907" xfId="519"/>
    <cellStyle name="_LOADING REPORT OF MARCHEN MAERSK V.0907_PX1007-0947 Converse USA air LC" xfId="520"/>
    <cellStyle name="_LOADING REPORT OF MARSK KOTKA V.0808" xfId="521"/>
    <cellStyle name="_LOADING REPORT OF MARSK KOTKA V.0808 2" xfId="1424"/>
    <cellStyle name="_LOADING REPORT OF MARSK KOTKA V.0808_PX1007-0947 Converse USA air LC" xfId="522"/>
    <cellStyle name="_LOADING REPORT OF MOL PARADISE V.02" xfId="523"/>
    <cellStyle name="_LOADING REPORT OF MOL PARADISE V.02 2" xfId="1425"/>
    <cellStyle name="_LOADING REPORT OF MOL PARADISE V.02_PX1007-0947 Converse USA air LC" xfId="524"/>
    <cellStyle name="_LOADING REPORT OF PENANG SENATOR V.48E" xfId="525"/>
    <cellStyle name="_LOADING REPORT OF PENANG SENATOR V.48E_PX1007-0947 Converse USA air LC" xfId="526"/>
    <cellStyle name="_LOADING REPORT OF PORTLAND SENATOR V.0054" xfId="527"/>
    <cellStyle name="_LOADING REPORT OF PORTLAND SENATOR V.0054 2" xfId="1426"/>
    <cellStyle name="_LOADING REPORT OF PORTLAND SENATOR V.0054_PX1007-0947 Converse USA air LC" xfId="528"/>
    <cellStyle name="_LOADING REPORT OF RIVER ELEGANCE V.0135E" xfId="529"/>
    <cellStyle name="_LOADING REPORT OF RIVER ELEGANCE V.0135E 2" xfId="1427"/>
    <cellStyle name="_LOADING REPORT OF RIVER ELEGANCE V.0135E_PX1007-0947 Converse USA air LC" xfId="530"/>
    <cellStyle name="_Minutes of meetings 040309" xfId="866"/>
    <cellStyle name="_mol prosperity 005e" xfId="531"/>
    <cellStyle name="_mol prosperity 005e_PX1007-0947 Converse USA air LC" xfId="532"/>
    <cellStyle name="_NOVEMBER CBM  (1)" xfId="533"/>
    <cellStyle name="_NOVEMBER CBM  (1) 2" xfId="1428"/>
    <cellStyle name="_NOVEMBER CBM  (1)_AUSTRALIA May" xfId="534"/>
    <cellStyle name="_NOVEMBER CBM  (1)_AUSTRALIA May 2" xfId="1429"/>
    <cellStyle name="_NOVEMBER CBM  (1)_NEW ZEALAND Dec" xfId="535"/>
    <cellStyle name="_NOVEMBER CBM  (1)_NEW ZEALAND Dec 2" xfId="1430"/>
    <cellStyle name="_NOVEMBER CBM  (1)_NEW ZEALAND Mar" xfId="536"/>
    <cellStyle name="_NOVEMBER CBM  (1)_PX1003-0336 Conquest Sport" xfId="537"/>
    <cellStyle name="_NOVEMBER CBM  (1)_PX1007-0947 Converse USA air LC" xfId="538"/>
    <cellStyle name="_NOVEMBER CBM  (1)_副本Licensee PK" xfId="539"/>
    <cellStyle name="_NOVEMBER CBM  (1)_副本Licensee_Invoice" xfId="540"/>
    <cellStyle name="_PX0610982 - Converse Italy" xfId="541"/>
    <cellStyle name="_PX0610982 - Converse Italy_Canada Sep" xfId="542"/>
    <cellStyle name="_PX0610982 - Converse Italy_EUROPE Jul" xfId="543"/>
    <cellStyle name="_PX0610982 - Converse Italy_EUROPE May" xfId="544"/>
    <cellStyle name="_PX0610982 - Converse Italy_EUROPE May_APL COLORADO V.008E" xfId="545"/>
    <cellStyle name="_PX0610982 - Converse Italy_EUROPE May_APL COLORADO V.008E_GLX11030133 Converse CIW (Trade card)" xfId="546"/>
    <cellStyle name="_PX0610982 - Converse Italy_EUROPE May_HANJIN BOSTON V.0049E" xfId="547"/>
    <cellStyle name="_PX0610982 - Converse Italy_EUROPE May_HANJIN BOSTON V.0049E_GLX11030133 Converse CIW (Trade card)" xfId="548"/>
    <cellStyle name="_PX0610982 - Converse Italy_EUROPE May_USA June" xfId="549"/>
    <cellStyle name="_PX0610982 - Converse Italy_EUROPE May_USA June_GLX11030133 Converse CIW (Trade card)" xfId="550"/>
    <cellStyle name="_PX0610982 - Converse Italy_EUROPE May_USA May" xfId="551"/>
    <cellStyle name="_PX0610982 - Converse Italy_USA Dec" xfId="552"/>
    <cellStyle name="_PX0610982 - Converse Italy_USA Jan" xfId="553"/>
    <cellStyle name="_PX0610982 - Converse Italy_USA Jan_PX1007-0947 Converse USA air LC" xfId="554"/>
    <cellStyle name="_PX0610982 - Converse Italy_USA Nov" xfId="555"/>
    <cellStyle name="_PX0610982 - Converse Italy_USA Nov_GLX11030133 Converse CIW (Trade card)" xfId="556"/>
    <cellStyle name="_PX0610982 - Converse Italy_USA Nov_PX1007-0947 Converse USA air LC" xfId="557"/>
    <cellStyle name="_PX0610982 - Converse Italy_USA Oct" xfId="558"/>
    <cellStyle name="_PX0610987 - Converse Italy" xfId="559"/>
    <cellStyle name="_PX0610987 - Converse Italy_Canada Sep" xfId="560"/>
    <cellStyle name="_PX0610987 - Converse Italy_EUROPE Jul" xfId="561"/>
    <cellStyle name="_PX0610987 - Converse Italy_EUROPE May" xfId="562"/>
    <cellStyle name="_PX0610987 - Converse Italy_EUROPE May_APL COLORADO V.008E" xfId="563"/>
    <cellStyle name="_PX0610987 - Converse Italy_EUROPE May_APL COLORADO V.008E_GLX11030133 Converse CIW (Trade card)" xfId="564"/>
    <cellStyle name="_PX0610987 - Converse Italy_EUROPE May_HANJIN BOSTON V.0049E" xfId="565"/>
    <cellStyle name="_PX0610987 - Converse Italy_EUROPE May_HANJIN BOSTON V.0049E_GLX11030133 Converse CIW (Trade card)" xfId="566"/>
    <cellStyle name="_PX0610987 - Converse Italy_EUROPE May_USA June" xfId="567"/>
    <cellStyle name="_PX0610987 - Converse Italy_EUROPE May_USA June_GLX11030133 Converse CIW (Trade card)" xfId="568"/>
    <cellStyle name="_PX0610987 - Converse Italy_EUROPE May_USA May" xfId="569"/>
    <cellStyle name="_PX0610987 - Converse Italy_USA Dec" xfId="570"/>
    <cellStyle name="_PX0610987 - Converse Italy_USA Jan" xfId="571"/>
    <cellStyle name="_PX0610987 - Converse Italy_USA Jan_PX1007-0947 Converse USA air LC" xfId="572"/>
    <cellStyle name="_PX0610987 - Converse Italy_USA Nov" xfId="573"/>
    <cellStyle name="_PX0610987 - Converse Italy_USA Nov_GLX11030133 Converse CIW (Trade card)" xfId="574"/>
    <cellStyle name="_PX0610987 - Converse Italy_USA Nov_PX1007-0947 Converse USA air LC" xfId="575"/>
    <cellStyle name="_PX0610987 - Converse Italy_USA Oct" xfId="576"/>
    <cellStyle name="_PX06111068 - Converse Italy" xfId="577"/>
    <cellStyle name="_Sheet1" xfId="578"/>
    <cellStyle name="_Sheet1_Canada Sep" xfId="579"/>
    <cellStyle name="_Sheet1_EUROPE Jul" xfId="580"/>
    <cellStyle name="_Sheet1_EUROPE May" xfId="581"/>
    <cellStyle name="_Sheet1_EUROPE May_APL COLORADO V.008E" xfId="582"/>
    <cellStyle name="_Sheet1_EUROPE May_APL COLORADO V.008E_GLX11030133 Converse CIW (Trade card)" xfId="583"/>
    <cellStyle name="_Sheet1_EUROPE May_HANJIN BOSTON V.0049E" xfId="584"/>
    <cellStyle name="_Sheet1_EUROPE May_HANJIN BOSTON V.0049E_GLX11030133 Converse CIW (Trade card)" xfId="585"/>
    <cellStyle name="_Sheet1_EUROPE May_USA June" xfId="586"/>
    <cellStyle name="_Sheet1_EUROPE May_USA June_GLX11030133 Converse CIW (Trade card)" xfId="587"/>
    <cellStyle name="_Sheet1_EUROPE May_USA May" xfId="588"/>
    <cellStyle name="_Sheet1_USA Dec" xfId="589"/>
    <cellStyle name="_Sheet1_USA Jan" xfId="590"/>
    <cellStyle name="_Sheet1_USA Jan_PX1007-0947 Converse USA air LC" xfId="591"/>
    <cellStyle name="_Sheet1_USA Nov" xfId="592"/>
    <cellStyle name="_Sheet1_USA Nov_GLX11030133 Converse CIW (Trade card)" xfId="593"/>
    <cellStyle name="_Sheet1_USA Nov_PX1007-0947 Converse USA air LC" xfId="594"/>
    <cellStyle name="_Sheet1_USA Oct" xfId="595"/>
    <cellStyle name="_SP09 111508_021409 Cognos 021009" xfId="596"/>
    <cellStyle name="_SU09 021509_041409 Cognos 021209" xfId="597"/>
    <cellStyle name="_Tables for PP presentation (2)" xfId="867"/>
    <cellStyle name="_USA 0929 by air (1)" xfId="598"/>
    <cellStyle name="_USA 0929 by air (1) 2" xfId="1431"/>
    <cellStyle name="_USA 0929 by air (1)_PX1007-0947 Converse USA air LC" xfId="599"/>
    <cellStyle name="_USA Dec" xfId="600"/>
    <cellStyle name="_USA Jan" xfId="601"/>
    <cellStyle name="_USA Jan_PX1007-0947 Converse USA air LC" xfId="602"/>
    <cellStyle name="_USA Nov" xfId="603"/>
    <cellStyle name="_USA Nov_GLX11030133 Converse CIW (Trade card)" xfId="604"/>
    <cellStyle name="_USA Oct" xfId="605"/>
    <cellStyle name="_weight list" xfId="606"/>
    <cellStyle name="_weight list 2" xfId="1432"/>
    <cellStyle name="_weight list_PX1007-0947 Converse USA air LC" xfId="607"/>
    <cellStyle name="_副本HF-BKG Summary (28)" xfId="608"/>
    <cellStyle name="’?‰? [0.00]_laroux" xfId="609"/>
    <cellStyle name="’?‰?_laroux" xfId="610"/>
    <cellStyle name="’E?Y [0.00]_laroux" xfId="611"/>
    <cellStyle name="’E?Y_laroux" xfId="612"/>
    <cellStyle name="’Ê‰Ý [0.00]_laroux" xfId="613"/>
    <cellStyle name="’Ê‰Ý_laroux" xfId="614"/>
    <cellStyle name="=C:\WINDOWS\SYSTEM32\COMMAND.COM" xfId="615"/>
    <cellStyle name="•W_laroux" xfId="616"/>
    <cellStyle name="10" xfId="617"/>
    <cellStyle name="20% - Accent1" xfId="868"/>
    <cellStyle name="20% - Accent2" xfId="869"/>
    <cellStyle name="20% - Accent3" xfId="870"/>
    <cellStyle name="20% - Accent4" xfId="871"/>
    <cellStyle name="20% - Accent5" xfId="872"/>
    <cellStyle name="20% - Accent6" xfId="873"/>
    <cellStyle name="20% - akcent 1" xfId="874"/>
    <cellStyle name="20% - akcent 2" xfId="875"/>
    <cellStyle name="20% - akcent 3" xfId="876"/>
    <cellStyle name="20% - akcent 4" xfId="877"/>
    <cellStyle name="20% - akcent 5" xfId="878"/>
    <cellStyle name="20% - akcent 6" xfId="879"/>
    <cellStyle name="20% — акцент1" xfId="1" builtinId="30" customBuiltin="1"/>
    <cellStyle name="20% - Акцент1 2" xfId="2"/>
    <cellStyle name="20% — акцент1 2" xfId="1273"/>
    <cellStyle name="20% - Акцент1 2 2" xfId="880"/>
    <cellStyle name="20% - Акцент1 2 3" xfId="881"/>
    <cellStyle name="20% - Акцент1 3" xfId="99"/>
    <cellStyle name="20% — акцент2" xfId="3" builtinId="34" customBuiltin="1"/>
    <cellStyle name="20% - Акцент2 2" xfId="4"/>
    <cellStyle name="20% — акцент2 2" xfId="1274"/>
    <cellStyle name="20% - Акцент2 2 2" xfId="882"/>
    <cellStyle name="20% - Акцент2 2 3" xfId="883"/>
    <cellStyle name="20% - Акцент2 3" xfId="100"/>
    <cellStyle name="20% — акцент3" xfId="5" builtinId="38" customBuiltin="1"/>
    <cellStyle name="20% - Акцент3 2" xfId="6"/>
    <cellStyle name="20% — акцент3 2" xfId="1275"/>
    <cellStyle name="20% - Акцент3 2 2" xfId="884"/>
    <cellStyle name="20% - Акцент3 2 3" xfId="885"/>
    <cellStyle name="20% - Акцент3 3" xfId="101"/>
    <cellStyle name="20% — акцент4" xfId="7" builtinId="42" customBuiltin="1"/>
    <cellStyle name="20% - Акцент4 2" xfId="8"/>
    <cellStyle name="20% — акцент4 2" xfId="1276"/>
    <cellStyle name="20% - Акцент4 2 2" xfId="886"/>
    <cellStyle name="20% - Акцент4 2 3" xfId="887"/>
    <cellStyle name="20% - Акцент4 3" xfId="102"/>
    <cellStyle name="20% — акцент5" xfId="9" builtinId="46" customBuiltin="1"/>
    <cellStyle name="20% - Акцент5 2" xfId="10"/>
    <cellStyle name="20% — акцент5 2" xfId="1277"/>
    <cellStyle name="20% - Акцент5 2 2" xfId="888"/>
    <cellStyle name="20% - Акцент5 2 3" xfId="889"/>
    <cellStyle name="20% - Акцент5 3" xfId="103"/>
    <cellStyle name="20% — акцент6" xfId="11" builtinId="50" customBuiltin="1"/>
    <cellStyle name="20% - Акцент6 2" xfId="12"/>
    <cellStyle name="20% — акцент6 2" xfId="1278"/>
    <cellStyle name="20% - Акцент6 2 2" xfId="890"/>
    <cellStyle name="20% - Акцент6 2 3" xfId="891"/>
    <cellStyle name="20% - Акцент6 3" xfId="104"/>
    <cellStyle name="20% - 輔色1" xfId="618"/>
    <cellStyle name="20% - 輔色2" xfId="619"/>
    <cellStyle name="20% - 輔色3" xfId="620"/>
    <cellStyle name="20% - 輔色4" xfId="621"/>
    <cellStyle name="20% - 輔色5" xfId="622"/>
    <cellStyle name="20% - 輔色6" xfId="623"/>
    <cellStyle name="3f1o[0]_PRESHPY3" xfId="624"/>
    <cellStyle name="3f1o_PRESHPY3" xfId="625"/>
    <cellStyle name="40% - Accent1" xfId="892"/>
    <cellStyle name="40% - Accent2" xfId="893"/>
    <cellStyle name="40% - Accent3" xfId="894"/>
    <cellStyle name="40% - Accent4" xfId="895"/>
    <cellStyle name="40% - Accent5" xfId="896"/>
    <cellStyle name="40% - Accent6" xfId="897"/>
    <cellStyle name="40% - akcent 1" xfId="898"/>
    <cellStyle name="40% - akcent 2" xfId="899"/>
    <cellStyle name="40% - akcent 3" xfId="900"/>
    <cellStyle name="40% - akcent 4" xfId="901"/>
    <cellStyle name="40% - akcent 5" xfId="902"/>
    <cellStyle name="40% - akcent 6" xfId="903"/>
    <cellStyle name="40% — акцент1" xfId="13" builtinId="31" customBuiltin="1"/>
    <cellStyle name="40% - Акцент1 2" xfId="14"/>
    <cellStyle name="40% — акцент1 2" xfId="1279"/>
    <cellStyle name="40% - Акцент1 2 2" xfId="904"/>
    <cellStyle name="40% - Акцент1 2 3" xfId="905"/>
    <cellStyle name="40% - Акцент1 3" xfId="105"/>
    <cellStyle name="40% — акцент2" xfId="15" builtinId="35" customBuiltin="1"/>
    <cellStyle name="40% - Акцент2 2" xfId="16"/>
    <cellStyle name="40% — акцент2 2" xfId="1280"/>
    <cellStyle name="40% - Акцент2 2 2" xfId="906"/>
    <cellStyle name="40% - Акцент2 2 3" xfId="907"/>
    <cellStyle name="40% - Акцент2 3" xfId="106"/>
    <cellStyle name="40% — акцент3" xfId="17" builtinId="39" customBuiltin="1"/>
    <cellStyle name="40% - Акцент3 2" xfId="18"/>
    <cellStyle name="40% — акцент3 2" xfId="1281"/>
    <cellStyle name="40% - Акцент3 2 2" xfId="908"/>
    <cellStyle name="40% - Акцент3 2 3" xfId="909"/>
    <cellStyle name="40% - Акцент3 3" xfId="107"/>
    <cellStyle name="40% — акцент4" xfId="19" builtinId="43" customBuiltin="1"/>
    <cellStyle name="40% - Акцент4 2" xfId="20"/>
    <cellStyle name="40% — акцент4 2" xfId="1282"/>
    <cellStyle name="40% - Акцент4 2 2" xfId="910"/>
    <cellStyle name="40% - Акцент4 2 3" xfId="911"/>
    <cellStyle name="40% - Акцент4 3" xfId="108"/>
    <cellStyle name="40% — акцент5" xfId="21" builtinId="47" customBuiltin="1"/>
    <cellStyle name="40% - Акцент5 2" xfId="22"/>
    <cellStyle name="40% — акцент5 2" xfId="1283"/>
    <cellStyle name="40% - Акцент5 2 2" xfId="912"/>
    <cellStyle name="40% - Акцент5 2 3" xfId="913"/>
    <cellStyle name="40% - Акцент5 3" xfId="109"/>
    <cellStyle name="40% — акцент6" xfId="23" builtinId="51" customBuiltin="1"/>
    <cellStyle name="40% - Акцент6 2" xfId="24"/>
    <cellStyle name="40% — акцент6 2" xfId="1284"/>
    <cellStyle name="40% - Акцент6 2 2" xfId="914"/>
    <cellStyle name="40% - Акцент6 2 3" xfId="915"/>
    <cellStyle name="40% - Акцент6 3" xfId="110"/>
    <cellStyle name="40% - 輔色1" xfId="626"/>
    <cellStyle name="40% - 輔色2" xfId="627"/>
    <cellStyle name="40% - 輔色3" xfId="628"/>
    <cellStyle name="40% - 輔色4" xfId="629"/>
    <cellStyle name="40% - 輔色5" xfId="630"/>
    <cellStyle name="40% - 輔色6" xfId="631"/>
    <cellStyle name="60% - Accent1" xfId="916"/>
    <cellStyle name="60% - Accent2" xfId="917"/>
    <cellStyle name="60% - Accent3" xfId="918"/>
    <cellStyle name="60% - Accent4" xfId="919"/>
    <cellStyle name="60% - Accent5" xfId="920"/>
    <cellStyle name="60% - Accent6" xfId="921"/>
    <cellStyle name="60% - akcent 1" xfId="922"/>
    <cellStyle name="60% - akcent 2" xfId="923"/>
    <cellStyle name="60% - akcent 3" xfId="924"/>
    <cellStyle name="60% - akcent 4" xfId="925"/>
    <cellStyle name="60% - akcent 4 2" xfId="926"/>
    <cellStyle name="60% - akcent 5" xfId="927"/>
    <cellStyle name="60% - akcent 6" xfId="928"/>
    <cellStyle name="60% — акцент1" xfId="25" builtinId="32" customBuiltin="1"/>
    <cellStyle name="60% - Акцент1 2" xfId="26"/>
    <cellStyle name="60% — акцент1 2" xfId="1285"/>
    <cellStyle name="60% - Акцент1 2 2" xfId="929"/>
    <cellStyle name="60% - Акцент1 2 3" xfId="930"/>
    <cellStyle name="60% - Акцент1 3" xfId="111"/>
    <cellStyle name="60% — акцент2" xfId="27" builtinId="36" customBuiltin="1"/>
    <cellStyle name="60% - Акцент2 2" xfId="28"/>
    <cellStyle name="60% — акцент2 2" xfId="1286"/>
    <cellStyle name="60% - Акцент2 2 2" xfId="931"/>
    <cellStyle name="60% - Акцент2 2 3" xfId="932"/>
    <cellStyle name="60% - Акцент2 3" xfId="112"/>
    <cellStyle name="60% — акцент3" xfId="29" builtinId="40" customBuiltin="1"/>
    <cellStyle name="60% - Акцент3 2" xfId="30"/>
    <cellStyle name="60% — акцент3 2" xfId="1287"/>
    <cellStyle name="60% - Акцент3 2 2" xfId="933"/>
    <cellStyle name="60% - Акцент3 2 3" xfId="934"/>
    <cellStyle name="60% - Акцент3 3" xfId="113"/>
    <cellStyle name="60% — акцент4" xfId="31" builtinId="44" customBuiltin="1"/>
    <cellStyle name="60% - Акцент4 2" xfId="32"/>
    <cellStyle name="60% — акцент4 2" xfId="1288"/>
    <cellStyle name="60% - Акцент4 2 2" xfId="935"/>
    <cellStyle name="60% - Акцент4 2 3" xfId="936"/>
    <cellStyle name="60% - Акцент4 3" xfId="114"/>
    <cellStyle name="60% — акцент5" xfId="33" builtinId="48" customBuiltin="1"/>
    <cellStyle name="60% - Акцент5 2" xfId="34"/>
    <cellStyle name="60% — акцент5 2" xfId="1289"/>
    <cellStyle name="60% - Акцент5 2 2" xfId="937"/>
    <cellStyle name="60% - Акцент5 2 3" xfId="938"/>
    <cellStyle name="60% - Акцент5 3" xfId="115"/>
    <cellStyle name="60% — акцент6" xfId="35" builtinId="52" customBuiltin="1"/>
    <cellStyle name="60% - Акцент6 2" xfId="36"/>
    <cellStyle name="60% — акцент6 2" xfId="1290"/>
    <cellStyle name="60% - Акцент6 2 2" xfId="939"/>
    <cellStyle name="60% - Акцент6 2 3" xfId="940"/>
    <cellStyle name="60% - Акцент6 3" xfId="116"/>
    <cellStyle name="60% - 輔色1" xfId="632"/>
    <cellStyle name="60% - 輔色2" xfId="633"/>
    <cellStyle name="60% - 輔色3" xfId="634"/>
    <cellStyle name="60% - 輔色4" xfId="635"/>
    <cellStyle name="60% - 輔色5" xfId="636"/>
    <cellStyle name="60% - 輔色6" xfId="637"/>
    <cellStyle name="Accent1" xfId="941"/>
    <cellStyle name="Accent1 - 20 %" xfId="638"/>
    <cellStyle name="Accent1 - 40 %" xfId="639"/>
    <cellStyle name="Accent1 - 60 %" xfId="640"/>
    <cellStyle name="Accent1 2" xfId="641"/>
    <cellStyle name="Accent2" xfId="942"/>
    <cellStyle name="Accent2 - 20 %" xfId="642"/>
    <cellStyle name="Accent2 - 40 %" xfId="643"/>
    <cellStyle name="Accent2 - 60 %" xfId="644"/>
    <cellStyle name="Accent2 2" xfId="645"/>
    <cellStyle name="Accent3" xfId="943"/>
    <cellStyle name="Accent3 - 20 %" xfId="646"/>
    <cellStyle name="Accent3 - 40 %" xfId="647"/>
    <cellStyle name="Accent3 - 60 %" xfId="648"/>
    <cellStyle name="Accent3 2" xfId="649"/>
    <cellStyle name="Accent4" xfId="944"/>
    <cellStyle name="Accent4 - 20 %" xfId="650"/>
    <cellStyle name="Accent4 - 40 %" xfId="651"/>
    <cellStyle name="Accent4 - 60 %" xfId="652"/>
    <cellStyle name="Accent4 2" xfId="653"/>
    <cellStyle name="Accent5" xfId="945"/>
    <cellStyle name="Accent5 - 20 %" xfId="654"/>
    <cellStyle name="Accent5 - 40 %" xfId="655"/>
    <cellStyle name="Accent5 - 60 %" xfId="656"/>
    <cellStyle name="Accent5 2" xfId="657"/>
    <cellStyle name="Accent6" xfId="946"/>
    <cellStyle name="Accent6 - 20 %" xfId="658"/>
    <cellStyle name="Accent6 - 40 %" xfId="659"/>
    <cellStyle name="Accent6 - 60 %" xfId="660"/>
    <cellStyle name="Accent6 2" xfId="661"/>
    <cellStyle name="AeE- [0]_???ILE" xfId="662"/>
    <cellStyle name="AeE-_???ILE" xfId="663"/>
    <cellStyle name="Akcent 1" xfId="947"/>
    <cellStyle name="Akcent 2" xfId="948"/>
    <cellStyle name="Akcent 2 2" xfId="949"/>
    <cellStyle name="Akcent 3" xfId="950"/>
    <cellStyle name="Akcent 3 2" xfId="951"/>
    <cellStyle name="Akcent 4" xfId="952"/>
    <cellStyle name="Akcent 5" xfId="953"/>
    <cellStyle name="Akcent 6" xfId="954"/>
    <cellStyle name="AoA??Ao ?EA?" xfId="664"/>
    <cellStyle name="AT?? [0]_???ILE" xfId="665"/>
    <cellStyle name="AT??_???ILE" xfId="666"/>
    <cellStyle name="Avertissement" xfId="667"/>
    <cellStyle name="Bad" xfId="955"/>
    <cellStyle name="C?AO_???ILE" xfId="668"/>
    <cellStyle name="Calc Currency (0)" xfId="669"/>
    <cellStyle name="Calc Currency (2)" xfId="670"/>
    <cellStyle name="Calc Percent (0)" xfId="671"/>
    <cellStyle name="Calc Percent (1)" xfId="672"/>
    <cellStyle name="Calc Percent (2)" xfId="673"/>
    <cellStyle name="Calc Units (0)" xfId="674"/>
    <cellStyle name="Calc Units (1)" xfId="675"/>
    <cellStyle name="Calc Units (2)" xfId="676"/>
    <cellStyle name="Calcul" xfId="677"/>
    <cellStyle name="Calcul 2" xfId="1186"/>
    <cellStyle name="Calcul 2 2" xfId="1555"/>
    <cellStyle name="Calcul 3" xfId="1212"/>
    <cellStyle name="Calcul 3 2" xfId="1581"/>
    <cellStyle name="Calcul 4" xfId="1433"/>
    <cellStyle name="Calculation" xfId="956"/>
    <cellStyle name="Calculation 2" xfId="1213"/>
    <cellStyle name="Calculation 2 2" xfId="1582"/>
    <cellStyle name="Calculation 3" xfId="1178"/>
    <cellStyle name="Calculation 3 2" xfId="1547"/>
    <cellStyle name="Calculation 4" xfId="1454"/>
    <cellStyle name="Cellule liée" xfId="678"/>
    <cellStyle name="Check Cell" xfId="957"/>
    <cellStyle name="Comma [0]_laroux" xfId="958"/>
    <cellStyle name="Comma [00]" xfId="679"/>
    <cellStyle name="Comma 2" xfId="959"/>
    <cellStyle name="Comma 2 2" xfId="1455"/>
    <cellStyle name="Comma_ADEM$" xfId="960"/>
    <cellStyle name="Commentaire" xfId="680"/>
    <cellStyle name="Commentaire 2" xfId="1187"/>
    <cellStyle name="Commentaire 2 2" xfId="1556"/>
    <cellStyle name="Commentaire 3" xfId="1145"/>
    <cellStyle name="Commentaire 3 2" xfId="1514"/>
    <cellStyle name="Commentaire 4" xfId="1434"/>
    <cellStyle name="Currency [0]_laroux" xfId="961"/>
    <cellStyle name="Currency [00]" xfId="681"/>
    <cellStyle name="Currency_laroux" xfId="962"/>
    <cellStyle name="Dane wej?ciowe" xfId="963"/>
    <cellStyle name="Dane wej?ciowe 2" xfId="1214"/>
    <cellStyle name="Dane wej?ciowe 2 2" xfId="1583"/>
    <cellStyle name="Dane wej?ciowe 3" xfId="1177"/>
    <cellStyle name="Dane wej?ciowe 3 2" xfId="1546"/>
    <cellStyle name="Dane wej?ciowe 4" xfId="1456"/>
    <cellStyle name="Dane wejściowe" xfId="964"/>
    <cellStyle name="Dane wejściowe 2" xfId="1215"/>
    <cellStyle name="Dane wejściowe 2 2" xfId="1584"/>
    <cellStyle name="Dane wejściowe 3" xfId="1176"/>
    <cellStyle name="Dane wejściowe 3 2" xfId="1545"/>
    <cellStyle name="Dane wejściowe 4" xfId="1457"/>
    <cellStyle name="Dane wyj?ciowe" xfId="965"/>
    <cellStyle name="Dane wyj?ciowe 2" xfId="1216"/>
    <cellStyle name="Dane wyj?ciowe 2 2" xfId="1585"/>
    <cellStyle name="Dane wyj?ciowe 3" xfId="1175"/>
    <cellStyle name="Dane wyj?ciowe 3 2" xfId="1544"/>
    <cellStyle name="Dane wyj?ciowe 4" xfId="1458"/>
    <cellStyle name="Dane wyjściowe" xfId="966"/>
    <cellStyle name="Dane wyjściowe 2" xfId="1217"/>
    <cellStyle name="Dane wyjściowe 2 2" xfId="1586"/>
    <cellStyle name="Dane wyjściowe 3" xfId="1174"/>
    <cellStyle name="Dane wyjściowe 3 2" xfId="1543"/>
    <cellStyle name="Dane wyjściowe 4" xfId="1459"/>
    <cellStyle name="Date Short" xfId="682"/>
    <cellStyle name="Dobre" xfId="967"/>
    <cellStyle name="Dobre 2" xfId="968"/>
    <cellStyle name="Dziesiętny 2" xfId="969"/>
    <cellStyle name="Dziesiętny 2 2" xfId="1460"/>
    <cellStyle name="Emphase 1" xfId="683"/>
    <cellStyle name="Emphase 2" xfId="684"/>
    <cellStyle name="Emphase 3" xfId="685"/>
    <cellStyle name="Enter Currency (0)" xfId="686"/>
    <cellStyle name="Enter Currency (2)" xfId="687"/>
    <cellStyle name="Enter Units (0)" xfId="688"/>
    <cellStyle name="Enter Units (1)" xfId="689"/>
    <cellStyle name="Enter Units (2)" xfId="690"/>
    <cellStyle name="Entrée" xfId="691"/>
    <cellStyle name="Entrée 2" xfId="1188"/>
    <cellStyle name="Entrée 2 2" xfId="1557"/>
    <cellStyle name="Entrée 3" xfId="1211"/>
    <cellStyle name="Entrée 3 2" xfId="1580"/>
    <cellStyle name="Entrée 4" xfId="1435"/>
    <cellStyle name="Euro" xfId="692"/>
    <cellStyle name="Explanatory Text" xfId="970"/>
    <cellStyle name="Followed Hyperlink" xfId="693"/>
    <cellStyle name="Good" xfId="971"/>
    <cellStyle name="Grey" xfId="694"/>
    <cellStyle name="Header1" xfId="695"/>
    <cellStyle name="Header2" xfId="696"/>
    <cellStyle name="Header2 2" xfId="1189"/>
    <cellStyle name="Header2 2 2" xfId="1558"/>
    <cellStyle name="Header2 3" xfId="1210"/>
    <cellStyle name="Header2 3 2" xfId="1579"/>
    <cellStyle name="Heading 1" xfId="972"/>
    <cellStyle name="Heading 2" xfId="973"/>
    <cellStyle name="Heading 3" xfId="974"/>
    <cellStyle name="Heading 4" xfId="975"/>
    <cellStyle name="Hyperlink" xfId="697"/>
    <cellStyle name="Hypertextov? odkaz" xfId="976"/>
    <cellStyle name="Hypertextový odkaz" xfId="977"/>
    <cellStyle name="Input" xfId="978"/>
    <cellStyle name="Input [yellow]" xfId="698"/>
    <cellStyle name="Input [yellow] 2" xfId="1190"/>
    <cellStyle name="Input [yellow] 2 2" xfId="1559"/>
    <cellStyle name="Input 2" xfId="1218"/>
    <cellStyle name="Input 2 2" xfId="1587"/>
    <cellStyle name="Input 3" xfId="1173"/>
    <cellStyle name="Input 3 2" xfId="1542"/>
    <cellStyle name="Input 4" xfId="1461"/>
    <cellStyle name="Insatisfaisant" xfId="699"/>
    <cellStyle name="Kom?rka po??czona" xfId="979"/>
    <cellStyle name="Kom?rka zaznaczona" xfId="980"/>
    <cellStyle name="Komórka połączona" xfId="981"/>
    <cellStyle name="Komórka zaznaczona" xfId="982"/>
    <cellStyle name="Komórka zaznaczona 2" xfId="983"/>
    <cellStyle name="Link Currency (0)" xfId="700"/>
    <cellStyle name="Link Currency (2)" xfId="701"/>
    <cellStyle name="Link Units (0)" xfId="702"/>
    <cellStyle name="Link Units (1)" xfId="703"/>
    <cellStyle name="Link Units (2)" xfId="704"/>
    <cellStyle name="Linked Cell" xfId="984"/>
    <cellStyle name="Nag??wek 1" xfId="985"/>
    <cellStyle name="Nag??wek 2" xfId="986"/>
    <cellStyle name="Nag??wek 3" xfId="987"/>
    <cellStyle name="Nag??wek 4" xfId="988"/>
    <cellStyle name="Nagłówek 1" xfId="989"/>
    <cellStyle name="Nagłówek 2" xfId="990"/>
    <cellStyle name="Nagłówek 3" xfId="991"/>
    <cellStyle name="Nagłówek 4" xfId="992"/>
    <cellStyle name="Neutral" xfId="993"/>
    <cellStyle name="Neutralne" xfId="994"/>
    <cellStyle name="Neutralne 2" xfId="995"/>
    <cellStyle name="Neutre" xfId="705"/>
    <cellStyle name="norm?ln?_laroux" xfId="996"/>
    <cellStyle name="Normal - Style1" xfId="706"/>
    <cellStyle name="Normal 2" xfId="97"/>
    <cellStyle name="Normal 2 2" xfId="1144"/>
    <cellStyle name="Normal 2 2 2" xfId="1513"/>
    <cellStyle name="Normal 2 3" xfId="1323"/>
    <cellStyle name="Normal 3" xfId="707"/>
    <cellStyle name="Normal 7" xfId="997"/>
    <cellStyle name="Normal 7 2" xfId="269"/>
    <cellStyle name="Normal_2003 budget targets Retail Poland_sent to OBMD" xfId="998"/>
    <cellStyle name="Normale_Foglio1" xfId="708"/>
    <cellStyle name="normální_laroux" xfId="999"/>
    <cellStyle name="Normalny 10" xfId="1000"/>
    <cellStyle name="Normalny 2" xfId="709"/>
    <cellStyle name="Normalny 2 2" xfId="1001"/>
    <cellStyle name="Normalny 2 3" xfId="1002"/>
    <cellStyle name="Normalny 2 4" xfId="1003"/>
    <cellStyle name="Normalny 2 5" xfId="1004"/>
    <cellStyle name="Normalny 2 6" xfId="1005"/>
    <cellStyle name="Normalny 2 7" xfId="1006"/>
    <cellStyle name="Normalny 2 8" xfId="1007"/>
    <cellStyle name="Normalny 2_Margin Calculator_RU_updated" xfId="1008"/>
    <cellStyle name="Normalny 3" xfId="710"/>
    <cellStyle name="Normalny 3 2" xfId="711"/>
    <cellStyle name="Normalny 4" xfId="1009"/>
    <cellStyle name="Normalny 5" xfId="1010"/>
    <cellStyle name="Normalny 6" xfId="1011"/>
    <cellStyle name="Normalny 7" xfId="1012"/>
    <cellStyle name="Normalny 8" xfId="1013"/>
    <cellStyle name="Normalny_5YP_SCM&amp;IT_CAPEX pack" xfId="1014"/>
    <cellStyle name="Note" xfId="1015"/>
    <cellStyle name="Note 2" xfId="1016"/>
    <cellStyle name="Note 2 2" xfId="1220"/>
    <cellStyle name="Note 2 2 2" xfId="1589"/>
    <cellStyle name="Note 2 3" xfId="1171"/>
    <cellStyle name="Note 2 3 2" xfId="1540"/>
    <cellStyle name="Note 2 4" xfId="1463"/>
    <cellStyle name="Note 3" xfId="1017"/>
    <cellStyle name="Note 3 2" xfId="1221"/>
    <cellStyle name="Note 3 2 2" xfId="1590"/>
    <cellStyle name="Note 3 3" xfId="1170"/>
    <cellStyle name="Note 3 3 2" xfId="1539"/>
    <cellStyle name="Note 3 4" xfId="1464"/>
    <cellStyle name="Note 4" xfId="1018"/>
    <cellStyle name="Note 4 2" xfId="1222"/>
    <cellStyle name="Note 4 2 2" xfId="1591"/>
    <cellStyle name="Note 4 3" xfId="1169"/>
    <cellStyle name="Note 4 3 2" xfId="1538"/>
    <cellStyle name="Note 4 4" xfId="1465"/>
    <cellStyle name="Note 5" xfId="1019"/>
    <cellStyle name="Note 5 2" xfId="1223"/>
    <cellStyle name="Note 5 2 2" xfId="1592"/>
    <cellStyle name="Note 5 3" xfId="1168"/>
    <cellStyle name="Note 5 3 2" xfId="1537"/>
    <cellStyle name="Note 5 4" xfId="1466"/>
    <cellStyle name="Note 6" xfId="1020"/>
    <cellStyle name="Note 6 2" xfId="1224"/>
    <cellStyle name="Note 6 2 2" xfId="1593"/>
    <cellStyle name="Note 6 3" xfId="1167"/>
    <cellStyle name="Note 6 3 2" xfId="1536"/>
    <cellStyle name="Note 6 4" xfId="1467"/>
    <cellStyle name="Note 7" xfId="1219"/>
    <cellStyle name="Note 7 2" xfId="1588"/>
    <cellStyle name="Note 8" xfId="1172"/>
    <cellStyle name="Note 8 2" xfId="1541"/>
    <cellStyle name="Note 9" xfId="1462"/>
    <cellStyle name="Obliczenia" xfId="1021"/>
    <cellStyle name="Obliczenia 2" xfId="1225"/>
    <cellStyle name="Obliczenia 2 2" xfId="1594"/>
    <cellStyle name="Obliczenia 3" xfId="1166"/>
    <cellStyle name="Obliczenia 3 2" xfId="1535"/>
    <cellStyle name="Obliczenia 4" xfId="1468"/>
    <cellStyle name="Œ…‹æØ‚è [0.00]_laroux" xfId="712"/>
    <cellStyle name="Œ…‹æØ‚è_laroux" xfId="713"/>
    <cellStyle name="oft Excel]_x000d__x000a_Comment=The open=/f lines load custom functions into the Paste Function list._x000d__x000a_Maximized=3_x000d__x000a_AutoFormat=" xfId="714"/>
    <cellStyle name="Output" xfId="1022"/>
    <cellStyle name="Output 2" xfId="1226"/>
    <cellStyle name="Output 2 2" xfId="1595"/>
    <cellStyle name="Output 3" xfId="1165"/>
    <cellStyle name="Output 3 2" xfId="1534"/>
    <cellStyle name="Output 4" xfId="1469"/>
    <cellStyle name="Output Amounts" xfId="1023"/>
    <cellStyle name="Output_closures 2009_detailed info" xfId="1024"/>
    <cellStyle name="Percent [0]" xfId="715"/>
    <cellStyle name="Percent [00]" xfId="716"/>
    <cellStyle name="Percent [2]" xfId="717"/>
    <cellStyle name="Percent 2" xfId="1025"/>
    <cellStyle name="Percent 3" xfId="1026"/>
    <cellStyle name="PrePop Currency (0)" xfId="718"/>
    <cellStyle name="PrePop Currency (2)" xfId="719"/>
    <cellStyle name="PrePop Units (0)" xfId="720"/>
    <cellStyle name="PrePop Units (1)" xfId="721"/>
    <cellStyle name="PrePop Units (2)" xfId="722"/>
    <cellStyle name="Procentowy 2" xfId="1027"/>
    <cellStyle name="Procentowy 2 2" xfId="1028"/>
    <cellStyle name="Procentowy 2 3" xfId="1029"/>
    <cellStyle name="Procentowy 2 4" xfId="1030"/>
    <cellStyle name="Procentowy 3" xfId="1031"/>
    <cellStyle name="Procentowy 4" xfId="1032"/>
    <cellStyle name="Satisfaisant" xfId="723"/>
    <cellStyle name="Sledovan? hypertextov? odkaz" xfId="1033"/>
    <cellStyle name="Sledovaný hypertextový odkaz" xfId="1034"/>
    <cellStyle name="Sortie" xfId="724"/>
    <cellStyle name="Sortie 2" xfId="1191"/>
    <cellStyle name="Sortie 2 2" xfId="1560"/>
    <cellStyle name="Sortie 3" xfId="1185"/>
    <cellStyle name="Sortie 3 2" xfId="1554"/>
    <cellStyle name="Sortie 4" xfId="1436"/>
    <cellStyle name="Styl 1" xfId="725"/>
    <cellStyle name="Style 1" xfId="726"/>
    <cellStyle name="Style 1 3" xfId="727"/>
    <cellStyle name="Suma" xfId="1035"/>
    <cellStyle name="Suma 2" xfId="1227"/>
    <cellStyle name="Suma 2 2" xfId="1596"/>
    <cellStyle name="Suma 3" xfId="1164"/>
    <cellStyle name="Suma 3 2" xfId="1533"/>
    <cellStyle name="Suma 4" xfId="1470"/>
    <cellStyle name="Tekst obja?nienia" xfId="1036"/>
    <cellStyle name="Tekst objaśnienia" xfId="1037"/>
    <cellStyle name="Tekst ostrze?enia" xfId="1038"/>
    <cellStyle name="Tekst ostrzeżenia" xfId="1039"/>
    <cellStyle name="Text Indent A" xfId="728"/>
    <cellStyle name="Text Indent B" xfId="729"/>
    <cellStyle name="Text Indent C" xfId="730"/>
    <cellStyle name="Title" xfId="1040"/>
    <cellStyle name="Titre de la feuille" xfId="731"/>
    <cellStyle name="Titre 1" xfId="732"/>
    <cellStyle name="Titre 2" xfId="733"/>
    <cellStyle name="Titre 3" xfId="734"/>
    <cellStyle name="Titre 4" xfId="735"/>
    <cellStyle name="Total" xfId="1041"/>
    <cellStyle name="Total 2" xfId="736"/>
    <cellStyle name="Total 2 2" xfId="1192"/>
    <cellStyle name="Total 2 2 2" xfId="1561"/>
    <cellStyle name="Total 2 3" xfId="1184"/>
    <cellStyle name="Total 2 3 2" xfId="1553"/>
    <cellStyle name="Total 2 4" xfId="1437"/>
    <cellStyle name="Total 3" xfId="1228"/>
    <cellStyle name="Total 3 2" xfId="1597"/>
    <cellStyle name="Total 4" xfId="1163"/>
    <cellStyle name="Total 4 2" xfId="1532"/>
    <cellStyle name="Total 5" xfId="1471"/>
    <cellStyle name="Tusental (0)_pldt" xfId="737"/>
    <cellStyle name="Tusental_pldt" xfId="738"/>
    <cellStyle name="Tytu?" xfId="1042"/>
    <cellStyle name="Tytuł" xfId="1043"/>
    <cellStyle name="USA" xfId="739"/>
    <cellStyle name="Uwaga" xfId="1044"/>
    <cellStyle name="Uwaga 2" xfId="1229"/>
    <cellStyle name="Uwaga 2 2" xfId="1598"/>
    <cellStyle name="Uwaga 3" xfId="1162"/>
    <cellStyle name="Uwaga 3 2" xfId="1531"/>
    <cellStyle name="Uwaga 4" xfId="1472"/>
    <cellStyle name="Valuta (0)_pldt" xfId="740"/>
    <cellStyle name="Valuta_pldt" xfId="741"/>
    <cellStyle name="Vérification" xfId="742"/>
    <cellStyle name="‧W?_laroux" xfId="743"/>
    <cellStyle name="Warning Text" xfId="1045"/>
    <cellStyle name="Z?e" xfId="1046"/>
    <cellStyle name="Złe" xfId="1047"/>
    <cellStyle name="Złe 2" xfId="1048"/>
    <cellStyle name="Акцент1" xfId="37" builtinId="29" customBuiltin="1"/>
    <cellStyle name="Акцент1 2" xfId="38"/>
    <cellStyle name="Акцент1 2 2" xfId="1049"/>
    <cellStyle name="Акцент1 2 3" xfId="1050"/>
    <cellStyle name="Акцент1 3" xfId="117"/>
    <cellStyle name="Акцент1 4" xfId="1291"/>
    <cellStyle name="Акцент2" xfId="39" builtinId="33" customBuiltin="1"/>
    <cellStyle name="Акцент2 2" xfId="40"/>
    <cellStyle name="Акцент2 2 2" xfId="1051"/>
    <cellStyle name="Акцент2 2 3" xfId="1052"/>
    <cellStyle name="Акцент2 3" xfId="118"/>
    <cellStyle name="Акцент2 4" xfId="1292"/>
    <cellStyle name="Акцент3" xfId="41" builtinId="37" customBuiltin="1"/>
    <cellStyle name="Акцент3 2" xfId="42"/>
    <cellStyle name="Акцент3 2 2" xfId="1053"/>
    <cellStyle name="Акцент3 2 3" xfId="1054"/>
    <cellStyle name="Акцент3 3" xfId="119"/>
    <cellStyle name="Акцент3 4" xfId="1293"/>
    <cellStyle name="Акцент4" xfId="43" builtinId="41" customBuiltin="1"/>
    <cellStyle name="Акцент4 2" xfId="44"/>
    <cellStyle name="Акцент4 2 2" xfId="1055"/>
    <cellStyle name="Акцент4 2 3" xfId="1056"/>
    <cellStyle name="Акцент4 3" xfId="120"/>
    <cellStyle name="Акцент4 4" xfId="1294"/>
    <cellStyle name="Акцент5" xfId="45" builtinId="45" customBuiltin="1"/>
    <cellStyle name="Акцент5 2" xfId="46"/>
    <cellStyle name="Акцент5 2 2" xfId="1057"/>
    <cellStyle name="Акцент5 2 3" xfId="1058"/>
    <cellStyle name="Акцент5 3" xfId="121"/>
    <cellStyle name="Акцент5 4" xfId="1295"/>
    <cellStyle name="Акцент6" xfId="47" builtinId="49" customBuiltin="1"/>
    <cellStyle name="Акцент6 2" xfId="48"/>
    <cellStyle name="Акцент6 2 2" xfId="1059"/>
    <cellStyle name="Акцент6 2 3" xfId="1060"/>
    <cellStyle name="Акцент6 3" xfId="122"/>
    <cellStyle name="Акцент6 4" xfId="1296"/>
    <cellStyle name="Ввод " xfId="49" builtinId="20" customBuiltin="1"/>
    <cellStyle name="Ввод  2" xfId="50"/>
    <cellStyle name="Ввод  2 2" xfId="1061"/>
    <cellStyle name="Ввод  2 2 2" xfId="1230"/>
    <cellStyle name="Ввод  2 2 2 2" xfId="1599"/>
    <cellStyle name="Ввод  2 2 3" xfId="1258"/>
    <cellStyle name="Ввод  2 2 3 2" xfId="1627"/>
    <cellStyle name="Ввод  2 2 4" xfId="1473"/>
    <cellStyle name="Ввод  2 3" xfId="1062"/>
    <cellStyle name="Ввод  2 3 2" xfId="1231"/>
    <cellStyle name="Ввод  2 3 2 2" xfId="1600"/>
    <cellStyle name="Ввод  2 3 3" xfId="1259"/>
    <cellStyle name="Ввод  2 3 3 2" xfId="1628"/>
    <cellStyle name="Ввод  2 3 4" xfId="1474"/>
    <cellStyle name="Ввод  2 4" xfId="1131"/>
    <cellStyle name="Ввод  2 4 2" xfId="1502"/>
    <cellStyle name="Ввод  2 5" xfId="1204"/>
    <cellStyle name="Ввод  2 5 2" xfId="1573"/>
    <cellStyle name="Ввод  2 6" xfId="1298"/>
    <cellStyle name="Ввод  3" xfId="123"/>
    <cellStyle name="Ввод  3 2" xfId="1146"/>
    <cellStyle name="Ввод  3 2 2" xfId="1515"/>
    <cellStyle name="Ввод  3 3" xfId="1159"/>
    <cellStyle name="Ввод  3 3 2" xfId="1528"/>
    <cellStyle name="Ввод  3 4" xfId="1324"/>
    <cellStyle name="Ввод  4" xfId="1130"/>
    <cellStyle name="Ввод  4 2" xfId="1501"/>
    <cellStyle name="Ввод  5" xfId="1205"/>
    <cellStyle name="Ввод  5 2" xfId="1574"/>
    <cellStyle name="Ввод  6" xfId="1297"/>
    <cellStyle name="Вывод" xfId="51" builtinId="21" customBuiltin="1"/>
    <cellStyle name="Вывод 2" xfId="52"/>
    <cellStyle name="Вывод 2 2" xfId="1063"/>
    <cellStyle name="Вывод 2 2 2" xfId="1232"/>
    <cellStyle name="Вывод 2 2 2 2" xfId="1601"/>
    <cellStyle name="Вывод 2 2 3" xfId="1260"/>
    <cellStyle name="Вывод 2 2 3 2" xfId="1629"/>
    <cellStyle name="Вывод 2 2 4" xfId="1475"/>
    <cellStyle name="Вывод 2 3" xfId="1064"/>
    <cellStyle name="Вывод 2 3 2" xfId="1233"/>
    <cellStyle name="Вывод 2 3 2 2" xfId="1602"/>
    <cellStyle name="Вывод 2 3 3" xfId="1261"/>
    <cellStyle name="Вывод 2 3 3 2" xfId="1630"/>
    <cellStyle name="Вывод 2 3 4" xfId="1476"/>
    <cellStyle name="Вывод 2 4" xfId="1133"/>
    <cellStyle name="Вывод 2 4 2" xfId="1504"/>
    <cellStyle name="Вывод 2 5" xfId="1202"/>
    <cellStyle name="Вывод 2 5 2" xfId="1571"/>
    <cellStyle name="Вывод 2 6" xfId="1300"/>
    <cellStyle name="Вывод 3" xfId="124"/>
    <cellStyle name="Вывод 3 2" xfId="1147"/>
    <cellStyle name="Вывод 3 2 2" xfId="1516"/>
    <cellStyle name="Вывод 3 3" xfId="1158"/>
    <cellStyle name="Вывод 3 3 2" xfId="1527"/>
    <cellStyle name="Вывод 3 4" xfId="1325"/>
    <cellStyle name="Вывод 4" xfId="1132"/>
    <cellStyle name="Вывод 4 2" xfId="1503"/>
    <cellStyle name="Вывод 5" xfId="1203"/>
    <cellStyle name="Вывод 5 2" xfId="1572"/>
    <cellStyle name="Вывод 6" xfId="1299"/>
    <cellStyle name="Вычисление" xfId="53" builtinId="22" customBuiltin="1"/>
    <cellStyle name="Вычисление 2" xfId="54"/>
    <cellStyle name="Вычисление 2 2" xfId="1065"/>
    <cellStyle name="Вычисление 2 2 2" xfId="1234"/>
    <cellStyle name="Вычисление 2 2 2 2" xfId="1603"/>
    <cellStyle name="Вычисление 2 2 3" xfId="1262"/>
    <cellStyle name="Вычисление 2 2 3 2" xfId="1631"/>
    <cellStyle name="Вычисление 2 2 4" xfId="1477"/>
    <cellStyle name="Вычисление 2 3" xfId="1066"/>
    <cellStyle name="Вычисление 2 3 2" xfId="1235"/>
    <cellStyle name="Вычисление 2 3 2 2" xfId="1604"/>
    <cellStyle name="Вычисление 2 3 3" xfId="1263"/>
    <cellStyle name="Вычисление 2 3 3 2" xfId="1632"/>
    <cellStyle name="Вычисление 2 3 4" xfId="1478"/>
    <cellStyle name="Вычисление 2 4" xfId="1135"/>
    <cellStyle name="Вычисление 2 4 2" xfId="1506"/>
    <cellStyle name="Вычисление 2 5" xfId="1200"/>
    <cellStyle name="Вычисление 2 5 2" xfId="1569"/>
    <cellStyle name="Вычисление 2 6" xfId="1302"/>
    <cellStyle name="Вычисление 3" xfId="125"/>
    <cellStyle name="Вычисление 3 2" xfId="1148"/>
    <cellStyle name="Вычисление 3 2 2" xfId="1517"/>
    <cellStyle name="Вычисление 3 3" xfId="1157"/>
    <cellStyle name="Вычисление 3 3 2" xfId="1526"/>
    <cellStyle name="Вычисление 3 4" xfId="1326"/>
    <cellStyle name="Вычисление 4" xfId="1134"/>
    <cellStyle name="Вычисление 4 2" xfId="1505"/>
    <cellStyle name="Вычисление 5" xfId="1201"/>
    <cellStyle name="Вычисление 5 2" xfId="1570"/>
    <cellStyle name="Вычисление 6" xfId="1301"/>
    <cellStyle name="Денежный 2" xfId="1121"/>
    <cellStyle name="Денежный 2 2" xfId="1251"/>
    <cellStyle name="Денежный 2 2 2" xfId="1620"/>
    <cellStyle name="Денежный 2 3" xfId="1494"/>
    <cellStyle name="Денежный_Копия 1_Шаблон_Budget 2010 (2)" xfId="55"/>
    <cellStyle name="Заголовок 1" xfId="56" builtinId="16" customBuiltin="1"/>
    <cellStyle name="Заголовок 1 2" xfId="57"/>
    <cellStyle name="Заголовок 1 2 2" xfId="1067"/>
    <cellStyle name="Заголовок 1 2 3" xfId="1068"/>
    <cellStyle name="Заголовок 1 3" xfId="126"/>
    <cellStyle name="Заголовок 1 4" xfId="1303"/>
    <cellStyle name="Заголовок 2" xfId="58" builtinId="17" customBuiltin="1"/>
    <cellStyle name="Заголовок 2 2" xfId="59"/>
    <cellStyle name="Заголовок 2 2 2" xfId="1069"/>
    <cellStyle name="Заголовок 2 2 3" xfId="1070"/>
    <cellStyle name="Заголовок 2 3" xfId="127"/>
    <cellStyle name="Заголовок 2 4" xfId="1304"/>
    <cellStyle name="Заголовок 3" xfId="60" builtinId="18" customBuiltin="1"/>
    <cellStyle name="Заголовок 3 2" xfId="61"/>
    <cellStyle name="Заголовок 3 2 2" xfId="1071"/>
    <cellStyle name="Заголовок 3 2 3" xfId="1072"/>
    <cellStyle name="Заголовок 3 3" xfId="128"/>
    <cellStyle name="Заголовок 3 4" xfId="1305"/>
    <cellStyle name="Заголовок 4" xfId="62" builtinId="19" customBuiltin="1"/>
    <cellStyle name="Заголовок 4 2" xfId="63"/>
    <cellStyle name="Заголовок 4 2 2" xfId="1073"/>
    <cellStyle name="Заголовок 4 2 3" xfId="1074"/>
    <cellStyle name="Заголовок 4 3" xfId="129"/>
    <cellStyle name="Заголовок 4 4" xfId="1306"/>
    <cellStyle name="Итог" xfId="64" builtinId="25" customBuiltin="1"/>
    <cellStyle name="Итог 2" xfId="65"/>
    <cellStyle name="Итог 2 2" xfId="1075"/>
    <cellStyle name="Итог 2 2 2" xfId="1236"/>
    <cellStyle name="Итог 2 2 2 2" xfId="1605"/>
    <cellStyle name="Итог 2 2 3" xfId="1264"/>
    <cellStyle name="Итог 2 2 3 2" xfId="1633"/>
    <cellStyle name="Итог 2 2 4" xfId="1479"/>
    <cellStyle name="Итог 2 3" xfId="1076"/>
    <cellStyle name="Итог 2 3 2" xfId="1237"/>
    <cellStyle name="Итог 2 3 2 2" xfId="1606"/>
    <cellStyle name="Итог 2 3 3" xfId="1265"/>
    <cellStyle name="Итог 2 3 3 2" xfId="1634"/>
    <cellStyle name="Итог 2 3 4" xfId="1480"/>
    <cellStyle name="Итог 2 4" xfId="1137"/>
    <cellStyle name="Итог 2 4 2" xfId="1508"/>
    <cellStyle name="Итог 2 5" xfId="1197"/>
    <cellStyle name="Итог 2 5 2" xfId="1566"/>
    <cellStyle name="Итог 2 6" xfId="1308"/>
    <cellStyle name="Итог 3" xfId="130"/>
    <cellStyle name="Итог 3 2" xfId="1149"/>
    <cellStyle name="Итог 3 2 2" xfId="1518"/>
    <cellStyle name="Итог 3 3" xfId="1156"/>
    <cellStyle name="Итог 3 3 2" xfId="1525"/>
    <cellStyle name="Итог 3 4" xfId="1327"/>
    <cellStyle name="Итог 4" xfId="1136"/>
    <cellStyle name="Итог 4 2" xfId="1507"/>
    <cellStyle name="Итог 5" xfId="1198"/>
    <cellStyle name="Итог 5 2" xfId="1567"/>
    <cellStyle name="Итог 6" xfId="1307"/>
    <cellStyle name="Контрольная ячейка" xfId="66" builtinId="23" customBuiltin="1"/>
    <cellStyle name="Контрольная ячейка 2" xfId="67"/>
    <cellStyle name="Контрольная ячейка 2 2" xfId="1077"/>
    <cellStyle name="Контрольная ячейка 2 3" xfId="1078"/>
    <cellStyle name="Контрольная ячейка 3" xfId="131"/>
    <cellStyle name="Контрольная ячейка 4" xfId="1309"/>
    <cellStyle name="Название" xfId="68" builtinId="15" customBuiltin="1"/>
    <cellStyle name="Название 2" xfId="69"/>
    <cellStyle name="Название 2 2" xfId="1079"/>
    <cellStyle name="Название 2 3" xfId="1080"/>
    <cellStyle name="Название 3" xfId="1081"/>
    <cellStyle name="Название 4" xfId="1310"/>
    <cellStyle name="Нейтральный" xfId="70" builtinId="28" customBuiltin="1"/>
    <cellStyle name="Нейтральный 2" xfId="71"/>
    <cellStyle name="Нейтральный 2 2" xfId="1082"/>
    <cellStyle name="Нейтральный 2 3" xfId="1083"/>
    <cellStyle name="Нейтральный 3" xfId="132"/>
    <cellStyle name="Нейтральный 4" xfId="1311"/>
    <cellStyle name="Обычный" xfId="0" builtinId="0"/>
    <cellStyle name="Обычный 10" xfId="133"/>
    <cellStyle name="Обычный 11" xfId="134"/>
    <cellStyle name="Обычный 12" xfId="135"/>
    <cellStyle name="Обычный 13" xfId="136"/>
    <cellStyle name="Обычный 14" xfId="137"/>
    <cellStyle name="Обычный 15" xfId="138"/>
    <cellStyle name="Обычный 16" xfId="139"/>
    <cellStyle name="Обычный 16 2" xfId="1084"/>
    <cellStyle name="Обычный 16 2 2" xfId="1238"/>
    <cellStyle name="Обычный 16 2 2 2" xfId="1607"/>
    <cellStyle name="Обычный 16 2 3" xfId="1481"/>
    <cellStyle name="Обычный 16 3" xfId="1085"/>
    <cellStyle name="Обычный 16 3 2" xfId="1239"/>
    <cellStyle name="Обычный 16 3 2 2" xfId="1608"/>
    <cellStyle name="Обычный 16 3 3" xfId="1482"/>
    <cellStyle name="Обычный 17" xfId="140"/>
    <cellStyle name="Обычный 18" xfId="141"/>
    <cellStyle name="Обычный 19" xfId="142"/>
    <cellStyle name="Обычный 19 2" xfId="1086"/>
    <cellStyle name="Обычный 19 2 2" xfId="1240"/>
    <cellStyle name="Обычный 19 2 2 2" xfId="1609"/>
    <cellStyle name="Обычный 19 2 3" xfId="1483"/>
    <cellStyle name="Обычный 2" xfId="72"/>
    <cellStyle name="Обычный 2 2" xfId="73"/>
    <cellStyle name="Обычный 2 2 2" xfId="1087"/>
    <cellStyle name="Обычный 2 2 2 2" xfId="1088"/>
    <cellStyle name="Обычный 2 2 3" xfId="1138"/>
    <cellStyle name="Обычный 2 3" xfId="143"/>
    <cellStyle name="Обычный 2 4" xfId="1089"/>
    <cellStyle name="Обычный 2 5" xfId="1090"/>
    <cellStyle name="Обычный 2 6" xfId="1091"/>
    <cellStyle name="Обычный 2 7" xfId="1092"/>
    <cellStyle name="Обычный 2 8" xfId="1093"/>
    <cellStyle name="Обычный 20" xfId="144"/>
    <cellStyle name="Обычный 21" xfId="145"/>
    <cellStyle name="Обычный 22" xfId="146"/>
    <cellStyle name="Обычный 23" xfId="147"/>
    <cellStyle name="Обычный 24" xfId="148"/>
    <cellStyle name="Обычный 25" xfId="149"/>
    <cellStyle name="Обычный 26" xfId="150"/>
    <cellStyle name="Обычный 27" xfId="151"/>
    <cellStyle name="Обычный 28" xfId="152"/>
    <cellStyle name="Обычный 29" xfId="153"/>
    <cellStyle name="Обычный 3" xfId="74"/>
    <cellStyle name="Обычный 3 2" xfId="154"/>
    <cellStyle name="Обычный 3 3" xfId="1094"/>
    <cellStyle name="Обычный 3 4" xfId="1095"/>
    <cellStyle name="Обычный 3 5" xfId="1096"/>
    <cellStyle name="Обычный 3 6" xfId="1097"/>
    <cellStyle name="Обычный 30" xfId="155"/>
    <cellStyle name="Обычный 31" xfId="156"/>
    <cellStyle name="Обычный 32" xfId="157"/>
    <cellStyle name="Обычный 33" xfId="158"/>
    <cellStyle name="Обычный 34" xfId="159"/>
    <cellStyle name="Обычный 35" xfId="160"/>
    <cellStyle name="Обычный 36" xfId="161"/>
    <cellStyle name="Обычный 37" xfId="162"/>
    <cellStyle name="Обычный 38" xfId="163"/>
    <cellStyle name="Обычный 39" xfId="164"/>
    <cellStyle name="Обычный 4" xfId="75"/>
    <cellStyle name="Обычный 4 2" xfId="1139"/>
    <cellStyle name="Обычный 4 2 2" xfId="1509"/>
    <cellStyle name="Обычный 4 3" xfId="1312"/>
    <cellStyle name="Обычный 40" xfId="165"/>
    <cellStyle name="Обычный 41" xfId="166"/>
    <cellStyle name="Обычный 42" xfId="167"/>
    <cellStyle name="Обычный 43" xfId="168"/>
    <cellStyle name="Обычный 44" xfId="169"/>
    <cellStyle name="Обычный 45" xfId="170"/>
    <cellStyle name="Обычный 46" xfId="171"/>
    <cellStyle name="Обычный 47" xfId="172"/>
    <cellStyle name="Обычный 48" xfId="173"/>
    <cellStyle name="Обычный 49" xfId="174"/>
    <cellStyle name="Обычный 5" xfId="175"/>
    <cellStyle name="Обычный 5 2" xfId="1098"/>
    <cellStyle name="Обычный 5 3" xfId="1099"/>
    <cellStyle name="Обычный 5 3 2" xfId="1241"/>
    <cellStyle name="Обычный 5 3 2 2" xfId="1610"/>
    <cellStyle name="Обычный 5 3 3" xfId="1484"/>
    <cellStyle name="Обычный 50" xfId="176"/>
    <cellStyle name="Обычный 51" xfId="177"/>
    <cellStyle name="Обычный 52" xfId="178"/>
    <cellStyle name="Обычный 53" xfId="179"/>
    <cellStyle name="Обычный 54" xfId="180"/>
    <cellStyle name="Обычный 55" xfId="181"/>
    <cellStyle name="Обычный 56" xfId="182"/>
    <cellStyle name="Обычный 57" xfId="183"/>
    <cellStyle name="Обычный 58" xfId="184"/>
    <cellStyle name="Обычный 59" xfId="185"/>
    <cellStyle name="Обычный 6" xfId="186"/>
    <cellStyle name="Обычный 60" xfId="187"/>
    <cellStyle name="Обычный 61" xfId="188"/>
    <cellStyle name="Обычный 62" xfId="189"/>
    <cellStyle name="Обычный 62 2" xfId="190"/>
    <cellStyle name="Обычный 62_Sales Mexx_04 (2011)" xfId="191"/>
    <cellStyle name="Обычный 63" xfId="192"/>
    <cellStyle name="Обычный 64" xfId="193"/>
    <cellStyle name="Обычный 64 2" xfId="194"/>
    <cellStyle name="Обычный 64 3" xfId="195"/>
    <cellStyle name="Обычный 64_Sales Mexx_04 (2011)" xfId="196"/>
    <cellStyle name="Обычный 65" xfId="197"/>
    <cellStyle name="Обычный 66" xfId="198"/>
    <cellStyle name="Обычный 67" xfId="199"/>
    <cellStyle name="Обычный 67 2" xfId="1150"/>
    <cellStyle name="Обычный 67 2 2" xfId="1519"/>
    <cellStyle name="Обычный 67 3" xfId="1328"/>
    <cellStyle name="Обычный 68" xfId="200"/>
    <cellStyle name="Обычный 69" xfId="201"/>
    <cellStyle name="Обычный 7" xfId="202"/>
    <cellStyle name="Обычный 70" xfId="203"/>
    <cellStyle name="Обычный 71" xfId="204"/>
    <cellStyle name="Обычный 72" xfId="267"/>
    <cellStyle name="Обычный 72 2" xfId="1160"/>
    <cellStyle name="Обычный 72 2 2" xfId="1529"/>
    <cellStyle name="Обычный 72 3" xfId="1350"/>
    <cellStyle name="Обычный 73" xfId="1117"/>
    <cellStyle name="Обычный 73 2" xfId="1122"/>
    <cellStyle name="Обычный 73 2 2" xfId="1252"/>
    <cellStyle name="Обычный 73 2 2 2" xfId="1621"/>
    <cellStyle name="Обычный 73 2 3" xfId="1495"/>
    <cellStyle name="Обычный 73 3" xfId="1247"/>
    <cellStyle name="Обычный 73 3 2" xfId="1616"/>
    <cellStyle name="Обычный 73 4" xfId="1490"/>
    <cellStyle name="Обычный 74" xfId="1125"/>
    <cellStyle name="Обычный 75" xfId="1126"/>
    <cellStyle name="Обычный 75 2" xfId="1255"/>
    <cellStyle name="Обычный 75 2 2" xfId="1624"/>
    <cellStyle name="Обычный 75 3" xfId="1498"/>
    <cellStyle name="Обычный 76" xfId="1128"/>
    <cellStyle name="Обычный 76 2" xfId="1257"/>
    <cellStyle name="Обычный 76 2 2" xfId="1626"/>
    <cellStyle name="Обычный 76 3" xfId="1500"/>
    <cellStyle name="Обычный 77" xfId="1267"/>
    <cellStyle name="Обычный 77 2" xfId="1636"/>
    <cellStyle name="Обычный 78" xfId="1637"/>
    <cellStyle name="Обычный 79" xfId="1639"/>
    <cellStyle name="Обычный 8" xfId="205"/>
    <cellStyle name="Обычный 8 2" xfId="1100"/>
    <cellStyle name="Обычный 8 2 2" xfId="1242"/>
    <cellStyle name="Обычный 8 2 2 2" xfId="1611"/>
    <cellStyle name="Обычный 8 2 3" xfId="1485"/>
    <cellStyle name="Обычный 80" xfId="1640"/>
    <cellStyle name="Обычный 81" xfId="1641"/>
    <cellStyle name="Обычный 82" xfId="1642"/>
    <cellStyle name="Обычный 83" xfId="1272"/>
    <cellStyle name="Обычный 84" xfId="1269"/>
    <cellStyle name="Обычный 9" xfId="206"/>
    <cellStyle name="Обычный_GP Validation Sheet MEXX 2010" xfId="1129"/>
    <cellStyle name="Обычный_GP Validation Sheet MEXX 2010 2" xfId="96"/>
    <cellStyle name="Обычный_Лист1" xfId="1268"/>
    <cellStyle name="Обычный_Сводный Бюджет 2010 Pinko (Moscow)" xfId="76"/>
    <cellStyle name="Плохой" xfId="77" builtinId="27" customBuiltin="1"/>
    <cellStyle name="Плохой 2" xfId="78"/>
    <cellStyle name="Плохой 2 2" xfId="1101"/>
    <cellStyle name="Плохой 2 3" xfId="1102"/>
    <cellStyle name="Плохой 3" xfId="207"/>
    <cellStyle name="Плохой 4" xfId="1313"/>
    <cellStyle name="Пояснение" xfId="79" builtinId="53" customBuiltin="1"/>
    <cellStyle name="Пояснение 2" xfId="80"/>
    <cellStyle name="Пояснение 2 2" xfId="1103"/>
    <cellStyle name="Пояснение 2 3" xfId="1104"/>
    <cellStyle name="Пояснение 3" xfId="208"/>
    <cellStyle name="Пояснение 4" xfId="1314"/>
    <cellStyle name="Примечание" xfId="81" builtinId="10" customBuiltin="1"/>
    <cellStyle name="Примечание 2" xfId="82"/>
    <cellStyle name="Примечание 2 2" xfId="83"/>
    <cellStyle name="Примечание 2 2 2" xfId="1142"/>
    <cellStyle name="Примечание 2 2 2 2" xfId="1512"/>
    <cellStyle name="Примечание 2 2 3" xfId="1193"/>
    <cellStyle name="Примечание 2 2 3 2" xfId="1562"/>
    <cellStyle name="Примечание 2 2 4" xfId="1317"/>
    <cellStyle name="Примечание 2 3" xfId="1105"/>
    <cellStyle name="Примечание 2 3 2" xfId="1243"/>
    <cellStyle name="Примечание 2 3 2 2" xfId="1612"/>
    <cellStyle name="Примечание 2 3 3" xfId="1266"/>
    <cellStyle name="Примечание 2 3 3 2" xfId="1635"/>
    <cellStyle name="Примечание 2 3 4" xfId="1486"/>
    <cellStyle name="Примечание 2 4" xfId="1141"/>
    <cellStyle name="Примечание 2 4 2" xfId="1511"/>
    <cellStyle name="Примечание 2 5" xfId="1194"/>
    <cellStyle name="Примечание 2 5 2" xfId="1563"/>
    <cellStyle name="Примечание 2 6" xfId="1316"/>
    <cellStyle name="Примечание 3" xfId="209"/>
    <cellStyle name="Примечание 3 2" xfId="1153"/>
    <cellStyle name="Примечание 3 2 2" xfId="1522"/>
    <cellStyle name="Примечание 3 3" xfId="1152"/>
    <cellStyle name="Примечание 3 3 2" xfId="1521"/>
    <cellStyle name="Примечание 3 4" xfId="1329"/>
    <cellStyle name="Примечание 4" xfId="210"/>
    <cellStyle name="Примечание 4 2" xfId="1154"/>
    <cellStyle name="Примечание 4 2 2" xfId="1523"/>
    <cellStyle name="Примечание 4 3" xfId="1151"/>
    <cellStyle name="Примечание 4 3 2" xfId="1520"/>
    <cellStyle name="Примечание 4 4" xfId="1330"/>
    <cellStyle name="Примечание 5" xfId="1140"/>
    <cellStyle name="Примечание 5 2" xfId="1510"/>
    <cellStyle name="Примечание 6" xfId="1195"/>
    <cellStyle name="Примечание 6 2" xfId="1564"/>
    <cellStyle name="Примечание 7" xfId="1315"/>
    <cellStyle name="Процентный" xfId="84" builtinId="5"/>
    <cellStyle name="Процентный 10" xfId="1106"/>
    <cellStyle name="Процентный 10 2" xfId="1244"/>
    <cellStyle name="Процентный 10 2 2" xfId="1613"/>
    <cellStyle name="Процентный 10 3" xfId="1487"/>
    <cellStyle name="Процентный 11" xfId="1119"/>
    <cellStyle name="Процентный 11 2" xfId="1124"/>
    <cellStyle name="Процентный 11 2 2" xfId="1254"/>
    <cellStyle name="Процентный 11 2 2 2" xfId="1623"/>
    <cellStyle name="Процентный 11 2 3" xfId="1497"/>
    <cellStyle name="Процентный 11 3" xfId="1249"/>
    <cellStyle name="Процентный 11 3 2" xfId="1618"/>
    <cellStyle name="Процентный 11 4" xfId="1492"/>
    <cellStyle name="Процентный 12" xfId="1318"/>
    <cellStyle name="Процентный 13" xfId="1271"/>
    <cellStyle name="Процентный 2" xfId="85"/>
    <cellStyle name="Процентный 2 2" xfId="98"/>
    <cellStyle name="Процентный 2 2 2" xfId="211"/>
    <cellStyle name="Процентный 2 2 3" xfId="212"/>
    <cellStyle name="Процентный 2 2 3 2" xfId="213"/>
    <cellStyle name="Процентный 2 2 3 2 2" xfId="214"/>
    <cellStyle name="Процентный 2 2 3 3" xfId="215"/>
    <cellStyle name="Процентный 2 2 4" xfId="216"/>
    <cellStyle name="Процентный 2 3" xfId="217"/>
    <cellStyle name="Процентный 2 4" xfId="218"/>
    <cellStyle name="Процентный 3" xfId="86"/>
    <cellStyle name="Процентный 3 2" xfId="219"/>
    <cellStyle name="Процентный 3 3" xfId="220"/>
    <cellStyle name="Процентный 3 3 2" xfId="221"/>
    <cellStyle name="Процентный 3 3 2 2" xfId="222"/>
    <cellStyle name="Процентный 3 3 3" xfId="223"/>
    <cellStyle name="Процентный 4" xfId="224"/>
    <cellStyle name="Процентный 4 2" xfId="225"/>
    <cellStyle name="Процентный 4 2 2" xfId="226"/>
    <cellStyle name="Процентный 4 3" xfId="227"/>
    <cellStyle name="Процентный 4 4" xfId="228"/>
    <cellStyle name="Процентный 4 5" xfId="229"/>
    <cellStyle name="Процентный 5" xfId="230"/>
    <cellStyle name="Процентный 5 2" xfId="231"/>
    <cellStyle name="Процентный 5 3" xfId="232"/>
    <cellStyle name="Процентный 5 4" xfId="1155"/>
    <cellStyle name="Процентный 5 4 2" xfId="1524"/>
    <cellStyle name="Процентный 5 5" xfId="1331"/>
    <cellStyle name="Процентный 6" xfId="233"/>
    <cellStyle name="Процентный 6 2" xfId="234"/>
    <cellStyle name="Процентный 7" xfId="235"/>
    <cellStyle name="Процентный 8" xfId="236"/>
    <cellStyle name="Процентный 9" xfId="237"/>
    <cellStyle name="Связанная ячейка" xfId="87" builtinId="24" customBuiltin="1"/>
    <cellStyle name="Связанная ячейка 2" xfId="88"/>
    <cellStyle name="Связанная ячейка 2 2" xfId="1107"/>
    <cellStyle name="Связанная ячейка 2 3" xfId="1108"/>
    <cellStyle name="Связанная ячейка 3" xfId="238"/>
    <cellStyle name="Связанная ячейка 4" xfId="1319"/>
    <cellStyle name="Стиль 1" xfId="1109"/>
    <cellStyle name="Текст предупреждения" xfId="89" builtinId="11" customBuiltin="1"/>
    <cellStyle name="Текст предупреждения 2" xfId="90"/>
    <cellStyle name="Текст предупреждения 2 2" xfId="1110"/>
    <cellStyle name="Текст предупреждения 2 3" xfId="1111"/>
    <cellStyle name="Текст предупреждения 3" xfId="239"/>
    <cellStyle name="Текст предупреждения 4" xfId="1320"/>
    <cellStyle name="Финансовый" xfId="91" builtinId="3"/>
    <cellStyle name="Финансовый 10" xfId="240"/>
    <cellStyle name="Финансовый 10 2" xfId="1332"/>
    <cellStyle name="Финансовый 11" xfId="268"/>
    <cellStyle name="Финансовый 11 2" xfId="1161"/>
    <cellStyle name="Финансовый 11 2 2" xfId="1530"/>
    <cellStyle name="Финансовый 11 3" xfId="1351"/>
    <cellStyle name="Финансовый 12" xfId="862"/>
    <cellStyle name="Финансовый 12 2" xfId="1112"/>
    <cellStyle name="Финансовый 12 2 2" xfId="1245"/>
    <cellStyle name="Финансовый 12 2 2 2" xfId="1614"/>
    <cellStyle name="Финансовый 12 2 3" xfId="1488"/>
    <cellStyle name="Финансовый 13" xfId="1113"/>
    <cellStyle name="Финансовый 13 2" xfId="1246"/>
    <cellStyle name="Финансовый 13 2 2" xfId="1615"/>
    <cellStyle name="Финансовый 13 3" xfId="1489"/>
    <cellStyle name="Финансовый 14" xfId="1118"/>
    <cellStyle name="Финансовый 14 2" xfId="1123"/>
    <cellStyle name="Финансовый 14 2 2" xfId="1253"/>
    <cellStyle name="Финансовый 14 2 2 2" xfId="1622"/>
    <cellStyle name="Финансовый 14 2 3" xfId="1496"/>
    <cellStyle name="Финансовый 14 3" xfId="1248"/>
    <cellStyle name="Финансовый 14 3 2" xfId="1617"/>
    <cellStyle name="Финансовый 14 4" xfId="1491"/>
    <cellStyle name="Финансовый 15" xfId="1127"/>
    <cellStyle name="Финансовый 15 2" xfId="1256"/>
    <cellStyle name="Финансовый 15 2 2" xfId="1625"/>
    <cellStyle name="Финансовый 15 3" xfId="1499"/>
    <cellStyle name="Финансовый 16" xfId="1638"/>
    <cellStyle name="Финансовый 17" xfId="1643"/>
    <cellStyle name="Финансовый 18" xfId="1321"/>
    <cellStyle name="Финансовый 19" xfId="1270"/>
    <cellStyle name="Финансовый 2" xfId="92"/>
    <cellStyle name="Финансовый 2 2" xfId="93"/>
    <cellStyle name="Финансовый 2 2 2" xfId="241"/>
    <cellStyle name="Финансовый 2 2 3" xfId="242"/>
    <cellStyle name="Финансовый 2 2 3 2" xfId="1333"/>
    <cellStyle name="Финансовый 2 3" xfId="243"/>
    <cellStyle name="Финансовый 2 3 2" xfId="244"/>
    <cellStyle name="Финансовый 2 3 2 2" xfId="245"/>
    <cellStyle name="Финансовый 2 3 2 2 2" xfId="1335"/>
    <cellStyle name="Финансовый 2 3 2 3" xfId="1334"/>
    <cellStyle name="Финансовый 2 3 3" xfId="246"/>
    <cellStyle name="Финансовый 2 3 3 2" xfId="1336"/>
    <cellStyle name="Финансовый 2 3 4" xfId="247"/>
    <cellStyle name="Финансовый 2 3 4 2" xfId="1337"/>
    <cellStyle name="Финансовый 2 4" xfId="248"/>
    <cellStyle name="Финансовый 2 4 2" xfId="1338"/>
    <cellStyle name="Финансовый 2 5" xfId="1120"/>
    <cellStyle name="Финансовый 2 5 2" xfId="1250"/>
    <cellStyle name="Финансовый 2 5 2 2" xfId="1619"/>
    <cellStyle name="Финансовый 2 5 3" xfId="1493"/>
    <cellStyle name="Финансовый 2 6" xfId="1143"/>
    <cellStyle name="Финансовый 2_S. B. &amp; Es." xfId="249"/>
    <cellStyle name="Финансовый 3" xfId="250"/>
    <cellStyle name="Финансовый 3 2" xfId="251"/>
    <cellStyle name="Финансовый 3 2 2" xfId="1339"/>
    <cellStyle name="Финансовый 3 3" xfId="1116"/>
    <cellStyle name="Финансовый 4" xfId="252"/>
    <cellStyle name="Финансовый 4 2" xfId="253"/>
    <cellStyle name="Финансовый 4 2 2" xfId="254"/>
    <cellStyle name="Финансовый 4 2 2 2" xfId="1341"/>
    <cellStyle name="Финансовый 4 2 3" xfId="1340"/>
    <cellStyle name="Финансовый 4 3" xfId="255"/>
    <cellStyle name="Финансовый 4 3 2" xfId="1342"/>
    <cellStyle name="Финансовый 4 4" xfId="256"/>
    <cellStyle name="Финансовый 4 4 2" xfId="1343"/>
    <cellStyle name="Финансовый 5" xfId="257"/>
    <cellStyle name="Финансовый 5 2" xfId="258"/>
    <cellStyle name="Финансовый 5 2 2" xfId="1344"/>
    <cellStyle name="Финансовый 5 3" xfId="259"/>
    <cellStyle name="Финансовый 5 4" xfId="260"/>
    <cellStyle name="Финансовый 5 4 2" xfId="1345"/>
    <cellStyle name="Финансовый 6" xfId="261"/>
    <cellStyle name="Финансовый 6 2" xfId="262"/>
    <cellStyle name="Финансовый 6 2 2" xfId="1347"/>
    <cellStyle name="Финансовый 6 3" xfId="1346"/>
    <cellStyle name="Финансовый 7" xfId="263"/>
    <cellStyle name="Финансовый 7 2" xfId="1348"/>
    <cellStyle name="Финансовый 8" xfId="264"/>
    <cellStyle name="Финансовый 9" xfId="265"/>
    <cellStyle name="Финансовый 9 2" xfId="1349"/>
    <cellStyle name="Хороший" xfId="94" builtinId="26" customBuiltin="1"/>
    <cellStyle name="Хороший 2" xfId="95"/>
    <cellStyle name="Хороший 2 2" xfId="1114"/>
    <cellStyle name="Хороший 2 3" xfId="1115"/>
    <cellStyle name="Хороший 3" xfId="266"/>
    <cellStyle name="Хороший 4" xfId="1322"/>
    <cellStyle name="? [0.00]_PRODUCT DETAIL Q1" xfId="744"/>
    <cellStyle name="?_PRODUCT DETAIL Q1" xfId="745"/>
    <cellStyle name=" [0.00]_PRODUCT DETAIL Q1" xfId="746"/>
    <cellStyle name="_PRODUCT DETAIL Q1" xfId="747"/>
    <cellStyle name="?_BOOKSHIP" xfId="748"/>
    <cellStyle name="遽_97曖濰棟溘天遴艙啗" xfId="749"/>
    <cellStyle name="뒤에 오는 하이퍼링크_CONVERSE ORDER.xls Chart 1" xfId="750"/>
    <cellStyle name="백분율_2001SeptemberINDO (1)" xfId="751"/>
    <cellStyle name="콤마 [0]_JAN. PO status" xfId="752"/>
    <cellStyle name="콤마_CFM ORDER LIST S.AFRICA-FEB" xfId="753"/>
    <cellStyle name="통화 [0]_Book3" xfId="754"/>
    <cellStyle name="통화_2001SeptemberINDO (1)" xfId="755"/>
    <cellStyle name="표준_2001SeptemberINDO (1)" xfId="756"/>
    <cellStyle name="하이퍼링크_CONVERSE ORDER.xls Chart 1" xfId="757"/>
    <cellStyle name="一般 10" xfId="758"/>
    <cellStyle name="一般 11" xfId="759"/>
    <cellStyle name="一般 12" xfId="760"/>
    <cellStyle name="一般 12 2" xfId="1438"/>
    <cellStyle name="一般 2" xfId="761"/>
    <cellStyle name="一般 2 2" xfId="762"/>
    <cellStyle name="一般 2 2 2" xfId="763"/>
    <cellStyle name="一般 2 2_GLX11030133 Converse CIW (Trade card)" xfId="764"/>
    <cellStyle name="一般 2_GLX0909-0123 Converse YT (Trade card)" xfId="765"/>
    <cellStyle name="一般 3" xfId="766"/>
    <cellStyle name="一般 4" xfId="767"/>
    <cellStyle name="一般 4 2" xfId="768"/>
    <cellStyle name="一般 4_PX0911-1249-1 Converse YT." xfId="769"/>
    <cellStyle name="一般 5" xfId="770"/>
    <cellStyle name="一般 6" xfId="771"/>
    <cellStyle name="一般 7" xfId="772"/>
    <cellStyle name="一般 8" xfId="773"/>
    <cellStyle name="一般 9" xfId="774"/>
    <cellStyle name="一般_160-USA-11-18" xfId="775"/>
    <cellStyle name="中等" xfId="776"/>
    <cellStyle name="備註" xfId="777"/>
    <cellStyle name="備註 2" xfId="1196"/>
    <cellStyle name="備註 2 2" xfId="1565"/>
    <cellStyle name="備註 3" xfId="1183"/>
    <cellStyle name="備註 3 2" xfId="1552"/>
    <cellStyle name="備註 4" xfId="1439"/>
    <cellStyle name="千分位 10" xfId="778"/>
    <cellStyle name="千分位 11" xfId="779"/>
    <cellStyle name="千分位 11 2" xfId="1440"/>
    <cellStyle name="千分位 12" xfId="780"/>
    <cellStyle name="千分位 12 2" xfId="1441"/>
    <cellStyle name="千分位 13" xfId="781"/>
    <cellStyle name="千分位 13 2" xfId="1442"/>
    <cellStyle name="千分位 14" xfId="782"/>
    <cellStyle name="千分位 14 2" xfId="1443"/>
    <cellStyle name="千分位 15" xfId="783"/>
    <cellStyle name="千分位 15 2" xfId="1444"/>
    <cellStyle name="千分位 16" xfId="784"/>
    <cellStyle name="千分位 16 2" xfId="1445"/>
    <cellStyle name="千分位 17" xfId="785"/>
    <cellStyle name="千分位 17 2" xfId="1446"/>
    <cellStyle name="千分位 18" xfId="786"/>
    <cellStyle name="千分位 18 2" xfId="1447"/>
    <cellStyle name="千分位 19" xfId="787"/>
    <cellStyle name="千分位 19 2" xfId="1448"/>
    <cellStyle name="千分位 2" xfId="788"/>
    <cellStyle name="千分位 2 2" xfId="789"/>
    <cellStyle name="千分位 2 2 2" xfId="790"/>
    <cellStyle name="千分位 3" xfId="791"/>
    <cellStyle name="千分位 4" xfId="792"/>
    <cellStyle name="千分位 5" xfId="793"/>
    <cellStyle name="千分位 6" xfId="794"/>
    <cellStyle name="千分位 7" xfId="795"/>
    <cellStyle name="千分位 8" xfId="796"/>
    <cellStyle name="千分位 8 2" xfId="1449"/>
    <cellStyle name="千分位 9" xfId="797"/>
    <cellStyle name="合計" xfId="798"/>
    <cellStyle name="合計 2" xfId="1199"/>
    <cellStyle name="合計 2 2" xfId="1568"/>
    <cellStyle name="合計 3" xfId="1182"/>
    <cellStyle name="合計 3 2" xfId="1551"/>
    <cellStyle name="合計 4" xfId="1450"/>
    <cellStyle name="壞" xfId="799"/>
    <cellStyle name="壞_5523-gerd maersk 0907" xfId="800"/>
    <cellStyle name="壞_AUSTRALIA Sep" xfId="801"/>
    <cellStyle name="壞_GERD MAERSK 0907" xfId="802"/>
    <cellStyle name="壞_GLX0909-0123 Converse YT (Trade card)" xfId="803"/>
    <cellStyle name="壞_GLX11030133 Converse CIW (Trade card)" xfId="804"/>
    <cellStyle name="壞_PX1007-0947 Converse USA air LC" xfId="805"/>
    <cellStyle name="好_5523-gerd maersk 0907" xfId="806"/>
    <cellStyle name="好_AUSTRALIA Sep" xfId="807"/>
    <cellStyle name="好_Container  Loading  instruction" xfId="808"/>
    <cellStyle name="好_GERD MAERSK 0907" xfId="809"/>
    <cellStyle name="好_GLX0909-0123 Converse YT (Trade card)" xfId="810"/>
    <cellStyle name="好_GLX1004-0059 Converse YT (Trade card)" xfId="811"/>
    <cellStyle name="好_GLX11030133 Converse CIW (Trade card)" xfId="812"/>
    <cellStyle name="好_GLX11040164- Conquest Sport" xfId="813"/>
    <cellStyle name="好_Loading" xfId="814"/>
    <cellStyle name="好_PX1007-0947 Converse USA air LC" xfId="815"/>
    <cellStyle name="好_Sheet5" xfId="816"/>
    <cellStyle name="好_副本Licensee PK" xfId="817"/>
    <cellStyle name="好_副本Loading" xfId="818"/>
    <cellStyle name="巍葆 [0]_CODE" xfId="819"/>
    <cellStyle name="巍葆_CODE" xfId="820"/>
    <cellStyle name="差_Container  Loading  instruction" xfId="821"/>
    <cellStyle name="差_Loading" xfId="822"/>
    <cellStyle name="差_Sheet5" xfId="823"/>
    <cellStyle name="差_副本Licensee PK" xfId="824"/>
    <cellStyle name="差_副本Loading" xfId="825"/>
    <cellStyle name="常规_Australia 201103" xfId="826"/>
    <cellStyle name="日期" xfId="827"/>
    <cellStyle name="日期 2" xfId="1206"/>
    <cellStyle name="日期 2 2" xfId="1575"/>
    <cellStyle name="标题_Container  Loading  instruction" xfId="828"/>
    <cellStyle name="样式 1" xfId="829"/>
    <cellStyle name="桁?切? [0.00]_RESULTS" xfId="830"/>
    <cellStyle name="桁?切?_RESULTS" xfId="831"/>
    <cellStyle name="桁区切り [0.00]_RESULTS" xfId="832"/>
    <cellStyle name="桁区切り_RESULTS" xfId="833"/>
    <cellStyle name="標準_06FW Price List  Sales Sample Order0330" xfId="834"/>
    <cellStyle name="標題" xfId="835"/>
    <cellStyle name="標題 1" xfId="836"/>
    <cellStyle name="標題 2" xfId="837"/>
    <cellStyle name="標題 3" xfId="838"/>
    <cellStyle name="標題 4" xfId="839"/>
    <cellStyle name="樣式 1" xfId="840"/>
    <cellStyle name="檢查儲存格" xfId="841"/>
    <cellStyle name="計算方式" xfId="842"/>
    <cellStyle name="計算方式 2" xfId="1207"/>
    <cellStyle name="計算方式 2 2" xfId="1576"/>
    <cellStyle name="計算方式 3" xfId="1181"/>
    <cellStyle name="計算方式 3 2" xfId="1550"/>
    <cellStyle name="計算方式 4" xfId="1451"/>
    <cellStyle name="說明文字" xfId="843"/>
    <cellStyle name="警告文字" xfId="844"/>
    <cellStyle name="貨幣[0]_000025" xfId="845"/>
    <cellStyle name="輔色1" xfId="846"/>
    <cellStyle name="輔色2" xfId="847"/>
    <cellStyle name="輔色3" xfId="848"/>
    <cellStyle name="輔色4" xfId="849"/>
    <cellStyle name="輔色5" xfId="850"/>
    <cellStyle name="輔色6" xfId="851"/>
    <cellStyle name="輸入" xfId="852"/>
    <cellStyle name="輸入 2" xfId="1208"/>
    <cellStyle name="輸入 2 2" xfId="1577"/>
    <cellStyle name="輸入 3" xfId="1180"/>
    <cellStyle name="輸入 3 2" xfId="1549"/>
    <cellStyle name="輸入 4" xfId="1452"/>
    <cellStyle name="輸出" xfId="853"/>
    <cellStyle name="輸出 2" xfId="1209"/>
    <cellStyle name="輸出 2 2" xfId="1578"/>
    <cellStyle name="輸出 3" xfId="1179"/>
    <cellStyle name="輸出 3 2" xfId="1548"/>
    <cellStyle name="輸出 4" xfId="1453"/>
    <cellStyle name="通貨 [0.00]_RESULTS" xfId="854"/>
    <cellStyle name="通貨_RESULTS" xfId="855"/>
    <cellStyle name="連結的儲存格" xfId="856"/>
    <cellStyle name="雖薑腎雖 彊擠" xfId="857"/>
    <cellStyle name="鱔? [0]_CODE" xfId="858"/>
    <cellStyle name="鱔?_CODE" xfId="859"/>
    <cellStyle name="鱔 [0]_CODE" xfId="860"/>
    <cellStyle name="鱔_CODE" xfId="86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1343025</xdr:colOff>
      <xdr:row>0</xdr:row>
      <xdr:rowOff>28575</xdr:rowOff>
    </xdr:from>
    <xdr:to>
      <xdr:col>11</xdr:col>
      <xdr:colOff>2867025</xdr:colOff>
      <xdr:row>2</xdr:row>
      <xdr:rowOff>0</xdr:rowOff>
    </xdr:to>
    <xdr:pic>
      <xdr:nvPicPr>
        <xdr:cNvPr id="36355" name="Picture 1">
          <a:extLst>
            <a:ext uri="{FF2B5EF4-FFF2-40B4-BE49-F238E27FC236}">
              <a16:creationId xmlns:a16="http://schemas.microsoft.com/office/drawing/2014/main" xmlns="" id="{00000000-0008-0000-0100-00000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5200" y="28575"/>
          <a:ext cx="1524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1343025</xdr:colOff>
      <xdr:row>0</xdr:row>
      <xdr:rowOff>28575</xdr:rowOff>
    </xdr:from>
    <xdr:to>
      <xdr:col>11</xdr:col>
      <xdr:colOff>2867025</xdr:colOff>
      <xdr:row>2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5200" y="28575"/>
          <a:ext cx="1524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tserver/finance/99%20all/9906/consolidation_package_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01%20all\Monthly%20reports\Management%20accounts\MA%20monthly%20BLANK%20new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.kashirskaya/Local%20Settings/Temporary%20Internet%20Files/OLKDE/Ryazan_Victoria%20Plaza/IRR%20Peacocks%20Ryazan%20Victoria%20Plaz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RV/Server/Documents%20and%20Settings/a.kashirskaya/Local%20Settings/Temporary%20Internet%20Files/OLKDE/Ryazan_Victoria%20Plaza/IRR%20Peacocks%20Ryazan%20Victoria%20Plaz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-MAIL/server-mail-&#1054;&#1090;&#1076;&#1077;&#1083;&#1099;$/Documents%20and%20Settings/dnikitin/Local%20Settings/Temporary%20Internet%20Files/OLK66/5yrplan_retail_Ukrain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/2015%20FCST%2012%20Actual/FCST%202015%20Retai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RV/Server/Finance/BUD/2015%20FCST%2012%20Actual/FCST%202015%20Retai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-MAIL/server-mail-&#1054;&#1090;&#1076;&#1077;&#1083;&#1099;$/Documents%20and%20Settings/dnikitin/Local%20Settings/Temporary%20Internet%20Files/OLK5E/Logistics_12.05.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48;&#1053;/2019/FCST/FCST%202019%20ACT%2002/FCST%202019%20Onlin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trade%20receivables_31%2012%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gnatov/AppData/Local/Microsoft/Windows/Temporary%20Internet%20Files/Content.Outlook/MOCUVJAB/Data-SSR/Data-SSR-2012-05-31-monthl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RV/Server/Users/pignatov/AppData/Local/Microsoft/Windows/Temporary%20Internet%20Files/Content.Outlook/MOCUVJAB/Data-SSR/Data-SSR-2012-05-31-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60;&#1080;&#1085;&#1072;&#1085;&#1089;&#1099;/MA%20reporting%202011/09%202011/Hyperion%2009%202011/HYP%20conso%20files/MTX%20Conso%2009%202011%20P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RV/Server/&#1054;&#1090;&#1076;&#1077;&#1083;&#1099;/&#1060;&#1080;&#1085;&#1072;&#1085;&#1089;&#1099;/MA%20reporting%202011/09%202011/Hyperion%2009%202011/HYP%20conso%20files/MTX%20Conso%2009%202011%20P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pashkovskaya/Desktop/Finance/CF/CF%202014%20estim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RV/Server/Users/ipashkovskaya/Desktop/Finance/CF/CF%202014%20esti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skov/Documents/Budgets/Budget%202012/Budget%202012%20scenarios/Revised%20in%20Feb%20after%20preorder/Budget%202012%20v1%20based%20on%20RU%205YP%20v9%20STORE%20MARGIN%20HIGH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RV/Server/Users/Baskov/Documents/Budgets/Budget%202012/Budget%202012%20scenarios/Revised%20in%20Feb%20after%20preorder/Budget%202012%20v1%20based%20on%20RU%205YP%20v9%20STORE%20MARGIN%20HI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_AFF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forecast"/>
      <sheetName val="Actual"/>
      <sheetName val="budget"/>
      <sheetName val="Prior year"/>
      <sheetName val="CY-2"/>
      <sheetName val="graphdata"/>
      <sheetName val="Trends-P&amp;L"/>
      <sheetName val="Trends-BS"/>
      <sheetName val="Upravy"/>
      <sheetName val="Module1"/>
      <sheetName val="Module2"/>
      <sheetName val="MA monthly BLANK new 2001"/>
      <sheetName val="Prior_year"/>
      <sheetName val="MA_monthly_BLANK_new_2001"/>
      <sheetName val="Prior_year1"/>
      <sheetName val="MA_monthly_BLANK_new_20011"/>
      <sheetName val="Prior_year2"/>
      <sheetName val="MA_monthly_BLANK_new_20012"/>
      <sheetName val="Prior_year3"/>
      <sheetName val="MA_monthly_BLANK_new_20013"/>
      <sheetName val="Prior_year4"/>
      <sheetName val="MA_monthly_BLANK_new_20014"/>
      <sheetName val="Assump"/>
      <sheetName val="Project_Costs21"/>
      <sheetName val="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-outputs"/>
      <sheetName val="Gross Margin"/>
      <sheetName val="Base"/>
      <sheetName val="Base+10%"/>
      <sheetName val="Base-10%"/>
      <sheetName val="Data"/>
    </sheetNames>
    <sheetDataSet>
      <sheetData sheetId="0"/>
      <sheetData sheetId="1"/>
      <sheetData sheetId="2">
        <row r="1">
          <cell r="A1" t="str">
            <v>Peacocks Ryazan Victoria Plaza</v>
          </cell>
        </row>
      </sheetData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_09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. Policy"/>
      <sheetName val="Purchase old"/>
      <sheetName val="Mark Up Validation"/>
      <sheetName val="Terms and Turnovers"/>
      <sheetName val="Sales target"/>
      <sheetName val="For upload"/>
      <sheetName val="Marketing"/>
      <sheetName val="General"/>
      <sheetName val="SDC Franchize &amp; Wholesale"/>
      <sheetName val="БНС Груп"/>
      <sheetName val="Fixed assets"/>
      <sheetName val="Supply"/>
      <sheetName val="Capex"/>
      <sheetName val="online"/>
      <sheetName val="stores"/>
      <sheetName val="Comments"/>
      <sheetName val="New Stores"/>
      <sheetName val="royalty"/>
      <sheetName val="Лист1"/>
      <sheetName val="Sales Targets"/>
      <sheetName val="Mark Up Loses"/>
      <sheetName val="Mark Up Loses Old"/>
      <sheetName val="Wages Stores"/>
      <sheetName val="Wages WH staff"/>
      <sheetName val="Retail Exp"/>
      <sheetName val="VM RUS (Ret)"/>
      <sheetName val="VM Int (Ret)"/>
      <sheetName val="Credits"/>
      <sheetName val="Stores Rent"/>
      <sheetName val="Other shop costs"/>
      <sheetName val="Лист2"/>
    </sheetNames>
    <sheetDataSet>
      <sheetData sheetId="0" refreshError="1">
        <row r="28">
          <cell r="I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ark Up Validation"/>
      <sheetName val="Sales Targets"/>
      <sheetName val="Mark Up Loses"/>
      <sheetName val="Sales in Units"/>
      <sheetName val="Purchasing 2018"/>
      <sheetName val="Wages Stores"/>
      <sheetName val="Retail Exp"/>
      <sheetName val="VM "/>
      <sheetName val="Shoping bags"/>
      <sheetName val="CHARGES"/>
      <sheetName val="IT Support"/>
      <sheetName val="For upload"/>
    </sheetNames>
    <sheetDataSet>
      <sheetData sheetId="0"/>
      <sheetData sheetId="1"/>
      <sheetData sheetId="2"/>
      <sheetData sheetId="3"/>
      <sheetData sheetId="4"/>
      <sheetData sheetId="5">
        <row r="136">
          <cell r="AB136">
            <v>22.196261682242991</v>
          </cell>
        </row>
        <row r="137">
          <cell r="AB137">
            <v>35.493016906437042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12.2020"/>
      <sheetName val="Лист3"/>
    </sheetNames>
    <sheetDataSet>
      <sheetData sheetId="0">
        <row r="1">
          <cell r="P1">
            <v>900159.71</v>
          </cell>
        </row>
        <row r="3">
          <cell r="A3" t="str">
            <v>АЛЬФА ООО</v>
          </cell>
          <cell r="B3" t="str">
            <v>Sau</v>
          </cell>
          <cell r="C3">
            <v>-34032</v>
          </cell>
        </row>
        <row r="4">
          <cell r="A4" t="str">
            <v>Анисоль ООО</v>
          </cell>
          <cell r="B4" t="str">
            <v>UGG</v>
          </cell>
          <cell r="C4">
            <v>-68728.17</v>
          </cell>
        </row>
        <row r="5">
          <cell r="A5" t="str">
            <v>Анисоль ООО</v>
          </cell>
          <cell r="B5" t="str">
            <v>DRM</v>
          </cell>
          <cell r="C5">
            <v>-100111.42</v>
          </cell>
        </row>
        <row r="6">
          <cell r="A6" t="str">
            <v>Анисоль ООО</v>
          </cell>
          <cell r="B6" t="str">
            <v>CON</v>
          </cell>
          <cell r="C6">
            <v>-126767.75</v>
          </cell>
        </row>
        <row r="7">
          <cell r="A7" t="str">
            <v>Анисоль ООО</v>
          </cell>
          <cell r="B7" t="str">
            <v>CON</v>
          </cell>
          <cell r="C7">
            <v>-23403.97</v>
          </cell>
        </row>
        <row r="8">
          <cell r="A8" t="str">
            <v>Атлет ООО</v>
          </cell>
          <cell r="B8" t="str">
            <v>CON</v>
          </cell>
          <cell r="C8">
            <v>-186996</v>
          </cell>
        </row>
        <row r="9">
          <cell r="A9" t="str">
            <v>БАТТОН ООО</v>
          </cell>
          <cell r="B9" t="str">
            <v>SAU</v>
          </cell>
          <cell r="C9">
            <v>-4720.3999999999996</v>
          </cell>
        </row>
        <row r="10">
          <cell r="A10" t="str">
            <v>БРЕНД АУТЛЕТ ООО</v>
          </cell>
          <cell r="B10" t="str">
            <v>con</v>
          </cell>
          <cell r="C10">
            <v>-700</v>
          </cell>
        </row>
        <row r="11">
          <cell r="A11" t="str">
            <v>Бренд Стрит ООО</v>
          </cell>
          <cell r="B11" t="str">
            <v>CON</v>
          </cell>
          <cell r="C11">
            <v>583778.9</v>
          </cell>
        </row>
        <row r="12">
          <cell r="A12" t="str">
            <v>Бренд Стрит ООО</v>
          </cell>
          <cell r="B12" t="str">
            <v>CON</v>
          </cell>
          <cell r="C12">
            <v>215596.3</v>
          </cell>
        </row>
        <row r="13">
          <cell r="A13" t="str">
            <v>Бренд Стрит ООО</v>
          </cell>
          <cell r="B13" t="str">
            <v>DRM</v>
          </cell>
          <cell r="C13">
            <v>102911.72</v>
          </cell>
        </row>
        <row r="14">
          <cell r="A14" t="str">
            <v>Бренд Стрит ООО</v>
          </cell>
          <cell r="B14" t="str">
            <v>SAU</v>
          </cell>
          <cell r="C14">
            <v>99307.75</v>
          </cell>
        </row>
        <row r="15">
          <cell r="A15" t="str">
            <v>Бутик ООО</v>
          </cell>
          <cell r="B15" t="str">
            <v>CON</v>
          </cell>
          <cell r="C15">
            <v>-12.07</v>
          </cell>
        </row>
        <row r="16">
          <cell r="A16" t="str">
            <v>Бутик ООО</v>
          </cell>
          <cell r="B16" t="str">
            <v>UGG</v>
          </cell>
          <cell r="C16">
            <v>-30000.3</v>
          </cell>
        </row>
        <row r="17">
          <cell r="A17" t="str">
            <v>БШ Стор ООО</v>
          </cell>
          <cell r="B17" t="str">
            <v>SAU</v>
          </cell>
          <cell r="C17">
            <v>-440491.9</v>
          </cell>
        </row>
        <row r="18">
          <cell r="A18" t="str">
            <v>БШ Стор ООО</v>
          </cell>
          <cell r="B18" t="str">
            <v>SAU</v>
          </cell>
          <cell r="C18">
            <v>-448843.37</v>
          </cell>
        </row>
        <row r="19">
          <cell r="A19" t="str">
            <v>БШ Стор ООО</v>
          </cell>
          <cell r="B19" t="str">
            <v>DRM</v>
          </cell>
          <cell r="C19">
            <v>-447617.91</v>
          </cell>
        </row>
        <row r="20">
          <cell r="A20" t="str">
            <v>БШ Стор ООО</v>
          </cell>
          <cell r="B20" t="str">
            <v>DRM</v>
          </cell>
          <cell r="C20">
            <v>-599500.23</v>
          </cell>
        </row>
        <row r="21">
          <cell r="A21" t="str">
            <v>БШ Стор ООО</v>
          </cell>
          <cell r="B21" t="str">
            <v>CON</v>
          </cell>
          <cell r="C21">
            <v>-97248.78</v>
          </cell>
        </row>
        <row r="22">
          <cell r="A22" t="str">
            <v>БШ Стор ООО</v>
          </cell>
          <cell r="B22" t="str">
            <v>CON</v>
          </cell>
          <cell r="C22">
            <v>-182855.13</v>
          </cell>
        </row>
        <row r="23">
          <cell r="A23" t="str">
            <v>БШ Стор ООО</v>
          </cell>
          <cell r="B23" t="str">
            <v>CON</v>
          </cell>
          <cell r="C23">
            <v>-81257.990000000005</v>
          </cell>
        </row>
        <row r="24">
          <cell r="A24" t="str">
            <v>БШ Стор ООО</v>
          </cell>
          <cell r="B24" t="str">
            <v>CON</v>
          </cell>
          <cell r="C24">
            <v>-10622</v>
          </cell>
        </row>
        <row r="25">
          <cell r="A25" t="str">
            <v>Вайлдберриз ООО</v>
          </cell>
          <cell r="B25" t="str">
            <v>CON</v>
          </cell>
          <cell r="C25">
            <v>1677890.06</v>
          </cell>
        </row>
        <row r="26">
          <cell r="A26" t="str">
            <v>Вайлдберриз ООО</v>
          </cell>
          <cell r="B26" t="str">
            <v>hav</v>
          </cell>
          <cell r="C26">
            <v>421353.71</v>
          </cell>
        </row>
        <row r="27">
          <cell r="A27" t="str">
            <v>Вайлдберриз ООО</v>
          </cell>
          <cell r="B27" t="str">
            <v>SAU</v>
          </cell>
          <cell r="C27">
            <v>1557721.67</v>
          </cell>
        </row>
        <row r="28">
          <cell r="A28" t="str">
            <v>Вайлдберриз ООО</v>
          </cell>
          <cell r="B28" t="str">
            <v>UGG</v>
          </cell>
          <cell r="C28">
            <v>5308.59</v>
          </cell>
        </row>
        <row r="29">
          <cell r="A29" t="str">
            <v>Вайлдберриз ООО</v>
          </cell>
          <cell r="B29" t="str">
            <v>CON</v>
          </cell>
          <cell r="C29">
            <v>9507102.9600000009</v>
          </cell>
        </row>
        <row r="30">
          <cell r="A30" t="str">
            <v>Вайлдберриз ООО</v>
          </cell>
          <cell r="B30" t="str">
            <v>hav</v>
          </cell>
          <cell r="C30">
            <v>478806</v>
          </cell>
        </row>
        <row r="31">
          <cell r="A31" t="str">
            <v>Вайлдберриз ООО</v>
          </cell>
          <cell r="B31" t="str">
            <v>SAU</v>
          </cell>
          <cell r="C31">
            <v>528227.97</v>
          </cell>
        </row>
        <row r="32">
          <cell r="A32" t="str">
            <v>Вайлдберриз ООО</v>
          </cell>
          <cell r="B32" t="str">
            <v>UGG</v>
          </cell>
          <cell r="C32">
            <v>-386301.3</v>
          </cell>
        </row>
        <row r="33">
          <cell r="A33" t="str">
            <v>Вайлдберриз ООО</v>
          </cell>
          <cell r="B33" t="str">
            <v>UGG</v>
          </cell>
          <cell r="C33">
            <v>60884568.719999999</v>
          </cell>
        </row>
        <row r="34">
          <cell r="A34" t="str">
            <v>Вайлдберриз ООО</v>
          </cell>
          <cell r="B34" t="str">
            <v>CON</v>
          </cell>
          <cell r="C34">
            <v>-1988507.7</v>
          </cell>
        </row>
        <row r="35">
          <cell r="A35" t="str">
            <v>Вайлдберриз ООО</v>
          </cell>
          <cell r="B35" t="str">
            <v>UGG</v>
          </cell>
          <cell r="C35">
            <v>6024987</v>
          </cell>
        </row>
        <row r="36">
          <cell r="A36" t="str">
            <v>Вайлдберриз ООО</v>
          </cell>
          <cell r="B36" t="str">
            <v>CON</v>
          </cell>
          <cell r="C36">
            <v>-113627.8</v>
          </cell>
        </row>
        <row r="37">
          <cell r="A37" t="str">
            <v>Вайлдберриз ООО</v>
          </cell>
          <cell r="B37" t="str">
            <v>CON</v>
          </cell>
          <cell r="C37">
            <v>-119148.5</v>
          </cell>
        </row>
        <row r="38">
          <cell r="A38" t="str">
            <v>Джинсовая Симфония ООО</v>
          </cell>
          <cell r="B38" t="str">
            <v>CON</v>
          </cell>
          <cell r="C38">
            <v>-7495</v>
          </cell>
        </row>
        <row r="39">
          <cell r="A39" t="str">
            <v>ИНТЕРМОДЕ ООО</v>
          </cell>
          <cell r="B39" t="str">
            <v>DRM</v>
          </cell>
          <cell r="C39">
            <v>-220091.9</v>
          </cell>
        </row>
        <row r="40">
          <cell r="A40" t="str">
            <v>ИНТЕРМОДЕ ООО</v>
          </cell>
          <cell r="B40" t="str">
            <v>DRM</v>
          </cell>
          <cell r="C40">
            <v>-1245959.55</v>
          </cell>
        </row>
        <row r="41">
          <cell r="A41" t="str">
            <v>ИНТЕРМОДЕ ООО</v>
          </cell>
          <cell r="B41" t="str">
            <v>CON</v>
          </cell>
          <cell r="C41">
            <v>-5351625.4000000004</v>
          </cell>
        </row>
        <row r="42">
          <cell r="A42" t="str">
            <v>Интернет Решения ООО</v>
          </cell>
          <cell r="B42" t="str">
            <v>CON</v>
          </cell>
          <cell r="C42">
            <v>80316</v>
          </cell>
        </row>
        <row r="43">
          <cell r="A43" t="str">
            <v>Интернет Решения ООО</v>
          </cell>
          <cell r="B43" t="str">
            <v>DRM</v>
          </cell>
          <cell r="C43">
            <v>170899.20000000001</v>
          </cell>
        </row>
        <row r="44">
          <cell r="A44" t="str">
            <v>Интернет Решения ООО</v>
          </cell>
          <cell r="B44" t="str">
            <v>UGG</v>
          </cell>
          <cell r="C44">
            <v>823122</v>
          </cell>
        </row>
        <row r="45">
          <cell r="A45" t="str">
            <v>Интернет Решения ООО</v>
          </cell>
          <cell r="B45" t="str">
            <v>UGG</v>
          </cell>
          <cell r="C45">
            <v>4037312</v>
          </cell>
        </row>
        <row r="46">
          <cell r="A46" t="str">
            <v>Интернет Решения ООО</v>
          </cell>
          <cell r="B46" t="str">
            <v>UGG</v>
          </cell>
          <cell r="C46">
            <v>-598359</v>
          </cell>
        </row>
        <row r="47">
          <cell r="A47" t="str">
            <v>Интернет Решения ООО</v>
          </cell>
          <cell r="B47" t="str">
            <v>SAU</v>
          </cell>
          <cell r="C47">
            <v>-213879.88</v>
          </cell>
        </row>
        <row r="48">
          <cell r="A48" t="str">
            <v>Интернет Решения ООО</v>
          </cell>
          <cell r="B48" t="str">
            <v>SAU</v>
          </cell>
          <cell r="C48">
            <v>-130599.4</v>
          </cell>
        </row>
        <row r="49">
          <cell r="A49" t="str">
            <v>Интернет Решения ООО</v>
          </cell>
          <cell r="B49" t="str">
            <v>DRM</v>
          </cell>
          <cell r="C49">
            <v>-347147.96</v>
          </cell>
        </row>
        <row r="50">
          <cell r="A50" t="str">
            <v>Интернет Решения ООО</v>
          </cell>
          <cell r="B50" t="str">
            <v>DRM</v>
          </cell>
          <cell r="C50">
            <v>-551722.46</v>
          </cell>
        </row>
        <row r="51">
          <cell r="A51" t="str">
            <v>Интернет Решения ООО</v>
          </cell>
          <cell r="B51" t="str">
            <v>CON</v>
          </cell>
          <cell r="C51">
            <v>-1752118.54</v>
          </cell>
        </row>
        <row r="52">
          <cell r="A52" t="str">
            <v>Интерстеп ДВ ООО</v>
          </cell>
          <cell r="B52" t="str">
            <v>UGG</v>
          </cell>
          <cell r="C52">
            <v>-4230</v>
          </cell>
        </row>
        <row r="53">
          <cell r="A53" t="str">
            <v>Интерстеп ДВ ООО</v>
          </cell>
          <cell r="B53" t="str">
            <v>DRM</v>
          </cell>
          <cell r="C53">
            <v>-4208.0200000000004</v>
          </cell>
        </row>
        <row r="54">
          <cell r="A54" t="str">
            <v>ИП Алемасова-Жижко Екатерина Викторовна</v>
          </cell>
          <cell r="B54" t="str">
            <v>CON</v>
          </cell>
          <cell r="C54">
            <v>-86703</v>
          </cell>
        </row>
        <row r="55">
          <cell r="A55" t="str">
            <v>ИП Бабарскова Екатерина Николаевна</v>
          </cell>
          <cell r="B55" t="str">
            <v>CON</v>
          </cell>
          <cell r="C55">
            <v>-140484</v>
          </cell>
        </row>
        <row r="56">
          <cell r="A56" t="str">
            <v>ИП Бабарскова Екатерина Николаевна</v>
          </cell>
          <cell r="B56" t="str">
            <v>CON</v>
          </cell>
          <cell r="C56">
            <v>-117525</v>
          </cell>
        </row>
        <row r="57">
          <cell r="A57" t="str">
            <v>ИП Бабарскова Екатерина Николаевна</v>
          </cell>
          <cell r="B57" t="str">
            <v>CON</v>
          </cell>
          <cell r="C57">
            <v>-47713</v>
          </cell>
        </row>
        <row r="58">
          <cell r="A58" t="str">
            <v>ИП Бабарскова Екатерина Николаевна</v>
          </cell>
          <cell r="B58" t="str">
            <v>CON</v>
          </cell>
          <cell r="C58">
            <v>-72017.25</v>
          </cell>
        </row>
        <row r="59">
          <cell r="A59" t="str">
            <v>ИП Бабарскова Екатерина Николаевна</v>
          </cell>
          <cell r="B59" t="str">
            <v>CON</v>
          </cell>
          <cell r="C59">
            <v>-17520</v>
          </cell>
        </row>
        <row r="60">
          <cell r="A60" t="str">
            <v>ИП Бабарскова Екатерина Николаевна</v>
          </cell>
          <cell r="B60" t="str">
            <v>DRM</v>
          </cell>
          <cell r="C60">
            <v>-50000</v>
          </cell>
        </row>
        <row r="61">
          <cell r="A61" t="str">
            <v>ИП Базылевич Андрей Сергеевич</v>
          </cell>
          <cell r="B61" t="str">
            <v>SAU</v>
          </cell>
          <cell r="C61">
            <v>-11533.5</v>
          </cell>
        </row>
        <row r="62">
          <cell r="A62" t="str">
            <v>ИП Борисов Евгений Евгеньевич</v>
          </cell>
          <cell r="B62" t="str">
            <v>CON</v>
          </cell>
          <cell r="C62">
            <v>-46177.23</v>
          </cell>
        </row>
        <row r="63">
          <cell r="A63" t="str">
            <v>ИП Борисов Евгений Евгеньевич</v>
          </cell>
          <cell r="B63" t="str">
            <v>CON</v>
          </cell>
          <cell r="C63">
            <v>-120577.83</v>
          </cell>
        </row>
        <row r="64">
          <cell r="A64" t="str">
            <v>ИП Брюкова Анна Александровна</v>
          </cell>
          <cell r="B64" t="str">
            <v>DRM</v>
          </cell>
          <cell r="C64">
            <v>-0.9</v>
          </cell>
        </row>
        <row r="65">
          <cell r="A65" t="str">
            <v>ИП Брюкова Анна Александровна</v>
          </cell>
          <cell r="B65" t="str">
            <v>CON</v>
          </cell>
          <cell r="C65">
            <v>-71759</v>
          </cell>
        </row>
        <row r="66">
          <cell r="A66" t="str">
            <v>ИП Бтемирова Ольга Александровна</v>
          </cell>
          <cell r="B66" t="str">
            <v>DRM</v>
          </cell>
          <cell r="C66">
            <v>-72408</v>
          </cell>
        </row>
        <row r="67">
          <cell r="A67" t="str">
            <v>ИП Бтемирова Ольга Александровна</v>
          </cell>
          <cell r="B67" t="str">
            <v>DRM</v>
          </cell>
          <cell r="C67">
            <v>-0.6</v>
          </cell>
        </row>
        <row r="68">
          <cell r="A68" t="str">
            <v>ИП Гагарин Никита Валерьевич</v>
          </cell>
          <cell r="B68" t="str">
            <v>SAU</v>
          </cell>
          <cell r="C68">
            <v>-63848.24</v>
          </cell>
        </row>
        <row r="69">
          <cell r="A69" t="str">
            <v>ИП Гагарин Никита Валерьевич</v>
          </cell>
          <cell r="B69" t="str">
            <v>CON</v>
          </cell>
          <cell r="C69">
            <v>-70097.98</v>
          </cell>
        </row>
        <row r="70">
          <cell r="A70" t="str">
            <v>ИП Гапон Юлия Николаевна</v>
          </cell>
          <cell r="B70" t="str">
            <v>DRM</v>
          </cell>
          <cell r="C70">
            <v>-1759.12</v>
          </cell>
        </row>
        <row r="71">
          <cell r="A71" t="str">
            <v>ИП Гультяев Виталий Анатольевич</v>
          </cell>
          <cell r="B71" t="str">
            <v>CON</v>
          </cell>
          <cell r="C71">
            <v>-50473</v>
          </cell>
        </row>
        <row r="72">
          <cell r="A72" t="str">
            <v>ИП Давыдов Али Косимович</v>
          </cell>
          <cell r="B72" t="str">
            <v>CON</v>
          </cell>
          <cell r="C72">
            <v>-48057.97</v>
          </cell>
        </row>
        <row r="73">
          <cell r="A73" t="str">
            <v>ИП Давыдов Али Косимович</v>
          </cell>
          <cell r="B73" t="str">
            <v>CON</v>
          </cell>
          <cell r="C73">
            <v>-51832.3</v>
          </cell>
        </row>
        <row r="74">
          <cell r="A74" t="str">
            <v>ИП Ермолин Иван Юрьевич</v>
          </cell>
          <cell r="B74" t="str">
            <v>DRM</v>
          </cell>
          <cell r="C74">
            <v>-56290.6</v>
          </cell>
        </row>
        <row r="75">
          <cell r="A75" t="str">
            <v>ИП Ермолин Иван Юрьевич</v>
          </cell>
          <cell r="B75" t="str">
            <v>CON</v>
          </cell>
          <cell r="C75">
            <v>-1000</v>
          </cell>
        </row>
        <row r="76">
          <cell r="A76" t="str">
            <v>ИП Журавлев Андрей  Васильевич</v>
          </cell>
          <cell r="B76" t="str">
            <v>CON</v>
          </cell>
          <cell r="C76">
            <v>1106685</v>
          </cell>
        </row>
        <row r="77">
          <cell r="A77" t="str">
            <v>ИП Журавлев Андрей  Васильевич</v>
          </cell>
          <cell r="B77" t="str">
            <v>CON</v>
          </cell>
          <cell r="C77">
            <v>678895</v>
          </cell>
        </row>
        <row r="78">
          <cell r="A78" t="str">
            <v>ИП Земцова Наталья Демьяновна</v>
          </cell>
          <cell r="B78" t="str">
            <v>CON</v>
          </cell>
          <cell r="C78">
            <v>-7199.46</v>
          </cell>
        </row>
        <row r="79">
          <cell r="A79" t="str">
            <v>ИП Зубова Ульяна Константиновна</v>
          </cell>
          <cell r="B79" t="str">
            <v>UGG</v>
          </cell>
          <cell r="C79">
            <v>-9548</v>
          </cell>
        </row>
        <row r="80">
          <cell r="A80" t="str">
            <v>ИП Иванов Милен Атанасов</v>
          </cell>
          <cell r="B80" t="str">
            <v>CON</v>
          </cell>
          <cell r="C80">
            <v>-62433.94</v>
          </cell>
        </row>
        <row r="81">
          <cell r="A81" t="str">
            <v>ИП Исхакова Татьяна Алексеевна</v>
          </cell>
          <cell r="B81" t="str">
            <v>DRM</v>
          </cell>
          <cell r="C81">
            <v>-10188</v>
          </cell>
        </row>
        <row r="82">
          <cell r="A82" t="str">
            <v xml:space="preserve">ИП Калинин Олег Владимирович </v>
          </cell>
          <cell r="B82" t="str">
            <v>CON</v>
          </cell>
          <cell r="C82">
            <v>-73642</v>
          </cell>
        </row>
        <row r="83">
          <cell r="A83" t="str">
            <v xml:space="preserve">ИП Калинин Олег Владимирович </v>
          </cell>
          <cell r="B83" t="str">
            <v>CON</v>
          </cell>
          <cell r="C83">
            <v>-52095.6</v>
          </cell>
        </row>
        <row r="84">
          <cell r="A84" t="str">
            <v>ИП Катков Игорь Евгеньевич</v>
          </cell>
          <cell r="B84" t="str">
            <v>CON</v>
          </cell>
          <cell r="C84">
            <v>-64104.95</v>
          </cell>
        </row>
        <row r="85">
          <cell r="A85" t="str">
            <v>ИП Кравченко Владимир Геннадиевич</v>
          </cell>
          <cell r="B85" t="str">
            <v>SAU</v>
          </cell>
          <cell r="C85">
            <v>-91431.66</v>
          </cell>
        </row>
        <row r="86">
          <cell r="A86" t="str">
            <v>ИП Кравченко Владимир Геннадиевич</v>
          </cell>
          <cell r="B86" t="str">
            <v>CON</v>
          </cell>
          <cell r="C86">
            <v>-42972.72</v>
          </cell>
        </row>
        <row r="87">
          <cell r="A87" t="str">
            <v>ИП Крячко Сергей Владимирович</v>
          </cell>
          <cell r="B87" t="str">
            <v>CON</v>
          </cell>
          <cell r="C87">
            <v>-26738.21</v>
          </cell>
        </row>
        <row r="88">
          <cell r="A88" t="str">
            <v>ИП Кулагина Екатерина Владимировна</v>
          </cell>
          <cell r="B88" t="str">
            <v>SAU</v>
          </cell>
          <cell r="C88">
            <v>-625.94000000000005</v>
          </cell>
        </row>
        <row r="89">
          <cell r="A89" t="str">
            <v>ИП Лохова Юлия Сергеевна</v>
          </cell>
          <cell r="B89" t="str">
            <v>DRM</v>
          </cell>
          <cell r="C89">
            <v>-87646.26</v>
          </cell>
        </row>
        <row r="90">
          <cell r="A90" t="str">
            <v>ИП Лохова Юлия Сергеевна</v>
          </cell>
          <cell r="B90" t="str">
            <v>DRM</v>
          </cell>
          <cell r="C90">
            <v>-70303</v>
          </cell>
        </row>
        <row r="91">
          <cell r="A91" t="str">
            <v>ИП Марин Сергей Валериевич</v>
          </cell>
          <cell r="B91" t="str">
            <v>DRM</v>
          </cell>
          <cell r="C91">
            <v>-146101.96</v>
          </cell>
        </row>
        <row r="92">
          <cell r="A92" t="str">
            <v>ИП Марин Сергей Валериевич</v>
          </cell>
          <cell r="B92" t="str">
            <v>DRM</v>
          </cell>
          <cell r="C92">
            <v>-0.22</v>
          </cell>
        </row>
        <row r="93">
          <cell r="A93" t="str">
            <v>ИП Марин Сергей Валериевич</v>
          </cell>
          <cell r="B93" t="str">
            <v>CON</v>
          </cell>
          <cell r="C93">
            <v>-148633.63</v>
          </cell>
        </row>
        <row r="94">
          <cell r="A94" t="str">
            <v>ИП Марин Сергей Валериевич</v>
          </cell>
          <cell r="B94" t="str">
            <v>CON</v>
          </cell>
          <cell r="C94">
            <v>-42251.82</v>
          </cell>
        </row>
        <row r="95">
          <cell r="A95" t="str">
            <v>ИП Мельник Андрей Анатольевич</v>
          </cell>
          <cell r="B95" t="str">
            <v>SAU</v>
          </cell>
          <cell r="C95">
            <v>-85379.88</v>
          </cell>
        </row>
        <row r="96">
          <cell r="A96" t="str">
            <v>ИП Мельник Андрей Анатольевич</v>
          </cell>
          <cell r="B96" t="str">
            <v>CON</v>
          </cell>
          <cell r="C96">
            <v>-64094</v>
          </cell>
        </row>
        <row r="97">
          <cell r="A97" t="str">
            <v>ИП Михальчук Олег Александрович</v>
          </cell>
          <cell r="B97" t="str">
            <v>CON</v>
          </cell>
          <cell r="C97">
            <v>-413.01</v>
          </cell>
        </row>
        <row r="98">
          <cell r="A98" t="str">
            <v>ИП Неганов Дмитрий Витальевич</v>
          </cell>
          <cell r="B98" t="str">
            <v>SAU</v>
          </cell>
          <cell r="C98">
            <v>-124300</v>
          </cell>
        </row>
        <row r="99">
          <cell r="A99" t="str">
            <v>ИП Неганов Дмитрий Витальевич</v>
          </cell>
          <cell r="B99" t="str">
            <v>CON</v>
          </cell>
          <cell r="C99">
            <v>-235765</v>
          </cell>
        </row>
        <row r="100">
          <cell r="A100" t="str">
            <v>ИП Никольская Екатерина Николаевна</v>
          </cell>
          <cell r="B100" t="str">
            <v>CON</v>
          </cell>
          <cell r="C100">
            <v>-46831.18</v>
          </cell>
        </row>
        <row r="101">
          <cell r="A101" t="str">
            <v>ИП Никольская Екатерина Николаевна</v>
          </cell>
          <cell r="B101" t="str">
            <v>CON</v>
          </cell>
          <cell r="C101">
            <v>-53789.88</v>
          </cell>
        </row>
        <row r="102">
          <cell r="A102" t="str">
            <v>ИП Пилюгина Юлия Юрьевна</v>
          </cell>
          <cell r="B102" t="str">
            <v>CON</v>
          </cell>
          <cell r="C102">
            <v>-100</v>
          </cell>
        </row>
        <row r="103">
          <cell r="A103" t="str">
            <v>ИП Пилюгина Юлия Юрьевна</v>
          </cell>
          <cell r="B103" t="str">
            <v>CON</v>
          </cell>
          <cell r="C103">
            <v>-145.97</v>
          </cell>
        </row>
        <row r="104">
          <cell r="A104" t="str">
            <v>ИП Пушин Алексей Николаевич</v>
          </cell>
          <cell r="B104" t="str">
            <v>DRM</v>
          </cell>
          <cell r="C104">
            <v>0.2</v>
          </cell>
        </row>
        <row r="105">
          <cell r="A105" t="str">
            <v>ИП Рыжков Михаил Николаевич</v>
          </cell>
          <cell r="B105" t="str">
            <v>CON</v>
          </cell>
          <cell r="C105">
            <v>-1200</v>
          </cell>
        </row>
        <row r="106">
          <cell r="A106" t="str">
            <v>ИП Рыжков Михаил Николаевич</v>
          </cell>
          <cell r="B106" t="str">
            <v>DRM</v>
          </cell>
          <cell r="C106">
            <v>0.05</v>
          </cell>
        </row>
        <row r="107">
          <cell r="A107" t="str">
            <v>ИП Серебрянников Андрей Евгеньевич</v>
          </cell>
          <cell r="B107" t="str">
            <v>CON</v>
          </cell>
          <cell r="C107">
            <v>-59365</v>
          </cell>
        </row>
        <row r="108">
          <cell r="A108" t="str">
            <v>ИП Снигерева Галина Васильевна</v>
          </cell>
          <cell r="B108" t="str">
            <v>CON</v>
          </cell>
          <cell r="C108">
            <v>-1583.98</v>
          </cell>
        </row>
        <row r="109">
          <cell r="A109" t="str">
            <v>ИП Харитонов Сергей Владимирович</v>
          </cell>
          <cell r="B109" t="str">
            <v>CON</v>
          </cell>
          <cell r="C109">
            <v>224122.5</v>
          </cell>
        </row>
        <row r="110">
          <cell r="A110" t="str">
            <v>ИП Швец Ольга Владимировна</v>
          </cell>
          <cell r="B110" t="str">
            <v>CON</v>
          </cell>
          <cell r="C110">
            <v>-18087.14</v>
          </cell>
        </row>
        <row r="111">
          <cell r="A111" t="str">
            <v>ИП Шенкман Илья Олегович</v>
          </cell>
          <cell r="B111" t="str">
            <v>CON</v>
          </cell>
          <cell r="C111">
            <v>-34791.42</v>
          </cell>
        </row>
        <row r="112">
          <cell r="A112" t="str">
            <v>ИП Щербакова Полина Леонидовна</v>
          </cell>
          <cell r="B112" t="str">
            <v>CON</v>
          </cell>
          <cell r="C112">
            <v>41452.5</v>
          </cell>
        </row>
        <row r="113">
          <cell r="A113" t="str">
            <v>ИП Щербакова Полина Леонидовна</v>
          </cell>
          <cell r="B113" t="str">
            <v>CON</v>
          </cell>
          <cell r="C113">
            <v>437089</v>
          </cell>
        </row>
        <row r="114">
          <cell r="A114" t="str">
            <v>ИП Щербакова Полина Леонидовна</v>
          </cell>
          <cell r="B114" t="str">
            <v>DRM</v>
          </cell>
          <cell r="C114">
            <v>1803959</v>
          </cell>
        </row>
        <row r="115">
          <cell r="A115" t="str">
            <v>ИП Щербакова Полина Леонидовна</v>
          </cell>
          <cell r="B115" t="str">
            <v>SAU</v>
          </cell>
          <cell r="C115">
            <v>570920</v>
          </cell>
        </row>
        <row r="116">
          <cell r="A116" t="str">
            <v>ИП Щербакова Полина Леонидовна</v>
          </cell>
          <cell r="B116" t="str">
            <v>UGG</v>
          </cell>
          <cell r="C116">
            <v>1697536</v>
          </cell>
        </row>
        <row r="117">
          <cell r="A117" t="str">
            <v>Кеды Вегас</v>
          </cell>
          <cell r="B117" t="str">
            <v>CON</v>
          </cell>
          <cell r="C117">
            <v>5215718.33</v>
          </cell>
        </row>
        <row r="118">
          <cell r="A118" t="str">
            <v>Купишуз ООО</v>
          </cell>
          <cell r="B118" t="str">
            <v>CON</v>
          </cell>
          <cell r="C118">
            <v>201287.43</v>
          </cell>
        </row>
        <row r="119">
          <cell r="A119" t="str">
            <v>Купишуз ООО</v>
          </cell>
          <cell r="B119" t="str">
            <v>SAU</v>
          </cell>
          <cell r="C119">
            <v>1031760.5</v>
          </cell>
        </row>
        <row r="120">
          <cell r="A120" t="str">
            <v>Купишуз ООО</v>
          </cell>
          <cell r="B120" t="str">
            <v>UGG</v>
          </cell>
          <cell r="C120">
            <v>32160372</v>
          </cell>
        </row>
        <row r="121">
          <cell r="A121" t="str">
            <v>Купишуз ООО</v>
          </cell>
          <cell r="B121" t="str">
            <v>CON</v>
          </cell>
          <cell r="C121">
            <v>1011419.98</v>
          </cell>
        </row>
        <row r="122">
          <cell r="A122" t="str">
            <v>Купишуз ООО</v>
          </cell>
          <cell r="B122" t="str">
            <v>DRM</v>
          </cell>
          <cell r="C122">
            <v>3387010.65</v>
          </cell>
        </row>
        <row r="123">
          <cell r="A123" t="str">
            <v>Купишуз ООО</v>
          </cell>
          <cell r="B123" t="str">
            <v>UGG</v>
          </cell>
          <cell r="C123">
            <v>6428030.4000000004</v>
          </cell>
        </row>
        <row r="124">
          <cell r="A124" t="str">
            <v>Купишуз ООО</v>
          </cell>
          <cell r="B124" t="str">
            <v>UGG</v>
          </cell>
          <cell r="C124">
            <v>-419226.05</v>
          </cell>
        </row>
        <row r="125">
          <cell r="A125" t="str">
            <v>Купишуз ООО</v>
          </cell>
          <cell r="B125" t="str">
            <v>UGG</v>
          </cell>
          <cell r="C125">
            <v>-200607.93</v>
          </cell>
        </row>
        <row r="126">
          <cell r="A126" t="str">
            <v>Купишуз ООО</v>
          </cell>
          <cell r="B126" t="str">
            <v>UGG</v>
          </cell>
          <cell r="C126">
            <v>-5296569.88</v>
          </cell>
        </row>
        <row r="127">
          <cell r="A127" t="str">
            <v>Купишуз ООО</v>
          </cell>
          <cell r="B127" t="str">
            <v>SAU</v>
          </cell>
          <cell r="C127">
            <v>-567716.37</v>
          </cell>
        </row>
        <row r="128">
          <cell r="A128" t="str">
            <v>Купишуз ООО</v>
          </cell>
          <cell r="B128" t="str">
            <v>DRM</v>
          </cell>
          <cell r="C128">
            <v>-1653924.14</v>
          </cell>
        </row>
        <row r="129">
          <cell r="A129" t="str">
            <v>Купишуз ООО</v>
          </cell>
          <cell r="B129" t="str">
            <v>DRM</v>
          </cell>
          <cell r="C129">
            <v>-2663430.88</v>
          </cell>
        </row>
        <row r="130">
          <cell r="A130" t="str">
            <v>Купишуз ООО</v>
          </cell>
          <cell r="B130" t="str">
            <v>CON</v>
          </cell>
          <cell r="C130">
            <v>-3619500.24</v>
          </cell>
        </row>
        <row r="131">
          <cell r="A131" t="str">
            <v>Макалу ООО</v>
          </cell>
          <cell r="B131" t="str">
            <v>SAU</v>
          </cell>
          <cell r="C131">
            <v>-3775.8</v>
          </cell>
        </row>
        <row r="132">
          <cell r="A132" t="str">
            <v>МАКСИМА ГРУПП ООО</v>
          </cell>
          <cell r="B132" t="str">
            <v>UGG</v>
          </cell>
          <cell r="C132">
            <v>1070689.1399999999</v>
          </cell>
        </row>
        <row r="133">
          <cell r="A133" t="str">
            <v>Мамси ООО</v>
          </cell>
          <cell r="B133" t="str">
            <v>CON</v>
          </cell>
          <cell r="C133">
            <v>-6813.74</v>
          </cell>
        </row>
        <row r="134">
          <cell r="A134" t="str">
            <v>МЕГАПОЛИС77 ООО</v>
          </cell>
          <cell r="B134" t="str">
            <v>SAU</v>
          </cell>
          <cell r="C134">
            <v>-50000</v>
          </cell>
        </row>
        <row r="135">
          <cell r="A135" t="str">
            <v>МЕГАПОЛИС77 ООО</v>
          </cell>
          <cell r="B135" t="str">
            <v>SAU</v>
          </cell>
          <cell r="C135">
            <v>-34999.4</v>
          </cell>
        </row>
        <row r="136">
          <cell r="A136" t="str">
            <v>МИДГАРД ООО</v>
          </cell>
          <cell r="B136" t="str">
            <v>DRM</v>
          </cell>
          <cell r="C136">
            <v>-3825.89</v>
          </cell>
        </row>
        <row r="137">
          <cell r="A137" t="str">
            <v>Мосье Башмаков ООО</v>
          </cell>
          <cell r="B137" t="str">
            <v>CON</v>
          </cell>
          <cell r="C137">
            <v>-118621.49</v>
          </cell>
        </row>
        <row r="138">
          <cell r="A138" t="str">
            <v>Мультибрэнд ООО</v>
          </cell>
          <cell r="B138" t="str">
            <v>UGG</v>
          </cell>
          <cell r="C138">
            <v>-114243.36</v>
          </cell>
        </row>
        <row r="139">
          <cell r="A139" t="str">
            <v>Мультибрэнд ООО</v>
          </cell>
          <cell r="B139" t="str">
            <v>DRM</v>
          </cell>
          <cell r="C139">
            <v>-59947.96</v>
          </cell>
        </row>
        <row r="140">
          <cell r="A140" t="str">
            <v>Мультибрэнд ООО</v>
          </cell>
          <cell r="B140" t="str">
            <v>DRM</v>
          </cell>
          <cell r="C140">
            <v>-15026.4</v>
          </cell>
        </row>
        <row r="141">
          <cell r="A141" t="str">
            <v>Мультибрэнд ООО</v>
          </cell>
          <cell r="B141" t="str">
            <v>CON</v>
          </cell>
          <cell r="C141">
            <v>-92231.92</v>
          </cell>
        </row>
        <row r="142">
          <cell r="A142" t="str">
            <v>НайсУан ООО</v>
          </cell>
          <cell r="B142" t="str">
            <v>DRM</v>
          </cell>
          <cell r="C142">
            <v>-47278.38</v>
          </cell>
        </row>
        <row r="143">
          <cell r="A143" t="str">
            <v>ОганСпорт ООО</v>
          </cell>
          <cell r="B143" t="str">
            <v>SAU</v>
          </cell>
          <cell r="C143">
            <v>-20128</v>
          </cell>
        </row>
        <row r="144">
          <cell r="A144" t="str">
            <v>ОганСпорт ООО</v>
          </cell>
          <cell r="B144" t="str">
            <v>SAU</v>
          </cell>
          <cell r="C144">
            <v>-27902.720000000001</v>
          </cell>
        </row>
        <row r="145">
          <cell r="A145" t="str">
            <v>ОФФПРАЙС ООО</v>
          </cell>
          <cell r="B145" t="str">
            <v>UGG</v>
          </cell>
          <cell r="C145">
            <v>2887093.69</v>
          </cell>
        </row>
        <row r="146">
          <cell r="A146" t="str">
            <v>ПАО "ТД "Холдинг-Центр"</v>
          </cell>
          <cell r="B146" t="str">
            <v>UGG</v>
          </cell>
          <cell r="C146">
            <v>2924170.8</v>
          </cell>
        </row>
        <row r="147">
          <cell r="A147" t="str">
            <v>Перфект Трэйд ООО</v>
          </cell>
          <cell r="B147" t="str">
            <v>CON</v>
          </cell>
          <cell r="C147">
            <v>-146723</v>
          </cell>
        </row>
        <row r="148">
          <cell r="A148" t="str">
            <v>Перфект Трэйд ООО</v>
          </cell>
          <cell r="B148" t="str">
            <v>DRM</v>
          </cell>
          <cell r="C148">
            <v>0.5</v>
          </cell>
        </row>
        <row r="149">
          <cell r="A149" t="str">
            <v>Престиж ООО</v>
          </cell>
          <cell r="B149" t="str">
            <v>CON</v>
          </cell>
          <cell r="C149">
            <v>-46500</v>
          </cell>
        </row>
        <row r="150">
          <cell r="A150" t="str">
            <v>Приват Трэйд ООО</v>
          </cell>
          <cell r="B150" t="str">
            <v>CON</v>
          </cell>
          <cell r="C150">
            <v>7737.8</v>
          </cell>
        </row>
        <row r="151">
          <cell r="A151" t="str">
            <v>Приват Трэйд ООО</v>
          </cell>
          <cell r="B151" t="str">
            <v>DRM</v>
          </cell>
          <cell r="C151">
            <v>11352.86</v>
          </cell>
        </row>
        <row r="152">
          <cell r="A152" t="str">
            <v>Приват Трэйд ООО</v>
          </cell>
          <cell r="B152" t="str">
            <v>SAU</v>
          </cell>
          <cell r="C152">
            <v>6891.45</v>
          </cell>
        </row>
        <row r="153">
          <cell r="A153" t="str">
            <v>Приват Трэйд ООО</v>
          </cell>
          <cell r="B153" t="str">
            <v>UGG</v>
          </cell>
          <cell r="C153">
            <v>-3836.6</v>
          </cell>
        </row>
        <row r="154">
          <cell r="A154" t="str">
            <v>Призма ООО</v>
          </cell>
          <cell r="B154" t="str">
            <v>DRM</v>
          </cell>
          <cell r="C154">
            <v>-86937.39</v>
          </cell>
        </row>
        <row r="155">
          <cell r="A155" t="str">
            <v>Призма ООО</v>
          </cell>
          <cell r="B155" t="str">
            <v>DRM</v>
          </cell>
          <cell r="C155">
            <v>-71068.539999999994</v>
          </cell>
        </row>
        <row r="156">
          <cell r="A156" t="str">
            <v>Призма ООО</v>
          </cell>
          <cell r="B156" t="str">
            <v>DRM</v>
          </cell>
          <cell r="C156">
            <v>-373.46</v>
          </cell>
        </row>
        <row r="157">
          <cell r="A157" t="str">
            <v>РАНДЕВУ ООО</v>
          </cell>
          <cell r="B157" t="str">
            <v>UGG</v>
          </cell>
          <cell r="C157">
            <v>-1397655</v>
          </cell>
        </row>
        <row r="158">
          <cell r="A158" t="str">
            <v>РАНДЕВУ ООО</v>
          </cell>
          <cell r="B158" t="str">
            <v>SAU</v>
          </cell>
          <cell r="C158">
            <v>-900778.32</v>
          </cell>
        </row>
        <row r="159">
          <cell r="A159" t="str">
            <v>РАНДЕВУ ООО</v>
          </cell>
          <cell r="B159" t="str">
            <v>DRM</v>
          </cell>
          <cell r="C159">
            <v>-2115049.56</v>
          </cell>
        </row>
        <row r="160">
          <cell r="A160" t="str">
            <v>РАНДЕВУ ООО</v>
          </cell>
          <cell r="B160" t="str">
            <v>DRM</v>
          </cell>
          <cell r="C160">
            <v>-2298975</v>
          </cell>
        </row>
        <row r="161">
          <cell r="A161" t="str">
            <v>РАНДЕВУ ООО</v>
          </cell>
          <cell r="B161" t="str">
            <v>CON</v>
          </cell>
          <cell r="C161">
            <v>-3816976</v>
          </cell>
        </row>
        <row r="162">
          <cell r="A162" t="str">
            <v>РАНДЕВУ ООО</v>
          </cell>
          <cell r="B162" t="str">
            <v>CON</v>
          </cell>
          <cell r="C162">
            <v>-16985403</v>
          </cell>
        </row>
        <row r="163">
          <cell r="A163" t="str">
            <v>РАНДЕВУ ООО</v>
          </cell>
          <cell r="B163" t="str">
            <v>DRM</v>
          </cell>
          <cell r="C163">
            <v>2791640</v>
          </cell>
        </row>
        <row r="164">
          <cell r="A164" t="str">
            <v>РАНДЕВУ ООО</v>
          </cell>
          <cell r="B164" t="str">
            <v>UGG</v>
          </cell>
          <cell r="C164">
            <v>-660105</v>
          </cell>
        </row>
        <row r="165">
          <cell r="A165" t="str">
            <v>Реинвент ООО</v>
          </cell>
          <cell r="B165" t="str">
            <v>CON</v>
          </cell>
          <cell r="C165">
            <v>-2153896.7000000002</v>
          </cell>
        </row>
        <row r="166">
          <cell r="A166" t="str">
            <v>Реинвент ООО</v>
          </cell>
          <cell r="B166" t="str">
            <v>UGG</v>
          </cell>
          <cell r="C166">
            <v>1316000</v>
          </cell>
        </row>
        <row r="167">
          <cell r="A167" t="str">
            <v>Реинвент ООО</v>
          </cell>
          <cell r="B167" t="str">
            <v>CON</v>
          </cell>
          <cell r="C167">
            <v>1734448</v>
          </cell>
        </row>
        <row r="168">
          <cell r="A168" t="str">
            <v>Реинвент ООО</v>
          </cell>
          <cell r="B168" t="str">
            <v>SAU</v>
          </cell>
          <cell r="C168">
            <v>801436</v>
          </cell>
        </row>
        <row r="169">
          <cell r="A169" t="str">
            <v>Реинвент ООО</v>
          </cell>
          <cell r="B169" t="str">
            <v>DRM</v>
          </cell>
          <cell r="C169">
            <v>-481955.29</v>
          </cell>
        </row>
        <row r="170">
          <cell r="A170" t="str">
            <v>Реинвент ООО</v>
          </cell>
          <cell r="B170" t="str">
            <v>CON</v>
          </cell>
          <cell r="C170">
            <v>-2871629.07</v>
          </cell>
        </row>
        <row r="171">
          <cell r="A171" t="str">
            <v>Реинвент ООО</v>
          </cell>
          <cell r="B171" t="str">
            <v>CON</v>
          </cell>
          <cell r="C171">
            <v>-321279.77</v>
          </cell>
        </row>
        <row r="172">
          <cell r="A172" t="str">
            <v>Реинвент ООО</v>
          </cell>
          <cell r="B172" t="str">
            <v>CON</v>
          </cell>
          <cell r="C172">
            <v>-5357683.8899999997</v>
          </cell>
        </row>
        <row r="173">
          <cell r="A173" t="str">
            <v>Синяя Гусеница ООО</v>
          </cell>
          <cell r="B173" t="str">
            <v>CON</v>
          </cell>
          <cell r="C173">
            <v>-552658.24</v>
          </cell>
        </row>
        <row r="174">
          <cell r="A174" t="str">
            <v>Синяя Гусеница ООО</v>
          </cell>
          <cell r="B174" t="str">
            <v>CON</v>
          </cell>
          <cell r="C174">
            <v>-122603.48</v>
          </cell>
        </row>
        <row r="175">
          <cell r="A175" t="str">
            <v>Синяя Гусеница ООО</v>
          </cell>
          <cell r="B175" t="str">
            <v>CON</v>
          </cell>
          <cell r="C175">
            <v>-100000</v>
          </cell>
        </row>
        <row r="176">
          <cell r="A176" t="str">
            <v>Синяя Гусеница ООО</v>
          </cell>
          <cell r="B176" t="str">
            <v>DRM</v>
          </cell>
          <cell r="C176">
            <v>1068097.05</v>
          </cell>
        </row>
        <row r="177">
          <cell r="A177" t="str">
            <v>Синяя Гусеница ООО</v>
          </cell>
          <cell r="B177" t="str">
            <v>CON</v>
          </cell>
          <cell r="C177">
            <v>-107925.98</v>
          </cell>
        </row>
        <row r="178">
          <cell r="A178" t="str">
            <v>Синяя Гусеница ООО</v>
          </cell>
          <cell r="B178" t="str">
            <v>DRM</v>
          </cell>
          <cell r="C178">
            <v>1419200.64</v>
          </cell>
        </row>
        <row r="179">
          <cell r="A179" t="str">
            <v>Синяя Гусеница ООО</v>
          </cell>
          <cell r="B179" t="str">
            <v>UGG</v>
          </cell>
          <cell r="C179">
            <v>381258</v>
          </cell>
        </row>
        <row r="180">
          <cell r="A180" t="str">
            <v>СкейтСкай ООО</v>
          </cell>
          <cell r="B180" t="str">
            <v>CON</v>
          </cell>
          <cell r="C180">
            <v>-137800</v>
          </cell>
        </row>
        <row r="181">
          <cell r="A181" t="str">
            <v>СкейтСкай ООО</v>
          </cell>
          <cell r="B181" t="str">
            <v>CON</v>
          </cell>
          <cell r="C181">
            <v>-9</v>
          </cell>
        </row>
        <row r="182">
          <cell r="A182" t="str">
            <v>СТАФ ФО ЛАЙФ ООО</v>
          </cell>
          <cell r="B182" t="str">
            <v>SAU</v>
          </cell>
          <cell r="C182">
            <v>-119361.76</v>
          </cell>
        </row>
        <row r="183">
          <cell r="A183" t="str">
            <v>СТАФ ФО ЛАЙФ ООО</v>
          </cell>
          <cell r="B183" t="str">
            <v>DRM</v>
          </cell>
          <cell r="C183">
            <v>-159208.17000000001</v>
          </cell>
        </row>
        <row r="184">
          <cell r="A184" t="str">
            <v>СТАФ ФО ЛАЙФ ООО</v>
          </cell>
          <cell r="B184" t="str">
            <v>DRM</v>
          </cell>
          <cell r="C184">
            <v>-4256.26</v>
          </cell>
        </row>
        <row r="185">
          <cell r="A185" t="str">
            <v>СТАФ ФО ЛАЙФ ООО</v>
          </cell>
          <cell r="B185" t="str">
            <v>CON</v>
          </cell>
          <cell r="C185">
            <v>-21525.91</v>
          </cell>
        </row>
        <row r="186">
          <cell r="A186" t="str">
            <v>СТАФ ФО ЛАЙФ ООО</v>
          </cell>
          <cell r="B186" t="str">
            <v>CON</v>
          </cell>
          <cell r="C186">
            <v>-61200.63</v>
          </cell>
        </row>
        <row r="187">
          <cell r="A187" t="str">
            <v>СТОКМАНН АО</v>
          </cell>
          <cell r="B187" t="str">
            <v>DRM</v>
          </cell>
          <cell r="C187">
            <v>1826666.8</v>
          </cell>
        </row>
        <row r="188">
          <cell r="A188" t="str">
            <v>СТОКМАНН АО</v>
          </cell>
          <cell r="B188" t="str">
            <v>UGG</v>
          </cell>
          <cell r="C188">
            <v>756694.4</v>
          </cell>
        </row>
        <row r="189">
          <cell r="A189" t="str">
            <v>ТОО DSL PARTNERS</v>
          </cell>
          <cell r="B189" t="str">
            <v>UGG</v>
          </cell>
          <cell r="C189">
            <v>-70070.899999999994</v>
          </cell>
        </row>
        <row r="190">
          <cell r="A190" t="str">
            <v>Торговый дом ЦУМ ОАО</v>
          </cell>
          <cell r="B190" t="str">
            <v>UGG</v>
          </cell>
          <cell r="C190">
            <v>5216225.8</v>
          </cell>
        </row>
        <row r="191">
          <cell r="A191" t="str">
            <v>Торговый дом ЦУМ ОАО</v>
          </cell>
          <cell r="B191" t="str">
            <v>UGG</v>
          </cell>
          <cell r="C191">
            <v>-0.01</v>
          </cell>
        </row>
        <row r="192">
          <cell r="A192" t="str">
            <v>Траектория ООО</v>
          </cell>
          <cell r="B192" t="str">
            <v>DRM</v>
          </cell>
          <cell r="C192">
            <v>-13494.44</v>
          </cell>
        </row>
        <row r="193">
          <cell r="A193" t="str">
            <v>Траектория ООО</v>
          </cell>
          <cell r="B193" t="str">
            <v>CON</v>
          </cell>
          <cell r="C193">
            <v>-93550</v>
          </cell>
        </row>
        <row r="194">
          <cell r="A194" t="str">
            <v>Траектория ООО</v>
          </cell>
          <cell r="B194" t="str">
            <v>CON</v>
          </cell>
          <cell r="C194">
            <v>-93790.22</v>
          </cell>
        </row>
        <row r="195">
          <cell r="A195" t="str">
            <v>Траектория ООО</v>
          </cell>
          <cell r="B195" t="str">
            <v>CON</v>
          </cell>
          <cell r="C195">
            <v>-40659.9</v>
          </cell>
        </row>
        <row r="196">
          <cell r="A196" t="str">
            <v>Фолис Лтд ООО</v>
          </cell>
          <cell r="B196" t="str">
            <v>SAU</v>
          </cell>
          <cell r="C196">
            <v>-43568.45</v>
          </cell>
        </row>
        <row r="197">
          <cell r="A197" t="str">
            <v>Фолис Лтд ООО</v>
          </cell>
          <cell r="B197" t="str">
            <v>DRM</v>
          </cell>
          <cell r="C197">
            <v>-173841.92000000001</v>
          </cell>
        </row>
        <row r="198">
          <cell r="A198" t="str">
            <v>Центральный универмаг ООО</v>
          </cell>
          <cell r="B198" t="str">
            <v>DRM</v>
          </cell>
          <cell r="C198">
            <v>-37887.25</v>
          </cell>
        </row>
        <row r="199">
          <cell r="A199" t="str">
            <v>ЧЕРИКО-групп ООО</v>
          </cell>
          <cell r="B199" t="str">
            <v>CON</v>
          </cell>
          <cell r="C199">
            <v>-50000</v>
          </cell>
        </row>
        <row r="200">
          <cell r="A200" t="str">
            <v>ЧЕРИКО-групп ООО</v>
          </cell>
          <cell r="B200" t="str">
            <v>CON</v>
          </cell>
          <cell r="C200">
            <v>-50000</v>
          </cell>
        </row>
        <row r="201">
          <cell r="A201" t="str">
            <v>ЧЕРИКО-групп ООО</v>
          </cell>
          <cell r="B201" t="str">
            <v>CON</v>
          </cell>
          <cell r="C201">
            <v>-0.57999999999999996</v>
          </cell>
        </row>
        <row r="202">
          <cell r="A202" t="str">
            <v>ЧЕРИКО-групп ООО</v>
          </cell>
          <cell r="B202" t="str">
            <v>CON</v>
          </cell>
          <cell r="C202">
            <v>-5.0999999999999996</v>
          </cell>
        </row>
        <row r="203">
          <cell r="A203" t="str">
            <v>ЧЕРИКО-групп ООО</v>
          </cell>
          <cell r="B203" t="str">
            <v>UGG</v>
          </cell>
          <cell r="C203">
            <v>-3.32</v>
          </cell>
        </row>
        <row r="204">
          <cell r="A204" t="str">
            <v>ЮСИМИ ООО</v>
          </cell>
          <cell r="B204" t="str">
            <v>DRM</v>
          </cell>
          <cell r="C204">
            <v>-251087.85</v>
          </cell>
        </row>
        <row r="205">
          <cell r="A205" t="str">
            <v>ЮСИМИ ООО</v>
          </cell>
          <cell r="B205" t="str">
            <v>DRM</v>
          </cell>
          <cell r="C205">
            <v>-54966.66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SSR"/>
      <sheetName val="PT"/>
    </sheetNames>
    <sheetDataSet>
      <sheetData sheetId="0">
        <row r="1">
          <cell r="A1" t="str">
            <v>TM</v>
          </cell>
          <cell r="B1" t="str">
            <v>Obj</v>
          </cell>
          <cell r="H1" t="str">
            <v>TW_Q</v>
          </cell>
          <cell r="I1" t="str">
            <v>TW_GS</v>
          </cell>
          <cell r="K1" t="str">
            <v>TW_MG</v>
          </cell>
          <cell r="L1" t="str">
            <v>LW_Q</v>
          </cell>
          <cell r="M1" t="str">
            <v>LW_GS</v>
          </cell>
          <cell r="O1" t="str">
            <v>LW_MG</v>
          </cell>
          <cell r="Y1" t="str">
            <v>LYW_GS</v>
          </cell>
          <cell r="AA1" t="str">
            <v>TM_Q</v>
          </cell>
          <cell r="AB1" t="str">
            <v>TM_GS</v>
          </cell>
          <cell r="AD1" t="str">
            <v>TM_MG</v>
          </cell>
          <cell r="AJ1" t="str">
            <v>LYM_GS</v>
          </cell>
          <cell r="AN1" t="str">
            <v>TM_BG</v>
          </cell>
          <cell r="AO1" t="str">
            <v>TM_BG_GP</v>
          </cell>
          <cell r="AQ1" t="str">
            <v>TM_FC</v>
          </cell>
          <cell r="AR1" t="str">
            <v>TM_FC_GP</v>
          </cell>
          <cell r="AS1" t="str">
            <v>TW_Ch</v>
          </cell>
          <cell r="AU1" t="str">
            <v>LYW_Ch</v>
          </cell>
          <cell r="AV1" t="str">
            <v>TM_Ch</v>
          </cell>
          <cell r="AX1" t="str">
            <v>LYM_Ch</v>
          </cell>
          <cell r="AY1" t="str">
            <v>TW_Vis</v>
          </cell>
          <cell r="BA1" t="str">
            <v>LYW_Vis</v>
          </cell>
          <cell r="BB1" t="str">
            <v>TM_Vis</v>
          </cell>
          <cell r="BD1" t="str">
            <v>LYM_Vis</v>
          </cell>
          <cell r="BO1" t="str">
            <v>TM_Mix</v>
          </cell>
          <cell r="BQ1" t="str">
            <v>TM_MixMG</v>
          </cell>
          <cell r="BR1" t="str">
            <v>TW_D</v>
          </cell>
          <cell r="BS1" t="str">
            <v>LW_D</v>
          </cell>
          <cell r="BV1" t="str">
            <v>TM_D</v>
          </cell>
          <cell r="BW1" t="str">
            <v>CDate</v>
          </cell>
          <cell r="BX1" t="str">
            <v>DAYS_TM</v>
          </cell>
          <cell r="BZ1" t="str">
            <v>VAT</v>
          </cell>
          <cell r="CA1" t="str">
            <v>Cur</v>
          </cell>
          <cell r="CB1" t="str">
            <v>TW_ST</v>
          </cell>
          <cell r="CE1" t="str">
            <v>LY_ST</v>
          </cell>
        </row>
        <row r="2">
          <cell r="A2" t="str">
            <v>ESP</v>
          </cell>
          <cell r="B2" t="str">
            <v>01.MOS.Ikea Mega</v>
          </cell>
          <cell r="H2">
            <v>1263</v>
          </cell>
          <cell r="I2">
            <v>1710660.2</v>
          </cell>
          <cell r="K2">
            <v>793796.98009830515</v>
          </cell>
          <cell r="L2">
            <v>1492</v>
          </cell>
          <cell r="M2">
            <v>2136978.59</v>
          </cell>
          <cell r="O2">
            <v>1021140.6496847458</v>
          </cell>
          <cell r="Y2">
            <v>2166561.3999999985</v>
          </cell>
          <cell r="AA2">
            <v>6734</v>
          </cell>
          <cell r="AB2">
            <v>8681601.4899999965</v>
          </cell>
          <cell r="AD2">
            <v>4044256.1986050848</v>
          </cell>
          <cell r="AJ2">
            <v>9314145.549999997</v>
          </cell>
          <cell r="AN2">
            <v>9314145.6013999991</v>
          </cell>
          <cell r="AO2">
            <v>0.54930425676452799</v>
          </cell>
          <cell r="AQ2">
            <v>9314145.6013999991</v>
          </cell>
          <cell r="AR2">
            <v>0.61912460678506298</v>
          </cell>
          <cell r="AS2">
            <v>840</v>
          </cell>
          <cell r="AU2">
            <v>912</v>
          </cell>
          <cell r="AV2">
            <v>4115</v>
          </cell>
          <cell r="AX2">
            <v>4046</v>
          </cell>
          <cell r="AY2">
            <v>5332</v>
          </cell>
          <cell r="BA2">
            <v>7696</v>
          </cell>
          <cell r="BB2">
            <v>26406</v>
          </cell>
          <cell r="BD2">
            <v>36139</v>
          </cell>
          <cell r="BO2">
            <v>1</v>
          </cell>
          <cell r="BQ2">
            <v>1</v>
          </cell>
          <cell r="BR2">
            <v>7</v>
          </cell>
          <cell r="BS2">
            <v>7</v>
          </cell>
          <cell r="BV2">
            <v>31</v>
          </cell>
          <cell r="BW2">
            <v>41060</v>
          </cell>
          <cell r="BX2">
            <v>31</v>
          </cell>
          <cell r="BZ2">
            <v>1.18</v>
          </cell>
          <cell r="CA2" t="str">
            <v>RUB</v>
          </cell>
          <cell r="CB2">
            <v>24146</v>
          </cell>
          <cell r="CE2">
            <v>25082</v>
          </cell>
        </row>
        <row r="3">
          <cell r="A3" t="str">
            <v>ESP</v>
          </cell>
          <cell r="B3" t="str">
            <v>02.MOS.5th Avenue</v>
          </cell>
          <cell r="H3">
            <v>605</v>
          </cell>
          <cell r="I3">
            <v>788062.76000000013</v>
          </cell>
          <cell r="K3">
            <v>361909.09261016943</v>
          </cell>
          <cell r="L3">
            <v>616</v>
          </cell>
          <cell r="M3">
            <v>870539.70000000007</v>
          </cell>
          <cell r="O3">
            <v>425723.65597457625</v>
          </cell>
          <cell r="Y3">
            <v>1050387.3899999997</v>
          </cell>
          <cell r="AA3">
            <v>3153</v>
          </cell>
          <cell r="AB3">
            <v>3742982.7599999993</v>
          </cell>
          <cell r="AD3">
            <v>1761650.1231355928</v>
          </cell>
          <cell r="AJ3">
            <v>4179031.1899999995</v>
          </cell>
          <cell r="AN3">
            <v>4179031.2420000001</v>
          </cell>
          <cell r="AO3">
            <v>0.56584284554716702</v>
          </cell>
          <cell r="AQ3">
            <v>4179031.2420000001</v>
          </cell>
          <cell r="AR3">
            <v>0.60928498190139602</v>
          </cell>
          <cell r="AS3">
            <v>345</v>
          </cell>
          <cell r="AU3">
            <v>464</v>
          </cell>
          <cell r="AV3">
            <v>1670</v>
          </cell>
          <cell r="AX3">
            <v>1841</v>
          </cell>
          <cell r="AY3">
            <v>2604</v>
          </cell>
          <cell r="BA3">
            <v>3492</v>
          </cell>
          <cell r="BB3">
            <v>12675</v>
          </cell>
          <cell r="BD3">
            <v>13588</v>
          </cell>
          <cell r="BO3">
            <v>1</v>
          </cell>
          <cell r="BQ3">
            <v>1</v>
          </cell>
          <cell r="BR3">
            <v>7</v>
          </cell>
          <cell r="BS3">
            <v>7</v>
          </cell>
          <cell r="BV3">
            <v>31</v>
          </cell>
          <cell r="BW3">
            <v>41060</v>
          </cell>
          <cell r="BX3">
            <v>31</v>
          </cell>
          <cell r="BZ3">
            <v>1.18</v>
          </cell>
          <cell r="CA3" t="str">
            <v>RUB</v>
          </cell>
          <cell r="CB3">
            <v>9732</v>
          </cell>
          <cell r="CE3">
            <v>9672</v>
          </cell>
        </row>
        <row r="4">
          <cell r="A4" t="str">
            <v>ESP</v>
          </cell>
          <cell r="B4" t="str">
            <v>03.MOS.Ikea Mega BD</v>
          </cell>
          <cell r="H4">
            <v>1128</v>
          </cell>
          <cell r="I4">
            <v>1531157.8</v>
          </cell>
          <cell r="K4">
            <v>733278.91243220307</v>
          </cell>
          <cell r="L4">
            <v>992</v>
          </cell>
          <cell r="M4">
            <v>1494914.4</v>
          </cell>
          <cell r="O4">
            <v>737756.9370694916</v>
          </cell>
          <cell r="Y4">
            <v>1833102.3999999992</v>
          </cell>
          <cell r="AA4">
            <v>5355</v>
          </cell>
          <cell r="AB4">
            <v>6973472.4999999972</v>
          </cell>
          <cell r="AD4">
            <v>3349358.7205271195</v>
          </cell>
          <cell r="AJ4">
            <v>7613169.3499999996</v>
          </cell>
          <cell r="AN4">
            <v>7613169.3002000004</v>
          </cell>
          <cell r="AO4">
            <v>0.56764454681071896</v>
          </cell>
          <cell r="AQ4">
            <v>7613169.3002000004</v>
          </cell>
          <cell r="AR4">
            <v>0.62308607743199895</v>
          </cell>
          <cell r="AS4">
            <v>761</v>
          </cell>
          <cell r="AU4">
            <v>799</v>
          </cell>
          <cell r="AV4">
            <v>3214</v>
          </cell>
          <cell r="AX4">
            <v>3213</v>
          </cell>
          <cell r="AY4">
            <v>5862</v>
          </cell>
          <cell r="BA4">
            <v>5536</v>
          </cell>
          <cell r="BB4">
            <v>27255</v>
          </cell>
          <cell r="BD4">
            <v>24515</v>
          </cell>
          <cell r="BO4">
            <v>1</v>
          </cell>
          <cell r="BQ4">
            <v>1</v>
          </cell>
          <cell r="BR4">
            <v>7</v>
          </cell>
          <cell r="BS4">
            <v>7</v>
          </cell>
          <cell r="BV4">
            <v>31</v>
          </cell>
          <cell r="BW4">
            <v>41060</v>
          </cell>
          <cell r="BX4">
            <v>31</v>
          </cell>
          <cell r="BZ4">
            <v>1.18</v>
          </cell>
          <cell r="CA4" t="str">
            <v>RUB</v>
          </cell>
          <cell r="CB4">
            <v>19401</v>
          </cell>
          <cell r="CE4">
            <v>17226</v>
          </cell>
        </row>
        <row r="5">
          <cell r="A5" t="str">
            <v>ESP</v>
          </cell>
          <cell r="B5" t="str">
            <v>04.MOS.Erevan Plaza</v>
          </cell>
          <cell r="H5">
            <v>751</v>
          </cell>
          <cell r="I5">
            <v>1151484.5499999998</v>
          </cell>
          <cell r="K5">
            <v>540328.12360677985</v>
          </cell>
          <cell r="L5">
            <v>800</v>
          </cell>
          <cell r="M5">
            <v>1374614.4499999997</v>
          </cell>
          <cell r="O5">
            <v>682550.53240000003</v>
          </cell>
          <cell r="Y5">
            <v>1330504.5499999996</v>
          </cell>
          <cell r="AA5">
            <v>3208</v>
          </cell>
          <cell r="AB5">
            <v>5039793.75</v>
          </cell>
          <cell r="AD5">
            <v>2467052.396042373</v>
          </cell>
          <cell r="AJ5">
            <v>5584325.7499999972</v>
          </cell>
          <cell r="AN5">
            <v>5584325.7274000002</v>
          </cell>
          <cell r="AO5">
            <v>0.57589017019169397</v>
          </cell>
          <cell r="AQ5">
            <v>5584325.7274000002</v>
          </cell>
          <cell r="AR5">
            <v>0.61272704163938496</v>
          </cell>
          <cell r="AS5">
            <v>484</v>
          </cell>
          <cell r="AU5">
            <v>563</v>
          </cell>
          <cell r="AV5">
            <v>2022</v>
          </cell>
          <cell r="AX5">
            <v>2273</v>
          </cell>
          <cell r="AY5">
            <v>4098</v>
          </cell>
          <cell r="BA5">
            <v>3226</v>
          </cell>
          <cell r="BB5">
            <v>17375</v>
          </cell>
          <cell r="BD5">
            <v>13793</v>
          </cell>
          <cell r="BO5">
            <v>1</v>
          </cell>
          <cell r="BQ5">
            <v>1</v>
          </cell>
          <cell r="BR5">
            <v>7</v>
          </cell>
          <cell r="BS5">
            <v>7</v>
          </cell>
          <cell r="BV5">
            <v>31</v>
          </cell>
          <cell r="BW5">
            <v>41060</v>
          </cell>
          <cell r="BX5">
            <v>31</v>
          </cell>
          <cell r="BZ5">
            <v>1.18</v>
          </cell>
          <cell r="CA5" t="str">
            <v>RUB</v>
          </cell>
          <cell r="CB5">
            <v>9085</v>
          </cell>
          <cell r="CE5">
            <v>9359</v>
          </cell>
        </row>
        <row r="6">
          <cell r="A6" t="str">
            <v>ESP</v>
          </cell>
          <cell r="B6" t="str">
            <v>05.MOS.Domodedovskiy</v>
          </cell>
          <cell r="H6">
            <v>1122</v>
          </cell>
          <cell r="I6">
            <v>1458965.9999999998</v>
          </cell>
          <cell r="K6">
            <v>682128.16580677987</v>
          </cell>
          <cell r="L6">
            <v>1280</v>
          </cell>
          <cell r="M6">
            <v>1761940.3499999996</v>
          </cell>
          <cell r="O6">
            <v>867047.06793559319</v>
          </cell>
          <cell r="Y6">
            <v>1799394.2499999984</v>
          </cell>
          <cell r="AA6">
            <v>5643</v>
          </cell>
          <cell r="AB6">
            <v>7092848.2400000002</v>
          </cell>
          <cell r="AD6">
            <v>3415782.4432830517</v>
          </cell>
          <cell r="AJ6">
            <v>7344162.6499999966</v>
          </cell>
          <cell r="AN6">
            <v>7344162.7060000002</v>
          </cell>
          <cell r="AO6">
            <v>0.57631778081784701</v>
          </cell>
          <cell r="AQ6">
            <v>7344162.7060000002</v>
          </cell>
          <cell r="AR6">
            <v>0.61438964126129703</v>
          </cell>
          <cell r="AS6">
            <v>727</v>
          </cell>
          <cell r="AU6">
            <v>887</v>
          </cell>
          <cell r="AV6">
            <v>3440</v>
          </cell>
          <cell r="AX6">
            <v>3443</v>
          </cell>
          <cell r="AY6">
            <v>7333</v>
          </cell>
          <cell r="BA6">
            <v>9678</v>
          </cell>
          <cell r="BB6">
            <v>32453</v>
          </cell>
          <cell r="BD6">
            <v>36619</v>
          </cell>
          <cell r="BO6">
            <v>1</v>
          </cell>
          <cell r="BQ6">
            <v>1</v>
          </cell>
          <cell r="BR6">
            <v>7</v>
          </cell>
          <cell r="BS6">
            <v>7</v>
          </cell>
          <cell r="BV6">
            <v>31</v>
          </cell>
          <cell r="BW6">
            <v>41060</v>
          </cell>
          <cell r="BX6">
            <v>31</v>
          </cell>
          <cell r="BZ6">
            <v>1.18</v>
          </cell>
          <cell r="CA6" t="str">
            <v>RUB</v>
          </cell>
          <cell r="CB6">
            <v>15979</v>
          </cell>
          <cell r="CE6">
            <v>14187</v>
          </cell>
        </row>
        <row r="7">
          <cell r="A7" t="str">
            <v>ESP</v>
          </cell>
          <cell r="B7" t="str">
            <v>06.MOS.Metropolis</v>
          </cell>
          <cell r="H7">
            <v>1293</v>
          </cell>
          <cell r="I7">
            <v>1837152.6603999995</v>
          </cell>
          <cell r="K7">
            <v>889216.3086372884</v>
          </cell>
          <cell r="L7">
            <v>1387</v>
          </cell>
          <cell r="M7">
            <v>2014231.2699999996</v>
          </cell>
          <cell r="O7">
            <v>1010398.8962423732</v>
          </cell>
          <cell r="Y7">
            <v>1945093.6499999987</v>
          </cell>
          <cell r="AA7">
            <v>6333</v>
          </cell>
          <cell r="AB7">
            <v>8222424.8703999966</v>
          </cell>
          <cell r="AD7">
            <v>4027374.7803305089</v>
          </cell>
          <cell r="AJ7">
            <v>7791333.549999997</v>
          </cell>
          <cell r="AN7">
            <v>7791333.5826000003</v>
          </cell>
          <cell r="AO7">
            <v>0.56537631482426798</v>
          </cell>
          <cell r="AQ7">
            <v>7791333.5826000003</v>
          </cell>
          <cell r="AR7">
            <v>0.60651225598651504</v>
          </cell>
          <cell r="AS7">
            <v>818</v>
          </cell>
          <cell r="AU7">
            <v>856</v>
          </cell>
          <cell r="AV7">
            <v>3653</v>
          </cell>
          <cell r="AX7">
            <v>3423</v>
          </cell>
          <cell r="AY7">
            <v>6690</v>
          </cell>
          <cell r="BA7">
            <v>7710</v>
          </cell>
          <cell r="BB7">
            <v>29157</v>
          </cell>
          <cell r="BD7">
            <v>34099</v>
          </cell>
          <cell r="BO7">
            <v>1</v>
          </cell>
          <cell r="BQ7">
            <v>1</v>
          </cell>
          <cell r="BR7">
            <v>7</v>
          </cell>
          <cell r="BS7">
            <v>7</v>
          </cell>
          <cell r="BV7">
            <v>31</v>
          </cell>
          <cell r="BW7">
            <v>41060</v>
          </cell>
          <cell r="BX7">
            <v>31</v>
          </cell>
          <cell r="BZ7">
            <v>1.18</v>
          </cell>
          <cell r="CA7" t="str">
            <v>RUB</v>
          </cell>
          <cell r="CB7">
            <v>17264</v>
          </cell>
          <cell r="CE7">
            <v>15717</v>
          </cell>
        </row>
        <row r="8">
          <cell r="A8" t="str">
            <v>ESP</v>
          </cell>
          <cell r="B8" t="str">
            <v>07.MOS.Roctokino</v>
          </cell>
          <cell r="H8">
            <v>824</v>
          </cell>
          <cell r="I8">
            <v>1134551.5</v>
          </cell>
          <cell r="K8">
            <v>557707.93113389832</v>
          </cell>
          <cell r="L8">
            <v>900</v>
          </cell>
          <cell r="M8">
            <v>1334948.75</v>
          </cell>
          <cell r="O8">
            <v>682865.6571999999</v>
          </cell>
          <cell r="Y8">
            <v>1306391.3499999992</v>
          </cell>
          <cell r="AA8">
            <v>4329</v>
          </cell>
          <cell r="AB8">
            <v>5444009.1999999993</v>
          </cell>
          <cell r="AD8">
            <v>2673013.8994440679</v>
          </cell>
          <cell r="AJ8">
            <v>4806958.6499999985</v>
          </cell>
          <cell r="AN8">
            <v>4806958.6368000004</v>
          </cell>
          <cell r="AO8">
            <v>0.54898375569285196</v>
          </cell>
          <cell r="AQ8">
            <v>4806958.6368000004</v>
          </cell>
          <cell r="AR8">
            <v>0.61137446004275398</v>
          </cell>
          <cell r="AS8">
            <v>549</v>
          </cell>
          <cell r="AU8">
            <v>589</v>
          </cell>
          <cell r="AV8">
            <v>2690</v>
          </cell>
          <cell r="AX8">
            <v>2258</v>
          </cell>
          <cell r="AY8">
            <v>5630</v>
          </cell>
          <cell r="BA8">
            <v>4177</v>
          </cell>
          <cell r="BB8">
            <v>19988</v>
          </cell>
          <cell r="BD8">
            <v>18011</v>
          </cell>
          <cell r="BO8">
            <v>1</v>
          </cell>
          <cell r="BQ8">
            <v>1</v>
          </cell>
          <cell r="BR8">
            <v>7</v>
          </cell>
          <cell r="BS8">
            <v>7</v>
          </cell>
          <cell r="BV8">
            <v>31</v>
          </cell>
          <cell r="BW8">
            <v>41060</v>
          </cell>
          <cell r="BX8">
            <v>31</v>
          </cell>
          <cell r="BZ8">
            <v>1.18</v>
          </cell>
          <cell r="CA8" t="str">
            <v>RUB</v>
          </cell>
          <cell r="CB8">
            <v>13708</v>
          </cell>
          <cell r="CE8">
            <v>12233</v>
          </cell>
        </row>
        <row r="9">
          <cell r="A9" t="str">
            <v>ESP</v>
          </cell>
          <cell r="B9" t="str">
            <v>08.SPB.Gulliver</v>
          </cell>
          <cell r="H9">
            <v>549</v>
          </cell>
          <cell r="I9">
            <v>672708.15000000014</v>
          </cell>
          <cell r="K9">
            <v>299258.76124237292</v>
          </cell>
          <cell r="L9">
            <v>511</v>
          </cell>
          <cell r="M9">
            <v>610615.80000000005</v>
          </cell>
          <cell r="O9">
            <v>283486.2249491525</v>
          </cell>
          <cell r="Y9">
            <v>631193.80000000028</v>
          </cell>
          <cell r="AA9">
            <v>2251</v>
          </cell>
          <cell r="AB9">
            <v>2669738.5</v>
          </cell>
          <cell r="AD9">
            <v>1181303.6351372886</v>
          </cell>
          <cell r="AJ9">
            <v>2387073.7999999993</v>
          </cell>
          <cell r="AN9">
            <v>2387073.7902000002</v>
          </cell>
          <cell r="AO9">
            <v>0.52506167181580998</v>
          </cell>
          <cell r="AQ9">
            <v>2387073.7902000002</v>
          </cell>
          <cell r="AR9">
            <v>0.60722135778209496</v>
          </cell>
          <cell r="AS9">
            <v>361</v>
          </cell>
          <cell r="AU9">
            <v>368</v>
          </cell>
          <cell r="AV9">
            <v>1408</v>
          </cell>
          <cell r="AX9">
            <v>1307</v>
          </cell>
          <cell r="AY9">
            <v>3861</v>
          </cell>
          <cell r="BA9">
            <v>3634</v>
          </cell>
          <cell r="BB9">
            <v>18116</v>
          </cell>
          <cell r="BD9">
            <v>14744</v>
          </cell>
          <cell r="BO9">
            <v>1</v>
          </cell>
          <cell r="BQ9">
            <v>1</v>
          </cell>
          <cell r="BR9">
            <v>7</v>
          </cell>
          <cell r="BS9">
            <v>7</v>
          </cell>
          <cell r="BV9">
            <v>31</v>
          </cell>
          <cell r="BW9">
            <v>41060</v>
          </cell>
          <cell r="BX9">
            <v>31</v>
          </cell>
          <cell r="BZ9">
            <v>1.18</v>
          </cell>
          <cell r="CA9" t="str">
            <v>RUB</v>
          </cell>
          <cell r="CB9">
            <v>8928</v>
          </cell>
          <cell r="CE9">
            <v>8964</v>
          </cell>
        </row>
        <row r="10">
          <cell r="A10" t="str">
            <v>ESP</v>
          </cell>
          <cell r="B10" t="str">
            <v>09.SPB.Sennaya</v>
          </cell>
          <cell r="H10">
            <v>508</v>
          </cell>
          <cell r="I10">
            <v>619963.15</v>
          </cell>
          <cell r="K10">
            <v>269264.13590000005</v>
          </cell>
          <cell r="L10">
            <v>594</v>
          </cell>
          <cell r="M10">
            <v>800356.64999999991</v>
          </cell>
          <cell r="O10">
            <v>381131.27135762724</v>
          </cell>
          <cell r="Y10">
            <v>564638.70000000019</v>
          </cell>
          <cell r="AA10">
            <v>2513</v>
          </cell>
          <cell r="AB10">
            <v>2980658.2500000009</v>
          </cell>
          <cell r="AD10">
            <v>1348773.7822966103</v>
          </cell>
          <cell r="AJ10">
            <v>2501289.2000000002</v>
          </cell>
          <cell r="AN10">
            <v>2501289.2116</v>
          </cell>
          <cell r="AO10">
            <v>0.54399207672384997</v>
          </cell>
          <cell r="AQ10">
            <v>2501289.2116</v>
          </cell>
          <cell r="AR10">
            <v>0.60482415280064505</v>
          </cell>
          <cell r="AS10">
            <v>329</v>
          </cell>
          <cell r="AU10">
            <v>325</v>
          </cell>
          <cell r="AV10">
            <v>1528</v>
          </cell>
          <cell r="AX10">
            <v>1306</v>
          </cell>
          <cell r="AY10">
            <v>2829</v>
          </cell>
          <cell r="BA10">
            <v>3473</v>
          </cell>
          <cell r="BB10">
            <v>12855</v>
          </cell>
          <cell r="BD10">
            <v>13968</v>
          </cell>
          <cell r="BO10">
            <v>1</v>
          </cell>
          <cell r="BQ10">
            <v>1</v>
          </cell>
          <cell r="BR10">
            <v>7</v>
          </cell>
          <cell r="BS10">
            <v>7</v>
          </cell>
          <cell r="BV10">
            <v>31</v>
          </cell>
          <cell r="BW10">
            <v>41060</v>
          </cell>
          <cell r="BX10">
            <v>31</v>
          </cell>
          <cell r="BZ10">
            <v>1.18</v>
          </cell>
          <cell r="CA10" t="str">
            <v>RUB</v>
          </cell>
          <cell r="CB10">
            <v>7051</v>
          </cell>
          <cell r="CE10">
            <v>8032</v>
          </cell>
        </row>
        <row r="11">
          <cell r="A11" t="str">
            <v>ESP</v>
          </cell>
          <cell r="B11" t="str">
            <v>10.SPB.French Boulevard</v>
          </cell>
          <cell r="H11">
            <v>536</v>
          </cell>
          <cell r="I11">
            <v>693452.70000000007</v>
          </cell>
          <cell r="K11">
            <v>327591.861661017</v>
          </cell>
          <cell r="L11">
            <v>621</v>
          </cell>
          <cell r="M11">
            <v>835211.15</v>
          </cell>
          <cell r="O11">
            <v>404491.75402203389</v>
          </cell>
          <cell r="Y11">
            <v>633362.30000000028</v>
          </cell>
          <cell r="AA11">
            <v>2753</v>
          </cell>
          <cell r="AB11">
            <v>3189760.7499999995</v>
          </cell>
          <cell r="AD11">
            <v>1480118.828771187</v>
          </cell>
          <cell r="AJ11">
            <v>2558524.3000000003</v>
          </cell>
          <cell r="AN11">
            <v>2558524.2974</v>
          </cell>
          <cell r="AO11">
            <v>0.53681224704254205</v>
          </cell>
          <cell r="AQ11">
            <v>2558524.2974</v>
          </cell>
          <cell r="AR11">
            <v>0.59904236528365895</v>
          </cell>
          <cell r="AS11">
            <v>386</v>
          </cell>
          <cell r="AU11">
            <v>375</v>
          </cell>
          <cell r="AV11">
            <v>1686</v>
          </cell>
          <cell r="AX11">
            <v>1463</v>
          </cell>
          <cell r="AY11">
            <v>3365</v>
          </cell>
          <cell r="BA11">
            <v>3491</v>
          </cell>
          <cell r="BB11">
            <v>14563</v>
          </cell>
          <cell r="BD11">
            <v>12788</v>
          </cell>
          <cell r="BO11">
            <v>1</v>
          </cell>
          <cell r="BQ11">
            <v>1</v>
          </cell>
          <cell r="BR11">
            <v>7</v>
          </cell>
          <cell r="BS11">
            <v>7</v>
          </cell>
          <cell r="BV11">
            <v>31</v>
          </cell>
          <cell r="BW11">
            <v>41060</v>
          </cell>
          <cell r="BX11">
            <v>31</v>
          </cell>
          <cell r="BZ11">
            <v>1.18</v>
          </cell>
          <cell r="CA11" t="str">
            <v>RUB</v>
          </cell>
          <cell r="CB11">
            <v>8310</v>
          </cell>
          <cell r="CE11">
            <v>6801</v>
          </cell>
        </row>
        <row r="12">
          <cell r="A12" t="str">
            <v>ESP</v>
          </cell>
          <cell r="B12" t="str">
            <v>11.SPB.Grand Canyon</v>
          </cell>
          <cell r="H12">
            <v>598</v>
          </cell>
          <cell r="I12">
            <v>826199.65000000014</v>
          </cell>
          <cell r="K12">
            <v>376397.66351525433</v>
          </cell>
          <cell r="L12">
            <v>705</v>
          </cell>
          <cell r="M12">
            <v>1095689.97</v>
          </cell>
          <cell r="O12">
            <v>534177.12963389838</v>
          </cell>
          <cell r="Y12">
            <v>706557.65</v>
          </cell>
          <cell r="AA12">
            <v>2936</v>
          </cell>
          <cell r="AB12">
            <v>3904333.2199999997</v>
          </cell>
          <cell r="AD12">
            <v>1822771.5100016955</v>
          </cell>
          <cell r="AJ12">
            <v>2983182.6999999997</v>
          </cell>
          <cell r="AN12">
            <v>2983182.7445999999</v>
          </cell>
          <cell r="AO12">
            <v>0.53043540010096402</v>
          </cell>
          <cell r="AQ12">
            <v>2983182.7445999999</v>
          </cell>
          <cell r="AR12">
            <v>0.59395662939549299</v>
          </cell>
          <cell r="AS12">
            <v>414</v>
          </cell>
          <cell r="AU12">
            <v>352</v>
          </cell>
          <cell r="AV12">
            <v>1788</v>
          </cell>
          <cell r="AX12">
            <v>1440</v>
          </cell>
          <cell r="AY12">
            <v>4119</v>
          </cell>
          <cell r="BA12">
            <v>3498</v>
          </cell>
          <cell r="BB12">
            <v>16845</v>
          </cell>
          <cell r="BD12">
            <v>14920</v>
          </cell>
          <cell r="BO12">
            <v>1</v>
          </cell>
          <cell r="BQ12">
            <v>1</v>
          </cell>
          <cell r="BR12">
            <v>7</v>
          </cell>
          <cell r="BS12">
            <v>7</v>
          </cell>
          <cell r="BV12">
            <v>31</v>
          </cell>
          <cell r="BW12">
            <v>41060</v>
          </cell>
          <cell r="BX12">
            <v>31</v>
          </cell>
          <cell r="BZ12">
            <v>1.18</v>
          </cell>
          <cell r="CA12" t="str">
            <v>RUB</v>
          </cell>
          <cell r="CB12">
            <v>10642</v>
          </cell>
          <cell r="CE12">
            <v>9323</v>
          </cell>
        </row>
        <row r="13">
          <cell r="A13" t="str">
            <v>ESP</v>
          </cell>
          <cell r="B13" t="str">
            <v>12.SPB.Continent</v>
          </cell>
          <cell r="H13">
            <v>646</v>
          </cell>
          <cell r="I13">
            <v>698994.00000000023</v>
          </cell>
          <cell r="K13">
            <v>330488.0204101695</v>
          </cell>
          <cell r="L13">
            <v>675</v>
          </cell>
          <cell r="M13">
            <v>821311.45</v>
          </cell>
          <cell r="O13">
            <v>393671.51444237289</v>
          </cell>
          <cell r="Y13">
            <v>581384.34999999986</v>
          </cell>
          <cell r="AA13">
            <v>2675</v>
          </cell>
          <cell r="AB13">
            <v>2959413.1</v>
          </cell>
          <cell r="AD13">
            <v>1393976.9355898306</v>
          </cell>
          <cell r="AJ13">
            <v>2111826.5</v>
          </cell>
          <cell r="AN13">
            <v>2111826.5299999998</v>
          </cell>
          <cell r="AO13">
            <v>0.54688894505689001</v>
          </cell>
          <cell r="AQ13">
            <v>2111826.5299999998</v>
          </cell>
          <cell r="AR13">
            <v>0.60963067880574895</v>
          </cell>
          <cell r="AS13">
            <v>391</v>
          </cell>
          <cell r="AU13">
            <v>332</v>
          </cell>
          <cell r="AV13">
            <v>1542</v>
          </cell>
          <cell r="AX13">
            <v>1196</v>
          </cell>
          <cell r="AY13">
            <v>2770</v>
          </cell>
          <cell r="BA13">
            <v>3580</v>
          </cell>
          <cell r="BB13">
            <v>12095</v>
          </cell>
          <cell r="BD13">
            <v>12550</v>
          </cell>
          <cell r="BO13">
            <v>1</v>
          </cell>
          <cell r="BQ13">
            <v>1</v>
          </cell>
          <cell r="BR13">
            <v>7</v>
          </cell>
          <cell r="BS13">
            <v>7</v>
          </cell>
          <cell r="BV13">
            <v>31</v>
          </cell>
          <cell r="BW13">
            <v>41060</v>
          </cell>
          <cell r="BX13">
            <v>31</v>
          </cell>
          <cell r="BZ13">
            <v>1.18</v>
          </cell>
          <cell r="CA13" t="str">
            <v>RUB</v>
          </cell>
          <cell r="CB13">
            <v>6962</v>
          </cell>
          <cell r="CE13">
            <v>5916</v>
          </cell>
        </row>
        <row r="14">
          <cell r="A14" t="str">
            <v>ESP</v>
          </cell>
          <cell r="B14" t="str">
            <v>13.SPB.Ikea Mega Dybenko</v>
          </cell>
          <cell r="H14">
            <v>599</v>
          </cell>
          <cell r="I14">
            <v>728466.75000000012</v>
          </cell>
          <cell r="K14">
            <v>349531.78238983045</v>
          </cell>
          <cell r="L14">
            <v>597</v>
          </cell>
          <cell r="M14">
            <v>795540.60000000009</v>
          </cell>
          <cell r="O14">
            <v>384876.52785254247</v>
          </cell>
          <cell r="Y14">
            <v>634208.14999999991</v>
          </cell>
          <cell r="AA14">
            <v>2579</v>
          </cell>
          <cell r="AB14">
            <v>2999470.6500000004</v>
          </cell>
          <cell r="AD14">
            <v>1399526.4739610173</v>
          </cell>
          <cell r="AJ14">
            <v>2597759.7999999998</v>
          </cell>
          <cell r="AN14">
            <v>2597759.7930000001</v>
          </cell>
          <cell r="AO14">
            <v>0.53572511581070303</v>
          </cell>
          <cell r="AQ14">
            <v>2597759.7930000001</v>
          </cell>
          <cell r="AR14">
            <v>0.61379877186194498</v>
          </cell>
          <cell r="AS14">
            <v>380</v>
          </cell>
          <cell r="AU14">
            <v>339</v>
          </cell>
          <cell r="AV14">
            <v>1536</v>
          </cell>
          <cell r="AX14">
            <v>1327</v>
          </cell>
          <cell r="AY14">
            <v>2888</v>
          </cell>
          <cell r="BA14">
            <v>2705</v>
          </cell>
          <cell r="BB14">
            <v>11831</v>
          </cell>
          <cell r="BD14">
            <v>12356</v>
          </cell>
          <cell r="BO14">
            <v>1</v>
          </cell>
          <cell r="BQ14">
            <v>1</v>
          </cell>
          <cell r="BR14">
            <v>7</v>
          </cell>
          <cell r="BS14">
            <v>7</v>
          </cell>
          <cell r="BV14">
            <v>31</v>
          </cell>
          <cell r="BW14">
            <v>41060</v>
          </cell>
          <cell r="BX14">
            <v>31</v>
          </cell>
          <cell r="BZ14">
            <v>1.18</v>
          </cell>
          <cell r="CA14" t="str">
            <v>RUB</v>
          </cell>
          <cell r="CB14">
            <v>9794</v>
          </cell>
          <cell r="CE14">
            <v>11255</v>
          </cell>
        </row>
        <row r="15">
          <cell r="A15" t="str">
            <v>ESP</v>
          </cell>
          <cell r="B15" t="str">
            <v>14.SPB.Raduga</v>
          </cell>
          <cell r="H15">
            <v>845</v>
          </cell>
          <cell r="I15">
            <v>1102782.8</v>
          </cell>
          <cell r="K15">
            <v>508866.50761525438</v>
          </cell>
          <cell r="L15">
            <v>944</v>
          </cell>
          <cell r="M15">
            <v>1330517.5</v>
          </cell>
          <cell r="O15">
            <v>626182.47738983075</v>
          </cell>
          <cell r="Y15">
            <v>895279.35</v>
          </cell>
          <cell r="AA15">
            <v>3893</v>
          </cell>
          <cell r="AB15">
            <v>4954299.5499999989</v>
          </cell>
          <cell r="AD15">
            <v>2264712.3692779662</v>
          </cell>
          <cell r="AJ15">
            <v>4183409.45</v>
          </cell>
          <cell r="AN15">
            <v>4183409.4432000001</v>
          </cell>
          <cell r="AO15">
            <v>0.53342342335921999</v>
          </cell>
          <cell r="AQ15">
            <v>4183409.4432000001</v>
          </cell>
          <cell r="AR15">
            <v>0.60993055675948804</v>
          </cell>
          <cell r="AS15">
            <v>538</v>
          </cell>
          <cell r="AU15">
            <v>453</v>
          </cell>
          <cell r="AV15">
            <v>2322</v>
          </cell>
          <cell r="AX15">
            <v>1999</v>
          </cell>
          <cell r="AY15">
            <v>5639</v>
          </cell>
          <cell r="BA15">
            <v>4673</v>
          </cell>
          <cell r="BB15">
            <v>25309</v>
          </cell>
          <cell r="BD15">
            <v>20069</v>
          </cell>
          <cell r="BO15">
            <v>1</v>
          </cell>
          <cell r="BQ15">
            <v>1</v>
          </cell>
          <cell r="BR15">
            <v>7</v>
          </cell>
          <cell r="BS15">
            <v>7</v>
          </cell>
          <cell r="BV15">
            <v>31</v>
          </cell>
          <cell r="BW15">
            <v>41060</v>
          </cell>
          <cell r="BX15">
            <v>31</v>
          </cell>
          <cell r="BZ15">
            <v>1.18</v>
          </cell>
          <cell r="CA15" t="str">
            <v>RUB</v>
          </cell>
          <cell r="CB15">
            <v>14873</v>
          </cell>
          <cell r="CE15">
            <v>11442</v>
          </cell>
        </row>
        <row r="16">
          <cell r="A16" t="str">
            <v>ESP</v>
          </cell>
          <cell r="B16" t="str">
            <v>15.SPB.Nevskiy Atrium</v>
          </cell>
          <cell r="H16">
            <v>342</v>
          </cell>
          <cell r="I16">
            <v>416736.2</v>
          </cell>
          <cell r="K16">
            <v>147111.29338644072</v>
          </cell>
          <cell r="L16">
            <v>304</v>
          </cell>
          <cell r="M16">
            <v>443599.65000000008</v>
          </cell>
          <cell r="O16">
            <v>191967.30067966104</v>
          </cell>
          <cell r="Y16">
            <v>585592.25000000023</v>
          </cell>
          <cell r="AA16">
            <v>1334</v>
          </cell>
          <cell r="AB16">
            <v>1808351.0000000002</v>
          </cell>
          <cell r="AD16">
            <v>749999.23345762724</v>
          </cell>
          <cell r="AJ16">
            <v>2127233.75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241</v>
          </cell>
          <cell r="AU16">
            <v>285</v>
          </cell>
          <cell r="AV16">
            <v>901</v>
          </cell>
          <cell r="AX16">
            <v>983</v>
          </cell>
          <cell r="AY16">
            <v>1798</v>
          </cell>
          <cell r="BA16">
            <v>1863</v>
          </cell>
          <cell r="BB16">
            <v>8239</v>
          </cell>
          <cell r="BD16">
            <v>7269</v>
          </cell>
          <cell r="BO16">
            <v>1</v>
          </cell>
          <cell r="BQ16">
            <v>1</v>
          </cell>
          <cell r="BR16">
            <v>7</v>
          </cell>
          <cell r="BS16">
            <v>7</v>
          </cell>
          <cell r="BV16">
            <v>31</v>
          </cell>
          <cell r="BW16">
            <v>41060</v>
          </cell>
          <cell r="BX16">
            <v>31</v>
          </cell>
          <cell r="BZ16">
            <v>1.18</v>
          </cell>
          <cell r="CA16" t="str">
            <v>RUB</v>
          </cell>
          <cell r="CB16">
            <v>7271</v>
          </cell>
          <cell r="CE16">
            <v>7948</v>
          </cell>
        </row>
        <row r="17">
          <cell r="A17" t="str">
            <v>ESP</v>
          </cell>
          <cell r="B17" t="str">
            <v>16.SPB.Atmosphera</v>
          </cell>
          <cell r="H17">
            <v>805</v>
          </cell>
          <cell r="I17">
            <v>893345.10000000009</v>
          </cell>
          <cell r="K17">
            <v>396025.90294406778</v>
          </cell>
          <cell r="L17">
            <v>789</v>
          </cell>
          <cell r="M17">
            <v>988642.10000000009</v>
          </cell>
          <cell r="O17">
            <v>457515.05693559331</v>
          </cell>
          <cell r="Y17">
            <v>619491.50000000023</v>
          </cell>
          <cell r="AA17">
            <v>3481</v>
          </cell>
          <cell r="AB17">
            <v>3782716.05</v>
          </cell>
          <cell r="AD17">
            <v>1672900.3250966095</v>
          </cell>
          <cell r="AJ17">
            <v>2720833.3000000007</v>
          </cell>
          <cell r="AN17">
            <v>2720833.2738000001</v>
          </cell>
          <cell r="AO17">
            <v>0.53232446542456102</v>
          </cell>
          <cell r="AQ17">
            <v>2720833.2738000001</v>
          </cell>
          <cell r="AR17">
            <v>0.59439817247372895</v>
          </cell>
          <cell r="AS17">
            <v>523</v>
          </cell>
          <cell r="AU17">
            <v>366</v>
          </cell>
          <cell r="AV17">
            <v>2028</v>
          </cell>
          <cell r="AX17">
            <v>1485</v>
          </cell>
          <cell r="AY17">
            <v>6256</v>
          </cell>
          <cell r="BA17">
            <v>4152</v>
          </cell>
          <cell r="BB17">
            <v>23882</v>
          </cell>
          <cell r="BD17">
            <v>16807</v>
          </cell>
          <cell r="BO17">
            <v>1</v>
          </cell>
          <cell r="BQ17">
            <v>1</v>
          </cell>
          <cell r="BR17">
            <v>7</v>
          </cell>
          <cell r="BS17">
            <v>7</v>
          </cell>
          <cell r="BV17">
            <v>31</v>
          </cell>
          <cell r="BW17">
            <v>41060</v>
          </cell>
          <cell r="BX17">
            <v>31</v>
          </cell>
          <cell r="BZ17">
            <v>1.18</v>
          </cell>
          <cell r="CA17" t="str">
            <v>RUB</v>
          </cell>
          <cell r="CB17">
            <v>12223</v>
          </cell>
          <cell r="CE17">
            <v>7313</v>
          </cell>
        </row>
        <row r="18">
          <cell r="A18" t="str">
            <v>ESP</v>
          </cell>
          <cell r="B18" t="str">
            <v>17.SPB.Gallery</v>
          </cell>
          <cell r="H18">
            <v>1156</v>
          </cell>
          <cell r="I18">
            <v>1678492.0999999996</v>
          </cell>
          <cell r="K18">
            <v>821652.31470339012</v>
          </cell>
          <cell r="L18">
            <v>1304</v>
          </cell>
          <cell r="M18">
            <v>1993358.1499999997</v>
          </cell>
          <cell r="O18">
            <v>1016924.0120966099</v>
          </cell>
          <cell r="Y18">
            <v>1375553.0999999994</v>
          </cell>
          <cell r="AA18">
            <v>4792</v>
          </cell>
          <cell r="AB18">
            <v>6747057.9500000002</v>
          </cell>
          <cell r="AD18">
            <v>3376625.6746389833</v>
          </cell>
          <cell r="AJ18">
            <v>5747324.7499999991</v>
          </cell>
          <cell r="AN18">
            <v>5747324.7324000001</v>
          </cell>
          <cell r="AO18">
            <v>0.55233264946796801</v>
          </cell>
          <cell r="AQ18">
            <v>5747324.7324000001</v>
          </cell>
          <cell r="AR18">
            <v>0.58580834465482301</v>
          </cell>
          <cell r="AS18">
            <v>758</v>
          </cell>
          <cell r="AU18">
            <v>660</v>
          </cell>
          <cell r="AV18">
            <v>2938</v>
          </cell>
          <cell r="AX18">
            <v>2622</v>
          </cell>
          <cell r="AY18">
            <v>6818</v>
          </cell>
          <cell r="BA18">
            <v>5373</v>
          </cell>
          <cell r="BB18">
            <v>29171</v>
          </cell>
          <cell r="BD18">
            <v>22800</v>
          </cell>
          <cell r="BO18">
            <v>1</v>
          </cell>
          <cell r="BQ18">
            <v>1</v>
          </cell>
          <cell r="BR18">
            <v>7</v>
          </cell>
          <cell r="BS18">
            <v>7</v>
          </cell>
          <cell r="BV18">
            <v>31</v>
          </cell>
          <cell r="BW18">
            <v>41060</v>
          </cell>
          <cell r="BX18">
            <v>31</v>
          </cell>
          <cell r="BZ18">
            <v>1.18</v>
          </cell>
          <cell r="CA18" t="str">
            <v>RUB</v>
          </cell>
          <cell r="CB18">
            <v>17007</v>
          </cell>
          <cell r="CE18">
            <v>13958</v>
          </cell>
        </row>
        <row r="19">
          <cell r="A19" t="str">
            <v>ESP</v>
          </cell>
          <cell r="B19" t="str">
            <v>18.CLB.City Park</v>
          </cell>
          <cell r="H19">
            <v>438</v>
          </cell>
          <cell r="I19">
            <v>536509.35</v>
          </cell>
          <cell r="K19">
            <v>249249.54777796619</v>
          </cell>
          <cell r="L19">
            <v>453</v>
          </cell>
          <cell r="M19">
            <v>540923.55000000005</v>
          </cell>
          <cell r="O19">
            <v>258398.46653559324</v>
          </cell>
          <cell r="Y19">
            <v>598609.14000000013</v>
          </cell>
          <cell r="AA19">
            <v>2147</v>
          </cell>
          <cell r="AB19">
            <v>2359027.9</v>
          </cell>
          <cell r="AD19">
            <v>1092260.650140678</v>
          </cell>
          <cell r="AJ19">
            <v>2737783.2399999993</v>
          </cell>
          <cell r="AN19">
            <v>2737783.2776000001</v>
          </cell>
          <cell r="AO19">
            <v>0.53654966933442505</v>
          </cell>
          <cell r="AQ19">
            <v>2737783.2776000001</v>
          </cell>
          <cell r="AR19">
            <v>0.61574687055009203</v>
          </cell>
          <cell r="AS19">
            <v>274</v>
          </cell>
          <cell r="AU19">
            <v>357</v>
          </cell>
          <cell r="AV19">
            <v>1175</v>
          </cell>
          <cell r="AX19">
            <v>1502</v>
          </cell>
          <cell r="AY19">
            <v>2173</v>
          </cell>
          <cell r="BA19">
            <v>2685</v>
          </cell>
          <cell r="BB19">
            <v>9227</v>
          </cell>
          <cell r="BD19">
            <v>11647</v>
          </cell>
          <cell r="BO19">
            <v>1</v>
          </cell>
          <cell r="BQ19">
            <v>1</v>
          </cell>
          <cell r="BR19">
            <v>7</v>
          </cell>
          <cell r="BS19">
            <v>7</v>
          </cell>
          <cell r="BV19">
            <v>31</v>
          </cell>
          <cell r="BW19">
            <v>41060</v>
          </cell>
          <cell r="BX19">
            <v>31</v>
          </cell>
          <cell r="BZ19">
            <v>1.18</v>
          </cell>
          <cell r="CA19" t="str">
            <v>RUB</v>
          </cell>
          <cell r="CB19">
            <v>10464</v>
          </cell>
          <cell r="CE19">
            <v>7796</v>
          </cell>
        </row>
        <row r="20">
          <cell r="A20" t="str">
            <v>ESP</v>
          </cell>
          <cell r="B20" t="str">
            <v>19.CLB.Cuba</v>
          </cell>
          <cell r="H20">
            <v>320</v>
          </cell>
          <cell r="I20">
            <v>397835.9</v>
          </cell>
          <cell r="K20">
            <v>179435.65339661017</v>
          </cell>
          <cell r="L20">
            <v>403</v>
          </cell>
          <cell r="M20">
            <v>473771.7</v>
          </cell>
          <cell r="O20">
            <v>229256.32927796611</v>
          </cell>
          <cell r="Y20">
            <v>549583</v>
          </cell>
          <cell r="AA20">
            <v>1668</v>
          </cell>
          <cell r="AB20">
            <v>1776605.7000000002</v>
          </cell>
          <cell r="AD20">
            <v>803115.51484745776</v>
          </cell>
          <cell r="AJ20">
            <v>2172552.5500000003</v>
          </cell>
          <cell r="AN20">
            <v>2172552.5395999998</v>
          </cell>
          <cell r="AO20">
            <v>0.51421482490834403</v>
          </cell>
          <cell r="AQ20">
            <v>2172552.5395999998</v>
          </cell>
          <cell r="AR20">
            <v>0.58469488060637098</v>
          </cell>
          <cell r="AS20">
            <v>209</v>
          </cell>
          <cell r="AU20">
            <v>310</v>
          </cell>
          <cell r="AV20">
            <v>958</v>
          </cell>
          <cell r="AX20">
            <v>1172</v>
          </cell>
          <cell r="AY20">
            <v>1541</v>
          </cell>
          <cell r="BA20">
            <v>2127</v>
          </cell>
          <cell r="BB20">
            <v>7061</v>
          </cell>
          <cell r="BD20">
            <v>9100</v>
          </cell>
          <cell r="BO20">
            <v>1</v>
          </cell>
          <cell r="BQ20">
            <v>1</v>
          </cell>
          <cell r="BR20">
            <v>7</v>
          </cell>
          <cell r="BS20">
            <v>7</v>
          </cell>
          <cell r="BV20">
            <v>31</v>
          </cell>
          <cell r="BW20">
            <v>41060</v>
          </cell>
          <cell r="BX20">
            <v>31</v>
          </cell>
          <cell r="BZ20">
            <v>1.18</v>
          </cell>
          <cell r="CA20" t="str">
            <v>RUB</v>
          </cell>
          <cell r="CB20">
            <v>8579</v>
          </cell>
          <cell r="CE20">
            <v>5587</v>
          </cell>
        </row>
        <row r="21">
          <cell r="A21" t="str">
            <v>ESP</v>
          </cell>
          <cell r="B21" t="str">
            <v>20.EKA.Park House</v>
          </cell>
          <cell r="H21">
            <v>322</v>
          </cell>
          <cell r="I21">
            <v>363648.65</v>
          </cell>
          <cell r="K21">
            <v>175291.11173389835</v>
          </cell>
          <cell r="L21">
            <v>297</v>
          </cell>
          <cell r="M21">
            <v>353057.65</v>
          </cell>
          <cell r="O21">
            <v>177748.03510508477</v>
          </cell>
          <cell r="Y21">
            <v>446371.25000000012</v>
          </cell>
          <cell r="AA21">
            <v>1263</v>
          </cell>
          <cell r="AB21">
            <v>1396199.9500000004</v>
          </cell>
          <cell r="AD21">
            <v>678584.92631016951</v>
          </cell>
          <cell r="AJ21">
            <v>1454721</v>
          </cell>
          <cell r="AN21">
            <v>1454720.9920000001</v>
          </cell>
          <cell r="AO21">
            <v>0.56009708932638302</v>
          </cell>
          <cell r="AQ21">
            <v>1454720.9920000001</v>
          </cell>
          <cell r="AR21">
            <v>0.62353453453790597</v>
          </cell>
          <cell r="AS21">
            <v>225</v>
          </cell>
          <cell r="AU21">
            <v>249</v>
          </cell>
          <cell r="AV21">
            <v>822</v>
          </cell>
          <cell r="AX21">
            <v>831</v>
          </cell>
          <cell r="AY21">
            <v>1285</v>
          </cell>
          <cell r="BA21">
            <v>1464</v>
          </cell>
          <cell r="BB21">
            <v>5723</v>
          </cell>
          <cell r="BD21">
            <v>5573</v>
          </cell>
          <cell r="BO21">
            <v>1</v>
          </cell>
          <cell r="BQ21">
            <v>1</v>
          </cell>
          <cell r="BR21">
            <v>7</v>
          </cell>
          <cell r="BS21">
            <v>7</v>
          </cell>
          <cell r="BV21">
            <v>31</v>
          </cell>
          <cell r="BW21">
            <v>41060</v>
          </cell>
          <cell r="BX21">
            <v>31</v>
          </cell>
          <cell r="BZ21">
            <v>1.18</v>
          </cell>
          <cell r="CA21" t="str">
            <v>RUB</v>
          </cell>
          <cell r="CB21">
            <v>5232</v>
          </cell>
          <cell r="CE21">
            <v>4638</v>
          </cell>
        </row>
        <row r="22">
          <cell r="A22" t="str">
            <v>ESP</v>
          </cell>
          <cell r="B22" t="str">
            <v>21.EKA.Ikea Mega</v>
          </cell>
          <cell r="H22">
            <v>461</v>
          </cell>
          <cell r="I22">
            <v>550686.50000000012</v>
          </cell>
          <cell r="K22">
            <v>255226.23367627119</v>
          </cell>
          <cell r="L22">
            <v>389</v>
          </cell>
          <cell r="M22">
            <v>508354.15</v>
          </cell>
          <cell r="O22">
            <v>245940.93809491527</v>
          </cell>
          <cell r="Y22">
            <v>668672.34999999986</v>
          </cell>
          <cell r="AA22">
            <v>1995</v>
          </cell>
          <cell r="AB22">
            <v>2328552.6500000004</v>
          </cell>
          <cell r="AD22">
            <v>1065203.3131898306</v>
          </cell>
          <cell r="AJ22">
            <v>2729486.6999999997</v>
          </cell>
          <cell r="AN22">
            <v>2729486.7094000001</v>
          </cell>
          <cell r="AO22">
            <v>0.50205125030197895</v>
          </cell>
          <cell r="AQ22">
            <v>2729486.7094000001</v>
          </cell>
          <cell r="AR22">
            <v>0.58252285129199799</v>
          </cell>
          <cell r="AS22">
            <v>332</v>
          </cell>
          <cell r="AU22">
            <v>355</v>
          </cell>
          <cell r="AV22">
            <v>1322</v>
          </cell>
          <cell r="AX22">
            <v>1494</v>
          </cell>
          <cell r="AY22">
            <v>2549</v>
          </cell>
          <cell r="BA22">
            <v>2878</v>
          </cell>
          <cell r="BB22">
            <v>10833</v>
          </cell>
          <cell r="BD22">
            <v>13994</v>
          </cell>
          <cell r="BO22">
            <v>1</v>
          </cell>
          <cell r="BQ22">
            <v>1</v>
          </cell>
          <cell r="BR22">
            <v>7</v>
          </cell>
          <cell r="BS22">
            <v>7</v>
          </cell>
          <cell r="BV22">
            <v>31</v>
          </cell>
          <cell r="BW22">
            <v>41060</v>
          </cell>
          <cell r="BX22">
            <v>31</v>
          </cell>
          <cell r="BZ22">
            <v>1.18</v>
          </cell>
          <cell r="CA22" t="str">
            <v>RUB</v>
          </cell>
          <cell r="CB22">
            <v>15515</v>
          </cell>
          <cell r="CE22">
            <v>8806</v>
          </cell>
        </row>
        <row r="23">
          <cell r="A23" t="str">
            <v>ESP</v>
          </cell>
          <cell r="B23" t="str">
            <v>22.KDR.Krasnodar-City</v>
          </cell>
          <cell r="H23">
            <v>378</v>
          </cell>
          <cell r="I23">
            <v>450839.65</v>
          </cell>
          <cell r="K23">
            <v>205535.52120000002</v>
          </cell>
          <cell r="L23">
            <v>508</v>
          </cell>
          <cell r="M23">
            <v>578685.45000000007</v>
          </cell>
          <cell r="O23">
            <v>277935.06970508478</v>
          </cell>
          <cell r="Y23">
            <v>607713.62000000023</v>
          </cell>
          <cell r="AA23">
            <v>2540</v>
          </cell>
          <cell r="AB23">
            <v>2643016.2999999993</v>
          </cell>
          <cell r="AD23">
            <v>1228136.606033898</v>
          </cell>
          <cell r="AJ23">
            <v>2481988.42</v>
          </cell>
          <cell r="AN23">
            <v>2481988.5062000002</v>
          </cell>
          <cell r="AO23">
            <v>0.56658647480402102</v>
          </cell>
          <cell r="AQ23">
            <v>2481988.5062000002</v>
          </cell>
          <cell r="AR23">
            <v>0.66004828589648401</v>
          </cell>
          <cell r="AS23">
            <v>268</v>
          </cell>
          <cell r="AU23">
            <v>349</v>
          </cell>
          <cell r="AV23">
            <v>1492</v>
          </cell>
          <cell r="AX23">
            <v>1363</v>
          </cell>
          <cell r="AY23">
            <v>3394</v>
          </cell>
          <cell r="BA23">
            <v>5362</v>
          </cell>
          <cell r="BB23">
            <v>19325</v>
          </cell>
          <cell r="BD23">
            <v>21435</v>
          </cell>
          <cell r="BO23">
            <v>1</v>
          </cell>
          <cell r="BQ23">
            <v>1</v>
          </cell>
          <cell r="BR23">
            <v>7</v>
          </cell>
          <cell r="BS23">
            <v>7</v>
          </cell>
          <cell r="BV23">
            <v>31</v>
          </cell>
          <cell r="BW23">
            <v>41060</v>
          </cell>
          <cell r="BX23">
            <v>31</v>
          </cell>
          <cell r="BZ23">
            <v>1.18</v>
          </cell>
          <cell r="CA23" t="str">
            <v>RUB</v>
          </cell>
          <cell r="CB23">
            <v>13519</v>
          </cell>
          <cell r="CE23">
            <v>9620</v>
          </cell>
        </row>
        <row r="24">
          <cell r="A24" t="str">
            <v>ESP</v>
          </cell>
          <cell r="B24" t="str">
            <v>23.RND.Horizont</v>
          </cell>
          <cell r="H24">
            <v>383</v>
          </cell>
          <cell r="I24">
            <v>520980.95</v>
          </cell>
          <cell r="K24">
            <v>238543.23256101698</v>
          </cell>
          <cell r="L24">
            <v>419</v>
          </cell>
          <cell r="M24">
            <v>591985</v>
          </cell>
          <cell r="O24">
            <v>289407.17068983044</v>
          </cell>
          <cell r="Y24">
            <v>805673.79999999981</v>
          </cell>
          <cell r="AA24">
            <v>2413</v>
          </cell>
          <cell r="AB24">
            <v>2930576.9800000004</v>
          </cell>
          <cell r="AD24">
            <v>1402023.0977593218</v>
          </cell>
          <cell r="AJ24">
            <v>3198374.7</v>
          </cell>
          <cell r="AN24">
            <v>3198374.6718000001</v>
          </cell>
          <cell r="AO24">
            <v>0.55421665487920702</v>
          </cell>
          <cell r="AQ24">
            <v>3198374.6718000001</v>
          </cell>
          <cell r="AR24">
            <v>0.63102251917925301</v>
          </cell>
          <cell r="AS24">
            <v>281</v>
          </cell>
          <cell r="AU24">
            <v>393</v>
          </cell>
          <cell r="AV24">
            <v>1511</v>
          </cell>
          <cell r="AX24">
            <v>1570</v>
          </cell>
          <cell r="AY24">
            <v>2394</v>
          </cell>
          <cell r="BA24">
            <v>4187</v>
          </cell>
          <cell r="BB24">
            <v>12234</v>
          </cell>
          <cell r="BD24">
            <v>17439</v>
          </cell>
          <cell r="BO24">
            <v>1</v>
          </cell>
          <cell r="BQ24">
            <v>1</v>
          </cell>
          <cell r="BR24">
            <v>7</v>
          </cell>
          <cell r="BS24">
            <v>7</v>
          </cell>
          <cell r="BV24">
            <v>31</v>
          </cell>
          <cell r="BW24">
            <v>41060</v>
          </cell>
          <cell r="BX24">
            <v>31</v>
          </cell>
          <cell r="BZ24">
            <v>1.18</v>
          </cell>
          <cell r="CA24" t="str">
            <v>RUB</v>
          </cell>
          <cell r="CB24">
            <v>11314</v>
          </cell>
          <cell r="CE24">
            <v>7616</v>
          </cell>
        </row>
        <row r="25">
          <cell r="A25" t="str">
            <v>ESP</v>
          </cell>
          <cell r="B25" t="str">
            <v>24.UFA.Semya</v>
          </cell>
          <cell r="H25">
            <v>377</v>
          </cell>
          <cell r="I25">
            <v>461401.55</v>
          </cell>
          <cell r="K25">
            <v>213484.67581186444</v>
          </cell>
          <cell r="L25">
            <v>399</v>
          </cell>
          <cell r="M25">
            <v>521262.10000000003</v>
          </cell>
          <cell r="O25">
            <v>246943.13527288139</v>
          </cell>
          <cell r="Y25">
            <v>444095.00000000006</v>
          </cell>
          <cell r="AA25">
            <v>1840</v>
          </cell>
          <cell r="AB25">
            <v>2180078.85</v>
          </cell>
          <cell r="AD25">
            <v>1027502.8405525426</v>
          </cell>
          <cell r="AJ25">
            <v>2131745.9500000002</v>
          </cell>
          <cell r="AN25">
            <v>2131745.9566000002</v>
          </cell>
          <cell r="AO25">
            <v>0.54364527070403501</v>
          </cell>
          <cell r="AQ25">
            <v>2131745.9566000002</v>
          </cell>
          <cell r="AR25">
            <v>0.62355369445583897</v>
          </cell>
          <cell r="AS25">
            <v>279</v>
          </cell>
          <cell r="AU25">
            <v>279</v>
          </cell>
          <cell r="AV25">
            <v>1160</v>
          </cell>
          <cell r="AX25">
            <v>1209</v>
          </cell>
          <cell r="AY25">
            <v>4180</v>
          </cell>
          <cell r="BA25">
            <v>4124</v>
          </cell>
          <cell r="BB25">
            <v>17981</v>
          </cell>
          <cell r="BD25">
            <v>17335</v>
          </cell>
          <cell r="BO25">
            <v>1</v>
          </cell>
          <cell r="BQ25">
            <v>1</v>
          </cell>
          <cell r="BR25">
            <v>7</v>
          </cell>
          <cell r="BS25">
            <v>7</v>
          </cell>
          <cell r="BV25">
            <v>31</v>
          </cell>
          <cell r="BW25">
            <v>41060</v>
          </cell>
          <cell r="BX25">
            <v>31</v>
          </cell>
          <cell r="BZ25">
            <v>1.18</v>
          </cell>
          <cell r="CA25" t="str">
            <v>RUB</v>
          </cell>
          <cell r="CB25">
            <v>8182</v>
          </cell>
          <cell r="CE25">
            <v>7472</v>
          </cell>
        </row>
        <row r="26">
          <cell r="A26" t="str">
            <v>ESP</v>
          </cell>
          <cell r="B26" t="str">
            <v>xx.KDR.Krasnaya Ploshad</v>
          </cell>
          <cell r="H26">
            <v>0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Y26">
            <v>647559.41999999993</v>
          </cell>
          <cell r="AA26">
            <v>1013</v>
          </cell>
          <cell r="AB26">
            <v>696939.3</v>
          </cell>
          <cell r="AD26">
            <v>224520.06372372888</v>
          </cell>
          <cell r="AJ26">
            <v>2515575.4199999995</v>
          </cell>
          <cell r="AN26">
            <v>2515575.4951999998</v>
          </cell>
          <cell r="AO26">
            <v>0.57886743113095795</v>
          </cell>
          <cell r="AQ26">
            <v>2515575.4951999998</v>
          </cell>
          <cell r="AR26">
            <v>0.66631608946596299</v>
          </cell>
          <cell r="AS26">
            <v>0</v>
          </cell>
          <cell r="AU26">
            <v>321</v>
          </cell>
          <cell r="AV26">
            <v>513</v>
          </cell>
          <cell r="AX26">
            <v>1184</v>
          </cell>
          <cell r="AY26">
            <v>0</v>
          </cell>
          <cell r="BA26">
            <v>4457</v>
          </cell>
          <cell r="BB26">
            <v>4045</v>
          </cell>
          <cell r="BD26">
            <v>18564</v>
          </cell>
          <cell r="BO26">
            <v>1</v>
          </cell>
          <cell r="BQ26">
            <v>1</v>
          </cell>
          <cell r="BR26">
            <v>0</v>
          </cell>
          <cell r="BS26">
            <v>0</v>
          </cell>
          <cell r="BV26">
            <v>9</v>
          </cell>
          <cell r="BW26">
            <v>41060</v>
          </cell>
          <cell r="BX26">
            <v>31</v>
          </cell>
          <cell r="BZ26">
            <v>1.18</v>
          </cell>
          <cell r="CA26" t="str">
            <v>RUB</v>
          </cell>
          <cell r="CB26">
            <v>522</v>
          </cell>
          <cell r="CE26">
            <v>9386</v>
          </cell>
        </row>
        <row r="27">
          <cell r="A27" t="str">
            <v>HKM</v>
          </cell>
          <cell r="B27" t="str">
            <v>01.MOS.Roctokino</v>
          </cell>
          <cell r="H27">
            <v>722</v>
          </cell>
          <cell r="I27">
            <v>401324.14999999997</v>
          </cell>
          <cell r="K27">
            <v>212212.00604339372</v>
          </cell>
          <cell r="L27">
            <v>951</v>
          </cell>
          <cell r="M27">
            <v>380056.55000000005</v>
          </cell>
          <cell r="O27">
            <v>163412.97158056535</v>
          </cell>
          <cell r="Y27">
            <v>356881.60000000009</v>
          </cell>
          <cell r="AA27">
            <v>3027</v>
          </cell>
          <cell r="AB27">
            <v>1420447.0999999996</v>
          </cell>
          <cell r="AD27">
            <v>688972.1520735363</v>
          </cell>
          <cell r="AJ27">
            <v>1463922.6500000001</v>
          </cell>
          <cell r="AN27">
            <v>1463922.6202</v>
          </cell>
          <cell r="AO27">
            <v>0.58378472804899195</v>
          </cell>
          <cell r="AQ27">
            <v>1463922.6202</v>
          </cell>
          <cell r="AR27">
            <v>0.60107845217381395</v>
          </cell>
          <cell r="AS27">
            <v>353</v>
          </cell>
          <cell r="AU27">
            <v>393</v>
          </cell>
          <cell r="AV27">
            <v>1404</v>
          </cell>
          <cell r="AX27">
            <v>1677</v>
          </cell>
          <cell r="AY27">
            <v>3823</v>
          </cell>
          <cell r="BA27">
            <v>3443</v>
          </cell>
          <cell r="BB27">
            <v>14599</v>
          </cell>
          <cell r="BD27">
            <v>13980</v>
          </cell>
          <cell r="BO27">
            <v>0.99999999999999967</v>
          </cell>
          <cell r="BQ27">
            <v>1</v>
          </cell>
          <cell r="BR27">
            <v>7</v>
          </cell>
          <cell r="BS27">
            <v>7</v>
          </cell>
          <cell r="BV27">
            <v>31</v>
          </cell>
          <cell r="BW27">
            <v>41060</v>
          </cell>
          <cell r="BX27">
            <v>31</v>
          </cell>
          <cell r="BZ27">
            <v>1.18</v>
          </cell>
          <cell r="CA27" t="str">
            <v>RUB</v>
          </cell>
          <cell r="CB27">
            <v>10189</v>
          </cell>
          <cell r="CE27">
            <v>12376</v>
          </cell>
        </row>
        <row r="28">
          <cell r="A28" t="str">
            <v>HKM</v>
          </cell>
          <cell r="B28" t="str">
            <v>02.KLN.Europa-Center</v>
          </cell>
          <cell r="H28">
            <v>689</v>
          </cell>
          <cell r="I28">
            <v>387856.4</v>
          </cell>
          <cell r="K28">
            <v>185672.19286011971</v>
          </cell>
          <cell r="L28">
            <v>1125</v>
          </cell>
          <cell r="M28">
            <v>494508.9</v>
          </cell>
          <cell r="O28">
            <v>195925.51550871687</v>
          </cell>
          <cell r="Y28">
            <v>305808.45000000019</v>
          </cell>
          <cell r="AA28">
            <v>3434</v>
          </cell>
          <cell r="AB28">
            <v>1668216.2499999998</v>
          </cell>
          <cell r="AD28">
            <v>743483.38263421692</v>
          </cell>
          <cell r="AJ28">
            <v>1357311.1000000003</v>
          </cell>
          <cell r="AN28">
            <v>1357311.0715999999</v>
          </cell>
          <cell r="AO28">
            <v>0.55557300099606699</v>
          </cell>
          <cell r="AQ28">
            <v>1357311.0715999999</v>
          </cell>
          <cell r="AR28">
            <v>0.57203099612474195</v>
          </cell>
          <cell r="AS28">
            <v>407</v>
          </cell>
          <cell r="AU28">
            <v>358</v>
          </cell>
          <cell r="AV28">
            <v>1911</v>
          </cell>
          <cell r="AX28">
            <v>1758</v>
          </cell>
          <cell r="AY28">
            <v>4181</v>
          </cell>
          <cell r="BA28">
            <v>3795</v>
          </cell>
          <cell r="BB28">
            <v>18590</v>
          </cell>
          <cell r="BD28">
            <v>16053</v>
          </cell>
          <cell r="BO28">
            <v>0.99999999999999967</v>
          </cell>
          <cell r="BQ28">
            <v>1</v>
          </cell>
          <cell r="BR28">
            <v>7</v>
          </cell>
          <cell r="BS28">
            <v>7</v>
          </cell>
          <cell r="BV28">
            <v>31</v>
          </cell>
          <cell r="BW28">
            <v>41060</v>
          </cell>
          <cell r="BX28">
            <v>31</v>
          </cell>
          <cell r="BZ28">
            <v>1.18</v>
          </cell>
          <cell r="CA28" t="str">
            <v>RUB</v>
          </cell>
          <cell r="CB28">
            <v>13825</v>
          </cell>
          <cell r="CE28">
            <v>15304</v>
          </cell>
        </row>
        <row r="29">
          <cell r="A29" t="str">
            <v>HKM</v>
          </cell>
          <cell r="B29" t="str">
            <v>03.RYZ.Victoria Plaza</v>
          </cell>
          <cell r="H29">
            <v>381</v>
          </cell>
          <cell r="I29">
            <v>200938</v>
          </cell>
          <cell r="K29">
            <v>91136.443174048109</v>
          </cell>
          <cell r="L29">
            <v>468</v>
          </cell>
          <cell r="M29">
            <v>222423.59999999998</v>
          </cell>
          <cell r="O29">
            <v>95722.665410098474</v>
          </cell>
          <cell r="Y29">
            <v>232565.90000000002</v>
          </cell>
          <cell r="AA29">
            <v>1725</v>
          </cell>
          <cell r="AB29">
            <v>841008.2</v>
          </cell>
          <cell r="AD29">
            <v>385798.69727325405</v>
          </cell>
          <cell r="AJ29">
            <v>1026845.4000000003</v>
          </cell>
          <cell r="AN29">
            <v>1026845.3101999999</v>
          </cell>
          <cell r="AO29">
            <v>0.63671795918747598</v>
          </cell>
          <cell r="AQ29">
            <v>1026845.3101999999</v>
          </cell>
          <cell r="AR29">
            <v>0.65557974882062797</v>
          </cell>
          <cell r="AS29">
            <v>224</v>
          </cell>
          <cell r="AU29">
            <v>231</v>
          </cell>
          <cell r="AV29">
            <v>947</v>
          </cell>
          <cell r="AX29">
            <v>1232</v>
          </cell>
          <cell r="AY29">
            <v>2114</v>
          </cell>
          <cell r="BA29">
            <v>2534</v>
          </cell>
          <cell r="BB29">
            <v>8868</v>
          </cell>
          <cell r="BD29">
            <v>12143</v>
          </cell>
          <cell r="BO29">
            <v>0.99999999999999967</v>
          </cell>
          <cell r="BQ29">
            <v>1</v>
          </cell>
          <cell r="BR29">
            <v>7</v>
          </cell>
          <cell r="BS29">
            <v>7</v>
          </cell>
          <cell r="BV29">
            <v>31</v>
          </cell>
          <cell r="BW29">
            <v>41060</v>
          </cell>
          <cell r="BX29">
            <v>31</v>
          </cell>
          <cell r="BZ29">
            <v>1.18</v>
          </cell>
          <cell r="CA29" t="str">
            <v>RUB</v>
          </cell>
          <cell r="CB29">
            <v>9428</v>
          </cell>
          <cell r="CE29">
            <v>10287</v>
          </cell>
        </row>
        <row r="30">
          <cell r="A30" t="str">
            <v>ORS</v>
          </cell>
          <cell r="B30" t="str">
            <v>01.MOS.Roctokino</v>
          </cell>
          <cell r="H30">
            <v>529</v>
          </cell>
          <cell r="I30">
            <v>516962.5</v>
          </cell>
          <cell r="K30">
            <v>199129.09041244071</v>
          </cell>
          <cell r="L30">
            <v>592</v>
          </cell>
          <cell r="M30">
            <v>569909.5</v>
          </cell>
          <cell r="O30">
            <v>220117.00846545774</v>
          </cell>
          <cell r="Y30">
            <v>714416.6</v>
          </cell>
          <cell r="AA30">
            <v>2414</v>
          </cell>
          <cell r="AB30">
            <v>2381005.5000000005</v>
          </cell>
          <cell r="AD30">
            <v>918646.7942708137</v>
          </cell>
          <cell r="AJ30">
            <v>3146111.1</v>
          </cell>
          <cell r="AN30">
            <v>3146111.1030000001</v>
          </cell>
          <cell r="AO30">
            <v>0.46105371061864903</v>
          </cell>
          <cell r="AQ30">
            <v>3146111.1030000001</v>
          </cell>
          <cell r="AR30">
            <v>0.51357362435224296</v>
          </cell>
          <cell r="AS30">
            <v>371</v>
          </cell>
          <cell r="AU30">
            <v>519</v>
          </cell>
          <cell r="AV30">
            <v>1754</v>
          </cell>
          <cell r="AX30">
            <v>2275</v>
          </cell>
          <cell r="AY30">
            <v>3294</v>
          </cell>
          <cell r="BA30">
            <v>7595</v>
          </cell>
          <cell r="BB30">
            <v>16229</v>
          </cell>
          <cell r="BD30">
            <v>34138</v>
          </cell>
          <cell r="BO30">
            <v>0.99999999999999989</v>
          </cell>
          <cell r="BQ30">
            <v>0.99999999999999978</v>
          </cell>
          <cell r="BR30">
            <v>7</v>
          </cell>
          <cell r="BS30">
            <v>7</v>
          </cell>
          <cell r="BV30">
            <v>31</v>
          </cell>
          <cell r="BW30">
            <v>41060</v>
          </cell>
          <cell r="BX30">
            <v>31</v>
          </cell>
          <cell r="BZ30">
            <v>1.18</v>
          </cell>
          <cell r="CA30" t="str">
            <v>RUB</v>
          </cell>
          <cell r="CB30">
            <v>4344</v>
          </cell>
          <cell r="CE30">
            <v>5411</v>
          </cell>
        </row>
        <row r="31">
          <cell r="A31" t="str">
            <v>ORS</v>
          </cell>
          <cell r="B31" t="str">
            <v>02.MOS.Gorod 2</v>
          </cell>
          <cell r="H31">
            <v>264</v>
          </cell>
          <cell r="I31">
            <v>246362.5</v>
          </cell>
          <cell r="K31">
            <v>94382.176640338977</v>
          </cell>
          <cell r="L31">
            <v>433</v>
          </cell>
          <cell r="M31">
            <v>437759.10000000003</v>
          </cell>
          <cell r="O31">
            <v>168827.82181986439</v>
          </cell>
          <cell r="Y31">
            <v>249055.40000000002</v>
          </cell>
          <cell r="AA31">
            <v>1372</v>
          </cell>
          <cell r="AB31">
            <v>1366440.5</v>
          </cell>
          <cell r="AD31">
            <v>525843.27228027117</v>
          </cell>
          <cell r="AJ31">
            <v>1373517.7999999998</v>
          </cell>
          <cell r="AN31">
            <v>1922924.92</v>
          </cell>
          <cell r="AO31">
            <v>0.45999945485524801</v>
          </cell>
          <cell r="AQ31">
            <v>1922924.92</v>
          </cell>
          <cell r="AR31">
            <v>0.50050193374029905</v>
          </cell>
          <cell r="AS31">
            <v>196</v>
          </cell>
          <cell r="AU31">
            <v>197</v>
          </cell>
          <cell r="AV31">
            <v>940</v>
          </cell>
          <cell r="AX31">
            <v>971</v>
          </cell>
          <cell r="AY31">
            <v>1622</v>
          </cell>
          <cell r="BA31">
            <v>2648</v>
          </cell>
          <cell r="BB31">
            <v>8438</v>
          </cell>
          <cell r="BD31">
            <v>11488</v>
          </cell>
          <cell r="BO31">
            <v>0.99999999999999989</v>
          </cell>
          <cell r="BQ31">
            <v>0.99999999999999978</v>
          </cell>
          <cell r="BR31">
            <v>7</v>
          </cell>
          <cell r="BS31">
            <v>7</v>
          </cell>
          <cell r="BV31">
            <v>31</v>
          </cell>
          <cell r="BW31">
            <v>41060</v>
          </cell>
          <cell r="BX31">
            <v>31</v>
          </cell>
          <cell r="BZ31">
            <v>1.18</v>
          </cell>
          <cell r="CA31" t="str">
            <v>RUB</v>
          </cell>
          <cell r="CB31">
            <v>4174</v>
          </cell>
          <cell r="CE31">
            <v>5241</v>
          </cell>
        </row>
        <row r="32">
          <cell r="A32" t="str">
            <v>ORS</v>
          </cell>
          <cell r="B32" t="str">
            <v>03.MOS.Auchan Troyka</v>
          </cell>
          <cell r="H32">
            <v>245</v>
          </cell>
          <cell r="I32">
            <v>233042.9</v>
          </cell>
          <cell r="K32">
            <v>89886.579515949168</v>
          </cell>
          <cell r="L32">
            <v>344</v>
          </cell>
          <cell r="M32">
            <v>357434.9</v>
          </cell>
          <cell r="O32">
            <v>137803.96631579663</v>
          </cell>
          <cell r="Y32">
            <v>0</v>
          </cell>
          <cell r="AA32">
            <v>1396</v>
          </cell>
          <cell r="AB32">
            <v>1406013.4964999999</v>
          </cell>
          <cell r="AD32">
            <v>542202.71843055938</v>
          </cell>
          <cell r="AJ32">
            <v>0</v>
          </cell>
          <cell r="AN32">
            <v>2476692.4295000001</v>
          </cell>
          <cell r="AO32">
            <v>0.50550539071299105</v>
          </cell>
          <cell r="AQ32">
            <v>2476692.4295000001</v>
          </cell>
          <cell r="AR32">
            <v>0.55410836522578399</v>
          </cell>
          <cell r="AS32">
            <v>190</v>
          </cell>
          <cell r="AU32">
            <v>0</v>
          </cell>
          <cell r="AV32">
            <v>976</v>
          </cell>
          <cell r="AX32">
            <v>0</v>
          </cell>
          <cell r="AY32">
            <v>1543</v>
          </cell>
          <cell r="BA32">
            <v>0</v>
          </cell>
          <cell r="BB32">
            <v>7035</v>
          </cell>
          <cell r="BD32">
            <v>0</v>
          </cell>
          <cell r="BO32">
            <v>0.99999999999999989</v>
          </cell>
          <cell r="BQ32">
            <v>0.99999999999999978</v>
          </cell>
          <cell r="BR32">
            <v>7</v>
          </cell>
          <cell r="BS32">
            <v>7</v>
          </cell>
          <cell r="BV32">
            <v>31</v>
          </cell>
          <cell r="BW32">
            <v>41060</v>
          </cell>
          <cell r="BX32">
            <v>31</v>
          </cell>
          <cell r="BZ32">
            <v>1.18</v>
          </cell>
          <cell r="CA32" t="str">
            <v>RUB</v>
          </cell>
          <cell r="CB32">
            <v>4241</v>
          </cell>
          <cell r="CE32">
            <v>0</v>
          </cell>
        </row>
        <row r="33">
          <cell r="A33" t="str">
            <v>ORS</v>
          </cell>
          <cell r="B33" t="str">
            <v>04.CLB.Cuba</v>
          </cell>
          <cell r="H33">
            <v>407</v>
          </cell>
          <cell r="I33">
            <v>361296.6</v>
          </cell>
          <cell r="K33">
            <v>137716.26214967799</v>
          </cell>
          <cell r="L33">
            <v>336</v>
          </cell>
          <cell r="M33">
            <v>339197</v>
          </cell>
          <cell r="O33">
            <v>130792.60144925427</v>
          </cell>
          <cell r="Y33">
            <v>395811</v>
          </cell>
          <cell r="AA33">
            <v>1458</v>
          </cell>
          <cell r="AB33">
            <v>1433401.8000000003</v>
          </cell>
          <cell r="AD33">
            <v>550438.84877886437</v>
          </cell>
          <cell r="AJ33">
            <v>2310670.7000000002</v>
          </cell>
          <cell r="AN33">
            <v>2310670.6192000001</v>
          </cell>
          <cell r="AO33">
            <v>0.46042736428981001</v>
          </cell>
          <cell r="AQ33">
            <v>2310670.6192000001</v>
          </cell>
          <cell r="AR33">
            <v>0.51426234123337</v>
          </cell>
          <cell r="AS33">
            <v>235</v>
          </cell>
          <cell r="AU33">
            <v>306</v>
          </cell>
          <cell r="AV33">
            <v>998</v>
          </cell>
          <cell r="AX33">
            <v>1765</v>
          </cell>
          <cell r="AY33">
            <v>1974</v>
          </cell>
          <cell r="BA33">
            <v>2589</v>
          </cell>
          <cell r="BB33">
            <v>8783</v>
          </cell>
          <cell r="BD33">
            <v>14976</v>
          </cell>
          <cell r="BO33">
            <v>0.99999999999999989</v>
          </cell>
          <cell r="BQ33">
            <v>0.99999999999999978</v>
          </cell>
          <cell r="BR33">
            <v>7</v>
          </cell>
          <cell r="BS33">
            <v>7</v>
          </cell>
          <cell r="BV33">
            <v>31</v>
          </cell>
          <cell r="BW33">
            <v>41060</v>
          </cell>
          <cell r="BX33">
            <v>31</v>
          </cell>
          <cell r="BZ33">
            <v>1.18</v>
          </cell>
          <cell r="CA33" t="str">
            <v>RUB</v>
          </cell>
          <cell r="CB33">
            <v>3883</v>
          </cell>
          <cell r="CE33">
            <v>5101</v>
          </cell>
        </row>
        <row r="34">
          <cell r="A34" t="str">
            <v>ORS</v>
          </cell>
          <cell r="B34" t="str">
            <v>05.NVS.Sibirskiy Mall</v>
          </cell>
          <cell r="H34">
            <v>548</v>
          </cell>
          <cell r="I34">
            <v>509924.4</v>
          </cell>
          <cell r="K34">
            <v>193372.23235196614</v>
          </cell>
          <cell r="L34">
            <v>413</v>
          </cell>
          <cell r="M34">
            <v>409838.49999999994</v>
          </cell>
          <cell r="O34">
            <v>157159.84578228815</v>
          </cell>
          <cell r="Y34">
            <v>514313</v>
          </cell>
          <cell r="AA34">
            <v>2041</v>
          </cell>
          <cell r="AB34">
            <v>1928651.9000000001</v>
          </cell>
          <cell r="AD34">
            <v>725097.04203228839</v>
          </cell>
          <cell r="AJ34">
            <v>1923265.5000000002</v>
          </cell>
          <cell r="AN34">
            <v>1923265.4918</v>
          </cell>
          <cell r="AO34">
            <v>0.45993406969733502</v>
          </cell>
          <cell r="AQ34">
            <v>1923265.4918</v>
          </cell>
          <cell r="AR34">
            <v>0.52400428425956003</v>
          </cell>
          <cell r="AS34">
            <v>403</v>
          </cell>
          <cell r="AU34">
            <v>347</v>
          </cell>
          <cell r="AV34">
            <v>1419</v>
          </cell>
          <cell r="AX34">
            <v>1372</v>
          </cell>
          <cell r="AY34">
            <v>4498</v>
          </cell>
          <cell r="BA34">
            <v>3641</v>
          </cell>
          <cell r="BB34">
            <v>17721</v>
          </cell>
          <cell r="BD34">
            <v>14995</v>
          </cell>
          <cell r="BO34">
            <v>0.99999999999999989</v>
          </cell>
          <cell r="BQ34">
            <v>0.99999999999999978</v>
          </cell>
          <cell r="BR34">
            <v>7</v>
          </cell>
          <cell r="BS34">
            <v>7</v>
          </cell>
          <cell r="BV34">
            <v>31</v>
          </cell>
          <cell r="BW34">
            <v>41060</v>
          </cell>
          <cell r="BX34">
            <v>31</v>
          </cell>
          <cell r="BZ34">
            <v>1.18</v>
          </cell>
          <cell r="CA34" t="str">
            <v>RUB</v>
          </cell>
          <cell r="CB34">
            <v>4510</v>
          </cell>
          <cell r="CE34">
            <v>6455</v>
          </cell>
        </row>
        <row r="35">
          <cell r="A35" t="str">
            <v>ORS</v>
          </cell>
          <cell r="B35" t="str">
            <v>06.RYZ.Victoria Plaza</v>
          </cell>
          <cell r="H35">
            <v>282</v>
          </cell>
          <cell r="I35">
            <v>268280.7</v>
          </cell>
          <cell r="K35">
            <v>102741.23228257628</v>
          </cell>
          <cell r="L35">
            <v>393</v>
          </cell>
          <cell r="M35">
            <v>380539.4</v>
          </cell>
          <cell r="O35">
            <v>146515.86648105088</v>
          </cell>
          <cell r="Y35">
            <v>537720</v>
          </cell>
          <cell r="AA35">
            <v>1526</v>
          </cell>
          <cell r="AB35">
            <v>1510890.3000000003</v>
          </cell>
          <cell r="AD35">
            <v>581521.1175415254</v>
          </cell>
          <cell r="AJ35">
            <v>2374847.1</v>
          </cell>
          <cell r="AN35">
            <v>2374847.0668000001</v>
          </cell>
          <cell r="AO35">
            <v>0.46076733962708399</v>
          </cell>
          <cell r="AQ35">
            <v>2374847.0668000001</v>
          </cell>
          <cell r="AR35">
            <v>0.518075481026253</v>
          </cell>
          <cell r="AS35">
            <v>229</v>
          </cell>
          <cell r="AU35">
            <v>411</v>
          </cell>
          <cell r="AV35">
            <v>1213</v>
          </cell>
          <cell r="AX35">
            <v>1914</v>
          </cell>
          <cell r="AY35">
            <v>3128</v>
          </cell>
          <cell r="BA35">
            <v>7882</v>
          </cell>
          <cell r="BB35">
            <v>17466</v>
          </cell>
          <cell r="BD35">
            <v>34274</v>
          </cell>
          <cell r="BO35">
            <v>0.99999999999999989</v>
          </cell>
          <cell r="BQ35">
            <v>0.99999999999999978</v>
          </cell>
          <cell r="BR35">
            <v>7</v>
          </cell>
          <cell r="BS35">
            <v>7</v>
          </cell>
          <cell r="BV35">
            <v>31</v>
          </cell>
          <cell r="BW35">
            <v>41060</v>
          </cell>
          <cell r="BX35">
            <v>31</v>
          </cell>
          <cell r="BZ35">
            <v>1.18</v>
          </cell>
          <cell r="CA35" t="str">
            <v>RUB</v>
          </cell>
          <cell r="CB35">
            <v>5689</v>
          </cell>
          <cell r="CE35">
            <v>6118</v>
          </cell>
        </row>
        <row r="36">
          <cell r="A36" t="str">
            <v>ORS</v>
          </cell>
          <cell r="B36" t="str">
            <v>07.UFA.Shatlyk Luxe</v>
          </cell>
          <cell r="H36">
            <v>256</v>
          </cell>
          <cell r="I36">
            <v>229118</v>
          </cell>
          <cell r="K36">
            <v>87414.753455389829</v>
          </cell>
          <cell r="L36">
            <v>278</v>
          </cell>
          <cell r="M36">
            <v>270352.89999999997</v>
          </cell>
          <cell r="O36">
            <v>104110.78391088136</v>
          </cell>
          <cell r="Y36">
            <v>346569</v>
          </cell>
          <cell r="AA36">
            <v>1211</v>
          </cell>
          <cell r="AB36">
            <v>1157993.7000000002</v>
          </cell>
          <cell r="AD36">
            <v>445319.22137777967</v>
          </cell>
          <cell r="AJ36">
            <v>1804014.4</v>
          </cell>
          <cell r="AN36">
            <v>1804014.4203999999</v>
          </cell>
          <cell r="AO36">
            <v>0.45971900140399802</v>
          </cell>
          <cell r="AQ36">
            <v>1804014.4203999999</v>
          </cell>
          <cell r="AR36">
            <v>0.51775109415134202</v>
          </cell>
          <cell r="AS36">
            <v>188</v>
          </cell>
          <cell r="AU36">
            <v>301</v>
          </cell>
          <cell r="AV36">
            <v>864</v>
          </cell>
          <cell r="AX36">
            <v>1413</v>
          </cell>
          <cell r="AY36">
            <v>1747</v>
          </cell>
          <cell r="BA36">
            <v>3062</v>
          </cell>
          <cell r="BB36">
            <v>7192</v>
          </cell>
          <cell r="BD36">
            <v>13812</v>
          </cell>
          <cell r="BO36">
            <v>0.99999999999999989</v>
          </cell>
          <cell r="BQ36">
            <v>0.99999999999999978</v>
          </cell>
          <cell r="BR36">
            <v>7</v>
          </cell>
          <cell r="BS36">
            <v>7</v>
          </cell>
          <cell r="BV36">
            <v>31</v>
          </cell>
          <cell r="BW36">
            <v>41060</v>
          </cell>
          <cell r="BX36">
            <v>31</v>
          </cell>
          <cell r="BZ36">
            <v>1.18</v>
          </cell>
          <cell r="CA36" t="str">
            <v>RUB</v>
          </cell>
          <cell r="CB36">
            <v>5440</v>
          </cell>
          <cell r="CE36">
            <v>5521</v>
          </cell>
        </row>
        <row r="37">
          <cell r="A37" t="str">
            <v>ORS</v>
          </cell>
          <cell r="B37" t="str">
            <v>08.UFA.Semya</v>
          </cell>
          <cell r="H37">
            <v>220</v>
          </cell>
          <cell r="I37">
            <v>207062.9</v>
          </cell>
          <cell r="K37">
            <v>79042.262699101688</v>
          </cell>
          <cell r="L37">
            <v>296</v>
          </cell>
          <cell r="M37">
            <v>286995.8</v>
          </cell>
          <cell r="O37">
            <v>110497.97310933899</v>
          </cell>
          <cell r="Y37">
            <v>403661</v>
          </cell>
          <cell r="AA37">
            <v>1064</v>
          </cell>
          <cell r="AB37">
            <v>1020013.7</v>
          </cell>
          <cell r="AD37">
            <v>391870.39724616957</v>
          </cell>
          <cell r="AJ37">
            <v>1968615</v>
          </cell>
          <cell r="AN37">
            <v>1968615.0393999999</v>
          </cell>
          <cell r="AO37">
            <v>0.46005904612695397</v>
          </cell>
          <cell r="AQ37">
            <v>1968615.0393999999</v>
          </cell>
          <cell r="AR37">
            <v>0.51887464773132896</v>
          </cell>
          <cell r="AS37">
            <v>181</v>
          </cell>
          <cell r="AU37">
            <v>315</v>
          </cell>
          <cell r="AV37">
            <v>851</v>
          </cell>
          <cell r="AX37">
            <v>1563</v>
          </cell>
          <cell r="AY37">
            <v>3353</v>
          </cell>
          <cell r="BA37">
            <v>4996</v>
          </cell>
          <cell r="BB37">
            <v>16259</v>
          </cell>
          <cell r="BD37">
            <v>22981</v>
          </cell>
          <cell r="BO37">
            <v>0.99999999999999989</v>
          </cell>
          <cell r="BQ37">
            <v>0.99999999999999978</v>
          </cell>
          <cell r="BR37">
            <v>7</v>
          </cell>
          <cell r="BS37">
            <v>7</v>
          </cell>
          <cell r="BV37">
            <v>31</v>
          </cell>
          <cell r="BW37">
            <v>41060</v>
          </cell>
          <cell r="BX37">
            <v>31</v>
          </cell>
          <cell r="BZ37">
            <v>1.18</v>
          </cell>
          <cell r="CA37" t="str">
            <v>RUB</v>
          </cell>
          <cell r="CB37">
            <v>5287</v>
          </cell>
          <cell r="CE37">
            <v>5237</v>
          </cell>
        </row>
        <row r="38">
          <cell r="A38" t="str">
            <v>ORS</v>
          </cell>
          <cell r="B38" t="str">
            <v>09.VLM.Megatorg</v>
          </cell>
          <cell r="H38">
            <v>261</v>
          </cell>
          <cell r="I38">
            <v>233171.1</v>
          </cell>
          <cell r="K38">
            <v>89275.388611881383</v>
          </cell>
          <cell r="L38">
            <v>330</v>
          </cell>
          <cell r="M38">
            <v>324871.8</v>
          </cell>
          <cell r="O38">
            <v>124962.26231825427</v>
          </cell>
          <cell r="Y38">
            <v>276288</v>
          </cell>
          <cell r="AA38">
            <v>1385</v>
          </cell>
          <cell r="AB38">
            <v>1356699.6000000003</v>
          </cell>
          <cell r="AD38">
            <v>521621.60082227137</v>
          </cell>
          <cell r="AJ38">
            <v>1415092.5</v>
          </cell>
          <cell r="AN38">
            <v>1415092.4738</v>
          </cell>
          <cell r="AO38">
            <v>0.46019954014594</v>
          </cell>
          <cell r="AQ38">
            <v>1415092.4738</v>
          </cell>
          <cell r="AR38">
            <v>0.52815508734362504</v>
          </cell>
          <cell r="AS38">
            <v>211</v>
          </cell>
          <cell r="AU38">
            <v>233</v>
          </cell>
          <cell r="AV38">
            <v>1079</v>
          </cell>
          <cell r="AX38">
            <v>1165</v>
          </cell>
          <cell r="AY38">
            <v>2142</v>
          </cell>
          <cell r="BA38">
            <v>4659</v>
          </cell>
          <cell r="BB38">
            <v>10908</v>
          </cell>
          <cell r="BD38">
            <v>14401</v>
          </cell>
          <cell r="BO38">
            <v>0.99999999999999989</v>
          </cell>
          <cell r="BQ38">
            <v>0.99999999999999978</v>
          </cell>
          <cell r="BR38">
            <v>7</v>
          </cell>
          <cell r="BS38">
            <v>7</v>
          </cell>
          <cell r="BV38">
            <v>31</v>
          </cell>
          <cell r="BW38">
            <v>41060</v>
          </cell>
          <cell r="BX38">
            <v>31</v>
          </cell>
          <cell r="BZ38">
            <v>1.18</v>
          </cell>
          <cell r="CA38" t="str">
            <v>RUB</v>
          </cell>
          <cell r="CB38">
            <v>4203</v>
          </cell>
          <cell r="CE38">
            <v>4819</v>
          </cell>
        </row>
        <row r="39">
          <cell r="A39" t="str">
            <v>OTH</v>
          </cell>
          <cell r="B39" t="str">
            <v>nn.WHS.Warehouse</v>
          </cell>
          <cell r="AA39">
            <v>2373</v>
          </cell>
          <cell r="AB39">
            <v>1667869.5908000013</v>
          </cell>
          <cell r="AD39">
            <v>361164.92180000013</v>
          </cell>
          <cell r="AN39">
            <v>0</v>
          </cell>
          <cell r="AO39">
            <v>0</v>
          </cell>
          <cell r="AQ39">
            <v>6198117.1189000001</v>
          </cell>
          <cell r="AR39">
            <v>0.57874756878328804</v>
          </cell>
          <cell r="BO39">
            <v>1</v>
          </cell>
          <cell r="BQ39">
            <v>1</v>
          </cell>
          <cell r="BR39">
            <v>0</v>
          </cell>
          <cell r="BS39">
            <v>0</v>
          </cell>
          <cell r="BV39">
            <v>0</v>
          </cell>
          <cell r="BW39">
            <v>41060</v>
          </cell>
          <cell r="BX39">
            <v>31</v>
          </cell>
          <cell r="BZ39">
            <v>1.18</v>
          </cell>
          <cell r="CA39" t="str">
            <v>RUB</v>
          </cell>
        </row>
        <row r="40">
          <cell r="A40" t="str">
            <v>PEA</v>
          </cell>
          <cell r="B40" t="str">
            <v>xx.MOS.Roctokino</v>
          </cell>
          <cell r="BO40">
            <v>1</v>
          </cell>
          <cell r="BQ40">
            <v>1</v>
          </cell>
          <cell r="BR40">
            <v>0</v>
          </cell>
          <cell r="BS40">
            <v>0</v>
          </cell>
          <cell r="BV40">
            <v>0</v>
          </cell>
          <cell r="BW40">
            <v>41060</v>
          </cell>
          <cell r="BX40">
            <v>31</v>
          </cell>
          <cell r="BZ40">
            <v>1.18</v>
          </cell>
          <cell r="CA40" t="str">
            <v>RUB</v>
          </cell>
        </row>
        <row r="41">
          <cell r="A41" t="str">
            <v>OVS</v>
          </cell>
          <cell r="B41" t="str">
            <v>01.MOS.Domodedovskiy</v>
          </cell>
          <cell r="H41">
            <v>1340</v>
          </cell>
          <cell r="I41">
            <v>870749.5</v>
          </cell>
          <cell r="K41">
            <v>451319.37888474559</v>
          </cell>
          <cell r="L41">
            <v>2230</v>
          </cell>
          <cell r="M41">
            <v>1346356.4</v>
          </cell>
          <cell r="O41">
            <v>697148.18279999983</v>
          </cell>
          <cell r="Y41">
            <v>0</v>
          </cell>
          <cell r="AA41">
            <v>4305</v>
          </cell>
          <cell r="AB41">
            <v>2644716.65</v>
          </cell>
          <cell r="AD41">
            <v>1370300.7999101689</v>
          </cell>
          <cell r="AJ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840</v>
          </cell>
          <cell r="AU41">
            <v>0</v>
          </cell>
          <cell r="AV41">
            <v>2566</v>
          </cell>
          <cell r="AX41">
            <v>0</v>
          </cell>
          <cell r="AY41">
            <v>7657</v>
          </cell>
          <cell r="BA41">
            <v>0</v>
          </cell>
          <cell r="BB41">
            <v>19729</v>
          </cell>
          <cell r="BD41">
            <v>0</v>
          </cell>
          <cell r="BO41">
            <v>1</v>
          </cell>
          <cell r="BQ41">
            <v>1</v>
          </cell>
          <cell r="BR41">
            <v>7</v>
          </cell>
          <cell r="BS41">
            <v>7</v>
          </cell>
          <cell r="BV41">
            <v>16</v>
          </cell>
          <cell r="BW41">
            <v>41060</v>
          </cell>
          <cell r="BX41">
            <v>31</v>
          </cell>
          <cell r="BZ41">
            <v>1.18</v>
          </cell>
          <cell r="CA41" t="str">
            <v>RUB</v>
          </cell>
          <cell r="CB41">
            <v>11710</v>
          </cell>
          <cell r="CE41">
            <v>0</v>
          </cell>
        </row>
        <row r="42">
          <cell r="A42" t="str">
            <v>OVS</v>
          </cell>
          <cell r="B42" t="str">
            <v>02.MOS.Auchan Troyka</v>
          </cell>
          <cell r="H42">
            <v>492</v>
          </cell>
          <cell r="I42">
            <v>348781.6</v>
          </cell>
          <cell r="K42">
            <v>181891.51151864408</v>
          </cell>
          <cell r="L42">
            <v>861</v>
          </cell>
          <cell r="M42">
            <v>575728.69999999995</v>
          </cell>
          <cell r="O42">
            <v>299937.52186610195</v>
          </cell>
          <cell r="Y42">
            <v>0</v>
          </cell>
          <cell r="AA42">
            <v>1514</v>
          </cell>
          <cell r="AB42">
            <v>1025821.2999999999</v>
          </cell>
          <cell r="AD42">
            <v>534321.10864576302</v>
          </cell>
          <cell r="AJ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348</v>
          </cell>
          <cell r="AU42">
            <v>0</v>
          </cell>
          <cell r="AV42">
            <v>1022</v>
          </cell>
          <cell r="AX42">
            <v>0</v>
          </cell>
          <cell r="AY42">
            <v>2266</v>
          </cell>
          <cell r="BA42">
            <v>0</v>
          </cell>
          <cell r="BB42">
            <v>5322</v>
          </cell>
          <cell r="BD42">
            <v>0</v>
          </cell>
          <cell r="BO42">
            <v>1</v>
          </cell>
          <cell r="BQ42">
            <v>1</v>
          </cell>
          <cell r="BR42">
            <v>7</v>
          </cell>
          <cell r="BS42">
            <v>7</v>
          </cell>
          <cell r="BV42">
            <v>15</v>
          </cell>
          <cell r="BW42">
            <v>41060</v>
          </cell>
          <cell r="BX42">
            <v>31</v>
          </cell>
          <cell r="BZ42">
            <v>1.18</v>
          </cell>
          <cell r="CA42" t="str">
            <v>RUB</v>
          </cell>
          <cell r="CB42">
            <v>8615</v>
          </cell>
          <cell r="CE42">
            <v>0</v>
          </cell>
        </row>
        <row r="43">
          <cell r="A43" t="str">
            <v>OVS</v>
          </cell>
          <cell r="B43" t="str">
            <v>03.SPB.June</v>
          </cell>
          <cell r="H43">
            <v>1482</v>
          </cell>
          <cell r="I43">
            <v>924953.70000000007</v>
          </cell>
          <cell r="K43">
            <v>483150.30989660957</v>
          </cell>
          <cell r="L43">
            <v>1881</v>
          </cell>
          <cell r="M43">
            <v>1171066.8</v>
          </cell>
          <cell r="O43">
            <v>610319.6757254228</v>
          </cell>
          <cell r="Y43">
            <v>0</v>
          </cell>
          <cell r="AA43">
            <v>3363</v>
          </cell>
          <cell r="AB43">
            <v>2096020.5</v>
          </cell>
          <cell r="AD43">
            <v>1093469.9856220323</v>
          </cell>
          <cell r="AJ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919</v>
          </cell>
          <cell r="AU43">
            <v>0</v>
          </cell>
          <cell r="AV43">
            <v>2090</v>
          </cell>
          <cell r="AX43">
            <v>0</v>
          </cell>
          <cell r="AY43">
            <v>9988</v>
          </cell>
          <cell r="BA43">
            <v>0</v>
          </cell>
          <cell r="BB43">
            <v>22086</v>
          </cell>
          <cell r="BD43">
            <v>0</v>
          </cell>
          <cell r="BO43">
            <v>1</v>
          </cell>
          <cell r="BQ43">
            <v>1</v>
          </cell>
          <cell r="BR43">
            <v>7</v>
          </cell>
          <cell r="BS43">
            <v>7</v>
          </cell>
          <cell r="BV43">
            <v>14</v>
          </cell>
          <cell r="BW43">
            <v>41060</v>
          </cell>
          <cell r="BX43">
            <v>31</v>
          </cell>
          <cell r="BZ43">
            <v>1.18</v>
          </cell>
          <cell r="CA43" t="str">
            <v>RUB</v>
          </cell>
          <cell r="CB43">
            <v>18950</v>
          </cell>
          <cell r="CE43">
            <v>0</v>
          </cell>
        </row>
        <row r="44">
          <cell r="A44" t="str">
            <v>OVS</v>
          </cell>
          <cell r="B44" t="str">
            <v>04.NND.Respublika</v>
          </cell>
          <cell r="H44">
            <v>538</v>
          </cell>
          <cell r="I44">
            <v>385478.5</v>
          </cell>
          <cell r="K44">
            <v>197221.28921525431</v>
          </cell>
          <cell r="L44">
            <v>220</v>
          </cell>
          <cell r="M44">
            <v>175702.59999999998</v>
          </cell>
          <cell r="O44">
            <v>89833.950274576273</v>
          </cell>
          <cell r="Y44">
            <v>0</v>
          </cell>
          <cell r="AA44">
            <v>758</v>
          </cell>
          <cell r="AB44">
            <v>561181.1</v>
          </cell>
          <cell r="AD44">
            <v>287055.23948983056</v>
          </cell>
          <cell r="AJ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392</v>
          </cell>
          <cell r="AU44">
            <v>0</v>
          </cell>
          <cell r="AV44">
            <v>558</v>
          </cell>
          <cell r="AX44">
            <v>0</v>
          </cell>
          <cell r="AY44">
            <v>3419</v>
          </cell>
          <cell r="BA44">
            <v>0</v>
          </cell>
          <cell r="BB44">
            <v>5051</v>
          </cell>
          <cell r="BD44">
            <v>0</v>
          </cell>
          <cell r="BO44">
            <v>1</v>
          </cell>
          <cell r="BQ44">
            <v>1</v>
          </cell>
          <cell r="BR44">
            <v>7</v>
          </cell>
          <cell r="BS44">
            <v>3</v>
          </cell>
          <cell r="BV44">
            <v>10</v>
          </cell>
          <cell r="BW44">
            <v>41060</v>
          </cell>
          <cell r="BX44">
            <v>31</v>
          </cell>
          <cell r="BZ44">
            <v>1.18</v>
          </cell>
          <cell r="CA44" t="str">
            <v>RUB</v>
          </cell>
          <cell r="CB44">
            <v>9362</v>
          </cell>
          <cell r="CE44">
            <v>0</v>
          </cell>
        </row>
        <row r="45">
          <cell r="A45" t="str">
            <v>OVS</v>
          </cell>
          <cell r="B45" t="str">
            <v>05.NND.Fantastika</v>
          </cell>
          <cell r="H45">
            <v>367</v>
          </cell>
          <cell r="I45">
            <v>205062.7</v>
          </cell>
          <cell r="K45">
            <v>105830.2485525424</v>
          </cell>
          <cell r="L45">
            <v>68</v>
          </cell>
          <cell r="M45">
            <v>41222.6</v>
          </cell>
          <cell r="O45">
            <v>21615.937979661023</v>
          </cell>
          <cell r="Y45">
            <v>0</v>
          </cell>
          <cell r="AA45">
            <v>435</v>
          </cell>
          <cell r="AB45">
            <v>246285.3</v>
          </cell>
          <cell r="AD45">
            <v>127446.18653220341</v>
          </cell>
          <cell r="AJ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281</v>
          </cell>
          <cell r="AU45">
            <v>0</v>
          </cell>
          <cell r="AV45">
            <v>337</v>
          </cell>
          <cell r="AX45">
            <v>0</v>
          </cell>
          <cell r="AY45">
            <v>2844</v>
          </cell>
          <cell r="BA45">
            <v>0</v>
          </cell>
          <cell r="BB45">
            <v>3450</v>
          </cell>
          <cell r="BD45">
            <v>0</v>
          </cell>
          <cell r="BO45">
            <v>1</v>
          </cell>
          <cell r="BQ45">
            <v>1</v>
          </cell>
          <cell r="BR45">
            <v>7</v>
          </cell>
          <cell r="BS45">
            <v>3</v>
          </cell>
          <cell r="BV45">
            <v>10</v>
          </cell>
          <cell r="BW45">
            <v>41060</v>
          </cell>
          <cell r="BX45">
            <v>31</v>
          </cell>
          <cell r="BZ45">
            <v>1.18</v>
          </cell>
          <cell r="CA45" t="str">
            <v>RUB</v>
          </cell>
          <cell r="CB45">
            <v>9943</v>
          </cell>
          <cell r="CE45">
            <v>0</v>
          </cell>
        </row>
        <row r="46">
          <cell r="A46" t="str">
            <v>OVS</v>
          </cell>
          <cell r="B46" t="str">
            <v>nn.SPB.Atmosphera</v>
          </cell>
          <cell r="H46">
            <v>116</v>
          </cell>
          <cell r="I46">
            <v>67404.399999999994</v>
          </cell>
          <cell r="K46">
            <v>35070.080481355901</v>
          </cell>
          <cell r="L46">
            <v>0</v>
          </cell>
          <cell r="M46">
            <v>0</v>
          </cell>
          <cell r="O46">
            <v>0</v>
          </cell>
          <cell r="Y46">
            <v>0</v>
          </cell>
          <cell r="AA46">
            <v>116</v>
          </cell>
          <cell r="AB46">
            <v>67404.399999999994</v>
          </cell>
          <cell r="AD46">
            <v>35070.080481355901</v>
          </cell>
          <cell r="AJ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86</v>
          </cell>
          <cell r="AU46">
            <v>0</v>
          </cell>
          <cell r="AV46">
            <v>86</v>
          </cell>
          <cell r="AX46">
            <v>0</v>
          </cell>
          <cell r="BO46">
            <v>1</v>
          </cell>
          <cell r="BQ46">
            <v>1</v>
          </cell>
          <cell r="BR46">
            <v>1</v>
          </cell>
          <cell r="BS46">
            <v>0</v>
          </cell>
          <cell r="BV46">
            <v>1</v>
          </cell>
          <cell r="BW46">
            <v>41060</v>
          </cell>
          <cell r="BX46">
            <v>31</v>
          </cell>
          <cell r="BZ46">
            <v>1.18</v>
          </cell>
          <cell r="CA46" t="str">
            <v>RUB</v>
          </cell>
          <cell r="CB46">
            <v>6370</v>
          </cell>
          <cell r="CE46">
            <v>0</v>
          </cell>
        </row>
        <row r="47">
          <cell r="A47" t="str">
            <v>PEA</v>
          </cell>
          <cell r="B47" t="str">
            <v>01.MOS.Metropolis</v>
          </cell>
          <cell r="H47">
            <v>1019</v>
          </cell>
          <cell r="I47">
            <v>558526.30000000005</v>
          </cell>
          <cell r="K47">
            <v>233660.17686488695</v>
          </cell>
          <cell r="L47">
            <v>1290</v>
          </cell>
          <cell r="M47">
            <v>720084.89999999991</v>
          </cell>
          <cell r="O47">
            <v>296480.65164857311</v>
          </cell>
          <cell r="Y47">
            <v>1212625.2</v>
          </cell>
          <cell r="AA47">
            <v>5458</v>
          </cell>
          <cell r="AB47">
            <v>3037133.7500000009</v>
          </cell>
          <cell r="AD47">
            <v>1223014.2845123694</v>
          </cell>
          <cell r="AJ47">
            <v>5084024.38</v>
          </cell>
          <cell r="AN47">
            <v>5084063.5356000001</v>
          </cell>
          <cell r="AO47">
            <v>0.58495726495726497</v>
          </cell>
          <cell r="AQ47">
            <v>5084063.5356000001</v>
          </cell>
          <cell r="AR47">
            <v>0.56005741291796995</v>
          </cell>
          <cell r="AS47">
            <v>640</v>
          </cell>
          <cell r="AU47">
            <v>1047</v>
          </cell>
          <cell r="AV47">
            <v>3504</v>
          </cell>
          <cell r="AX47">
            <v>4515</v>
          </cell>
          <cell r="AY47">
            <v>6539</v>
          </cell>
          <cell r="BA47">
            <v>8566</v>
          </cell>
          <cell r="BB47">
            <v>35126</v>
          </cell>
          <cell r="BD47">
            <v>39711</v>
          </cell>
          <cell r="BO47">
            <v>1</v>
          </cell>
          <cell r="BQ47">
            <v>1</v>
          </cell>
          <cell r="BR47">
            <v>7</v>
          </cell>
          <cell r="BS47">
            <v>7</v>
          </cell>
          <cell r="BV47">
            <v>31</v>
          </cell>
          <cell r="BW47">
            <v>41060</v>
          </cell>
          <cell r="BX47">
            <v>31</v>
          </cell>
          <cell r="BZ47">
            <v>1.18</v>
          </cell>
          <cell r="CA47" t="str">
            <v>RUB</v>
          </cell>
          <cell r="CB47">
            <v>7820</v>
          </cell>
          <cell r="CE47">
            <v>20082</v>
          </cell>
        </row>
        <row r="48">
          <cell r="A48" t="str">
            <v>PEA</v>
          </cell>
          <cell r="B48" t="str">
            <v>02.MOS.Galereya Aeroport</v>
          </cell>
          <cell r="H48">
            <v>1369</v>
          </cell>
          <cell r="I48">
            <v>643315</v>
          </cell>
          <cell r="K48">
            <v>195453.83391408608</v>
          </cell>
          <cell r="L48">
            <v>1601</v>
          </cell>
          <cell r="M48">
            <v>798773.60000000009</v>
          </cell>
          <cell r="O48">
            <v>251925.08412254107</v>
          </cell>
          <cell r="Y48">
            <v>1710389.7300000004</v>
          </cell>
          <cell r="AA48">
            <v>6916</v>
          </cell>
          <cell r="AB48">
            <v>3432978.5500000003</v>
          </cell>
          <cell r="AD48">
            <v>1064098.1603138524</v>
          </cell>
          <cell r="AJ48">
            <v>6420995.3799999999</v>
          </cell>
          <cell r="AN48">
            <v>6515306.7873999998</v>
          </cell>
          <cell r="AO48">
            <v>0.58495726495726497</v>
          </cell>
          <cell r="AQ48">
            <v>6515306.7873999998</v>
          </cell>
          <cell r="AR48">
            <v>0.56701005210100197</v>
          </cell>
          <cell r="AS48">
            <v>813</v>
          </cell>
          <cell r="AU48">
            <v>1431</v>
          </cell>
          <cell r="AV48">
            <v>4135</v>
          </cell>
          <cell r="AX48">
            <v>5486</v>
          </cell>
          <cell r="AY48">
            <v>5587</v>
          </cell>
          <cell r="BA48">
            <v>7677</v>
          </cell>
          <cell r="BB48">
            <v>26817</v>
          </cell>
          <cell r="BD48">
            <v>30896</v>
          </cell>
          <cell r="BO48">
            <v>1</v>
          </cell>
          <cell r="BQ48">
            <v>1</v>
          </cell>
          <cell r="BR48">
            <v>7</v>
          </cell>
          <cell r="BS48">
            <v>7</v>
          </cell>
          <cell r="BV48">
            <v>31</v>
          </cell>
          <cell r="BW48">
            <v>41060</v>
          </cell>
          <cell r="BX48">
            <v>31</v>
          </cell>
          <cell r="BZ48">
            <v>1.18</v>
          </cell>
          <cell r="CA48" t="str">
            <v>RUB</v>
          </cell>
          <cell r="CB48">
            <v>14354</v>
          </cell>
          <cell r="CE48">
            <v>28966</v>
          </cell>
        </row>
        <row r="49">
          <cell r="A49" t="str">
            <v>PEA</v>
          </cell>
          <cell r="B49" t="str">
            <v>03.SPB.Ikea Mega Dybenko</v>
          </cell>
          <cell r="H49">
            <v>2014</v>
          </cell>
          <cell r="I49">
            <v>776757.4</v>
          </cell>
          <cell r="K49">
            <v>150704.63646363557</v>
          </cell>
          <cell r="L49">
            <v>1882</v>
          </cell>
          <cell r="M49">
            <v>853282.1</v>
          </cell>
          <cell r="O49">
            <v>252281.66227153409</v>
          </cell>
          <cell r="Y49">
            <v>1241528.5998999993</v>
          </cell>
          <cell r="AA49">
            <v>8014</v>
          </cell>
          <cell r="AB49">
            <v>3566311.9999999995</v>
          </cell>
          <cell r="AD49">
            <v>958444.1112519434</v>
          </cell>
          <cell r="AJ49">
            <v>5335198.1998999994</v>
          </cell>
          <cell r="AN49">
            <v>5404073.4704</v>
          </cell>
          <cell r="AO49">
            <v>0.58495726495726497</v>
          </cell>
          <cell r="AQ49">
            <v>5404073.4704</v>
          </cell>
          <cell r="AR49">
            <v>0.57447959839597795</v>
          </cell>
          <cell r="AS49">
            <v>1226</v>
          </cell>
          <cell r="AU49">
            <v>1250</v>
          </cell>
          <cell r="AV49">
            <v>5104</v>
          </cell>
          <cell r="AX49">
            <v>5477</v>
          </cell>
          <cell r="AY49">
            <v>11852</v>
          </cell>
          <cell r="BA49">
            <v>13675</v>
          </cell>
          <cell r="BB49">
            <v>54292</v>
          </cell>
          <cell r="BD49">
            <v>60636</v>
          </cell>
          <cell r="BO49">
            <v>1</v>
          </cell>
          <cell r="BQ49">
            <v>1</v>
          </cell>
          <cell r="BR49">
            <v>7</v>
          </cell>
          <cell r="BS49">
            <v>7</v>
          </cell>
          <cell r="BV49">
            <v>31</v>
          </cell>
          <cell r="BW49">
            <v>41060</v>
          </cell>
          <cell r="BX49">
            <v>31</v>
          </cell>
          <cell r="BZ49">
            <v>1.18</v>
          </cell>
          <cell r="CA49" t="str">
            <v>RUB</v>
          </cell>
          <cell r="CB49">
            <v>18241</v>
          </cell>
          <cell r="CE49">
            <v>33857</v>
          </cell>
        </row>
        <row r="50">
          <cell r="A50" t="str">
            <v>PEA</v>
          </cell>
          <cell r="B50" t="str">
            <v>04.SPB.Continent</v>
          </cell>
          <cell r="H50">
            <v>874</v>
          </cell>
          <cell r="I50">
            <v>351450.85000000003</v>
          </cell>
          <cell r="K50">
            <v>64627.195386458392</v>
          </cell>
          <cell r="L50">
            <v>853</v>
          </cell>
          <cell r="M50">
            <v>339620.75000000006</v>
          </cell>
          <cell r="O50">
            <v>76732.367858750295</v>
          </cell>
          <cell r="Y50">
            <v>750024.73999999953</v>
          </cell>
          <cell r="AA50">
            <v>3389</v>
          </cell>
          <cell r="AB50">
            <v>1297417.95</v>
          </cell>
          <cell r="AD50">
            <v>211997.67112470599</v>
          </cell>
          <cell r="AJ50">
            <v>3049514.0999999996</v>
          </cell>
          <cell r="AN50">
            <v>3103216.6398</v>
          </cell>
          <cell r="AO50">
            <v>0.56412928367107495</v>
          </cell>
          <cell r="AQ50">
            <v>3103216.6398</v>
          </cell>
          <cell r="AR50">
            <v>0.57257356955414096</v>
          </cell>
          <cell r="AS50">
            <v>551</v>
          </cell>
          <cell r="AU50">
            <v>800</v>
          </cell>
          <cell r="AV50">
            <v>2214</v>
          </cell>
          <cell r="AX50">
            <v>3287</v>
          </cell>
          <cell r="AY50">
            <v>3926</v>
          </cell>
          <cell r="BA50">
            <v>5238</v>
          </cell>
          <cell r="BB50">
            <v>18391</v>
          </cell>
          <cell r="BD50">
            <v>22284</v>
          </cell>
          <cell r="BO50">
            <v>1</v>
          </cell>
          <cell r="BQ50">
            <v>1</v>
          </cell>
          <cell r="BR50">
            <v>7</v>
          </cell>
          <cell r="BS50">
            <v>7</v>
          </cell>
          <cell r="BV50">
            <v>31</v>
          </cell>
          <cell r="BW50">
            <v>41060</v>
          </cell>
          <cell r="BX50">
            <v>31</v>
          </cell>
          <cell r="BZ50">
            <v>1.18</v>
          </cell>
          <cell r="CA50" t="str">
            <v>RUB</v>
          </cell>
          <cell r="CB50">
            <v>13862</v>
          </cell>
          <cell r="CE50">
            <v>22994</v>
          </cell>
        </row>
        <row r="51">
          <cell r="A51" t="str">
            <v>PEA</v>
          </cell>
          <cell r="B51" t="str">
            <v>05.SPB.City Mall</v>
          </cell>
          <cell r="H51">
            <v>871</v>
          </cell>
          <cell r="I51">
            <v>425229.9</v>
          </cell>
          <cell r="K51">
            <v>130109.03316625235</v>
          </cell>
          <cell r="L51">
            <v>919</v>
          </cell>
          <cell r="M51">
            <v>380668.94999999995</v>
          </cell>
          <cell r="O51">
            <v>95387.769931003786</v>
          </cell>
          <cell r="Y51">
            <v>0</v>
          </cell>
          <cell r="AA51">
            <v>3920</v>
          </cell>
          <cell r="AB51">
            <v>1651282.0499999998</v>
          </cell>
          <cell r="AD51">
            <v>405866.02977776719</v>
          </cell>
          <cell r="AJ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578</v>
          </cell>
          <cell r="AU51">
            <v>0</v>
          </cell>
          <cell r="AV51">
            <v>2656</v>
          </cell>
          <cell r="AX51">
            <v>0</v>
          </cell>
          <cell r="AY51">
            <v>6761</v>
          </cell>
          <cell r="BA51">
            <v>0</v>
          </cell>
          <cell r="BB51">
            <v>30307</v>
          </cell>
          <cell r="BD51">
            <v>0</v>
          </cell>
          <cell r="BO51">
            <v>1</v>
          </cell>
          <cell r="BQ51">
            <v>1</v>
          </cell>
          <cell r="BR51">
            <v>7</v>
          </cell>
          <cell r="BS51">
            <v>7</v>
          </cell>
          <cell r="BV51">
            <v>31</v>
          </cell>
          <cell r="BW51">
            <v>41060</v>
          </cell>
          <cell r="BX51">
            <v>31</v>
          </cell>
          <cell r="BZ51">
            <v>1.18</v>
          </cell>
          <cell r="CA51" t="str">
            <v>RUB</v>
          </cell>
          <cell r="CB51">
            <v>12714</v>
          </cell>
          <cell r="CE51">
            <v>0</v>
          </cell>
        </row>
        <row r="52">
          <cell r="A52" t="str">
            <v>PEA</v>
          </cell>
          <cell r="B52" t="str">
            <v>06.CLB.Cuba</v>
          </cell>
          <cell r="H52">
            <v>1239</v>
          </cell>
          <cell r="I52">
            <v>341640.66000000003</v>
          </cell>
          <cell r="K52">
            <v>-16474.573111965074</v>
          </cell>
          <cell r="L52">
            <v>920</v>
          </cell>
          <cell r="M52">
            <v>355165.8</v>
          </cell>
          <cell r="O52">
            <v>86193.239941688749</v>
          </cell>
          <cell r="Y52">
            <v>785414.47</v>
          </cell>
          <cell r="AA52">
            <v>3992</v>
          </cell>
          <cell r="AB52">
            <v>1405964.9600000002</v>
          </cell>
          <cell r="AD52">
            <v>201697.34700152447</v>
          </cell>
          <cell r="AJ52">
            <v>3786326.6900000004</v>
          </cell>
          <cell r="AN52">
            <v>3839003.5512000001</v>
          </cell>
          <cell r="AO52">
            <v>0.57472332028415796</v>
          </cell>
          <cell r="AQ52">
            <v>3839003.5512000001</v>
          </cell>
          <cell r="AR52">
            <v>0.57951770141641201</v>
          </cell>
          <cell r="AS52">
            <v>686</v>
          </cell>
          <cell r="AU52">
            <v>819</v>
          </cell>
          <cell r="AV52">
            <v>2492</v>
          </cell>
          <cell r="AX52">
            <v>3987</v>
          </cell>
          <cell r="AY52">
            <v>4935</v>
          </cell>
          <cell r="BA52">
            <v>5700</v>
          </cell>
          <cell r="BB52">
            <v>17990</v>
          </cell>
          <cell r="BD52">
            <v>26978</v>
          </cell>
          <cell r="BO52">
            <v>1</v>
          </cell>
          <cell r="BQ52">
            <v>1</v>
          </cell>
          <cell r="BR52">
            <v>7</v>
          </cell>
          <cell r="BS52">
            <v>7</v>
          </cell>
          <cell r="BV52">
            <v>31</v>
          </cell>
          <cell r="BW52">
            <v>41060</v>
          </cell>
          <cell r="BX52">
            <v>31</v>
          </cell>
          <cell r="BZ52">
            <v>1.18</v>
          </cell>
          <cell r="CA52" t="str">
            <v>RUB</v>
          </cell>
          <cell r="CB52">
            <v>12215</v>
          </cell>
          <cell r="CE52">
            <v>19281</v>
          </cell>
        </row>
        <row r="53">
          <cell r="A53" t="str">
            <v>PEA</v>
          </cell>
          <cell r="B53" t="str">
            <v>07.KLN.Europa-Center</v>
          </cell>
          <cell r="H53">
            <v>900</v>
          </cell>
          <cell r="I53">
            <v>364610.05000000005</v>
          </cell>
          <cell r="K53">
            <v>100129.52134152518</v>
          </cell>
          <cell r="L53">
            <v>1329</v>
          </cell>
          <cell r="M53">
            <v>514990.1</v>
          </cell>
          <cell r="O53">
            <v>153900.9850804033</v>
          </cell>
          <cell r="Y53">
            <v>819693.40000000014</v>
          </cell>
          <cell r="AA53">
            <v>5289</v>
          </cell>
          <cell r="AB53">
            <v>1995400.95</v>
          </cell>
          <cell r="AD53">
            <v>430997.5538742629</v>
          </cell>
          <cell r="AJ53">
            <v>3596072.9000000004</v>
          </cell>
          <cell r="AN53">
            <v>3641161.4944000002</v>
          </cell>
          <cell r="AO53">
            <v>0.53725810195341805</v>
          </cell>
          <cell r="AQ53">
            <v>3641161.4944000002</v>
          </cell>
          <cell r="AR53">
            <v>0.546675141441472</v>
          </cell>
          <cell r="AS53">
            <v>660</v>
          </cell>
          <cell r="AU53">
            <v>1005</v>
          </cell>
          <cell r="AV53">
            <v>3641</v>
          </cell>
          <cell r="AX53">
            <v>4391</v>
          </cell>
          <cell r="AY53">
            <v>9790</v>
          </cell>
          <cell r="BA53">
            <v>12262</v>
          </cell>
          <cell r="BB53">
            <v>47444</v>
          </cell>
          <cell r="BD53">
            <v>55972</v>
          </cell>
          <cell r="BO53">
            <v>1</v>
          </cell>
          <cell r="BQ53">
            <v>1</v>
          </cell>
          <cell r="BR53">
            <v>7</v>
          </cell>
          <cell r="BS53">
            <v>7</v>
          </cell>
          <cell r="BV53">
            <v>31</v>
          </cell>
          <cell r="BW53">
            <v>41060</v>
          </cell>
          <cell r="BX53">
            <v>31</v>
          </cell>
          <cell r="BZ53">
            <v>1.18</v>
          </cell>
          <cell r="CA53" t="str">
            <v>RUB</v>
          </cell>
          <cell r="CB53">
            <v>17207</v>
          </cell>
          <cell r="CE53">
            <v>29616</v>
          </cell>
        </row>
        <row r="54">
          <cell r="A54" t="str">
            <v>PEA</v>
          </cell>
          <cell r="B54" t="str">
            <v>08.NND.Ikea Mega</v>
          </cell>
          <cell r="H54">
            <v>1028</v>
          </cell>
          <cell r="I54">
            <v>404483.5</v>
          </cell>
          <cell r="K54">
            <v>103103.54994968054</v>
          </cell>
          <cell r="L54">
            <v>1025</v>
          </cell>
          <cell r="M54">
            <v>398623.3</v>
          </cell>
          <cell r="O54">
            <v>111042.1917316558</v>
          </cell>
          <cell r="Y54">
            <v>840717.94999999984</v>
          </cell>
          <cell r="AA54">
            <v>4365</v>
          </cell>
          <cell r="AB54">
            <v>1648203.0999999996</v>
          </cell>
          <cell r="AD54">
            <v>421166.94652420585</v>
          </cell>
          <cell r="AJ54">
            <v>3113692.8</v>
          </cell>
          <cell r="AN54">
            <v>3148362.8498</v>
          </cell>
          <cell r="AO54">
            <v>0.54269485402635897</v>
          </cell>
          <cell r="AQ54">
            <v>3148362.8498</v>
          </cell>
          <cell r="AR54">
            <v>0.56631864406652699</v>
          </cell>
          <cell r="AS54">
            <v>703</v>
          </cell>
          <cell r="AU54">
            <v>918</v>
          </cell>
          <cell r="AV54">
            <v>3079</v>
          </cell>
          <cell r="AX54">
            <v>3597</v>
          </cell>
          <cell r="AY54">
            <v>4557</v>
          </cell>
          <cell r="BA54">
            <v>6879</v>
          </cell>
          <cell r="BB54">
            <v>21283</v>
          </cell>
          <cell r="BD54">
            <v>27179</v>
          </cell>
          <cell r="BO54">
            <v>1</v>
          </cell>
          <cell r="BQ54">
            <v>1</v>
          </cell>
          <cell r="BR54">
            <v>7</v>
          </cell>
          <cell r="BS54">
            <v>7</v>
          </cell>
          <cell r="BV54">
            <v>31</v>
          </cell>
          <cell r="BW54">
            <v>41060</v>
          </cell>
          <cell r="BX54">
            <v>31</v>
          </cell>
          <cell r="BZ54">
            <v>1.18</v>
          </cell>
          <cell r="CA54" t="str">
            <v>RUB</v>
          </cell>
          <cell r="CB54">
            <v>12477</v>
          </cell>
          <cell r="CE54">
            <v>22800</v>
          </cell>
        </row>
        <row r="55">
          <cell r="A55" t="str">
            <v>PEA</v>
          </cell>
          <cell r="B55" t="str">
            <v>09.NVS.Ikea Mega</v>
          </cell>
          <cell r="H55">
            <v>1386</v>
          </cell>
          <cell r="I55">
            <v>483758.44999999995</v>
          </cell>
          <cell r="K55">
            <v>50966.018152980134</v>
          </cell>
          <cell r="L55">
            <v>1424</v>
          </cell>
          <cell r="M55">
            <v>466278.7</v>
          </cell>
          <cell r="O55">
            <v>46986.110046675021</v>
          </cell>
          <cell r="Y55">
            <v>539344.4</v>
          </cell>
          <cell r="AA55">
            <v>5656</v>
          </cell>
          <cell r="AB55">
            <v>1968909.85</v>
          </cell>
          <cell r="AD55">
            <v>236133.0501962259</v>
          </cell>
          <cell r="AJ55">
            <v>2386361.7500000009</v>
          </cell>
          <cell r="AN55">
            <v>2413958.3909999998</v>
          </cell>
          <cell r="AO55">
            <v>0.56410520864746205</v>
          </cell>
          <cell r="AQ55">
            <v>2413958.3909999998</v>
          </cell>
          <cell r="AR55">
            <v>0.60228549440008095</v>
          </cell>
          <cell r="AS55">
            <v>850</v>
          </cell>
          <cell r="AU55">
            <v>596</v>
          </cell>
          <cell r="AV55">
            <v>3580</v>
          </cell>
          <cell r="AX55">
            <v>2616</v>
          </cell>
          <cell r="AY55">
            <v>6611</v>
          </cell>
          <cell r="BA55">
            <v>6854</v>
          </cell>
          <cell r="BB55">
            <v>29052</v>
          </cell>
          <cell r="BD55">
            <v>32477</v>
          </cell>
          <cell r="BO55">
            <v>1</v>
          </cell>
          <cell r="BQ55">
            <v>1</v>
          </cell>
          <cell r="BR55">
            <v>7</v>
          </cell>
          <cell r="BS55">
            <v>7</v>
          </cell>
          <cell r="BV55">
            <v>31</v>
          </cell>
          <cell r="BW55">
            <v>41060</v>
          </cell>
          <cell r="BX55">
            <v>31</v>
          </cell>
          <cell r="BZ55">
            <v>1.18</v>
          </cell>
          <cell r="CA55" t="str">
            <v>RUB</v>
          </cell>
          <cell r="CB55">
            <v>12300</v>
          </cell>
          <cell r="CE55">
            <v>24726</v>
          </cell>
        </row>
        <row r="56">
          <cell r="A56" t="str">
            <v>PEA</v>
          </cell>
          <cell r="B56" t="str">
            <v>10.NVS.Royal Park</v>
          </cell>
          <cell r="H56">
            <v>1554</v>
          </cell>
          <cell r="I56">
            <v>625876.64999999991</v>
          </cell>
          <cell r="K56">
            <v>115302.89978432891</v>
          </cell>
          <cell r="L56">
            <v>1552</v>
          </cell>
          <cell r="M56">
            <v>602849.35</v>
          </cell>
          <cell r="O56">
            <v>80369.092225147528</v>
          </cell>
          <cell r="Y56">
            <v>693483.89999999991</v>
          </cell>
          <cell r="AA56">
            <v>6166</v>
          </cell>
          <cell r="AB56">
            <v>2544201.35</v>
          </cell>
          <cell r="AD56">
            <v>487838.67047076521</v>
          </cell>
          <cell r="AJ56">
            <v>2573999.3499999996</v>
          </cell>
          <cell r="AN56">
            <v>2599937.0817999998</v>
          </cell>
          <cell r="AO56">
            <v>0.58159377395843903</v>
          </cell>
          <cell r="AQ56">
            <v>2599937.0817999998</v>
          </cell>
          <cell r="AR56">
            <v>0.60275818455477403</v>
          </cell>
          <cell r="AS56">
            <v>982</v>
          </cell>
          <cell r="AU56">
            <v>766</v>
          </cell>
          <cell r="AV56">
            <v>3968</v>
          </cell>
          <cell r="AX56">
            <v>2859</v>
          </cell>
          <cell r="AY56">
            <v>6944</v>
          </cell>
          <cell r="BA56">
            <v>7355</v>
          </cell>
          <cell r="BB56">
            <v>29142</v>
          </cell>
          <cell r="BD56">
            <v>30131</v>
          </cell>
          <cell r="BO56">
            <v>1</v>
          </cell>
          <cell r="BQ56">
            <v>1</v>
          </cell>
          <cell r="BR56">
            <v>7</v>
          </cell>
          <cell r="BS56">
            <v>7</v>
          </cell>
          <cell r="BV56">
            <v>31</v>
          </cell>
          <cell r="BW56">
            <v>41060</v>
          </cell>
          <cell r="BX56">
            <v>31</v>
          </cell>
          <cell r="BZ56">
            <v>1.18</v>
          </cell>
          <cell r="CA56" t="str">
            <v>RUB</v>
          </cell>
          <cell r="CB56">
            <v>15355</v>
          </cell>
          <cell r="CE56">
            <v>27329</v>
          </cell>
        </row>
        <row r="57">
          <cell r="A57" t="str">
            <v>PEA</v>
          </cell>
          <cell r="B57" t="str">
            <v>11.OMS.Ikea Mega</v>
          </cell>
          <cell r="H57">
            <v>825</v>
          </cell>
          <cell r="I57">
            <v>377905.80000000005</v>
          </cell>
          <cell r="K57">
            <v>107512.01973582778</v>
          </cell>
          <cell r="L57">
            <v>1371</v>
          </cell>
          <cell r="M57">
            <v>400297.29999999981</v>
          </cell>
          <cell r="O57">
            <v>-31396.456328189426</v>
          </cell>
          <cell r="Y57">
            <v>629369.85000000009</v>
          </cell>
          <cell r="AA57">
            <v>4738</v>
          </cell>
          <cell r="AB57">
            <v>1655608.5500000003</v>
          </cell>
          <cell r="AD57">
            <v>130904.5198051631</v>
          </cell>
          <cell r="AJ57">
            <v>2735001.6000000001</v>
          </cell>
          <cell r="AN57">
            <v>2770487.7445999999</v>
          </cell>
          <cell r="AO57">
            <v>0.52502317604059501</v>
          </cell>
          <cell r="AQ57">
            <v>2770487.7445999999</v>
          </cell>
          <cell r="AR57">
            <v>0.59132027157894995</v>
          </cell>
          <cell r="AS57">
            <v>635</v>
          </cell>
          <cell r="AU57">
            <v>756</v>
          </cell>
          <cell r="AV57">
            <v>3304</v>
          </cell>
          <cell r="AX57">
            <v>3327</v>
          </cell>
          <cell r="AY57">
            <v>12882</v>
          </cell>
          <cell r="BA57">
            <v>14045</v>
          </cell>
          <cell r="BB57">
            <v>53629</v>
          </cell>
          <cell r="BD57">
            <v>64412</v>
          </cell>
          <cell r="BO57">
            <v>1</v>
          </cell>
          <cell r="BQ57">
            <v>1</v>
          </cell>
          <cell r="BR57">
            <v>7</v>
          </cell>
          <cell r="BS57">
            <v>7</v>
          </cell>
          <cell r="BV57">
            <v>31</v>
          </cell>
          <cell r="BW57">
            <v>41060</v>
          </cell>
          <cell r="BX57">
            <v>31</v>
          </cell>
          <cell r="BZ57">
            <v>1.18</v>
          </cell>
          <cell r="CA57" t="str">
            <v>RUB</v>
          </cell>
          <cell r="CB57">
            <v>11359</v>
          </cell>
          <cell r="CE57">
            <v>23933</v>
          </cell>
        </row>
        <row r="58">
          <cell r="A58" t="str">
            <v>PEA</v>
          </cell>
          <cell r="B58" t="str">
            <v>12.PRM.Semya</v>
          </cell>
          <cell r="H58">
            <v>918</v>
          </cell>
          <cell r="I58">
            <v>419455</v>
          </cell>
          <cell r="K58">
            <v>138520.99937995797</v>
          </cell>
          <cell r="L58">
            <v>1391</v>
          </cell>
          <cell r="M58">
            <v>596851.5</v>
          </cell>
          <cell r="O58">
            <v>186214.88376817343</v>
          </cell>
          <cell r="Y58">
            <v>1062071.4500000002</v>
          </cell>
          <cell r="AA58">
            <v>5071</v>
          </cell>
          <cell r="AB58">
            <v>2060645.2499999998</v>
          </cell>
          <cell r="AD58">
            <v>514555.76394230989</v>
          </cell>
          <cell r="AJ58">
            <v>3827175.55</v>
          </cell>
          <cell r="AN58">
            <v>3888429.81</v>
          </cell>
          <cell r="AO58">
            <v>0.57733207204883097</v>
          </cell>
          <cell r="AQ58">
            <v>3888429.81</v>
          </cell>
          <cell r="AR58">
            <v>0.58021733400984898</v>
          </cell>
          <cell r="AS58">
            <v>647</v>
          </cell>
          <cell r="AU58">
            <v>1123</v>
          </cell>
          <cell r="AV58">
            <v>3494</v>
          </cell>
          <cell r="AX58">
            <v>4190</v>
          </cell>
          <cell r="AY58">
            <v>6115</v>
          </cell>
          <cell r="BA58">
            <v>8181</v>
          </cell>
          <cell r="BB58">
            <v>29213</v>
          </cell>
          <cell r="BD58">
            <v>32840</v>
          </cell>
          <cell r="BO58">
            <v>1</v>
          </cell>
          <cell r="BQ58">
            <v>1</v>
          </cell>
          <cell r="BR58">
            <v>7</v>
          </cell>
          <cell r="BS58">
            <v>7</v>
          </cell>
          <cell r="BV58">
            <v>31</v>
          </cell>
          <cell r="BW58">
            <v>41060</v>
          </cell>
          <cell r="BX58">
            <v>31</v>
          </cell>
          <cell r="BZ58">
            <v>1.18</v>
          </cell>
          <cell r="CA58" t="str">
            <v>RUB</v>
          </cell>
          <cell r="CB58">
            <v>12029</v>
          </cell>
          <cell r="CE58">
            <v>22861</v>
          </cell>
        </row>
        <row r="59">
          <cell r="A59" t="str">
            <v>PEA</v>
          </cell>
          <cell r="B59" t="str">
            <v>13.RND.Ikea Mega</v>
          </cell>
          <cell r="H59">
            <v>707</v>
          </cell>
          <cell r="I59">
            <v>259636.1</v>
          </cell>
          <cell r="K59">
            <v>54480.095480331394</v>
          </cell>
          <cell r="L59">
            <v>1231</v>
          </cell>
          <cell r="M59">
            <v>404081.86</v>
          </cell>
          <cell r="O59">
            <v>19690.53634195996</v>
          </cell>
          <cell r="Y59">
            <v>623278.79999999993</v>
          </cell>
          <cell r="AA59">
            <v>4091</v>
          </cell>
          <cell r="AB59">
            <v>1481708.26</v>
          </cell>
          <cell r="AD59">
            <v>258747.45032831162</v>
          </cell>
          <cell r="AJ59">
            <v>2947698.9500000007</v>
          </cell>
          <cell r="AN59">
            <v>2983699.3604000001</v>
          </cell>
          <cell r="AO59">
            <v>0.584370215790877</v>
          </cell>
          <cell r="AQ59">
            <v>2983699.3604000001</v>
          </cell>
          <cell r="AR59">
            <v>0.59872920892460701</v>
          </cell>
          <cell r="AS59">
            <v>486</v>
          </cell>
          <cell r="AU59">
            <v>736</v>
          </cell>
          <cell r="AV59">
            <v>2747</v>
          </cell>
          <cell r="AX59">
            <v>3430</v>
          </cell>
          <cell r="AY59">
            <v>3230</v>
          </cell>
          <cell r="BA59">
            <v>5306</v>
          </cell>
          <cell r="BB59">
            <v>17508</v>
          </cell>
          <cell r="BD59">
            <v>22817</v>
          </cell>
          <cell r="BO59">
            <v>1</v>
          </cell>
          <cell r="BQ59">
            <v>1</v>
          </cell>
          <cell r="BR59">
            <v>7</v>
          </cell>
          <cell r="BS59">
            <v>7</v>
          </cell>
          <cell r="BV59">
            <v>31</v>
          </cell>
          <cell r="BW59">
            <v>41060</v>
          </cell>
          <cell r="BX59">
            <v>31</v>
          </cell>
          <cell r="BZ59">
            <v>1.18</v>
          </cell>
          <cell r="CA59" t="str">
            <v>RUB</v>
          </cell>
          <cell r="CB59">
            <v>9687</v>
          </cell>
          <cell r="CE59">
            <v>22257</v>
          </cell>
        </row>
        <row r="60">
          <cell r="A60" t="str">
            <v>PEA</v>
          </cell>
          <cell r="B60" t="str">
            <v>14.RND.Horizont</v>
          </cell>
          <cell r="H60">
            <v>386</v>
          </cell>
          <cell r="I60">
            <v>137481.9</v>
          </cell>
          <cell r="K60">
            <v>23050.593762061966</v>
          </cell>
          <cell r="L60">
            <v>617</v>
          </cell>
          <cell r="M60">
            <v>276766.5</v>
          </cell>
          <cell r="O60">
            <v>88532.89327049331</v>
          </cell>
          <cell r="Y60">
            <v>592075.99999999988</v>
          </cell>
          <cell r="AA60">
            <v>2628</v>
          </cell>
          <cell r="AB60">
            <v>935302.10000000009</v>
          </cell>
          <cell r="AD60">
            <v>195168.40517609616</v>
          </cell>
          <cell r="AJ60">
            <v>2298274.75</v>
          </cell>
          <cell r="AN60">
            <v>2327468.8396000001</v>
          </cell>
          <cell r="AO60">
            <v>0.55457472023667198</v>
          </cell>
          <cell r="AQ60">
            <v>2327468.8396000001</v>
          </cell>
          <cell r="AR60">
            <v>0.56854123823293201</v>
          </cell>
          <cell r="AS60">
            <v>250</v>
          </cell>
          <cell r="AU60">
            <v>662</v>
          </cell>
          <cell r="AV60">
            <v>1740</v>
          </cell>
          <cell r="AX60">
            <v>2592</v>
          </cell>
          <cell r="AY60">
            <v>1273</v>
          </cell>
          <cell r="BA60">
            <v>3874</v>
          </cell>
          <cell r="BB60">
            <v>8741</v>
          </cell>
          <cell r="BD60">
            <v>15574</v>
          </cell>
          <cell r="BO60">
            <v>1</v>
          </cell>
          <cell r="BQ60">
            <v>1</v>
          </cell>
          <cell r="BR60">
            <v>7</v>
          </cell>
          <cell r="BS60">
            <v>7</v>
          </cell>
          <cell r="BV60">
            <v>31</v>
          </cell>
          <cell r="BW60">
            <v>41060</v>
          </cell>
          <cell r="BX60">
            <v>31</v>
          </cell>
          <cell r="BZ60">
            <v>1.18</v>
          </cell>
          <cell r="CA60" t="str">
            <v>RUB</v>
          </cell>
          <cell r="CB60">
            <v>8945</v>
          </cell>
          <cell r="CE60">
            <v>18348</v>
          </cell>
        </row>
        <row r="61">
          <cell r="A61" t="str">
            <v>PEA</v>
          </cell>
          <cell r="B61" t="str">
            <v>15.RYZ.Victoria Plaza</v>
          </cell>
          <cell r="H61">
            <v>418</v>
          </cell>
          <cell r="I61">
            <v>173723.74999999997</v>
          </cell>
          <cell r="K61">
            <v>29195.967892468943</v>
          </cell>
          <cell r="L61">
            <v>592</v>
          </cell>
          <cell r="M61">
            <v>228669.49999999997</v>
          </cell>
          <cell r="O61">
            <v>49181.200527018933</v>
          </cell>
          <cell r="Y61">
            <v>766517.8</v>
          </cell>
          <cell r="AA61">
            <v>2519</v>
          </cell>
          <cell r="AB61">
            <v>945444.79999999993</v>
          </cell>
          <cell r="AD61">
            <v>173114.09525650437</v>
          </cell>
          <cell r="AJ61">
            <v>3252230.9</v>
          </cell>
          <cell r="AN61">
            <v>3296722.8692000001</v>
          </cell>
          <cell r="AO61">
            <v>0.51435897435897404</v>
          </cell>
          <cell r="AQ61">
            <v>3296722.8692000001</v>
          </cell>
          <cell r="AR61">
            <v>0.52941837057643404</v>
          </cell>
          <cell r="AS61">
            <v>324</v>
          </cell>
          <cell r="AU61">
            <v>980</v>
          </cell>
          <cell r="AV61">
            <v>1852</v>
          </cell>
          <cell r="AX61">
            <v>4141</v>
          </cell>
          <cell r="AY61">
            <v>2804</v>
          </cell>
          <cell r="BA61">
            <v>6570</v>
          </cell>
          <cell r="BB61">
            <v>14934</v>
          </cell>
          <cell r="BD61">
            <v>27620</v>
          </cell>
          <cell r="BO61">
            <v>1</v>
          </cell>
          <cell r="BQ61">
            <v>1</v>
          </cell>
          <cell r="BR61">
            <v>7</v>
          </cell>
          <cell r="BS61">
            <v>7</v>
          </cell>
          <cell r="BV61">
            <v>31</v>
          </cell>
          <cell r="BW61">
            <v>41060</v>
          </cell>
          <cell r="BX61">
            <v>31</v>
          </cell>
          <cell r="BZ61">
            <v>1.18</v>
          </cell>
          <cell r="CA61" t="str">
            <v>RUB</v>
          </cell>
          <cell r="CB61">
            <v>8873</v>
          </cell>
          <cell r="CE61">
            <v>19303</v>
          </cell>
        </row>
        <row r="62">
          <cell r="A62" t="str">
            <v>PEA</v>
          </cell>
          <cell r="B62" t="str">
            <v>16.SMR.Park House</v>
          </cell>
          <cell r="H62">
            <v>625</v>
          </cell>
          <cell r="I62">
            <v>281225.14999999997</v>
          </cell>
          <cell r="K62">
            <v>77824.459914483828</v>
          </cell>
          <cell r="L62">
            <v>838</v>
          </cell>
          <cell r="M62">
            <v>344770.69999999995</v>
          </cell>
          <cell r="O62">
            <v>93757.219759167987</v>
          </cell>
          <cell r="Y62">
            <v>629595.90000000014</v>
          </cell>
          <cell r="AA62">
            <v>3312</v>
          </cell>
          <cell r="AB62">
            <v>1370124.15</v>
          </cell>
          <cell r="AD62">
            <v>363657.39767208538</v>
          </cell>
          <cell r="AJ62">
            <v>2700920.5500000003</v>
          </cell>
          <cell r="AN62">
            <v>2737212.2991999998</v>
          </cell>
          <cell r="AO62">
            <v>0.53720094137303598</v>
          </cell>
          <cell r="AQ62">
            <v>2737212.2991999998</v>
          </cell>
          <cell r="AR62">
            <v>0.55396853913238997</v>
          </cell>
          <cell r="AS62">
            <v>426</v>
          </cell>
          <cell r="AU62">
            <v>683</v>
          </cell>
          <cell r="AV62">
            <v>2224</v>
          </cell>
          <cell r="AX62">
            <v>3054</v>
          </cell>
          <cell r="AY62">
            <v>3213</v>
          </cell>
          <cell r="BA62">
            <v>4779</v>
          </cell>
          <cell r="BB62">
            <v>15004</v>
          </cell>
          <cell r="BD62">
            <v>22464</v>
          </cell>
          <cell r="BO62">
            <v>1</v>
          </cell>
          <cell r="BQ62">
            <v>1</v>
          </cell>
          <cell r="BR62">
            <v>7</v>
          </cell>
          <cell r="BS62">
            <v>7</v>
          </cell>
          <cell r="BV62">
            <v>31</v>
          </cell>
          <cell r="BW62">
            <v>41060</v>
          </cell>
          <cell r="BX62">
            <v>31</v>
          </cell>
          <cell r="BZ62">
            <v>1.18</v>
          </cell>
          <cell r="CA62" t="str">
            <v>RUB</v>
          </cell>
          <cell r="CB62">
            <v>13356</v>
          </cell>
          <cell r="CE62">
            <v>22153</v>
          </cell>
        </row>
        <row r="63">
          <cell r="A63" t="str">
            <v>PEA</v>
          </cell>
          <cell r="B63" t="str">
            <v>17.UFA.Semya</v>
          </cell>
          <cell r="H63">
            <v>953</v>
          </cell>
          <cell r="I63">
            <v>411894.5</v>
          </cell>
          <cell r="K63">
            <v>69568.229163258526</v>
          </cell>
          <cell r="L63">
            <v>1167</v>
          </cell>
          <cell r="M63">
            <v>458538.7</v>
          </cell>
          <cell r="O63">
            <v>45440.005070429514</v>
          </cell>
          <cell r="Y63">
            <v>1134832.5999999999</v>
          </cell>
          <cell r="AA63">
            <v>5875</v>
          </cell>
          <cell r="AB63">
            <v>2253087.9</v>
          </cell>
          <cell r="AD63">
            <v>247945.22867138413</v>
          </cell>
          <cell r="AJ63">
            <v>4950009.5599999987</v>
          </cell>
          <cell r="AN63">
            <v>5027714.2167999996</v>
          </cell>
          <cell r="AO63">
            <v>0.56542003512258199</v>
          </cell>
          <cell r="AQ63">
            <v>5027714.2167999996</v>
          </cell>
          <cell r="AR63">
            <v>0.58746389121129705</v>
          </cell>
          <cell r="AS63">
            <v>665</v>
          </cell>
          <cell r="AU63">
            <v>1279</v>
          </cell>
          <cell r="AV63">
            <v>3919</v>
          </cell>
          <cell r="AX63">
            <v>5686</v>
          </cell>
          <cell r="AY63">
            <v>10821</v>
          </cell>
          <cell r="BA63">
            <v>12549</v>
          </cell>
          <cell r="BB63">
            <v>52939</v>
          </cell>
          <cell r="BD63">
            <v>56520</v>
          </cell>
          <cell r="BO63">
            <v>1</v>
          </cell>
          <cell r="BQ63">
            <v>1</v>
          </cell>
          <cell r="BR63">
            <v>7</v>
          </cell>
          <cell r="BS63">
            <v>7</v>
          </cell>
          <cell r="BV63">
            <v>31</v>
          </cell>
          <cell r="BW63">
            <v>41060</v>
          </cell>
          <cell r="BX63">
            <v>31</v>
          </cell>
          <cell r="BZ63">
            <v>1.18</v>
          </cell>
          <cell r="CA63" t="str">
            <v>RUB</v>
          </cell>
          <cell r="CB63">
            <v>14332</v>
          </cell>
          <cell r="CE63">
            <v>28636</v>
          </cell>
        </row>
        <row r="64">
          <cell r="A64" t="str">
            <v>PEA</v>
          </cell>
          <cell r="B64" t="str">
            <v>18.VLM.Megatorg</v>
          </cell>
          <cell r="H64">
            <v>489</v>
          </cell>
          <cell r="I64">
            <v>213875.29999999996</v>
          </cell>
          <cell r="K64">
            <v>73458.19992850539</v>
          </cell>
          <cell r="L64">
            <v>843</v>
          </cell>
          <cell r="M64">
            <v>342202.39999999997</v>
          </cell>
          <cell r="O64">
            <v>115534.17730111843</v>
          </cell>
          <cell r="Y64">
            <v>500913.8</v>
          </cell>
          <cell r="AA64">
            <v>3275</v>
          </cell>
          <cell r="AB64">
            <v>1342272.6</v>
          </cell>
          <cell r="AD64">
            <v>398877.49606121087</v>
          </cell>
          <cell r="AJ64">
            <v>2174623.15</v>
          </cell>
          <cell r="AN64">
            <v>2202168.8758</v>
          </cell>
          <cell r="AO64">
            <v>0.55594798198564599</v>
          </cell>
          <cell r="AQ64">
            <v>2202168.8758</v>
          </cell>
          <cell r="AR64">
            <v>0.58006006190007198</v>
          </cell>
          <cell r="AS64">
            <v>344</v>
          </cell>
          <cell r="AU64">
            <v>629</v>
          </cell>
          <cell r="AV64">
            <v>2264</v>
          </cell>
          <cell r="AX64">
            <v>2610</v>
          </cell>
          <cell r="AY64">
            <v>4004</v>
          </cell>
          <cell r="BA64">
            <v>7037</v>
          </cell>
          <cell r="BB64">
            <v>20218</v>
          </cell>
          <cell r="BD64">
            <v>30856</v>
          </cell>
          <cell r="BO64">
            <v>1</v>
          </cell>
          <cell r="BQ64">
            <v>1</v>
          </cell>
          <cell r="BR64">
            <v>7</v>
          </cell>
          <cell r="BS64">
            <v>7</v>
          </cell>
          <cell r="BV64">
            <v>31</v>
          </cell>
          <cell r="BW64">
            <v>41060</v>
          </cell>
          <cell r="BX64">
            <v>31</v>
          </cell>
          <cell r="BZ64">
            <v>1.18</v>
          </cell>
          <cell r="CA64" t="str">
            <v>RUB</v>
          </cell>
          <cell r="CB64">
            <v>10546</v>
          </cell>
          <cell r="CE64">
            <v>19099</v>
          </cell>
        </row>
        <row r="65">
          <cell r="A65" t="str">
            <v>PEA</v>
          </cell>
          <cell r="B65" t="str">
            <v>19.MOS.Ikea Mega BD</v>
          </cell>
          <cell r="H65">
            <v>1714</v>
          </cell>
          <cell r="I65">
            <v>654599.85</v>
          </cell>
          <cell r="K65">
            <v>127395.31455672055</v>
          </cell>
          <cell r="L65">
            <v>2429</v>
          </cell>
          <cell r="M65">
            <v>892894.55</v>
          </cell>
          <cell r="O65">
            <v>184198.61651030614</v>
          </cell>
          <cell r="Y65">
            <v>1398935.7499999995</v>
          </cell>
          <cell r="AA65">
            <v>11197</v>
          </cell>
          <cell r="AB65">
            <v>4408690.5999999987</v>
          </cell>
          <cell r="AD65">
            <v>1090520.7046448439</v>
          </cell>
          <cell r="AJ65">
            <v>6241269.6499999994</v>
          </cell>
          <cell r="AN65">
            <v>6321124.2174000004</v>
          </cell>
          <cell r="AO65">
            <v>0.58997284322900001</v>
          </cell>
          <cell r="AQ65">
            <v>6321124.2174000004</v>
          </cell>
          <cell r="AR65">
            <v>0.59475563213864802</v>
          </cell>
          <cell r="AS65">
            <v>1043</v>
          </cell>
          <cell r="AU65">
            <v>1472</v>
          </cell>
          <cell r="AV65">
            <v>6505</v>
          </cell>
          <cell r="AX65">
            <v>6422</v>
          </cell>
          <cell r="AY65">
            <v>7731</v>
          </cell>
          <cell r="BA65">
            <v>11605</v>
          </cell>
          <cell r="BB65">
            <v>40529</v>
          </cell>
          <cell r="BD65">
            <v>50125</v>
          </cell>
          <cell r="BO65">
            <v>1</v>
          </cell>
          <cell r="BQ65">
            <v>1</v>
          </cell>
          <cell r="BR65">
            <v>7</v>
          </cell>
          <cell r="BS65">
            <v>7</v>
          </cell>
          <cell r="BV65">
            <v>31</v>
          </cell>
          <cell r="BW65">
            <v>41060</v>
          </cell>
          <cell r="BX65">
            <v>31</v>
          </cell>
          <cell r="BZ65">
            <v>1.18</v>
          </cell>
          <cell r="CA65" t="str">
            <v>RUB</v>
          </cell>
          <cell r="CB65">
            <v>22637</v>
          </cell>
          <cell r="CE65">
            <v>36062</v>
          </cell>
        </row>
        <row r="66">
          <cell r="A66" t="str">
            <v>PEA</v>
          </cell>
          <cell r="B66" t="str">
            <v>20.EKA.Ikea Mega</v>
          </cell>
          <cell r="H66">
            <v>972</v>
          </cell>
          <cell r="I66">
            <v>359481.04000000004</v>
          </cell>
          <cell r="K66">
            <v>100006.01460675738</v>
          </cell>
          <cell r="L66">
            <v>1144</v>
          </cell>
          <cell r="M66">
            <v>396873.04999999993</v>
          </cell>
          <cell r="O66">
            <v>91586.496370814755</v>
          </cell>
          <cell r="Y66">
            <v>717215.50000000012</v>
          </cell>
          <cell r="AA66">
            <v>5016</v>
          </cell>
          <cell r="AB66">
            <v>1712845.19</v>
          </cell>
          <cell r="AD66">
            <v>349948.59687174548</v>
          </cell>
          <cell r="AJ66">
            <v>3757326.75</v>
          </cell>
          <cell r="AN66">
            <v>3801652.4093999998</v>
          </cell>
          <cell r="AO66">
            <v>0.54280147608775797</v>
          </cell>
          <cell r="AQ66">
            <v>3801652.4093999998</v>
          </cell>
          <cell r="AR66">
            <v>0.55132043786193496</v>
          </cell>
          <cell r="AS66">
            <v>682</v>
          </cell>
          <cell r="AU66">
            <v>827</v>
          </cell>
          <cell r="AV66">
            <v>3323</v>
          </cell>
          <cell r="AX66">
            <v>4305</v>
          </cell>
          <cell r="AY66">
            <v>5320</v>
          </cell>
          <cell r="BA66">
            <v>7298</v>
          </cell>
          <cell r="BB66">
            <v>25090</v>
          </cell>
          <cell r="BD66">
            <v>35583</v>
          </cell>
          <cell r="BO66">
            <v>1</v>
          </cell>
          <cell r="BQ66">
            <v>1</v>
          </cell>
          <cell r="BR66">
            <v>7</v>
          </cell>
          <cell r="BS66">
            <v>7</v>
          </cell>
          <cell r="BV66">
            <v>31</v>
          </cell>
          <cell r="BW66">
            <v>41060</v>
          </cell>
          <cell r="BX66">
            <v>31</v>
          </cell>
          <cell r="BZ66">
            <v>1.18</v>
          </cell>
          <cell r="CA66" t="str">
            <v>RUB</v>
          </cell>
          <cell r="CB66">
            <v>10295</v>
          </cell>
          <cell r="CE66">
            <v>27889</v>
          </cell>
        </row>
        <row r="67">
          <cell r="A67" t="str">
            <v>PEA</v>
          </cell>
          <cell r="B67" t="str">
            <v>21.KDR.Krasnodar-City</v>
          </cell>
          <cell r="H67">
            <v>689</v>
          </cell>
          <cell r="I67">
            <v>209903.70000000004</v>
          </cell>
          <cell r="K67">
            <v>22269.960117317882</v>
          </cell>
          <cell r="L67">
            <v>1000</v>
          </cell>
          <cell r="M67">
            <v>285408.8</v>
          </cell>
          <cell r="O67">
            <v>29668.988851126553</v>
          </cell>
          <cell r="Y67">
            <v>728168.6</v>
          </cell>
          <cell r="AA67">
            <v>4022</v>
          </cell>
          <cell r="AB67">
            <v>1288216.9000000001</v>
          </cell>
          <cell r="AD67">
            <v>213442.27313347417</v>
          </cell>
          <cell r="AJ67">
            <v>2805906.2</v>
          </cell>
          <cell r="AN67">
            <v>2844400.1716</v>
          </cell>
          <cell r="AO67">
            <v>0.52253549730331095</v>
          </cell>
          <cell r="AQ67">
            <v>2844400.1716</v>
          </cell>
          <cell r="AR67">
            <v>0.52591763514858703</v>
          </cell>
          <cell r="AS67">
            <v>407</v>
          </cell>
          <cell r="AU67">
            <v>804</v>
          </cell>
          <cell r="AV67">
            <v>2384</v>
          </cell>
          <cell r="AX67">
            <v>3143</v>
          </cell>
          <cell r="AY67">
            <v>2673</v>
          </cell>
          <cell r="BA67">
            <v>7558</v>
          </cell>
          <cell r="BB67">
            <v>16014</v>
          </cell>
          <cell r="BD67">
            <v>29146</v>
          </cell>
          <cell r="BO67">
            <v>1</v>
          </cell>
          <cell r="BQ67">
            <v>1</v>
          </cell>
          <cell r="BR67">
            <v>7</v>
          </cell>
          <cell r="BS67">
            <v>7</v>
          </cell>
          <cell r="BV67">
            <v>31</v>
          </cell>
          <cell r="BW67">
            <v>41060</v>
          </cell>
          <cell r="BX67">
            <v>31</v>
          </cell>
          <cell r="BZ67">
            <v>1.18</v>
          </cell>
          <cell r="CA67" t="str">
            <v>RUB</v>
          </cell>
          <cell r="CB67">
            <v>7984</v>
          </cell>
          <cell r="CE67">
            <v>24117</v>
          </cell>
        </row>
        <row r="68">
          <cell r="A68" t="str">
            <v>PEA</v>
          </cell>
          <cell r="B68" t="str">
            <v>22.VOR.MaksiMir</v>
          </cell>
          <cell r="H68">
            <v>624</v>
          </cell>
          <cell r="I68">
            <v>150772.70000000001</v>
          </cell>
          <cell r="K68">
            <v>-40937.053325402027</v>
          </cell>
          <cell r="L68">
            <v>565</v>
          </cell>
          <cell r="M68">
            <v>149371.05000000002</v>
          </cell>
          <cell r="O68">
            <v>-18631.538299499574</v>
          </cell>
          <cell r="Y68">
            <v>334776.8</v>
          </cell>
          <cell r="AA68">
            <v>2785</v>
          </cell>
          <cell r="AB68">
            <v>819854.54999999993</v>
          </cell>
          <cell r="AD68">
            <v>6136.7220732374535</v>
          </cell>
          <cell r="AJ68">
            <v>1738682.95</v>
          </cell>
          <cell r="AN68">
            <v>1759500.3128</v>
          </cell>
          <cell r="AO68">
            <v>0.55434074648257403</v>
          </cell>
          <cell r="AQ68">
            <v>1759500.3128</v>
          </cell>
          <cell r="AR68">
            <v>0.61267044604426701</v>
          </cell>
          <cell r="AS68">
            <v>401</v>
          </cell>
          <cell r="AU68">
            <v>412</v>
          </cell>
          <cell r="AV68">
            <v>1928</v>
          </cell>
          <cell r="AX68">
            <v>2269</v>
          </cell>
          <cell r="AY68">
            <v>7816</v>
          </cell>
          <cell r="BA68">
            <v>2699</v>
          </cell>
          <cell r="BB68">
            <v>40484</v>
          </cell>
          <cell r="BD68">
            <v>12289</v>
          </cell>
          <cell r="BO68">
            <v>1</v>
          </cell>
          <cell r="BQ68">
            <v>1</v>
          </cell>
          <cell r="BR68">
            <v>7</v>
          </cell>
          <cell r="BS68">
            <v>7</v>
          </cell>
          <cell r="BV68">
            <v>31</v>
          </cell>
          <cell r="BW68">
            <v>41060</v>
          </cell>
          <cell r="BX68">
            <v>31</v>
          </cell>
          <cell r="BZ68">
            <v>1.18</v>
          </cell>
          <cell r="CA68" t="str">
            <v>RUB</v>
          </cell>
          <cell r="CB68">
            <v>5647</v>
          </cell>
          <cell r="CE68">
            <v>7380</v>
          </cell>
        </row>
        <row r="69">
          <cell r="A69" t="str">
            <v>PEA</v>
          </cell>
          <cell r="B69" t="str">
            <v>23.SPB.Akademichesky</v>
          </cell>
          <cell r="H69">
            <v>780</v>
          </cell>
          <cell r="I69">
            <v>390803.05</v>
          </cell>
          <cell r="K69">
            <v>128645.56738275682</v>
          </cell>
          <cell r="L69">
            <v>870</v>
          </cell>
          <cell r="M69">
            <v>395705.5</v>
          </cell>
          <cell r="O69">
            <v>121563.31508412265</v>
          </cell>
          <cell r="Y69">
            <v>1012261.25</v>
          </cell>
          <cell r="AA69">
            <v>3551</v>
          </cell>
          <cell r="AB69">
            <v>1667044.8499999996</v>
          </cell>
          <cell r="AD69">
            <v>472249.83053966699</v>
          </cell>
          <cell r="AJ69">
            <v>4201323.6500000004</v>
          </cell>
          <cell r="AN69">
            <v>4265965.9248000002</v>
          </cell>
          <cell r="AO69">
            <v>0.58147560555926803</v>
          </cell>
          <cell r="AQ69">
            <v>4265965.9248000002</v>
          </cell>
          <cell r="AR69">
            <v>0.583606108394359</v>
          </cell>
          <cell r="AS69">
            <v>529</v>
          </cell>
          <cell r="AU69">
            <v>985</v>
          </cell>
          <cell r="AV69">
            <v>2391</v>
          </cell>
          <cell r="AX69">
            <v>4231</v>
          </cell>
          <cell r="AY69">
            <v>6132</v>
          </cell>
          <cell r="BA69">
            <v>7293</v>
          </cell>
          <cell r="BB69">
            <v>26811</v>
          </cell>
          <cell r="BD69">
            <v>32246</v>
          </cell>
          <cell r="BO69">
            <v>1</v>
          </cell>
          <cell r="BQ69">
            <v>1</v>
          </cell>
          <cell r="BR69">
            <v>7</v>
          </cell>
          <cell r="BS69">
            <v>7</v>
          </cell>
          <cell r="BV69">
            <v>31</v>
          </cell>
          <cell r="BW69">
            <v>41060</v>
          </cell>
          <cell r="BX69">
            <v>31</v>
          </cell>
          <cell r="BZ69">
            <v>1.18</v>
          </cell>
          <cell r="CA69" t="str">
            <v>RUB</v>
          </cell>
          <cell r="CB69">
            <v>9501</v>
          </cell>
          <cell r="CE69">
            <v>26418</v>
          </cell>
        </row>
        <row r="70">
          <cell r="A70" t="str">
            <v>PEA</v>
          </cell>
          <cell r="B70" t="str">
            <v>24.SMR.Mega City</v>
          </cell>
          <cell r="H70">
            <v>1433</v>
          </cell>
          <cell r="I70">
            <v>262934.5</v>
          </cell>
          <cell r="K70">
            <v>-196259.47228985338</v>
          </cell>
          <cell r="L70">
            <v>2106</v>
          </cell>
          <cell r="M70">
            <v>341640</v>
          </cell>
          <cell r="O70">
            <v>-316337.76306048181</v>
          </cell>
          <cell r="Y70">
            <v>534819.60000000009</v>
          </cell>
          <cell r="AA70">
            <v>5176</v>
          </cell>
          <cell r="AB70">
            <v>1095735</v>
          </cell>
          <cell r="AD70">
            <v>-556854.03803161264</v>
          </cell>
          <cell r="AJ70">
            <v>2316100.5509000001</v>
          </cell>
          <cell r="AN70">
            <v>2347597.2088000001</v>
          </cell>
          <cell r="AO70">
            <v>0.49754297359633598</v>
          </cell>
          <cell r="AQ70">
            <v>2347597.2088000001</v>
          </cell>
          <cell r="AR70">
            <v>0.52171159679222701</v>
          </cell>
          <cell r="AS70">
            <v>702</v>
          </cell>
          <cell r="AU70">
            <v>604</v>
          </cell>
          <cell r="AV70">
            <v>2597</v>
          </cell>
          <cell r="AX70">
            <v>2797</v>
          </cell>
          <cell r="AY70">
            <v>4150</v>
          </cell>
          <cell r="BA70">
            <v>5277</v>
          </cell>
          <cell r="BB70">
            <v>15051</v>
          </cell>
          <cell r="BD70">
            <v>23368</v>
          </cell>
          <cell r="BO70">
            <v>1</v>
          </cell>
          <cell r="BQ70">
            <v>1</v>
          </cell>
          <cell r="BR70">
            <v>7</v>
          </cell>
          <cell r="BS70">
            <v>7</v>
          </cell>
          <cell r="BV70">
            <v>31</v>
          </cell>
          <cell r="BW70">
            <v>41060</v>
          </cell>
          <cell r="BX70">
            <v>31</v>
          </cell>
          <cell r="BZ70">
            <v>1.18</v>
          </cell>
          <cell r="CA70" t="str">
            <v>RUB</v>
          </cell>
          <cell r="CB70">
            <v>4734</v>
          </cell>
          <cell r="CE70">
            <v>23368</v>
          </cell>
        </row>
        <row r="71">
          <cell r="A71" t="str">
            <v>PEA</v>
          </cell>
          <cell r="B71" t="str">
            <v>xx.EKA.Greenwich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Y71">
            <v>483789.10000000003</v>
          </cell>
          <cell r="AA71">
            <v>0</v>
          </cell>
          <cell r="AB71">
            <v>0</v>
          </cell>
          <cell r="AD71">
            <v>0</v>
          </cell>
          <cell r="AJ71">
            <v>1987468.45</v>
          </cell>
          <cell r="AN71">
            <v>2010083.5316000001</v>
          </cell>
          <cell r="AO71">
            <v>0.55275067905097397</v>
          </cell>
          <cell r="AQ71">
            <v>2010083.5316000001</v>
          </cell>
          <cell r="AR71">
            <v>0.57972412805446205</v>
          </cell>
          <cell r="AS71">
            <v>0</v>
          </cell>
          <cell r="AU71">
            <v>561</v>
          </cell>
          <cell r="AV71">
            <v>0</v>
          </cell>
          <cell r="AX71">
            <v>2422</v>
          </cell>
          <cell r="AY71">
            <v>0</v>
          </cell>
          <cell r="BA71">
            <v>5200</v>
          </cell>
          <cell r="BB71">
            <v>0</v>
          </cell>
          <cell r="BD71">
            <v>25486</v>
          </cell>
          <cell r="BO71">
            <v>1</v>
          </cell>
          <cell r="BQ71">
            <v>1</v>
          </cell>
          <cell r="BR71">
            <v>0</v>
          </cell>
          <cell r="BS71">
            <v>0</v>
          </cell>
          <cell r="BV71">
            <v>0</v>
          </cell>
          <cell r="BW71">
            <v>41060</v>
          </cell>
          <cell r="BX71">
            <v>31</v>
          </cell>
          <cell r="BZ71">
            <v>1.18</v>
          </cell>
          <cell r="CA71" t="str">
            <v>RUB</v>
          </cell>
          <cell r="CB71">
            <v>0</v>
          </cell>
          <cell r="CE71">
            <v>24622</v>
          </cell>
        </row>
        <row r="72">
          <cell r="A72" t="str">
            <v>PEA</v>
          </cell>
          <cell r="B72" t="str">
            <v>xx.MOS.Auchan Troyka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Y72">
            <v>0</v>
          </cell>
          <cell r="AA72">
            <v>625</v>
          </cell>
          <cell r="AB72">
            <v>365645.94999999995</v>
          </cell>
          <cell r="AD72">
            <v>156346.67308335906</v>
          </cell>
          <cell r="AJ72">
            <v>0</v>
          </cell>
          <cell r="AN72">
            <v>5411199.5460999999</v>
          </cell>
          <cell r="AO72">
            <v>0.56557186957967198</v>
          </cell>
          <cell r="AQ72">
            <v>5411199.5460999999</v>
          </cell>
          <cell r="AR72">
            <v>0.55792704692807604</v>
          </cell>
          <cell r="AS72">
            <v>0</v>
          </cell>
          <cell r="AU72">
            <v>0</v>
          </cell>
          <cell r="AV72">
            <v>429</v>
          </cell>
          <cell r="AX72">
            <v>0</v>
          </cell>
          <cell r="AY72">
            <v>0</v>
          </cell>
          <cell r="BA72">
            <v>0</v>
          </cell>
          <cell r="BB72">
            <v>2695</v>
          </cell>
          <cell r="BD72">
            <v>0</v>
          </cell>
          <cell r="BO72">
            <v>1</v>
          </cell>
          <cell r="BQ72">
            <v>1</v>
          </cell>
          <cell r="BR72">
            <v>0</v>
          </cell>
          <cell r="BS72">
            <v>0</v>
          </cell>
          <cell r="BV72">
            <v>10</v>
          </cell>
          <cell r="BW72">
            <v>41060</v>
          </cell>
          <cell r="BX72">
            <v>31</v>
          </cell>
          <cell r="BZ72">
            <v>1.18</v>
          </cell>
          <cell r="CA72" t="str">
            <v>RUB</v>
          </cell>
          <cell r="CB72">
            <v>0</v>
          </cell>
          <cell r="CE72">
            <v>0</v>
          </cell>
        </row>
        <row r="73">
          <cell r="A73" t="str">
            <v>PEA</v>
          </cell>
          <cell r="B73" t="str">
            <v>xx.MOS.Domodedovskiy</v>
          </cell>
          <cell r="H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Y73">
            <v>1784582.6</v>
          </cell>
          <cell r="AA73">
            <v>2823</v>
          </cell>
          <cell r="AB73">
            <v>1050392.8499999999</v>
          </cell>
          <cell r="AD73">
            <v>237438.29446433584</v>
          </cell>
          <cell r="AJ73">
            <v>7497166.3500000006</v>
          </cell>
          <cell r="AN73">
            <v>7595273.3257999998</v>
          </cell>
          <cell r="AO73">
            <v>0.58495726495726497</v>
          </cell>
          <cell r="AQ73">
            <v>7595273.3257999998</v>
          </cell>
          <cell r="AR73">
            <v>0.565464107270505</v>
          </cell>
          <cell r="AS73">
            <v>0</v>
          </cell>
          <cell r="AU73">
            <v>1616</v>
          </cell>
          <cell r="AV73">
            <v>1651</v>
          </cell>
          <cell r="AX73">
            <v>6870</v>
          </cell>
          <cell r="AY73">
            <v>0</v>
          </cell>
          <cell r="BA73">
            <v>10406</v>
          </cell>
          <cell r="BB73">
            <v>10160</v>
          </cell>
          <cell r="BD73">
            <v>46315</v>
          </cell>
          <cell r="BO73">
            <v>1</v>
          </cell>
          <cell r="BQ73">
            <v>1</v>
          </cell>
          <cell r="BR73">
            <v>0</v>
          </cell>
          <cell r="BS73">
            <v>0</v>
          </cell>
          <cell r="BV73">
            <v>9</v>
          </cell>
          <cell r="BW73">
            <v>41060</v>
          </cell>
          <cell r="BX73">
            <v>31</v>
          </cell>
          <cell r="BZ73">
            <v>1.18</v>
          </cell>
          <cell r="CA73" t="str">
            <v>RUB</v>
          </cell>
          <cell r="CB73">
            <v>636</v>
          </cell>
          <cell r="CE73">
            <v>29119</v>
          </cell>
        </row>
        <row r="74">
          <cell r="A74" t="str">
            <v>PEA</v>
          </cell>
          <cell r="B74" t="str">
            <v>xx.MOS.Gorod 2</v>
          </cell>
          <cell r="H74">
            <v>0</v>
          </cell>
          <cell r="I74">
            <v>0</v>
          </cell>
          <cell r="K74">
            <v>0</v>
          </cell>
          <cell r="L74">
            <v>1740</v>
          </cell>
          <cell r="M74">
            <v>347794.5</v>
          </cell>
          <cell r="O74">
            <v>-264831.10738333012</v>
          </cell>
          <cell r="Y74">
            <v>528113.45559999999</v>
          </cell>
          <cell r="AA74">
            <v>7483</v>
          </cell>
          <cell r="AB74">
            <v>1772004.8699999999</v>
          </cell>
          <cell r="AD74">
            <v>-861801.79986139247</v>
          </cell>
          <cell r="AJ74">
            <v>2153784.7594000003</v>
          </cell>
          <cell r="AN74">
            <v>2172352.9544000002</v>
          </cell>
          <cell r="AO74">
            <v>0.54268928528136895</v>
          </cell>
          <cell r="AQ74">
            <v>2172352.9544000002</v>
          </cell>
          <cell r="AR74">
            <v>0.54654676307905803</v>
          </cell>
          <cell r="AS74">
            <v>0</v>
          </cell>
          <cell r="AU74">
            <v>610</v>
          </cell>
          <cell r="AV74">
            <v>3401</v>
          </cell>
          <cell r="AX74">
            <v>2319</v>
          </cell>
          <cell r="AY74">
            <v>0</v>
          </cell>
          <cell r="BA74">
            <v>3635</v>
          </cell>
          <cell r="BB74">
            <v>12452</v>
          </cell>
          <cell r="BD74">
            <v>14744</v>
          </cell>
          <cell r="BO74">
            <v>1</v>
          </cell>
          <cell r="BQ74">
            <v>1</v>
          </cell>
          <cell r="BR74">
            <v>0</v>
          </cell>
          <cell r="BS74">
            <v>3</v>
          </cell>
          <cell r="BV74">
            <v>20</v>
          </cell>
          <cell r="BW74">
            <v>41060</v>
          </cell>
          <cell r="BX74">
            <v>31</v>
          </cell>
          <cell r="BZ74">
            <v>1.18</v>
          </cell>
          <cell r="CA74" t="str">
            <v>RUB</v>
          </cell>
          <cell r="CB74">
            <v>259</v>
          </cell>
          <cell r="CE74">
            <v>20520</v>
          </cell>
        </row>
        <row r="75">
          <cell r="A75" t="str">
            <v>PEA</v>
          </cell>
          <cell r="B75" t="str">
            <v>xx.MOS.RIO Reutov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Y75">
            <v>331718.43</v>
          </cell>
          <cell r="AA75">
            <v>0</v>
          </cell>
          <cell r="AB75">
            <v>0</v>
          </cell>
          <cell r="AD75">
            <v>0</v>
          </cell>
          <cell r="AJ75">
            <v>1709420.7299999995</v>
          </cell>
          <cell r="AN75">
            <v>1728956.0718</v>
          </cell>
          <cell r="AO75">
            <v>0.54320390120374895</v>
          </cell>
          <cell r="AQ75">
            <v>1728956.0718</v>
          </cell>
          <cell r="AR75">
            <v>0.55417677850539304</v>
          </cell>
          <cell r="AS75">
            <v>0</v>
          </cell>
          <cell r="AU75">
            <v>376</v>
          </cell>
          <cell r="AV75">
            <v>0</v>
          </cell>
          <cell r="AX75">
            <v>1858</v>
          </cell>
          <cell r="AY75">
            <v>0</v>
          </cell>
          <cell r="BA75">
            <v>2957</v>
          </cell>
          <cell r="BB75">
            <v>0</v>
          </cell>
          <cell r="BD75">
            <v>13242</v>
          </cell>
          <cell r="BO75">
            <v>1</v>
          </cell>
          <cell r="BQ75">
            <v>1</v>
          </cell>
          <cell r="BR75">
            <v>0</v>
          </cell>
          <cell r="BS75">
            <v>0</v>
          </cell>
          <cell r="BV75">
            <v>0</v>
          </cell>
          <cell r="BW75">
            <v>41060</v>
          </cell>
          <cell r="BX75">
            <v>31</v>
          </cell>
          <cell r="BZ75">
            <v>1.18</v>
          </cell>
          <cell r="CA75" t="str">
            <v>RUB</v>
          </cell>
          <cell r="CB75">
            <v>0</v>
          </cell>
          <cell r="CE75">
            <v>21501</v>
          </cell>
        </row>
        <row r="76">
          <cell r="A76" t="str">
            <v>PEA</v>
          </cell>
          <cell r="B76" t="str">
            <v>xx.NND.Fantastika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Y76">
            <v>402891.95000000007</v>
          </cell>
          <cell r="AA76">
            <v>1646</v>
          </cell>
          <cell r="AB76">
            <v>525533.69999999995</v>
          </cell>
          <cell r="AD76">
            <v>22261.347372881381</v>
          </cell>
          <cell r="AJ76">
            <v>1738366.7999999996</v>
          </cell>
          <cell r="AN76">
            <v>1755662.1032</v>
          </cell>
          <cell r="AO76">
            <v>0.56916570524996402</v>
          </cell>
          <cell r="AQ76">
            <v>1755662.1032</v>
          </cell>
          <cell r="AR76">
            <v>0.58539937503441197</v>
          </cell>
          <cell r="AS76">
            <v>0</v>
          </cell>
          <cell r="AU76">
            <v>454</v>
          </cell>
          <cell r="AV76">
            <v>1141</v>
          </cell>
          <cell r="AX76">
            <v>1996</v>
          </cell>
          <cell r="AY76">
            <v>0</v>
          </cell>
          <cell r="BA76">
            <v>6851</v>
          </cell>
          <cell r="BB76">
            <v>9051</v>
          </cell>
          <cell r="BD76">
            <v>31852</v>
          </cell>
          <cell r="BO76">
            <v>1</v>
          </cell>
          <cell r="BQ76">
            <v>1</v>
          </cell>
          <cell r="BR76">
            <v>0</v>
          </cell>
          <cell r="BS76">
            <v>0</v>
          </cell>
          <cell r="BV76">
            <v>14</v>
          </cell>
          <cell r="BW76">
            <v>41060</v>
          </cell>
          <cell r="BX76">
            <v>31</v>
          </cell>
          <cell r="BZ76">
            <v>1.18</v>
          </cell>
          <cell r="CA76" t="str">
            <v>RUB</v>
          </cell>
          <cell r="CB76">
            <v>38</v>
          </cell>
          <cell r="CE76">
            <v>20321</v>
          </cell>
        </row>
        <row r="77">
          <cell r="A77" t="str">
            <v>PEA</v>
          </cell>
          <cell r="B77" t="str">
            <v>xx.NND.Respublika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Y77">
            <v>519296.55000000005</v>
          </cell>
          <cell r="AA77">
            <v>1709</v>
          </cell>
          <cell r="AB77">
            <v>535435.35</v>
          </cell>
          <cell r="AD77">
            <v>16707.397904774134</v>
          </cell>
          <cell r="AJ77">
            <v>2174885.65</v>
          </cell>
          <cell r="AN77">
            <v>2200527.2008000002</v>
          </cell>
          <cell r="AO77">
            <v>0.53073906917616198</v>
          </cell>
          <cell r="AQ77">
            <v>2200527.2008000002</v>
          </cell>
          <cell r="AR77">
            <v>0.54347417059561098</v>
          </cell>
          <cell r="AS77">
            <v>0</v>
          </cell>
          <cell r="AU77">
            <v>601</v>
          </cell>
          <cell r="AV77">
            <v>1056</v>
          </cell>
          <cell r="AX77">
            <v>2563</v>
          </cell>
          <cell r="AY77">
            <v>0</v>
          </cell>
          <cell r="BA77">
            <v>5106</v>
          </cell>
          <cell r="BB77">
            <v>8439</v>
          </cell>
          <cell r="BD77">
            <v>21410</v>
          </cell>
          <cell r="BO77">
            <v>1</v>
          </cell>
          <cell r="BQ77">
            <v>1</v>
          </cell>
          <cell r="BR77">
            <v>0</v>
          </cell>
          <cell r="BS77">
            <v>0</v>
          </cell>
          <cell r="BV77">
            <v>14</v>
          </cell>
          <cell r="BW77">
            <v>41060</v>
          </cell>
          <cell r="BX77">
            <v>31</v>
          </cell>
          <cell r="BZ77">
            <v>1.18</v>
          </cell>
          <cell r="CA77" t="str">
            <v>RUB</v>
          </cell>
          <cell r="CB77">
            <v>38</v>
          </cell>
          <cell r="CE77">
            <v>18876</v>
          </cell>
        </row>
        <row r="78">
          <cell r="A78" t="str">
            <v>PEA</v>
          </cell>
          <cell r="B78" t="str">
            <v>xx.NVS.Sibirskiy Mall</v>
          </cell>
          <cell r="H78">
            <v>0</v>
          </cell>
          <cell r="I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Y78">
            <v>368278.5</v>
          </cell>
          <cell r="AA78">
            <v>0</v>
          </cell>
          <cell r="AB78">
            <v>0</v>
          </cell>
          <cell r="AD78">
            <v>0</v>
          </cell>
          <cell r="AJ78">
            <v>1475862</v>
          </cell>
          <cell r="AN78">
            <v>1475862.0253999999</v>
          </cell>
          <cell r="AO78">
            <v>0.54731829995584802</v>
          </cell>
          <cell r="AQ78">
            <v>1475862.0253999999</v>
          </cell>
          <cell r="AR78">
            <v>0.63816727012536201</v>
          </cell>
          <cell r="AS78">
            <v>0</v>
          </cell>
          <cell r="AU78">
            <v>372</v>
          </cell>
          <cell r="AV78">
            <v>0</v>
          </cell>
          <cell r="AX78">
            <v>1580</v>
          </cell>
          <cell r="AY78">
            <v>0</v>
          </cell>
          <cell r="BA78">
            <v>5444</v>
          </cell>
          <cell r="BB78">
            <v>0</v>
          </cell>
          <cell r="BD78">
            <v>22703</v>
          </cell>
          <cell r="BO78">
            <v>1</v>
          </cell>
          <cell r="BQ78">
            <v>1</v>
          </cell>
          <cell r="BR78">
            <v>0</v>
          </cell>
          <cell r="BS78">
            <v>0</v>
          </cell>
          <cell r="BV78">
            <v>0</v>
          </cell>
          <cell r="BW78">
            <v>41060</v>
          </cell>
          <cell r="BX78">
            <v>31</v>
          </cell>
          <cell r="BZ78">
            <v>1.18</v>
          </cell>
          <cell r="CA78" t="str">
            <v>RUB</v>
          </cell>
          <cell r="CB78">
            <v>0</v>
          </cell>
          <cell r="CE78">
            <v>19398</v>
          </cell>
        </row>
        <row r="79">
          <cell r="A79" t="str">
            <v>PEA</v>
          </cell>
          <cell r="B79" t="str">
            <v>xx.SPB.Atmosphera</v>
          </cell>
          <cell r="H79">
            <v>5</v>
          </cell>
          <cell r="I79">
            <v>1846.15</v>
          </cell>
          <cell r="K79">
            <v>343.68449830508484</v>
          </cell>
          <cell r="L79">
            <v>1159</v>
          </cell>
          <cell r="M79">
            <v>577728.85</v>
          </cell>
          <cell r="O79">
            <v>228194.22203898305</v>
          </cell>
          <cell r="Y79">
            <v>782719.55</v>
          </cell>
          <cell r="AA79">
            <v>3831</v>
          </cell>
          <cell r="AB79">
            <v>1870408.0999999996</v>
          </cell>
          <cell r="AD79">
            <v>662149.1981694916</v>
          </cell>
          <cell r="AJ79">
            <v>3642027.9000000004</v>
          </cell>
          <cell r="AN79">
            <v>3642027.9802000001</v>
          </cell>
          <cell r="AO79">
            <v>0.58495726495726497</v>
          </cell>
          <cell r="AQ79">
            <v>3642027.9802000001</v>
          </cell>
          <cell r="AR79">
            <v>0.56276826834530003</v>
          </cell>
          <cell r="AS79">
            <v>4</v>
          </cell>
          <cell r="AU79">
            <v>826</v>
          </cell>
          <cell r="AV79">
            <v>2691</v>
          </cell>
          <cell r="AX79">
            <v>3754</v>
          </cell>
          <cell r="AY79">
            <v>3</v>
          </cell>
          <cell r="BA79">
            <v>5507</v>
          </cell>
          <cell r="BB79">
            <v>19287</v>
          </cell>
          <cell r="BD79">
            <v>23692</v>
          </cell>
          <cell r="BO79">
            <v>1</v>
          </cell>
          <cell r="BQ79">
            <v>1</v>
          </cell>
          <cell r="BR79">
            <v>1</v>
          </cell>
          <cell r="BS79">
            <v>7</v>
          </cell>
          <cell r="BV79">
            <v>25</v>
          </cell>
          <cell r="BW79">
            <v>41060</v>
          </cell>
          <cell r="BX79">
            <v>31</v>
          </cell>
          <cell r="BZ79">
            <v>1.18</v>
          </cell>
          <cell r="CA79" t="str">
            <v>RUB</v>
          </cell>
          <cell r="CB79">
            <v>1</v>
          </cell>
          <cell r="CE79">
            <v>17256</v>
          </cell>
        </row>
        <row r="80">
          <cell r="A80" t="str">
            <v>PEA</v>
          </cell>
          <cell r="B80" t="str">
            <v>xx.SPB.Caroussel</v>
          </cell>
          <cell r="H80">
            <v>0</v>
          </cell>
          <cell r="I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Y80">
            <v>1331470.8999999994</v>
          </cell>
          <cell r="AA80">
            <v>0</v>
          </cell>
          <cell r="AB80">
            <v>0</v>
          </cell>
          <cell r="AD80">
            <v>0</v>
          </cell>
          <cell r="AJ80">
            <v>5361104.5399999991</v>
          </cell>
          <cell r="AN80">
            <v>5451349.3090000004</v>
          </cell>
          <cell r="AO80">
            <v>0.53573454467942505</v>
          </cell>
          <cell r="AQ80">
            <v>5451349.3090000004</v>
          </cell>
          <cell r="AR80">
            <v>0.55077652982678404</v>
          </cell>
          <cell r="AS80">
            <v>0</v>
          </cell>
          <cell r="AU80">
            <v>1378</v>
          </cell>
          <cell r="AV80">
            <v>0</v>
          </cell>
          <cell r="AX80">
            <v>5204</v>
          </cell>
          <cell r="AY80">
            <v>0</v>
          </cell>
          <cell r="BA80">
            <v>8717</v>
          </cell>
          <cell r="BB80">
            <v>0</v>
          </cell>
          <cell r="BD80">
            <v>30592</v>
          </cell>
          <cell r="BO80">
            <v>1</v>
          </cell>
          <cell r="BQ80">
            <v>1</v>
          </cell>
          <cell r="BR80">
            <v>0</v>
          </cell>
          <cell r="BS80">
            <v>0</v>
          </cell>
          <cell r="BV80">
            <v>0</v>
          </cell>
          <cell r="BW80">
            <v>41060</v>
          </cell>
          <cell r="BX80">
            <v>31</v>
          </cell>
          <cell r="BZ80">
            <v>1.18</v>
          </cell>
          <cell r="CA80" t="str">
            <v>RUB</v>
          </cell>
          <cell r="CB80">
            <v>0</v>
          </cell>
          <cell r="CE80">
            <v>32370</v>
          </cell>
        </row>
        <row r="81">
          <cell r="A81" t="str">
            <v>PEA</v>
          </cell>
          <cell r="B81" t="str">
            <v>xx.SPB.Grand Canyon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Y81">
            <v>1109289.3999999997</v>
          </cell>
          <cell r="AA81">
            <v>0</v>
          </cell>
          <cell r="AB81">
            <v>0</v>
          </cell>
          <cell r="AD81">
            <v>0</v>
          </cell>
          <cell r="AJ81">
            <v>4549468.5</v>
          </cell>
          <cell r="AN81">
            <v>4621373.4287999999</v>
          </cell>
          <cell r="AO81">
            <v>0.55171532703249504</v>
          </cell>
          <cell r="AQ81">
            <v>4621373.4287999999</v>
          </cell>
          <cell r="AR81">
            <v>0.55830805275833395</v>
          </cell>
          <cell r="AS81">
            <v>0</v>
          </cell>
          <cell r="AU81">
            <v>1147</v>
          </cell>
          <cell r="AV81">
            <v>0</v>
          </cell>
          <cell r="AX81">
            <v>4942</v>
          </cell>
          <cell r="AY81">
            <v>0</v>
          </cell>
          <cell r="BA81">
            <v>5031</v>
          </cell>
          <cell r="BB81">
            <v>0</v>
          </cell>
          <cell r="BD81">
            <v>21762</v>
          </cell>
          <cell r="BO81">
            <v>1</v>
          </cell>
          <cell r="BQ81">
            <v>1</v>
          </cell>
          <cell r="BR81">
            <v>0</v>
          </cell>
          <cell r="BS81">
            <v>0</v>
          </cell>
          <cell r="BV81">
            <v>0</v>
          </cell>
          <cell r="BW81">
            <v>41060</v>
          </cell>
          <cell r="BX81">
            <v>31</v>
          </cell>
          <cell r="BZ81">
            <v>1.18</v>
          </cell>
          <cell r="CA81" t="str">
            <v>RUB</v>
          </cell>
          <cell r="CB81">
            <v>0</v>
          </cell>
          <cell r="CE81">
            <v>33534</v>
          </cell>
        </row>
        <row r="82">
          <cell r="A82" t="str">
            <v>PEA</v>
          </cell>
          <cell r="B82" t="str">
            <v>xx.SPB.June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Y82">
            <v>1231173.8999999997</v>
          </cell>
          <cell r="AA82">
            <v>2486</v>
          </cell>
          <cell r="AB82">
            <v>1009629.84</v>
          </cell>
          <cell r="AD82">
            <v>221762.35970755853</v>
          </cell>
          <cell r="AJ82">
            <v>5132010.45</v>
          </cell>
          <cell r="AN82">
            <v>5203906.1056000004</v>
          </cell>
          <cell r="AO82">
            <v>0.54461538461538495</v>
          </cell>
          <cell r="AQ82">
            <v>5203906.1056000004</v>
          </cell>
          <cell r="AR82">
            <v>0.545897657062141</v>
          </cell>
          <cell r="AS82">
            <v>0</v>
          </cell>
          <cell r="AU82">
            <v>1272</v>
          </cell>
          <cell r="AV82">
            <v>1565</v>
          </cell>
          <cell r="AX82">
            <v>5338</v>
          </cell>
          <cell r="AY82">
            <v>0</v>
          </cell>
          <cell r="BA82">
            <v>10380</v>
          </cell>
          <cell r="BB82">
            <v>15067</v>
          </cell>
          <cell r="BD82">
            <v>43730</v>
          </cell>
          <cell r="BO82">
            <v>1</v>
          </cell>
          <cell r="BQ82">
            <v>1</v>
          </cell>
          <cell r="BR82">
            <v>0</v>
          </cell>
          <cell r="BS82">
            <v>0</v>
          </cell>
          <cell r="BV82">
            <v>11</v>
          </cell>
          <cell r="BW82">
            <v>41060</v>
          </cell>
          <cell r="BX82">
            <v>31</v>
          </cell>
          <cell r="BZ82">
            <v>1.18</v>
          </cell>
          <cell r="CA82" t="str">
            <v>RUB</v>
          </cell>
          <cell r="CB82">
            <v>0</v>
          </cell>
          <cell r="CE82">
            <v>32593</v>
          </cell>
        </row>
        <row r="83">
          <cell r="A83" t="str">
            <v>PEA</v>
          </cell>
          <cell r="B83" t="str">
            <v>xx.SPB.South Pole</v>
          </cell>
          <cell r="H83">
            <v>0</v>
          </cell>
          <cell r="I83">
            <v>0</v>
          </cell>
          <cell r="K83">
            <v>0</v>
          </cell>
          <cell r="L83">
            <v>193</v>
          </cell>
          <cell r="M83">
            <v>104902</v>
          </cell>
          <cell r="O83">
            <v>38569.866034657607</v>
          </cell>
          <cell r="Y83">
            <v>1180430.5499999998</v>
          </cell>
          <cell r="AA83">
            <v>2983</v>
          </cell>
          <cell r="AB83">
            <v>1347079.4</v>
          </cell>
          <cell r="AD83">
            <v>271675.72017652029</v>
          </cell>
          <cell r="AJ83">
            <v>5005034.2</v>
          </cell>
          <cell r="AN83">
            <v>5079093.5762</v>
          </cell>
          <cell r="AO83">
            <v>0.58495726495726497</v>
          </cell>
          <cell r="AQ83">
            <v>5079093.5762</v>
          </cell>
          <cell r="AR83">
            <v>0.56785353785206705</v>
          </cell>
          <cell r="AS83">
            <v>0</v>
          </cell>
          <cell r="AU83">
            <v>1199</v>
          </cell>
          <cell r="AV83">
            <v>2090</v>
          </cell>
          <cell r="AX83">
            <v>5151</v>
          </cell>
          <cell r="AY83">
            <v>0</v>
          </cell>
          <cell r="BA83">
            <v>16648</v>
          </cell>
          <cell r="BB83">
            <v>34248</v>
          </cell>
          <cell r="BD83">
            <v>71400</v>
          </cell>
          <cell r="BO83">
            <v>1</v>
          </cell>
          <cell r="BQ83">
            <v>1</v>
          </cell>
          <cell r="BR83">
            <v>0</v>
          </cell>
          <cell r="BS83">
            <v>3</v>
          </cell>
          <cell r="BV83">
            <v>20</v>
          </cell>
          <cell r="BW83">
            <v>41060</v>
          </cell>
          <cell r="BX83">
            <v>31</v>
          </cell>
          <cell r="BZ83">
            <v>1.18</v>
          </cell>
          <cell r="CA83" t="str">
            <v>RUB</v>
          </cell>
          <cell r="CB83">
            <v>0</v>
          </cell>
          <cell r="CE83">
            <v>25570</v>
          </cell>
        </row>
        <row r="84">
          <cell r="A84" t="str">
            <v>PEA</v>
          </cell>
          <cell r="B84" t="str">
            <v>xx.SPB.Warsaw Express</v>
          </cell>
          <cell r="H84">
            <v>2739</v>
          </cell>
          <cell r="I84">
            <v>414236.21570000018</v>
          </cell>
          <cell r="K84">
            <v>-431316.54055349197</v>
          </cell>
          <cell r="L84">
            <v>5689</v>
          </cell>
          <cell r="M84">
            <v>969194.74000000022</v>
          </cell>
          <cell r="O84">
            <v>-826373.31348792417</v>
          </cell>
          <cell r="Y84">
            <v>812160.15329999989</v>
          </cell>
          <cell r="AA84">
            <v>13976</v>
          </cell>
          <cell r="AB84">
            <v>2998444.8957000002</v>
          </cell>
          <cell r="AD84">
            <v>-1385625.2715703589</v>
          </cell>
          <cell r="AJ84">
            <v>3968244.603300001</v>
          </cell>
          <cell r="AN84">
            <v>4028038.1469999999</v>
          </cell>
          <cell r="AO84">
            <v>0.55786874903521599</v>
          </cell>
          <cell r="AQ84">
            <v>4028038.1469999999</v>
          </cell>
          <cell r="AR84">
            <v>0.56202601925606399</v>
          </cell>
          <cell r="AS84">
            <v>715</v>
          </cell>
          <cell r="AU84">
            <v>846</v>
          </cell>
          <cell r="AV84">
            <v>5232</v>
          </cell>
          <cell r="AX84">
            <v>3820</v>
          </cell>
          <cell r="AY84">
            <v>2438</v>
          </cell>
          <cell r="BA84">
            <v>3969</v>
          </cell>
          <cell r="BB84">
            <v>17216</v>
          </cell>
          <cell r="BD84">
            <v>17999</v>
          </cell>
          <cell r="BO84">
            <v>1</v>
          </cell>
          <cell r="BQ84">
            <v>1</v>
          </cell>
          <cell r="BR84">
            <v>3</v>
          </cell>
          <cell r="BS84">
            <v>7</v>
          </cell>
          <cell r="BV84">
            <v>27</v>
          </cell>
          <cell r="BW84">
            <v>41060</v>
          </cell>
          <cell r="BX84">
            <v>31</v>
          </cell>
          <cell r="BZ84">
            <v>1.18</v>
          </cell>
          <cell r="CA84" t="str">
            <v>RUB</v>
          </cell>
          <cell r="CB84">
            <v>0</v>
          </cell>
          <cell r="CE84">
            <v>30754</v>
          </cell>
        </row>
        <row r="85">
          <cell r="A85" t="str">
            <v>PEA</v>
          </cell>
          <cell r="B85" t="str">
            <v>xx.UFA.Shatlyk Lux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  <cell r="Y85">
            <v>546041.40000000014</v>
          </cell>
          <cell r="AA85">
            <v>0</v>
          </cell>
          <cell r="AB85">
            <v>0</v>
          </cell>
          <cell r="AD85">
            <v>0</v>
          </cell>
          <cell r="AJ85">
            <v>2321283.2000000011</v>
          </cell>
          <cell r="AN85">
            <v>2356611.1107999999</v>
          </cell>
          <cell r="AO85">
            <v>0.51460208231096005</v>
          </cell>
          <cell r="AQ85">
            <v>2356611.1107999999</v>
          </cell>
          <cell r="AR85">
            <v>0.55355967825389596</v>
          </cell>
          <cell r="AS85">
            <v>0</v>
          </cell>
          <cell r="AU85">
            <v>597</v>
          </cell>
          <cell r="AV85">
            <v>0</v>
          </cell>
          <cell r="AX85">
            <v>2804</v>
          </cell>
          <cell r="AY85">
            <v>0</v>
          </cell>
          <cell r="BA85">
            <v>4530</v>
          </cell>
          <cell r="BB85">
            <v>166</v>
          </cell>
          <cell r="BD85">
            <v>19607</v>
          </cell>
          <cell r="BO85">
            <v>1</v>
          </cell>
          <cell r="BQ85">
            <v>1</v>
          </cell>
          <cell r="BR85">
            <v>0</v>
          </cell>
          <cell r="BS85">
            <v>0</v>
          </cell>
          <cell r="BV85">
            <v>0</v>
          </cell>
          <cell r="BW85">
            <v>41060</v>
          </cell>
          <cell r="BX85">
            <v>31</v>
          </cell>
          <cell r="BZ85">
            <v>1.18</v>
          </cell>
          <cell r="CA85" t="str">
            <v>RUB</v>
          </cell>
          <cell r="CB85">
            <v>0</v>
          </cell>
          <cell r="CE85">
            <v>16802</v>
          </cell>
        </row>
        <row r="86">
          <cell r="A86" t="str">
            <v>PEA</v>
          </cell>
          <cell r="B86" t="str">
            <v>xx.VOR.Magnit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Y86">
            <v>397002.6</v>
          </cell>
          <cell r="AA86">
            <v>0</v>
          </cell>
          <cell r="AB86">
            <v>0</v>
          </cell>
          <cell r="AD86">
            <v>0</v>
          </cell>
          <cell r="AJ86">
            <v>1804147.6999999997</v>
          </cell>
          <cell r="AN86">
            <v>1828346.6458000001</v>
          </cell>
          <cell r="AO86">
            <v>0.53845378061490401</v>
          </cell>
          <cell r="AQ86">
            <v>1828346.6458000001</v>
          </cell>
          <cell r="AR86">
            <v>0.59979025503167605</v>
          </cell>
          <cell r="AS86">
            <v>0</v>
          </cell>
          <cell r="AU86">
            <v>496</v>
          </cell>
          <cell r="AV86">
            <v>0</v>
          </cell>
          <cell r="AX86">
            <v>2226</v>
          </cell>
          <cell r="AY86">
            <v>0</v>
          </cell>
          <cell r="BA86">
            <v>2553</v>
          </cell>
          <cell r="BB86">
            <v>0</v>
          </cell>
          <cell r="BD86">
            <v>11617</v>
          </cell>
          <cell r="BO86">
            <v>1</v>
          </cell>
          <cell r="BQ86">
            <v>1</v>
          </cell>
          <cell r="BR86">
            <v>0</v>
          </cell>
          <cell r="BS86">
            <v>0</v>
          </cell>
          <cell r="BV86">
            <v>0</v>
          </cell>
          <cell r="BW86">
            <v>41060</v>
          </cell>
          <cell r="BX86">
            <v>31</v>
          </cell>
          <cell r="BZ86">
            <v>1.18</v>
          </cell>
          <cell r="CA86" t="str">
            <v>RUB</v>
          </cell>
          <cell r="CB86">
            <v>0</v>
          </cell>
          <cell r="CE86">
            <v>20993</v>
          </cell>
        </row>
        <row r="87">
          <cell r="A87" t="str">
            <v>RIS</v>
          </cell>
          <cell r="B87" t="str">
            <v>01.MOS.Metropolis</v>
          </cell>
          <cell r="H87">
            <v>2773</v>
          </cell>
          <cell r="I87">
            <v>4380607.2000000011</v>
          </cell>
          <cell r="K87">
            <v>2075615.9048457637</v>
          </cell>
          <cell r="L87">
            <v>3497</v>
          </cell>
          <cell r="M87">
            <v>5516939.8500000006</v>
          </cell>
          <cell r="O87">
            <v>2688929.2827135595</v>
          </cell>
          <cell r="Y87">
            <v>4545589</v>
          </cell>
          <cell r="AA87">
            <v>13461</v>
          </cell>
          <cell r="AB87">
            <v>20382316.450000003</v>
          </cell>
          <cell r="AD87">
            <v>9306705.1081084777</v>
          </cell>
          <cell r="AJ87">
            <v>19015898.749900002</v>
          </cell>
          <cell r="AN87">
            <v>19018397.302999999</v>
          </cell>
          <cell r="AO87">
            <v>0.58986978101837195</v>
          </cell>
          <cell r="AQ87">
            <v>19018397.302999999</v>
          </cell>
          <cell r="AR87">
            <v>0.63770120746630599</v>
          </cell>
          <cell r="AS87">
            <v>2150</v>
          </cell>
          <cell r="AU87">
            <v>1942</v>
          </cell>
          <cell r="AV87">
            <v>10371</v>
          </cell>
          <cell r="AX87">
            <v>7879</v>
          </cell>
          <cell r="AY87">
            <v>24644</v>
          </cell>
          <cell r="BA87">
            <v>29430</v>
          </cell>
          <cell r="BB87">
            <v>97026</v>
          </cell>
          <cell r="BD87">
            <v>127708</v>
          </cell>
          <cell r="BO87">
            <v>1.0000000000000007</v>
          </cell>
          <cell r="BQ87">
            <v>1</v>
          </cell>
          <cell r="BR87">
            <v>7</v>
          </cell>
          <cell r="BS87">
            <v>7</v>
          </cell>
          <cell r="BV87">
            <v>31</v>
          </cell>
          <cell r="BW87">
            <v>41060</v>
          </cell>
          <cell r="BX87">
            <v>31</v>
          </cell>
          <cell r="BZ87">
            <v>1.18</v>
          </cell>
          <cell r="CA87" t="str">
            <v>RUB</v>
          </cell>
          <cell r="CB87">
            <v>22524</v>
          </cell>
          <cell r="CE87">
            <v>25834</v>
          </cell>
        </row>
        <row r="88">
          <cell r="A88" t="str">
            <v>RIS</v>
          </cell>
          <cell r="B88" t="str">
            <v>02.MOS.Roctokino</v>
          </cell>
          <cell r="H88">
            <v>1159</v>
          </cell>
          <cell r="I88">
            <v>1717670.05</v>
          </cell>
          <cell r="K88">
            <v>826607.77527118684</v>
          </cell>
          <cell r="L88">
            <v>1527</v>
          </cell>
          <cell r="M88">
            <v>2378319.02</v>
          </cell>
          <cell r="O88">
            <v>1157549.2491983054</v>
          </cell>
          <cell r="Y88">
            <v>1408032.5</v>
          </cell>
          <cell r="AA88">
            <v>5749</v>
          </cell>
          <cell r="AB88">
            <v>8458337.5700000003</v>
          </cell>
          <cell r="AD88">
            <v>3900385.2746966113</v>
          </cell>
          <cell r="AJ88">
            <v>6644237.5999999987</v>
          </cell>
          <cell r="AN88">
            <v>6644237.5521999998</v>
          </cell>
          <cell r="AO88">
            <v>0.58986978101837195</v>
          </cell>
          <cell r="AQ88">
            <v>6644237.5521999998</v>
          </cell>
          <cell r="AR88">
            <v>0.64080567422484103</v>
          </cell>
          <cell r="AS88">
            <v>883</v>
          </cell>
          <cell r="AU88">
            <v>623</v>
          </cell>
          <cell r="AV88">
            <v>4526</v>
          </cell>
          <cell r="AX88">
            <v>3033</v>
          </cell>
          <cell r="AY88">
            <v>13044</v>
          </cell>
          <cell r="BA88">
            <v>14876</v>
          </cell>
          <cell r="BB88">
            <v>69359</v>
          </cell>
          <cell r="BD88">
            <v>69473</v>
          </cell>
          <cell r="BO88">
            <v>1.0000000000000007</v>
          </cell>
          <cell r="BQ88">
            <v>1</v>
          </cell>
          <cell r="BR88">
            <v>7</v>
          </cell>
          <cell r="BS88">
            <v>7</v>
          </cell>
          <cell r="BV88">
            <v>31</v>
          </cell>
          <cell r="BW88">
            <v>41060</v>
          </cell>
          <cell r="BX88">
            <v>31</v>
          </cell>
          <cell r="BZ88">
            <v>1.18</v>
          </cell>
          <cell r="CA88" t="str">
            <v>RUB</v>
          </cell>
          <cell r="CB88">
            <v>11789</v>
          </cell>
          <cell r="CE88">
            <v>14843</v>
          </cell>
        </row>
        <row r="89">
          <cell r="A89" t="str">
            <v>RIS</v>
          </cell>
          <cell r="B89" t="str">
            <v>03.MOS.Okhotny Ryad</v>
          </cell>
          <cell r="H89">
            <v>2475</v>
          </cell>
          <cell r="I89">
            <v>3751424.8000000007</v>
          </cell>
          <cell r="K89">
            <v>1942008.5945559344</v>
          </cell>
          <cell r="L89">
            <v>3172</v>
          </cell>
          <cell r="M89">
            <v>4908172.1500000004</v>
          </cell>
          <cell r="O89">
            <v>2584537.3789423723</v>
          </cell>
          <cell r="Y89">
            <v>3333548.9499999983</v>
          </cell>
          <cell r="AA89">
            <v>11624</v>
          </cell>
          <cell r="AB89">
            <v>17233320.449999999</v>
          </cell>
          <cell r="AD89">
            <v>8775647.9120355956</v>
          </cell>
          <cell r="AJ89">
            <v>13897064.850000001</v>
          </cell>
          <cell r="AN89">
            <v>13897064.7182</v>
          </cell>
          <cell r="AO89">
            <v>0.58986978101837195</v>
          </cell>
          <cell r="AQ89">
            <v>13897064.7182</v>
          </cell>
          <cell r="AR89">
            <v>0.60944804793489504</v>
          </cell>
          <cell r="AS89">
            <v>1890</v>
          </cell>
          <cell r="AU89">
            <v>1416</v>
          </cell>
          <cell r="AV89">
            <v>8863</v>
          </cell>
          <cell r="AX89">
            <v>5887</v>
          </cell>
          <cell r="AY89">
            <v>15318</v>
          </cell>
          <cell r="BA89">
            <v>15500</v>
          </cell>
          <cell r="BB89">
            <v>75207</v>
          </cell>
          <cell r="BD89">
            <v>55220</v>
          </cell>
          <cell r="BO89">
            <v>1.0000000000000007</v>
          </cell>
          <cell r="BQ89">
            <v>1</v>
          </cell>
          <cell r="BR89">
            <v>7</v>
          </cell>
          <cell r="BS89">
            <v>7</v>
          </cell>
          <cell r="BV89">
            <v>31</v>
          </cell>
          <cell r="BW89">
            <v>41060</v>
          </cell>
          <cell r="BX89">
            <v>31</v>
          </cell>
          <cell r="BZ89">
            <v>1.18</v>
          </cell>
          <cell r="CA89" t="str">
            <v>RUB</v>
          </cell>
          <cell r="CB89">
            <v>21034</v>
          </cell>
          <cell r="CE89">
            <v>21465</v>
          </cell>
        </row>
        <row r="90">
          <cell r="A90" t="str">
            <v>RIS</v>
          </cell>
          <cell r="B90" t="str">
            <v>04.MOS.Gorod 2</v>
          </cell>
          <cell r="H90">
            <v>304</v>
          </cell>
          <cell r="I90">
            <v>493988.75</v>
          </cell>
          <cell r="K90">
            <v>282011.01799830515</v>
          </cell>
          <cell r="L90">
            <v>347</v>
          </cell>
          <cell r="M90">
            <v>555460.69999999995</v>
          </cell>
          <cell r="O90">
            <v>313432.896679661</v>
          </cell>
          <cell r="Y90">
            <v>413652.15</v>
          </cell>
          <cell r="AA90">
            <v>1565</v>
          </cell>
          <cell r="AB90">
            <v>2159305.1499999994</v>
          </cell>
          <cell r="AD90">
            <v>1097829.1674440675</v>
          </cell>
          <cell r="AJ90">
            <v>2024790.8499999996</v>
          </cell>
          <cell r="AN90">
            <v>2024790.8156000001</v>
          </cell>
          <cell r="AO90">
            <v>0.56999999999999995</v>
          </cell>
          <cell r="AQ90">
            <v>2024790.8156000001</v>
          </cell>
          <cell r="AR90">
            <v>0.60594403931796004</v>
          </cell>
          <cell r="AS90">
            <v>237</v>
          </cell>
          <cell r="AU90">
            <v>170</v>
          </cell>
          <cell r="AV90">
            <v>1211</v>
          </cell>
          <cell r="AX90">
            <v>986</v>
          </cell>
          <cell r="AY90">
            <v>3142</v>
          </cell>
          <cell r="BA90">
            <v>2934</v>
          </cell>
          <cell r="BB90">
            <v>15284</v>
          </cell>
          <cell r="BD90">
            <v>14367</v>
          </cell>
          <cell r="BO90">
            <v>1.0000000000000007</v>
          </cell>
          <cell r="BQ90">
            <v>1</v>
          </cell>
          <cell r="BR90">
            <v>7</v>
          </cell>
          <cell r="BS90">
            <v>7</v>
          </cell>
          <cell r="BV90">
            <v>31</v>
          </cell>
          <cell r="BW90">
            <v>41060</v>
          </cell>
          <cell r="BX90">
            <v>31</v>
          </cell>
          <cell r="BZ90">
            <v>1.18</v>
          </cell>
          <cell r="CA90" t="str">
            <v>RUB</v>
          </cell>
          <cell r="CB90">
            <v>7565</v>
          </cell>
          <cell r="CE90">
            <v>5963</v>
          </cell>
        </row>
        <row r="91">
          <cell r="A91" t="str">
            <v>RIS</v>
          </cell>
          <cell r="B91" t="str">
            <v>05.MOS.Evropeisky</v>
          </cell>
          <cell r="H91">
            <v>2307</v>
          </cell>
          <cell r="I91">
            <v>3436441.56</v>
          </cell>
          <cell r="K91">
            <v>1785771.1329610175</v>
          </cell>
          <cell r="L91">
            <v>2940</v>
          </cell>
          <cell r="M91">
            <v>4557036.4000000004</v>
          </cell>
          <cell r="O91">
            <v>2414743.2613254231</v>
          </cell>
          <cell r="Y91">
            <v>4836649</v>
          </cell>
          <cell r="AA91">
            <v>11367</v>
          </cell>
          <cell r="AB91">
            <v>17017715.960000005</v>
          </cell>
          <cell r="AD91">
            <v>8683738.2609186452</v>
          </cell>
          <cell r="AJ91">
            <v>10406327.050000003</v>
          </cell>
          <cell r="AN91">
            <v>22959646.197999999</v>
          </cell>
          <cell r="AO91">
            <v>0.58986978101837195</v>
          </cell>
          <cell r="AQ91">
            <v>22959646.197999999</v>
          </cell>
          <cell r="AR91">
            <v>0.599851984667784</v>
          </cell>
          <cell r="AS91">
            <v>1810</v>
          </cell>
          <cell r="AU91">
            <v>1837</v>
          </cell>
          <cell r="AV91">
            <v>8620</v>
          </cell>
          <cell r="AX91">
            <v>3987</v>
          </cell>
          <cell r="AY91">
            <v>25326</v>
          </cell>
          <cell r="BA91">
            <v>32246</v>
          </cell>
          <cell r="BB91">
            <v>121157</v>
          </cell>
          <cell r="BD91">
            <v>57805</v>
          </cell>
          <cell r="BO91">
            <v>1.0000000000000007</v>
          </cell>
          <cell r="BQ91">
            <v>1</v>
          </cell>
          <cell r="BR91">
            <v>7</v>
          </cell>
          <cell r="BS91">
            <v>7</v>
          </cell>
          <cell r="BV91">
            <v>31</v>
          </cell>
          <cell r="BW91">
            <v>41060</v>
          </cell>
          <cell r="BX91">
            <v>31</v>
          </cell>
          <cell r="BZ91">
            <v>1.18</v>
          </cell>
          <cell r="CA91" t="str">
            <v>RUB</v>
          </cell>
          <cell r="CB91">
            <v>20936</v>
          </cell>
          <cell r="CE91">
            <v>17392</v>
          </cell>
        </row>
        <row r="92">
          <cell r="A92" t="str">
            <v>RIS</v>
          </cell>
          <cell r="B92" t="str">
            <v>06.MOS.Mega Teply Stan</v>
          </cell>
          <cell r="H92">
            <v>1084</v>
          </cell>
          <cell r="I92">
            <v>1638793.75</v>
          </cell>
          <cell r="K92">
            <v>790937.71384067764</v>
          </cell>
          <cell r="L92">
            <v>1196</v>
          </cell>
          <cell r="M92">
            <v>1850301.45</v>
          </cell>
          <cell r="O92">
            <v>902579.27104406815</v>
          </cell>
          <cell r="Y92">
            <v>0</v>
          </cell>
          <cell r="AA92">
            <v>5272</v>
          </cell>
          <cell r="AB92">
            <v>7817557.7500000028</v>
          </cell>
          <cell r="AD92">
            <v>3601668.4034101698</v>
          </cell>
          <cell r="AJ92">
            <v>0</v>
          </cell>
          <cell r="AN92">
            <v>12146330</v>
          </cell>
          <cell r="AO92">
            <v>0.54</v>
          </cell>
          <cell r="AQ92">
            <v>12146330</v>
          </cell>
          <cell r="AR92">
            <v>0.62083231372548997</v>
          </cell>
          <cell r="AS92">
            <v>782</v>
          </cell>
          <cell r="AU92">
            <v>0</v>
          </cell>
          <cell r="AV92">
            <v>3807</v>
          </cell>
          <cell r="AX92">
            <v>0</v>
          </cell>
          <cell r="AY92">
            <v>5412</v>
          </cell>
          <cell r="BA92">
            <v>0</v>
          </cell>
          <cell r="BB92">
            <v>24906</v>
          </cell>
          <cell r="BD92">
            <v>0</v>
          </cell>
          <cell r="BO92">
            <v>1.0000000000000007</v>
          </cell>
          <cell r="BQ92">
            <v>1</v>
          </cell>
          <cell r="BR92">
            <v>7</v>
          </cell>
          <cell r="BS92">
            <v>7</v>
          </cell>
          <cell r="BV92">
            <v>31</v>
          </cell>
          <cell r="BW92">
            <v>41060</v>
          </cell>
          <cell r="BX92">
            <v>31</v>
          </cell>
          <cell r="BZ92">
            <v>1.18</v>
          </cell>
          <cell r="CA92" t="str">
            <v>RUB</v>
          </cell>
          <cell r="CB92">
            <v>16275</v>
          </cell>
          <cell r="CE92">
            <v>0</v>
          </cell>
        </row>
        <row r="93">
          <cell r="A93" t="str">
            <v>RIS</v>
          </cell>
          <cell r="B93" t="str">
            <v>07.MOS.Evropeisky</v>
          </cell>
          <cell r="H93">
            <v>1268</v>
          </cell>
          <cell r="I93">
            <v>1913821.1500000004</v>
          </cell>
          <cell r="K93">
            <v>922591.45205762715</v>
          </cell>
          <cell r="L93">
            <v>1555</v>
          </cell>
          <cell r="M93">
            <v>2341617.2999999998</v>
          </cell>
          <cell r="O93">
            <v>1154810.4599101702</v>
          </cell>
          <cell r="Y93">
            <v>0</v>
          </cell>
          <cell r="AA93">
            <v>6186</v>
          </cell>
          <cell r="AB93">
            <v>8805321.6499999985</v>
          </cell>
          <cell r="AD93">
            <v>4214052.0364728831</v>
          </cell>
          <cell r="AJ93">
            <v>0</v>
          </cell>
          <cell r="AN93">
            <v>0</v>
          </cell>
          <cell r="AO93">
            <v>0</v>
          </cell>
          <cell r="AQ93">
            <v>5280024.0313999997</v>
          </cell>
          <cell r="AR93">
            <v>0.60462376120815797</v>
          </cell>
          <cell r="AS93">
            <v>929</v>
          </cell>
          <cell r="AU93">
            <v>0</v>
          </cell>
          <cell r="AV93">
            <v>4366</v>
          </cell>
          <cell r="AX93">
            <v>0</v>
          </cell>
          <cell r="AY93">
            <v>11161</v>
          </cell>
          <cell r="BA93">
            <v>0</v>
          </cell>
          <cell r="BB93">
            <v>54551</v>
          </cell>
          <cell r="BD93">
            <v>0</v>
          </cell>
          <cell r="BO93">
            <v>1.0000000000000007</v>
          </cell>
          <cell r="BQ93">
            <v>1</v>
          </cell>
          <cell r="BR93">
            <v>7</v>
          </cell>
          <cell r="BS93">
            <v>7</v>
          </cell>
          <cell r="BV93">
            <v>31</v>
          </cell>
          <cell r="BW93">
            <v>41060</v>
          </cell>
          <cell r="BX93">
            <v>31</v>
          </cell>
          <cell r="BZ93">
            <v>1.18</v>
          </cell>
          <cell r="CA93" t="str">
            <v>RUB</v>
          </cell>
          <cell r="CB93">
            <v>13691</v>
          </cell>
          <cell r="CE93">
            <v>0</v>
          </cell>
        </row>
        <row r="94">
          <cell r="A94" t="str">
            <v>RIS</v>
          </cell>
          <cell r="B94" t="str">
            <v>08.SPB.Gallery</v>
          </cell>
          <cell r="H94">
            <v>2097</v>
          </cell>
          <cell r="I94">
            <v>3158658.25</v>
          </cell>
          <cell r="K94">
            <v>1497762.0002813567</v>
          </cell>
          <cell r="L94">
            <v>2650</v>
          </cell>
          <cell r="M94">
            <v>4109449.95</v>
          </cell>
          <cell r="O94">
            <v>1962081.3720508483</v>
          </cell>
          <cell r="Y94">
            <v>3043917.0500000003</v>
          </cell>
          <cell r="AA94">
            <v>10401</v>
          </cell>
          <cell r="AB94">
            <v>15435995.050000003</v>
          </cell>
          <cell r="AD94">
            <v>7089470.3750593262</v>
          </cell>
          <cell r="AJ94">
            <v>11827380.449999997</v>
          </cell>
          <cell r="AN94">
            <v>11827380.283399999</v>
          </cell>
          <cell r="AO94">
            <v>0.57999999999999996</v>
          </cell>
          <cell r="AQ94">
            <v>11827380.283399999</v>
          </cell>
          <cell r="AR94">
            <v>0.615319271461643</v>
          </cell>
          <cell r="AS94">
            <v>1654</v>
          </cell>
          <cell r="AU94">
            <v>1238</v>
          </cell>
          <cell r="AV94">
            <v>8227</v>
          </cell>
          <cell r="AX94">
            <v>4953</v>
          </cell>
          <cell r="AY94">
            <v>24927</v>
          </cell>
          <cell r="BA94">
            <v>25656</v>
          </cell>
          <cell r="BB94">
            <v>118166</v>
          </cell>
          <cell r="BD94">
            <v>108544</v>
          </cell>
          <cell r="BO94">
            <v>1.0000000000000007</v>
          </cell>
          <cell r="BQ94">
            <v>1</v>
          </cell>
          <cell r="BR94">
            <v>7</v>
          </cell>
          <cell r="BS94">
            <v>7</v>
          </cell>
          <cell r="BV94">
            <v>31</v>
          </cell>
          <cell r="BW94">
            <v>41060</v>
          </cell>
          <cell r="BX94">
            <v>31</v>
          </cell>
          <cell r="BZ94">
            <v>1.18</v>
          </cell>
          <cell r="CA94" t="str">
            <v>RUB</v>
          </cell>
          <cell r="CB94">
            <v>17373</v>
          </cell>
          <cell r="CE94">
            <v>23108</v>
          </cell>
        </row>
        <row r="95">
          <cell r="A95" t="str">
            <v>TWL</v>
          </cell>
          <cell r="B95" t="str">
            <v>01.SPB.Ikea Mega Dybenko</v>
          </cell>
          <cell r="H95">
            <v>596</v>
          </cell>
          <cell r="I95">
            <v>461902.7</v>
          </cell>
          <cell r="K95">
            <v>213703.76900169495</v>
          </cell>
          <cell r="L95">
            <v>618</v>
          </cell>
          <cell r="M95">
            <v>452659.85</v>
          </cell>
          <cell r="O95">
            <v>199344.49127288139</v>
          </cell>
          <cell r="Y95">
            <v>420689.55</v>
          </cell>
          <cell r="AA95">
            <v>2423</v>
          </cell>
          <cell r="AB95">
            <v>1802979.55</v>
          </cell>
          <cell r="AD95">
            <v>779348.26808644086</v>
          </cell>
          <cell r="AJ95">
            <v>2380560.5499999998</v>
          </cell>
          <cell r="AN95">
            <v>3200000</v>
          </cell>
          <cell r="AO95">
            <v>0.55394477330643799</v>
          </cell>
          <cell r="AQ95">
            <v>3200000</v>
          </cell>
          <cell r="AR95">
            <v>0.55394477330643799</v>
          </cell>
          <cell r="AS95">
            <v>440</v>
          </cell>
          <cell r="AU95">
            <v>416</v>
          </cell>
          <cell r="AV95">
            <v>1800</v>
          </cell>
          <cell r="AX95">
            <v>2269</v>
          </cell>
          <cell r="AY95">
            <v>7925</v>
          </cell>
          <cell r="BA95">
            <v>8291</v>
          </cell>
          <cell r="BB95">
            <v>33699</v>
          </cell>
          <cell r="BD95">
            <v>40226</v>
          </cell>
          <cell r="BO95">
            <v>0.99999999999999967</v>
          </cell>
          <cell r="BQ95">
            <v>1.0000000000000002</v>
          </cell>
          <cell r="BR95">
            <v>7</v>
          </cell>
          <cell r="BS95">
            <v>7</v>
          </cell>
          <cell r="BV95">
            <v>31</v>
          </cell>
          <cell r="BW95">
            <v>41060</v>
          </cell>
          <cell r="BX95">
            <v>31</v>
          </cell>
          <cell r="BZ95">
            <v>1.18</v>
          </cell>
          <cell r="CA95" t="str">
            <v>RUB</v>
          </cell>
          <cell r="CB95">
            <v>6975</v>
          </cell>
          <cell r="CE95">
            <v>11458</v>
          </cell>
        </row>
        <row r="96">
          <cell r="A96" t="str">
            <v>TWL</v>
          </cell>
          <cell r="B96" t="str">
            <v>xx.MOS.RIO Reutov</v>
          </cell>
          <cell r="H96">
            <v>0</v>
          </cell>
          <cell r="I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Y96">
            <v>160319.75</v>
          </cell>
          <cell r="AA96">
            <v>0</v>
          </cell>
          <cell r="AB96">
            <v>0</v>
          </cell>
          <cell r="AD96">
            <v>0</v>
          </cell>
          <cell r="AJ96">
            <v>974591.55</v>
          </cell>
          <cell r="AN96">
            <v>2019803.3262</v>
          </cell>
          <cell r="AO96">
            <v>0.55202141112346004</v>
          </cell>
          <cell r="AQ96">
            <v>2019803.3262</v>
          </cell>
          <cell r="AR96">
            <v>0.55202141112346004</v>
          </cell>
          <cell r="AS96">
            <v>0</v>
          </cell>
          <cell r="AU96">
            <v>148</v>
          </cell>
          <cell r="AV96">
            <v>0</v>
          </cell>
          <cell r="AX96">
            <v>895</v>
          </cell>
          <cell r="AY96">
            <v>0</v>
          </cell>
          <cell r="BA96">
            <v>1798</v>
          </cell>
          <cell r="BB96">
            <v>0</v>
          </cell>
          <cell r="BD96">
            <v>8239</v>
          </cell>
          <cell r="BO96">
            <v>0.99999999999999967</v>
          </cell>
          <cell r="BQ96">
            <v>1.0000000000000002</v>
          </cell>
          <cell r="BR96">
            <v>0</v>
          </cell>
          <cell r="BS96">
            <v>0</v>
          </cell>
          <cell r="BV96">
            <v>0</v>
          </cell>
          <cell r="BW96">
            <v>41060</v>
          </cell>
          <cell r="BX96">
            <v>31</v>
          </cell>
          <cell r="BZ96">
            <v>1.18</v>
          </cell>
          <cell r="CA96" t="str">
            <v>RUB</v>
          </cell>
          <cell r="CB96">
            <v>0</v>
          </cell>
          <cell r="CE96">
            <v>5082</v>
          </cell>
        </row>
        <row r="97">
          <cell r="A97" t="str">
            <v>ESP</v>
          </cell>
          <cell r="B97" t="str">
            <v>Warehouse-Transit</v>
          </cell>
          <cell r="CA97" t="str">
            <v>RUB</v>
          </cell>
        </row>
        <row r="98">
          <cell r="A98" t="str">
            <v>ESP</v>
          </cell>
          <cell r="B98" t="str">
            <v>Warehouse-Transit</v>
          </cell>
          <cell r="CA98" t="str">
            <v>RUB</v>
          </cell>
          <cell r="CB98">
            <v>12820</v>
          </cell>
        </row>
        <row r="99">
          <cell r="A99" t="str">
            <v>ESP</v>
          </cell>
          <cell r="B99" t="str">
            <v>Warehouse-Transit</v>
          </cell>
          <cell r="CA99" t="str">
            <v>RUB</v>
          </cell>
          <cell r="CB99">
            <v>41190</v>
          </cell>
        </row>
        <row r="100">
          <cell r="A100" t="str">
            <v>PEA</v>
          </cell>
          <cell r="B100" t="str">
            <v>Warehouse-Transit</v>
          </cell>
          <cell r="CA100" t="str">
            <v>RUB</v>
          </cell>
        </row>
        <row r="101">
          <cell r="A101" t="str">
            <v>PEA</v>
          </cell>
          <cell r="B101" t="str">
            <v>Warehouse-Transit</v>
          </cell>
          <cell r="CA101" t="str">
            <v>RUB</v>
          </cell>
          <cell r="CB101">
            <v>854</v>
          </cell>
        </row>
        <row r="102">
          <cell r="A102" t="str">
            <v>PEA</v>
          </cell>
          <cell r="B102" t="str">
            <v>Warehouse-Transit</v>
          </cell>
          <cell r="CA102" t="str">
            <v>RUB</v>
          </cell>
          <cell r="CB102">
            <v>990</v>
          </cell>
        </row>
        <row r="103">
          <cell r="A103" t="str">
            <v>ORS</v>
          </cell>
          <cell r="B103" t="str">
            <v>Warehouse-Transit</v>
          </cell>
          <cell r="CA103" t="str">
            <v>RUB</v>
          </cell>
        </row>
        <row r="104">
          <cell r="A104" t="str">
            <v>ORS</v>
          </cell>
          <cell r="B104" t="str">
            <v>Warehouse-Transit</v>
          </cell>
          <cell r="CA104" t="str">
            <v>RUB</v>
          </cell>
          <cell r="CB104">
            <v>855</v>
          </cell>
        </row>
        <row r="105">
          <cell r="A105" t="str">
            <v>ORS</v>
          </cell>
          <cell r="B105" t="str">
            <v>Warehouse-Transit</v>
          </cell>
          <cell r="CA105" t="str">
            <v>RUB</v>
          </cell>
          <cell r="CB105">
            <v>4033</v>
          </cell>
        </row>
        <row r="106">
          <cell r="A106" t="str">
            <v>HKM</v>
          </cell>
          <cell r="B106" t="str">
            <v>Warehouse-Transit</v>
          </cell>
          <cell r="CA106" t="str">
            <v>RUB</v>
          </cell>
        </row>
        <row r="107">
          <cell r="A107" t="str">
            <v>HKM</v>
          </cell>
          <cell r="B107" t="str">
            <v>Warehouse-Transit</v>
          </cell>
          <cell r="CA107" t="str">
            <v>RUB</v>
          </cell>
          <cell r="CB107">
            <v>326</v>
          </cell>
        </row>
        <row r="108">
          <cell r="A108" t="str">
            <v>HKM</v>
          </cell>
          <cell r="B108" t="str">
            <v>Warehouse-Transit</v>
          </cell>
          <cell r="CA108" t="str">
            <v>RUB</v>
          </cell>
          <cell r="CB108">
            <v>3366</v>
          </cell>
        </row>
        <row r="109">
          <cell r="A109" t="str">
            <v>RIS</v>
          </cell>
          <cell r="B109" t="str">
            <v>Warehouse-Transit</v>
          </cell>
          <cell r="CA109" t="str">
            <v>RUB</v>
          </cell>
          <cell r="CB109">
            <v>14098</v>
          </cell>
        </row>
        <row r="110">
          <cell r="A110" t="str">
            <v>RIS</v>
          </cell>
          <cell r="B110" t="str">
            <v>Warehouse-Transit</v>
          </cell>
          <cell r="CA110" t="str">
            <v>RUB</v>
          </cell>
          <cell r="CB110">
            <v>46105</v>
          </cell>
        </row>
        <row r="111">
          <cell r="A111" t="str">
            <v>RIS</v>
          </cell>
          <cell r="B111" t="str">
            <v>Warehouse-Transit</v>
          </cell>
          <cell r="CA111" t="str">
            <v>RUB</v>
          </cell>
          <cell r="CB111">
            <v>0</v>
          </cell>
        </row>
        <row r="112">
          <cell r="A112" t="str">
            <v>TWL</v>
          </cell>
          <cell r="B112" t="str">
            <v>Warehouse-Transit</v>
          </cell>
          <cell r="CA112" t="str">
            <v>RUB</v>
          </cell>
        </row>
        <row r="113">
          <cell r="A113" t="str">
            <v>TWL</v>
          </cell>
          <cell r="B113" t="str">
            <v>Warehouse-Transit</v>
          </cell>
          <cell r="CA113" t="str">
            <v>RUB</v>
          </cell>
          <cell r="CB113">
            <v>1585</v>
          </cell>
        </row>
        <row r="114">
          <cell r="A114" t="str">
            <v>TWL</v>
          </cell>
          <cell r="B114" t="str">
            <v>Warehouse-Transit</v>
          </cell>
          <cell r="CA114" t="str">
            <v>RUB</v>
          </cell>
          <cell r="CB114">
            <v>891</v>
          </cell>
        </row>
        <row r="115">
          <cell r="A115" t="str">
            <v>OVS</v>
          </cell>
          <cell r="B115" t="str">
            <v>Warehouse-Transit</v>
          </cell>
          <cell r="CA115" t="str">
            <v>RUB</v>
          </cell>
        </row>
        <row r="116">
          <cell r="A116" t="str">
            <v>OVS</v>
          </cell>
          <cell r="B116" t="str">
            <v>Warehouse-Transit</v>
          </cell>
          <cell r="CA116" t="str">
            <v>RUB</v>
          </cell>
        </row>
        <row r="117">
          <cell r="A117" t="str">
            <v>OVS</v>
          </cell>
          <cell r="B117" t="str">
            <v>Warehouse-Transit</v>
          </cell>
          <cell r="CA117" t="str">
            <v>RUB</v>
          </cell>
          <cell r="CB117">
            <v>565</v>
          </cell>
        </row>
        <row r="118">
          <cell r="A118" t="str">
            <v>BSL</v>
          </cell>
          <cell r="B118" t="str">
            <v>Warehouse-Transit</v>
          </cell>
          <cell r="CA118" t="str">
            <v>RUB</v>
          </cell>
        </row>
        <row r="119">
          <cell r="A119" t="str">
            <v>BSL</v>
          </cell>
          <cell r="B119" t="str">
            <v>Warehouse-Transit</v>
          </cell>
          <cell r="CA119" t="str">
            <v>RUB</v>
          </cell>
          <cell r="CB119">
            <v>0</v>
          </cell>
        </row>
        <row r="120">
          <cell r="A120" t="str">
            <v>BSL</v>
          </cell>
          <cell r="B120" t="str">
            <v>Warehouse-Transit</v>
          </cell>
          <cell r="CA120" t="str">
            <v>RUB</v>
          </cell>
          <cell r="CB120">
            <v>16848</v>
          </cell>
        </row>
        <row r="121">
          <cell r="A121" t="str">
            <v>OTH</v>
          </cell>
          <cell r="B121" t="str">
            <v>Warehouse-Transit</v>
          </cell>
          <cell r="CA121" t="str">
            <v>RUB</v>
          </cell>
        </row>
        <row r="122">
          <cell r="A122" t="str">
            <v>OTH</v>
          </cell>
          <cell r="B122" t="str">
            <v>Warehouse-Transit</v>
          </cell>
          <cell r="CA122" t="str">
            <v>RUB</v>
          </cell>
          <cell r="CB122">
            <v>77</v>
          </cell>
        </row>
        <row r="123">
          <cell r="A123" t="str">
            <v>OTH</v>
          </cell>
          <cell r="B123" t="str">
            <v>Warehouse-Transit</v>
          </cell>
          <cell r="CA123" t="str">
            <v>RUB</v>
          </cell>
          <cell r="CB123">
            <v>91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SSR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RU"/>
      <sheetName val="HP retail"/>
      <sheetName val="HP Retail YTD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Poland"/>
      <sheetName val="CF"/>
      <sheetName val="supply"/>
      <sheetName val="rent stores"/>
      <sheetName val="RTL BUD"/>
      <sheetName val="WHL BUD"/>
      <sheetName val="Merch Flow 2014"/>
      <sheetName val="Purchases"/>
      <sheetName val="ac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>
            <v>0.86481226958397295</v>
          </cell>
        </row>
        <row r="3">
          <cell r="I3">
            <v>33.5</v>
          </cell>
        </row>
        <row r="4">
          <cell r="I4">
            <v>33.5</v>
          </cell>
        </row>
      </sheetData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Q"/>
      <sheetName val="PL"/>
      <sheetName val="BS"/>
      <sheetName val="Sales"/>
      <sheetName val="Wholesale monthly"/>
      <sheetName val="Purchases"/>
      <sheetName val="Inventory provision"/>
      <sheetName val="Salary &amp; travel"/>
      <sheetName val="Stores budget"/>
    </sheetNames>
    <sheetDataSet>
      <sheetData sheetId="0" refreshError="1">
        <row r="8">
          <cell r="E8">
            <v>6.4729999999999996E-2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Q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"/>
  <sheetViews>
    <sheetView topLeftCell="A4" zoomScale="90" workbookViewId="0">
      <selection activeCell="F12" sqref="F12"/>
    </sheetView>
  </sheetViews>
  <sheetFormatPr defaultColWidth="8.7109375" defaultRowHeight="12.75"/>
  <cols>
    <col min="1" max="1" width="1" customWidth="1"/>
    <col min="2" max="2" width="3.28515625" customWidth="1"/>
    <col min="3" max="3" width="17.28515625" customWidth="1"/>
    <col min="4" max="4" width="20.7109375" customWidth="1"/>
    <col min="5" max="5" width="0.7109375" customWidth="1"/>
    <col min="6" max="6" width="54.42578125" bestFit="1" customWidth="1"/>
    <col min="7" max="7" width="0.42578125" customWidth="1"/>
    <col min="8" max="8" width="51.7109375" bestFit="1" customWidth="1"/>
    <col min="9" max="9" width="1" customWidth="1"/>
    <col min="10" max="10" width="51.42578125" bestFit="1" customWidth="1"/>
    <col min="11" max="11" width="1" customWidth="1"/>
    <col min="12" max="12" width="45.42578125" customWidth="1"/>
    <col min="13" max="13" width="0.42578125" customWidth="1"/>
  </cols>
  <sheetData>
    <row r="2" spans="2:15" ht="15.75">
      <c r="C2" s="3" t="s">
        <v>106</v>
      </c>
    </row>
    <row r="3" spans="2:15" ht="5.45" customHeight="1" thickBot="1"/>
    <row r="4" spans="2:15" ht="14.25" thickTop="1" thickBot="1">
      <c r="C4" s="1124" t="s">
        <v>107</v>
      </c>
      <c r="D4" s="1125"/>
      <c r="E4" s="36"/>
      <c r="F4" s="37" t="s">
        <v>108</v>
      </c>
      <c r="G4" s="38"/>
      <c r="H4" s="37" t="s">
        <v>109</v>
      </c>
      <c r="I4" s="38"/>
      <c r="J4" s="37" t="s">
        <v>110</v>
      </c>
      <c r="K4" s="38"/>
      <c r="L4" s="37" t="s">
        <v>111</v>
      </c>
      <c r="M4" s="38"/>
    </row>
    <row r="5" spans="2:15" ht="116.25" thickTop="1" thickBot="1">
      <c r="C5" s="1126" t="s">
        <v>112</v>
      </c>
      <c r="D5" s="1127"/>
      <c r="E5" s="36"/>
      <c r="F5" s="39" t="s">
        <v>158</v>
      </c>
      <c r="G5" s="38"/>
      <c r="H5" s="39" t="s">
        <v>113</v>
      </c>
      <c r="I5" s="38"/>
      <c r="J5" s="40" t="s">
        <v>114</v>
      </c>
      <c r="L5" s="40" t="s">
        <v>115</v>
      </c>
    </row>
    <row r="6" spans="2:15" ht="4.5" customHeight="1" thickTop="1" thickBot="1"/>
    <row r="7" spans="2:15" ht="14.25" customHeight="1" thickTop="1" thickBot="1">
      <c r="B7" s="41">
        <v>1</v>
      </c>
      <c r="C7" s="1122" t="s">
        <v>116</v>
      </c>
      <c r="D7" s="1123"/>
      <c r="F7" s="42" t="s">
        <v>117</v>
      </c>
      <c r="H7" s="42" t="s">
        <v>117</v>
      </c>
      <c r="J7" s="42" t="s">
        <v>118</v>
      </c>
      <c r="L7" s="42" t="s">
        <v>118</v>
      </c>
    </row>
    <row r="8" spans="2:15" ht="14.25" customHeight="1" thickTop="1" thickBot="1">
      <c r="B8" s="41">
        <v>2</v>
      </c>
      <c r="C8" s="1122" t="s">
        <v>119</v>
      </c>
      <c r="D8" s="1123"/>
      <c r="F8" s="42" t="s">
        <v>120</v>
      </c>
      <c r="H8" s="42" t="s">
        <v>120</v>
      </c>
      <c r="J8" s="42" t="s">
        <v>120</v>
      </c>
      <c r="L8" s="42" t="s">
        <v>121</v>
      </c>
    </row>
    <row r="9" spans="2:15" ht="14.25" customHeight="1" thickTop="1" thickBot="1">
      <c r="B9" s="41">
        <v>3</v>
      </c>
      <c r="C9" s="1122" t="s">
        <v>122</v>
      </c>
      <c r="D9" s="1123"/>
      <c r="F9" s="42" t="s">
        <v>120</v>
      </c>
      <c r="H9" s="42" t="s">
        <v>120</v>
      </c>
      <c r="J9" s="42" t="s">
        <v>120</v>
      </c>
      <c r="L9" s="42" t="s">
        <v>121</v>
      </c>
    </row>
    <row r="10" spans="2:15" ht="39.75" customHeight="1" thickTop="1" thickBot="1">
      <c r="B10" s="41">
        <v>4</v>
      </c>
      <c r="C10" s="1128" t="s">
        <v>123</v>
      </c>
      <c r="D10" s="1123"/>
      <c r="F10" s="43"/>
      <c r="G10" s="38"/>
      <c r="H10" s="43"/>
      <c r="I10" s="38"/>
      <c r="J10" s="43"/>
      <c r="K10" s="38"/>
      <c r="L10" s="43"/>
    </row>
    <row r="11" spans="2:15" ht="16.5" customHeight="1" thickTop="1" thickBot="1">
      <c r="B11" s="41"/>
      <c r="C11" s="41"/>
      <c r="D11" s="44" t="s">
        <v>124</v>
      </c>
      <c r="F11" s="45">
        <v>0.57999999999999996</v>
      </c>
      <c r="G11" s="46"/>
      <c r="H11" s="45">
        <v>0.6</v>
      </c>
      <c r="I11" s="46"/>
      <c r="J11" s="45">
        <v>0.5</v>
      </c>
      <c r="K11" s="46"/>
      <c r="L11" s="45">
        <v>0.45</v>
      </c>
      <c r="M11" s="47"/>
    </row>
    <row r="12" spans="2:15" ht="16.5" customHeight="1" thickTop="1" thickBot="1">
      <c r="B12" s="41"/>
      <c r="C12" s="41"/>
      <c r="D12" s="44" t="s">
        <v>125</v>
      </c>
      <c r="F12" s="45">
        <v>0.55000000000000004</v>
      </c>
      <c r="G12" s="46"/>
      <c r="H12" s="45">
        <v>0.57999999999999996</v>
      </c>
      <c r="I12" s="46"/>
      <c r="J12" s="45">
        <v>0.48</v>
      </c>
      <c r="K12" s="46"/>
      <c r="L12" s="48" t="s">
        <v>126</v>
      </c>
    </row>
    <row r="13" spans="2:15" ht="63.2" customHeight="1" thickTop="1" thickBot="1">
      <c r="B13" s="41">
        <v>5</v>
      </c>
      <c r="C13" s="1128" t="s">
        <v>127</v>
      </c>
      <c r="D13" s="1123"/>
      <c r="F13" s="49" t="s">
        <v>128</v>
      </c>
      <c r="H13" s="49" t="s">
        <v>128</v>
      </c>
      <c r="J13" s="49" t="s">
        <v>128</v>
      </c>
      <c r="L13" s="49" t="s">
        <v>128</v>
      </c>
    </row>
    <row r="14" spans="2:15" ht="38.25" customHeight="1" thickTop="1" thickBot="1">
      <c r="B14" s="41">
        <v>6</v>
      </c>
      <c r="C14" s="1128" t="s">
        <v>129</v>
      </c>
      <c r="D14" s="1123"/>
      <c r="F14" s="49" t="s">
        <v>130</v>
      </c>
      <c r="H14" s="49" t="s">
        <v>130</v>
      </c>
      <c r="J14" s="49" t="s">
        <v>130</v>
      </c>
      <c r="L14" s="43"/>
      <c r="N14" s="50"/>
      <c r="O14" s="50"/>
    </row>
    <row r="15" spans="2:15" ht="27.75" customHeight="1" thickTop="1" thickBot="1">
      <c r="B15" s="41">
        <v>7</v>
      </c>
      <c r="C15" s="1122" t="s">
        <v>131</v>
      </c>
      <c r="D15" s="1123"/>
      <c r="F15" s="51" t="s">
        <v>132</v>
      </c>
      <c r="H15" s="51" t="s">
        <v>132</v>
      </c>
      <c r="J15" s="51" t="s">
        <v>133</v>
      </c>
      <c r="K15" s="52"/>
      <c r="L15" s="51" t="s">
        <v>133</v>
      </c>
      <c r="M15" s="53"/>
      <c r="N15" s="53"/>
      <c r="O15" s="53"/>
    </row>
    <row r="16" spans="2:15" ht="14.25" thickTop="1" thickBot="1">
      <c r="B16" s="41">
        <v>8</v>
      </c>
      <c r="C16" s="1122" t="s">
        <v>134</v>
      </c>
      <c r="D16" s="1123"/>
      <c r="F16" s="43"/>
      <c r="H16" s="43"/>
      <c r="J16" s="43"/>
      <c r="L16" s="43"/>
    </row>
    <row r="17" spans="2:13" ht="14.25" thickTop="1" thickBot="1">
      <c r="B17" s="41"/>
      <c r="C17" s="41"/>
      <c r="D17" s="44" t="s">
        <v>135</v>
      </c>
      <c r="F17" s="54" t="s">
        <v>136</v>
      </c>
      <c r="H17" s="54" t="s">
        <v>136</v>
      </c>
      <c r="J17" s="54" t="s">
        <v>137</v>
      </c>
      <c r="L17" s="51" t="s">
        <v>133</v>
      </c>
    </row>
    <row r="18" spans="2:13" ht="14.25" thickTop="1" thickBot="1">
      <c r="B18" s="41"/>
      <c r="C18" s="41"/>
      <c r="D18" s="44" t="s">
        <v>125</v>
      </c>
      <c r="F18" s="55" t="s">
        <v>159</v>
      </c>
      <c r="G18" s="46"/>
      <c r="H18" s="55" t="s">
        <v>160</v>
      </c>
      <c r="I18" s="46"/>
      <c r="J18" s="55" t="s">
        <v>161</v>
      </c>
      <c r="K18" s="46"/>
      <c r="L18" s="48" t="s">
        <v>126</v>
      </c>
    </row>
    <row r="19" spans="2:13" ht="14.25" thickTop="1" thickBot="1">
      <c r="B19" s="41">
        <v>9</v>
      </c>
      <c r="C19" s="1122" t="s">
        <v>138</v>
      </c>
      <c r="D19" s="1123"/>
      <c r="F19" s="42" t="s">
        <v>139</v>
      </c>
      <c r="G19" s="46"/>
      <c r="H19" s="42" t="s">
        <v>139</v>
      </c>
      <c r="I19" s="46"/>
      <c r="J19" s="42" t="s">
        <v>139</v>
      </c>
      <c r="K19" s="46"/>
      <c r="L19" s="48" t="s">
        <v>126</v>
      </c>
    </row>
    <row r="20" spans="2:13" ht="14.25" customHeight="1" thickTop="1" thickBot="1">
      <c r="B20" s="41">
        <v>10</v>
      </c>
      <c r="C20" s="1122" t="s">
        <v>140</v>
      </c>
      <c r="D20" s="1123"/>
      <c r="F20" s="48" t="s">
        <v>141</v>
      </c>
      <c r="H20" s="48" t="s">
        <v>141</v>
      </c>
      <c r="J20" s="48" t="s">
        <v>141</v>
      </c>
      <c r="L20" s="48" t="s">
        <v>141</v>
      </c>
    </row>
    <row r="21" spans="2:13" ht="14.25" customHeight="1" thickTop="1" thickBot="1">
      <c r="B21" s="41">
        <v>11</v>
      </c>
      <c r="C21" s="1122" t="s">
        <v>142</v>
      </c>
      <c r="D21" s="1123"/>
      <c r="F21" s="42" t="s">
        <v>143</v>
      </c>
      <c r="H21" s="42" t="s">
        <v>143</v>
      </c>
      <c r="J21" s="42" t="s">
        <v>143</v>
      </c>
      <c r="L21" s="42" t="s">
        <v>143</v>
      </c>
    </row>
    <row r="22" spans="2:13" ht="14.25" customHeight="1" thickTop="1" thickBot="1">
      <c r="B22" s="41">
        <v>12</v>
      </c>
      <c r="C22" s="1122" t="s">
        <v>144</v>
      </c>
      <c r="D22" s="1123"/>
      <c r="F22" s="42" t="s">
        <v>143</v>
      </c>
      <c r="H22" s="42" t="s">
        <v>143</v>
      </c>
      <c r="J22" s="48" t="s">
        <v>126</v>
      </c>
      <c r="L22" s="48" t="s">
        <v>126</v>
      </c>
    </row>
    <row r="23" spans="2:13" ht="13.5" thickTop="1"/>
    <row r="25" spans="2:13" ht="15.75">
      <c r="C25" s="3" t="s">
        <v>145</v>
      </c>
    </row>
    <row r="26" spans="2:13" ht="4.5" customHeight="1" thickBot="1"/>
    <row r="27" spans="2:13" ht="14.25" thickTop="1" thickBot="1">
      <c r="C27" s="1124" t="s">
        <v>107</v>
      </c>
      <c r="D27" s="1125"/>
      <c r="E27" s="36"/>
      <c r="F27" s="37" t="s">
        <v>108</v>
      </c>
      <c r="G27" s="38"/>
      <c r="H27" s="37" t="s">
        <v>109</v>
      </c>
      <c r="I27" s="38"/>
      <c r="J27" s="37" t="s">
        <v>110</v>
      </c>
      <c r="K27" s="38"/>
      <c r="L27" s="37" t="s">
        <v>111</v>
      </c>
      <c r="M27" s="38"/>
    </row>
    <row r="28" spans="2:13" ht="103.5" customHeight="1" thickTop="1" thickBot="1">
      <c r="C28" s="1126" t="s">
        <v>112</v>
      </c>
      <c r="D28" s="1127"/>
      <c r="E28" s="36"/>
      <c r="F28" s="39" t="s">
        <v>158</v>
      </c>
      <c r="G28" s="38"/>
      <c r="H28" s="39" t="s">
        <v>113</v>
      </c>
      <c r="I28" s="38"/>
      <c r="J28" s="40" t="s">
        <v>114</v>
      </c>
      <c r="L28" s="40" t="s">
        <v>115</v>
      </c>
    </row>
    <row r="29" spans="2:13" ht="4.5" customHeight="1" thickTop="1" thickBot="1"/>
    <row r="30" spans="2:13" ht="32.25" customHeight="1" thickTop="1" thickBot="1">
      <c r="B30" s="41">
        <v>1</v>
      </c>
      <c r="C30" s="1122" t="s">
        <v>146</v>
      </c>
      <c r="D30" s="1123"/>
      <c r="F30" s="42" t="s">
        <v>147</v>
      </c>
      <c r="H30" s="42" t="s">
        <v>147</v>
      </c>
      <c r="J30" s="42" t="s">
        <v>162</v>
      </c>
      <c r="L30" s="42" t="s">
        <v>162</v>
      </c>
    </row>
    <row r="31" spans="2:13" ht="24" customHeight="1" thickTop="1" thickBot="1">
      <c r="B31" s="41">
        <v>2</v>
      </c>
      <c r="C31" s="1122" t="s">
        <v>148</v>
      </c>
      <c r="D31" s="1123"/>
      <c r="F31" s="42" t="s">
        <v>147</v>
      </c>
      <c r="H31" s="42" t="s">
        <v>147</v>
      </c>
      <c r="J31" s="42" t="s">
        <v>162</v>
      </c>
      <c r="L31" s="42" t="s">
        <v>162</v>
      </c>
    </row>
    <row r="32" spans="2:13" ht="28.5" customHeight="1" thickTop="1" thickBot="1">
      <c r="B32" s="41">
        <v>3</v>
      </c>
      <c r="C32" s="1122" t="s">
        <v>149</v>
      </c>
      <c r="D32" s="1123"/>
      <c r="F32" s="42" t="s">
        <v>147</v>
      </c>
      <c r="H32" s="42" t="s">
        <v>147</v>
      </c>
      <c r="J32" s="42" t="s">
        <v>162</v>
      </c>
      <c r="L32" s="42" t="s">
        <v>162</v>
      </c>
    </row>
    <row r="33" spans="2:12" ht="16.5" customHeight="1" thickTop="1" thickBot="1">
      <c r="B33" s="41">
        <v>4</v>
      </c>
      <c r="C33" s="1122" t="s">
        <v>150</v>
      </c>
      <c r="D33" s="1123"/>
      <c r="F33" s="42" t="s">
        <v>147</v>
      </c>
      <c r="H33" s="42" t="s">
        <v>147</v>
      </c>
      <c r="J33" s="42" t="s">
        <v>147</v>
      </c>
      <c r="L33" s="42" t="s">
        <v>162</v>
      </c>
    </row>
    <row r="34" spans="2:12" ht="22.5" customHeight="1" thickTop="1" thickBot="1">
      <c r="B34" s="41">
        <v>5</v>
      </c>
      <c r="C34" s="1122" t="s">
        <v>151</v>
      </c>
      <c r="D34" s="1123"/>
      <c r="F34" s="42" t="s">
        <v>147</v>
      </c>
      <c r="H34" s="42" t="s">
        <v>147</v>
      </c>
      <c r="J34" s="42" t="s">
        <v>162</v>
      </c>
      <c r="L34" s="42" t="s">
        <v>162</v>
      </c>
    </row>
    <row r="35" spans="2:12" ht="26.25" customHeight="1" thickTop="1" thickBot="1">
      <c r="B35" s="41">
        <v>6</v>
      </c>
      <c r="C35" s="1122" t="s">
        <v>152</v>
      </c>
      <c r="D35" s="1123"/>
      <c r="F35" s="42" t="s">
        <v>147</v>
      </c>
      <c r="H35" s="42" t="s">
        <v>147</v>
      </c>
      <c r="J35" s="42" t="s">
        <v>162</v>
      </c>
      <c r="L35" s="42" t="s">
        <v>162</v>
      </c>
    </row>
    <row r="36" spans="2:12" ht="15" customHeight="1" thickTop="1" thickBot="1">
      <c r="B36" s="41">
        <v>7</v>
      </c>
      <c r="C36" s="1122" t="s">
        <v>153</v>
      </c>
      <c r="D36" s="1123"/>
      <c r="F36" s="42" t="s">
        <v>147</v>
      </c>
      <c r="H36" s="42" t="s">
        <v>147</v>
      </c>
      <c r="J36" s="42" t="s">
        <v>162</v>
      </c>
      <c r="L36" s="42" t="s">
        <v>162</v>
      </c>
    </row>
    <row r="37" spans="2:12" ht="23.45" customHeight="1" thickTop="1" thickBot="1">
      <c r="B37" s="41">
        <v>9</v>
      </c>
      <c r="C37" s="1122" t="s">
        <v>154</v>
      </c>
      <c r="D37" s="1123"/>
      <c r="F37" s="42" t="s">
        <v>147</v>
      </c>
      <c r="H37" s="42" t="s">
        <v>147</v>
      </c>
      <c r="J37" s="42" t="s">
        <v>162</v>
      </c>
      <c r="L37" s="42" t="s">
        <v>162</v>
      </c>
    </row>
    <row r="38" spans="2:12" ht="24.75" customHeight="1" thickTop="1" thickBot="1">
      <c r="B38" s="41">
        <v>10</v>
      </c>
      <c r="C38" s="1122" t="s">
        <v>155</v>
      </c>
      <c r="D38" s="1123"/>
      <c r="F38" s="42" t="s">
        <v>147</v>
      </c>
      <c r="H38" s="42" t="s">
        <v>147</v>
      </c>
      <c r="J38" s="42" t="s">
        <v>162</v>
      </c>
      <c r="L38" s="42" t="s">
        <v>162</v>
      </c>
    </row>
    <row r="39" spans="2:12" ht="48.75" customHeight="1" thickTop="1" thickBot="1">
      <c r="B39" s="41">
        <v>11</v>
      </c>
      <c r="C39" s="1122" t="s">
        <v>156</v>
      </c>
      <c r="D39" s="1123"/>
      <c r="F39" s="42" t="s">
        <v>147</v>
      </c>
      <c r="H39" s="42" t="s">
        <v>147</v>
      </c>
      <c r="J39" s="42" t="s">
        <v>147</v>
      </c>
      <c r="L39" s="42" t="s">
        <v>162</v>
      </c>
    </row>
    <row r="40" spans="2:12" ht="42" customHeight="1" thickTop="1" thickBot="1">
      <c r="B40" s="41">
        <v>12</v>
      </c>
      <c r="C40" s="1122" t="s">
        <v>157</v>
      </c>
      <c r="D40" s="1123"/>
      <c r="F40" s="42" t="s">
        <v>147</v>
      </c>
      <c r="H40" s="42" t="s">
        <v>147</v>
      </c>
      <c r="J40" s="42" t="s">
        <v>147</v>
      </c>
      <c r="L40" s="42" t="s">
        <v>162</v>
      </c>
    </row>
    <row r="41" spans="2:12" ht="13.5" thickTop="1"/>
  </sheetData>
  <mergeCells count="27">
    <mergeCell ref="C39:D39"/>
    <mergeCell ref="C40:D40"/>
    <mergeCell ref="C4:D4"/>
    <mergeCell ref="C5:D5"/>
    <mergeCell ref="C7:D7"/>
    <mergeCell ref="C8:D8"/>
    <mergeCell ref="C9:D9"/>
    <mergeCell ref="C10:D10"/>
    <mergeCell ref="C14:D14"/>
    <mergeCell ref="C15:D15"/>
    <mergeCell ref="C13:D13"/>
    <mergeCell ref="C21:D21"/>
    <mergeCell ref="C22:D22"/>
    <mergeCell ref="C16:D16"/>
    <mergeCell ref="C20:D20"/>
    <mergeCell ref="C19:D19"/>
    <mergeCell ref="C27:D27"/>
    <mergeCell ref="C28:D28"/>
    <mergeCell ref="C30:D30"/>
    <mergeCell ref="C31:D31"/>
    <mergeCell ref="C36:D36"/>
    <mergeCell ref="C38:D38"/>
    <mergeCell ref="C32:D32"/>
    <mergeCell ref="C33:D33"/>
    <mergeCell ref="C34:D34"/>
    <mergeCell ref="C35:D35"/>
    <mergeCell ref="C37:D37"/>
  </mergeCells>
  <phoneticPr fontId="14" type="noConversion"/>
  <pageMargins left="0.19685039370078741" right="0.19685039370078741" top="0.19685039370078741" bottom="0.19685039370078741" header="0.51181102362204722" footer="0.51181102362204722"/>
  <pageSetup paperSize="9" scale="5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370"/>
  <sheetViews>
    <sheetView topLeftCell="A19" workbookViewId="0">
      <selection activeCell="A40" sqref="A40"/>
    </sheetView>
  </sheetViews>
  <sheetFormatPr defaultColWidth="10.7109375" defaultRowHeight="12.75"/>
  <cols>
    <col min="1" max="1" width="53" style="713" customWidth="1"/>
    <col min="2" max="2" width="10.7109375" style="713"/>
    <col min="3" max="3" width="18.7109375" style="713" bestFit="1" customWidth="1"/>
    <col min="4" max="4" width="10.7109375" style="713"/>
    <col min="5" max="5" width="15" style="713" bestFit="1" customWidth="1"/>
    <col min="6" max="16384" width="10.7109375" style="713"/>
  </cols>
  <sheetData>
    <row r="1" spans="1:5">
      <c r="A1" s="1092" t="s">
        <v>92</v>
      </c>
      <c r="B1" s="403"/>
      <c r="C1" s="403" t="s">
        <v>727</v>
      </c>
      <c r="D1" s="403"/>
      <c r="E1" s="403" t="s">
        <v>163</v>
      </c>
    </row>
    <row r="2" spans="1:5">
      <c r="A2" s="1093" t="s">
        <v>728</v>
      </c>
      <c r="C2" s="713" t="s">
        <v>729</v>
      </c>
      <c r="E2" s="713" t="s">
        <v>124</v>
      </c>
    </row>
    <row r="3" spans="1:5">
      <c r="A3" s="1093" t="s">
        <v>730</v>
      </c>
      <c r="C3" s="713" t="s">
        <v>731</v>
      </c>
      <c r="E3" s="713" t="s">
        <v>732</v>
      </c>
    </row>
    <row r="4" spans="1:5">
      <c r="A4" s="1093" t="s">
        <v>733</v>
      </c>
      <c r="C4" s="713" t="s">
        <v>734</v>
      </c>
      <c r="E4" s="713" t="s">
        <v>735</v>
      </c>
    </row>
    <row r="5" spans="1:5">
      <c r="A5" s="1093" t="s">
        <v>736</v>
      </c>
      <c r="C5" s="713" t="s">
        <v>737</v>
      </c>
      <c r="E5" s="713" t="s">
        <v>738</v>
      </c>
    </row>
    <row r="6" spans="1:5">
      <c r="A6" s="1093" t="s">
        <v>739</v>
      </c>
      <c r="C6" s="713" t="s">
        <v>1024</v>
      </c>
      <c r="E6" s="713" t="s">
        <v>740</v>
      </c>
    </row>
    <row r="7" spans="1:5">
      <c r="A7" s="1093" t="s">
        <v>741</v>
      </c>
      <c r="E7" s="713" t="s">
        <v>1024</v>
      </c>
    </row>
    <row r="8" spans="1:5">
      <c r="A8" s="1093" t="s">
        <v>742</v>
      </c>
    </row>
    <row r="9" spans="1:5">
      <c r="A9" s="1093" t="s">
        <v>743</v>
      </c>
    </row>
    <row r="10" spans="1:5">
      <c r="A10" s="1093" t="s">
        <v>744</v>
      </c>
    </row>
    <row r="11" spans="1:5">
      <c r="A11" s="1093" t="s">
        <v>745</v>
      </c>
    </row>
    <row r="12" spans="1:5">
      <c r="A12" s="1093" t="s">
        <v>746</v>
      </c>
    </row>
    <row r="13" spans="1:5">
      <c r="A13" s="1093" t="s">
        <v>747</v>
      </c>
    </row>
    <row r="14" spans="1:5">
      <c r="A14" s="1093" t="s">
        <v>748</v>
      </c>
    </row>
    <row r="15" spans="1:5">
      <c r="A15" s="1093" t="s">
        <v>749</v>
      </c>
    </row>
    <row r="16" spans="1:5">
      <c r="A16" s="1093" t="s">
        <v>571</v>
      </c>
    </row>
    <row r="17" spans="1:1">
      <c r="A17" s="1093" t="s">
        <v>750</v>
      </c>
    </row>
    <row r="18" spans="1:1">
      <c r="A18" s="1093" t="s">
        <v>751</v>
      </c>
    </row>
    <row r="19" spans="1:1">
      <c r="A19" s="1093" t="s">
        <v>752</v>
      </c>
    </row>
    <row r="20" spans="1:1">
      <c r="A20" s="1093" t="s">
        <v>753</v>
      </c>
    </row>
    <row r="21" spans="1:1">
      <c r="A21" s="1093" t="s">
        <v>754</v>
      </c>
    </row>
    <row r="22" spans="1:1">
      <c r="A22" s="1093" t="s">
        <v>755</v>
      </c>
    </row>
    <row r="23" spans="1:1">
      <c r="A23" s="1093" t="s">
        <v>756</v>
      </c>
    </row>
    <row r="24" spans="1:1">
      <c r="A24" s="1093" t="s">
        <v>757</v>
      </c>
    </row>
    <row r="25" spans="1:1">
      <c r="A25" s="1093" t="s">
        <v>758</v>
      </c>
    </row>
    <row r="26" spans="1:1">
      <c r="A26" s="1093" t="s">
        <v>759</v>
      </c>
    </row>
    <row r="27" spans="1:1">
      <c r="A27" s="1093" t="s">
        <v>760</v>
      </c>
    </row>
    <row r="28" spans="1:1">
      <c r="A28" s="1093" t="s">
        <v>761</v>
      </c>
    </row>
    <row r="29" spans="1:1">
      <c r="A29" s="1093" t="s">
        <v>762</v>
      </c>
    </row>
    <row r="30" spans="1:1">
      <c r="A30" s="1093" t="s">
        <v>763</v>
      </c>
    </row>
    <row r="31" spans="1:1">
      <c r="A31" s="1093" t="s">
        <v>764</v>
      </c>
    </row>
    <row r="32" spans="1:1">
      <c r="A32" s="1093" t="s">
        <v>765</v>
      </c>
    </row>
    <row r="33" spans="1:1">
      <c r="A33" s="1093" t="s">
        <v>449</v>
      </c>
    </row>
    <row r="34" spans="1:1">
      <c r="A34" s="1093" t="s">
        <v>766</v>
      </c>
    </row>
    <row r="35" spans="1:1">
      <c r="A35" s="1093" t="s">
        <v>767</v>
      </c>
    </row>
    <row r="36" spans="1:1">
      <c r="A36" s="1093" t="s">
        <v>768</v>
      </c>
    </row>
    <row r="37" spans="1:1">
      <c r="A37" s="1093" t="s">
        <v>769</v>
      </c>
    </row>
    <row r="38" spans="1:1">
      <c r="A38" s="1093" t="s">
        <v>627</v>
      </c>
    </row>
    <row r="39" spans="1:1">
      <c r="A39" s="1093" t="s">
        <v>770</v>
      </c>
    </row>
    <row r="40" spans="1:1">
      <c r="A40" s="1093" t="s">
        <v>451</v>
      </c>
    </row>
    <row r="41" spans="1:1">
      <c r="A41" s="1093" t="s">
        <v>771</v>
      </c>
    </row>
    <row r="42" spans="1:1">
      <c r="A42" s="1093" t="s">
        <v>772</v>
      </c>
    </row>
    <row r="43" spans="1:1">
      <c r="A43" s="1093" t="s">
        <v>773</v>
      </c>
    </row>
    <row r="44" spans="1:1">
      <c r="A44" s="1093" t="s">
        <v>774</v>
      </c>
    </row>
    <row r="45" spans="1:1">
      <c r="A45" s="1093" t="s">
        <v>775</v>
      </c>
    </row>
    <row r="46" spans="1:1">
      <c r="A46" s="1093" t="s">
        <v>776</v>
      </c>
    </row>
    <row r="47" spans="1:1">
      <c r="A47" s="1093" t="s">
        <v>777</v>
      </c>
    </row>
    <row r="48" spans="1:1">
      <c r="A48" s="1093" t="s">
        <v>778</v>
      </c>
    </row>
    <row r="49" spans="1:1">
      <c r="A49" s="1093" t="s">
        <v>779</v>
      </c>
    </row>
    <row r="50" spans="1:1">
      <c r="A50" s="1093" t="s">
        <v>780</v>
      </c>
    </row>
    <row r="51" spans="1:1">
      <c r="A51" s="1093" t="s">
        <v>781</v>
      </c>
    </row>
    <row r="52" spans="1:1">
      <c r="A52" s="1093" t="s">
        <v>782</v>
      </c>
    </row>
    <row r="53" spans="1:1">
      <c r="A53" s="1093" t="s">
        <v>783</v>
      </c>
    </row>
    <row r="54" spans="1:1">
      <c r="A54" s="1093" t="s">
        <v>784</v>
      </c>
    </row>
    <row r="55" spans="1:1">
      <c r="A55" s="1093" t="s">
        <v>785</v>
      </c>
    </row>
    <row r="56" spans="1:1">
      <c r="A56" s="1093" t="s">
        <v>454</v>
      </c>
    </row>
    <row r="57" spans="1:1">
      <c r="A57" s="1093" t="s">
        <v>455</v>
      </c>
    </row>
    <row r="58" spans="1:1">
      <c r="A58" s="1093" t="s">
        <v>786</v>
      </c>
    </row>
    <row r="59" spans="1:1">
      <c r="A59" s="1093" t="s">
        <v>787</v>
      </c>
    </row>
    <row r="60" spans="1:1">
      <c r="A60" s="1093" t="s">
        <v>788</v>
      </c>
    </row>
    <row r="61" spans="1:1">
      <c r="A61" s="1093" t="s">
        <v>789</v>
      </c>
    </row>
    <row r="62" spans="1:1">
      <c r="A62" s="1093" t="s">
        <v>628</v>
      </c>
    </row>
    <row r="63" spans="1:1">
      <c r="A63" s="1093" t="s">
        <v>790</v>
      </c>
    </row>
    <row r="64" spans="1:1">
      <c r="A64" s="1093" t="s">
        <v>338</v>
      </c>
    </row>
    <row r="65" spans="1:1">
      <c r="A65" s="1093" t="s">
        <v>791</v>
      </c>
    </row>
    <row r="66" spans="1:1">
      <c r="A66" s="1093" t="s">
        <v>792</v>
      </c>
    </row>
    <row r="67" spans="1:1">
      <c r="A67" s="1093" t="s">
        <v>793</v>
      </c>
    </row>
    <row r="68" spans="1:1">
      <c r="A68" s="1093" t="s">
        <v>794</v>
      </c>
    </row>
    <row r="69" spans="1:1">
      <c r="A69" s="1093" t="s">
        <v>795</v>
      </c>
    </row>
    <row r="70" spans="1:1">
      <c r="A70" s="1093" t="s">
        <v>796</v>
      </c>
    </row>
    <row r="71" spans="1:1">
      <c r="A71" s="1093" t="s">
        <v>797</v>
      </c>
    </row>
    <row r="72" spans="1:1">
      <c r="A72" s="1093" t="s">
        <v>798</v>
      </c>
    </row>
    <row r="73" spans="1:1">
      <c r="A73" s="1093" t="s">
        <v>799</v>
      </c>
    </row>
    <row r="74" spans="1:1">
      <c r="A74" s="1093" t="s">
        <v>800</v>
      </c>
    </row>
    <row r="75" spans="1:1">
      <c r="A75" s="1093" t="s">
        <v>801</v>
      </c>
    </row>
    <row r="76" spans="1:1">
      <c r="A76" s="1093" t="s">
        <v>802</v>
      </c>
    </row>
    <row r="77" spans="1:1">
      <c r="A77" s="1093" t="s">
        <v>803</v>
      </c>
    </row>
    <row r="78" spans="1:1">
      <c r="A78" s="1093" t="s">
        <v>804</v>
      </c>
    </row>
    <row r="79" spans="1:1">
      <c r="A79" s="1093" t="s">
        <v>805</v>
      </c>
    </row>
    <row r="80" spans="1:1">
      <c r="A80" s="1093" t="s">
        <v>806</v>
      </c>
    </row>
    <row r="81" spans="1:1">
      <c r="A81" s="1093" t="s">
        <v>807</v>
      </c>
    </row>
    <row r="82" spans="1:1">
      <c r="A82" s="1093" t="s">
        <v>808</v>
      </c>
    </row>
    <row r="83" spans="1:1">
      <c r="A83" s="1093" t="s">
        <v>809</v>
      </c>
    </row>
    <row r="84" spans="1:1">
      <c r="A84" s="1093" t="s">
        <v>810</v>
      </c>
    </row>
    <row r="85" spans="1:1">
      <c r="A85" s="1093" t="s">
        <v>811</v>
      </c>
    </row>
    <row r="86" spans="1:1">
      <c r="A86" s="1093" t="s">
        <v>812</v>
      </c>
    </row>
    <row r="87" spans="1:1">
      <c r="A87" s="1093" t="s">
        <v>457</v>
      </c>
    </row>
    <row r="88" spans="1:1">
      <c r="A88" s="1093" t="s">
        <v>813</v>
      </c>
    </row>
    <row r="89" spans="1:1">
      <c r="A89" s="1093" t="s">
        <v>814</v>
      </c>
    </row>
    <row r="90" spans="1:1">
      <c r="A90" s="1093" t="s">
        <v>815</v>
      </c>
    </row>
    <row r="91" spans="1:1">
      <c r="A91" s="1093" t="s">
        <v>816</v>
      </c>
    </row>
    <row r="92" spans="1:1">
      <c r="A92" s="1093" t="s">
        <v>817</v>
      </c>
    </row>
    <row r="93" spans="1:1">
      <c r="A93" s="1093" t="s">
        <v>818</v>
      </c>
    </row>
    <row r="94" spans="1:1">
      <c r="A94" s="1093" t="s">
        <v>819</v>
      </c>
    </row>
    <row r="95" spans="1:1">
      <c r="A95" s="1093" t="s">
        <v>820</v>
      </c>
    </row>
    <row r="96" spans="1:1">
      <c r="A96" s="1093" t="s">
        <v>821</v>
      </c>
    </row>
    <row r="97" spans="1:1">
      <c r="A97" s="1093" t="s">
        <v>822</v>
      </c>
    </row>
    <row r="98" spans="1:1">
      <c r="A98" s="1093" t="s">
        <v>823</v>
      </c>
    </row>
    <row r="99" spans="1:1">
      <c r="A99" s="1093" t="s">
        <v>824</v>
      </c>
    </row>
    <row r="100" spans="1:1">
      <c r="A100" s="1093" t="s">
        <v>825</v>
      </c>
    </row>
    <row r="101" spans="1:1">
      <c r="A101" s="1093" t="s">
        <v>826</v>
      </c>
    </row>
    <row r="102" spans="1:1">
      <c r="A102" s="1093" t="s">
        <v>827</v>
      </c>
    </row>
    <row r="103" spans="1:1">
      <c r="A103" s="1093" t="s">
        <v>828</v>
      </c>
    </row>
    <row r="104" spans="1:1">
      <c r="A104" s="1093" t="s">
        <v>829</v>
      </c>
    </row>
    <row r="105" spans="1:1">
      <c r="A105" s="1093" t="s">
        <v>830</v>
      </c>
    </row>
    <row r="106" spans="1:1">
      <c r="A106" s="1093" t="s">
        <v>831</v>
      </c>
    </row>
    <row r="107" spans="1:1">
      <c r="A107" s="1093" t="s">
        <v>832</v>
      </c>
    </row>
    <row r="108" spans="1:1">
      <c r="A108" s="1093" t="s">
        <v>359</v>
      </c>
    </row>
    <row r="109" spans="1:1">
      <c r="A109" s="1093" t="s">
        <v>339</v>
      </c>
    </row>
    <row r="110" spans="1:1">
      <c r="A110" s="1093" t="s">
        <v>833</v>
      </c>
    </row>
    <row r="111" spans="1:1">
      <c r="A111" s="1093" t="s">
        <v>834</v>
      </c>
    </row>
    <row r="112" spans="1:1">
      <c r="A112" s="1093" t="s">
        <v>835</v>
      </c>
    </row>
    <row r="113" spans="1:1">
      <c r="A113" s="1093" t="s">
        <v>836</v>
      </c>
    </row>
    <row r="114" spans="1:1">
      <c r="A114" s="1093" t="s">
        <v>630</v>
      </c>
    </row>
    <row r="115" spans="1:1">
      <c r="A115" s="1093" t="s">
        <v>458</v>
      </c>
    </row>
    <row r="116" spans="1:1">
      <c r="A116" s="1093" t="s">
        <v>837</v>
      </c>
    </row>
    <row r="117" spans="1:1">
      <c r="A117" s="1093" t="s">
        <v>838</v>
      </c>
    </row>
    <row r="118" spans="1:1">
      <c r="A118" s="1093" t="s">
        <v>839</v>
      </c>
    </row>
    <row r="119" spans="1:1">
      <c r="A119" s="1093" t="s">
        <v>840</v>
      </c>
    </row>
    <row r="120" spans="1:1">
      <c r="A120" s="1093" t="s">
        <v>576</v>
      </c>
    </row>
    <row r="121" spans="1:1">
      <c r="A121" s="1093" t="s">
        <v>841</v>
      </c>
    </row>
    <row r="122" spans="1:1">
      <c r="A122" s="1093" t="s">
        <v>842</v>
      </c>
    </row>
    <row r="123" spans="1:1">
      <c r="A123" s="1093" t="s">
        <v>632</v>
      </c>
    </row>
    <row r="124" spans="1:1">
      <c r="A124" s="1093" t="s">
        <v>340</v>
      </c>
    </row>
    <row r="125" spans="1:1">
      <c r="A125" s="1093" t="s">
        <v>843</v>
      </c>
    </row>
    <row r="126" spans="1:1">
      <c r="A126" s="1093" t="s">
        <v>844</v>
      </c>
    </row>
    <row r="127" spans="1:1">
      <c r="A127" s="1093" t="s">
        <v>845</v>
      </c>
    </row>
    <row r="128" spans="1:1">
      <c r="A128" s="1093" t="s">
        <v>846</v>
      </c>
    </row>
    <row r="129" spans="1:1">
      <c r="A129" s="1093" t="s">
        <v>847</v>
      </c>
    </row>
    <row r="130" spans="1:1">
      <c r="A130" s="1093" t="s">
        <v>848</v>
      </c>
    </row>
    <row r="131" spans="1:1">
      <c r="A131" s="1093" t="s">
        <v>849</v>
      </c>
    </row>
    <row r="132" spans="1:1">
      <c r="A132" s="1093" t="s">
        <v>633</v>
      </c>
    </row>
    <row r="133" spans="1:1">
      <c r="A133" s="1093" t="s">
        <v>850</v>
      </c>
    </row>
    <row r="134" spans="1:1">
      <c r="A134" s="1093" t="s">
        <v>341</v>
      </c>
    </row>
    <row r="135" spans="1:1">
      <c r="A135" s="1093" t="s">
        <v>851</v>
      </c>
    </row>
    <row r="136" spans="1:1">
      <c r="A136" s="1093" t="s">
        <v>852</v>
      </c>
    </row>
    <row r="137" spans="1:1">
      <c r="A137" s="1093" t="s">
        <v>459</v>
      </c>
    </row>
    <row r="138" spans="1:1">
      <c r="A138" s="1093" t="s">
        <v>853</v>
      </c>
    </row>
    <row r="139" spans="1:1">
      <c r="A139" s="1093" t="s">
        <v>854</v>
      </c>
    </row>
    <row r="140" spans="1:1">
      <c r="A140" s="1093" t="s">
        <v>855</v>
      </c>
    </row>
    <row r="141" spans="1:1">
      <c r="A141" s="1093" t="s">
        <v>856</v>
      </c>
    </row>
    <row r="142" spans="1:1">
      <c r="A142" s="1093" t="s">
        <v>857</v>
      </c>
    </row>
    <row r="143" spans="1:1">
      <c r="A143" s="1093" t="s">
        <v>858</v>
      </c>
    </row>
    <row r="144" spans="1:1">
      <c r="A144" s="1093" t="s">
        <v>859</v>
      </c>
    </row>
    <row r="145" spans="1:1">
      <c r="A145" s="1093" t="s">
        <v>860</v>
      </c>
    </row>
    <row r="146" spans="1:1">
      <c r="A146" s="1093" t="s">
        <v>861</v>
      </c>
    </row>
    <row r="147" spans="1:1">
      <c r="A147" s="1093" t="s">
        <v>862</v>
      </c>
    </row>
    <row r="148" spans="1:1">
      <c r="A148" s="1093" t="s">
        <v>863</v>
      </c>
    </row>
    <row r="149" spans="1:1">
      <c r="A149" s="1093" t="s">
        <v>460</v>
      </c>
    </row>
    <row r="150" spans="1:1">
      <c r="A150" s="1093" t="s">
        <v>342</v>
      </c>
    </row>
    <row r="151" spans="1:1">
      <c r="A151" s="1093" t="s">
        <v>864</v>
      </c>
    </row>
    <row r="152" spans="1:1">
      <c r="A152" s="1093" t="s">
        <v>865</v>
      </c>
    </row>
    <row r="153" spans="1:1">
      <c r="A153" s="1093" t="s">
        <v>343</v>
      </c>
    </row>
    <row r="154" spans="1:1">
      <c r="A154" s="1093" t="s">
        <v>866</v>
      </c>
    </row>
    <row r="155" spans="1:1">
      <c r="A155" s="1093" t="s">
        <v>867</v>
      </c>
    </row>
    <row r="156" spans="1:1">
      <c r="A156" s="1093" t="s">
        <v>868</v>
      </c>
    </row>
    <row r="157" spans="1:1">
      <c r="A157" s="1093" t="s">
        <v>869</v>
      </c>
    </row>
    <row r="158" spans="1:1">
      <c r="A158" s="1093" t="s">
        <v>870</v>
      </c>
    </row>
    <row r="159" spans="1:1">
      <c r="A159" s="1093" t="s">
        <v>462</v>
      </c>
    </row>
    <row r="160" spans="1:1">
      <c r="A160" s="1093" t="s">
        <v>871</v>
      </c>
    </row>
    <row r="161" spans="1:1">
      <c r="A161" s="1093" t="s">
        <v>344</v>
      </c>
    </row>
    <row r="162" spans="1:1">
      <c r="A162" s="1093" t="s">
        <v>872</v>
      </c>
    </row>
    <row r="163" spans="1:1">
      <c r="A163" s="1093" t="s">
        <v>345</v>
      </c>
    </row>
    <row r="164" spans="1:1">
      <c r="A164" s="1093" t="s">
        <v>873</v>
      </c>
    </row>
    <row r="165" spans="1:1">
      <c r="A165" s="1093" t="s">
        <v>463</v>
      </c>
    </row>
    <row r="166" spans="1:1">
      <c r="A166" s="1093" t="s">
        <v>874</v>
      </c>
    </row>
    <row r="167" spans="1:1">
      <c r="A167" s="1093" t="s">
        <v>875</v>
      </c>
    </row>
    <row r="168" spans="1:1">
      <c r="A168" s="1093" t="s">
        <v>876</v>
      </c>
    </row>
    <row r="169" spans="1:1">
      <c r="A169" s="1093" t="s">
        <v>877</v>
      </c>
    </row>
    <row r="170" spans="1:1">
      <c r="A170" s="1093" t="s">
        <v>878</v>
      </c>
    </row>
    <row r="171" spans="1:1">
      <c r="A171" s="1093" t="s">
        <v>879</v>
      </c>
    </row>
    <row r="172" spans="1:1">
      <c r="A172" s="1093" t="s">
        <v>880</v>
      </c>
    </row>
    <row r="173" spans="1:1">
      <c r="A173" s="1093" t="s">
        <v>881</v>
      </c>
    </row>
    <row r="174" spans="1:1">
      <c r="A174" s="1093" t="s">
        <v>882</v>
      </c>
    </row>
    <row r="175" spans="1:1">
      <c r="A175" s="1093" t="s">
        <v>883</v>
      </c>
    </row>
    <row r="176" spans="1:1">
      <c r="A176" s="1093" t="s">
        <v>884</v>
      </c>
    </row>
    <row r="177" spans="1:1">
      <c r="A177" s="1093" t="s">
        <v>346</v>
      </c>
    </row>
    <row r="178" spans="1:1">
      <c r="A178" s="1093" t="s">
        <v>885</v>
      </c>
    </row>
    <row r="179" spans="1:1">
      <c r="A179" s="1093" t="s">
        <v>886</v>
      </c>
    </row>
    <row r="180" spans="1:1">
      <c r="A180" s="1093" t="s">
        <v>887</v>
      </c>
    </row>
    <row r="181" spans="1:1">
      <c r="A181" s="1093" t="s">
        <v>888</v>
      </c>
    </row>
    <row r="182" spans="1:1">
      <c r="A182" s="1093" t="s">
        <v>889</v>
      </c>
    </row>
    <row r="183" spans="1:1">
      <c r="A183" s="1093" t="s">
        <v>890</v>
      </c>
    </row>
    <row r="184" spans="1:1">
      <c r="A184" s="1093" t="s">
        <v>891</v>
      </c>
    </row>
    <row r="185" spans="1:1">
      <c r="A185" s="1093" t="s">
        <v>892</v>
      </c>
    </row>
    <row r="186" spans="1:1">
      <c r="A186" s="1093" t="s">
        <v>893</v>
      </c>
    </row>
    <row r="187" spans="1:1">
      <c r="A187" s="1093" t="s">
        <v>894</v>
      </c>
    </row>
    <row r="188" spans="1:1">
      <c r="A188" s="1093" t="s">
        <v>895</v>
      </c>
    </row>
    <row r="189" spans="1:1">
      <c r="A189" s="1093" t="s">
        <v>464</v>
      </c>
    </row>
    <row r="190" spans="1:1">
      <c r="A190" s="1093" t="s">
        <v>896</v>
      </c>
    </row>
    <row r="191" spans="1:1">
      <c r="A191" s="1093" t="s">
        <v>897</v>
      </c>
    </row>
    <row r="192" spans="1:1">
      <c r="A192" s="1093" t="s">
        <v>898</v>
      </c>
    </row>
    <row r="193" spans="1:1">
      <c r="A193" s="1093" t="s">
        <v>899</v>
      </c>
    </row>
    <row r="194" spans="1:1">
      <c r="A194" s="1093" t="s">
        <v>900</v>
      </c>
    </row>
    <row r="195" spans="1:1">
      <c r="A195" s="1093" t="s">
        <v>901</v>
      </c>
    </row>
    <row r="196" spans="1:1">
      <c r="A196" s="1093" t="s">
        <v>902</v>
      </c>
    </row>
    <row r="197" spans="1:1">
      <c r="A197" s="1093" t="s">
        <v>903</v>
      </c>
    </row>
    <row r="198" spans="1:1">
      <c r="A198" s="1093" t="s">
        <v>904</v>
      </c>
    </row>
    <row r="199" spans="1:1">
      <c r="A199" s="1093" t="s">
        <v>905</v>
      </c>
    </row>
    <row r="200" spans="1:1">
      <c r="A200" s="1093" t="s">
        <v>465</v>
      </c>
    </row>
    <row r="201" spans="1:1">
      <c r="A201" s="1093" t="s">
        <v>906</v>
      </c>
    </row>
    <row r="202" spans="1:1">
      <c r="A202" s="1093" t="s">
        <v>907</v>
      </c>
    </row>
    <row r="203" spans="1:1">
      <c r="A203" s="1093" t="s">
        <v>908</v>
      </c>
    </row>
    <row r="204" spans="1:1">
      <c r="A204" s="1093" t="s">
        <v>909</v>
      </c>
    </row>
    <row r="205" spans="1:1">
      <c r="A205" s="1093" t="s">
        <v>910</v>
      </c>
    </row>
    <row r="206" spans="1:1">
      <c r="A206" s="1093" t="s">
        <v>911</v>
      </c>
    </row>
    <row r="207" spans="1:1">
      <c r="A207" s="1093" t="s">
        <v>347</v>
      </c>
    </row>
    <row r="208" spans="1:1">
      <c r="A208" s="1093" t="s">
        <v>912</v>
      </c>
    </row>
    <row r="209" spans="1:1">
      <c r="A209" s="1093" t="s">
        <v>348</v>
      </c>
    </row>
    <row r="210" spans="1:1">
      <c r="A210" s="1093" t="s">
        <v>913</v>
      </c>
    </row>
    <row r="211" spans="1:1">
      <c r="A211" s="1093" t="s">
        <v>914</v>
      </c>
    </row>
    <row r="212" spans="1:1">
      <c r="A212" s="1093" t="s">
        <v>915</v>
      </c>
    </row>
    <row r="213" spans="1:1">
      <c r="A213" s="1093" t="s">
        <v>916</v>
      </c>
    </row>
    <row r="214" spans="1:1">
      <c r="A214" s="1093" t="s">
        <v>917</v>
      </c>
    </row>
    <row r="215" spans="1:1">
      <c r="A215" s="1093" t="s">
        <v>918</v>
      </c>
    </row>
    <row r="216" spans="1:1">
      <c r="A216" s="1093" t="s">
        <v>919</v>
      </c>
    </row>
    <row r="217" spans="1:1">
      <c r="A217" s="1093" t="s">
        <v>920</v>
      </c>
    </row>
    <row r="218" spans="1:1">
      <c r="A218" s="1093" t="s">
        <v>921</v>
      </c>
    </row>
    <row r="219" spans="1:1">
      <c r="A219" s="1093" t="s">
        <v>922</v>
      </c>
    </row>
    <row r="220" spans="1:1">
      <c r="A220" s="1093" t="s">
        <v>923</v>
      </c>
    </row>
    <row r="221" spans="1:1">
      <c r="A221" s="1093" t="s">
        <v>924</v>
      </c>
    </row>
    <row r="222" spans="1:1">
      <c r="A222" s="1093" t="s">
        <v>925</v>
      </c>
    </row>
    <row r="223" spans="1:1">
      <c r="A223" s="1093" t="s">
        <v>926</v>
      </c>
    </row>
    <row r="224" spans="1:1">
      <c r="A224" s="1093" t="s">
        <v>927</v>
      </c>
    </row>
    <row r="225" spans="1:1">
      <c r="A225" s="1093" t="s">
        <v>349</v>
      </c>
    </row>
    <row r="226" spans="1:1">
      <c r="A226" s="1093" t="s">
        <v>467</v>
      </c>
    </row>
    <row r="227" spans="1:1">
      <c r="A227" s="1093" t="s">
        <v>928</v>
      </c>
    </row>
    <row r="228" spans="1:1">
      <c r="A228" s="1093" t="s">
        <v>929</v>
      </c>
    </row>
    <row r="229" spans="1:1">
      <c r="A229" s="1093" t="s">
        <v>930</v>
      </c>
    </row>
    <row r="230" spans="1:1">
      <c r="A230" s="1093" t="s">
        <v>931</v>
      </c>
    </row>
    <row r="231" spans="1:1">
      <c r="A231" s="1093" t="s">
        <v>932</v>
      </c>
    </row>
    <row r="232" spans="1:1">
      <c r="A232" s="1093" t="s">
        <v>350</v>
      </c>
    </row>
    <row r="233" spans="1:1">
      <c r="A233" s="1093" t="s">
        <v>933</v>
      </c>
    </row>
    <row r="234" spans="1:1">
      <c r="A234" s="1093" t="s">
        <v>934</v>
      </c>
    </row>
    <row r="235" spans="1:1">
      <c r="A235" s="1093" t="s">
        <v>935</v>
      </c>
    </row>
    <row r="236" spans="1:1">
      <c r="A236" s="1093" t="s">
        <v>936</v>
      </c>
    </row>
    <row r="237" spans="1:1">
      <c r="A237" s="1093" t="s">
        <v>351</v>
      </c>
    </row>
    <row r="238" spans="1:1">
      <c r="A238" s="1093" t="s">
        <v>937</v>
      </c>
    </row>
    <row r="239" spans="1:1">
      <c r="A239" s="1093" t="s">
        <v>938</v>
      </c>
    </row>
    <row r="240" spans="1:1">
      <c r="A240" s="1093" t="s">
        <v>939</v>
      </c>
    </row>
    <row r="241" spans="1:1">
      <c r="A241" s="1093" t="s">
        <v>940</v>
      </c>
    </row>
    <row r="242" spans="1:1">
      <c r="A242" s="1093" t="s">
        <v>941</v>
      </c>
    </row>
    <row r="243" spans="1:1">
      <c r="A243" s="1093" t="s">
        <v>942</v>
      </c>
    </row>
    <row r="244" spans="1:1">
      <c r="A244" s="1093" t="s">
        <v>360</v>
      </c>
    </row>
    <row r="245" spans="1:1">
      <c r="A245" s="1093" t="s">
        <v>524</v>
      </c>
    </row>
    <row r="246" spans="1:1">
      <c r="A246" s="1093" t="s">
        <v>943</v>
      </c>
    </row>
    <row r="247" spans="1:1">
      <c r="A247" s="1093" t="s">
        <v>944</v>
      </c>
    </row>
    <row r="248" spans="1:1">
      <c r="A248" s="1093" t="s">
        <v>945</v>
      </c>
    </row>
    <row r="249" spans="1:1">
      <c r="A249" s="1093" t="s">
        <v>414</v>
      </c>
    </row>
    <row r="250" spans="1:1">
      <c r="A250" s="1093" t="s">
        <v>946</v>
      </c>
    </row>
    <row r="251" spans="1:1">
      <c r="A251" s="1093" t="s">
        <v>947</v>
      </c>
    </row>
    <row r="252" spans="1:1">
      <c r="A252" s="1093" t="s">
        <v>352</v>
      </c>
    </row>
    <row r="253" spans="1:1">
      <c r="A253" s="1093" t="s">
        <v>948</v>
      </c>
    </row>
    <row r="254" spans="1:1">
      <c r="A254" s="1093" t="s">
        <v>949</v>
      </c>
    </row>
    <row r="255" spans="1:1">
      <c r="A255" s="1093" t="s">
        <v>950</v>
      </c>
    </row>
    <row r="256" spans="1:1">
      <c r="A256" s="1093" t="s">
        <v>951</v>
      </c>
    </row>
    <row r="257" spans="1:1">
      <c r="A257" s="1093" t="s">
        <v>952</v>
      </c>
    </row>
    <row r="258" spans="1:1">
      <c r="A258" s="1093" t="s">
        <v>468</v>
      </c>
    </row>
    <row r="259" spans="1:1">
      <c r="A259" s="1093" t="s">
        <v>953</v>
      </c>
    </row>
    <row r="260" spans="1:1">
      <c r="A260" s="1093" t="s">
        <v>469</v>
      </c>
    </row>
    <row r="261" spans="1:1">
      <c r="A261" s="1093" t="s">
        <v>954</v>
      </c>
    </row>
    <row r="262" spans="1:1">
      <c r="A262" s="1093" t="s">
        <v>955</v>
      </c>
    </row>
    <row r="263" spans="1:1">
      <c r="A263" s="1093" t="s">
        <v>956</v>
      </c>
    </row>
    <row r="264" spans="1:1">
      <c r="A264" s="1093" t="s">
        <v>470</v>
      </c>
    </row>
    <row r="265" spans="1:1">
      <c r="A265" s="1093" t="s">
        <v>957</v>
      </c>
    </row>
    <row r="266" spans="1:1">
      <c r="A266" s="1093" t="s">
        <v>958</v>
      </c>
    </row>
    <row r="267" spans="1:1">
      <c r="A267" s="1093" t="s">
        <v>471</v>
      </c>
    </row>
    <row r="268" spans="1:1">
      <c r="A268" s="1093" t="s">
        <v>959</v>
      </c>
    </row>
    <row r="269" spans="1:1">
      <c r="A269" s="1093" t="s">
        <v>960</v>
      </c>
    </row>
    <row r="270" spans="1:1">
      <c r="A270" s="1093" t="s">
        <v>961</v>
      </c>
    </row>
    <row r="271" spans="1:1">
      <c r="A271" s="1093" t="s">
        <v>962</v>
      </c>
    </row>
    <row r="272" spans="1:1">
      <c r="A272" s="1093" t="s">
        <v>963</v>
      </c>
    </row>
    <row r="273" spans="1:1">
      <c r="A273" s="1093" t="s">
        <v>964</v>
      </c>
    </row>
    <row r="274" spans="1:1">
      <c r="A274" s="1093" t="s">
        <v>965</v>
      </c>
    </row>
    <row r="275" spans="1:1">
      <c r="A275" s="1093" t="s">
        <v>472</v>
      </c>
    </row>
    <row r="276" spans="1:1">
      <c r="A276" s="1093" t="s">
        <v>966</v>
      </c>
    </row>
    <row r="277" spans="1:1">
      <c r="A277" s="1093" t="s">
        <v>967</v>
      </c>
    </row>
    <row r="278" spans="1:1">
      <c r="A278" s="1093" t="s">
        <v>968</v>
      </c>
    </row>
    <row r="279" spans="1:1">
      <c r="A279" s="1093" t="s">
        <v>969</v>
      </c>
    </row>
    <row r="280" spans="1:1">
      <c r="A280" s="1093" t="s">
        <v>970</v>
      </c>
    </row>
    <row r="281" spans="1:1">
      <c r="A281" s="1093" t="s">
        <v>971</v>
      </c>
    </row>
    <row r="282" spans="1:1">
      <c r="A282" s="1093" t="s">
        <v>972</v>
      </c>
    </row>
    <row r="283" spans="1:1">
      <c r="A283" s="1093" t="s">
        <v>973</v>
      </c>
    </row>
    <row r="284" spans="1:1">
      <c r="A284" s="1093" t="s">
        <v>361</v>
      </c>
    </row>
    <row r="285" spans="1:1">
      <c r="A285" s="1093" t="s">
        <v>974</v>
      </c>
    </row>
    <row r="286" spans="1:1">
      <c r="A286" s="1093" t="s">
        <v>353</v>
      </c>
    </row>
    <row r="287" spans="1:1">
      <c r="A287" s="1093" t="s">
        <v>975</v>
      </c>
    </row>
    <row r="288" spans="1:1">
      <c r="A288" s="1093" t="s">
        <v>354</v>
      </c>
    </row>
    <row r="289" spans="1:1">
      <c r="A289" s="1093" t="s">
        <v>605</v>
      </c>
    </row>
    <row r="290" spans="1:1">
      <c r="A290" s="1093" t="s">
        <v>976</v>
      </c>
    </row>
    <row r="291" spans="1:1">
      <c r="A291" s="1093" t="s">
        <v>977</v>
      </c>
    </row>
    <row r="292" spans="1:1">
      <c r="A292" s="1093" t="s">
        <v>978</v>
      </c>
    </row>
    <row r="293" spans="1:1">
      <c r="A293" s="1093" t="s">
        <v>979</v>
      </c>
    </row>
    <row r="294" spans="1:1">
      <c r="A294" s="1093" t="s">
        <v>980</v>
      </c>
    </row>
    <row r="295" spans="1:1">
      <c r="A295" s="1093" t="s">
        <v>981</v>
      </c>
    </row>
    <row r="296" spans="1:1">
      <c r="A296" s="1093" t="s">
        <v>982</v>
      </c>
    </row>
    <row r="297" spans="1:1">
      <c r="A297" s="1093" t="s">
        <v>983</v>
      </c>
    </row>
    <row r="298" spans="1:1">
      <c r="A298" s="1093" t="s">
        <v>473</v>
      </c>
    </row>
    <row r="299" spans="1:1">
      <c r="A299" s="1093" t="s">
        <v>984</v>
      </c>
    </row>
    <row r="300" spans="1:1">
      <c r="A300" s="1093" t="s">
        <v>985</v>
      </c>
    </row>
    <row r="301" spans="1:1">
      <c r="A301" s="1093" t="s">
        <v>986</v>
      </c>
    </row>
    <row r="302" spans="1:1">
      <c r="A302" s="1093" t="s">
        <v>987</v>
      </c>
    </row>
    <row r="303" spans="1:1">
      <c r="A303" s="1093" t="s">
        <v>988</v>
      </c>
    </row>
    <row r="304" spans="1:1">
      <c r="A304" s="1093" t="s">
        <v>989</v>
      </c>
    </row>
    <row r="305" spans="1:1">
      <c r="A305" s="1093" t="s">
        <v>990</v>
      </c>
    </row>
    <row r="306" spans="1:1">
      <c r="A306" s="1093" t="s">
        <v>474</v>
      </c>
    </row>
    <row r="307" spans="1:1">
      <c r="A307" s="1093" t="s">
        <v>991</v>
      </c>
    </row>
    <row r="308" spans="1:1">
      <c r="A308" s="1093" t="s">
        <v>362</v>
      </c>
    </row>
    <row r="309" spans="1:1">
      <c r="A309" s="1093" t="s">
        <v>992</v>
      </c>
    </row>
    <row r="310" spans="1:1">
      <c r="A310" s="1093" t="s">
        <v>993</v>
      </c>
    </row>
    <row r="311" spans="1:1">
      <c r="A311" s="1093" t="s">
        <v>994</v>
      </c>
    </row>
    <row r="312" spans="1:1">
      <c r="A312" s="1093" t="s">
        <v>995</v>
      </c>
    </row>
    <row r="313" spans="1:1">
      <c r="A313" s="1093" t="s">
        <v>996</v>
      </c>
    </row>
    <row r="314" spans="1:1">
      <c r="A314" s="1093" t="s">
        <v>997</v>
      </c>
    </row>
    <row r="315" spans="1:1">
      <c r="A315" s="1093" t="s">
        <v>624</v>
      </c>
    </row>
    <row r="316" spans="1:1">
      <c r="A316" s="1093" t="s">
        <v>585</v>
      </c>
    </row>
    <row r="317" spans="1:1">
      <c r="A317" s="1093" t="s">
        <v>636</v>
      </c>
    </row>
    <row r="318" spans="1:1">
      <c r="A318" s="1093" t="s">
        <v>998</v>
      </c>
    </row>
    <row r="319" spans="1:1">
      <c r="A319" s="1093" t="s">
        <v>604</v>
      </c>
    </row>
    <row r="320" spans="1:1">
      <c r="A320" s="1093" t="s">
        <v>999</v>
      </c>
    </row>
    <row r="321" spans="1:1">
      <c r="A321" s="1093" t="s">
        <v>1000</v>
      </c>
    </row>
    <row r="322" spans="1:1">
      <c r="A322" s="1093" t="s">
        <v>475</v>
      </c>
    </row>
    <row r="323" spans="1:1">
      <c r="A323" s="1093" t="s">
        <v>1001</v>
      </c>
    </row>
    <row r="324" spans="1:1">
      <c r="A324" s="1093" t="s">
        <v>1002</v>
      </c>
    </row>
    <row r="325" spans="1:1">
      <c r="A325" s="1093" t="s">
        <v>1003</v>
      </c>
    </row>
    <row r="326" spans="1:1">
      <c r="A326" s="1093" t="s">
        <v>1004</v>
      </c>
    </row>
    <row r="327" spans="1:1">
      <c r="A327" s="1093" t="s">
        <v>1005</v>
      </c>
    </row>
    <row r="328" spans="1:1">
      <c r="A328" s="1093" t="s">
        <v>586</v>
      </c>
    </row>
    <row r="329" spans="1:1">
      <c r="A329" s="1093" t="s">
        <v>1006</v>
      </c>
    </row>
    <row r="330" spans="1:1">
      <c r="A330" s="1093" t="s">
        <v>1007</v>
      </c>
    </row>
    <row r="331" spans="1:1">
      <c r="A331" s="1093" t="s">
        <v>1008</v>
      </c>
    </row>
    <row r="332" spans="1:1">
      <c r="A332" s="1093" t="s">
        <v>1009</v>
      </c>
    </row>
    <row r="333" spans="1:1">
      <c r="A333" s="1093" t="s">
        <v>1010</v>
      </c>
    </row>
    <row r="334" spans="1:1">
      <c r="A334" s="1093" t="s">
        <v>355</v>
      </c>
    </row>
    <row r="335" spans="1:1">
      <c r="A335" s="1093" t="s">
        <v>1011</v>
      </c>
    </row>
    <row r="336" spans="1:1">
      <c r="A336" s="1093" t="s">
        <v>1012</v>
      </c>
    </row>
    <row r="337" spans="1:1">
      <c r="A337" s="1093" t="s">
        <v>476</v>
      </c>
    </row>
    <row r="338" spans="1:1">
      <c r="A338" s="1093" t="s">
        <v>1013</v>
      </c>
    </row>
    <row r="339" spans="1:1">
      <c r="A339" s="1093" t="s">
        <v>1014</v>
      </c>
    </row>
    <row r="340" spans="1:1">
      <c r="A340" s="1093" t="s">
        <v>356</v>
      </c>
    </row>
    <row r="341" spans="1:1">
      <c r="A341" s="1093" t="s">
        <v>1015</v>
      </c>
    </row>
    <row r="342" spans="1:1">
      <c r="A342" s="1093" t="s">
        <v>1016</v>
      </c>
    </row>
    <row r="343" spans="1:1">
      <c r="A343" s="1093" t="s">
        <v>1017</v>
      </c>
    </row>
    <row r="344" spans="1:1">
      <c r="A344" s="1093" t="s">
        <v>1018</v>
      </c>
    </row>
    <row r="345" spans="1:1">
      <c r="A345" s="1093" t="s">
        <v>1019</v>
      </c>
    </row>
    <row r="346" spans="1:1">
      <c r="A346" s="1093" t="s">
        <v>477</v>
      </c>
    </row>
    <row r="347" spans="1:1">
      <c r="A347" s="1093" t="s">
        <v>1020</v>
      </c>
    </row>
    <row r="348" spans="1:1">
      <c r="A348" s="1093" t="s">
        <v>663</v>
      </c>
    </row>
    <row r="349" spans="1:1">
      <c r="A349" s="1093" t="s">
        <v>1021</v>
      </c>
    </row>
    <row r="350" spans="1:1">
      <c r="A350" s="1093" t="s">
        <v>1022</v>
      </c>
    </row>
    <row r="351" spans="1:1">
      <c r="A351" s="1109"/>
    </row>
    <row r="352" spans="1:1">
      <c r="A352" s="91"/>
    </row>
    <row r="353" spans="1:1">
      <c r="A353" s="91"/>
    </row>
    <row r="354" spans="1:1">
      <c r="A354" s="91"/>
    </row>
    <row r="355" spans="1:1">
      <c r="A355" s="91"/>
    </row>
    <row r="356" spans="1:1">
      <c r="A356" s="91"/>
    </row>
    <row r="357" spans="1:1">
      <c r="A357" s="91"/>
    </row>
    <row r="358" spans="1:1">
      <c r="A358" s="91"/>
    </row>
    <row r="359" spans="1:1">
      <c r="A359" s="91"/>
    </row>
    <row r="360" spans="1:1">
      <c r="A360" s="91"/>
    </row>
    <row r="361" spans="1:1">
      <c r="A361" s="91"/>
    </row>
    <row r="362" spans="1:1">
      <c r="A362" s="91"/>
    </row>
    <row r="363" spans="1:1">
      <c r="A363" s="91"/>
    </row>
    <row r="364" spans="1:1">
      <c r="A364" s="91"/>
    </row>
    <row r="365" spans="1:1">
      <c r="A365" s="91"/>
    </row>
    <row r="366" spans="1:1">
      <c r="A366" s="91"/>
    </row>
    <row r="367" spans="1:1">
      <c r="A367" s="91"/>
    </row>
    <row r="368" spans="1:1">
      <c r="A368" s="91"/>
    </row>
    <row r="369" spans="1:1">
      <c r="A369" s="91"/>
    </row>
    <row r="370" spans="1:1">
      <c r="A370" s="91"/>
    </row>
  </sheetData>
  <autoFilter ref="A1:A350">
    <sortState ref="A2:A350">
      <sortCondition ref="A1:A350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topLeftCell="A4" workbookViewId="0">
      <selection activeCell="I30" sqref="I30"/>
    </sheetView>
  </sheetViews>
  <sheetFormatPr defaultRowHeight="12.75"/>
  <cols>
    <col min="1" max="1" width="32" customWidth="1"/>
    <col min="4" max="4" width="11.7109375" bestFit="1" customWidth="1"/>
    <col min="5" max="5" width="17" bestFit="1" customWidth="1"/>
    <col min="6" max="6" width="18.28515625" customWidth="1"/>
    <col min="8" max="8" width="16" style="713" bestFit="1" customWidth="1"/>
    <col min="9" max="9" width="12.28515625" bestFit="1" customWidth="1"/>
    <col min="14" max="14" width="7.5703125" bestFit="1" customWidth="1"/>
    <col min="15" max="15" width="9.28515625" style="713" bestFit="1" customWidth="1"/>
    <col min="16" max="16" width="11.7109375" bestFit="1" customWidth="1"/>
  </cols>
  <sheetData>
    <row r="1" spans="1:18" ht="15">
      <c r="A1" s="1112" t="s">
        <v>1027</v>
      </c>
      <c r="B1" s="1112" t="s">
        <v>1028</v>
      </c>
      <c r="C1" s="1113" t="s">
        <v>1029</v>
      </c>
      <c r="D1" s="1112" t="s">
        <v>172</v>
      </c>
      <c r="E1" s="1113" t="s">
        <v>1030</v>
      </c>
    </row>
    <row r="2" spans="1:18" ht="15">
      <c r="A2" s="1112" t="s">
        <v>1034</v>
      </c>
      <c r="B2" s="1112">
        <v>3996</v>
      </c>
      <c r="C2" s="1113">
        <v>105480</v>
      </c>
      <c r="D2" s="1114">
        <v>0.4</v>
      </c>
      <c r="E2" s="1113">
        <f>C2*(1-D2)</f>
        <v>63288</v>
      </c>
    </row>
    <row r="3" spans="1:18" ht="15">
      <c r="A3" s="1112" t="s">
        <v>1031</v>
      </c>
      <c r="B3" s="1112">
        <v>2256</v>
      </c>
      <c r="C3" s="1113">
        <v>66888</v>
      </c>
      <c r="D3" s="1114">
        <v>0.55000000000000004</v>
      </c>
      <c r="E3" s="1113">
        <f>C3*(1-D3)</f>
        <v>30099.599999999999</v>
      </c>
    </row>
    <row r="4" spans="1:18" ht="15">
      <c r="A4" s="1112" t="s">
        <v>1033</v>
      </c>
      <c r="B4" s="1112">
        <v>1956</v>
      </c>
      <c r="C4" s="1113">
        <v>58284</v>
      </c>
      <c r="D4" s="1114">
        <v>0.5</v>
      </c>
      <c r="E4" s="1113">
        <f>C4*(1-D4)</f>
        <v>29142</v>
      </c>
    </row>
    <row r="5" spans="1:18" ht="15">
      <c r="A5" s="1112" t="s">
        <v>1007</v>
      </c>
      <c r="B5" s="1112">
        <v>360</v>
      </c>
      <c r="C5" s="1113">
        <v>10524</v>
      </c>
      <c r="D5" s="1114">
        <v>0.53</v>
      </c>
      <c r="E5" s="1113">
        <f>C5*(1-D5)</f>
        <v>4946.28</v>
      </c>
    </row>
    <row r="6" spans="1:18" ht="15">
      <c r="A6" s="1112" t="s">
        <v>1032</v>
      </c>
      <c r="B6" s="1112">
        <v>132</v>
      </c>
      <c r="C6" s="1113">
        <v>3504</v>
      </c>
      <c r="D6" s="1114">
        <v>0.55000000000000004</v>
      </c>
      <c r="E6" s="1113">
        <f>C6*(1-D6)</f>
        <v>1576.8</v>
      </c>
    </row>
    <row r="7" spans="1:18">
      <c r="E7" s="1111">
        <f>SUM(E2:E6)</f>
        <v>129052.68000000001</v>
      </c>
    </row>
    <row r="9" spans="1:18">
      <c r="E9" t="s">
        <v>1043</v>
      </c>
      <c r="F9" t="s">
        <v>18</v>
      </c>
      <c r="G9" t="s">
        <v>19</v>
      </c>
      <c r="H9" s="713" t="s">
        <v>1044</v>
      </c>
    </row>
    <row r="10" spans="1:18">
      <c r="A10" t="s">
        <v>1035</v>
      </c>
      <c r="E10" s="1110">
        <v>0.1</v>
      </c>
      <c r="F10" s="1110">
        <v>0.18</v>
      </c>
      <c r="G10" s="1110">
        <v>0.27</v>
      </c>
      <c r="H10" s="1110"/>
      <c r="I10" s="1110">
        <v>0.17</v>
      </c>
      <c r="J10" s="1110">
        <v>0.14000000000000001</v>
      </c>
      <c r="K10" s="1110">
        <v>7.0000000000000007E-2</v>
      </c>
      <c r="L10" s="1110">
        <v>0.03</v>
      </c>
      <c r="M10" s="1110">
        <v>0.02</v>
      </c>
      <c r="N10" s="1110">
        <v>0.02</v>
      </c>
      <c r="O10" s="1110"/>
      <c r="P10" t="s">
        <v>1036</v>
      </c>
      <c r="Q10" t="s">
        <v>1037</v>
      </c>
    </row>
    <row r="11" spans="1:18">
      <c r="A11" t="s">
        <v>1038</v>
      </c>
      <c r="D11" t="s">
        <v>1039</v>
      </c>
      <c r="E11" s="297">
        <v>521406</v>
      </c>
      <c r="F11" s="297">
        <v>912486</v>
      </c>
      <c r="G11" s="297">
        <v>1368730</v>
      </c>
      <c r="H11" s="452">
        <f>SUM(E11:G11)</f>
        <v>2802622</v>
      </c>
      <c r="I11" s="297">
        <v>863593</v>
      </c>
      <c r="J11" s="297">
        <v>709712</v>
      </c>
      <c r="K11" s="297">
        <v>354856</v>
      </c>
      <c r="L11" s="297">
        <v>152081</v>
      </c>
      <c r="M11" s="297">
        <v>101387</v>
      </c>
      <c r="N11" s="297">
        <v>101387</v>
      </c>
      <c r="O11" s="297">
        <f>SUM(I11:N11)</f>
        <v>2283016</v>
      </c>
      <c r="P11" s="297">
        <v>5069369</v>
      </c>
      <c r="Q11" s="297">
        <v>63288</v>
      </c>
      <c r="R11" t="s">
        <v>1040</v>
      </c>
    </row>
    <row r="12" spans="1:18">
      <c r="A12" t="s">
        <v>1041</v>
      </c>
      <c r="E12" s="297">
        <v>266766</v>
      </c>
      <c r="F12" s="297">
        <v>466855</v>
      </c>
      <c r="G12" s="297">
        <v>700282</v>
      </c>
      <c r="H12" s="452">
        <f>SUM(E12:G12)</f>
        <v>1433903</v>
      </c>
      <c r="I12" s="297">
        <v>441839</v>
      </c>
      <c r="J12" s="297">
        <v>363109</v>
      </c>
      <c r="K12" s="297">
        <v>181555</v>
      </c>
      <c r="L12" s="297">
        <v>77809</v>
      </c>
      <c r="M12" s="297">
        <v>51873</v>
      </c>
      <c r="N12" s="297">
        <v>51873</v>
      </c>
      <c r="O12" s="297">
        <f>SUM(I12:N12)</f>
        <v>1168058</v>
      </c>
      <c r="P12" s="297">
        <v>2593638</v>
      </c>
      <c r="Q12" s="297">
        <v>29142</v>
      </c>
      <c r="R12" t="s">
        <v>1042</v>
      </c>
    </row>
    <row r="13" spans="1:18">
      <c r="A13" s="713" t="s">
        <v>1045</v>
      </c>
      <c r="E13" s="302">
        <f>E11/$H$11</f>
        <v>0.186042213327377</v>
      </c>
      <c r="F13" s="302">
        <f>F11/$H$11</f>
        <v>0.32558297194555669</v>
      </c>
      <c r="G13" s="302">
        <f>G11/$H$11</f>
        <v>0.48837481472706629</v>
      </c>
      <c r="I13" s="302">
        <f>I11/$O$11</f>
        <v>0.37826848344470648</v>
      </c>
      <c r="J13" s="302">
        <f t="shared" ref="J13:N13" si="0">J11/$O$11</f>
        <v>0.31086597728618637</v>
      </c>
      <c r="K13" s="302">
        <f t="shared" si="0"/>
        <v>0.15543298864309318</v>
      </c>
      <c r="L13" s="302">
        <f t="shared" si="0"/>
        <v>6.6614075416028623E-2</v>
      </c>
      <c r="M13" s="302">
        <f t="shared" si="0"/>
        <v>4.4409237604992692E-2</v>
      </c>
      <c r="N13" s="302">
        <f t="shared" si="0"/>
        <v>4.4409237604992692E-2</v>
      </c>
    </row>
    <row r="14" spans="1:18">
      <c r="G14" s="1110">
        <v>0.55000000000000004</v>
      </c>
      <c r="H14" s="1110"/>
      <c r="O14" s="1110">
        <v>0.45</v>
      </c>
    </row>
    <row r="17" spans="1:9">
      <c r="G17" s="1110">
        <v>0.15</v>
      </c>
    </row>
    <row r="18" spans="1:9">
      <c r="G18" s="713" t="s">
        <v>1057</v>
      </c>
    </row>
    <row r="19" spans="1:9">
      <c r="A19" t="s">
        <v>1027</v>
      </c>
      <c r="B19" t="s">
        <v>1046</v>
      </c>
      <c r="C19" t="s">
        <v>1028</v>
      </c>
      <c r="D19" t="s">
        <v>1047</v>
      </c>
      <c r="E19" t="s">
        <v>172</v>
      </c>
      <c r="F19" t="s">
        <v>1048</v>
      </c>
      <c r="G19" s="713" t="s">
        <v>1028</v>
      </c>
      <c r="H19" s="1118" t="s">
        <v>1048</v>
      </c>
    </row>
    <row r="20" spans="1:9">
      <c r="A20" t="s">
        <v>1031</v>
      </c>
      <c r="B20" t="s">
        <v>1049</v>
      </c>
      <c r="C20">
        <v>2256</v>
      </c>
      <c r="D20" s="297">
        <v>66888</v>
      </c>
      <c r="E20" s="1110">
        <v>0.55000000000000004</v>
      </c>
      <c r="F20" s="297">
        <f>D20*(1-E20)</f>
        <v>30099.599999999999</v>
      </c>
      <c r="G20">
        <v>1917</v>
      </c>
      <c r="H20" s="1119">
        <f>F20*(1-$G$17)</f>
        <v>25584.66</v>
      </c>
    </row>
    <row r="21" spans="1:9">
      <c r="A21" t="s">
        <v>1007</v>
      </c>
      <c r="B21" t="s">
        <v>1050</v>
      </c>
      <c r="C21">
        <v>360</v>
      </c>
      <c r="D21" s="297">
        <v>10524</v>
      </c>
      <c r="E21" s="1110">
        <v>0.53</v>
      </c>
      <c r="F21" s="297">
        <f t="shared" ref="F21:F29" si="1">D21*(1-E21)</f>
        <v>4946.28</v>
      </c>
      <c r="G21" s="713">
        <v>306</v>
      </c>
      <c r="H21" s="1119">
        <f t="shared" ref="H21:H29" si="2">F21*(1-$G$17)</f>
        <v>4204.3379999999997</v>
      </c>
    </row>
    <row r="22" spans="1:9">
      <c r="A22" t="s">
        <v>1032</v>
      </c>
      <c r="B22" t="s">
        <v>1049</v>
      </c>
      <c r="C22">
        <v>132</v>
      </c>
      <c r="D22" s="297">
        <v>3504</v>
      </c>
      <c r="E22" s="1110">
        <v>0.55000000000000004</v>
      </c>
      <c r="F22" s="297">
        <f t="shared" si="1"/>
        <v>1576.8</v>
      </c>
      <c r="G22" s="713">
        <v>112</v>
      </c>
      <c r="H22" s="1119">
        <f t="shared" si="2"/>
        <v>1340.28</v>
      </c>
    </row>
    <row r="23" spans="1:9">
      <c r="A23" t="s">
        <v>1033</v>
      </c>
      <c r="B23" t="s">
        <v>1050</v>
      </c>
      <c r="C23">
        <v>1956</v>
      </c>
      <c r="D23" s="297">
        <v>58284</v>
      </c>
      <c r="E23" s="1110">
        <v>0.5</v>
      </c>
      <c r="F23" s="297">
        <f t="shared" si="1"/>
        <v>29142</v>
      </c>
      <c r="G23" s="713">
        <v>1662</v>
      </c>
      <c r="H23" s="1119">
        <f t="shared" si="2"/>
        <v>24770.7</v>
      </c>
    </row>
    <row r="24" spans="1:9">
      <c r="A24" t="s">
        <v>1034</v>
      </c>
      <c r="B24" t="s">
        <v>1050</v>
      </c>
      <c r="C24">
        <v>3996</v>
      </c>
      <c r="D24" s="297">
        <v>105480</v>
      </c>
      <c r="E24" s="1110">
        <v>0.4</v>
      </c>
      <c r="F24" s="297">
        <f t="shared" si="1"/>
        <v>63288</v>
      </c>
      <c r="G24" s="713">
        <v>3396</v>
      </c>
      <c r="H24" s="1119">
        <f t="shared" si="2"/>
        <v>53794.799999999996</v>
      </c>
    </row>
    <row r="25" spans="1:9">
      <c r="A25" t="s">
        <v>1054</v>
      </c>
      <c r="B25" t="s">
        <v>1056</v>
      </c>
      <c r="C25">
        <v>150</v>
      </c>
      <c r="D25" s="297">
        <v>4035</v>
      </c>
      <c r="E25" s="1110">
        <v>0.55000000000000004</v>
      </c>
      <c r="F25" s="297">
        <f t="shared" si="1"/>
        <v>1815.7499999999998</v>
      </c>
      <c r="G25" s="713">
        <v>127</v>
      </c>
      <c r="H25" s="1119">
        <f t="shared" si="2"/>
        <v>1543.3874999999998</v>
      </c>
    </row>
    <row r="26" spans="1:9">
      <c r="A26" t="s">
        <v>1055</v>
      </c>
      <c r="B26" t="s">
        <v>1056</v>
      </c>
      <c r="C26">
        <v>250</v>
      </c>
      <c r="D26" s="297">
        <v>6725</v>
      </c>
      <c r="E26" s="1110">
        <v>0.6</v>
      </c>
      <c r="F26" s="297">
        <f t="shared" si="1"/>
        <v>2690</v>
      </c>
      <c r="G26" s="713">
        <v>212</v>
      </c>
      <c r="H26" s="1119">
        <f t="shared" si="2"/>
        <v>2286.5</v>
      </c>
    </row>
    <row r="27" spans="1:9">
      <c r="A27" t="s">
        <v>663</v>
      </c>
      <c r="B27" t="s">
        <v>1056</v>
      </c>
      <c r="C27">
        <v>250</v>
      </c>
      <c r="D27" s="297">
        <v>6725</v>
      </c>
      <c r="E27" s="1110">
        <v>0.55000000000000004</v>
      </c>
      <c r="F27" s="297">
        <f t="shared" si="1"/>
        <v>3026.2499999999995</v>
      </c>
      <c r="G27" s="713">
        <v>214</v>
      </c>
      <c r="H27" s="1119">
        <f t="shared" si="2"/>
        <v>2572.3124999999995</v>
      </c>
    </row>
    <row r="28" spans="1:9">
      <c r="A28" t="s">
        <v>586</v>
      </c>
      <c r="B28" t="s">
        <v>1056</v>
      </c>
      <c r="C28">
        <v>400</v>
      </c>
      <c r="D28" s="297">
        <v>10760</v>
      </c>
      <c r="E28" s="1110">
        <v>0.6</v>
      </c>
      <c r="F28" s="297">
        <f t="shared" si="1"/>
        <v>4304</v>
      </c>
      <c r="G28" s="713">
        <v>340</v>
      </c>
      <c r="H28" s="1119">
        <f t="shared" si="2"/>
        <v>3658.4</v>
      </c>
    </row>
    <row r="29" spans="1:9">
      <c r="A29" t="s">
        <v>973</v>
      </c>
      <c r="B29" t="s">
        <v>1056</v>
      </c>
      <c r="C29">
        <v>390</v>
      </c>
      <c r="D29" s="297">
        <v>10491</v>
      </c>
      <c r="E29" s="1110">
        <v>0.75</v>
      </c>
      <c r="F29" s="297">
        <f t="shared" si="1"/>
        <v>2622.75</v>
      </c>
      <c r="G29" s="713">
        <v>331</v>
      </c>
      <c r="H29" s="1119">
        <f t="shared" si="2"/>
        <v>2229.3375000000001</v>
      </c>
    </row>
    <row r="30" spans="1:9">
      <c r="A30" t="s">
        <v>1053</v>
      </c>
      <c r="C30">
        <v>10140</v>
      </c>
      <c r="D30">
        <v>283416</v>
      </c>
      <c r="F30" s="297">
        <f>SUM(F20:F29)</f>
        <v>143511.43</v>
      </c>
      <c r="G30" s="297">
        <f>SUM(G20:G29)</f>
        <v>8617</v>
      </c>
      <c r="H30" s="490">
        <f>SUM(H20:H29)</f>
        <v>121984.71549999998</v>
      </c>
      <c r="I30" s="491">
        <f>H30*89</f>
        <v>10856639.679499999</v>
      </c>
    </row>
    <row r="32" spans="1:9">
      <c r="A32" s="1115" t="s">
        <v>1051</v>
      </c>
      <c r="B32" s="1115" t="s">
        <v>1052</v>
      </c>
      <c r="C32" s="1115">
        <v>1440</v>
      </c>
      <c r="D32" s="1116">
        <v>38736</v>
      </c>
      <c r="E32" s="1117">
        <v>0.55000000000000004</v>
      </c>
      <c r="F32" s="1116">
        <v>17431</v>
      </c>
      <c r="G32" s="713">
        <v>1224</v>
      </c>
      <c r="H32" s="1118">
        <f>F32*(1-$G$17)</f>
        <v>14816.35</v>
      </c>
    </row>
  </sheetData>
  <sortState ref="A2:E6">
    <sortCondition descending="1" ref="E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activeCell="H2" sqref="H2"/>
    </sheetView>
  </sheetViews>
  <sheetFormatPr defaultColWidth="8.7109375" defaultRowHeight="12.75"/>
  <cols>
    <col min="1" max="1" width="22.7109375" bestFit="1" customWidth="1"/>
    <col min="2" max="2" width="22.42578125" bestFit="1" customWidth="1"/>
    <col min="3" max="3" width="31.42578125" bestFit="1" customWidth="1"/>
    <col min="4" max="4" width="11.28515625" bestFit="1" customWidth="1"/>
    <col min="9" max="9" width="14" bestFit="1" customWidth="1"/>
  </cols>
  <sheetData>
    <row r="1" spans="1:9">
      <c r="B1" s="713" t="s">
        <v>677</v>
      </c>
      <c r="D1" t="s">
        <v>685</v>
      </c>
      <c r="F1" s="713" t="s">
        <v>172</v>
      </c>
      <c r="G1" s="713" t="s">
        <v>680</v>
      </c>
      <c r="H1" s="713" t="s">
        <v>681</v>
      </c>
    </row>
    <row r="2" spans="1:9">
      <c r="A2" t="s">
        <v>570</v>
      </c>
      <c r="B2" s="713" t="s">
        <v>451</v>
      </c>
      <c r="C2" s="713" t="s">
        <v>544</v>
      </c>
      <c r="D2" t="s">
        <v>686</v>
      </c>
      <c r="F2" s="302">
        <v>0.5500000000000016</v>
      </c>
      <c r="G2" s="713">
        <f>1404+G8</f>
        <v>3204</v>
      </c>
      <c r="H2" s="964">
        <f>15697.8+H8</f>
        <v>51697.8</v>
      </c>
    </row>
    <row r="3" spans="1:9">
      <c r="A3" t="s">
        <v>570</v>
      </c>
      <c r="B3" s="713" t="s">
        <v>455</v>
      </c>
      <c r="C3" s="713" t="s">
        <v>546</v>
      </c>
      <c r="D3" t="s">
        <v>456</v>
      </c>
      <c r="F3" s="302">
        <v>0.55000000000000471</v>
      </c>
      <c r="G3" s="713">
        <v>2820</v>
      </c>
      <c r="H3" s="964">
        <v>31746.600000000009</v>
      </c>
    </row>
    <row r="4" spans="1:9">
      <c r="A4" t="s">
        <v>573</v>
      </c>
      <c r="B4" s="713" t="s">
        <v>678</v>
      </c>
      <c r="C4" t="s">
        <v>682</v>
      </c>
      <c r="D4" t="s">
        <v>456</v>
      </c>
      <c r="F4" s="302">
        <v>0.60000000000000042</v>
      </c>
      <c r="G4" s="713">
        <v>348</v>
      </c>
      <c r="H4" s="964">
        <v>3614.4</v>
      </c>
    </row>
    <row r="5" spans="1:9">
      <c r="A5" t="s">
        <v>570</v>
      </c>
      <c r="B5" s="713" t="s">
        <v>352</v>
      </c>
      <c r="C5" t="s">
        <v>683</v>
      </c>
      <c r="D5" t="s">
        <v>456</v>
      </c>
      <c r="F5" s="302">
        <v>0.55000000000000138</v>
      </c>
      <c r="G5" s="713">
        <v>1236</v>
      </c>
      <c r="H5" s="964">
        <v>13451.399999999983</v>
      </c>
    </row>
    <row r="6" spans="1:9">
      <c r="A6" t="s">
        <v>570</v>
      </c>
      <c r="B6" s="713" t="s">
        <v>586</v>
      </c>
      <c r="C6" t="s">
        <v>684</v>
      </c>
      <c r="D6" t="s">
        <v>456</v>
      </c>
      <c r="F6" s="302">
        <v>0.54999999999999893</v>
      </c>
      <c r="G6" s="713">
        <v>276</v>
      </c>
      <c r="H6" s="964">
        <v>2700</v>
      </c>
    </row>
    <row r="7" spans="1:9">
      <c r="B7" s="713" t="s">
        <v>679</v>
      </c>
      <c r="F7" s="713"/>
      <c r="G7" s="713">
        <v>6084</v>
      </c>
      <c r="H7" s="713">
        <v>134420.40000000037</v>
      </c>
    </row>
    <row r="8" spans="1:9">
      <c r="B8" s="996" t="s">
        <v>687</v>
      </c>
      <c r="C8" s="996"/>
      <c r="D8" s="996"/>
      <c r="E8" s="996"/>
      <c r="F8" s="996"/>
      <c r="G8" s="996">
        <v>1800</v>
      </c>
      <c r="H8" s="996">
        <f>G8*20</f>
        <v>36000</v>
      </c>
      <c r="I8" s="490">
        <f>H8*80</f>
        <v>2880000</v>
      </c>
    </row>
    <row r="12" spans="1:9">
      <c r="A12" t="s">
        <v>570</v>
      </c>
      <c r="B12" t="s">
        <v>455</v>
      </c>
      <c r="C12" t="s">
        <v>546</v>
      </c>
      <c r="D12" t="s">
        <v>456</v>
      </c>
      <c r="E12" t="s">
        <v>187</v>
      </c>
      <c r="F12">
        <v>0.52</v>
      </c>
    </row>
    <row r="13" spans="1:9">
      <c r="A13" t="s">
        <v>574</v>
      </c>
      <c r="B13" t="s">
        <v>471</v>
      </c>
      <c r="C13" t="s">
        <v>559</v>
      </c>
      <c r="D13" t="s">
        <v>164</v>
      </c>
      <c r="E13" t="s">
        <v>187</v>
      </c>
      <c r="F13">
        <v>0.5</v>
      </c>
    </row>
    <row r="14" spans="1:9">
      <c r="A14" t="s">
        <v>570</v>
      </c>
      <c r="B14" t="s">
        <v>473</v>
      </c>
      <c r="C14" t="s">
        <v>561</v>
      </c>
      <c r="D14" t="s">
        <v>452</v>
      </c>
      <c r="E14" t="s">
        <v>187</v>
      </c>
      <c r="F14">
        <v>0.55000000000000004</v>
      </c>
    </row>
    <row r="15" spans="1:9">
      <c r="A15" t="s">
        <v>666</v>
      </c>
      <c r="B15" t="s">
        <v>585</v>
      </c>
      <c r="C15" t="s">
        <v>665</v>
      </c>
      <c r="D15" t="s">
        <v>164</v>
      </c>
      <c r="E15" t="s">
        <v>187</v>
      </c>
      <c r="F15">
        <v>0.5</v>
      </c>
    </row>
    <row r="16" spans="1:9">
      <c r="A16" t="s">
        <v>570</v>
      </c>
      <c r="B16" t="s">
        <v>663</v>
      </c>
      <c r="C16" t="s">
        <v>664</v>
      </c>
      <c r="D16" t="s">
        <v>164</v>
      </c>
      <c r="E16" t="s">
        <v>187</v>
      </c>
      <c r="F16">
        <v>0.56999999999999995</v>
      </c>
    </row>
    <row r="17" spans="1:6">
      <c r="A17" t="s">
        <v>570</v>
      </c>
      <c r="B17" t="s">
        <v>649</v>
      </c>
      <c r="C17" t="s">
        <v>650</v>
      </c>
      <c r="D17" t="s">
        <v>164</v>
      </c>
      <c r="E17" t="s">
        <v>650</v>
      </c>
      <c r="F17">
        <v>0.55000000000000004</v>
      </c>
    </row>
    <row r="18" spans="1:6">
      <c r="A18" t="s">
        <v>570</v>
      </c>
      <c r="B18" t="s">
        <v>668</v>
      </c>
      <c r="C18" t="s">
        <v>544</v>
      </c>
      <c r="D18" t="s">
        <v>669</v>
      </c>
      <c r="E18" t="s">
        <v>650</v>
      </c>
      <c r="F18">
        <v>0.65</v>
      </c>
    </row>
    <row r="19" spans="1:6">
      <c r="A19" t="s">
        <v>570</v>
      </c>
      <c r="B19" t="s">
        <v>670</v>
      </c>
      <c r="C19" t="s">
        <v>667</v>
      </c>
      <c r="D19" t="s">
        <v>669</v>
      </c>
      <c r="E19" t="s">
        <v>650</v>
      </c>
      <c r="F19">
        <v>0.65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41"/>
  <sheetViews>
    <sheetView topLeftCell="A19" workbookViewId="0">
      <selection sqref="A1:C41"/>
    </sheetView>
  </sheetViews>
  <sheetFormatPr defaultColWidth="8.7109375" defaultRowHeight="12.75"/>
  <cols>
    <col min="2" max="2" width="40.7109375" bestFit="1" customWidth="1"/>
  </cols>
  <sheetData>
    <row r="1" spans="1:3">
      <c r="A1" t="s">
        <v>581</v>
      </c>
      <c r="B1" t="s">
        <v>571</v>
      </c>
      <c r="C1" t="s">
        <v>597</v>
      </c>
    </row>
    <row r="2" spans="1:3">
      <c r="A2" t="s">
        <v>570</v>
      </c>
      <c r="B2" t="s">
        <v>449</v>
      </c>
      <c r="C2" t="s">
        <v>543</v>
      </c>
    </row>
    <row r="3" spans="1:3">
      <c r="A3" t="s">
        <v>570</v>
      </c>
      <c r="B3" t="s">
        <v>627</v>
      </c>
      <c r="C3" t="s">
        <v>592</v>
      </c>
    </row>
    <row r="4" spans="1:3">
      <c r="A4" t="s">
        <v>570</v>
      </c>
      <c r="B4" t="s">
        <v>451</v>
      </c>
      <c r="C4" t="s">
        <v>544</v>
      </c>
    </row>
    <row r="5" spans="1:3">
      <c r="A5" t="s">
        <v>570</v>
      </c>
      <c r="B5" t="s">
        <v>596</v>
      </c>
      <c r="C5" t="s">
        <v>544</v>
      </c>
    </row>
    <row r="6" spans="1:3">
      <c r="A6" t="s">
        <v>570</v>
      </c>
      <c r="B6" t="s">
        <v>454</v>
      </c>
      <c r="C6" t="s">
        <v>545</v>
      </c>
    </row>
    <row r="7" spans="1:3">
      <c r="A7" t="s">
        <v>570</v>
      </c>
      <c r="B7" t="s">
        <v>455</v>
      </c>
      <c r="C7" t="s">
        <v>546</v>
      </c>
    </row>
    <row r="8" spans="1:3">
      <c r="A8" t="s">
        <v>584</v>
      </c>
      <c r="B8" t="s">
        <v>628</v>
      </c>
      <c r="C8" t="s">
        <v>629</v>
      </c>
    </row>
    <row r="9" spans="1:3">
      <c r="A9" t="s">
        <v>570</v>
      </c>
      <c r="B9" t="s">
        <v>338</v>
      </c>
      <c r="C9" t="s">
        <v>547</v>
      </c>
    </row>
    <row r="10" spans="1:3">
      <c r="A10" t="s">
        <v>573</v>
      </c>
      <c r="B10" t="s">
        <v>457</v>
      </c>
      <c r="C10" t="s">
        <v>548</v>
      </c>
    </row>
    <row r="11" spans="1:3">
      <c r="A11" t="s">
        <v>573</v>
      </c>
      <c r="B11" t="s">
        <v>630</v>
      </c>
      <c r="C11" t="s">
        <v>631</v>
      </c>
    </row>
    <row r="12" spans="1:3">
      <c r="A12" t="s">
        <v>575</v>
      </c>
      <c r="B12" t="s">
        <v>458</v>
      </c>
      <c r="C12" t="s">
        <v>549</v>
      </c>
    </row>
    <row r="13" spans="1:3">
      <c r="A13" t="s">
        <v>595</v>
      </c>
      <c r="B13" t="s">
        <v>576</v>
      </c>
      <c r="C13" t="s">
        <v>568</v>
      </c>
    </row>
    <row r="14" spans="1:3">
      <c r="A14" t="s">
        <v>577</v>
      </c>
      <c r="B14" t="s">
        <v>632</v>
      </c>
      <c r="C14" t="s">
        <v>550</v>
      </c>
    </row>
    <row r="15" spans="1:3">
      <c r="A15" t="s">
        <v>634</v>
      </c>
      <c r="B15" t="s">
        <v>633</v>
      </c>
      <c r="C15" t="s">
        <v>635</v>
      </c>
    </row>
    <row r="16" spans="1:3">
      <c r="A16" t="s">
        <v>578</v>
      </c>
      <c r="B16" t="s">
        <v>459</v>
      </c>
      <c r="C16" t="s">
        <v>551</v>
      </c>
    </row>
    <row r="17" spans="1:3">
      <c r="A17" t="s">
        <v>626</v>
      </c>
      <c r="B17" t="s">
        <v>461</v>
      </c>
      <c r="C17" t="s">
        <v>625</v>
      </c>
    </row>
    <row r="18" spans="1:3">
      <c r="A18" t="s">
        <v>579</v>
      </c>
      <c r="B18" t="s">
        <v>344</v>
      </c>
      <c r="C18" t="s">
        <v>552</v>
      </c>
    </row>
    <row r="19" spans="1:3">
      <c r="A19" t="s">
        <v>580</v>
      </c>
      <c r="B19" t="s">
        <v>463</v>
      </c>
      <c r="C19" t="s">
        <v>553</v>
      </c>
    </row>
    <row r="20" spans="1:3">
      <c r="A20" t="s">
        <v>570</v>
      </c>
      <c r="B20" t="s">
        <v>347</v>
      </c>
      <c r="C20" t="s">
        <v>554</v>
      </c>
    </row>
    <row r="21" spans="1:3">
      <c r="A21" t="s">
        <v>582</v>
      </c>
      <c r="B21" t="s">
        <v>467</v>
      </c>
      <c r="C21" t="s">
        <v>555</v>
      </c>
    </row>
    <row r="22" spans="1:3">
      <c r="A22" t="s">
        <v>583</v>
      </c>
      <c r="B22" t="s">
        <v>350</v>
      </c>
      <c r="C22" t="s">
        <v>556</v>
      </c>
    </row>
    <row r="23" spans="1:3">
      <c r="A23" t="s">
        <v>570</v>
      </c>
      <c r="B23" t="s">
        <v>524</v>
      </c>
      <c r="C23" t="s">
        <v>567</v>
      </c>
    </row>
    <row r="24" spans="1:3">
      <c r="A24" t="s">
        <v>570</v>
      </c>
      <c r="B24" t="s">
        <v>352</v>
      </c>
      <c r="C24" t="s">
        <v>557</v>
      </c>
    </row>
    <row r="25" spans="1:3">
      <c r="A25" t="s">
        <v>573</v>
      </c>
      <c r="B25" t="s">
        <v>470</v>
      </c>
      <c r="C25" t="s">
        <v>558</v>
      </c>
    </row>
    <row r="26" spans="1:3">
      <c r="A26" t="s">
        <v>574</v>
      </c>
      <c r="B26" t="s">
        <v>471</v>
      </c>
      <c r="C26" t="s">
        <v>559</v>
      </c>
    </row>
    <row r="27" spans="1:3">
      <c r="A27" t="s">
        <v>578</v>
      </c>
      <c r="B27" t="s">
        <v>353</v>
      </c>
      <c r="C27" t="s">
        <v>560</v>
      </c>
    </row>
    <row r="28" spans="1:3">
      <c r="A28" t="s">
        <v>606</v>
      </c>
      <c r="B28" t="s">
        <v>605</v>
      </c>
      <c r="C28" t="s">
        <v>607</v>
      </c>
    </row>
    <row r="29" spans="1:3">
      <c r="A29" t="s">
        <v>570</v>
      </c>
      <c r="B29" t="s">
        <v>473</v>
      </c>
      <c r="C29" t="s">
        <v>561</v>
      </c>
    </row>
    <row r="30" spans="1:3">
      <c r="A30" t="s">
        <v>573</v>
      </c>
      <c r="B30" t="s">
        <v>474</v>
      </c>
      <c r="C30" t="s">
        <v>562</v>
      </c>
    </row>
    <row r="31" spans="1:3">
      <c r="A31" t="s">
        <v>584</v>
      </c>
      <c r="B31" t="s">
        <v>362</v>
      </c>
      <c r="C31" t="s">
        <v>563</v>
      </c>
    </row>
    <row r="32" spans="1:3">
      <c r="A32" t="s">
        <v>570</v>
      </c>
      <c r="B32" t="s">
        <v>624</v>
      </c>
      <c r="C32" t="s">
        <v>608</v>
      </c>
    </row>
    <row r="33" spans="1:3">
      <c r="A33" t="s">
        <v>593</v>
      </c>
      <c r="B33" t="s">
        <v>585</v>
      </c>
      <c r="C33" t="s">
        <v>594</v>
      </c>
    </row>
    <row r="34" spans="1:3">
      <c r="A34" t="s">
        <v>570</v>
      </c>
      <c r="B34" t="s">
        <v>636</v>
      </c>
      <c r="C34" t="s">
        <v>637</v>
      </c>
    </row>
    <row r="35" spans="1:3">
      <c r="A35" t="s">
        <v>570</v>
      </c>
      <c r="B35" t="s">
        <v>604</v>
      </c>
      <c r="C35" t="s">
        <v>603</v>
      </c>
    </row>
    <row r="36" spans="1:3">
      <c r="A36" t="s">
        <v>570</v>
      </c>
      <c r="B36" t="s">
        <v>475</v>
      </c>
      <c r="C36" t="s">
        <v>564</v>
      </c>
    </row>
    <row r="37" spans="1:3">
      <c r="A37" t="s">
        <v>570</v>
      </c>
      <c r="B37" t="s">
        <v>586</v>
      </c>
      <c r="C37" t="s">
        <v>590</v>
      </c>
    </row>
    <row r="38" spans="1:3">
      <c r="A38" t="s">
        <v>587</v>
      </c>
      <c r="B38" t="s">
        <v>355</v>
      </c>
      <c r="C38" t="s">
        <v>565</v>
      </c>
    </row>
    <row r="39" spans="1:3">
      <c r="A39" t="s">
        <v>569</v>
      </c>
      <c r="B39" t="s">
        <v>623</v>
      </c>
      <c r="C39" t="s">
        <v>589</v>
      </c>
    </row>
    <row r="40" spans="1:3">
      <c r="A40" t="s">
        <v>588</v>
      </c>
      <c r="B40" t="s">
        <v>476</v>
      </c>
      <c r="C40" t="s">
        <v>566</v>
      </c>
    </row>
    <row r="41" spans="1:3">
      <c r="A41" t="s">
        <v>572</v>
      </c>
      <c r="B41" t="s">
        <v>477</v>
      </c>
      <c r="C41" t="s">
        <v>591</v>
      </c>
    </row>
  </sheetData>
  <sortState ref="A1:C41">
    <sortCondition ref="B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6"/>
  </sheetPr>
  <dimension ref="A1:FP170"/>
  <sheetViews>
    <sheetView zoomScale="85" workbookViewId="0">
      <pane xSplit="3" topLeftCell="D1" activePane="topRight" state="frozen"/>
      <selection pane="topRight" activeCell="D1" sqref="D1"/>
    </sheetView>
  </sheetViews>
  <sheetFormatPr defaultColWidth="9.28515625" defaultRowHeight="12.75" outlineLevelRow="2" outlineLevelCol="1"/>
  <cols>
    <col min="1" max="1" width="3.42578125" style="140" customWidth="1"/>
    <col min="2" max="2" width="43.7109375" style="140" customWidth="1"/>
    <col min="3" max="3" width="0.42578125" style="140" customWidth="1"/>
    <col min="4" max="4" width="15.42578125" style="140" bestFit="1" customWidth="1"/>
    <col min="5" max="5" width="10.42578125" style="140" bestFit="1" customWidth="1" outlineLevel="1"/>
    <col min="6" max="6" width="8" style="140" bestFit="1" customWidth="1"/>
    <col min="7" max="7" width="14.42578125" style="140" customWidth="1" outlineLevel="1"/>
    <col min="8" max="8" width="5.7109375" style="140" bestFit="1" customWidth="1" outlineLevel="1"/>
    <col min="9" max="9" width="14.42578125" style="140" customWidth="1" outlineLevel="1"/>
    <col min="10" max="10" width="6.7109375" style="140" bestFit="1" customWidth="1" outlineLevel="1"/>
    <col min="11" max="11" width="3.42578125" style="140" customWidth="1"/>
    <col min="12" max="12" width="16.42578125" style="140" bestFit="1" customWidth="1"/>
    <col min="13" max="13" width="7.42578125" style="140" bestFit="1" customWidth="1" outlineLevel="1"/>
    <col min="14" max="14" width="8" style="140" bestFit="1" customWidth="1"/>
    <col min="15" max="15" width="13.42578125" style="140" bestFit="1" customWidth="1" outlineLevel="1"/>
    <col min="16" max="16" width="5.7109375" style="140" bestFit="1" customWidth="1" outlineLevel="1"/>
    <col min="17" max="17" width="11.42578125" style="140" bestFit="1" customWidth="1" outlineLevel="1"/>
    <col min="18" max="18" width="2.42578125" style="140" bestFit="1" customWidth="1" outlineLevel="1"/>
    <col min="19" max="19" width="4.42578125" style="140" customWidth="1"/>
    <col min="20" max="20" width="14.42578125" style="140" bestFit="1" customWidth="1"/>
    <col min="21" max="21" width="7.42578125" style="140" bestFit="1" customWidth="1" outlineLevel="1"/>
    <col min="22" max="22" width="8" style="140" bestFit="1" customWidth="1"/>
    <col min="23" max="23" width="14.42578125" style="140" bestFit="1" customWidth="1" outlineLevel="1"/>
    <col min="24" max="24" width="5.7109375" style="140" bestFit="1" customWidth="1" outlineLevel="1"/>
    <col min="25" max="25" width="11.42578125" style="140" bestFit="1" customWidth="1" outlineLevel="1"/>
    <col min="26" max="26" width="2.42578125" style="140" bestFit="1" customWidth="1" outlineLevel="1"/>
    <col min="27" max="27" width="4.7109375" style="140" bestFit="1" customWidth="1"/>
    <col min="28" max="28" width="14.42578125" style="140" bestFit="1" customWidth="1"/>
    <col min="29" max="29" width="7.42578125" style="140" bestFit="1" customWidth="1" outlineLevel="1"/>
    <col min="30" max="30" width="8" style="140" bestFit="1" customWidth="1"/>
    <col min="31" max="31" width="14.42578125" style="140" bestFit="1" customWidth="1" outlineLevel="1"/>
    <col min="32" max="32" width="5.7109375" style="140" bestFit="1" customWidth="1" outlineLevel="1"/>
    <col min="33" max="33" width="11.42578125" style="140" bestFit="1" customWidth="1" outlineLevel="1"/>
    <col min="34" max="34" width="2.42578125" style="140" bestFit="1" customWidth="1" outlineLevel="1"/>
    <col min="35" max="35" width="4.42578125" style="140" customWidth="1"/>
    <col min="36" max="36" width="15" style="140" customWidth="1"/>
    <col min="37" max="37" width="7.42578125" style="140" bestFit="1" customWidth="1" outlineLevel="1"/>
    <col min="38" max="38" width="8" style="140" bestFit="1" customWidth="1"/>
    <col min="39" max="39" width="11.42578125" style="140" bestFit="1" customWidth="1" outlineLevel="1"/>
    <col min="40" max="40" width="2.42578125" style="140" bestFit="1" customWidth="1" outlineLevel="1"/>
    <col min="41" max="41" width="11.42578125" style="140" bestFit="1" customWidth="1" outlineLevel="1"/>
    <col min="42" max="42" width="2.42578125" style="140" bestFit="1" customWidth="1" outlineLevel="1"/>
    <col min="43" max="43" width="9.28515625" style="139"/>
    <col min="44" max="44" width="4.42578125" style="140" customWidth="1"/>
    <col min="45" max="45" width="14.42578125" style="140" bestFit="1" customWidth="1"/>
    <col min="46" max="46" width="7.42578125" style="140" bestFit="1" customWidth="1" outlineLevel="1"/>
    <col min="47" max="47" width="8" style="140" bestFit="1" customWidth="1"/>
    <col min="48" max="48" width="14.42578125" style="140" bestFit="1" customWidth="1" outlineLevel="1"/>
    <col min="49" max="49" width="5.7109375" style="140" bestFit="1" customWidth="1" outlineLevel="1"/>
    <col min="50" max="50" width="10.42578125" style="140" bestFit="1" customWidth="1" outlineLevel="1"/>
    <col min="51" max="51" width="6.7109375" style="140" bestFit="1" customWidth="1" outlineLevel="1"/>
    <col min="52" max="71" width="9.28515625" style="139"/>
    <col min="72" max="16384" width="9.28515625" style="140"/>
  </cols>
  <sheetData>
    <row r="1" spans="1:51">
      <c r="A1" s="139"/>
      <c r="B1" s="139"/>
      <c r="C1" s="139"/>
      <c r="D1" s="189"/>
      <c r="E1" s="189"/>
      <c r="F1" s="190"/>
      <c r="G1" s="139"/>
      <c r="H1" s="139"/>
      <c r="I1" s="139"/>
      <c r="J1" s="139"/>
      <c r="K1" s="139"/>
      <c r="L1" s="189"/>
      <c r="M1" s="189"/>
      <c r="N1" s="190"/>
      <c r="O1" s="139"/>
      <c r="P1" s="139"/>
      <c r="Q1" s="139"/>
      <c r="R1" s="139"/>
      <c r="S1" s="139"/>
      <c r="T1" s="189"/>
      <c r="U1" s="189"/>
      <c r="V1" s="190"/>
      <c r="W1" s="139"/>
      <c r="X1" s="139"/>
      <c r="Y1" s="139"/>
      <c r="Z1" s="139"/>
      <c r="AA1" s="139"/>
      <c r="AB1" s="189"/>
      <c r="AC1" s="189"/>
      <c r="AD1" s="190"/>
      <c r="AE1" s="139"/>
      <c r="AF1" s="139"/>
      <c r="AG1" s="139"/>
      <c r="AH1" s="139"/>
      <c r="AI1" s="139"/>
      <c r="AJ1" s="189"/>
      <c r="AK1" s="189"/>
      <c r="AL1" s="190"/>
      <c r="AM1" s="139"/>
      <c r="AN1" s="139"/>
      <c r="AO1" s="139"/>
      <c r="AP1" s="139"/>
      <c r="AR1" s="139"/>
      <c r="AS1" s="189"/>
      <c r="AT1" s="189"/>
      <c r="AU1" s="190"/>
      <c r="AV1" s="139"/>
      <c r="AW1" s="139"/>
      <c r="AX1" s="139"/>
      <c r="AY1" s="139"/>
    </row>
    <row r="2" spans="1:51" ht="23.25">
      <c r="A2" s="139"/>
      <c r="B2" s="191" t="str">
        <f>Title!I17</f>
        <v>HAVAIANAS</v>
      </c>
      <c r="C2" s="139"/>
      <c r="D2" s="192"/>
      <c r="E2" s="192"/>
      <c r="F2" s="192"/>
      <c r="G2" s="139"/>
      <c r="H2" s="139"/>
      <c r="I2" s="139"/>
      <c r="J2" s="139"/>
      <c r="K2" s="139"/>
      <c r="L2" s="192"/>
      <c r="M2" s="192"/>
      <c r="N2" s="192"/>
      <c r="O2" s="139"/>
      <c r="P2" s="139"/>
      <c r="Q2" s="139"/>
      <c r="R2" s="139"/>
      <c r="S2" s="139"/>
      <c r="T2" s="192"/>
      <c r="U2" s="192"/>
      <c r="V2" s="192"/>
      <c r="W2" s="139"/>
      <c r="X2" s="139"/>
      <c r="Y2" s="139"/>
      <c r="Z2" s="139"/>
      <c r="AA2" s="139"/>
      <c r="AB2" s="192"/>
      <c r="AC2" s="192"/>
      <c r="AD2" s="192"/>
      <c r="AE2" s="139"/>
      <c r="AF2" s="139"/>
      <c r="AG2" s="139"/>
      <c r="AH2" s="139"/>
      <c r="AI2" s="139"/>
      <c r="AJ2" s="192"/>
      <c r="AK2" s="192"/>
      <c r="AL2" s="192"/>
      <c r="AM2" s="139"/>
      <c r="AN2" s="139"/>
      <c r="AO2" s="139"/>
      <c r="AP2" s="139"/>
      <c r="AR2" s="139"/>
      <c r="AS2" s="192"/>
      <c r="AT2" s="192"/>
      <c r="AU2" s="192"/>
      <c r="AV2" s="139"/>
      <c r="AW2" s="139"/>
      <c r="AX2" s="139"/>
      <c r="AY2" s="139"/>
    </row>
    <row r="3" spans="1:51">
      <c r="A3" s="139"/>
      <c r="B3" s="193" t="str">
        <f>Title!I21</f>
        <v>Опт</v>
      </c>
      <c r="C3" s="139"/>
      <c r="D3" s="192"/>
      <c r="E3" s="192"/>
      <c r="F3" s="192"/>
      <c r="G3" s="139"/>
      <c r="H3" s="139"/>
      <c r="I3" s="139"/>
      <c r="J3" s="139"/>
      <c r="K3" s="139"/>
      <c r="L3" s="192"/>
      <c r="M3" s="192"/>
      <c r="N3" s="192"/>
      <c r="O3" s="139"/>
      <c r="P3" s="139"/>
      <c r="Q3" s="139"/>
      <c r="R3" s="139"/>
      <c r="S3" s="139"/>
      <c r="T3" s="192"/>
      <c r="U3" s="192"/>
      <c r="V3" s="192"/>
      <c r="W3" s="139"/>
      <c r="X3" s="139"/>
      <c r="Y3" s="139"/>
      <c r="Z3" s="139"/>
      <c r="AA3" s="139"/>
      <c r="AB3" s="192"/>
      <c r="AC3" s="192"/>
      <c r="AD3" s="192"/>
      <c r="AE3" s="139"/>
      <c r="AF3" s="139"/>
      <c r="AG3" s="139"/>
      <c r="AH3" s="139"/>
      <c r="AI3" s="139"/>
      <c r="AJ3" s="192"/>
      <c r="AK3" s="192"/>
      <c r="AL3" s="192"/>
      <c r="AM3" s="139"/>
      <c r="AN3" s="139"/>
      <c r="AO3" s="139"/>
      <c r="AP3" s="139"/>
      <c r="AR3" s="139"/>
      <c r="AS3" s="192"/>
      <c r="AT3" s="192"/>
      <c r="AU3" s="192"/>
      <c r="AV3" s="139"/>
      <c r="AW3" s="139"/>
      <c r="AX3" s="139"/>
      <c r="AY3" s="139"/>
    </row>
    <row r="4" spans="1:51" ht="13.5" thickBot="1">
      <c r="A4" s="139"/>
      <c r="B4" s="139"/>
      <c r="C4" s="139"/>
      <c r="D4" s="192"/>
      <c r="E4" s="192"/>
      <c r="F4" s="192"/>
      <c r="G4" s="139"/>
      <c r="H4" s="139"/>
      <c r="I4" s="139"/>
      <c r="J4" s="139"/>
      <c r="K4" s="139"/>
      <c r="L4" s="192"/>
      <c r="M4" s="192"/>
      <c r="N4" s="192"/>
      <c r="O4" s="139"/>
      <c r="P4" s="139"/>
      <c r="Q4" s="139"/>
      <c r="R4" s="139"/>
      <c r="S4" s="139"/>
      <c r="T4" s="192"/>
      <c r="U4" s="192"/>
      <c r="V4" s="192"/>
      <c r="W4" s="139"/>
      <c r="X4" s="139"/>
      <c r="Y4" s="139"/>
      <c r="Z4" s="139"/>
      <c r="AA4" s="139"/>
      <c r="AB4" s="192"/>
      <c r="AC4" s="192"/>
      <c r="AD4" s="192"/>
      <c r="AE4" s="139"/>
      <c r="AF4" s="139"/>
      <c r="AG4" s="139"/>
      <c r="AH4" s="139"/>
      <c r="AI4" s="139"/>
      <c r="AJ4" s="192"/>
      <c r="AK4" s="192"/>
      <c r="AL4" s="192"/>
      <c r="AM4" s="139"/>
      <c r="AN4" s="139"/>
      <c r="AO4" s="139"/>
      <c r="AP4" s="139"/>
      <c r="AR4" s="139"/>
      <c r="AS4" s="192"/>
      <c r="AT4" s="192"/>
      <c r="AU4" s="192"/>
      <c r="AV4" s="139"/>
      <c r="AW4" s="139"/>
      <c r="AX4" s="139"/>
      <c r="AY4" s="139"/>
    </row>
    <row r="5" spans="1:51" ht="13.5" outlineLevel="1" thickBot="1">
      <c r="A5" s="139"/>
      <c r="B5" s="194" t="s">
        <v>188</v>
      </c>
      <c r="C5" s="139"/>
      <c r="D5" s="335" t="e">
        <f>D10/D19</f>
        <v>#REF!</v>
      </c>
      <c r="E5" s="192"/>
      <c r="F5" s="192"/>
      <c r="G5" s="335">
        <f>G10/G19</f>
        <v>1.6552709978039186</v>
      </c>
      <c r="H5" s="139"/>
      <c r="I5" s="139"/>
      <c r="J5" s="139"/>
      <c r="K5" s="139"/>
      <c r="L5" s="335" t="e">
        <f>L10/L19</f>
        <v>#REF!</v>
      </c>
      <c r="M5" s="192"/>
      <c r="N5" s="192"/>
      <c r="O5" s="335">
        <f>O10/O19</f>
        <v>1.6213936129972579</v>
      </c>
      <c r="P5" s="139"/>
      <c r="Q5" s="139"/>
      <c r="R5" s="139"/>
      <c r="S5" s="139"/>
      <c r="T5" s="335" t="e">
        <f>T10/T19</f>
        <v>#REF!</v>
      </c>
      <c r="U5" s="192"/>
      <c r="V5" s="192"/>
      <c r="W5" s="335">
        <f>W10/W19</f>
        <v>1.472293200489682</v>
      </c>
      <c r="X5" s="139"/>
      <c r="Y5" s="139"/>
      <c r="Z5" s="139"/>
      <c r="AA5" s="139"/>
      <c r="AB5" s="335" t="e">
        <f>AB10/AB19</f>
        <v>#REF!</v>
      </c>
      <c r="AC5" s="192"/>
      <c r="AD5" s="192"/>
      <c r="AE5" s="335">
        <f>AE10/AE19</f>
        <v>1.3660046956251792</v>
      </c>
      <c r="AF5" s="139"/>
      <c r="AG5" s="139"/>
      <c r="AH5" s="139"/>
      <c r="AI5" s="139"/>
      <c r="AJ5" s="192"/>
      <c r="AK5" s="192"/>
      <c r="AL5" s="192"/>
      <c r="AM5" s="139"/>
      <c r="AN5" s="139"/>
      <c r="AO5" s="139"/>
      <c r="AP5" s="139"/>
      <c r="AR5" s="139"/>
      <c r="AS5" s="335" t="e">
        <f>AS10/AS19</f>
        <v>#REF!</v>
      </c>
      <c r="AT5" s="192"/>
      <c r="AU5" s="192"/>
      <c r="AV5" s="335">
        <f>AV10/AV19</f>
        <v>1.4655369891838617</v>
      </c>
      <c r="AW5" s="139"/>
      <c r="AX5" s="139"/>
      <c r="AY5" s="139"/>
    </row>
    <row r="6" spans="1:51" ht="13.5" outlineLevel="1" thickBot="1">
      <c r="A6" s="139"/>
      <c r="B6" s="139"/>
      <c r="C6" s="139"/>
      <c r="D6" s="335" t="e">
        <f>D10/D16</f>
        <v>#REF!</v>
      </c>
      <c r="E6" s="192"/>
      <c r="F6" s="192"/>
      <c r="G6" s="335">
        <f>G10/G16</f>
        <v>2.0304858412609139</v>
      </c>
      <c r="H6" s="139"/>
      <c r="I6" s="139"/>
      <c r="J6" s="139"/>
      <c r="K6" s="139"/>
      <c r="L6" s="335" t="e">
        <f>L10/L16</f>
        <v>#REF!</v>
      </c>
      <c r="M6" s="192"/>
      <c r="N6" s="192"/>
      <c r="O6" s="335">
        <f>O10/O16</f>
        <v>1.9889291715191408</v>
      </c>
      <c r="P6" s="139"/>
      <c r="Q6" s="139"/>
      <c r="R6" s="139"/>
      <c r="S6" s="139"/>
      <c r="T6" s="335" t="e">
        <f>T10/T16</f>
        <v>#REF!</v>
      </c>
      <c r="U6" s="192"/>
      <c r="V6" s="192"/>
      <c r="W6" s="335">
        <f>W10/W16</f>
        <v>1.8060308564248426</v>
      </c>
      <c r="X6" s="139"/>
      <c r="Y6" s="139"/>
      <c r="Z6" s="139"/>
      <c r="AA6" s="139"/>
      <c r="AB6" s="335" t="e">
        <f>AB10/AB16</f>
        <v>#REF!</v>
      </c>
      <c r="AC6" s="192"/>
      <c r="AD6" s="192"/>
      <c r="AE6" s="335">
        <f>AE10/AE16</f>
        <v>1.6756490008238603</v>
      </c>
      <c r="AF6" s="139"/>
      <c r="AG6" s="139"/>
      <c r="AH6" s="139"/>
      <c r="AI6" s="139"/>
      <c r="AJ6" s="192"/>
      <c r="AK6" s="192"/>
      <c r="AL6" s="192"/>
      <c r="AM6" s="139"/>
      <c r="AN6" s="139"/>
      <c r="AO6" s="139"/>
      <c r="AP6" s="139"/>
      <c r="AR6" s="139"/>
      <c r="AS6" s="335" t="e">
        <f>AS10/AS16</f>
        <v>#REF!</v>
      </c>
      <c r="AT6" s="192"/>
      <c r="AU6" s="192"/>
      <c r="AV6" s="335">
        <f>AV10/AV16</f>
        <v>1.7977431552476728</v>
      </c>
      <c r="AW6" s="139"/>
      <c r="AX6" s="139"/>
      <c r="AY6" s="139"/>
    </row>
    <row r="7" spans="1:51" ht="13.5" customHeight="1" outlineLevel="1" thickTop="1" thickBot="1">
      <c r="A7" s="139"/>
      <c r="B7" s="1262" t="s">
        <v>47</v>
      </c>
      <c r="C7" s="195"/>
      <c r="D7" s="1265" t="e">
        <f>#REF!</f>
        <v>#REF!</v>
      </c>
      <c r="E7" s="1266"/>
      <c r="F7" s="1266"/>
      <c r="G7" s="1266"/>
      <c r="H7" s="1266"/>
      <c r="I7" s="1266"/>
      <c r="J7" s="1267"/>
      <c r="K7" s="139"/>
      <c r="L7" s="1265" t="e">
        <f>#REF!</f>
        <v>#REF!</v>
      </c>
      <c r="M7" s="1266"/>
      <c r="N7" s="1266"/>
      <c r="O7" s="1266"/>
      <c r="P7" s="1266"/>
      <c r="Q7" s="1266"/>
      <c r="R7" s="1267"/>
      <c r="S7" s="139"/>
      <c r="T7" s="1265" t="e">
        <f>#REF!</f>
        <v>#REF!</v>
      </c>
      <c r="U7" s="1266"/>
      <c r="V7" s="1266"/>
      <c r="W7" s="1266"/>
      <c r="X7" s="1266"/>
      <c r="Y7" s="1266"/>
      <c r="Z7" s="1267"/>
      <c r="AA7" s="196"/>
      <c r="AB7" s="1265" t="e">
        <f>#REF!</f>
        <v>#REF!</v>
      </c>
      <c r="AC7" s="1266"/>
      <c r="AD7" s="1266"/>
      <c r="AE7" s="1266"/>
      <c r="AF7" s="1266"/>
      <c r="AG7" s="1266"/>
      <c r="AH7" s="1267"/>
      <c r="AI7" s="196"/>
      <c r="AJ7" s="1265" t="e">
        <f>#REF!</f>
        <v>#REF!</v>
      </c>
      <c r="AK7" s="1266"/>
      <c r="AL7" s="1266"/>
      <c r="AM7" s="1266"/>
      <c r="AN7" s="1266"/>
      <c r="AO7" s="1266"/>
      <c r="AP7" s="1267"/>
      <c r="AR7" s="196"/>
      <c r="AS7" s="1265" t="s">
        <v>85</v>
      </c>
      <c r="AT7" s="1266"/>
      <c r="AU7" s="1266"/>
      <c r="AV7" s="1266"/>
      <c r="AW7" s="1266"/>
      <c r="AX7" s="1266"/>
      <c r="AY7" s="1267"/>
    </row>
    <row r="8" spans="1:51" ht="13.5" customHeight="1" outlineLevel="1" thickTop="1" thickBot="1">
      <c r="A8" s="139"/>
      <c r="B8" s="1263"/>
      <c r="C8" s="197"/>
      <c r="D8" s="1268" t="s">
        <v>256</v>
      </c>
      <c r="E8" s="198" t="s">
        <v>80</v>
      </c>
      <c r="F8" s="1270" t="s">
        <v>257</v>
      </c>
      <c r="G8" s="1272" t="s">
        <v>258</v>
      </c>
      <c r="H8" s="1273"/>
      <c r="I8" s="1272" t="s">
        <v>259</v>
      </c>
      <c r="J8" s="1273"/>
      <c r="K8" s="139"/>
      <c r="L8" s="1268" t="s">
        <v>256</v>
      </c>
      <c r="M8" s="198" t="s">
        <v>80</v>
      </c>
      <c r="N8" s="1270" t="s">
        <v>257</v>
      </c>
      <c r="O8" s="1272" t="s">
        <v>258</v>
      </c>
      <c r="P8" s="1273"/>
      <c r="Q8" s="1272" t="s">
        <v>259</v>
      </c>
      <c r="R8" s="1273"/>
      <c r="S8" s="139"/>
      <c r="T8" s="1268" t="s">
        <v>256</v>
      </c>
      <c r="U8" s="198" t="s">
        <v>80</v>
      </c>
      <c r="V8" s="1270" t="s">
        <v>257</v>
      </c>
      <c r="W8" s="1272" t="s">
        <v>258</v>
      </c>
      <c r="X8" s="1273"/>
      <c r="Y8" s="1272" t="s">
        <v>259</v>
      </c>
      <c r="Z8" s="1273"/>
      <c r="AA8" s="139"/>
      <c r="AB8" s="1268" t="s">
        <v>256</v>
      </c>
      <c r="AC8" s="198" t="s">
        <v>80</v>
      </c>
      <c r="AD8" s="1270" t="s">
        <v>257</v>
      </c>
      <c r="AE8" s="1272" t="s">
        <v>258</v>
      </c>
      <c r="AF8" s="1273"/>
      <c r="AG8" s="1272" t="s">
        <v>259</v>
      </c>
      <c r="AH8" s="1273"/>
      <c r="AI8" s="139"/>
      <c r="AJ8" s="1268" t="s">
        <v>256</v>
      </c>
      <c r="AK8" s="198" t="s">
        <v>80</v>
      </c>
      <c r="AL8" s="1270" t="s">
        <v>257</v>
      </c>
      <c r="AM8" s="1272" t="s">
        <v>258</v>
      </c>
      <c r="AN8" s="1273"/>
      <c r="AO8" s="1272" t="s">
        <v>259</v>
      </c>
      <c r="AP8" s="1273"/>
      <c r="AR8" s="139"/>
      <c r="AS8" s="1268" t="s">
        <v>256</v>
      </c>
      <c r="AT8" s="198" t="s">
        <v>80</v>
      </c>
      <c r="AU8" s="1270" t="s">
        <v>257</v>
      </c>
      <c r="AV8" s="1272" t="s">
        <v>258</v>
      </c>
      <c r="AW8" s="1273"/>
      <c r="AX8" s="1272" t="s">
        <v>259</v>
      </c>
      <c r="AY8" s="1273"/>
    </row>
    <row r="9" spans="1:51" ht="20.25" customHeight="1" outlineLevel="1" thickTop="1" thickBot="1">
      <c r="A9" s="139"/>
      <c r="B9" s="1264"/>
      <c r="C9" s="199"/>
      <c r="D9" s="1269"/>
      <c r="E9" s="200"/>
      <c r="F9" s="1271"/>
      <c r="G9" s="318" t="s">
        <v>260</v>
      </c>
      <c r="H9" s="317" t="s">
        <v>36</v>
      </c>
      <c r="I9" s="318" t="s">
        <v>260</v>
      </c>
      <c r="J9" s="317" t="s">
        <v>36</v>
      </c>
      <c r="K9" s="139"/>
      <c r="L9" s="1269"/>
      <c r="M9" s="200"/>
      <c r="N9" s="1271"/>
      <c r="O9" s="318" t="s">
        <v>260</v>
      </c>
      <c r="P9" s="317" t="s">
        <v>36</v>
      </c>
      <c r="Q9" s="318" t="s">
        <v>260</v>
      </c>
      <c r="R9" s="317" t="s">
        <v>36</v>
      </c>
      <c r="S9" s="139"/>
      <c r="T9" s="1269"/>
      <c r="U9" s="200"/>
      <c r="V9" s="1271"/>
      <c r="W9" s="318" t="s">
        <v>260</v>
      </c>
      <c r="X9" s="317" t="s">
        <v>36</v>
      </c>
      <c r="Y9" s="318" t="s">
        <v>260</v>
      </c>
      <c r="Z9" s="317" t="s">
        <v>36</v>
      </c>
      <c r="AA9" s="139"/>
      <c r="AB9" s="1269"/>
      <c r="AC9" s="200"/>
      <c r="AD9" s="1271"/>
      <c r="AE9" s="318" t="s">
        <v>260</v>
      </c>
      <c r="AF9" s="317" t="s">
        <v>36</v>
      </c>
      <c r="AG9" s="318" t="s">
        <v>260</v>
      </c>
      <c r="AH9" s="317" t="s">
        <v>36</v>
      </c>
      <c r="AI9" s="139"/>
      <c r="AJ9" s="1269"/>
      <c r="AK9" s="200"/>
      <c r="AL9" s="1271"/>
      <c r="AM9" s="318" t="s">
        <v>260</v>
      </c>
      <c r="AN9" s="317" t="s">
        <v>36</v>
      </c>
      <c r="AO9" s="318" t="s">
        <v>260</v>
      </c>
      <c r="AP9" s="317" t="s">
        <v>36</v>
      </c>
      <c r="AR9" s="139"/>
      <c r="AS9" s="1269"/>
      <c r="AT9" s="200"/>
      <c r="AU9" s="1271"/>
      <c r="AV9" s="318" t="s">
        <v>260</v>
      </c>
      <c r="AW9" s="317" t="s">
        <v>36</v>
      </c>
      <c r="AX9" s="318" t="s">
        <v>260</v>
      </c>
      <c r="AY9" s="317" t="s">
        <v>36</v>
      </c>
    </row>
    <row r="10" spans="1:51" ht="13.5" outlineLevel="1" thickTop="1">
      <c r="A10" s="6">
        <v>1</v>
      </c>
      <c r="B10" s="262" t="s">
        <v>48</v>
      </c>
      <c r="C10" s="201"/>
      <c r="D10" s="202" t="e">
        <f>SUM(D11:D13)</f>
        <v>#REF!</v>
      </c>
      <c r="E10" s="203">
        <v>0</v>
      </c>
      <c r="F10" s="204"/>
      <c r="G10" s="202">
        <f>SUM(G11:G13)</f>
        <v>45296317.419299997</v>
      </c>
      <c r="H10" s="337" t="e">
        <f>D10/G10</f>
        <v>#REF!</v>
      </c>
      <c r="I10" s="204"/>
      <c r="J10" s="205"/>
      <c r="K10" s="139"/>
      <c r="L10" s="202" t="e">
        <f>SUM(L11:L13)</f>
        <v>#REF!</v>
      </c>
      <c r="M10" s="203">
        <v>0</v>
      </c>
      <c r="N10" s="204"/>
      <c r="O10" s="202">
        <f>SUM(O11:O13)</f>
        <v>14371395.569999998</v>
      </c>
      <c r="P10" s="337" t="e">
        <f>L10/O10</f>
        <v>#REF!</v>
      </c>
      <c r="Q10" s="204"/>
      <c r="R10" s="205"/>
      <c r="S10" s="139"/>
      <c r="T10" s="202" t="e">
        <f>SUM(T11:T13)</f>
        <v>#REF!</v>
      </c>
      <c r="U10" s="203">
        <v>0</v>
      </c>
      <c r="V10" s="204"/>
      <c r="W10" s="202">
        <f>SUM(W11:W13)</f>
        <v>343087939.247585</v>
      </c>
      <c r="X10" s="337" t="e">
        <f>T10/W10</f>
        <v>#REF!</v>
      </c>
      <c r="Y10" s="204"/>
      <c r="Z10" s="205"/>
      <c r="AA10" s="139"/>
      <c r="AB10" s="202" t="e">
        <f>SUM(AB11:AB13)</f>
        <v>#REF!</v>
      </c>
      <c r="AC10" s="203">
        <v>0</v>
      </c>
      <c r="AD10" s="204"/>
      <c r="AE10" s="202">
        <f>SUM(AE11:AE13)</f>
        <v>111823710.48045</v>
      </c>
      <c r="AF10" s="337" t="e">
        <f>AB10/AE10</f>
        <v>#REF!</v>
      </c>
      <c r="AG10" s="204"/>
      <c r="AH10" s="205"/>
      <c r="AI10" s="139"/>
      <c r="AJ10" s="202" t="e">
        <f>SUM(AJ11:AJ13)</f>
        <v>#REF!</v>
      </c>
      <c r="AK10" s="203">
        <v>0</v>
      </c>
      <c r="AL10" s="204"/>
      <c r="AM10" s="204"/>
      <c r="AN10" s="204"/>
      <c r="AO10" s="204"/>
      <c r="AP10" s="205"/>
      <c r="AR10" s="139"/>
      <c r="AS10" s="207" t="e">
        <f t="shared" ref="AS10:AS39" si="0">D10+L10+T10+AB10+AJ10</f>
        <v>#REF!</v>
      </c>
      <c r="AT10" s="203">
        <v>0</v>
      </c>
      <c r="AU10" s="204"/>
      <c r="AV10" s="207">
        <f t="shared" ref="AV10:AV39" si="1">G10+O10+W10+AE10+AM10</f>
        <v>514579362.71733499</v>
      </c>
      <c r="AW10" s="337" t="e">
        <f>AS10/AV10</f>
        <v>#REF!</v>
      </c>
      <c r="AX10" s="204"/>
      <c r="AY10" s="205"/>
    </row>
    <row r="11" spans="1:51" outlineLevel="1">
      <c r="A11" s="6">
        <v>2</v>
      </c>
      <c r="B11" s="263" t="s">
        <v>49</v>
      </c>
      <c r="C11" s="206"/>
      <c r="D11" s="207" t="e">
        <f>SUMIF(#REF!,D7,#REF!)</f>
        <v>#REF!</v>
      </c>
      <c r="E11" s="203">
        <v>0</v>
      </c>
      <c r="F11" s="208"/>
      <c r="G11" s="207">
        <v>45296317.419299997</v>
      </c>
      <c r="H11" s="337" t="e">
        <f>D11/G11</f>
        <v>#REF!</v>
      </c>
      <c r="I11" s="208"/>
      <c r="J11" s="209"/>
      <c r="K11" s="139"/>
      <c r="L11" s="207" t="e">
        <f>SUMIF(#REF!,L7,#REF!)</f>
        <v>#REF!</v>
      </c>
      <c r="M11" s="203">
        <v>0</v>
      </c>
      <c r="N11" s="208"/>
      <c r="O11" s="207">
        <v>14371395.569999998</v>
      </c>
      <c r="P11" s="337" t="e">
        <f>L11/O11</f>
        <v>#REF!</v>
      </c>
      <c r="Q11" s="208"/>
      <c r="R11" s="209"/>
      <c r="S11" s="139"/>
      <c r="T11" s="207" t="e">
        <f>SUMIF(#REF!,T7,#REF!)</f>
        <v>#REF!</v>
      </c>
      <c r="U11" s="203">
        <v>0</v>
      </c>
      <c r="V11" s="208"/>
      <c r="W11" s="207">
        <v>343087939.247585</v>
      </c>
      <c r="X11" s="337" t="e">
        <f>T11/W11</f>
        <v>#REF!</v>
      </c>
      <c r="Y11" s="208"/>
      <c r="Z11" s="209"/>
      <c r="AA11" s="139"/>
      <c r="AB11" s="207" t="e">
        <f>SUMIF(#REF!,AB7,#REF!)</f>
        <v>#REF!</v>
      </c>
      <c r="AC11" s="203">
        <v>0</v>
      </c>
      <c r="AD11" s="208"/>
      <c r="AE11" s="207">
        <v>111823710.48045</v>
      </c>
      <c r="AF11" s="337" t="e">
        <f>AB11/AE11</f>
        <v>#REF!</v>
      </c>
      <c r="AG11" s="208"/>
      <c r="AH11" s="209"/>
      <c r="AI11" s="139"/>
      <c r="AJ11" s="207" t="e">
        <f>SUMIF(#REF!,AJ7,#REF!)</f>
        <v>#REF!</v>
      </c>
      <c r="AK11" s="203">
        <v>0</v>
      </c>
      <c r="AL11" s="208"/>
      <c r="AM11" s="208"/>
      <c r="AN11" s="208"/>
      <c r="AO11" s="208"/>
      <c r="AP11" s="209"/>
      <c r="AR11" s="139"/>
      <c r="AS11" s="210" t="e">
        <f t="shared" si="0"/>
        <v>#REF!</v>
      </c>
      <c r="AT11" s="203">
        <v>0</v>
      </c>
      <c r="AU11" s="208"/>
      <c r="AV11" s="210">
        <f t="shared" si="1"/>
        <v>514579362.71733499</v>
      </c>
      <c r="AW11" s="337" t="e">
        <f>AS11/AV11</f>
        <v>#REF!</v>
      </c>
      <c r="AX11" s="208"/>
      <c r="AY11" s="209"/>
    </row>
    <row r="12" spans="1:51" outlineLevel="1">
      <c r="A12" s="6">
        <v>4</v>
      </c>
      <c r="B12" s="263" t="s">
        <v>50</v>
      </c>
      <c r="C12" s="206"/>
      <c r="D12" s="210">
        <v>0</v>
      </c>
      <c r="E12" s="203">
        <v>0</v>
      </c>
      <c r="F12" s="208"/>
      <c r="G12" s="210">
        <v>0</v>
      </c>
      <c r="H12" s="338"/>
      <c r="I12" s="208"/>
      <c r="J12" s="209"/>
      <c r="K12" s="139"/>
      <c r="L12" s="210">
        <v>0</v>
      </c>
      <c r="M12" s="203">
        <v>0</v>
      </c>
      <c r="N12" s="208"/>
      <c r="O12" s="210">
        <v>0</v>
      </c>
      <c r="P12" s="338"/>
      <c r="Q12" s="208"/>
      <c r="R12" s="209"/>
      <c r="S12" s="139"/>
      <c r="T12" s="210">
        <v>0</v>
      </c>
      <c r="U12" s="203">
        <v>0</v>
      </c>
      <c r="V12" s="208"/>
      <c r="W12" s="210">
        <v>0</v>
      </c>
      <c r="X12" s="338"/>
      <c r="Y12" s="208"/>
      <c r="Z12" s="209"/>
      <c r="AA12" s="139"/>
      <c r="AB12" s="210">
        <v>0</v>
      </c>
      <c r="AC12" s="203">
        <v>0</v>
      </c>
      <c r="AD12" s="208"/>
      <c r="AE12" s="210">
        <v>0</v>
      </c>
      <c r="AF12" s="338"/>
      <c r="AG12" s="208"/>
      <c r="AH12" s="209"/>
      <c r="AI12" s="139"/>
      <c r="AJ12" s="210">
        <v>0</v>
      </c>
      <c r="AK12" s="203">
        <v>0</v>
      </c>
      <c r="AL12" s="208"/>
      <c r="AM12" s="208"/>
      <c r="AN12" s="208"/>
      <c r="AO12" s="208"/>
      <c r="AP12" s="209"/>
      <c r="AR12" s="139"/>
      <c r="AS12" s="210">
        <f t="shared" si="0"/>
        <v>0</v>
      </c>
      <c r="AT12" s="203">
        <v>0</v>
      </c>
      <c r="AU12" s="208"/>
      <c r="AV12" s="210">
        <f t="shared" si="1"/>
        <v>0</v>
      </c>
      <c r="AW12" s="338"/>
      <c r="AX12" s="208"/>
      <c r="AY12" s="209"/>
    </row>
    <row r="13" spans="1:51" outlineLevel="1">
      <c r="A13" s="6">
        <v>5</v>
      </c>
      <c r="B13" s="263" t="s">
        <v>51</v>
      </c>
      <c r="C13" s="206"/>
      <c r="D13" s="210">
        <v>0</v>
      </c>
      <c r="E13" s="203">
        <v>0</v>
      </c>
      <c r="F13" s="208"/>
      <c r="G13" s="210">
        <v>0</v>
      </c>
      <c r="H13" s="338"/>
      <c r="I13" s="208"/>
      <c r="J13" s="209"/>
      <c r="K13" s="139"/>
      <c r="L13" s="210">
        <v>0</v>
      </c>
      <c r="M13" s="203">
        <v>0</v>
      </c>
      <c r="N13" s="208"/>
      <c r="O13" s="210">
        <v>0</v>
      </c>
      <c r="P13" s="338"/>
      <c r="Q13" s="208"/>
      <c r="R13" s="209"/>
      <c r="S13" s="139"/>
      <c r="T13" s="210">
        <v>0</v>
      </c>
      <c r="U13" s="203">
        <v>0</v>
      </c>
      <c r="V13" s="208"/>
      <c r="W13" s="210">
        <v>0</v>
      </c>
      <c r="X13" s="338"/>
      <c r="Y13" s="208"/>
      <c r="Z13" s="209"/>
      <c r="AA13" s="139"/>
      <c r="AB13" s="210">
        <v>0</v>
      </c>
      <c r="AC13" s="203">
        <v>0</v>
      </c>
      <c r="AD13" s="208"/>
      <c r="AE13" s="210">
        <v>0</v>
      </c>
      <c r="AF13" s="338"/>
      <c r="AG13" s="208"/>
      <c r="AH13" s="209"/>
      <c r="AI13" s="139"/>
      <c r="AJ13" s="210">
        <v>0</v>
      </c>
      <c r="AK13" s="203">
        <v>0</v>
      </c>
      <c r="AL13" s="208"/>
      <c r="AM13" s="208"/>
      <c r="AN13" s="208"/>
      <c r="AO13" s="208"/>
      <c r="AP13" s="209"/>
      <c r="AR13" s="139"/>
      <c r="AS13" s="210">
        <f t="shared" si="0"/>
        <v>0</v>
      </c>
      <c r="AT13" s="203">
        <v>0</v>
      </c>
      <c r="AU13" s="208"/>
      <c r="AV13" s="210">
        <f t="shared" si="1"/>
        <v>0</v>
      </c>
      <c r="AW13" s="338"/>
      <c r="AX13" s="208"/>
      <c r="AY13" s="209"/>
    </row>
    <row r="14" spans="1:51" outlineLevel="1">
      <c r="A14" s="6">
        <v>6</v>
      </c>
      <c r="B14" s="264" t="s">
        <v>52</v>
      </c>
      <c r="C14" s="211"/>
      <c r="D14" s="212" t="e">
        <f>D10-D15</f>
        <v>#REF!</v>
      </c>
      <c r="E14" s="203">
        <v>0</v>
      </c>
      <c r="F14" s="208"/>
      <c r="G14" s="212">
        <f>G10-G15</f>
        <v>6909607.7419271171</v>
      </c>
      <c r="H14" s="339" t="e">
        <f t="shared" ref="H14:H19" si="2">D14/G14</f>
        <v>#REF!</v>
      </c>
      <c r="I14" s="208"/>
      <c r="J14" s="209"/>
      <c r="K14" s="139"/>
      <c r="L14" s="212" t="e">
        <f>L10-L15</f>
        <v>#REF!</v>
      </c>
      <c r="M14" s="203">
        <v>0</v>
      </c>
      <c r="N14" s="208"/>
      <c r="O14" s="212">
        <f>O10-O15</f>
        <v>2192246.7818644065</v>
      </c>
      <c r="P14" s="339" t="e">
        <f t="shared" ref="P14:P19" si="3">L14/O14</f>
        <v>#REF!</v>
      </c>
      <c r="Q14" s="208"/>
      <c r="R14" s="209"/>
      <c r="S14" s="139"/>
      <c r="T14" s="212" t="e">
        <f>T10-T15</f>
        <v>#REF!</v>
      </c>
      <c r="U14" s="203">
        <v>0</v>
      </c>
      <c r="V14" s="208"/>
      <c r="W14" s="212">
        <f>W10-W15</f>
        <v>52335448.359801114</v>
      </c>
      <c r="X14" s="339" t="e">
        <f t="shared" ref="X14:X19" si="4">T14/W14</f>
        <v>#REF!</v>
      </c>
      <c r="Y14" s="208"/>
      <c r="Z14" s="209"/>
      <c r="AA14" s="139"/>
      <c r="AB14" s="212" t="e">
        <f>AB10-AB15</f>
        <v>#REF!</v>
      </c>
      <c r="AC14" s="203">
        <v>0</v>
      </c>
      <c r="AD14" s="208"/>
      <c r="AE14" s="212">
        <f>AE10-AE15</f>
        <v>17057854.141085595</v>
      </c>
      <c r="AF14" s="339" t="e">
        <f t="shared" ref="AF14:AF19" si="5">AB14/AE14</f>
        <v>#REF!</v>
      </c>
      <c r="AG14" s="208"/>
      <c r="AH14" s="209"/>
      <c r="AI14" s="139"/>
      <c r="AJ14" s="212" t="e">
        <f>AJ10-AJ15</f>
        <v>#REF!</v>
      </c>
      <c r="AK14" s="203">
        <v>0</v>
      </c>
      <c r="AL14" s="208"/>
      <c r="AM14" s="208"/>
      <c r="AN14" s="208"/>
      <c r="AO14" s="208"/>
      <c r="AP14" s="209"/>
      <c r="AR14" s="139"/>
      <c r="AS14" s="212" t="e">
        <f t="shared" si="0"/>
        <v>#REF!</v>
      </c>
      <c r="AT14" s="203">
        <v>0</v>
      </c>
      <c r="AU14" s="208"/>
      <c r="AV14" s="212">
        <f t="shared" si="1"/>
        <v>78495157.02467823</v>
      </c>
      <c r="AW14" s="339" t="e">
        <f t="shared" ref="AW14:AW19" si="6">AS14/AV14</f>
        <v>#REF!</v>
      </c>
      <c r="AX14" s="208"/>
      <c r="AY14" s="209"/>
    </row>
    <row r="15" spans="1:51" outlineLevel="1">
      <c r="A15" s="6">
        <v>7</v>
      </c>
      <c r="B15" s="264" t="s">
        <v>53</v>
      </c>
      <c r="C15" s="211"/>
      <c r="D15" s="207" t="e">
        <f>D10/E15</f>
        <v>#REF!</v>
      </c>
      <c r="E15" s="203">
        <v>1.18</v>
      </c>
      <c r="F15" s="208" t="e">
        <f t="shared" ref="F15:F42" si="7">D15/D$15</f>
        <v>#REF!</v>
      </c>
      <c r="G15" s="207">
        <v>38386709.67737288</v>
      </c>
      <c r="H15" s="337" t="e">
        <f t="shared" si="2"/>
        <v>#REF!</v>
      </c>
      <c r="I15" s="208"/>
      <c r="J15" s="209"/>
      <c r="K15" s="139"/>
      <c r="L15" s="207" t="e">
        <f>L10/M15</f>
        <v>#REF!</v>
      </c>
      <c r="M15" s="203">
        <v>1.18</v>
      </c>
      <c r="N15" s="208" t="e">
        <f t="shared" ref="N15:N42" si="8">L15/L$15</f>
        <v>#REF!</v>
      </c>
      <c r="O15" s="207">
        <v>12179148.788135592</v>
      </c>
      <c r="P15" s="337" t="e">
        <f t="shared" si="3"/>
        <v>#REF!</v>
      </c>
      <c r="Q15" s="208"/>
      <c r="R15" s="209"/>
      <c r="S15" s="139"/>
      <c r="T15" s="207" t="e">
        <f>T10/U15</f>
        <v>#REF!</v>
      </c>
      <c r="U15" s="203">
        <v>1.18</v>
      </c>
      <c r="V15" s="208" t="e">
        <f t="shared" ref="V15:V42" si="9">T15/T$15</f>
        <v>#REF!</v>
      </c>
      <c r="W15" s="207">
        <v>290752490.88778389</v>
      </c>
      <c r="X15" s="337" t="e">
        <f t="shared" si="4"/>
        <v>#REF!</v>
      </c>
      <c r="Y15" s="208"/>
      <c r="Z15" s="209"/>
      <c r="AA15" s="139"/>
      <c r="AB15" s="207" t="e">
        <f>AB10/AC15</f>
        <v>#REF!</v>
      </c>
      <c r="AC15" s="203">
        <v>1.18</v>
      </c>
      <c r="AD15" s="208" t="e">
        <f t="shared" ref="AD15:AD42" si="10">AB15/AB$15</f>
        <v>#REF!</v>
      </c>
      <c r="AE15" s="207">
        <v>94765856.339364409</v>
      </c>
      <c r="AF15" s="337" t="e">
        <f t="shared" si="5"/>
        <v>#REF!</v>
      </c>
      <c r="AG15" s="208"/>
      <c r="AH15" s="209"/>
      <c r="AI15" s="139"/>
      <c r="AJ15" s="207" t="e">
        <f>AJ10/AK15</f>
        <v>#REF!</v>
      </c>
      <c r="AK15" s="203">
        <v>1.18</v>
      </c>
      <c r="AL15" s="208" t="e">
        <f t="shared" ref="AL15:AL42" si="11">AJ15/AJ$15</f>
        <v>#REF!</v>
      </c>
      <c r="AM15" s="208"/>
      <c r="AN15" s="208"/>
      <c r="AO15" s="208"/>
      <c r="AP15" s="209"/>
      <c r="AR15" s="139"/>
      <c r="AS15" s="207" t="e">
        <f t="shared" si="0"/>
        <v>#REF!</v>
      </c>
      <c r="AT15" s="203">
        <v>0</v>
      </c>
      <c r="AU15" s="208" t="e">
        <f t="shared" ref="AU15:AU42" si="12">AS15/AS$15</f>
        <v>#REF!</v>
      </c>
      <c r="AV15" s="207">
        <f t="shared" si="1"/>
        <v>436084205.69265676</v>
      </c>
      <c r="AW15" s="337" t="e">
        <f t="shared" si="6"/>
        <v>#REF!</v>
      </c>
      <c r="AX15" s="208"/>
      <c r="AY15" s="209"/>
    </row>
    <row r="16" spans="1:51" outlineLevel="1">
      <c r="A16" s="6">
        <v>8</v>
      </c>
      <c r="B16" s="263" t="s">
        <v>54</v>
      </c>
      <c r="C16" s="206"/>
      <c r="D16" s="210" t="e">
        <f>SUMIF(#REF!,D7,#REF!)*#REF!</f>
        <v>#REF!</v>
      </c>
      <c r="E16" s="203">
        <v>0</v>
      </c>
      <c r="F16" s="208" t="e">
        <f t="shared" si="7"/>
        <v>#REF!</v>
      </c>
      <c r="G16" s="210">
        <v>22308117.84</v>
      </c>
      <c r="H16" s="339" t="e">
        <f t="shared" si="2"/>
        <v>#REF!</v>
      </c>
      <c r="I16" s="208"/>
      <c r="J16" s="209"/>
      <c r="K16" s="139"/>
      <c r="L16" s="210" t="e">
        <f>SUMIF(#REF!,L7,#REF!)*#REF!</f>
        <v>#REF!</v>
      </c>
      <c r="M16" s="203">
        <v>0</v>
      </c>
      <c r="N16" s="208" t="e">
        <f t="shared" si="8"/>
        <v>#REF!</v>
      </c>
      <c r="O16" s="210">
        <v>7225695</v>
      </c>
      <c r="P16" s="339" t="e">
        <f t="shared" si="3"/>
        <v>#REF!</v>
      </c>
      <c r="Q16" s="208"/>
      <c r="R16" s="209"/>
      <c r="S16" s="139"/>
      <c r="T16" s="210" t="e">
        <f>SUMIF(#REF!,T7,#REF!)*#REF!</f>
        <v>#REF!</v>
      </c>
      <c r="U16" s="203">
        <v>0</v>
      </c>
      <c r="V16" s="208" t="e">
        <f t="shared" si="9"/>
        <v>#REF!</v>
      </c>
      <c r="W16" s="210">
        <v>189967927.74999994</v>
      </c>
      <c r="X16" s="339" t="e">
        <f t="shared" si="4"/>
        <v>#REF!</v>
      </c>
      <c r="Y16" s="208"/>
      <c r="Z16" s="209"/>
      <c r="AA16" s="139"/>
      <c r="AB16" s="210" t="e">
        <f>SUMIF(#REF!,AB7,#REF!)*#REF!</f>
        <v>#REF!</v>
      </c>
      <c r="AC16" s="203">
        <v>0</v>
      </c>
      <c r="AD16" s="208" t="e">
        <f t="shared" si="10"/>
        <v>#REF!</v>
      </c>
      <c r="AE16" s="210">
        <v>66734566.980000019</v>
      </c>
      <c r="AF16" s="339" t="e">
        <f t="shared" si="5"/>
        <v>#REF!</v>
      </c>
      <c r="AG16" s="208"/>
      <c r="AH16" s="209"/>
      <c r="AI16" s="139"/>
      <c r="AJ16" s="210" t="e">
        <f>SUMIF(#REF!,AJ7,#REF!)*#REF!</f>
        <v>#REF!</v>
      </c>
      <c r="AK16" s="203">
        <v>0</v>
      </c>
      <c r="AL16" s="208" t="e">
        <f t="shared" si="11"/>
        <v>#REF!</v>
      </c>
      <c r="AM16" s="208"/>
      <c r="AN16" s="208"/>
      <c r="AO16" s="208"/>
      <c r="AP16" s="209"/>
      <c r="AR16" s="139"/>
      <c r="AS16" s="210" t="e">
        <f t="shared" si="0"/>
        <v>#REF!</v>
      </c>
      <c r="AT16" s="203">
        <v>0</v>
      </c>
      <c r="AU16" s="208" t="e">
        <f t="shared" si="12"/>
        <v>#REF!</v>
      </c>
      <c r="AV16" s="210">
        <f t="shared" si="1"/>
        <v>286236307.56999993</v>
      </c>
      <c r="AW16" s="339" t="e">
        <f t="shared" si="6"/>
        <v>#REF!</v>
      </c>
      <c r="AX16" s="208"/>
      <c r="AY16" s="209"/>
    </row>
    <row r="17" spans="1:51" outlineLevel="1">
      <c r="A17" s="6">
        <v>9</v>
      </c>
      <c r="B17" s="263" t="s">
        <v>55</v>
      </c>
      <c r="C17" s="206"/>
      <c r="D17" s="210" t="e">
        <f>D16*E17</f>
        <v>#REF!</v>
      </c>
      <c r="E17" s="203">
        <v>2.5000000000000001E-2</v>
      </c>
      <c r="F17" s="213" t="e">
        <f t="shared" si="7"/>
        <v>#REF!</v>
      </c>
      <c r="G17" s="210">
        <v>555137.51244840014</v>
      </c>
      <c r="H17" s="339" t="e">
        <f t="shared" si="2"/>
        <v>#REF!</v>
      </c>
      <c r="I17" s="208"/>
      <c r="J17" s="209"/>
      <c r="K17" s="139"/>
      <c r="L17" s="210" t="e">
        <f>L16*M17</f>
        <v>#REF!</v>
      </c>
      <c r="M17" s="203">
        <v>2.5000000000000001E-2</v>
      </c>
      <c r="N17" s="213" t="e">
        <f t="shared" si="8"/>
        <v>#REF!</v>
      </c>
      <c r="O17" s="210">
        <v>179811.42007500003</v>
      </c>
      <c r="P17" s="339" t="e">
        <f t="shared" si="3"/>
        <v>#REF!</v>
      </c>
      <c r="Q17" s="208"/>
      <c r="R17" s="209"/>
      <c r="S17" s="139"/>
      <c r="T17" s="210" t="e">
        <f>T16*U17</f>
        <v>#REF!</v>
      </c>
      <c r="U17" s="203">
        <v>2.5000000000000001E-2</v>
      </c>
      <c r="V17" s="213" t="e">
        <f t="shared" si="9"/>
        <v>#REF!</v>
      </c>
      <c r="W17" s="210">
        <v>4727351.882058749</v>
      </c>
      <c r="X17" s="339" t="e">
        <f t="shared" si="4"/>
        <v>#REF!</v>
      </c>
      <c r="Y17" s="208"/>
      <c r="Z17" s="209"/>
      <c r="AA17" s="139"/>
      <c r="AB17" s="210" t="e">
        <f>AB16*AC17</f>
        <v>#REF!</v>
      </c>
      <c r="AC17" s="203">
        <v>2.5000000000000001E-2</v>
      </c>
      <c r="AD17" s="213" t="e">
        <f t="shared" si="10"/>
        <v>#REF!</v>
      </c>
      <c r="AE17" s="210">
        <v>1660689.6992973008</v>
      </c>
      <c r="AF17" s="339" t="e">
        <f t="shared" si="5"/>
        <v>#REF!</v>
      </c>
      <c r="AG17" s="208"/>
      <c r="AH17" s="209"/>
      <c r="AI17" s="139"/>
      <c r="AJ17" s="210" t="e">
        <f>AJ16*AK17</f>
        <v>#REF!</v>
      </c>
      <c r="AK17" s="203">
        <v>2.5000000000000001E-2</v>
      </c>
      <c r="AL17" s="213" t="e">
        <f t="shared" si="11"/>
        <v>#REF!</v>
      </c>
      <c r="AM17" s="208"/>
      <c r="AN17" s="208"/>
      <c r="AO17" s="208"/>
      <c r="AP17" s="209"/>
      <c r="AR17" s="139"/>
      <c r="AS17" s="210" t="e">
        <f>D17+L17+T17+AB17+AJ17</f>
        <v>#REF!</v>
      </c>
      <c r="AT17" s="203" t="e">
        <f>AS17/AS16</f>
        <v>#REF!</v>
      </c>
      <c r="AU17" s="213" t="e">
        <f t="shared" si="12"/>
        <v>#REF!</v>
      </c>
      <c r="AV17" s="210">
        <f>G17+O17+W17+AE17+AM17</f>
        <v>7122990.51387945</v>
      </c>
      <c r="AW17" s="339" t="e">
        <f t="shared" si="6"/>
        <v>#REF!</v>
      </c>
      <c r="AX17" s="208"/>
      <c r="AY17" s="209"/>
    </row>
    <row r="18" spans="1:51" outlineLevel="1">
      <c r="A18" s="6">
        <v>10</v>
      </c>
      <c r="B18" s="263" t="s">
        <v>56</v>
      </c>
      <c r="C18" s="206"/>
      <c r="D18" s="210" t="e">
        <f>D16*E18</f>
        <v>#REF!</v>
      </c>
      <c r="E18" s="203">
        <v>0.15</v>
      </c>
      <c r="F18" s="213" t="e">
        <f t="shared" si="7"/>
        <v>#REF!</v>
      </c>
      <c r="G18" s="210">
        <v>4501639.8697813917</v>
      </c>
      <c r="H18" s="339" t="e">
        <f t="shared" si="2"/>
        <v>#REF!</v>
      </c>
      <c r="I18" s="208"/>
      <c r="J18" s="209"/>
      <c r="K18" s="139"/>
      <c r="L18" s="210" t="e">
        <f>L16*M18</f>
        <v>#REF!</v>
      </c>
      <c r="M18" s="203">
        <v>0.15</v>
      </c>
      <c r="N18" s="213" t="e">
        <f t="shared" si="8"/>
        <v>#REF!</v>
      </c>
      <c r="O18" s="210">
        <v>1458100.4516910003</v>
      </c>
      <c r="P18" s="339" t="e">
        <f t="shared" si="3"/>
        <v>#REF!</v>
      </c>
      <c r="Q18" s="208"/>
      <c r="R18" s="209"/>
      <c r="S18" s="139"/>
      <c r="T18" s="210" t="e">
        <f>T16*U18</f>
        <v>#REF!</v>
      </c>
      <c r="U18" s="203">
        <v>0.15</v>
      </c>
      <c r="V18" s="213" t="e">
        <f t="shared" si="9"/>
        <v>#REF!</v>
      </c>
      <c r="W18" s="210">
        <v>38334350.018797942</v>
      </c>
      <c r="X18" s="339" t="e">
        <f t="shared" si="4"/>
        <v>#REF!</v>
      </c>
      <c r="Y18" s="208"/>
      <c r="Z18" s="209"/>
      <c r="AA18" s="139"/>
      <c r="AB18" s="210" t="e">
        <f>AB16*AC18</f>
        <v>#REF!</v>
      </c>
      <c r="AC18" s="203">
        <v>0.15</v>
      </c>
      <c r="AD18" s="213" t="e">
        <f t="shared" si="10"/>
        <v>#REF!</v>
      </c>
      <c r="AE18" s="210">
        <v>13466621.86224873</v>
      </c>
      <c r="AF18" s="339" t="e">
        <f t="shared" si="5"/>
        <v>#REF!</v>
      </c>
      <c r="AG18" s="208"/>
      <c r="AH18" s="209"/>
      <c r="AI18" s="139"/>
      <c r="AJ18" s="210" t="e">
        <f>AJ16*AK18</f>
        <v>#REF!</v>
      </c>
      <c r="AK18" s="203">
        <v>0.15</v>
      </c>
      <c r="AL18" s="213" t="e">
        <f t="shared" si="11"/>
        <v>#REF!</v>
      </c>
      <c r="AM18" s="208"/>
      <c r="AN18" s="208"/>
      <c r="AO18" s="208"/>
      <c r="AP18" s="209"/>
      <c r="AR18" s="139"/>
      <c r="AS18" s="210" t="e">
        <f>D18+L18+T18+AB18+AJ18</f>
        <v>#REF!</v>
      </c>
      <c r="AT18" s="203" t="e">
        <f>AS18/AS16</f>
        <v>#REF!</v>
      </c>
      <c r="AU18" s="213" t="e">
        <f t="shared" si="12"/>
        <v>#REF!</v>
      </c>
      <c r="AV18" s="210">
        <f t="shared" si="1"/>
        <v>57760712.202519059</v>
      </c>
      <c r="AW18" s="339" t="e">
        <f t="shared" si="6"/>
        <v>#REF!</v>
      </c>
      <c r="AX18" s="208"/>
      <c r="AY18" s="209"/>
    </row>
    <row r="19" spans="1:51" outlineLevel="1">
      <c r="A19" s="6">
        <v>11</v>
      </c>
      <c r="B19" s="264" t="s">
        <v>57</v>
      </c>
      <c r="C19" s="211"/>
      <c r="D19" s="207" t="e">
        <f>SUM(D16:D18)</f>
        <v>#REF!</v>
      </c>
      <c r="E19" s="203">
        <v>0</v>
      </c>
      <c r="F19" s="208" t="e">
        <f t="shared" si="7"/>
        <v>#REF!</v>
      </c>
      <c r="G19" s="207">
        <f>SUM(G16:G18)</f>
        <v>27364895.222229794</v>
      </c>
      <c r="H19" s="337" t="e">
        <f t="shared" si="2"/>
        <v>#REF!</v>
      </c>
      <c r="I19" s="208"/>
      <c r="J19" s="209"/>
      <c r="K19" s="139"/>
      <c r="L19" s="207" t="e">
        <f>SUM(L16:L18)</f>
        <v>#REF!</v>
      </c>
      <c r="M19" s="203">
        <v>0</v>
      </c>
      <c r="N19" s="208" t="e">
        <f t="shared" si="8"/>
        <v>#REF!</v>
      </c>
      <c r="O19" s="207">
        <f>SUM(O16:O18)</f>
        <v>8863606.871766001</v>
      </c>
      <c r="P19" s="337" t="e">
        <f t="shared" si="3"/>
        <v>#REF!</v>
      </c>
      <c r="Q19" s="208"/>
      <c r="R19" s="209"/>
      <c r="S19" s="139"/>
      <c r="T19" s="207" t="e">
        <f>SUM(T16:T18)</f>
        <v>#REF!</v>
      </c>
      <c r="U19" s="203">
        <v>0</v>
      </c>
      <c r="V19" s="208" t="e">
        <f t="shared" si="9"/>
        <v>#REF!</v>
      </c>
      <c r="W19" s="207">
        <f>SUM(W16:W18)</f>
        <v>233029629.65085661</v>
      </c>
      <c r="X19" s="337" t="e">
        <f t="shared" si="4"/>
        <v>#REF!</v>
      </c>
      <c r="Y19" s="208"/>
      <c r="Z19" s="209"/>
      <c r="AA19" s="139"/>
      <c r="AB19" s="207" t="e">
        <f>SUM(AB16:AB18)</f>
        <v>#REF!</v>
      </c>
      <c r="AC19" s="203">
        <v>0</v>
      </c>
      <c r="AD19" s="208" t="e">
        <f t="shared" si="10"/>
        <v>#REF!</v>
      </c>
      <c r="AE19" s="207">
        <f>SUM(AE16:AE18)</f>
        <v>81861878.541546047</v>
      </c>
      <c r="AF19" s="337" t="e">
        <f t="shared" si="5"/>
        <v>#REF!</v>
      </c>
      <c r="AG19" s="208"/>
      <c r="AH19" s="209"/>
      <c r="AI19" s="139"/>
      <c r="AJ19" s="207" t="e">
        <f>SUM(AJ16:AJ18)</f>
        <v>#REF!</v>
      </c>
      <c r="AK19" s="203">
        <v>0</v>
      </c>
      <c r="AL19" s="208" t="e">
        <f t="shared" si="11"/>
        <v>#REF!</v>
      </c>
      <c r="AM19" s="208"/>
      <c r="AN19" s="208"/>
      <c r="AO19" s="208"/>
      <c r="AP19" s="209"/>
      <c r="AR19" s="139"/>
      <c r="AS19" s="207" t="e">
        <f t="shared" si="0"/>
        <v>#REF!</v>
      </c>
      <c r="AT19" s="203">
        <v>0</v>
      </c>
      <c r="AU19" s="208" t="e">
        <f t="shared" si="12"/>
        <v>#REF!</v>
      </c>
      <c r="AV19" s="207">
        <f t="shared" si="1"/>
        <v>351120010.28639847</v>
      </c>
      <c r="AW19" s="337" t="e">
        <f t="shared" si="6"/>
        <v>#REF!</v>
      </c>
      <c r="AX19" s="208"/>
      <c r="AY19" s="209"/>
    </row>
    <row r="20" spans="1:51" s="356" customFormat="1" outlineLevel="1">
      <c r="A20" s="347"/>
      <c r="B20" s="348" t="s">
        <v>190</v>
      </c>
      <c r="C20" s="349"/>
      <c r="D20" s="350"/>
      <c r="E20" s="351"/>
      <c r="F20" s="352" t="e">
        <f t="shared" si="7"/>
        <v>#REF!</v>
      </c>
      <c r="G20" s="350"/>
      <c r="H20" s="353"/>
      <c r="I20" s="354"/>
      <c r="J20" s="355"/>
      <c r="L20" s="350" t="e">
        <f>L19*M20</f>
        <v>#REF!</v>
      </c>
      <c r="M20" s="351">
        <v>2E-3</v>
      </c>
      <c r="N20" s="352" t="e">
        <f t="shared" si="8"/>
        <v>#REF!</v>
      </c>
      <c r="O20" s="350"/>
      <c r="P20" s="353"/>
      <c r="Q20" s="354"/>
      <c r="R20" s="355"/>
      <c r="T20" s="350" t="e">
        <f>T19*U20</f>
        <v>#REF!</v>
      </c>
      <c r="U20" s="351">
        <v>2E-3</v>
      </c>
      <c r="V20" s="352" t="e">
        <f t="shared" si="9"/>
        <v>#REF!</v>
      </c>
      <c r="W20" s="350"/>
      <c r="X20" s="353"/>
      <c r="Y20" s="354"/>
      <c r="Z20" s="355"/>
      <c r="AB20" s="350" t="e">
        <f>AB19*AC20</f>
        <v>#REF!</v>
      </c>
      <c r="AC20" s="351">
        <v>2E-3</v>
      </c>
      <c r="AD20" s="352" t="e">
        <f t="shared" si="10"/>
        <v>#REF!</v>
      </c>
      <c r="AE20" s="350"/>
      <c r="AF20" s="353"/>
      <c r="AG20" s="354"/>
      <c r="AH20" s="355"/>
      <c r="AJ20" s="350" t="e">
        <f>AJ19*AK20</f>
        <v>#REF!</v>
      </c>
      <c r="AK20" s="351">
        <v>2E-3</v>
      </c>
      <c r="AL20" s="352" t="e">
        <f t="shared" si="11"/>
        <v>#REF!</v>
      </c>
      <c r="AM20" s="354"/>
      <c r="AN20" s="354"/>
      <c r="AO20" s="354"/>
      <c r="AP20" s="355"/>
      <c r="AS20" s="350" t="e">
        <f>D20+L20+T20+AB20+AJ20</f>
        <v>#REF!</v>
      </c>
      <c r="AT20" s="351"/>
      <c r="AU20" s="352" t="e">
        <f t="shared" si="12"/>
        <v>#REF!</v>
      </c>
      <c r="AV20" s="350"/>
      <c r="AW20" s="353"/>
      <c r="AX20" s="354"/>
      <c r="AY20" s="355"/>
    </row>
    <row r="21" spans="1:51" outlineLevel="1">
      <c r="A21" s="6"/>
      <c r="B21" s="263" t="s">
        <v>249</v>
      </c>
      <c r="C21" s="211"/>
      <c r="D21" s="207"/>
      <c r="E21" s="203"/>
      <c r="F21" s="213" t="e">
        <f t="shared" si="7"/>
        <v>#REF!</v>
      </c>
      <c r="G21" s="207"/>
      <c r="H21" s="338"/>
      <c r="I21" s="208"/>
      <c r="J21" s="209"/>
      <c r="K21" s="139"/>
      <c r="L21" s="207"/>
      <c r="M21" s="203"/>
      <c r="N21" s="213" t="e">
        <f t="shared" si="8"/>
        <v>#REF!</v>
      </c>
      <c r="O21" s="207"/>
      <c r="P21" s="338"/>
      <c r="Q21" s="208"/>
      <c r="R21" s="209"/>
      <c r="S21" s="139"/>
      <c r="T21" s="207"/>
      <c r="U21" s="203"/>
      <c r="V21" s="213" t="e">
        <f t="shared" si="9"/>
        <v>#REF!</v>
      </c>
      <c r="W21" s="207"/>
      <c r="X21" s="338"/>
      <c r="Y21" s="208"/>
      <c r="Z21" s="209"/>
      <c r="AA21" s="139"/>
      <c r="AB21" s="207"/>
      <c r="AC21" s="203"/>
      <c r="AD21" s="213" t="e">
        <f t="shared" si="10"/>
        <v>#REF!</v>
      </c>
      <c r="AE21" s="207"/>
      <c r="AF21" s="338"/>
      <c r="AG21" s="208"/>
      <c r="AH21" s="209"/>
      <c r="AI21" s="139"/>
      <c r="AJ21" s="207"/>
      <c r="AK21" s="203"/>
      <c r="AL21" s="213" t="e">
        <f t="shared" si="11"/>
        <v>#REF!</v>
      </c>
      <c r="AM21" s="208"/>
      <c r="AN21" s="208"/>
      <c r="AO21" s="208"/>
      <c r="AP21" s="209"/>
      <c r="AR21" s="139"/>
      <c r="AS21" s="207"/>
      <c r="AT21" s="203"/>
      <c r="AU21" s="213" t="e">
        <f t="shared" si="12"/>
        <v>#REF!</v>
      </c>
      <c r="AV21" s="207"/>
      <c r="AW21" s="338"/>
      <c r="AX21" s="208"/>
      <c r="AY21" s="209"/>
    </row>
    <row r="22" spans="1:51" outlineLevel="1">
      <c r="A22" s="6"/>
      <c r="B22" s="263" t="s">
        <v>250</v>
      </c>
      <c r="C22" s="211"/>
      <c r="D22" s="207"/>
      <c r="E22" s="203"/>
      <c r="F22" s="213" t="e">
        <f t="shared" si="7"/>
        <v>#REF!</v>
      </c>
      <c r="G22" s="207"/>
      <c r="H22" s="338"/>
      <c r="I22" s="208"/>
      <c r="J22" s="209"/>
      <c r="K22" s="139"/>
      <c r="L22" s="207" t="e">
        <f>L19*M22</f>
        <v>#REF!</v>
      </c>
      <c r="M22" s="203">
        <v>5.0000000000000001E-3</v>
      </c>
      <c r="N22" s="213" t="e">
        <f t="shared" si="8"/>
        <v>#REF!</v>
      </c>
      <c r="O22" s="207"/>
      <c r="P22" s="338"/>
      <c r="Q22" s="208"/>
      <c r="R22" s="209"/>
      <c r="S22" s="139"/>
      <c r="T22" s="207" t="e">
        <f>T19*U22</f>
        <v>#REF!</v>
      </c>
      <c r="U22" s="203">
        <v>5.0000000000000001E-3</v>
      </c>
      <c r="V22" s="213" t="e">
        <f t="shared" si="9"/>
        <v>#REF!</v>
      </c>
      <c r="W22" s="207"/>
      <c r="X22" s="338"/>
      <c r="Y22" s="208"/>
      <c r="Z22" s="209"/>
      <c r="AA22" s="139"/>
      <c r="AB22" s="207" t="e">
        <f>AB19*AC22</f>
        <v>#REF!</v>
      </c>
      <c r="AC22" s="203">
        <v>5.0000000000000001E-3</v>
      </c>
      <c r="AD22" s="213" t="e">
        <f t="shared" si="10"/>
        <v>#REF!</v>
      </c>
      <c r="AE22" s="207"/>
      <c r="AF22" s="338"/>
      <c r="AG22" s="208"/>
      <c r="AH22" s="209"/>
      <c r="AI22" s="139"/>
      <c r="AJ22" s="207" t="e">
        <f>AJ19*AK22</f>
        <v>#REF!</v>
      </c>
      <c r="AK22" s="203">
        <v>5.0000000000000001E-3</v>
      </c>
      <c r="AL22" s="213" t="e">
        <f t="shared" si="11"/>
        <v>#REF!</v>
      </c>
      <c r="AM22" s="208"/>
      <c r="AN22" s="208"/>
      <c r="AO22" s="208"/>
      <c r="AP22" s="209"/>
      <c r="AR22" s="139"/>
      <c r="AS22" s="207" t="e">
        <f>D22+L22+T22+AB22+AJ22</f>
        <v>#REF!</v>
      </c>
      <c r="AT22" s="203"/>
      <c r="AU22" s="213" t="e">
        <f t="shared" si="12"/>
        <v>#REF!</v>
      </c>
      <c r="AV22" s="207"/>
      <c r="AW22" s="338"/>
      <c r="AX22" s="208"/>
      <c r="AY22" s="209"/>
    </row>
    <row r="23" spans="1:51" outlineLevel="1">
      <c r="A23" s="6">
        <v>12</v>
      </c>
      <c r="B23" s="264" t="s">
        <v>58</v>
      </c>
      <c r="C23" s="211"/>
      <c r="D23" s="207" t="e">
        <f>D15-D19-D20+D21-D22</f>
        <v>#REF!</v>
      </c>
      <c r="E23" s="203">
        <v>0</v>
      </c>
      <c r="F23" s="208" t="e">
        <f t="shared" si="7"/>
        <v>#REF!</v>
      </c>
      <c r="G23" s="207">
        <f>G15-G19-G20+G21-G22</f>
        <v>11021814.455143087</v>
      </c>
      <c r="H23" s="337" t="e">
        <f>D23/G23</f>
        <v>#REF!</v>
      </c>
      <c r="I23" s="208"/>
      <c r="J23" s="209"/>
      <c r="K23" s="139"/>
      <c r="L23" s="207" t="e">
        <f>L15-L19-L20+L21-L22</f>
        <v>#REF!</v>
      </c>
      <c r="M23" s="203">
        <v>0</v>
      </c>
      <c r="N23" s="208" t="e">
        <f t="shared" si="8"/>
        <v>#REF!</v>
      </c>
      <c r="O23" s="207">
        <f>O15-O19-O20+O21-O22</f>
        <v>3315541.9163695909</v>
      </c>
      <c r="P23" s="337" t="e">
        <f>L23/O23</f>
        <v>#REF!</v>
      </c>
      <c r="Q23" s="208"/>
      <c r="R23" s="209"/>
      <c r="S23" s="139"/>
      <c r="T23" s="207" t="e">
        <f>T15-T19-T20+T21-T22</f>
        <v>#REF!</v>
      </c>
      <c r="U23" s="203">
        <v>0</v>
      </c>
      <c r="V23" s="208" t="e">
        <f t="shared" si="9"/>
        <v>#REF!</v>
      </c>
      <c r="W23" s="207">
        <f>W15-W19-W20+W21-W22</f>
        <v>57722861.236927271</v>
      </c>
      <c r="X23" s="337" t="e">
        <f>T23/W23</f>
        <v>#REF!</v>
      </c>
      <c r="Y23" s="208"/>
      <c r="Z23" s="209"/>
      <c r="AA23" s="207">
        <f>AA15-AA19-AA20+AA21-AA22</f>
        <v>0</v>
      </c>
      <c r="AB23" s="207" t="e">
        <f>AB15-AB19-AB20+AB21-AB22</f>
        <v>#REF!</v>
      </c>
      <c r="AC23" s="203">
        <v>0</v>
      </c>
      <c r="AD23" s="208" t="e">
        <f t="shared" si="10"/>
        <v>#REF!</v>
      </c>
      <c r="AE23" s="207">
        <f>AE15-AE19-AE20+AE21-AE22</f>
        <v>12903977.797818363</v>
      </c>
      <c r="AF23" s="337" t="e">
        <f>AB23/AE23</f>
        <v>#REF!</v>
      </c>
      <c r="AG23" s="208"/>
      <c r="AH23" s="209"/>
      <c r="AI23" s="139"/>
      <c r="AJ23" s="207" t="e">
        <f>AJ15-AJ19-AJ20+AJ21-AJ22</f>
        <v>#REF!</v>
      </c>
      <c r="AK23" s="203">
        <v>0</v>
      </c>
      <c r="AL23" s="208" t="e">
        <f t="shared" si="11"/>
        <v>#REF!</v>
      </c>
      <c r="AM23" s="208"/>
      <c r="AN23" s="208"/>
      <c r="AO23" s="208"/>
      <c r="AP23" s="209"/>
      <c r="AR23" s="139"/>
      <c r="AS23" s="207" t="e">
        <f t="shared" si="0"/>
        <v>#REF!</v>
      </c>
      <c r="AT23" s="203">
        <v>0</v>
      </c>
      <c r="AU23" s="208" t="e">
        <f t="shared" si="12"/>
        <v>#REF!</v>
      </c>
      <c r="AV23" s="207">
        <f t="shared" si="1"/>
        <v>84964195.406258315</v>
      </c>
      <c r="AW23" s="337" t="e">
        <f>AS23/AV23</f>
        <v>#REF!</v>
      </c>
      <c r="AX23" s="208"/>
      <c r="AY23" s="209"/>
    </row>
    <row r="24" spans="1:51" outlineLevel="1">
      <c r="A24" s="6">
        <v>13</v>
      </c>
      <c r="B24" s="263" t="s">
        <v>59</v>
      </c>
      <c r="C24" s="206"/>
      <c r="D24" s="210">
        <v>0</v>
      </c>
      <c r="E24" s="203">
        <v>0</v>
      </c>
      <c r="F24" s="213" t="e">
        <f t="shared" si="7"/>
        <v>#REF!</v>
      </c>
      <c r="G24" s="210">
        <v>0</v>
      </c>
      <c r="H24" s="338"/>
      <c r="I24" s="208"/>
      <c r="J24" s="209"/>
      <c r="K24" s="139"/>
      <c r="L24" s="210">
        <v>0</v>
      </c>
      <c r="M24" s="203">
        <v>0</v>
      </c>
      <c r="N24" s="213" t="e">
        <f t="shared" si="8"/>
        <v>#REF!</v>
      </c>
      <c r="O24" s="210">
        <v>0</v>
      </c>
      <c r="P24" s="338"/>
      <c r="Q24" s="208"/>
      <c r="R24" s="209"/>
      <c r="S24" s="139"/>
      <c r="T24" s="210">
        <v>0</v>
      </c>
      <c r="U24" s="203">
        <v>0</v>
      </c>
      <c r="V24" s="213" t="e">
        <f t="shared" si="9"/>
        <v>#REF!</v>
      </c>
      <c r="W24" s="210">
        <v>0</v>
      </c>
      <c r="X24" s="338"/>
      <c r="Y24" s="208"/>
      <c r="Z24" s="209"/>
      <c r="AA24" s="139"/>
      <c r="AB24" s="210">
        <v>0</v>
      </c>
      <c r="AC24" s="203">
        <v>0</v>
      </c>
      <c r="AD24" s="213" t="e">
        <f t="shared" si="10"/>
        <v>#REF!</v>
      </c>
      <c r="AE24" s="210">
        <v>0</v>
      </c>
      <c r="AF24" s="338"/>
      <c r="AG24" s="208"/>
      <c r="AH24" s="209"/>
      <c r="AI24" s="139"/>
      <c r="AJ24" s="210">
        <v>0</v>
      </c>
      <c r="AK24" s="203">
        <v>0</v>
      </c>
      <c r="AL24" s="213" t="e">
        <f t="shared" si="11"/>
        <v>#REF!</v>
      </c>
      <c r="AM24" s="208"/>
      <c r="AN24" s="208"/>
      <c r="AO24" s="208"/>
      <c r="AP24" s="209"/>
      <c r="AR24" s="139"/>
      <c r="AS24" s="210">
        <f t="shared" si="0"/>
        <v>0</v>
      </c>
      <c r="AT24" s="203">
        <v>0</v>
      </c>
      <c r="AU24" s="213" t="e">
        <f t="shared" si="12"/>
        <v>#REF!</v>
      </c>
      <c r="AV24" s="210">
        <f t="shared" si="1"/>
        <v>0</v>
      </c>
      <c r="AW24" s="338"/>
      <c r="AX24" s="208"/>
      <c r="AY24" s="209"/>
    </row>
    <row r="25" spans="1:51" outlineLevel="1">
      <c r="A25" s="6">
        <v>14</v>
      </c>
      <c r="B25" s="263" t="s">
        <v>60</v>
      </c>
      <c r="C25" s="206"/>
      <c r="D25" s="210">
        <v>0</v>
      </c>
      <c r="E25" s="203">
        <v>1</v>
      </c>
      <c r="F25" s="213" t="e">
        <f t="shared" si="7"/>
        <v>#REF!</v>
      </c>
      <c r="G25" s="210">
        <v>0</v>
      </c>
      <c r="H25" s="338"/>
      <c r="I25" s="208"/>
      <c r="J25" s="209"/>
      <c r="K25" s="139"/>
      <c r="L25" s="210">
        <v>0</v>
      </c>
      <c r="M25" s="203">
        <v>1</v>
      </c>
      <c r="N25" s="213" t="e">
        <f t="shared" si="8"/>
        <v>#REF!</v>
      </c>
      <c r="O25" s="210">
        <v>0</v>
      </c>
      <c r="P25" s="338"/>
      <c r="Q25" s="208"/>
      <c r="R25" s="209"/>
      <c r="S25" s="139"/>
      <c r="T25" s="210">
        <v>0</v>
      </c>
      <c r="U25" s="203">
        <v>1</v>
      </c>
      <c r="V25" s="213" t="e">
        <f t="shared" si="9"/>
        <v>#REF!</v>
      </c>
      <c r="W25" s="210">
        <v>0</v>
      </c>
      <c r="X25" s="338"/>
      <c r="Y25" s="208"/>
      <c r="Z25" s="209"/>
      <c r="AA25" s="139"/>
      <c r="AB25" s="210">
        <v>0</v>
      </c>
      <c r="AC25" s="203">
        <v>1</v>
      </c>
      <c r="AD25" s="213" t="e">
        <f t="shared" si="10"/>
        <v>#REF!</v>
      </c>
      <c r="AE25" s="210">
        <v>0</v>
      </c>
      <c r="AF25" s="338"/>
      <c r="AG25" s="208"/>
      <c r="AH25" s="209"/>
      <c r="AI25" s="139"/>
      <c r="AJ25" s="210">
        <v>0</v>
      </c>
      <c r="AK25" s="203">
        <v>1</v>
      </c>
      <c r="AL25" s="213" t="e">
        <f t="shared" si="11"/>
        <v>#REF!</v>
      </c>
      <c r="AM25" s="208"/>
      <c r="AN25" s="208"/>
      <c r="AO25" s="208"/>
      <c r="AP25" s="209"/>
      <c r="AR25" s="139"/>
      <c r="AS25" s="210">
        <f t="shared" si="0"/>
        <v>0</v>
      </c>
      <c r="AT25" s="203">
        <v>1</v>
      </c>
      <c r="AU25" s="213" t="e">
        <f t="shared" si="12"/>
        <v>#REF!</v>
      </c>
      <c r="AV25" s="210">
        <f t="shared" si="1"/>
        <v>0</v>
      </c>
      <c r="AW25" s="338"/>
      <c r="AX25" s="208"/>
      <c r="AY25" s="209"/>
    </row>
    <row r="26" spans="1:51" outlineLevel="1">
      <c r="A26" s="6">
        <v>15</v>
      </c>
      <c r="B26" s="263" t="s">
        <v>189</v>
      </c>
      <c r="C26" s="206"/>
      <c r="D26" s="210">
        <v>0</v>
      </c>
      <c r="E26" s="203">
        <v>0</v>
      </c>
      <c r="F26" s="213" t="e">
        <f t="shared" si="7"/>
        <v>#REF!</v>
      </c>
      <c r="G26" s="210">
        <v>0</v>
      </c>
      <c r="H26" s="338"/>
      <c r="I26" s="208"/>
      <c r="J26" s="209"/>
      <c r="K26" s="139"/>
      <c r="L26" s="210">
        <v>0</v>
      </c>
      <c r="M26" s="203">
        <v>0</v>
      </c>
      <c r="N26" s="213" t="e">
        <f t="shared" si="8"/>
        <v>#REF!</v>
      </c>
      <c r="O26" s="210">
        <v>0</v>
      </c>
      <c r="P26" s="338"/>
      <c r="Q26" s="208"/>
      <c r="R26" s="209"/>
      <c r="S26" s="139"/>
      <c r="T26" s="210">
        <v>0</v>
      </c>
      <c r="U26" s="203">
        <v>0</v>
      </c>
      <c r="V26" s="213" t="e">
        <f t="shared" si="9"/>
        <v>#REF!</v>
      </c>
      <c r="W26" s="210">
        <v>0</v>
      </c>
      <c r="X26" s="338"/>
      <c r="Y26" s="208"/>
      <c r="Z26" s="209"/>
      <c r="AA26" s="139"/>
      <c r="AB26" s="210">
        <v>0</v>
      </c>
      <c r="AC26" s="203">
        <v>0</v>
      </c>
      <c r="AD26" s="213" t="e">
        <f t="shared" si="10"/>
        <v>#REF!</v>
      </c>
      <c r="AE26" s="210">
        <v>0</v>
      </c>
      <c r="AF26" s="338"/>
      <c r="AG26" s="208"/>
      <c r="AH26" s="209"/>
      <c r="AI26" s="139"/>
      <c r="AJ26" s="210">
        <v>0</v>
      </c>
      <c r="AK26" s="203">
        <v>0</v>
      </c>
      <c r="AL26" s="213" t="e">
        <f t="shared" si="11"/>
        <v>#REF!</v>
      </c>
      <c r="AM26" s="208"/>
      <c r="AN26" s="208"/>
      <c r="AO26" s="208"/>
      <c r="AP26" s="209"/>
      <c r="AR26" s="139"/>
      <c r="AS26" s="210">
        <f t="shared" si="0"/>
        <v>0</v>
      </c>
      <c r="AT26" s="203"/>
      <c r="AU26" s="213" t="e">
        <f t="shared" si="12"/>
        <v>#REF!</v>
      </c>
      <c r="AV26" s="210">
        <f t="shared" si="1"/>
        <v>0</v>
      </c>
      <c r="AW26" s="338"/>
      <c r="AX26" s="208"/>
      <c r="AY26" s="209"/>
    </row>
    <row r="27" spans="1:51" outlineLevel="1">
      <c r="A27" s="6"/>
      <c r="B27" s="264" t="s">
        <v>251</v>
      </c>
      <c r="C27" s="206"/>
      <c r="D27" s="210">
        <f>SUM(D25:D26)</f>
        <v>0</v>
      </c>
      <c r="E27" s="203"/>
      <c r="F27" s="213" t="e">
        <f t="shared" si="7"/>
        <v>#REF!</v>
      </c>
      <c r="G27" s="210">
        <f>SUM(G25:G26)</f>
        <v>0</v>
      </c>
      <c r="H27" s="338"/>
      <c r="I27" s="208"/>
      <c r="J27" s="209"/>
      <c r="K27" s="139"/>
      <c r="L27" s="210">
        <f>SUM(L25:L26)</f>
        <v>0</v>
      </c>
      <c r="M27" s="203"/>
      <c r="N27" s="213" t="e">
        <f t="shared" si="8"/>
        <v>#REF!</v>
      </c>
      <c r="O27" s="210">
        <f>SUM(O25:O26)</f>
        <v>0</v>
      </c>
      <c r="P27" s="338"/>
      <c r="Q27" s="208"/>
      <c r="R27" s="209"/>
      <c r="S27" s="139"/>
      <c r="T27" s="210">
        <f>SUM(T25:T26)</f>
        <v>0</v>
      </c>
      <c r="U27" s="203"/>
      <c r="V27" s="213" t="e">
        <f t="shared" si="9"/>
        <v>#REF!</v>
      </c>
      <c r="W27" s="210">
        <f>SUM(W25:W26)</f>
        <v>0</v>
      </c>
      <c r="X27" s="338"/>
      <c r="Y27" s="208"/>
      <c r="Z27" s="209"/>
      <c r="AA27" s="139"/>
      <c r="AB27" s="210">
        <f>SUM(AB25:AB26)</f>
        <v>0</v>
      </c>
      <c r="AC27" s="203"/>
      <c r="AD27" s="213" t="e">
        <f t="shared" si="10"/>
        <v>#REF!</v>
      </c>
      <c r="AE27" s="210">
        <f>SUM(AE25:AE26)</f>
        <v>0</v>
      </c>
      <c r="AF27" s="338"/>
      <c r="AG27" s="208"/>
      <c r="AH27" s="209"/>
      <c r="AI27" s="139"/>
      <c r="AJ27" s="210">
        <f>SUM(AJ25:AJ26)</f>
        <v>0</v>
      </c>
      <c r="AK27" s="203"/>
      <c r="AL27" s="213" t="e">
        <f t="shared" si="11"/>
        <v>#REF!</v>
      </c>
      <c r="AM27" s="208"/>
      <c r="AN27" s="208"/>
      <c r="AO27" s="208"/>
      <c r="AP27" s="209"/>
      <c r="AR27" s="139"/>
      <c r="AS27" s="210">
        <f>SUM(AS25:AS26)</f>
        <v>0</v>
      </c>
      <c r="AT27" s="203"/>
      <c r="AU27" s="213" t="e">
        <f t="shared" si="12"/>
        <v>#REF!</v>
      </c>
      <c r="AV27" s="210">
        <f>SUM(AV25:AV26)</f>
        <v>0</v>
      </c>
      <c r="AW27" s="338"/>
      <c r="AX27" s="208"/>
      <c r="AY27" s="209"/>
    </row>
    <row r="28" spans="1:51" outlineLevel="1">
      <c r="A28" s="6">
        <v>16</v>
      </c>
      <c r="B28" s="263" t="s">
        <v>61</v>
      </c>
      <c r="C28" s="206"/>
      <c r="D28" s="210">
        <v>0</v>
      </c>
      <c r="E28" s="203">
        <v>0</v>
      </c>
      <c r="F28" s="213" t="e">
        <f t="shared" si="7"/>
        <v>#REF!</v>
      </c>
      <c r="G28" s="210">
        <v>0</v>
      </c>
      <c r="H28" s="338"/>
      <c r="I28" s="208"/>
      <c r="J28" s="209"/>
      <c r="K28" s="139"/>
      <c r="L28" s="210">
        <v>0</v>
      </c>
      <c r="M28" s="203">
        <v>0</v>
      </c>
      <c r="N28" s="213" t="e">
        <f t="shared" si="8"/>
        <v>#REF!</v>
      </c>
      <c r="O28" s="210">
        <v>0</v>
      </c>
      <c r="P28" s="338"/>
      <c r="Q28" s="208"/>
      <c r="R28" s="209"/>
      <c r="S28" s="139"/>
      <c r="T28" s="210">
        <v>0</v>
      </c>
      <c r="U28" s="203">
        <v>0</v>
      </c>
      <c r="V28" s="213" t="e">
        <f t="shared" si="9"/>
        <v>#REF!</v>
      </c>
      <c r="W28" s="210">
        <v>0</v>
      </c>
      <c r="X28" s="338"/>
      <c r="Y28" s="208"/>
      <c r="Z28" s="209"/>
      <c r="AA28" s="139"/>
      <c r="AB28" s="210">
        <v>0</v>
      </c>
      <c r="AC28" s="203">
        <v>0</v>
      </c>
      <c r="AD28" s="213" t="e">
        <f t="shared" si="10"/>
        <v>#REF!</v>
      </c>
      <c r="AE28" s="210">
        <v>0</v>
      </c>
      <c r="AF28" s="338"/>
      <c r="AG28" s="208"/>
      <c r="AH28" s="209"/>
      <c r="AI28" s="139"/>
      <c r="AJ28" s="210">
        <v>0</v>
      </c>
      <c r="AK28" s="203">
        <v>0</v>
      </c>
      <c r="AL28" s="213" t="e">
        <f t="shared" si="11"/>
        <v>#REF!</v>
      </c>
      <c r="AM28" s="208"/>
      <c r="AN28" s="208"/>
      <c r="AO28" s="208"/>
      <c r="AP28" s="209"/>
      <c r="AR28" s="139"/>
      <c r="AS28" s="210">
        <f t="shared" si="0"/>
        <v>0</v>
      </c>
      <c r="AT28" s="203">
        <v>0</v>
      </c>
      <c r="AU28" s="213" t="e">
        <f t="shared" si="12"/>
        <v>#REF!</v>
      </c>
      <c r="AV28" s="210">
        <f t="shared" si="1"/>
        <v>0</v>
      </c>
      <c r="AW28" s="338"/>
      <c r="AX28" s="208"/>
      <c r="AY28" s="209"/>
    </row>
    <row r="29" spans="1:51" outlineLevel="1">
      <c r="A29" s="6"/>
      <c r="B29" s="263" t="s">
        <v>252</v>
      </c>
      <c r="C29" s="206"/>
      <c r="D29" s="210"/>
      <c r="E29" s="203"/>
      <c r="F29" s="213" t="e">
        <f t="shared" si="7"/>
        <v>#REF!</v>
      </c>
      <c r="G29" s="210"/>
      <c r="H29" s="338"/>
      <c r="I29" s="208"/>
      <c r="J29" s="209"/>
      <c r="K29" s="139"/>
      <c r="L29" s="210"/>
      <c r="M29" s="203"/>
      <c r="N29" s="213" t="e">
        <f t="shared" si="8"/>
        <v>#REF!</v>
      </c>
      <c r="O29" s="210"/>
      <c r="P29" s="338"/>
      <c r="Q29" s="208"/>
      <c r="R29" s="209"/>
      <c r="S29" s="139"/>
      <c r="T29" s="210"/>
      <c r="U29" s="203"/>
      <c r="V29" s="213" t="e">
        <f t="shared" si="9"/>
        <v>#REF!</v>
      </c>
      <c r="W29" s="210"/>
      <c r="X29" s="338"/>
      <c r="Y29" s="208"/>
      <c r="Z29" s="209"/>
      <c r="AA29" s="139"/>
      <c r="AB29" s="210"/>
      <c r="AC29" s="203"/>
      <c r="AD29" s="213" t="e">
        <f t="shared" si="10"/>
        <v>#REF!</v>
      </c>
      <c r="AE29" s="210"/>
      <c r="AF29" s="338"/>
      <c r="AG29" s="208"/>
      <c r="AH29" s="209"/>
      <c r="AI29" s="139"/>
      <c r="AJ29" s="210"/>
      <c r="AK29" s="203"/>
      <c r="AL29" s="213" t="e">
        <f t="shared" si="11"/>
        <v>#REF!</v>
      </c>
      <c r="AM29" s="208"/>
      <c r="AN29" s="208"/>
      <c r="AO29" s="208"/>
      <c r="AP29" s="209"/>
      <c r="AR29" s="139"/>
      <c r="AS29" s="210"/>
      <c r="AT29" s="203"/>
      <c r="AU29" s="213" t="e">
        <f t="shared" si="12"/>
        <v>#REF!</v>
      </c>
      <c r="AV29" s="210"/>
      <c r="AW29" s="338"/>
      <c r="AX29" s="208"/>
      <c r="AY29" s="209"/>
    </row>
    <row r="30" spans="1:51" outlineLevel="1">
      <c r="A30" s="6"/>
      <c r="B30" s="264" t="s">
        <v>253</v>
      </c>
      <c r="C30" s="206"/>
      <c r="D30" s="210">
        <f>SUM(D28:D29)</f>
        <v>0</v>
      </c>
      <c r="E30" s="203"/>
      <c r="F30" s="213" t="e">
        <f t="shared" si="7"/>
        <v>#REF!</v>
      </c>
      <c r="G30" s="210">
        <f>SUM(G28:G29)</f>
        <v>0</v>
      </c>
      <c r="H30" s="338"/>
      <c r="I30" s="208"/>
      <c r="J30" s="209"/>
      <c r="K30" s="139"/>
      <c r="L30" s="210">
        <f>SUM(L28:L29)</f>
        <v>0</v>
      </c>
      <c r="M30" s="203"/>
      <c r="N30" s="213" t="e">
        <f t="shared" si="8"/>
        <v>#REF!</v>
      </c>
      <c r="O30" s="210">
        <f>SUM(O28:O29)</f>
        <v>0</v>
      </c>
      <c r="P30" s="338"/>
      <c r="Q30" s="208"/>
      <c r="R30" s="209"/>
      <c r="S30" s="139"/>
      <c r="T30" s="210">
        <f>SUM(T28:T29)</f>
        <v>0</v>
      </c>
      <c r="U30" s="203"/>
      <c r="V30" s="213" t="e">
        <f t="shared" si="9"/>
        <v>#REF!</v>
      </c>
      <c r="W30" s="210">
        <f>SUM(W28:W29)</f>
        <v>0</v>
      </c>
      <c r="X30" s="338"/>
      <c r="Y30" s="208"/>
      <c r="Z30" s="209"/>
      <c r="AA30" s="139"/>
      <c r="AB30" s="210">
        <f>SUM(AB28:AB29)</f>
        <v>0</v>
      </c>
      <c r="AC30" s="203"/>
      <c r="AD30" s="213" t="e">
        <f t="shared" si="10"/>
        <v>#REF!</v>
      </c>
      <c r="AE30" s="210">
        <f>SUM(AE28:AE29)</f>
        <v>0</v>
      </c>
      <c r="AF30" s="338"/>
      <c r="AG30" s="208"/>
      <c r="AH30" s="209"/>
      <c r="AI30" s="139"/>
      <c r="AJ30" s="210">
        <f>SUM(AJ28:AJ29)</f>
        <v>0</v>
      </c>
      <c r="AK30" s="203"/>
      <c r="AL30" s="213" t="e">
        <f t="shared" si="11"/>
        <v>#REF!</v>
      </c>
      <c r="AM30" s="208"/>
      <c r="AN30" s="208"/>
      <c r="AO30" s="208"/>
      <c r="AP30" s="209"/>
      <c r="AR30" s="139"/>
      <c r="AS30" s="210">
        <f>SUM(AS28:AS29)</f>
        <v>0</v>
      </c>
      <c r="AT30" s="203"/>
      <c r="AU30" s="213" t="e">
        <f t="shared" si="12"/>
        <v>#REF!</v>
      </c>
      <c r="AV30" s="210">
        <f>SUM(AV28:AV29)</f>
        <v>0</v>
      </c>
      <c r="AW30" s="338"/>
      <c r="AX30" s="208"/>
      <c r="AY30" s="209"/>
    </row>
    <row r="31" spans="1:51" outlineLevel="1">
      <c r="A31" s="6">
        <v>17</v>
      </c>
      <c r="B31" s="263" t="s">
        <v>62</v>
      </c>
      <c r="C31" s="206"/>
      <c r="D31" s="210">
        <f>SUM(D32:D33)</f>
        <v>0</v>
      </c>
      <c r="E31" s="203">
        <v>0</v>
      </c>
      <c r="F31" s="213" t="e">
        <f t="shared" si="7"/>
        <v>#REF!</v>
      </c>
      <c r="G31" s="210">
        <f>SUM(G32:G33)</f>
        <v>0</v>
      </c>
      <c r="H31" s="338"/>
      <c r="I31" s="208"/>
      <c r="J31" s="209"/>
      <c r="K31" s="139"/>
      <c r="L31" s="210">
        <f>SUM(L32:L33)</f>
        <v>0</v>
      </c>
      <c r="M31" s="203">
        <v>0</v>
      </c>
      <c r="N31" s="213" t="e">
        <f t="shared" si="8"/>
        <v>#REF!</v>
      </c>
      <c r="O31" s="210">
        <f>SUM(O32:O33)</f>
        <v>0</v>
      </c>
      <c r="P31" s="338"/>
      <c r="Q31" s="208"/>
      <c r="R31" s="209"/>
      <c r="S31" s="139"/>
      <c r="T31" s="210">
        <f>SUM(T32:T33)</f>
        <v>0</v>
      </c>
      <c r="U31" s="203">
        <v>0</v>
      </c>
      <c r="V31" s="213" t="e">
        <f t="shared" si="9"/>
        <v>#REF!</v>
      </c>
      <c r="W31" s="210">
        <f>SUM(W32:W33)</f>
        <v>0</v>
      </c>
      <c r="X31" s="338"/>
      <c r="Y31" s="208"/>
      <c r="Z31" s="209"/>
      <c r="AA31" s="139"/>
      <c r="AB31" s="210">
        <f>SUM(AB32:AB33)</f>
        <v>0</v>
      </c>
      <c r="AC31" s="203">
        <v>0</v>
      </c>
      <c r="AD31" s="213" t="e">
        <f t="shared" si="10"/>
        <v>#REF!</v>
      </c>
      <c r="AE31" s="210">
        <f>SUM(AE32:AE33)</f>
        <v>0</v>
      </c>
      <c r="AF31" s="338"/>
      <c r="AG31" s="208"/>
      <c r="AH31" s="209"/>
      <c r="AI31" s="139"/>
      <c r="AJ31" s="210">
        <f>SUM(AJ32:AJ33)</f>
        <v>0</v>
      </c>
      <c r="AK31" s="203">
        <v>0</v>
      </c>
      <c r="AL31" s="213" t="e">
        <f t="shared" si="11"/>
        <v>#REF!</v>
      </c>
      <c r="AM31" s="208"/>
      <c r="AN31" s="208"/>
      <c r="AO31" s="208"/>
      <c r="AP31" s="209"/>
      <c r="AR31" s="139"/>
      <c r="AS31" s="210">
        <f t="shared" si="0"/>
        <v>0</v>
      </c>
      <c r="AT31" s="203">
        <v>0</v>
      </c>
      <c r="AU31" s="213" t="e">
        <f t="shared" si="12"/>
        <v>#REF!</v>
      </c>
      <c r="AV31" s="210">
        <f t="shared" si="1"/>
        <v>0</v>
      </c>
      <c r="AW31" s="338"/>
      <c r="AX31" s="208"/>
      <c r="AY31" s="209"/>
    </row>
    <row r="32" spans="1:51" outlineLevel="2">
      <c r="A32" s="6"/>
      <c r="B32" s="265" t="s">
        <v>86</v>
      </c>
      <c r="C32" s="206"/>
      <c r="D32" s="210">
        <v>0</v>
      </c>
      <c r="E32" s="203">
        <v>0</v>
      </c>
      <c r="F32" s="213" t="e">
        <f t="shared" si="7"/>
        <v>#REF!</v>
      </c>
      <c r="G32" s="210">
        <v>0</v>
      </c>
      <c r="H32" s="338"/>
      <c r="I32" s="208"/>
      <c r="J32" s="209"/>
      <c r="K32" s="139"/>
      <c r="L32" s="210">
        <v>0</v>
      </c>
      <c r="M32" s="203">
        <v>0</v>
      </c>
      <c r="N32" s="213" t="e">
        <f t="shared" si="8"/>
        <v>#REF!</v>
      </c>
      <c r="O32" s="210">
        <v>0</v>
      </c>
      <c r="P32" s="338"/>
      <c r="Q32" s="208"/>
      <c r="R32" s="209"/>
      <c r="S32" s="139"/>
      <c r="T32" s="210">
        <v>0</v>
      </c>
      <c r="U32" s="203">
        <v>0</v>
      </c>
      <c r="V32" s="213" t="e">
        <f t="shared" si="9"/>
        <v>#REF!</v>
      </c>
      <c r="W32" s="210">
        <v>0</v>
      </c>
      <c r="X32" s="338"/>
      <c r="Y32" s="208"/>
      <c r="Z32" s="209"/>
      <c r="AA32" s="139"/>
      <c r="AB32" s="210">
        <v>0</v>
      </c>
      <c r="AC32" s="203">
        <v>0</v>
      </c>
      <c r="AD32" s="213" t="e">
        <f t="shared" si="10"/>
        <v>#REF!</v>
      </c>
      <c r="AE32" s="210">
        <v>0</v>
      </c>
      <c r="AF32" s="338"/>
      <c r="AG32" s="208"/>
      <c r="AH32" s="209"/>
      <c r="AI32" s="139"/>
      <c r="AJ32" s="210">
        <v>0</v>
      </c>
      <c r="AK32" s="203">
        <v>0</v>
      </c>
      <c r="AL32" s="213" t="e">
        <f t="shared" si="11"/>
        <v>#REF!</v>
      </c>
      <c r="AM32" s="208"/>
      <c r="AN32" s="208"/>
      <c r="AO32" s="208"/>
      <c r="AP32" s="209"/>
      <c r="AR32" s="139"/>
      <c r="AS32" s="210">
        <f t="shared" si="0"/>
        <v>0</v>
      </c>
      <c r="AT32" s="203">
        <v>0</v>
      </c>
      <c r="AU32" s="213" t="e">
        <f t="shared" si="12"/>
        <v>#REF!</v>
      </c>
      <c r="AV32" s="210">
        <f t="shared" si="1"/>
        <v>0</v>
      </c>
      <c r="AW32" s="338"/>
      <c r="AX32" s="208"/>
      <c r="AY32" s="209"/>
    </row>
    <row r="33" spans="1:72" outlineLevel="2">
      <c r="A33" s="6"/>
      <c r="B33" s="265" t="s">
        <v>87</v>
      </c>
      <c r="C33" s="206"/>
      <c r="D33" s="210">
        <v>0</v>
      </c>
      <c r="E33" s="203">
        <v>0</v>
      </c>
      <c r="F33" s="213" t="e">
        <f t="shared" si="7"/>
        <v>#REF!</v>
      </c>
      <c r="G33" s="210">
        <v>0</v>
      </c>
      <c r="H33" s="338"/>
      <c r="I33" s="208"/>
      <c r="J33" s="209"/>
      <c r="K33" s="139"/>
      <c r="L33" s="210">
        <v>0</v>
      </c>
      <c r="M33" s="203">
        <v>0</v>
      </c>
      <c r="N33" s="213" t="e">
        <f t="shared" si="8"/>
        <v>#REF!</v>
      </c>
      <c r="O33" s="210">
        <v>0</v>
      </c>
      <c r="P33" s="338"/>
      <c r="Q33" s="208"/>
      <c r="R33" s="209"/>
      <c r="S33" s="139"/>
      <c r="T33" s="210">
        <v>0</v>
      </c>
      <c r="U33" s="203">
        <v>0</v>
      </c>
      <c r="V33" s="213" t="e">
        <f t="shared" si="9"/>
        <v>#REF!</v>
      </c>
      <c r="W33" s="210">
        <v>0</v>
      </c>
      <c r="X33" s="338"/>
      <c r="Y33" s="208"/>
      <c r="Z33" s="209"/>
      <c r="AA33" s="139"/>
      <c r="AB33" s="210">
        <v>0</v>
      </c>
      <c r="AC33" s="203">
        <v>0</v>
      </c>
      <c r="AD33" s="213" t="e">
        <f t="shared" si="10"/>
        <v>#REF!</v>
      </c>
      <c r="AE33" s="210">
        <v>0</v>
      </c>
      <c r="AF33" s="338"/>
      <c r="AG33" s="208"/>
      <c r="AH33" s="209"/>
      <c r="AI33" s="139"/>
      <c r="AJ33" s="210">
        <v>0</v>
      </c>
      <c r="AK33" s="203">
        <v>0</v>
      </c>
      <c r="AL33" s="213" t="e">
        <f t="shared" si="11"/>
        <v>#REF!</v>
      </c>
      <c r="AM33" s="208"/>
      <c r="AN33" s="208"/>
      <c r="AO33" s="208"/>
      <c r="AP33" s="209"/>
      <c r="AR33" s="139"/>
      <c r="AS33" s="210">
        <f t="shared" si="0"/>
        <v>0</v>
      </c>
      <c r="AT33" s="203">
        <v>0</v>
      </c>
      <c r="AU33" s="213" t="e">
        <f t="shared" si="12"/>
        <v>#REF!</v>
      </c>
      <c r="AV33" s="210">
        <f t="shared" si="1"/>
        <v>0</v>
      </c>
      <c r="AW33" s="338"/>
      <c r="AX33" s="208"/>
      <c r="AY33" s="209"/>
    </row>
    <row r="34" spans="1:72" outlineLevel="1">
      <c r="A34" s="6">
        <v>18</v>
      </c>
      <c r="B34" s="263" t="s">
        <v>254</v>
      </c>
      <c r="C34" s="206"/>
      <c r="D34" s="210">
        <v>0</v>
      </c>
      <c r="E34" s="203">
        <v>0</v>
      </c>
      <c r="F34" s="213" t="e">
        <f t="shared" si="7"/>
        <v>#REF!</v>
      </c>
      <c r="G34" s="210">
        <v>0</v>
      </c>
      <c r="H34" s="338"/>
      <c r="I34" s="208"/>
      <c r="J34" s="209"/>
      <c r="K34" s="139"/>
      <c r="L34" s="210">
        <v>0</v>
      </c>
      <c r="M34" s="203">
        <v>0</v>
      </c>
      <c r="N34" s="213" t="e">
        <f t="shared" si="8"/>
        <v>#REF!</v>
      </c>
      <c r="O34" s="210">
        <v>0</v>
      </c>
      <c r="P34" s="338"/>
      <c r="Q34" s="208"/>
      <c r="R34" s="209"/>
      <c r="S34" s="139"/>
      <c r="T34" s="210">
        <v>0</v>
      </c>
      <c r="U34" s="203">
        <v>0</v>
      </c>
      <c r="V34" s="213" t="e">
        <f t="shared" si="9"/>
        <v>#REF!</v>
      </c>
      <c r="W34" s="210">
        <v>0</v>
      </c>
      <c r="X34" s="338"/>
      <c r="Y34" s="208"/>
      <c r="Z34" s="209"/>
      <c r="AA34" s="139"/>
      <c r="AB34" s="210">
        <v>0</v>
      </c>
      <c r="AC34" s="203">
        <v>0</v>
      </c>
      <c r="AD34" s="213" t="e">
        <f t="shared" si="10"/>
        <v>#REF!</v>
      </c>
      <c r="AE34" s="210">
        <v>0</v>
      </c>
      <c r="AF34" s="338"/>
      <c r="AG34" s="208"/>
      <c r="AH34" s="209"/>
      <c r="AI34" s="139"/>
      <c r="AJ34" s="210">
        <v>0</v>
      </c>
      <c r="AK34" s="203">
        <v>0</v>
      </c>
      <c r="AL34" s="213" t="e">
        <f t="shared" si="11"/>
        <v>#REF!</v>
      </c>
      <c r="AM34" s="208"/>
      <c r="AN34" s="208"/>
      <c r="AO34" s="208"/>
      <c r="AP34" s="209"/>
      <c r="AR34" s="139"/>
      <c r="AS34" s="210">
        <f t="shared" si="0"/>
        <v>0</v>
      </c>
      <c r="AT34" s="203">
        <v>0</v>
      </c>
      <c r="AU34" s="213" t="e">
        <f t="shared" si="12"/>
        <v>#REF!</v>
      </c>
      <c r="AV34" s="210">
        <f t="shared" si="1"/>
        <v>0</v>
      </c>
      <c r="AW34" s="338"/>
      <c r="AX34" s="208"/>
      <c r="AY34" s="209"/>
    </row>
    <row r="35" spans="1:72" outlineLevel="1">
      <c r="A35" s="6">
        <v>19</v>
      </c>
      <c r="B35" s="263" t="s">
        <v>63</v>
      </c>
      <c r="C35" s="206"/>
      <c r="D35" s="210"/>
      <c r="E35" s="203">
        <v>0</v>
      </c>
      <c r="F35" s="213" t="e">
        <f t="shared" si="7"/>
        <v>#REF!</v>
      </c>
      <c r="G35" s="210"/>
      <c r="H35" s="338"/>
      <c r="I35" s="208"/>
      <c r="J35" s="209"/>
      <c r="K35" s="139"/>
      <c r="L35" s="210"/>
      <c r="M35" s="203">
        <v>0</v>
      </c>
      <c r="N35" s="213" t="e">
        <f t="shared" si="8"/>
        <v>#REF!</v>
      </c>
      <c r="O35" s="210"/>
      <c r="P35" s="338"/>
      <c r="Q35" s="208"/>
      <c r="R35" s="209"/>
      <c r="S35" s="139"/>
      <c r="T35" s="210"/>
      <c r="U35" s="203">
        <v>0</v>
      </c>
      <c r="V35" s="213" t="e">
        <f t="shared" si="9"/>
        <v>#REF!</v>
      </c>
      <c r="W35" s="210"/>
      <c r="X35" s="338"/>
      <c r="Y35" s="208"/>
      <c r="Z35" s="209"/>
      <c r="AA35" s="139"/>
      <c r="AB35" s="210"/>
      <c r="AC35" s="203">
        <v>0</v>
      </c>
      <c r="AD35" s="213" t="e">
        <f t="shared" si="10"/>
        <v>#REF!</v>
      </c>
      <c r="AE35" s="210"/>
      <c r="AF35" s="338"/>
      <c r="AG35" s="208"/>
      <c r="AH35" s="209"/>
      <c r="AI35" s="139"/>
      <c r="AJ35" s="210"/>
      <c r="AK35" s="203">
        <v>0</v>
      </c>
      <c r="AL35" s="213" t="e">
        <f t="shared" si="11"/>
        <v>#REF!</v>
      </c>
      <c r="AM35" s="208"/>
      <c r="AN35" s="208"/>
      <c r="AO35" s="208"/>
      <c r="AP35" s="209"/>
      <c r="AR35" s="139"/>
      <c r="AS35" s="210">
        <f t="shared" si="0"/>
        <v>0</v>
      </c>
      <c r="AT35" s="203">
        <v>0</v>
      </c>
      <c r="AU35" s="213" t="e">
        <f t="shared" si="12"/>
        <v>#REF!</v>
      </c>
      <c r="AV35" s="210">
        <f t="shared" si="1"/>
        <v>0</v>
      </c>
      <c r="AW35" s="338"/>
      <c r="AX35" s="208"/>
      <c r="AY35" s="209"/>
    </row>
    <row r="36" spans="1:72" outlineLevel="1">
      <c r="A36" s="6">
        <v>20</v>
      </c>
      <c r="B36" s="263" t="s">
        <v>64</v>
      </c>
      <c r="C36" s="206"/>
      <c r="D36" s="210"/>
      <c r="E36" s="203">
        <v>0</v>
      </c>
      <c r="F36" s="213" t="e">
        <f t="shared" si="7"/>
        <v>#REF!</v>
      </c>
      <c r="G36" s="210"/>
      <c r="H36" s="338"/>
      <c r="I36" s="208"/>
      <c r="J36" s="209"/>
      <c r="K36" s="139"/>
      <c r="L36" s="210"/>
      <c r="M36" s="203">
        <v>0</v>
      </c>
      <c r="N36" s="213" t="e">
        <f t="shared" si="8"/>
        <v>#REF!</v>
      </c>
      <c r="O36" s="210"/>
      <c r="P36" s="338"/>
      <c r="Q36" s="208"/>
      <c r="R36" s="209"/>
      <c r="S36" s="139"/>
      <c r="T36" s="210"/>
      <c r="U36" s="203">
        <v>0</v>
      </c>
      <c r="V36" s="213" t="e">
        <f t="shared" si="9"/>
        <v>#REF!</v>
      </c>
      <c r="W36" s="210"/>
      <c r="X36" s="338"/>
      <c r="Y36" s="208"/>
      <c r="Z36" s="209"/>
      <c r="AA36" s="139"/>
      <c r="AB36" s="210"/>
      <c r="AC36" s="203">
        <v>0</v>
      </c>
      <c r="AD36" s="213" t="e">
        <f t="shared" si="10"/>
        <v>#REF!</v>
      </c>
      <c r="AE36" s="210"/>
      <c r="AF36" s="338"/>
      <c r="AG36" s="208"/>
      <c r="AH36" s="209"/>
      <c r="AI36" s="139"/>
      <c r="AJ36" s="210"/>
      <c r="AK36" s="203">
        <v>0</v>
      </c>
      <c r="AL36" s="213" t="e">
        <f t="shared" si="11"/>
        <v>#REF!</v>
      </c>
      <c r="AM36" s="208"/>
      <c r="AN36" s="208"/>
      <c r="AO36" s="208"/>
      <c r="AP36" s="209"/>
      <c r="AR36" s="139"/>
      <c r="AS36" s="210">
        <f t="shared" si="0"/>
        <v>0</v>
      </c>
      <c r="AT36" s="203">
        <v>0</v>
      </c>
      <c r="AU36" s="213" t="e">
        <f t="shared" si="12"/>
        <v>#REF!</v>
      </c>
      <c r="AV36" s="210">
        <f t="shared" si="1"/>
        <v>0</v>
      </c>
      <c r="AW36" s="338"/>
      <c r="AX36" s="208"/>
      <c r="AY36" s="209"/>
    </row>
    <row r="37" spans="1:72" outlineLevel="1">
      <c r="A37" s="6">
        <v>21</v>
      </c>
      <c r="B37" s="263" t="s">
        <v>65</v>
      </c>
      <c r="C37" s="206"/>
      <c r="D37" s="210"/>
      <c r="E37" s="203">
        <v>0</v>
      </c>
      <c r="F37" s="213" t="e">
        <f t="shared" si="7"/>
        <v>#REF!</v>
      </c>
      <c r="G37" s="210"/>
      <c r="H37" s="338"/>
      <c r="I37" s="208"/>
      <c r="J37" s="209"/>
      <c r="K37" s="139"/>
      <c r="L37" s="210"/>
      <c r="M37" s="203">
        <v>0</v>
      </c>
      <c r="N37" s="213" t="e">
        <f t="shared" si="8"/>
        <v>#REF!</v>
      </c>
      <c r="O37" s="210"/>
      <c r="P37" s="338"/>
      <c r="Q37" s="208"/>
      <c r="R37" s="209"/>
      <c r="S37" s="139"/>
      <c r="T37" s="210"/>
      <c r="U37" s="203">
        <v>0</v>
      </c>
      <c r="V37" s="213" t="e">
        <f t="shared" si="9"/>
        <v>#REF!</v>
      </c>
      <c r="W37" s="210"/>
      <c r="X37" s="338"/>
      <c r="Y37" s="208"/>
      <c r="Z37" s="209"/>
      <c r="AA37" s="139"/>
      <c r="AB37" s="210"/>
      <c r="AC37" s="203">
        <v>0</v>
      </c>
      <c r="AD37" s="213" t="e">
        <f t="shared" si="10"/>
        <v>#REF!</v>
      </c>
      <c r="AE37" s="210"/>
      <c r="AF37" s="338"/>
      <c r="AG37" s="208"/>
      <c r="AH37" s="209"/>
      <c r="AI37" s="139"/>
      <c r="AJ37" s="210"/>
      <c r="AK37" s="203">
        <v>0</v>
      </c>
      <c r="AL37" s="213" t="e">
        <f t="shared" si="11"/>
        <v>#REF!</v>
      </c>
      <c r="AM37" s="208"/>
      <c r="AN37" s="208"/>
      <c r="AO37" s="208"/>
      <c r="AP37" s="209"/>
      <c r="AR37" s="139"/>
      <c r="AS37" s="210">
        <f t="shared" si="0"/>
        <v>0</v>
      </c>
      <c r="AT37" s="203">
        <v>0</v>
      </c>
      <c r="AU37" s="213" t="e">
        <f t="shared" si="12"/>
        <v>#REF!</v>
      </c>
      <c r="AV37" s="210">
        <f t="shared" si="1"/>
        <v>0</v>
      </c>
      <c r="AW37" s="338"/>
      <c r="AX37" s="208"/>
      <c r="AY37" s="209"/>
    </row>
    <row r="38" spans="1:72" outlineLevel="1">
      <c r="A38" s="6">
        <v>22</v>
      </c>
      <c r="B38" s="263" t="s">
        <v>66</v>
      </c>
      <c r="C38" s="206"/>
      <c r="D38" s="210"/>
      <c r="E38" s="203">
        <v>0</v>
      </c>
      <c r="F38" s="213" t="e">
        <f t="shared" si="7"/>
        <v>#REF!</v>
      </c>
      <c r="G38" s="210"/>
      <c r="H38" s="338"/>
      <c r="I38" s="208"/>
      <c r="J38" s="209"/>
      <c r="K38" s="139"/>
      <c r="L38" s="210"/>
      <c r="M38" s="203">
        <v>0</v>
      </c>
      <c r="N38" s="213" t="e">
        <f t="shared" si="8"/>
        <v>#REF!</v>
      </c>
      <c r="O38" s="210"/>
      <c r="P38" s="338"/>
      <c r="Q38" s="208"/>
      <c r="R38" s="209"/>
      <c r="S38" s="139"/>
      <c r="T38" s="210"/>
      <c r="U38" s="203">
        <v>0</v>
      </c>
      <c r="V38" s="213" t="e">
        <f t="shared" si="9"/>
        <v>#REF!</v>
      </c>
      <c r="W38" s="210"/>
      <c r="X38" s="338"/>
      <c r="Y38" s="208"/>
      <c r="Z38" s="209"/>
      <c r="AA38" s="139"/>
      <c r="AB38" s="210"/>
      <c r="AC38" s="203">
        <v>0</v>
      </c>
      <c r="AD38" s="213" t="e">
        <f t="shared" si="10"/>
        <v>#REF!</v>
      </c>
      <c r="AE38" s="210"/>
      <c r="AF38" s="338"/>
      <c r="AG38" s="208"/>
      <c r="AH38" s="209"/>
      <c r="AI38" s="139"/>
      <c r="AJ38" s="210"/>
      <c r="AK38" s="203">
        <v>0</v>
      </c>
      <c r="AL38" s="213" t="e">
        <f t="shared" si="11"/>
        <v>#REF!</v>
      </c>
      <c r="AM38" s="208"/>
      <c r="AN38" s="208"/>
      <c r="AO38" s="208"/>
      <c r="AP38" s="209"/>
      <c r="AR38" s="139"/>
      <c r="AS38" s="210">
        <f t="shared" si="0"/>
        <v>0</v>
      </c>
      <c r="AT38" s="203">
        <v>0</v>
      </c>
      <c r="AU38" s="213" t="e">
        <f t="shared" si="12"/>
        <v>#REF!</v>
      </c>
      <c r="AV38" s="210">
        <f t="shared" si="1"/>
        <v>0</v>
      </c>
      <c r="AW38" s="338"/>
      <c r="AX38" s="208"/>
      <c r="AY38" s="209"/>
    </row>
    <row r="39" spans="1:72" outlineLevel="1">
      <c r="A39" s="6">
        <v>23</v>
      </c>
      <c r="B39" s="263" t="s">
        <v>67</v>
      </c>
      <c r="C39" s="206"/>
      <c r="D39" s="214"/>
      <c r="E39" s="203">
        <v>5.0000000000000001E-3</v>
      </c>
      <c r="F39" s="213" t="e">
        <f t="shared" si="7"/>
        <v>#REF!</v>
      </c>
      <c r="G39" s="214">
        <v>238992.32999294696</v>
      </c>
      <c r="H39" s="339">
        <f>D39/G39</f>
        <v>0</v>
      </c>
      <c r="I39" s="208"/>
      <c r="J39" s="209"/>
      <c r="K39" s="139"/>
      <c r="L39" s="214"/>
      <c r="M39" s="203">
        <v>5.0000000000000001E-3</v>
      </c>
      <c r="N39" s="213" t="e">
        <f t="shared" si="8"/>
        <v>#REF!</v>
      </c>
      <c r="O39" s="214">
        <v>75826.325586926585</v>
      </c>
      <c r="P39" s="339">
        <f>L39/O39</f>
        <v>0</v>
      </c>
      <c r="Q39" s="208"/>
      <c r="R39" s="209"/>
      <c r="S39" s="139"/>
      <c r="T39" s="214"/>
      <c r="U39" s="203">
        <v>5.0000000000000001E-3</v>
      </c>
      <c r="V39" s="213" t="e">
        <f t="shared" si="9"/>
        <v>#REF!</v>
      </c>
      <c r="W39" s="214">
        <v>1810199.827819162</v>
      </c>
      <c r="X39" s="339">
        <f>T39/W39</f>
        <v>0</v>
      </c>
      <c r="Y39" s="208"/>
      <c r="Z39" s="209"/>
      <c r="AA39" s="139"/>
      <c r="AB39" s="214"/>
      <c r="AC39" s="203">
        <v>5.0000000000000001E-3</v>
      </c>
      <c r="AD39" s="213" t="e">
        <f t="shared" si="10"/>
        <v>#REF!</v>
      </c>
      <c r="AE39" s="214">
        <v>590004.01442772464</v>
      </c>
      <c r="AF39" s="339">
        <f>AB39/AE39</f>
        <v>0</v>
      </c>
      <c r="AG39" s="208"/>
      <c r="AH39" s="209"/>
      <c r="AI39" s="139"/>
      <c r="AJ39" s="214"/>
      <c r="AK39" s="203">
        <v>5.0000000000000001E-3</v>
      </c>
      <c r="AL39" s="213" t="e">
        <f t="shared" si="11"/>
        <v>#REF!</v>
      </c>
      <c r="AM39" s="208"/>
      <c r="AN39" s="208"/>
      <c r="AO39" s="208"/>
      <c r="AP39" s="209"/>
      <c r="AR39" s="139"/>
      <c r="AS39" s="210">
        <f t="shared" si="0"/>
        <v>0</v>
      </c>
      <c r="AT39" s="203">
        <v>5.0000000000000001E-3</v>
      </c>
      <c r="AU39" s="213" t="e">
        <f t="shared" si="12"/>
        <v>#REF!</v>
      </c>
      <c r="AV39" s="210">
        <f t="shared" si="1"/>
        <v>2715022.4978267602</v>
      </c>
      <c r="AW39" s="339">
        <f>AS39/AV39</f>
        <v>0</v>
      </c>
      <c r="AX39" s="208"/>
      <c r="AY39" s="209"/>
    </row>
    <row r="40" spans="1:72" outlineLevel="1">
      <c r="A40" s="6"/>
      <c r="B40" s="264" t="s">
        <v>255</v>
      </c>
      <c r="C40" s="206"/>
      <c r="D40" s="214">
        <f>SUM(D32:D39)</f>
        <v>0</v>
      </c>
      <c r="E40" s="203"/>
      <c r="F40" s="213" t="e">
        <f t="shared" si="7"/>
        <v>#REF!</v>
      </c>
      <c r="G40" s="214">
        <f>SUM(G32:G39)</f>
        <v>238992.32999294696</v>
      </c>
      <c r="H40" s="339">
        <f>D40/G40</f>
        <v>0</v>
      </c>
      <c r="I40" s="208"/>
      <c r="J40" s="209"/>
      <c r="K40" s="139"/>
      <c r="L40" s="214">
        <f>SUM(L32:L39)</f>
        <v>0</v>
      </c>
      <c r="M40" s="203"/>
      <c r="N40" s="213" t="e">
        <f t="shared" si="8"/>
        <v>#REF!</v>
      </c>
      <c r="O40" s="214">
        <f>SUM(O32:O39)</f>
        <v>75826.325586926585</v>
      </c>
      <c r="P40" s="339">
        <f>L40/O40</f>
        <v>0</v>
      </c>
      <c r="Q40" s="208"/>
      <c r="R40" s="209"/>
      <c r="S40" s="139"/>
      <c r="T40" s="214">
        <f>SUM(T32:T39)</f>
        <v>0</v>
      </c>
      <c r="U40" s="203"/>
      <c r="V40" s="213" t="e">
        <f t="shared" si="9"/>
        <v>#REF!</v>
      </c>
      <c r="W40" s="214">
        <f>SUM(W32:W39)</f>
        <v>1810199.827819162</v>
      </c>
      <c r="X40" s="339">
        <f>T40/W40</f>
        <v>0</v>
      </c>
      <c r="Y40" s="208"/>
      <c r="Z40" s="209"/>
      <c r="AA40" s="139"/>
      <c r="AB40" s="214">
        <f>SUM(AB32:AB39)</f>
        <v>0</v>
      </c>
      <c r="AC40" s="203"/>
      <c r="AD40" s="213" t="e">
        <f t="shared" si="10"/>
        <v>#REF!</v>
      </c>
      <c r="AE40" s="214">
        <f>SUM(AE32:AE39)</f>
        <v>590004.01442772464</v>
      </c>
      <c r="AF40" s="339">
        <f>AB40/AE40</f>
        <v>0</v>
      </c>
      <c r="AG40" s="208"/>
      <c r="AH40" s="209"/>
      <c r="AI40" s="139"/>
      <c r="AJ40" s="214">
        <f>SUM(AJ32:AJ39)</f>
        <v>0</v>
      </c>
      <c r="AK40" s="203"/>
      <c r="AL40" s="213" t="e">
        <f t="shared" si="11"/>
        <v>#REF!</v>
      </c>
      <c r="AM40" s="208"/>
      <c r="AN40" s="208"/>
      <c r="AO40" s="208"/>
      <c r="AP40" s="209"/>
      <c r="AR40" s="139"/>
      <c r="AS40" s="214">
        <f>SUM(AS32:AS39)</f>
        <v>0</v>
      </c>
      <c r="AT40" s="203"/>
      <c r="AU40" s="213" t="e">
        <f t="shared" si="12"/>
        <v>#REF!</v>
      </c>
      <c r="AV40" s="214">
        <f>SUM(AV32:AV39)</f>
        <v>2715022.4978267602</v>
      </c>
      <c r="AW40" s="339">
        <f>AS40/AV40</f>
        <v>0</v>
      </c>
      <c r="AX40" s="208"/>
      <c r="AY40" s="209"/>
    </row>
    <row r="41" spans="1:72" outlineLevel="1">
      <c r="A41" s="6">
        <v>24</v>
      </c>
      <c r="B41" s="264" t="s">
        <v>68</v>
      </c>
      <c r="C41" s="211"/>
      <c r="D41" s="207">
        <f>D40+D30+D27+D24</f>
        <v>0</v>
      </c>
      <c r="E41" s="203">
        <v>0</v>
      </c>
      <c r="F41" s="208" t="e">
        <f t="shared" si="7"/>
        <v>#REF!</v>
      </c>
      <c r="G41" s="207">
        <f>G40+G30+G27+G24</f>
        <v>238992.32999294696</v>
      </c>
      <c r="H41" s="337">
        <f>D41/G41</f>
        <v>0</v>
      </c>
      <c r="I41" s="208"/>
      <c r="J41" s="209"/>
      <c r="K41" s="139"/>
      <c r="L41" s="207">
        <f>L40+L30+L27+L24</f>
        <v>0</v>
      </c>
      <c r="M41" s="203">
        <v>0</v>
      </c>
      <c r="N41" s="208" t="e">
        <f t="shared" si="8"/>
        <v>#REF!</v>
      </c>
      <c r="O41" s="207">
        <f>O40+O30+O27+O24</f>
        <v>75826.325586926585</v>
      </c>
      <c r="P41" s="337">
        <f>L41/O41</f>
        <v>0</v>
      </c>
      <c r="Q41" s="208"/>
      <c r="R41" s="209"/>
      <c r="S41" s="139"/>
      <c r="T41" s="207">
        <f>T40+T30+T27+T24</f>
        <v>0</v>
      </c>
      <c r="U41" s="203">
        <v>0</v>
      </c>
      <c r="V41" s="208" t="e">
        <f t="shared" si="9"/>
        <v>#REF!</v>
      </c>
      <c r="W41" s="207">
        <f>W40+W30+W27+W24</f>
        <v>1810199.827819162</v>
      </c>
      <c r="X41" s="337">
        <f>T41/W41</f>
        <v>0</v>
      </c>
      <c r="Y41" s="208"/>
      <c r="Z41" s="209"/>
      <c r="AA41" s="139"/>
      <c r="AB41" s="207">
        <f>AB40+AB30+AB27+AB24</f>
        <v>0</v>
      </c>
      <c r="AC41" s="203">
        <v>0</v>
      </c>
      <c r="AD41" s="208" t="e">
        <f t="shared" si="10"/>
        <v>#REF!</v>
      </c>
      <c r="AE41" s="207">
        <f>AE40+AE30+AE27+AE24</f>
        <v>590004.01442772464</v>
      </c>
      <c r="AF41" s="337">
        <f>AB41/AE41</f>
        <v>0</v>
      </c>
      <c r="AG41" s="208"/>
      <c r="AH41" s="209"/>
      <c r="AI41" s="139"/>
      <c r="AJ41" s="207">
        <f>AJ40+AJ30+AJ27+AJ24</f>
        <v>0</v>
      </c>
      <c r="AK41" s="203">
        <v>0</v>
      </c>
      <c r="AL41" s="208" t="e">
        <f t="shared" si="11"/>
        <v>#REF!</v>
      </c>
      <c r="AM41" s="208"/>
      <c r="AN41" s="208"/>
      <c r="AO41" s="208"/>
      <c r="AP41" s="209"/>
      <c r="AR41" s="139"/>
      <c r="AS41" s="207">
        <f>AS40+AS30+AS27+AS24</f>
        <v>0</v>
      </c>
      <c r="AT41" s="203">
        <v>0</v>
      </c>
      <c r="AU41" s="208" t="e">
        <f t="shared" si="12"/>
        <v>#REF!</v>
      </c>
      <c r="AV41" s="207">
        <f>AV40+AV30+AV27+AV24</f>
        <v>2715022.4978267602</v>
      </c>
      <c r="AW41" s="337">
        <f>AS41/AV41</f>
        <v>0</v>
      </c>
      <c r="AX41" s="208"/>
      <c r="AY41" s="209"/>
    </row>
    <row r="42" spans="1:72" ht="13.5" outlineLevel="1" thickBot="1">
      <c r="A42" s="6">
        <v>25</v>
      </c>
      <c r="B42" s="266" t="s">
        <v>69</v>
      </c>
      <c r="C42" s="215"/>
      <c r="D42" s="216" t="e">
        <f>D23-D41</f>
        <v>#REF!</v>
      </c>
      <c r="E42" s="217">
        <v>0</v>
      </c>
      <c r="F42" s="218" t="e">
        <f t="shared" si="7"/>
        <v>#REF!</v>
      </c>
      <c r="G42" s="216">
        <f>G23-G41</f>
        <v>10782822.12515014</v>
      </c>
      <c r="H42" s="340" t="e">
        <f>D42/G42</f>
        <v>#REF!</v>
      </c>
      <c r="I42" s="218"/>
      <c r="J42" s="219"/>
      <c r="K42" s="139"/>
      <c r="L42" s="216" t="e">
        <f>L23-L41</f>
        <v>#REF!</v>
      </c>
      <c r="M42" s="217">
        <v>0</v>
      </c>
      <c r="N42" s="218" t="e">
        <f t="shared" si="8"/>
        <v>#REF!</v>
      </c>
      <c r="O42" s="216">
        <f>O23-O41</f>
        <v>3239715.5907826643</v>
      </c>
      <c r="P42" s="340" t="e">
        <f>L42/O42</f>
        <v>#REF!</v>
      </c>
      <c r="Q42" s="218"/>
      <c r="R42" s="219"/>
      <c r="S42" s="139"/>
      <c r="T42" s="216" t="e">
        <f>T23-T41</f>
        <v>#REF!</v>
      </c>
      <c r="U42" s="217">
        <v>0</v>
      </c>
      <c r="V42" s="218" t="e">
        <f t="shared" si="9"/>
        <v>#REF!</v>
      </c>
      <c r="W42" s="216">
        <f>W23-W41</f>
        <v>55912661.40910811</v>
      </c>
      <c r="X42" s="340" t="e">
        <f>T42/W42</f>
        <v>#REF!</v>
      </c>
      <c r="Y42" s="218"/>
      <c r="Z42" s="219"/>
      <c r="AA42" s="139"/>
      <c r="AB42" s="216" t="e">
        <f>AB23-AB41</f>
        <v>#REF!</v>
      </c>
      <c r="AC42" s="217">
        <v>0</v>
      </c>
      <c r="AD42" s="218" t="e">
        <f t="shared" si="10"/>
        <v>#REF!</v>
      </c>
      <c r="AE42" s="216">
        <f>AE23-AE41</f>
        <v>12313973.783390637</v>
      </c>
      <c r="AF42" s="340" t="e">
        <f>AB42/AE42</f>
        <v>#REF!</v>
      </c>
      <c r="AG42" s="218"/>
      <c r="AH42" s="219"/>
      <c r="AI42" s="139"/>
      <c r="AJ42" s="216" t="e">
        <f>AJ23-AJ41</f>
        <v>#REF!</v>
      </c>
      <c r="AK42" s="217">
        <v>0</v>
      </c>
      <c r="AL42" s="218" t="e">
        <f t="shared" si="11"/>
        <v>#REF!</v>
      </c>
      <c r="AM42" s="218"/>
      <c r="AN42" s="218"/>
      <c r="AO42" s="218"/>
      <c r="AP42" s="219"/>
      <c r="AR42" s="139"/>
      <c r="AS42" s="216" t="e">
        <f>AS23-AS41</f>
        <v>#REF!</v>
      </c>
      <c r="AT42" s="217">
        <v>0</v>
      </c>
      <c r="AU42" s="218" t="e">
        <f t="shared" si="12"/>
        <v>#REF!</v>
      </c>
      <c r="AV42" s="216">
        <f>AV23-AV41</f>
        <v>82249172.90843156</v>
      </c>
      <c r="AW42" s="340" t="e">
        <f>AS42/AV42</f>
        <v>#REF!</v>
      </c>
      <c r="AX42" s="218"/>
      <c r="AY42" s="219"/>
    </row>
    <row r="43" spans="1:72" ht="14.25" outlineLevel="1" thickTop="1" thickBot="1">
      <c r="A43" s="139"/>
      <c r="B43" s="257"/>
      <c r="C43" s="258"/>
      <c r="D43" s="259"/>
      <c r="E43" s="260"/>
      <c r="F43" s="261"/>
      <c r="G43" s="218">
        <f>G42/G15</f>
        <v>0.28089987956186036</v>
      </c>
      <c r="H43" s="261"/>
      <c r="I43" s="261"/>
      <c r="J43" s="261"/>
      <c r="K43" s="139"/>
      <c r="L43" s="259"/>
      <c r="M43" s="260"/>
      <c r="N43" s="261"/>
      <c r="O43" s="218">
        <f>O42/O15</f>
        <v>0.26600509174653136</v>
      </c>
      <c r="P43" s="261"/>
      <c r="Q43" s="261"/>
      <c r="R43" s="261"/>
      <c r="S43" s="139"/>
      <c r="T43" s="259"/>
      <c r="U43" s="260"/>
      <c r="V43" s="261"/>
      <c r="W43" s="218">
        <f>W42/W15</f>
        <v>0.19230329287423933</v>
      </c>
      <c r="X43" s="261"/>
      <c r="Y43" s="261"/>
      <c r="Z43" s="261"/>
      <c r="AA43" s="139"/>
      <c r="AB43" s="259"/>
      <c r="AC43" s="260"/>
      <c r="AD43" s="261"/>
      <c r="AE43" s="218">
        <f>AE42/AE15</f>
        <v>0.1299410384610811</v>
      </c>
      <c r="AF43" s="261"/>
      <c r="AG43" s="261"/>
      <c r="AH43" s="261"/>
      <c r="AI43" s="139"/>
      <c r="AJ43" s="259"/>
      <c r="AK43" s="260"/>
      <c r="AL43" s="261"/>
      <c r="AM43" s="261"/>
      <c r="AN43" s="261"/>
      <c r="AO43" s="261"/>
      <c r="AP43" s="261"/>
      <c r="AR43" s="139"/>
      <c r="AS43" s="192"/>
      <c r="AT43" s="192"/>
      <c r="AU43" s="192"/>
      <c r="AV43" s="218">
        <f>AV42/AV15</f>
        <v>0.18860846560079064</v>
      </c>
      <c r="AW43" s="139"/>
      <c r="AX43" s="139"/>
      <c r="AY43" s="139"/>
    </row>
    <row r="44" spans="1:72" ht="14.25" thickTop="1" thickBo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R44" s="139"/>
      <c r="AS44" s="139"/>
      <c r="AT44" s="139"/>
      <c r="AU44" s="139"/>
      <c r="AV44" s="139"/>
      <c r="AW44" s="139"/>
      <c r="AX44" s="139"/>
      <c r="AY44" s="139"/>
    </row>
    <row r="45" spans="1:72" ht="13.5" thickBot="1">
      <c r="A45" s="139"/>
      <c r="B45" s="220" t="s">
        <v>90</v>
      </c>
      <c r="C45" s="139"/>
      <c r="D45" s="335" t="e">
        <f>D50/D59</f>
        <v>#REF!</v>
      </c>
      <c r="E45" s="192"/>
      <c r="F45" s="192"/>
      <c r="G45" s="335">
        <f>G50/G59</f>
        <v>1.4655369891838625</v>
      </c>
      <c r="H45" s="139"/>
      <c r="I45" s="335">
        <f>I50/I59</f>
        <v>1.5802822437798258</v>
      </c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R45" s="139"/>
      <c r="AS45" s="139"/>
      <c r="AT45" s="139"/>
      <c r="AU45" s="139"/>
      <c r="AV45" s="139"/>
      <c r="AW45" s="139"/>
      <c r="AX45" s="139"/>
      <c r="AY45" s="139"/>
    </row>
    <row r="46" spans="1:72" ht="13.5" thickBot="1">
      <c r="A46" s="139"/>
      <c r="B46" s="139"/>
      <c r="C46" s="139"/>
      <c r="D46" s="335" t="e">
        <f>D50/D56</f>
        <v>#REF!</v>
      </c>
      <c r="E46" s="192"/>
      <c r="F46" s="192"/>
      <c r="G46" s="335">
        <f>G50/G56</f>
        <v>1.797743155247671</v>
      </c>
      <c r="H46" s="139"/>
      <c r="I46" s="335">
        <f>I50/I56</f>
        <v>1.6973792277763149</v>
      </c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R46" s="139"/>
      <c r="AS46" s="139"/>
      <c r="AT46" s="139"/>
      <c r="AU46" s="139"/>
      <c r="AV46" s="139"/>
      <c r="AW46" s="139"/>
      <c r="AX46" s="139"/>
      <c r="AY46" s="139"/>
    </row>
    <row r="47" spans="1:72" ht="14.25" thickTop="1" thickBot="1">
      <c r="A47" s="139"/>
      <c r="B47" s="1262" t="s">
        <v>47</v>
      </c>
      <c r="C47" s="195"/>
      <c r="D47" s="1274" t="s">
        <v>91</v>
      </c>
      <c r="E47" s="1275"/>
      <c r="F47" s="1275"/>
      <c r="G47" s="1275"/>
      <c r="H47" s="1275"/>
      <c r="I47" s="1275"/>
      <c r="J47" s="1275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R47" s="139"/>
      <c r="AS47" s="139"/>
      <c r="AT47" s="139"/>
      <c r="AU47" s="139"/>
      <c r="AV47" s="139"/>
      <c r="AW47" s="139"/>
      <c r="AX47" s="139"/>
      <c r="AY47" s="139"/>
    </row>
    <row r="48" spans="1:72" ht="13.5" customHeight="1" thickTop="1" thickBot="1">
      <c r="A48" s="139"/>
      <c r="B48" s="1263"/>
      <c r="C48" s="197"/>
      <c r="D48" s="1268" t="s">
        <v>256</v>
      </c>
      <c r="E48" s="1270" t="s">
        <v>257</v>
      </c>
      <c r="F48" s="1270" t="s">
        <v>257</v>
      </c>
      <c r="G48" s="1272" t="s">
        <v>258</v>
      </c>
      <c r="H48" s="1273"/>
      <c r="I48" s="1272" t="s">
        <v>259</v>
      </c>
      <c r="J48" s="1273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R48" s="139"/>
      <c r="AS48" s="139"/>
      <c r="AT48" s="139"/>
      <c r="AU48" s="139"/>
      <c r="AV48" s="139"/>
      <c r="AW48" s="139"/>
      <c r="AX48" s="139"/>
      <c r="AY48" s="139"/>
      <c r="BT48" s="139"/>
    </row>
    <row r="49" spans="1:172" ht="14.25" thickTop="1" thickBot="1">
      <c r="A49" s="139"/>
      <c r="B49" s="1264"/>
      <c r="C49" s="199"/>
      <c r="D49" s="1269"/>
      <c r="E49" s="1271"/>
      <c r="F49" s="1271"/>
      <c r="G49" s="318" t="s">
        <v>260</v>
      </c>
      <c r="H49" s="317" t="s">
        <v>36</v>
      </c>
      <c r="I49" s="318" t="s">
        <v>260</v>
      </c>
      <c r="J49" s="317" t="s">
        <v>36</v>
      </c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R49" s="139"/>
      <c r="AS49" s="139"/>
      <c r="AT49" s="139"/>
      <c r="AU49" s="139"/>
      <c r="AV49" s="139"/>
      <c r="AW49" s="139"/>
      <c r="AX49" s="139"/>
      <c r="AY49" s="139"/>
      <c r="BT49" s="139"/>
    </row>
    <row r="50" spans="1:172" ht="14.25" customHeight="1" thickTop="1">
      <c r="A50" s="6">
        <v>1</v>
      </c>
      <c r="B50" s="262" t="s">
        <v>48</v>
      </c>
      <c r="C50" s="201"/>
      <c r="D50" s="298" t="e">
        <f t="shared" ref="D50:D62" si="13">AS10</f>
        <v>#REF!</v>
      </c>
      <c r="E50" s="222"/>
      <c r="F50" s="204"/>
      <c r="G50" s="298">
        <v>514579362.71733463</v>
      </c>
      <c r="H50" s="337" t="e">
        <f>D50/G50</f>
        <v>#REF!</v>
      </c>
      <c r="I50" s="298">
        <f>SUM(I51:I53)</f>
        <v>514699275.89264715</v>
      </c>
      <c r="J50" s="337" t="e">
        <f>D50/I50</f>
        <v>#REF!</v>
      </c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R50" s="139"/>
      <c r="AS50" s="139"/>
      <c r="AT50" s="139"/>
      <c r="AU50" s="139"/>
      <c r="AV50" s="139"/>
      <c r="AW50" s="139"/>
      <c r="AX50" s="139"/>
      <c r="AY50" s="139"/>
      <c r="BT50" s="139"/>
    </row>
    <row r="51" spans="1:172">
      <c r="A51" s="6">
        <v>2</v>
      </c>
      <c r="B51" s="263" t="s">
        <v>49</v>
      </c>
      <c r="C51" s="206"/>
      <c r="D51" s="221" t="e">
        <f t="shared" si="13"/>
        <v>#REF!</v>
      </c>
      <c r="E51" s="208"/>
      <c r="F51" s="208"/>
      <c r="G51" s="300">
        <v>514579362.71733463</v>
      </c>
      <c r="H51" s="337" t="e">
        <f>D51/G51</f>
        <v>#REF!</v>
      </c>
      <c r="I51" s="300">
        <v>514432336.11948329</v>
      </c>
      <c r="J51" s="337" t="e">
        <f>D51/I51</f>
        <v>#REF!</v>
      </c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R51" s="139"/>
      <c r="AS51" s="139"/>
      <c r="AT51" s="139"/>
      <c r="AU51" s="139"/>
      <c r="AV51" s="139"/>
      <c r="AW51" s="139"/>
      <c r="AX51" s="139"/>
      <c r="AY51" s="139"/>
      <c r="BT51" s="139"/>
    </row>
    <row r="52" spans="1:172" ht="14.25" customHeight="1">
      <c r="A52" s="6">
        <v>4</v>
      </c>
      <c r="B52" s="263" t="s">
        <v>50</v>
      </c>
      <c r="C52" s="206"/>
      <c r="D52" s="221">
        <f t="shared" si="13"/>
        <v>0</v>
      </c>
      <c r="E52" s="208"/>
      <c r="F52" s="208"/>
      <c r="G52" s="300">
        <v>0</v>
      </c>
      <c r="H52" s="341"/>
      <c r="I52" s="300">
        <v>0</v>
      </c>
      <c r="J52" s="344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R52" s="139"/>
      <c r="AS52" s="139"/>
      <c r="AT52" s="139"/>
      <c r="AU52" s="139"/>
      <c r="AV52" s="139"/>
      <c r="AW52" s="139"/>
      <c r="AX52" s="139"/>
      <c r="AY52" s="139"/>
      <c r="BT52" s="139"/>
    </row>
    <row r="53" spans="1:172">
      <c r="A53" s="6">
        <v>5</v>
      </c>
      <c r="B53" s="263" t="s">
        <v>51</v>
      </c>
      <c r="C53" s="206"/>
      <c r="D53" s="221">
        <f t="shared" si="13"/>
        <v>0</v>
      </c>
      <c r="E53" s="208"/>
      <c r="F53" s="208"/>
      <c r="G53" s="300">
        <v>0</v>
      </c>
      <c r="H53" s="341"/>
      <c r="I53" s="300">
        <f>320068.773163882-53129</f>
        <v>266939.77316388203</v>
      </c>
      <c r="J53" s="344">
        <f t="shared" ref="J53:J93" si="14">D53/I53</f>
        <v>0</v>
      </c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R53" s="139"/>
      <c r="AS53" s="139"/>
      <c r="AT53" s="139"/>
      <c r="AU53" s="139"/>
      <c r="AV53" s="139"/>
      <c r="AW53" s="139"/>
      <c r="AX53" s="139"/>
      <c r="AY53" s="139"/>
      <c r="BT53" s="139"/>
    </row>
    <row r="54" spans="1:172" s="139" customFormat="1" ht="14.25" customHeight="1">
      <c r="A54" s="6">
        <v>6</v>
      </c>
      <c r="B54" s="264" t="s">
        <v>52</v>
      </c>
      <c r="C54" s="211"/>
      <c r="D54" s="299" t="e">
        <f t="shared" si="13"/>
        <v>#REF!</v>
      </c>
      <c r="E54" s="208"/>
      <c r="F54" s="208"/>
      <c r="G54" s="298">
        <v>78495157.024678126</v>
      </c>
      <c r="H54" s="339" t="e">
        <f t="shared" ref="H54:H88" si="15">D54/G54</f>
        <v>#REF!</v>
      </c>
      <c r="I54" s="298">
        <v>78204654.581422612</v>
      </c>
      <c r="J54" s="344" t="e">
        <f t="shared" si="14"/>
        <v>#REF!</v>
      </c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  <c r="FA54" s="140"/>
      <c r="FB54" s="140"/>
      <c r="FC54" s="140"/>
      <c r="FD54" s="140"/>
      <c r="FE54" s="140"/>
      <c r="FF54" s="140"/>
      <c r="FG54" s="140"/>
      <c r="FH54" s="140"/>
      <c r="FI54" s="140"/>
      <c r="FJ54" s="140"/>
      <c r="FK54" s="140"/>
      <c r="FL54" s="140"/>
      <c r="FM54" s="140"/>
      <c r="FN54" s="140"/>
      <c r="FO54" s="140"/>
      <c r="FP54" s="140"/>
    </row>
    <row r="55" spans="1:172" s="139" customFormat="1">
      <c r="A55" s="6">
        <v>7</v>
      </c>
      <c r="B55" s="264" t="s">
        <v>53</v>
      </c>
      <c r="C55" s="211"/>
      <c r="D55" s="221" t="e">
        <f t="shared" si="13"/>
        <v>#REF!</v>
      </c>
      <c r="E55" s="208"/>
      <c r="F55" s="208" t="e">
        <f t="shared" ref="F55:F70" si="16">D55/D$55</f>
        <v>#REF!</v>
      </c>
      <c r="G55" s="221">
        <v>436084205.69265616</v>
      </c>
      <c r="H55" s="341" t="e">
        <f t="shared" si="15"/>
        <v>#REF!</v>
      </c>
      <c r="I55" s="221">
        <f>I50-I54</f>
        <v>436494621.31122452</v>
      </c>
      <c r="J55" s="344" t="e">
        <f t="shared" si="14"/>
        <v>#REF!</v>
      </c>
      <c r="L55" s="386">
        <v>233798321.86481988</v>
      </c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  <c r="FA55" s="140"/>
      <c r="FB55" s="140"/>
      <c r="FC55" s="140"/>
      <c r="FD55" s="140"/>
      <c r="FE55" s="140"/>
      <c r="FF55" s="140"/>
      <c r="FG55" s="140"/>
      <c r="FH55" s="140"/>
      <c r="FI55" s="140"/>
      <c r="FJ55" s="140"/>
      <c r="FK55" s="140"/>
      <c r="FL55" s="140"/>
      <c r="FM55" s="140"/>
      <c r="FN55" s="140"/>
      <c r="FO55" s="140"/>
      <c r="FP55" s="140"/>
    </row>
    <row r="56" spans="1:172" s="139" customFormat="1" ht="14.25" customHeight="1">
      <c r="A56" s="6">
        <v>8</v>
      </c>
      <c r="B56" s="263" t="s">
        <v>54</v>
      </c>
      <c r="C56" s="206"/>
      <c r="D56" s="298" t="e">
        <f t="shared" si="13"/>
        <v>#REF!</v>
      </c>
      <c r="E56" s="208">
        <v>0</v>
      </c>
      <c r="F56" s="208" t="e">
        <f t="shared" si="16"/>
        <v>#REF!</v>
      </c>
      <c r="G56" s="298">
        <v>286236307.56999999</v>
      </c>
      <c r="H56" s="341" t="e">
        <f t="shared" si="15"/>
        <v>#REF!</v>
      </c>
      <c r="I56" s="298">
        <v>303231751.31990927</v>
      </c>
      <c r="J56" s="341" t="e">
        <f t="shared" si="14"/>
        <v>#REF!</v>
      </c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0"/>
      <c r="FB56" s="140"/>
      <c r="FC56" s="140"/>
      <c r="FD56" s="140"/>
      <c r="FE56" s="140"/>
      <c r="FF56" s="140"/>
      <c r="FG56" s="140"/>
      <c r="FH56" s="140"/>
      <c r="FI56" s="140"/>
      <c r="FJ56" s="140"/>
      <c r="FK56" s="140"/>
      <c r="FL56" s="140"/>
      <c r="FM56" s="140"/>
      <c r="FN56" s="140"/>
      <c r="FO56" s="140"/>
      <c r="FP56" s="140"/>
    </row>
    <row r="57" spans="1:172" s="139" customFormat="1">
      <c r="A57" s="6">
        <v>9</v>
      </c>
      <c r="B57" s="263" t="s">
        <v>55</v>
      </c>
      <c r="C57" s="206"/>
      <c r="D57" s="299" t="e">
        <f t="shared" si="13"/>
        <v>#REF!</v>
      </c>
      <c r="E57" s="213">
        <v>0</v>
      </c>
      <c r="F57" s="213" t="e">
        <f t="shared" si="16"/>
        <v>#REF!</v>
      </c>
      <c r="G57" s="299">
        <v>7122990.5138794445</v>
      </c>
      <c r="H57" s="342" t="e">
        <f t="shared" si="15"/>
        <v>#REF!</v>
      </c>
      <c r="I57" s="299">
        <v>4012196.4187477482</v>
      </c>
      <c r="J57" s="342" t="e">
        <f t="shared" si="14"/>
        <v>#REF!</v>
      </c>
      <c r="L57" s="387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  <c r="FA57" s="140"/>
      <c r="FB57" s="140"/>
      <c r="FC57" s="140"/>
      <c r="FD57" s="140"/>
      <c r="FE57" s="140"/>
      <c r="FF57" s="140"/>
      <c r="FG57" s="140"/>
      <c r="FH57" s="140"/>
      <c r="FI57" s="140"/>
      <c r="FJ57" s="140"/>
      <c r="FK57" s="140"/>
      <c r="FL57" s="140"/>
      <c r="FM57" s="140"/>
      <c r="FN57" s="140"/>
      <c r="FO57" s="140"/>
      <c r="FP57" s="140"/>
    </row>
    <row r="58" spans="1:172" s="139" customFormat="1" ht="14.25" customHeight="1">
      <c r="A58" s="6">
        <v>10</v>
      </c>
      <c r="B58" s="263" t="s">
        <v>56</v>
      </c>
      <c r="C58" s="206"/>
      <c r="D58" s="299" t="e">
        <f t="shared" si="13"/>
        <v>#REF!</v>
      </c>
      <c r="E58" s="213">
        <v>0</v>
      </c>
      <c r="F58" s="213" t="e">
        <f t="shared" si="16"/>
        <v>#REF!</v>
      </c>
      <c r="G58" s="299">
        <v>57760712.202519022</v>
      </c>
      <c r="H58" s="342" t="e">
        <f t="shared" si="15"/>
        <v>#REF!</v>
      </c>
      <c r="I58" s="299">
        <v>18456905.96552337</v>
      </c>
      <c r="J58" s="342" t="e">
        <f t="shared" si="14"/>
        <v>#REF!</v>
      </c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0"/>
      <c r="FB58" s="140"/>
      <c r="FC58" s="140"/>
      <c r="FD58" s="140"/>
      <c r="FE58" s="140"/>
      <c r="FF58" s="140"/>
      <c r="FG58" s="140"/>
      <c r="FH58" s="140"/>
      <c r="FI58" s="140"/>
      <c r="FJ58" s="140"/>
      <c r="FK58" s="140"/>
      <c r="FL58" s="140"/>
      <c r="FM58" s="140"/>
      <c r="FN58" s="140"/>
      <c r="FO58" s="140"/>
      <c r="FP58" s="140"/>
    </row>
    <row r="59" spans="1:172" s="139" customFormat="1">
      <c r="A59" s="6">
        <v>11</v>
      </c>
      <c r="B59" s="264" t="s">
        <v>57</v>
      </c>
      <c r="C59" s="211"/>
      <c r="D59" s="221" t="e">
        <f t="shared" si="13"/>
        <v>#REF!</v>
      </c>
      <c r="E59" s="208">
        <v>0</v>
      </c>
      <c r="F59" s="208" t="e">
        <f t="shared" si="16"/>
        <v>#REF!</v>
      </c>
      <c r="G59" s="221">
        <v>351120010.28639805</v>
      </c>
      <c r="H59" s="341" t="e">
        <f t="shared" si="15"/>
        <v>#REF!</v>
      </c>
      <c r="I59" s="221">
        <v>325700853.70418048</v>
      </c>
      <c r="J59" s="341" t="e">
        <f t="shared" si="14"/>
        <v>#REF!</v>
      </c>
      <c r="L59" s="381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  <c r="FA59" s="140"/>
      <c r="FB59" s="140"/>
      <c r="FC59" s="140"/>
      <c r="FD59" s="140"/>
      <c r="FE59" s="140"/>
      <c r="FF59" s="140"/>
      <c r="FG59" s="140"/>
      <c r="FH59" s="140"/>
      <c r="FI59" s="140"/>
      <c r="FJ59" s="140"/>
      <c r="FK59" s="140"/>
      <c r="FL59" s="140"/>
      <c r="FM59" s="140"/>
      <c r="FN59" s="140"/>
      <c r="FO59" s="140"/>
      <c r="FP59" s="140"/>
    </row>
    <row r="60" spans="1:172" s="139" customFormat="1" ht="14.25" customHeight="1">
      <c r="A60" s="6"/>
      <c r="B60" s="263" t="str">
        <f>B20</f>
        <v>Deffective goods</v>
      </c>
      <c r="C60" s="211"/>
      <c r="D60" s="298" t="e">
        <f t="shared" si="13"/>
        <v>#REF!</v>
      </c>
      <c r="E60" s="208"/>
      <c r="F60" s="213" t="e">
        <f t="shared" si="16"/>
        <v>#REF!</v>
      </c>
      <c r="G60" s="300">
        <v>1755600.0514319877</v>
      </c>
      <c r="H60" s="341" t="e">
        <f t="shared" si="15"/>
        <v>#REF!</v>
      </c>
      <c r="I60" s="221">
        <v>1914134.8387431016</v>
      </c>
      <c r="J60" s="341" t="e">
        <f t="shared" si="14"/>
        <v>#REF!</v>
      </c>
      <c r="L60" s="382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  <c r="FA60" s="140"/>
      <c r="FB60" s="140"/>
      <c r="FC60" s="140"/>
      <c r="FD60" s="140"/>
      <c r="FE60" s="140"/>
      <c r="FF60" s="140"/>
      <c r="FG60" s="140"/>
      <c r="FH60" s="140"/>
      <c r="FI60" s="140"/>
      <c r="FJ60" s="140"/>
      <c r="FK60" s="140"/>
      <c r="FL60" s="140"/>
      <c r="FM60" s="140"/>
      <c r="FN60" s="140"/>
      <c r="FO60" s="140"/>
      <c r="FP60" s="140"/>
    </row>
    <row r="61" spans="1:172" s="139" customFormat="1">
      <c r="A61" s="6"/>
      <c r="B61" s="263" t="str">
        <f>B21</f>
        <v>Credits on deffective goods</v>
      </c>
      <c r="C61" s="211"/>
      <c r="D61" s="221"/>
      <c r="E61" s="208"/>
      <c r="F61" s="213" t="e">
        <f t="shared" si="16"/>
        <v>#REF!</v>
      </c>
      <c r="G61" s="300">
        <v>2784773.1217</v>
      </c>
      <c r="H61" s="341">
        <f t="shared" si="15"/>
        <v>0</v>
      </c>
      <c r="I61" s="221">
        <v>2432979.125971735</v>
      </c>
      <c r="J61" s="341">
        <f t="shared" si="14"/>
        <v>0</v>
      </c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</row>
    <row r="62" spans="1:172" s="139" customFormat="1" ht="14.25" customHeight="1">
      <c r="A62" s="6"/>
      <c r="B62" s="263" t="str">
        <f>B22</f>
        <v>Inventory</v>
      </c>
      <c r="C62" s="211"/>
      <c r="D62" s="221" t="e">
        <f t="shared" si="13"/>
        <v>#REF!</v>
      </c>
      <c r="E62" s="208"/>
      <c r="F62" s="213" t="e">
        <f t="shared" si="16"/>
        <v>#REF!</v>
      </c>
      <c r="G62" s="300">
        <v>0</v>
      </c>
      <c r="H62" s="341"/>
      <c r="I62" s="221">
        <v>0</v>
      </c>
      <c r="J62" s="341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</row>
    <row r="63" spans="1:172" s="139" customFormat="1">
      <c r="A63" s="6">
        <v>12</v>
      </c>
      <c r="B63" s="264" t="s">
        <v>58</v>
      </c>
      <c r="C63" s="211"/>
      <c r="D63" s="221" t="e">
        <f>D55-D59-D60+D61-D62</f>
        <v>#REF!</v>
      </c>
      <c r="E63" s="208">
        <v>0</v>
      </c>
      <c r="F63" s="208" t="e">
        <f t="shared" si="16"/>
        <v>#REF!</v>
      </c>
      <c r="G63" s="221">
        <f>G55-G59-G60+G61-G62</f>
        <v>85993368.476526126</v>
      </c>
      <c r="H63" s="341" t="e">
        <f t="shared" si="15"/>
        <v>#REF!</v>
      </c>
      <c r="I63" s="221">
        <f>I55-I59-I60+I61-I62</f>
        <v>111312611.89427267</v>
      </c>
      <c r="J63" s="341" t="e">
        <f t="shared" si="14"/>
        <v>#REF!</v>
      </c>
      <c r="L63" s="386">
        <v>98366859.832369089</v>
      </c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</row>
    <row r="64" spans="1:172" s="139" customFormat="1" ht="14.25" customHeight="1">
      <c r="A64" s="6">
        <v>13</v>
      </c>
      <c r="B64" s="263" t="s">
        <v>59</v>
      </c>
      <c r="C64" s="206"/>
      <c r="D64" s="223">
        <v>0</v>
      </c>
      <c r="E64" s="213">
        <v>0</v>
      </c>
      <c r="F64" s="213" t="e">
        <f t="shared" si="16"/>
        <v>#REF!</v>
      </c>
      <c r="G64" s="223">
        <v>0</v>
      </c>
      <c r="H64" s="342"/>
      <c r="I64" s="223">
        <v>0</v>
      </c>
      <c r="J64" s="342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</row>
    <row r="65" spans="1:172" s="139" customFormat="1">
      <c r="A65" s="6">
        <v>14</v>
      </c>
      <c r="B65" s="263" t="s">
        <v>60</v>
      </c>
      <c r="C65" s="206"/>
      <c r="D65" s="221">
        <f>AS25</f>
        <v>0</v>
      </c>
      <c r="E65" s="213">
        <v>0</v>
      </c>
      <c r="F65" s="213" t="e">
        <f t="shared" si="16"/>
        <v>#REF!</v>
      </c>
      <c r="G65" s="221">
        <v>0</v>
      </c>
      <c r="H65" s="342"/>
      <c r="I65" s="221">
        <v>0</v>
      </c>
      <c r="J65" s="342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</row>
    <row r="66" spans="1:172" s="139" customFormat="1" ht="14.25" customHeight="1">
      <c r="A66" s="6">
        <v>15</v>
      </c>
      <c r="B66" s="263" t="s">
        <v>189</v>
      </c>
      <c r="C66" s="206"/>
      <c r="D66" s="221">
        <f>AS26</f>
        <v>0</v>
      </c>
      <c r="E66" s="213">
        <v>0</v>
      </c>
      <c r="F66" s="213" t="e">
        <f t="shared" si="16"/>
        <v>#REF!</v>
      </c>
      <c r="G66" s="221">
        <v>0</v>
      </c>
      <c r="H66" s="342"/>
      <c r="I66" s="221">
        <v>0</v>
      </c>
      <c r="J66" s="342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  <c r="EA66" s="140"/>
      <c r="EB66" s="140"/>
      <c r="EC66" s="140"/>
      <c r="ED66" s="140"/>
      <c r="EE66" s="140"/>
      <c r="EF66" s="140"/>
      <c r="EG66" s="140"/>
      <c r="EH66" s="140"/>
      <c r="EI66" s="140"/>
      <c r="EJ66" s="140"/>
      <c r="EK66" s="140"/>
      <c r="EL66" s="140"/>
      <c r="EM66" s="140"/>
      <c r="EN66" s="140"/>
      <c r="EO66" s="140"/>
      <c r="EP66" s="140"/>
      <c r="EQ66" s="140"/>
      <c r="ER66" s="140"/>
      <c r="ES66" s="140"/>
      <c r="ET66" s="140"/>
      <c r="EU66" s="140"/>
      <c r="EV66" s="140"/>
      <c r="EW66" s="140"/>
      <c r="EX66" s="140"/>
      <c r="EY66" s="140"/>
      <c r="EZ66" s="140"/>
      <c r="FA66" s="140"/>
      <c r="FB66" s="140"/>
      <c r="FC66" s="140"/>
      <c r="FD66" s="140"/>
      <c r="FE66" s="140"/>
      <c r="FF66" s="140"/>
      <c r="FG66" s="140"/>
      <c r="FH66" s="140"/>
      <c r="FI66" s="140"/>
      <c r="FJ66" s="140"/>
      <c r="FK66" s="140"/>
      <c r="FL66" s="140"/>
      <c r="FM66" s="140"/>
      <c r="FN66" s="140"/>
      <c r="FO66" s="140"/>
      <c r="FP66" s="140"/>
    </row>
    <row r="67" spans="1:172" s="139" customFormat="1">
      <c r="A67" s="6"/>
      <c r="B67" s="264" t="s">
        <v>251</v>
      </c>
      <c r="C67" s="206"/>
      <c r="D67" s="221"/>
      <c r="E67" s="213"/>
      <c r="F67" s="208" t="e">
        <f t="shared" si="16"/>
        <v>#REF!</v>
      </c>
      <c r="G67" s="221">
        <v>0</v>
      </c>
      <c r="H67" s="342"/>
      <c r="I67" s="221">
        <v>0</v>
      </c>
      <c r="J67" s="342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0"/>
      <c r="EL67" s="140"/>
      <c r="EM67" s="140"/>
      <c r="EN67" s="140"/>
      <c r="EO67" s="140"/>
      <c r="EP67" s="140"/>
      <c r="EQ67" s="140"/>
      <c r="ER67" s="140"/>
      <c r="ES67" s="140"/>
      <c r="ET67" s="140"/>
      <c r="EU67" s="140"/>
      <c r="EV67" s="140"/>
      <c r="EW67" s="140"/>
      <c r="EX67" s="140"/>
      <c r="EY67" s="140"/>
      <c r="EZ67" s="140"/>
      <c r="FA67" s="140"/>
      <c r="FB67" s="140"/>
      <c r="FC67" s="140"/>
      <c r="FD67" s="140"/>
      <c r="FE67" s="140"/>
      <c r="FF67" s="140"/>
      <c r="FG67" s="140"/>
      <c r="FH67" s="140"/>
      <c r="FI67" s="140"/>
      <c r="FJ67" s="140"/>
      <c r="FK67" s="140"/>
      <c r="FL67" s="140"/>
      <c r="FM67" s="140"/>
      <c r="FN67" s="140"/>
      <c r="FO67" s="140"/>
      <c r="FP67" s="140"/>
    </row>
    <row r="68" spans="1:172" s="139" customFormat="1" ht="14.25" customHeight="1">
      <c r="A68" s="6">
        <v>16</v>
      </c>
      <c r="B68" s="263" t="s">
        <v>61</v>
      </c>
      <c r="C68" s="206"/>
      <c r="D68" s="221">
        <f>AS28</f>
        <v>0</v>
      </c>
      <c r="E68" s="213">
        <v>0</v>
      </c>
      <c r="F68" s="213" t="e">
        <f t="shared" si="16"/>
        <v>#REF!</v>
      </c>
      <c r="G68" s="221">
        <v>0</v>
      </c>
      <c r="H68" s="342"/>
      <c r="I68" s="221">
        <v>-14010.6855554454</v>
      </c>
      <c r="J68" s="342">
        <f t="shared" si="14"/>
        <v>0</v>
      </c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40"/>
      <c r="EV68" s="140"/>
      <c r="EW68" s="140"/>
      <c r="EX68" s="140"/>
      <c r="EY68" s="140"/>
      <c r="EZ68" s="140"/>
      <c r="FA68" s="140"/>
      <c r="FB68" s="140"/>
      <c r="FC68" s="140"/>
      <c r="FD68" s="140"/>
      <c r="FE68" s="140"/>
      <c r="FF68" s="140"/>
      <c r="FG68" s="140"/>
      <c r="FH68" s="140"/>
      <c r="FI68" s="140"/>
      <c r="FJ68" s="140"/>
      <c r="FK68" s="140"/>
      <c r="FL68" s="140"/>
      <c r="FM68" s="140"/>
      <c r="FN68" s="140"/>
      <c r="FO68" s="140"/>
      <c r="FP68" s="140"/>
    </row>
    <row r="69" spans="1:172" s="139" customFormat="1">
      <c r="A69" s="6"/>
      <c r="B69" s="263" t="s">
        <v>252</v>
      </c>
      <c r="C69" s="206"/>
      <c r="D69" s="221"/>
      <c r="E69" s="213"/>
      <c r="F69" s="213" t="e">
        <f t="shared" si="16"/>
        <v>#REF!</v>
      </c>
      <c r="G69" s="221">
        <v>0</v>
      </c>
      <c r="H69" s="342"/>
      <c r="I69" s="221">
        <v>-309.040890890752</v>
      </c>
      <c r="J69" s="342">
        <f t="shared" si="14"/>
        <v>0</v>
      </c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/>
      <c r="EC69" s="140"/>
      <c r="ED69" s="140"/>
      <c r="EE69" s="140"/>
      <c r="EF69" s="140"/>
      <c r="EG69" s="140"/>
      <c r="EH69" s="140"/>
      <c r="EI69" s="140"/>
      <c r="EJ69" s="140"/>
      <c r="EK69" s="140"/>
      <c r="EL69" s="140"/>
      <c r="EM69" s="140"/>
      <c r="EN69" s="140"/>
      <c r="EO69" s="140"/>
      <c r="EP69" s="140"/>
      <c r="EQ69" s="140"/>
      <c r="ER69" s="140"/>
      <c r="ES69" s="140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40"/>
      <c r="FK69" s="140"/>
      <c r="FL69" s="140"/>
      <c r="FM69" s="140"/>
      <c r="FN69" s="140"/>
      <c r="FO69" s="140"/>
      <c r="FP69" s="140"/>
    </row>
    <row r="70" spans="1:172" s="139" customFormat="1" ht="14.25" customHeight="1">
      <c r="A70" s="6"/>
      <c r="B70" s="264" t="s">
        <v>253</v>
      </c>
      <c r="C70" s="206"/>
      <c r="D70" s="221" t="e">
        <f>-#REF!</f>
        <v>#REF!</v>
      </c>
      <c r="E70" s="213"/>
      <c r="F70" s="213" t="e">
        <f t="shared" si="16"/>
        <v>#REF!</v>
      </c>
      <c r="G70" s="221">
        <v>0</v>
      </c>
      <c r="H70" s="342"/>
      <c r="I70" s="221">
        <v>-14319.726446336101</v>
      </c>
      <c r="J70" s="342" t="e">
        <f t="shared" si="14"/>
        <v>#REF!</v>
      </c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  <c r="DD70" s="140"/>
      <c r="DE70" s="140"/>
      <c r="DF70" s="140"/>
      <c r="DG70" s="140"/>
      <c r="DH70" s="140"/>
      <c r="DI70" s="140"/>
      <c r="DJ70" s="140"/>
      <c r="DK70" s="140"/>
      <c r="DL70" s="140"/>
      <c r="DM70" s="140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/>
      <c r="EC70" s="140"/>
      <c r="ED70" s="140"/>
      <c r="EE70" s="140"/>
      <c r="EF70" s="140"/>
      <c r="EG70" s="140"/>
      <c r="EH70" s="140"/>
      <c r="EI70" s="140"/>
      <c r="EJ70" s="140"/>
      <c r="EK70" s="140"/>
      <c r="EL70" s="140"/>
      <c r="EM70" s="140"/>
      <c r="EN70" s="140"/>
      <c r="EO70" s="140"/>
      <c r="EP70" s="140"/>
      <c r="EQ70" s="140"/>
      <c r="ER70" s="140"/>
      <c r="ES70" s="140"/>
      <c r="ET70" s="140"/>
      <c r="EU70" s="140"/>
      <c r="EV70" s="140"/>
      <c r="EW70" s="140"/>
      <c r="EX70" s="140"/>
      <c r="EY70" s="140"/>
      <c r="EZ70" s="140"/>
      <c r="FA70" s="140"/>
      <c r="FB70" s="140"/>
      <c r="FC70" s="140"/>
      <c r="FD70" s="140"/>
      <c r="FE70" s="140"/>
      <c r="FF70" s="140"/>
      <c r="FG70" s="140"/>
      <c r="FH70" s="140"/>
      <c r="FI70" s="140"/>
      <c r="FJ70" s="140"/>
      <c r="FK70" s="140"/>
      <c r="FL70" s="140"/>
      <c r="FM70" s="140"/>
      <c r="FN70" s="140"/>
      <c r="FO70" s="140"/>
      <c r="FP70" s="140"/>
    </row>
    <row r="71" spans="1:172" s="139" customFormat="1">
      <c r="A71" s="6">
        <v>17</v>
      </c>
      <c r="B71" s="263" t="s">
        <v>62</v>
      </c>
      <c r="C71" s="206"/>
      <c r="D71" s="221">
        <f>SUM(D72:D73)</f>
        <v>0</v>
      </c>
      <c r="E71" s="213">
        <v>0</v>
      </c>
      <c r="F71" s="213" t="e">
        <f t="shared" ref="F71:F79" si="17">D71/D$55</f>
        <v>#REF!</v>
      </c>
      <c r="G71" s="221">
        <v>0</v>
      </c>
      <c r="H71" s="342"/>
      <c r="I71" s="221">
        <v>1.60841961256766E-3</v>
      </c>
      <c r="J71" s="342">
        <f t="shared" si="14"/>
        <v>0</v>
      </c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  <c r="DD71" s="140"/>
      <c r="DE71" s="140"/>
      <c r="DF71" s="140"/>
      <c r="DG71" s="140"/>
      <c r="DH71" s="140"/>
      <c r="DI71" s="140"/>
      <c r="DJ71" s="140"/>
      <c r="DK71" s="140"/>
      <c r="DL71" s="140"/>
      <c r="DM71" s="140"/>
      <c r="DN71" s="140"/>
      <c r="DO71" s="140"/>
      <c r="DP71" s="140"/>
      <c r="DQ71" s="140"/>
      <c r="DR71" s="140"/>
      <c r="DS71" s="140"/>
      <c r="DT71" s="140"/>
      <c r="DU71" s="140"/>
      <c r="DV71" s="140"/>
      <c r="DW71" s="140"/>
      <c r="DX71" s="140"/>
      <c r="DY71" s="140"/>
      <c r="DZ71" s="140"/>
      <c r="EA71" s="140"/>
      <c r="EB71" s="140"/>
      <c r="EC71" s="140"/>
      <c r="ED71" s="140"/>
      <c r="EE71" s="140"/>
      <c r="EF71" s="140"/>
      <c r="EG71" s="140"/>
      <c r="EH71" s="140"/>
      <c r="EI71" s="140"/>
      <c r="EJ71" s="140"/>
      <c r="EK71" s="140"/>
      <c r="EL71" s="140"/>
      <c r="EM71" s="140"/>
      <c r="EN71" s="140"/>
      <c r="EO71" s="140"/>
      <c r="EP71" s="140"/>
      <c r="EQ71" s="140"/>
      <c r="ER71" s="140"/>
      <c r="ES71" s="140"/>
      <c r="ET71" s="140"/>
      <c r="EU71" s="140"/>
      <c r="EV71" s="140"/>
      <c r="EW71" s="140"/>
      <c r="EX71" s="140"/>
      <c r="EY71" s="140"/>
      <c r="EZ71" s="140"/>
      <c r="FA71" s="140"/>
      <c r="FB71" s="140"/>
      <c r="FC71" s="140"/>
      <c r="FD71" s="140"/>
      <c r="FE71" s="140"/>
      <c r="FF71" s="140"/>
      <c r="FG71" s="140"/>
      <c r="FH71" s="140"/>
      <c r="FI71" s="140"/>
      <c r="FJ71" s="140"/>
      <c r="FK71" s="140"/>
      <c r="FL71" s="140"/>
      <c r="FM71" s="140"/>
      <c r="FN71" s="140"/>
      <c r="FO71" s="140"/>
      <c r="FP71" s="140"/>
    </row>
    <row r="72" spans="1:172" ht="12.75" customHeight="1" outlineLevel="2">
      <c r="A72" s="6"/>
      <c r="B72" s="265" t="s">
        <v>86</v>
      </c>
      <c r="C72" s="206"/>
      <c r="D72" s="221">
        <f>AS32</f>
        <v>0</v>
      </c>
      <c r="E72" s="213">
        <v>0</v>
      </c>
      <c r="F72" s="213" t="e">
        <f t="shared" si="17"/>
        <v>#REF!</v>
      </c>
      <c r="G72" s="221"/>
      <c r="H72" s="342"/>
      <c r="I72" s="221"/>
      <c r="J72" s="342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R72" s="139"/>
      <c r="AS72" s="139"/>
      <c r="AT72" s="139"/>
      <c r="AU72" s="139"/>
      <c r="AV72" s="139"/>
      <c r="AW72" s="139"/>
      <c r="AX72" s="139"/>
      <c r="AY72" s="139"/>
      <c r="BT72" s="139"/>
    </row>
    <row r="73" spans="1:172" ht="12.75" customHeight="1" outlineLevel="2">
      <c r="A73" s="6"/>
      <c r="B73" s="265" t="s">
        <v>87</v>
      </c>
      <c r="C73" s="206"/>
      <c r="D73" s="221">
        <f>AS33</f>
        <v>0</v>
      </c>
      <c r="E73" s="203">
        <v>0</v>
      </c>
      <c r="F73" s="213" t="e">
        <f t="shared" si="17"/>
        <v>#REF!</v>
      </c>
      <c r="G73" s="221"/>
      <c r="H73" s="342"/>
      <c r="I73" s="221"/>
      <c r="J73" s="342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R73" s="139"/>
      <c r="AZ73" s="140"/>
      <c r="BT73" s="139"/>
    </row>
    <row r="74" spans="1:172" s="139" customFormat="1" ht="14.25" customHeight="1">
      <c r="A74" s="6">
        <v>18</v>
      </c>
      <c r="B74" s="263" t="s">
        <v>84</v>
      </c>
      <c r="C74" s="206"/>
      <c r="D74" s="300" t="e">
        <f>SUM(#REF!)*E74</f>
        <v>#REF!</v>
      </c>
      <c r="E74" s="213">
        <v>1</v>
      </c>
      <c r="F74" s="213" t="e">
        <f t="shared" si="17"/>
        <v>#REF!</v>
      </c>
      <c r="G74" s="300">
        <v>770381.35593220347</v>
      </c>
      <c r="H74" s="342" t="e">
        <f t="shared" si="15"/>
        <v>#REF!</v>
      </c>
      <c r="I74" s="300">
        <v>412122.04338982992</v>
      </c>
      <c r="J74" s="342" t="e">
        <f t="shared" si="14"/>
        <v>#REF!</v>
      </c>
      <c r="AS74" s="140"/>
      <c r="AT74" s="140"/>
      <c r="AU74" s="140"/>
      <c r="AV74" s="140"/>
      <c r="AW74" s="140"/>
      <c r="AX74" s="140"/>
      <c r="AY74" s="140"/>
      <c r="AZ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140"/>
      <c r="CX74" s="140"/>
      <c r="CY74" s="140"/>
      <c r="CZ74" s="140"/>
      <c r="DA74" s="140"/>
      <c r="DB74" s="140"/>
      <c r="DC74" s="140"/>
      <c r="DD74" s="140"/>
      <c r="DE74" s="140"/>
      <c r="DF74" s="140"/>
      <c r="DG74" s="140"/>
      <c r="DH74" s="140"/>
      <c r="DI74" s="140"/>
      <c r="DJ74" s="140"/>
      <c r="DK74" s="140"/>
      <c r="DL74" s="140"/>
      <c r="DM74" s="140"/>
      <c r="DN74" s="140"/>
      <c r="DO74" s="140"/>
      <c r="DP74" s="140"/>
      <c r="DQ74" s="140"/>
      <c r="DR74" s="140"/>
      <c r="DS74" s="140"/>
      <c r="DT74" s="140"/>
      <c r="DU74" s="140"/>
      <c r="DV74" s="140"/>
      <c r="DW74" s="140"/>
      <c r="DX74" s="140"/>
      <c r="DY74" s="140"/>
      <c r="DZ74" s="140"/>
      <c r="EA74" s="140"/>
      <c r="EB74" s="140"/>
      <c r="EC74" s="140"/>
      <c r="ED74" s="140"/>
      <c r="EE74" s="140"/>
      <c r="EF74" s="140"/>
      <c r="EG74" s="140"/>
      <c r="EH74" s="140"/>
      <c r="EI74" s="140"/>
      <c r="EJ74" s="140"/>
      <c r="EK74" s="140"/>
      <c r="EL74" s="140"/>
      <c r="EM74" s="140"/>
      <c r="EN74" s="140"/>
      <c r="EO74" s="140"/>
      <c r="EP74" s="140"/>
      <c r="EQ74" s="140"/>
      <c r="ER74" s="140"/>
      <c r="ES74" s="140"/>
      <c r="ET74" s="140"/>
      <c r="EU74" s="140"/>
      <c r="EV74" s="140"/>
      <c r="EW74" s="140"/>
      <c r="EX74" s="140"/>
      <c r="EY74" s="140"/>
      <c r="EZ74" s="140"/>
      <c r="FA74" s="140"/>
      <c r="FB74" s="140"/>
      <c r="FC74" s="140"/>
      <c r="FD74" s="140"/>
      <c r="FE74" s="140"/>
      <c r="FF74" s="140"/>
      <c r="FG74" s="140"/>
      <c r="FH74" s="140"/>
      <c r="FI74" s="140"/>
      <c r="FJ74" s="140"/>
      <c r="FK74" s="140"/>
      <c r="FL74" s="140"/>
      <c r="FM74" s="140"/>
      <c r="FN74" s="140"/>
      <c r="FO74" s="140"/>
      <c r="FP74" s="140"/>
    </row>
    <row r="75" spans="1:172" s="139" customFormat="1">
      <c r="A75" s="6">
        <v>19</v>
      </c>
      <c r="B75" s="263" t="s">
        <v>63</v>
      </c>
      <c r="C75" s="206"/>
      <c r="D75" s="221">
        <f>AS34</f>
        <v>0</v>
      </c>
      <c r="E75" s="213">
        <v>0</v>
      </c>
      <c r="F75" s="213" t="e">
        <f t="shared" si="17"/>
        <v>#REF!</v>
      </c>
      <c r="G75" s="300">
        <v>837.85449750001874</v>
      </c>
      <c r="H75" s="342">
        <f t="shared" si="15"/>
        <v>0</v>
      </c>
      <c r="I75" s="300">
        <v>78.455548739954807</v>
      </c>
      <c r="J75" s="342">
        <f t="shared" si="14"/>
        <v>0</v>
      </c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140"/>
      <c r="CX75" s="140"/>
      <c r="CY75" s="140"/>
      <c r="CZ75" s="140"/>
      <c r="DA75" s="140"/>
      <c r="DB75" s="140"/>
      <c r="DC75" s="140"/>
      <c r="DD75" s="140"/>
      <c r="DE75" s="140"/>
      <c r="DF75" s="140"/>
      <c r="DG75" s="140"/>
      <c r="DH75" s="140"/>
      <c r="DI75" s="140"/>
      <c r="DJ75" s="140"/>
      <c r="DK75" s="140"/>
      <c r="DL75" s="140"/>
      <c r="DM75" s="140"/>
      <c r="DN75" s="140"/>
      <c r="DO75" s="140"/>
      <c r="DP75" s="140"/>
      <c r="DQ75" s="140"/>
      <c r="DR75" s="140"/>
      <c r="DS75" s="140"/>
      <c r="DT75" s="140"/>
      <c r="DU75" s="140"/>
      <c r="DV75" s="140"/>
      <c r="DW75" s="140"/>
      <c r="DX75" s="140"/>
      <c r="DY75" s="140"/>
      <c r="DZ75" s="140"/>
      <c r="EA75" s="140"/>
      <c r="EB75" s="140"/>
      <c r="EC75" s="140"/>
      <c r="ED75" s="140"/>
      <c r="EE75" s="140"/>
      <c r="EF75" s="140"/>
      <c r="EG75" s="140"/>
      <c r="EH75" s="140"/>
      <c r="EI75" s="140"/>
      <c r="EJ75" s="140"/>
      <c r="EK75" s="140"/>
      <c r="EL75" s="140"/>
      <c r="EM75" s="140"/>
      <c r="EN75" s="140"/>
      <c r="EO75" s="140"/>
      <c r="EP75" s="140"/>
      <c r="EQ75" s="140"/>
      <c r="ER75" s="140"/>
      <c r="ES75" s="140"/>
      <c r="ET75" s="140"/>
      <c r="EU75" s="140"/>
      <c r="EV75" s="140"/>
      <c r="EW75" s="140"/>
      <c r="EX75" s="140"/>
      <c r="EY75" s="140"/>
      <c r="EZ75" s="140"/>
      <c r="FA75" s="140"/>
      <c r="FB75" s="140"/>
      <c r="FC75" s="140"/>
      <c r="FD75" s="140"/>
      <c r="FE75" s="140"/>
      <c r="FF75" s="140"/>
      <c r="FG75" s="140"/>
      <c r="FH75" s="140"/>
      <c r="FI75" s="140"/>
      <c r="FJ75" s="140"/>
      <c r="FK75" s="140"/>
      <c r="FL75" s="140"/>
      <c r="FM75" s="140"/>
      <c r="FN75" s="140"/>
      <c r="FO75" s="140"/>
      <c r="FP75" s="140"/>
    </row>
    <row r="76" spans="1:172" s="139" customFormat="1" ht="14.25" customHeight="1">
      <c r="A76" s="6">
        <v>20</v>
      </c>
      <c r="B76" s="263" t="s">
        <v>64</v>
      </c>
      <c r="C76" s="206"/>
      <c r="D76" s="221">
        <f>AS35</f>
        <v>0</v>
      </c>
      <c r="E76" s="213">
        <v>0</v>
      </c>
      <c r="F76" s="213" t="e">
        <f t="shared" si="17"/>
        <v>#REF!</v>
      </c>
      <c r="G76" s="221">
        <v>0</v>
      </c>
      <c r="H76" s="342"/>
      <c r="I76" s="221">
        <v>0</v>
      </c>
      <c r="J76" s="342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  <c r="DD76" s="140"/>
      <c r="DE76" s="140"/>
      <c r="DF76" s="140"/>
      <c r="DG76" s="140"/>
      <c r="DH76" s="140"/>
      <c r="DI76" s="140"/>
      <c r="DJ76" s="140"/>
      <c r="DK76" s="140"/>
      <c r="DL76" s="140"/>
      <c r="DM76" s="140"/>
      <c r="DN76" s="140"/>
      <c r="DO76" s="140"/>
      <c r="DP76" s="140"/>
      <c r="DQ76" s="140"/>
      <c r="DR76" s="140"/>
      <c r="DS76" s="140"/>
      <c r="DT76" s="140"/>
      <c r="DU76" s="140"/>
      <c r="DV76" s="140"/>
      <c r="DW76" s="140"/>
      <c r="DX76" s="140"/>
      <c r="DY76" s="140"/>
      <c r="DZ76" s="140"/>
      <c r="EA76" s="140"/>
      <c r="EB76" s="140"/>
      <c r="EC76" s="140"/>
      <c r="ED76" s="140"/>
      <c r="EE76" s="140"/>
      <c r="EF76" s="140"/>
      <c r="EG76" s="140"/>
      <c r="EH76" s="140"/>
      <c r="EI76" s="140"/>
      <c r="EJ76" s="140"/>
      <c r="EK76" s="140"/>
      <c r="EL76" s="140"/>
      <c r="EM76" s="140"/>
      <c r="EN76" s="140"/>
      <c r="EO76" s="140"/>
      <c r="EP76" s="140"/>
      <c r="EQ76" s="140"/>
      <c r="ER76" s="140"/>
      <c r="ES76" s="140"/>
      <c r="ET76" s="140"/>
      <c r="EU76" s="140"/>
      <c r="EV76" s="140"/>
      <c r="EW76" s="140"/>
      <c r="EX76" s="140"/>
      <c r="EY76" s="140"/>
      <c r="EZ76" s="140"/>
      <c r="FA76" s="140"/>
      <c r="FB76" s="140"/>
      <c r="FC76" s="140"/>
      <c r="FD76" s="140"/>
      <c r="FE76" s="140"/>
      <c r="FF76" s="140"/>
      <c r="FG76" s="140"/>
      <c r="FH76" s="140"/>
      <c r="FI76" s="140"/>
      <c r="FJ76" s="140"/>
      <c r="FK76" s="140"/>
      <c r="FL76" s="140"/>
      <c r="FM76" s="140"/>
      <c r="FN76" s="140"/>
      <c r="FO76" s="140"/>
      <c r="FP76" s="140"/>
    </row>
    <row r="77" spans="1:172" s="139" customFormat="1">
      <c r="A77" s="6">
        <v>21</v>
      </c>
      <c r="B77" s="263" t="s">
        <v>65</v>
      </c>
      <c r="C77" s="206"/>
      <c r="D77" s="221">
        <f>AS36</f>
        <v>0</v>
      </c>
      <c r="E77" s="213">
        <v>0</v>
      </c>
      <c r="F77" s="213" t="e">
        <f t="shared" si="17"/>
        <v>#REF!</v>
      </c>
      <c r="G77" s="221">
        <v>0</v>
      </c>
      <c r="H77" s="342"/>
      <c r="I77" s="221">
        <v>0</v>
      </c>
      <c r="J77" s="342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  <c r="DD77" s="140"/>
      <c r="DE77" s="140"/>
      <c r="DF77" s="140"/>
      <c r="DG77" s="140"/>
      <c r="DH77" s="140"/>
      <c r="DI77" s="140"/>
      <c r="DJ77" s="140"/>
      <c r="DK77" s="140"/>
      <c r="DL77" s="140"/>
      <c r="DM77" s="140"/>
      <c r="DN77" s="140"/>
      <c r="DO77" s="140"/>
      <c r="DP77" s="140"/>
      <c r="DQ77" s="140"/>
      <c r="DR77" s="140"/>
      <c r="DS77" s="140"/>
      <c r="DT77" s="140"/>
      <c r="DU77" s="140"/>
      <c r="DV77" s="140"/>
      <c r="DW77" s="140"/>
      <c r="DX77" s="140"/>
      <c r="DY77" s="140"/>
      <c r="DZ77" s="140"/>
      <c r="EA77" s="140"/>
      <c r="EB77" s="140"/>
      <c r="EC77" s="140"/>
      <c r="ED77" s="140"/>
      <c r="EE77" s="140"/>
      <c r="EF77" s="140"/>
      <c r="EG77" s="140"/>
      <c r="EH77" s="140"/>
      <c r="EI77" s="140"/>
      <c r="EJ77" s="140"/>
      <c r="EK77" s="140"/>
      <c r="EL77" s="140"/>
      <c r="EM77" s="140"/>
      <c r="EN77" s="140"/>
      <c r="EO77" s="140"/>
      <c r="EP77" s="140"/>
      <c r="EQ77" s="140"/>
      <c r="ER77" s="140"/>
      <c r="ES77" s="140"/>
      <c r="ET77" s="140"/>
      <c r="EU77" s="140"/>
      <c r="EV77" s="140"/>
      <c r="EW77" s="140"/>
      <c r="EX77" s="140"/>
      <c r="EY77" s="140"/>
      <c r="EZ77" s="140"/>
      <c r="FA77" s="140"/>
      <c r="FB77" s="140"/>
      <c r="FC77" s="140"/>
      <c r="FD77" s="140"/>
      <c r="FE77" s="140"/>
      <c r="FF77" s="140"/>
      <c r="FG77" s="140"/>
      <c r="FH77" s="140"/>
      <c r="FI77" s="140"/>
      <c r="FJ77" s="140"/>
      <c r="FK77" s="140"/>
      <c r="FL77" s="140"/>
      <c r="FM77" s="140"/>
      <c r="FN77" s="140"/>
      <c r="FO77" s="140"/>
      <c r="FP77" s="140"/>
    </row>
    <row r="78" spans="1:172" s="139" customFormat="1" ht="14.25" customHeight="1">
      <c r="A78" s="6">
        <v>22</v>
      </c>
      <c r="B78" s="263" t="s">
        <v>66</v>
      </c>
      <c r="C78" s="206"/>
      <c r="D78" s="221">
        <f>AS37</f>
        <v>0</v>
      </c>
      <c r="E78" s="213">
        <v>0</v>
      </c>
      <c r="F78" s="213" t="e">
        <f t="shared" si="17"/>
        <v>#REF!</v>
      </c>
      <c r="G78" s="221">
        <v>0</v>
      </c>
      <c r="H78" s="342"/>
      <c r="I78" s="221">
        <v>0</v>
      </c>
      <c r="J78" s="342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  <c r="DD78" s="140"/>
      <c r="DE78" s="140"/>
      <c r="DF78" s="140"/>
      <c r="DG78" s="140"/>
      <c r="DH78" s="140"/>
      <c r="DI78" s="140"/>
      <c r="DJ78" s="140"/>
      <c r="DK78" s="140"/>
      <c r="DL78" s="140"/>
      <c r="DM78" s="140"/>
      <c r="DN78" s="140"/>
      <c r="DO78" s="140"/>
      <c r="DP78" s="140"/>
      <c r="DQ78" s="140"/>
      <c r="DR78" s="140"/>
      <c r="DS78" s="140"/>
      <c r="DT78" s="140"/>
      <c r="DU78" s="140"/>
      <c r="DV78" s="140"/>
      <c r="DW78" s="140"/>
      <c r="DX78" s="140"/>
      <c r="DY78" s="140"/>
      <c r="DZ78" s="140"/>
      <c r="EA78" s="140"/>
      <c r="EB78" s="140"/>
      <c r="EC78" s="140"/>
      <c r="ED78" s="140"/>
      <c r="EE78" s="140"/>
      <c r="EF78" s="140"/>
      <c r="EG78" s="140"/>
      <c r="EH78" s="140"/>
      <c r="EI78" s="140"/>
      <c r="EJ78" s="140"/>
      <c r="EK78" s="140"/>
      <c r="EL78" s="140"/>
      <c r="EM78" s="140"/>
      <c r="EN78" s="140"/>
      <c r="EO78" s="140"/>
      <c r="EP78" s="140"/>
      <c r="EQ78" s="140"/>
      <c r="ER78" s="140"/>
      <c r="ES78" s="140"/>
      <c r="ET78" s="140"/>
      <c r="EU78" s="140"/>
      <c r="EV78" s="140"/>
      <c r="EW78" s="140"/>
      <c r="EX78" s="140"/>
      <c r="EY78" s="140"/>
      <c r="EZ78" s="140"/>
      <c r="FA78" s="140"/>
      <c r="FB78" s="140"/>
      <c r="FC78" s="140"/>
      <c r="FD78" s="140"/>
      <c r="FE78" s="140"/>
      <c r="FF78" s="140"/>
      <c r="FG78" s="140"/>
      <c r="FH78" s="140"/>
      <c r="FI78" s="140"/>
      <c r="FJ78" s="140"/>
      <c r="FK78" s="140"/>
      <c r="FL78" s="140"/>
      <c r="FM78" s="140"/>
      <c r="FN78" s="140"/>
      <c r="FO78" s="140"/>
      <c r="FP78" s="140"/>
    </row>
    <row r="79" spans="1:172" s="139" customFormat="1">
      <c r="A79" s="6">
        <v>23</v>
      </c>
      <c r="B79" s="263" t="s">
        <v>67</v>
      </c>
      <c r="C79" s="206"/>
      <c r="D79" s="221">
        <f>AS39</f>
        <v>0</v>
      </c>
      <c r="E79" s="213">
        <v>0</v>
      </c>
      <c r="F79" s="213" t="e">
        <f t="shared" si="17"/>
        <v>#REF!</v>
      </c>
      <c r="G79" s="300">
        <v>2715022.4978267602</v>
      </c>
      <c r="H79" s="342">
        <f t="shared" si="15"/>
        <v>0</v>
      </c>
      <c r="I79" s="221">
        <v>2360933.5803049244</v>
      </c>
      <c r="J79" s="342">
        <f t="shared" si="14"/>
        <v>0</v>
      </c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0"/>
      <c r="CP79" s="140"/>
      <c r="CQ79" s="140"/>
      <c r="CR79" s="140"/>
      <c r="CS79" s="140"/>
      <c r="CT79" s="140"/>
      <c r="CU79" s="140"/>
      <c r="CV79" s="140"/>
      <c r="CW79" s="140"/>
      <c r="CX79" s="140"/>
      <c r="CY79" s="140"/>
      <c r="CZ79" s="140"/>
      <c r="DA79" s="140"/>
      <c r="DB79" s="140"/>
      <c r="DC79" s="140"/>
      <c r="DD79" s="140"/>
      <c r="DE79" s="140"/>
      <c r="DF79" s="140"/>
      <c r="DG79" s="140"/>
      <c r="DH79" s="140"/>
      <c r="DI79" s="140"/>
      <c r="DJ79" s="140"/>
      <c r="DK79" s="140"/>
      <c r="DL79" s="140"/>
      <c r="DM79" s="140"/>
      <c r="DN79" s="140"/>
      <c r="DO79" s="140"/>
      <c r="DP79" s="140"/>
      <c r="DQ79" s="140"/>
      <c r="DR79" s="140"/>
      <c r="DS79" s="140"/>
      <c r="DT79" s="140"/>
      <c r="DU79" s="140"/>
      <c r="DV79" s="140"/>
      <c r="DW79" s="140"/>
      <c r="DX79" s="140"/>
      <c r="DY79" s="140"/>
      <c r="DZ79" s="140"/>
      <c r="EA79" s="140"/>
      <c r="EB79" s="140"/>
      <c r="EC79" s="140"/>
      <c r="ED79" s="140"/>
      <c r="EE79" s="140"/>
      <c r="EF79" s="140"/>
      <c r="EG79" s="140"/>
      <c r="EH79" s="140"/>
      <c r="EI79" s="140"/>
      <c r="EJ79" s="140"/>
      <c r="EK79" s="140"/>
      <c r="EL79" s="140"/>
      <c r="EM79" s="140"/>
      <c r="EN79" s="140"/>
      <c r="EO79" s="140"/>
      <c r="EP79" s="140"/>
      <c r="EQ79" s="140"/>
      <c r="ER79" s="140"/>
      <c r="ES79" s="140"/>
      <c r="ET79" s="140"/>
      <c r="EU79" s="140"/>
      <c r="EV79" s="140"/>
      <c r="EW79" s="140"/>
      <c r="EX79" s="140"/>
      <c r="EY79" s="140"/>
      <c r="EZ79" s="140"/>
      <c r="FA79" s="140"/>
      <c r="FB79" s="140"/>
      <c r="FC79" s="140"/>
      <c r="FD79" s="140"/>
      <c r="FE79" s="140"/>
      <c r="FF79" s="140"/>
      <c r="FG79" s="140"/>
      <c r="FH79" s="140"/>
      <c r="FI79" s="140"/>
      <c r="FJ79" s="140"/>
      <c r="FK79" s="140"/>
      <c r="FL79" s="140"/>
      <c r="FM79" s="140"/>
      <c r="FN79" s="140"/>
      <c r="FO79" s="140"/>
      <c r="FP79" s="140"/>
    </row>
    <row r="80" spans="1:172" s="139" customFormat="1" ht="14.25" customHeight="1">
      <c r="A80" s="6"/>
      <c r="B80" s="264" t="s">
        <v>255</v>
      </c>
      <c r="C80" s="206"/>
      <c r="D80" s="214" t="e">
        <f>SUM(D72:D79)</f>
        <v>#REF!</v>
      </c>
      <c r="E80" s="213"/>
      <c r="F80" s="208" t="e">
        <f>D80/D$55</f>
        <v>#REF!</v>
      </c>
      <c r="G80" s="214">
        <f>SUM(G72:G79)</f>
        <v>3486241.7082564635</v>
      </c>
      <c r="H80" s="342" t="e">
        <f t="shared" si="15"/>
        <v>#REF!</v>
      </c>
      <c r="I80" s="214">
        <f>SUM(I72:I79)</f>
        <v>2773134.0792434942</v>
      </c>
      <c r="J80" s="342" t="e">
        <f t="shared" si="14"/>
        <v>#REF!</v>
      </c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0"/>
      <c r="CP80" s="140"/>
      <c r="CQ80" s="140"/>
      <c r="CR80" s="140"/>
      <c r="CS80" s="140"/>
      <c r="CT80" s="140"/>
      <c r="CU80" s="140"/>
      <c r="CV80" s="140"/>
      <c r="CW80" s="140"/>
      <c r="CX80" s="140"/>
      <c r="CY80" s="140"/>
      <c r="CZ80" s="140"/>
      <c r="DA80" s="140"/>
      <c r="DB80" s="140"/>
      <c r="DC80" s="140"/>
      <c r="DD80" s="140"/>
      <c r="DE80" s="140"/>
      <c r="DF80" s="140"/>
      <c r="DG80" s="140"/>
      <c r="DH80" s="140"/>
      <c r="DI80" s="140"/>
      <c r="DJ80" s="140"/>
      <c r="DK80" s="140"/>
      <c r="DL80" s="140"/>
      <c r="DM80" s="140"/>
      <c r="DN80" s="140"/>
      <c r="DO80" s="140"/>
      <c r="DP80" s="140"/>
      <c r="DQ80" s="140"/>
      <c r="DR80" s="140"/>
      <c r="DS80" s="140"/>
      <c r="DT80" s="140"/>
      <c r="DU80" s="140"/>
      <c r="DV80" s="140"/>
      <c r="DW80" s="140"/>
      <c r="DX80" s="140"/>
      <c r="DY80" s="140"/>
      <c r="DZ80" s="140"/>
      <c r="EA80" s="140"/>
      <c r="EB80" s="140"/>
      <c r="EC80" s="140"/>
      <c r="ED80" s="140"/>
      <c r="EE80" s="140"/>
      <c r="EF80" s="140"/>
      <c r="EG80" s="140"/>
      <c r="EH80" s="140"/>
      <c r="EI80" s="140"/>
      <c r="EJ80" s="140"/>
      <c r="EK80" s="140"/>
      <c r="EL80" s="140"/>
      <c r="EM80" s="140"/>
      <c r="EN80" s="140"/>
      <c r="EO80" s="140"/>
      <c r="EP80" s="140"/>
      <c r="EQ80" s="140"/>
      <c r="ER80" s="140"/>
      <c r="ES80" s="140"/>
      <c r="ET80" s="140"/>
      <c r="EU80" s="140"/>
      <c r="EV80" s="140"/>
      <c r="EW80" s="140"/>
      <c r="EX80" s="140"/>
      <c r="EY80" s="140"/>
      <c r="EZ80" s="140"/>
      <c r="FA80" s="140"/>
      <c r="FB80" s="140"/>
      <c r="FC80" s="140"/>
      <c r="FD80" s="140"/>
      <c r="FE80" s="140"/>
      <c r="FF80" s="140"/>
      <c r="FG80" s="140"/>
      <c r="FH80" s="140"/>
      <c r="FI80" s="140"/>
      <c r="FJ80" s="140"/>
      <c r="FK80" s="140"/>
      <c r="FL80" s="140"/>
      <c r="FM80" s="140"/>
      <c r="FN80" s="140"/>
      <c r="FO80" s="140"/>
      <c r="FP80" s="140"/>
    </row>
    <row r="81" spans="1:172" s="139" customFormat="1">
      <c r="A81" s="6">
        <v>24</v>
      </c>
      <c r="B81" s="264" t="s">
        <v>68</v>
      </c>
      <c r="C81" s="211"/>
      <c r="D81" s="207" t="e">
        <f>D80+D70+D67+D64</f>
        <v>#REF!</v>
      </c>
      <c r="E81" s="213">
        <v>0</v>
      </c>
      <c r="F81" s="208" t="e">
        <f t="shared" ref="F81:F90" si="18">D81/D$55</f>
        <v>#REF!</v>
      </c>
      <c r="G81" s="207">
        <f>G80+G70+G67+G64</f>
        <v>3486241.7082564635</v>
      </c>
      <c r="H81" s="341" t="e">
        <f t="shared" si="15"/>
        <v>#REF!</v>
      </c>
      <c r="I81" s="207">
        <f>I80+I70+I67+I64</f>
        <v>2758814.3527971581</v>
      </c>
      <c r="J81" s="341" t="e">
        <f t="shared" si="14"/>
        <v>#REF!</v>
      </c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0"/>
      <c r="CW81" s="140"/>
      <c r="CX81" s="140"/>
      <c r="CY81" s="140"/>
      <c r="CZ81" s="140"/>
      <c r="DA81" s="140"/>
      <c r="DB81" s="140"/>
      <c r="DC81" s="140"/>
      <c r="DD81" s="140"/>
      <c r="DE81" s="140"/>
      <c r="DF81" s="140"/>
      <c r="DG81" s="140"/>
      <c r="DH81" s="140"/>
      <c r="DI81" s="140"/>
      <c r="DJ81" s="140"/>
      <c r="DK81" s="140"/>
      <c r="DL81" s="140"/>
      <c r="DM81" s="140"/>
      <c r="DN81" s="140"/>
      <c r="DO81" s="140"/>
      <c r="DP81" s="140"/>
      <c r="DQ81" s="140"/>
      <c r="DR81" s="140"/>
      <c r="DS81" s="140"/>
      <c r="DT81" s="140"/>
      <c r="DU81" s="140"/>
      <c r="DV81" s="140"/>
      <c r="DW81" s="140"/>
      <c r="DX81" s="140"/>
      <c r="DY81" s="140"/>
      <c r="DZ81" s="140"/>
      <c r="EA81" s="140"/>
      <c r="EB81" s="140"/>
      <c r="EC81" s="140"/>
      <c r="ED81" s="140"/>
      <c r="EE81" s="140"/>
      <c r="EF81" s="140"/>
      <c r="EG81" s="140"/>
      <c r="EH81" s="140"/>
      <c r="EI81" s="140"/>
      <c r="EJ81" s="140"/>
      <c r="EK81" s="140"/>
      <c r="EL81" s="140"/>
      <c r="EM81" s="140"/>
      <c r="EN81" s="140"/>
      <c r="EO81" s="140"/>
      <c r="EP81" s="140"/>
      <c r="EQ81" s="140"/>
      <c r="ER81" s="140"/>
      <c r="ES81" s="140"/>
      <c r="ET81" s="140"/>
      <c r="EU81" s="140"/>
      <c r="EV81" s="140"/>
      <c r="EW81" s="140"/>
      <c r="EX81" s="140"/>
      <c r="EY81" s="140"/>
      <c r="EZ81" s="140"/>
      <c r="FA81" s="140"/>
      <c r="FB81" s="140"/>
      <c r="FC81" s="140"/>
      <c r="FD81" s="140"/>
      <c r="FE81" s="140"/>
      <c r="FF81" s="140"/>
      <c r="FG81" s="140"/>
      <c r="FH81" s="140"/>
      <c r="FI81" s="140"/>
      <c r="FJ81" s="140"/>
      <c r="FK81" s="140"/>
      <c r="FL81" s="140"/>
      <c r="FM81" s="140"/>
      <c r="FN81" s="140"/>
      <c r="FO81" s="140"/>
      <c r="FP81" s="140"/>
    </row>
    <row r="82" spans="1:172" s="139" customFormat="1" ht="14.25" customHeight="1" thickBot="1">
      <c r="A82" s="6">
        <v>25</v>
      </c>
      <c r="B82" s="266" t="s">
        <v>69</v>
      </c>
      <c r="C82" s="215"/>
      <c r="D82" s="216" t="e">
        <f>D63-D81</f>
        <v>#REF!</v>
      </c>
      <c r="E82" s="208">
        <v>0</v>
      </c>
      <c r="F82" s="218" t="e">
        <f t="shared" si="18"/>
        <v>#REF!</v>
      </c>
      <c r="G82" s="216">
        <f>G63-G81</f>
        <v>82507126.768269658</v>
      </c>
      <c r="H82" s="340" t="e">
        <f t="shared" si="15"/>
        <v>#REF!</v>
      </c>
      <c r="I82" s="216">
        <f>I63-I81</f>
        <v>108553797.5414755</v>
      </c>
      <c r="J82" s="340" t="e">
        <f t="shared" si="14"/>
        <v>#REF!</v>
      </c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140"/>
      <c r="CX82" s="140"/>
      <c r="CY82" s="140"/>
      <c r="CZ82" s="140"/>
      <c r="DA82" s="140"/>
      <c r="DB82" s="140"/>
      <c r="DC82" s="140"/>
      <c r="DD82" s="140"/>
      <c r="DE82" s="140"/>
      <c r="DF82" s="140"/>
      <c r="DG82" s="140"/>
      <c r="DH82" s="140"/>
      <c r="DI82" s="140"/>
      <c r="DJ82" s="140"/>
      <c r="DK82" s="140"/>
      <c r="DL82" s="140"/>
      <c r="DM82" s="140"/>
      <c r="DN82" s="140"/>
      <c r="DO82" s="140"/>
      <c r="DP82" s="140"/>
      <c r="DQ82" s="140"/>
      <c r="DR82" s="140"/>
      <c r="DS82" s="140"/>
      <c r="DT82" s="140"/>
      <c r="DU82" s="140"/>
      <c r="DV82" s="140"/>
      <c r="DW82" s="140"/>
      <c r="DX82" s="140"/>
      <c r="DY82" s="140"/>
      <c r="DZ82" s="140"/>
      <c r="EA82" s="140"/>
      <c r="EB82" s="140"/>
      <c r="EC82" s="140"/>
      <c r="ED82" s="140"/>
      <c r="EE82" s="140"/>
      <c r="EF82" s="140"/>
      <c r="EG82" s="140"/>
      <c r="EH82" s="140"/>
      <c r="EI82" s="140"/>
      <c r="EJ82" s="140"/>
      <c r="EK82" s="140"/>
      <c r="EL82" s="140"/>
      <c r="EM82" s="140"/>
      <c r="EN82" s="140"/>
      <c r="EO82" s="140"/>
      <c r="EP82" s="140"/>
      <c r="EQ82" s="140"/>
      <c r="ER82" s="140"/>
      <c r="ES82" s="140"/>
      <c r="ET82" s="140"/>
      <c r="EU82" s="140"/>
      <c r="EV82" s="140"/>
      <c r="EW82" s="140"/>
      <c r="EX82" s="140"/>
      <c r="EY82" s="140"/>
      <c r="EZ82" s="140"/>
      <c r="FA82" s="140"/>
      <c r="FB82" s="140"/>
      <c r="FC82" s="140"/>
      <c r="FD82" s="140"/>
      <c r="FE82" s="140"/>
      <c r="FF82" s="140"/>
      <c r="FG82" s="140"/>
      <c r="FH82" s="140"/>
      <c r="FI82" s="140"/>
      <c r="FJ82" s="140"/>
      <c r="FK82" s="140"/>
      <c r="FL82" s="140"/>
      <c r="FM82" s="140"/>
      <c r="FN82" s="140"/>
      <c r="FO82" s="140"/>
      <c r="FP82" s="140"/>
    </row>
    <row r="83" spans="1:172" s="139" customFormat="1" ht="13.5" thickTop="1">
      <c r="A83" s="6">
        <v>27</v>
      </c>
      <c r="B83" s="268" t="s">
        <v>70</v>
      </c>
      <c r="D83" s="224" t="e">
        <f>#REF!+#REF!</f>
        <v>#REF!</v>
      </c>
      <c r="E83" s="270"/>
      <c r="F83" s="225" t="e">
        <f t="shared" si="18"/>
        <v>#REF!</v>
      </c>
      <c r="G83" s="224">
        <v>8026074</v>
      </c>
      <c r="H83" s="343" t="e">
        <f t="shared" si="15"/>
        <v>#REF!</v>
      </c>
      <c r="I83" s="224">
        <v>7493211.4118652968</v>
      </c>
      <c r="J83" s="343" t="e">
        <f t="shared" si="14"/>
        <v>#REF!</v>
      </c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140"/>
      <c r="CX83" s="140"/>
      <c r="CY83" s="140"/>
      <c r="CZ83" s="140"/>
      <c r="DA83" s="140"/>
      <c r="DB83" s="140"/>
      <c r="DC83" s="140"/>
      <c r="DD83" s="140"/>
      <c r="DE83" s="140"/>
      <c r="DF83" s="140"/>
      <c r="DG83" s="140"/>
      <c r="DH83" s="140"/>
      <c r="DI83" s="140"/>
      <c r="DJ83" s="140"/>
      <c r="DK83" s="140"/>
      <c r="DL83" s="140"/>
      <c r="DM83" s="140"/>
      <c r="DN83" s="140"/>
      <c r="DO83" s="140"/>
      <c r="DP83" s="140"/>
      <c r="DQ83" s="140"/>
      <c r="DR83" s="140"/>
      <c r="DS83" s="140"/>
      <c r="DT83" s="140"/>
      <c r="DU83" s="140"/>
      <c r="DV83" s="140"/>
      <c r="DW83" s="140"/>
      <c r="DX83" s="140"/>
      <c r="DY83" s="140"/>
      <c r="DZ83" s="140"/>
      <c r="EA83" s="140"/>
      <c r="EB83" s="140"/>
      <c r="EC83" s="140"/>
      <c r="ED83" s="140"/>
      <c r="EE83" s="140"/>
      <c r="EF83" s="140"/>
      <c r="EG83" s="140"/>
      <c r="EH83" s="140"/>
      <c r="EI83" s="140"/>
      <c r="EJ83" s="140"/>
      <c r="EK83" s="140"/>
      <c r="EL83" s="140"/>
      <c r="EM83" s="140"/>
      <c r="EN83" s="140"/>
      <c r="EO83" s="140"/>
      <c r="EP83" s="140"/>
      <c r="EQ83" s="140"/>
      <c r="ER83" s="140"/>
      <c r="ES83" s="140"/>
      <c r="ET83" s="140"/>
      <c r="EU83" s="140"/>
      <c r="EV83" s="140"/>
      <c r="EW83" s="140"/>
      <c r="EX83" s="140"/>
      <c r="EY83" s="140"/>
      <c r="EZ83" s="140"/>
      <c r="FA83" s="140"/>
      <c r="FB83" s="140"/>
      <c r="FC83" s="140"/>
      <c r="FD83" s="140"/>
      <c r="FE83" s="140"/>
      <c r="FF83" s="140"/>
      <c r="FG83" s="140"/>
      <c r="FH83" s="140"/>
      <c r="FI83" s="140"/>
      <c r="FJ83" s="140"/>
      <c r="FK83" s="140"/>
      <c r="FL83" s="140"/>
      <c r="FM83" s="140"/>
      <c r="FN83" s="140"/>
      <c r="FO83" s="140"/>
      <c r="FP83" s="140"/>
    </row>
    <row r="84" spans="1:172" s="139" customFormat="1" ht="14.25" customHeight="1">
      <c r="A84" s="6">
        <v>28</v>
      </c>
      <c r="B84" s="268" t="s">
        <v>71</v>
      </c>
      <c r="D84" s="224" t="e">
        <f>D55*6%</f>
        <v>#REF!</v>
      </c>
      <c r="E84" s="271">
        <v>0.84745762711864414</v>
      </c>
      <c r="F84" s="225" t="e">
        <f t="shared" si="18"/>
        <v>#REF!</v>
      </c>
      <c r="G84" s="224">
        <v>5899943.0397101352</v>
      </c>
      <c r="H84" s="343" t="e">
        <f t="shared" si="15"/>
        <v>#REF!</v>
      </c>
      <c r="I84" s="224">
        <v>3153289.7648325032</v>
      </c>
      <c r="J84" s="343" t="e">
        <f t="shared" si="14"/>
        <v>#REF!</v>
      </c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0"/>
      <c r="CT84" s="140"/>
      <c r="CU84" s="140"/>
      <c r="CV84" s="140"/>
      <c r="CW84" s="140"/>
      <c r="CX84" s="140"/>
      <c r="CY84" s="140"/>
      <c r="CZ84" s="140"/>
      <c r="DA84" s="140"/>
      <c r="DB84" s="140"/>
      <c r="DC84" s="140"/>
      <c r="DD84" s="140"/>
      <c r="DE84" s="140"/>
      <c r="DF84" s="140"/>
      <c r="DG84" s="140"/>
      <c r="DH84" s="140"/>
      <c r="DI84" s="140"/>
      <c r="DJ84" s="140"/>
      <c r="DK84" s="140"/>
      <c r="DL84" s="140"/>
      <c r="DM84" s="140"/>
      <c r="DN84" s="140"/>
      <c r="DO84" s="140"/>
      <c r="DP84" s="140"/>
      <c r="DQ84" s="140"/>
      <c r="DR84" s="140"/>
      <c r="DS84" s="140"/>
      <c r="DT84" s="140"/>
      <c r="DU84" s="140"/>
      <c r="DV84" s="140"/>
      <c r="DW84" s="140"/>
      <c r="DX84" s="140"/>
      <c r="DY84" s="140"/>
      <c r="DZ84" s="140"/>
      <c r="EA84" s="140"/>
      <c r="EB84" s="140"/>
      <c r="EC84" s="140"/>
      <c r="ED84" s="140"/>
      <c r="EE84" s="140"/>
      <c r="EF84" s="140"/>
      <c r="EG84" s="140"/>
      <c r="EH84" s="140"/>
      <c r="EI84" s="140"/>
      <c r="EJ84" s="140"/>
      <c r="EK84" s="140"/>
      <c r="EL84" s="140"/>
      <c r="EM84" s="140"/>
      <c r="EN84" s="140"/>
      <c r="EO84" s="140"/>
      <c r="EP84" s="140"/>
      <c r="EQ84" s="140"/>
      <c r="ER84" s="140"/>
      <c r="ES84" s="140"/>
      <c r="ET84" s="140"/>
      <c r="EU84" s="140"/>
      <c r="EV84" s="140"/>
      <c r="EW84" s="140"/>
      <c r="EX84" s="140"/>
      <c r="EY84" s="140"/>
      <c r="EZ84" s="140"/>
      <c r="FA84" s="140"/>
      <c r="FB84" s="140"/>
      <c r="FC84" s="140"/>
      <c r="FD84" s="140"/>
      <c r="FE84" s="140"/>
      <c r="FF84" s="140"/>
      <c r="FG84" s="140"/>
      <c r="FH84" s="140"/>
      <c r="FI84" s="140"/>
      <c r="FJ84" s="140"/>
      <c r="FK84" s="140"/>
      <c r="FL84" s="140"/>
      <c r="FM84" s="140"/>
      <c r="FN84" s="140"/>
      <c r="FO84" s="140"/>
      <c r="FP84" s="140"/>
    </row>
    <row r="85" spans="1:172" s="139" customFormat="1">
      <c r="A85" s="6">
        <v>31</v>
      </c>
      <c r="B85" s="268" t="s">
        <v>73</v>
      </c>
      <c r="D85" s="224" t="e">
        <f>#REF!*E85</f>
        <v>#REF!</v>
      </c>
      <c r="E85" s="271">
        <v>1</v>
      </c>
      <c r="F85" s="225" t="e">
        <f t="shared" si="18"/>
        <v>#REF!</v>
      </c>
      <c r="G85" s="224">
        <v>684067.79661016865</v>
      </c>
      <c r="H85" s="343" t="e">
        <f t="shared" si="15"/>
        <v>#REF!</v>
      </c>
      <c r="I85" s="224">
        <v>775671.59853218519</v>
      </c>
      <c r="J85" s="343" t="e">
        <f t="shared" si="14"/>
        <v>#REF!</v>
      </c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  <c r="CR85" s="140"/>
      <c r="CS85" s="140"/>
      <c r="CT85" s="140"/>
      <c r="CU85" s="140"/>
      <c r="CV85" s="140"/>
      <c r="CW85" s="140"/>
      <c r="CX85" s="140"/>
      <c r="CY85" s="140"/>
      <c r="CZ85" s="140"/>
      <c r="DA85" s="140"/>
      <c r="DB85" s="140"/>
      <c r="DC85" s="140"/>
      <c r="DD85" s="140"/>
      <c r="DE85" s="140"/>
      <c r="DF85" s="140"/>
      <c r="DG85" s="140"/>
      <c r="DH85" s="140"/>
      <c r="DI85" s="140"/>
      <c r="DJ85" s="140"/>
      <c r="DK85" s="140"/>
      <c r="DL85" s="140"/>
      <c r="DM85" s="140"/>
      <c r="DN85" s="140"/>
      <c r="DO85" s="140"/>
      <c r="DP85" s="140"/>
      <c r="DQ85" s="140"/>
      <c r="DR85" s="140"/>
      <c r="DS85" s="140"/>
      <c r="DT85" s="140"/>
      <c r="DU85" s="140"/>
      <c r="DV85" s="140"/>
      <c r="DW85" s="140"/>
      <c r="DX85" s="140"/>
      <c r="DY85" s="140"/>
      <c r="DZ85" s="140"/>
      <c r="EA85" s="140"/>
      <c r="EB85" s="140"/>
      <c r="EC85" s="140"/>
      <c r="ED85" s="140"/>
      <c r="EE85" s="140"/>
      <c r="EF85" s="140"/>
      <c r="EG85" s="140"/>
      <c r="EH85" s="140"/>
      <c r="EI85" s="140"/>
      <c r="EJ85" s="140"/>
      <c r="EK85" s="140"/>
      <c r="EL85" s="140"/>
      <c r="EM85" s="140"/>
      <c r="EN85" s="140"/>
      <c r="EO85" s="140"/>
      <c r="EP85" s="140"/>
      <c r="EQ85" s="140"/>
      <c r="ER85" s="140"/>
      <c r="ES85" s="140"/>
      <c r="ET85" s="140"/>
      <c r="EU85" s="140"/>
      <c r="EV85" s="140"/>
      <c r="EW85" s="140"/>
      <c r="EX85" s="140"/>
      <c r="EY85" s="140"/>
      <c r="EZ85" s="140"/>
      <c r="FA85" s="140"/>
      <c r="FB85" s="140"/>
      <c r="FC85" s="140"/>
      <c r="FD85" s="140"/>
      <c r="FE85" s="140"/>
      <c r="FF85" s="140"/>
      <c r="FG85" s="140"/>
      <c r="FH85" s="140"/>
      <c r="FI85" s="140"/>
      <c r="FJ85" s="140"/>
      <c r="FK85" s="140"/>
      <c r="FL85" s="140"/>
      <c r="FM85" s="140"/>
      <c r="FN85" s="140"/>
      <c r="FO85" s="140"/>
      <c r="FP85" s="140"/>
    </row>
    <row r="86" spans="1:172" s="139" customFormat="1" ht="14.25" customHeight="1">
      <c r="A86" s="6"/>
      <c r="B86" s="268" t="s">
        <v>82</v>
      </c>
      <c r="D86" s="224"/>
      <c r="E86" s="271">
        <v>0.84745762711864414</v>
      </c>
      <c r="F86" s="225" t="e">
        <f t="shared" si="18"/>
        <v>#REF!</v>
      </c>
      <c r="G86" s="224">
        <v>-5899943.0544491401</v>
      </c>
      <c r="H86" s="343">
        <f t="shared" si="15"/>
        <v>0</v>
      </c>
      <c r="I86" s="224">
        <v>-450110.31322472903</v>
      </c>
      <c r="J86" s="343">
        <f t="shared" si="14"/>
        <v>0</v>
      </c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  <c r="CW86" s="140"/>
      <c r="CX86" s="140"/>
      <c r="CY86" s="140"/>
      <c r="CZ86" s="140"/>
      <c r="DA86" s="140"/>
      <c r="DB86" s="140"/>
      <c r="DC86" s="140"/>
      <c r="DD86" s="140"/>
      <c r="DE86" s="140"/>
      <c r="DF86" s="140"/>
      <c r="DG86" s="140"/>
      <c r="DH86" s="140"/>
      <c r="DI86" s="140"/>
      <c r="DJ86" s="140"/>
      <c r="DK86" s="140"/>
      <c r="DL86" s="140"/>
      <c r="DM86" s="140"/>
      <c r="DN86" s="140"/>
      <c r="DO86" s="140"/>
      <c r="DP86" s="140"/>
      <c r="DQ86" s="140"/>
      <c r="DR86" s="140"/>
      <c r="DS86" s="140"/>
      <c r="DT86" s="140"/>
      <c r="DU86" s="140"/>
      <c r="DV86" s="140"/>
      <c r="DW86" s="140"/>
      <c r="DX86" s="140"/>
      <c r="DY86" s="140"/>
      <c r="DZ86" s="140"/>
      <c r="EA86" s="140"/>
      <c r="EB86" s="140"/>
      <c r="EC86" s="140"/>
      <c r="ED86" s="140"/>
      <c r="EE86" s="140"/>
      <c r="EF86" s="140"/>
      <c r="EG86" s="140"/>
      <c r="EH86" s="140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  <c r="EU86" s="140"/>
      <c r="EV86" s="140"/>
      <c r="EW86" s="140"/>
      <c r="EX86" s="140"/>
      <c r="EY86" s="140"/>
      <c r="EZ86" s="140"/>
      <c r="FA86" s="140"/>
      <c r="FB86" s="140"/>
      <c r="FC86" s="140"/>
      <c r="FD86" s="140"/>
      <c r="FE86" s="140"/>
      <c r="FF86" s="140"/>
      <c r="FG86" s="140"/>
      <c r="FH86" s="140"/>
      <c r="FI86" s="140"/>
      <c r="FJ86" s="140"/>
      <c r="FK86" s="140"/>
      <c r="FL86" s="140"/>
      <c r="FM86" s="140"/>
      <c r="FN86" s="140"/>
      <c r="FO86" s="140"/>
      <c r="FP86" s="140"/>
    </row>
    <row r="87" spans="1:172" s="139" customFormat="1">
      <c r="A87" s="6"/>
      <c r="B87" s="268" t="s">
        <v>83</v>
      </c>
      <c r="D87" s="224">
        <f>-SUM('Purchase old'!D73:M73)</f>
        <v>0</v>
      </c>
      <c r="E87" s="271"/>
      <c r="F87" s="225" t="e">
        <f t="shared" si="18"/>
        <v>#REF!</v>
      </c>
      <c r="G87" s="224">
        <v>0</v>
      </c>
      <c r="H87" s="343"/>
      <c r="I87" s="224">
        <v>0</v>
      </c>
      <c r="J87" s="343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  <c r="DD87" s="140"/>
      <c r="DE87" s="140"/>
      <c r="DF87" s="140"/>
      <c r="DG87" s="140"/>
      <c r="DH87" s="140"/>
      <c r="DI87" s="140"/>
      <c r="DJ87" s="140"/>
      <c r="DK87" s="140"/>
      <c r="DL87" s="140"/>
      <c r="DM87" s="140"/>
      <c r="DN87" s="140"/>
      <c r="DO87" s="140"/>
      <c r="DP87" s="140"/>
      <c r="DQ87" s="140"/>
      <c r="DR87" s="140"/>
      <c r="DS87" s="140"/>
      <c r="DT87" s="140"/>
      <c r="DU87" s="140"/>
      <c r="DV87" s="140"/>
      <c r="DW87" s="140"/>
      <c r="DX87" s="140"/>
      <c r="DY87" s="140"/>
      <c r="DZ87" s="140"/>
      <c r="EA87" s="140"/>
      <c r="EB87" s="140"/>
      <c r="EC87" s="140"/>
      <c r="ED87" s="140"/>
      <c r="EE87" s="140"/>
      <c r="EF87" s="140"/>
      <c r="EG87" s="140"/>
      <c r="EH87" s="140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  <c r="EU87" s="140"/>
      <c r="EV87" s="140"/>
      <c r="EW87" s="140"/>
      <c r="EX87" s="140"/>
      <c r="EY87" s="140"/>
      <c r="EZ87" s="140"/>
      <c r="FA87" s="140"/>
      <c r="FB87" s="140"/>
      <c r="FC87" s="140"/>
      <c r="FD87" s="140"/>
      <c r="FE87" s="140"/>
      <c r="FF87" s="140"/>
      <c r="FG87" s="140"/>
      <c r="FH87" s="140"/>
      <c r="FI87" s="140"/>
      <c r="FJ87" s="140"/>
      <c r="FK87" s="140"/>
      <c r="FL87" s="140"/>
      <c r="FM87" s="140"/>
      <c r="FN87" s="140"/>
      <c r="FO87" s="140"/>
      <c r="FP87" s="140"/>
    </row>
    <row r="88" spans="1:172" s="139" customFormat="1" ht="14.25" customHeight="1">
      <c r="A88" s="6">
        <v>34</v>
      </c>
      <c r="B88" s="268" t="s">
        <v>88</v>
      </c>
      <c r="D88" s="224">
        <f>-SUM('Purchase old'!D83:M83)</f>
        <v>0</v>
      </c>
      <c r="E88" s="270"/>
      <c r="F88" s="225" t="e">
        <f t="shared" si="18"/>
        <v>#REF!</v>
      </c>
      <c r="G88" s="224">
        <v>-7772177.73299996</v>
      </c>
      <c r="H88" s="343">
        <f t="shared" si="15"/>
        <v>0</v>
      </c>
      <c r="I88" s="224">
        <v>-7638743.7228571288</v>
      </c>
      <c r="J88" s="343">
        <f t="shared" si="14"/>
        <v>0</v>
      </c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  <c r="DD88" s="140"/>
      <c r="DE88" s="140"/>
      <c r="DF88" s="140"/>
      <c r="DG88" s="140"/>
      <c r="DH88" s="140"/>
      <c r="DI88" s="140"/>
      <c r="DJ88" s="140"/>
      <c r="DK88" s="140"/>
      <c r="DL88" s="140"/>
      <c r="DM88" s="140"/>
      <c r="DN88" s="140"/>
      <c r="DO88" s="140"/>
      <c r="DP88" s="140"/>
      <c r="DQ88" s="140"/>
      <c r="DR88" s="140"/>
      <c r="DS88" s="140"/>
      <c r="DT88" s="140"/>
      <c r="DU88" s="140"/>
      <c r="DV88" s="140"/>
      <c r="DW88" s="140"/>
      <c r="DX88" s="140"/>
      <c r="DY88" s="140"/>
      <c r="DZ88" s="140"/>
      <c r="EA88" s="140"/>
      <c r="EB88" s="140"/>
      <c r="EC88" s="140"/>
      <c r="ED88" s="140"/>
      <c r="EE88" s="140"/>
      <c r="EF88" s="140"/>
      <c r="EG88" s="140"/>
      <c r="EH88" s="140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  <c r="EU88" s="140"/>
      <c r="EV88" s="140"/>
      <c r="EW88" s="140"/>
      <c r="EX88" s="140"/>
      <c r="EY88" s="140"/>
      <c r="EZ88" s="140"/>
      <c r="FA88" s="140"/>
      <c r="FB88" s="140"/>
      <c r="FC88" s="140"/>
      <c r="FD88" s="140"/>
      <c r="FE88" s="140"/>
      <c r="FF88" s="140"/>
      <c r="FG88" s="140"/>
      <c r="FH88" s="140"/>
      <c r="FI88" s="140"/>
      <c r="FJ88" s="140"/>
      <c r="FK88" s="140"/>
      <c r="FL88" s="140"/>
      <c r="FM88" s="140"/>
      <c r="FN88" s="140"/>
      <c r="FO88" s="140"/>
      <c r="FP88" s="140"/>
    </row>
    <row r="89" spans="1:172" s="139" customFormat="1">
      <c r="A89" s="6">
        <v>35</v>
      </c>
      <c r="B89" s="268" t="s">
        <v>89</v>
      </c>
      <c r="D89" s="224" t="e">
        <f>-SUM(#REF!)</f>
        <v>#REF!</v>
      </c>
      <c r="E89" s="270"/>
      <c r="F89" s="225" t="e">
        <f t="shared" si="18"/>
        <v>#REF!</v>
      </c>
      <c r="G89" s="224">
        <v>0</v>
      </c>
      <c r="H89" s="343"/>
      <c r="I89" s="224">
        <v>0</v>
      </c>
      <c r="J89" s="343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140"/>
      <c r="CX89" s="140"/>
      <c r="CY89" s="140"/>
      <c r="CZ89" s="140"/>
      <c r="DA89" s="140"/>
      <c r="DB89" s="140"/>
      <c r="DC89" s="140"/>
      <c r="DD89" s="140"/>
      <c r="DE89" s="140"/>
      <c r="DF89" s="140"/>
      <c r="DG89" s="140"/>
      <c r="DH89" s="140"/>
      <c r="DI89" s="140"/>
      <c r="DJ89" s="140"/>
      <c r="DK89" s="140"/>
      <c r="DL89" s="140"/>
      <c r="DM89" s="140"/>
      <c r="DN89" s="140"/>
      <c r="DO89" s="140"/>
      <c r="DP89" s="140"/>
      <c r="DQ89" s="140"/>
      <c r="DR89" s="140"/>
      <c r="DS89" s="140"/>
      <c r="DT89" s="140"/>
      <c r="DU89" s="140"/>
      <c r="DV89" s="140"/>
      <c r="DW89" s="140"/>
      <c r="DX89" s="140"/>
      <c r="DY89" s="140"/>
      <c r="DZ89" s="140"/>
      <c r="EA89" s="140"/>
      <c r="EB89" s="140"/>
      <c r="EC89" s="140"/>
      <c r="ED89" s="140"/>
      <c r="EE89" s="140"/>
      <c r="EF89" s="140"/>
      <c r="EG89" s="140"/>
      <c r="EH89" s="140"/>
      <c r="EI89" s="140"/>
      <c r="EJ89" s="140"/>
      <c r="EK89" s="140"/>
      <c r="EL89" s="140"/>
      <c r="EM89" s="140"/>
      <c r="EN89" s="140"/>
      <c r="EO89" s="140"/>
      <c r="EP89" s="140"/>
      <c r="EQ89" s="140"/>
      <c r="ER89" s="140"/>
      <c r="ES89" s="140"/>
      <c r="ET89" s="140"/>
      <c r="EU89" s="140"/>
      <c r="EV89" s="140"/>
      <c r="EW89" s="140"/>
      <c r="EX89" s="140"/>
      <c r="EY89" s="140"/>
      <c r="EZ89" s="140"/>
      <c r="FA89" s="140"/>
      <c r="FB89" s="140"/>
      <c r="FC89" s="140"/>
      <c r="FD89" s="140"/>
      <c r="FE89" s="140"/>
      <c r="FF89" s="140"/>
      <c r="FG89" s="140"/>
      <c r="FH89" s="140"/>
      <c r="FI89" s="140"/>
      <c r="FJ89" s="140"/>
      <c r="FK89" s="140"/>
      <c r="FL89" s="140"/>
      <c r="FM89" s="140"/>
      <c r="FN89" s="140"/>
      <c r="FO89" s="140"/>
      <c r="FP89" s="140"/>
    </row>
    <row r="90" spans="1:172" s="139" customFormat="1" ht="14.25" customHeight="1">
      <c r="A90" s="6">
        <v>36</v>
      </c>
      <c r="B90" s="268" t="s">
        <v>72</v>
      </c>
      <c r="D90" s="224">
        <v>0</v>
      </c>
      <c r="E90" s="270"/>
      <c r="F90" s="225" t="e">
        <f t="shared" si="18"/>
        <v>#REF!</v>
      </c>
      <c r="G90" s="224">
        <v>0</v>
      </c>
      <c r="H90" s="343"/>
      <c r="I90" s="224">
        <v>801852.85155814537</v>
      </c>
      <c r="J90" s="343">
        <f t="shared" si="14"/>
        <v>0</v>
      </c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  <c r="DD90" s="140"/>
      <c r="DE90" s="140"/>
      <c r="DF90" s="140"/>
      <c r="DG90" s="140"/>
      <c r="DH90" s="140"/>
      <c r="DI90" s="140"/>
      <c r="DJ90" s="140"/>
      <c r="DK90" s="140"/>
      <c r="DL90" s="140"/>
      <c r="DM90" s="140"/>
      <c r="DN90" s="140"/>
      <c r="DO90" s="140"/>
      <c r="DP90" s="140"/>
      <c r="DQ90" s="140"/>
      <c r="DR90" s="140"/>
      <c r="DS90" s="140"/>
      <c r="DT90" s="140"/>
      <c r="DU90" s="140"/>
      <c r="DV90" s="140"/>
      <c r="DW90" s="140"/>
      <c r="DX90" s="140"/>
      <c r="DY90" s="140"/>
      <c r="DZ90" s="140"/>
      <c r="EA90" s="140"/>
      <c r="EB90" s="140"/>
      <c r="EC90" s="140"/>
      <c r="ED90" s="140"/>
      <c r="EE90" s="140"/>
      <c r="EF90" s="140"/>
      <c r="EG90" s="140"/>
      <c r="EH90" s="140"/>
      <c r="EI90" s="140"/>
      <c r="EJ90" s="140"/>
      <c r="EK90" s="140"/>
      <c r="EL90" s="140"/>
      <c r="EM90" s="140"/>
      <c r="EN90" s="140"/>
      <c r="EO90" s="140"/>
      <c r="EP90" s="140"/>
      <c r="EQ90" s="140"/>
      <c r="ER90" s="140"/>
      <c r="ES90" s="140"/>
      <c r="ET90" s="140"/>
      <c r="EU90" s="140"/>
      <c r="EV90" s="140"/>
      <c r="EW90" s="140"/>
      <c r="EX90" s="140"/>
      <c r="EY90" s="140"/>
      <c r="EZ90" s="140"/>
      <c r="FA90" s="140"/>
      <c r="FB90" s="140"/>
      <c r="FC90" s="140"/>
      <c r="FD90" s="140"/>
      <c r="FE90" s="140"/>
      <c r="FF90" s="140"/>
      <c r="FG90" s="140"/>
      <c r="FH90" s="140"/>
      <c r="FI90" s="140"/>
      <c r="FJ90" s="140"/>
      <c r="FK90" s="140"/>
      <c r="FL90" s="140"/>
      <c r="FM90" s="140"/>
      <c r="FN90" s="140"/>
      <c r="FO90" s="140"/>
      <c r="FP90" s="140"/>
    </row>
    <row r="91" spans="1:172" s="139" customFormat="1">
      <c r="A91" s="6"/>
      <c r="B91" s="267" t="s">
        <v>81</v>
      </c>
      <c r="D91" s="224" t="e">
        <f>SUM(D86:D90)</f>
        <v>#REF!</v>
      </c>
      <c r="E91" s="270"/>
      <c r="F91" s="213" t="e">
        <f>D91/D$55</f>
        <v>#REF!</v>
      </c>
      <c r="G91" s="224">
        <f>SUM(G86:G90)</f>
        <v>-13672120.787449099</v>
      </c>
      <c r="H91" s="339" t="e">
        <f>D91/G91</f>
        <v>#REF!</v>
      </c>
      <c r="I91" s="224">
        <f>SUM(I86:I90)</f>
        <v>-7287001.1845237128</v>
      </c>
      <c r="J91" s="343" t="e">
        <f t="shared" si="14"/>
        <v>#REF!</v>
      </c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0"/>
      <c r="CT91" s="140"/>
      <c r="CU91" s="140"/>
      <c r="CV91" s="140"/>
      <c r="CW91" s="140"/>
      <c r="CX91" s="140"/>
      <c r="CY91" s="140"/>
      <c r="CZ91" s="140"/>
      <c r="DA91" s="140"/>
      <c r="DB91" s="140"/>
      <c r="DC91" s="140"/>
      <c r="DD91" s="140"/>
      <c r="DE91" s="140"/>
      <c r="DF91" s="140"/>
      <c r="DG91" s="140"/>
      <c r="DH91" s="140"/>
      <c r="DI91" s="140"/>
      <c r="DJ91" s="140"/>
      <c r="DK91" s="140"/>
      <c r="DL91" s="140"/>
      <c r="DM91" s="140"/>
      <c r="DN91" s="140"/>
      <c r="DO91" s="140"/>
      <c r="DP91" s="140"/>
      <c r="DQ91" s="140"/>
      <c r="DR91" s="140"/>
      <c r="DS91" s="140"/>
      <c r="DT91" s="140"/>
      <c r="DU91" s="140"/>
      <c r="DV91" s="140"/>
      <c r="DW91" s="140"/>
      <c r="DX91" s="140"/>
      <c r="DY91" s="140"/>
      <c r="DZ91" s="140"/>
      <c r="EA91" s="140"/>
      <c r="EB91" s="140"/>
      <c r="EC91" s="140"/>
      <c r="ED91" s="140"/>
      <c r="EE91" s="140"/>
      <c r="EF91" s="140"/>
      <c r="EG91" s="140"/>
      <c r="EH91" s="140"/>
      <c r="EI91" s="140"/>
      <c r="EJ91" s="140"/>
      <c r="EK91" s="140"/>
      <c r="EL91" s="140"/>
      <c r="EM91" s="140"/>
      <c r="EN91" s="140"/>
      <c r="EO91" s="140"/>
      <c r="EP91" s="140"/>
      <c r="EQ91" s="140"/>
      <c r="ER91" s="140"/>
      <c r="ES91" s="140"/>
      <c r="ET91" s="140"/>
      <c r="EU91" s="140"/>
      <c r="EV91" s="140"/>
      <c r="EW91" s="140"/>
      <c r="EX91" s="140"/>
      <c r="EY91" s="140"/>
      <c r="EZ91" s="140"/>
      <c r="FA91" s="140"/>
      <c r="FB91" s="140"/>
      <c r="FC91" s="140"/>
      <c r="FD91" s="140"/>
      <c r="FE91" s="140"/>
      <c r="FF91" s="140"/>
      <c r="FG91" s="140"/>
      <c r="FH91" s="140"/>
      <c r="FI91" s="140"/>
      <c r="FJ91" s="140"/>
      <c r="FK91" s="140"/>
      <c r="FL91" s="140"/>
      <c r="FM91" s="140"/>
      <c r="FN91" s="140"/>
      <c r="FO91" s="140"/>
      <c r="FP91" s="140"/>
    </row>
    <row r="92" spans="1:172" s="139" customFormat="1" ht="14.25" customHeight="1">
      <c r="A92" s="6">
        <v>37</v>
      </c>
      <c r="B92" s="267" t="s">
        <v>74</v>
      </c>
      <c r="D92" s="226" t="e">
        <f>SUM(D83:D90)</f>
        <v>#REF!</v>
      </c>
      <c r="E92" s="270"/>
      <c r="F92" s="227" t="e">
        <f>D92/D$55</f>
        <v>#REF!</v>
      </c>
      <c r="G92" s="226">
        <f>SUM(G83:G90)</f>
        <v>937964.04887120239</v>
      </c>
      <c r="H92" s="337" t="e">
        <f>D92/G92</f>
        <v>#REF!</v>
      </c>
      <c r="I92" s="226">
        <f>SUM(I83:I90)</f>
        <v>4135171.5907062721</v>
      </c>
      <c r="J92" s="345" t="e">
        <f t="shared" si="14"/>
        <v>#REF!</v>
      </c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0"/>
      <c r="CP92" s="140"/>
      <c r="CQ92" s="140"/>
      <c r="CR92" s="140"/>
      <c r="CS92" s="140"/>
      <c r="CT92" s="140"/>
      <c r="CU92" s="140"/>
      <c r="CV92" s="140"/>
      <c r="CW92" s="140"/>
      <c r="CX92" s="140"/>
      <c r="CY92" s="140"/>
      <c r="CZ92" s="140"/>
      <c r="DA92" s="140"/>
      <c r="DB92" s="140"/>
      <c r="DC92" s="140"/>
      <c r="DD92" s="140"/>
      <c r="DE92" s="140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40"/>
      <c r="DW92" s="140"/>
      <c r="DX92" s="140"/>
      <c r="DY92" s="140"/>
      <c r="DZ92" s="140"/>
      <c r="EA92" s="140"/>
      <c r="EB92" s="140"/>
      <c r="EC92" s="140"/>
      <c r="ED92" s="140"/>
      <c r="EE92" s="140"/>
      <c r="EF92" s="140"/>
      <c r="EG92" s="140"/>
      <c r="EH92" s="140"/>
      <c r="EI92" s="140"/>
      <c r="EJ92" s="140"/>
      <c r="EK92" s="140"/>
      <c r="EL92" s="140"/>
      <c r="EM92" s="140"/>
      <c r="EN92" s="140"/>
      <c r="EO92" s="140"/>
      <c r="EP92" s="140"/>
      <c r="EQ92" s="140"/>
      <c r="ER92" s="140"/>
      <c r="ES92" s="140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40"/>
      <c r="FK92" s="140"/>
      <c r="FL92" s="140"/>
      <c r="FM92" s="140"/>
      <c r="FN92" s="140"/>
      <c r="FO92" s="140"/>
      <c r="FP92" s="140"/>
    </row>
    <row r="93" spans="1:172" s="139" customFormat="1" ht="13.5" thickBot="1">
      <c r="A93" s="6">
        <v>38</v>
      </c>
      <c r="B93" s="269" t="s">
        <v>75</v>
      </c>
      <c r="D93" s="228" t="e">
        <f>D82-D92</f>
        <v>#REF!</v>
      </c>
      <c r="E93" s="272"/>
      <c r="F93" s="229" t="e">
        <f>D93/D$55</f>
        <v>#REF!</v>
      </c>
      <c r="G93" s="228">
        <f>G82-G92</f>
        <v>81569162.719398454</v>
      </c>
      <c r="H93" s="340" t="e">
        <f>D93/G93</f>
        <v>#REF!</v>
      </c>
      <c r="I93" s="228">
        <f>I82-I92</f>
        <v>104418625.95076923</v>
      </c>
      <c r="J93" s="346" t="e">
        <f t="shared" si="14"/>
        <v>#REF!</v>
      </c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  <c r="CR93" s="140"/>
      <c r="CS93" s="140"/>
      <c r="CT93" s="140"/>
      <c r="CU93" s="140"/>
      <c r="CV93" s="140"/>
      <c r="CW93" s="140"/>
      <c r="CX93" s="140"/>
      <c r="CY93" s="140"/>
      <c r="CZ93" s="140"/>
      <c r="DA93" s="140"/>
      <c r="DB93" s="140"/>
      <c r="DC93" s="140"/>
      <c r="DD93" s="140"/>
      <c r="DE93" s="140"/>
      <c r="DF93" s="140"/>
      <c r="DG93" s="140"/>
      <c r="DH93" s="140"/>
      <c r="DI93" s="140"/>
      <c r="DJ93" s="140"/>
      <c r="DK93" s="140"/>
      <c r="DL93" s="140"/>
      <c r="DM93" s="140"/>
      <c r="DN93" s="140"/>
      <c r="DO93" s="140"/>
      <c r="DP93" s="140"/>
      <c r="DQ93" s="140"/>
      <c r="DR93" s="140"/>
      <c r="DS93" s="140"/>
      <c r="DT93" s="140"/>
      <c r="DU93" s="140"/>
      <c r="DV93" s="140"/>
      <c r="DW93" s="140"/>
      <c r="DX93" s="140"/>
      <c r="DY93" s="140"/>
      <c r="DZ93" s="140"/>
      <c r="EA93" s="140"/>
      <c r="EB93" s="140"/>
      <c r="EC93" s="140"/>
      <c r="ED93" s="140"/>
      <c r="EE93" s="140"/>
      <c r="EF93" s="140"/>
      <c r="EG93" s="140"/>
      <c r="EH93" s="140"/>
      <c r="EI93" s="140"/>
      <c r="EJ93" s="140"/>
      <c r="EK93" s="140"/>
      <c r="EL93" s="140"/>
      <c r="EM93" s="140"/>
      <c r="EN93" s="140"/>
      <c r="EO93" s="140"/>
      <c r="EP93" s="140"/>
      <c r="EQ93" s="140"/>
      <c r="ER93" s="140"/>
      <c r="ES93" s="140"/>
      <c r="ET93" s="140"/>
      <c r="EU93" s="140"/>
      <c r="EV93" s="140"/>
      <c r="EW93" s="140"/>
      <c r="EX93" s="140"/>
      <c r="EY93" s="140"/>
      <c r="EZ93" s="140"/>
      <c r="FA93" s="140"/>
      <c r="FB93" s="140"/>
      <c r="FC93" s="140"/>
      <c r="FD93" s="140"/>
      <c r="FE93" s="140"/>
      <c r="FF93" s="140"/>
      <c r="FG93" s="140"/>
      <c r="FH93" s="140"/>
      <c r="FI93" s="140"/>
      <c r="FJ93" s="140"/>
      <c r="FK93" s="140"/>
      <c r="FL93" s="140"/>
      <c r="FM93" s="140"/>
      <c r="FN93" s="140"/>
      <c r="FO93" s="140"/>
      <c r="FP93" s="140"/>
    </row>
    <row r="94" spans="1:172" s="139" customFormat="1" ht="14.25" thickTop="1" thickBot="1">
      <c r="G94" s="336">
        <f>G93/G55</f>
        <v>0.18704911036582428</v>
      </c>
      <c r="H94" s="6"/>
      <c r="I94" s="336">
        <f>I93/I55</f>
        <v>0.23922087662179423</v>
      </c>
      <c r="M94" s="139">
        <f>L94-D94</f>
        <v>0</v>
      </c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0"/>
      <c r="CQ94" s="140"/>
      <c r="CR94" s="140"/>
      <c r="CS94" s="140"/>
      <c r="CT94" s="140"/>
      <c r="CU94" s="140"/>
      <c r="CV94" s="140"/>
      <c r="CW94" s="140"/>
      <c r="CX94" s="140"/>
      <c r="CY94" s="140"/>
      <c r="CZ94" s="140"/>
      <c r="DA94" s="140"/>
      <c r="DB94" s="140"/>
      <c r="DC94" s="140"/>
      <c r="DD94" s="140"/>
      <c r="DE94" s="140"/>
      <c r="DF94" s="140"/>
      <c r="DG94" s="140"/>
      <c r="DH94" s="140"/>
      <c r="DI94" s="140"/>
      <c r="DJ94" s="140"/>
      <c r="DK94" s="140"/>
      <c r="DL94" s="140"/>
      <c r="DM94" s="140"/>
      <c r="DN94" s="140"/>
      <c r="DO94" s="140"/>
      <c r="DP94" s="140"/>
      <c r="DQ94" s="140"/>
      <c r="DR94" s="140"/>
      <c r="DS94" s="140"/>
      <c r="DT94" s="140"/>
      <c r="DU94" s="140"/>
      <c r="DV94" s="140"/>
      <c r="DW94" s="140"/>
      <c r="DX94" s="140"/>
      <c r="DY94" s="140"/>
      <c r="DZ94" s="140"/>
      <c r="EA94" s="140"/>
      <c r="EB94" s="140"/>
      <c r="EC94" s="140"/>
      <c r="ED94" s="140"/>
      <c r="EE94" s="140"/>
      <c r="EF94" s="140"/>
      <c r="EG94" s="140"/>
      <c r="EH94" s="140"/>
      <c r="EI94" s="140"/>
      <c r="EJ94" s="140"/>
      <c r="EK94" s="140"/>
      <c r="EL94" s="140"/>
      <c r="EM94" s="140"/>
      <c r="EN94" s="140"/>
      <c r="EO94" s="140"/>
      <c r="EP94" s="140"/>
      <c r="EQ94" s="140"/>
      <c r="ER94" s="140"/>
      <c r="ES94" s="140"/>
      <c r="ET94" s="140"/>
      <c r="EU94" s="140"/>
      <c r="EV94" s="140"/>
      <c r="EW94" s="140"/>
      <c r="EX94" s="140"/>
      <c r="EY94" s="140"/>
      <c r="EZ94" s="140"/>
      <c r="FA94" s="140"/>
      <c r="FB94" s="140"/>
      <c r="FC94" s="140"/>
      <c r="FD94" s="140"/>
      <c r="FE94" s="140"/>
      <c r="FF94" s="140"/>
      <c r="FG94" s="140"/>
      <c r="FH94" s="140"/>
      <c r="FI94" s="140"/>
      <c r="FJ94" s="140"/>
      <c r="FK94" s="140"/>
      <c r="FL94" s="140"/>
      <c r="FM94" s="140"/>
      <c r="FN94" s="140"/>
      <c r="FO94" s="140"/>
    </row>
    <row r="95" spans="1:172" s="139" customFormat="1" ht="13.5" thickTop="1">
      <c r="B95" s="139" t="s">
        <v>286</v>
      </c>
      <c r="D95" s="383" t="e">
        <f>D93*0.2</f>
        <v>#REF!</v>
      </c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0"/>
      <c r="CP95" s="140"/>
      <c r="CQ95" s="140"/>
      <c r="CR95" s="140"/>
      <c r="CS95" s="140"/>
      <c r="CT95" s="140"/>
      <c r="CU95" s="140"/>
      <c r="CV95" s="140"/>
      <c r="CW95" s="140"/>
      <c r="CX95" s="140"/>
      <c r="CY95" s="140"/>
      <c r="CZ95" s="140"/>
      <c r="DA95" s="140"/>
      <c r="DB95" s="140"/>
      <c r="DC95" s="140"/>
      <c r="DD95" s="140"/>
      <c r="DE95" s="140"/>
      <c r="DF95" s="140"/>
      <c r="DG95" s="140"/>
      <c r="DH95" s="140"/>
      <c r="DI95" s="140"/>
      <c r="DJ95" s="140"/>
      <c r="DK95" s="140"/>
      <c r="DL95" s="140"/>
      <c r="DM95" s="140"/>
      <c r="DN95" s="140"/>
      <c r="DO95" s="140"/>
      <c r="DP95" s="140"/>
      <c r="DQ95" s="140"/>
      <c r="DR95" s="140"/>
      <c r="DS95" s="140"/>
      <c r="DT95" s="140"/>
      <c r="DU95" s="140"/>
      <c r="DV95" s="140"/>
      <c r="DW95" s="140"/>
      <c r="DX95" s="140"/>
      <c r="DY95" s="140"/>
      <c r="DZ95" s="140"/>
      <c r="EA95" s="140"/>
      <c r="EB95" s="140"/>
      <c r="EC95" s="140"/>
      <c r="ED95" s="140"/>
      <c r="EE95" s="140"/>
      <c r="EF95" s="140"/>
      <c r="EG95" s="140"/>
      <c r="EH95" s="140"/>
      <c r="EI95" s="140"/>
      <c r="EJ95" s="140"/>
      <c r="EK95" s="140"/>
      <c r="EL95" s="140"/>
      <c r="EM95" s="140"/>
      <c r="EN95" s="140"/>
      <c r="EO95" s="140"/>
      <c r="EP95" s="140"/>
      <c r="EQ95" s="140"/>
      <c r="ER95" s="140"/>
      <c r="ES95" s="140"/>
      <c r="ET95" s="140"/>
      <c r="EU95" s="140"/>
      <c r="EV95" s="140"/>
      <c r="EW95" s="140"/>
      <c r="EX95" s="140"/>
      <c r="EY95" s="140"/>
      <c r="EZ95" s="140"/>
      <c r="FA95" s="140"/>
      <c r="FB95" s="140"/>
      <c r="FC95" s="140"/>
      <c r="FD95" s="140"/>
      <c r="FE95" s="140"/>
      <c r="FF95" s="140"/>
      <c r="FG95" s="140"/>
      <c r="FH95" s="140"/>
      <c r="FI95" s="140"/>
      <c r="FJ95" s="140"/>
      <c r="FK95" s="140"/>
      <c r="FL95" s="140"/>
      <c r="FM95" s="140"/>
      <c r="FN95" s="140"/>
      <c r="FO95" s="140"/>
    </row>
    <row r="96" spans="1:172" s="139" customFormat="1">
      <c r="D96" s="383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140"/>
      <c r="CX96" s="140"/>
      <c r="CY96" s="140"/>
      <c r="CZ96" s="140"/>
      <c r="DA96" s="140"/>
      <c r="DB96" s="140"/>
      <c r="DC96" s="140"/>
      <c r="DD96" s="140"/>
      <c r="DE96" s="140"/>
      <c r="DF96" s="140"/>
      <c r="DG96" s="140"/>
      <c r="DH96" s="140"/>
      <c r="DI96" s="140"/>
      <c r="DJ96" s="140"/>
      <c r="DK96" s="140"/>
      <c r="DL96" s="140"/>
      <c r="DM96" s="140"/>
      <c r="DN96" s="140"/>
      <c r="DO96" s="140"/>
      <c r="DP96" s="140"/>
      <c r="DQ96" s="140"/>
      <c r="DR96" s="140"/>
      <c r="DS96" s="140"/>
      <c r="DT96" s="140"/>
      <c r="DU96" s="140"/>
      <c r="DV96" s="140"/>
      <c r="DW96" s="140"/>
      <c r="DX96" s="140"/>
      <c r="DY96" s="140"/>
      <c r="DZ96" s="140"/>
      <c r="EA96" s="140"/>
      <c r="EB96" s="140"/>
      <c r="EC96" s="140"/>
      <c r="ED96" s="140"/>
      <c r="EE96" s="140"/>
      <c r="EF96" s="140"/>
      <c r="EG96" s="140"/>
      <c r="EH96" s="140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40"/>
      <c r="EV96" s="140"/>
      <c r="EW96" s="140"/>
      <c r="EX96" s="140"/>
      <c r="EY96" s="140"/>
      <c r="EZ96" s="140"/>
      <c r="FA96" s="140"/>
      <c r="FB96" s="140"/>
      <c r="FC96" s="140"/>
      <c r="FD96" s="140"/>
      <c r="FE96" s="140"/>
      <c r="FF96" s="140"/>
      <c r="FG96" s="140"/>
      <c r="FH96" s="140"/>
      <c r="FI96" s="140"/>
      <c r="FJ96" s="140"/>
      <c r="FK96" s="140"/>
      <c r="FL96" s="140"/>
      <c r="FM96" s="140"/>
      <c r="FN96" s="140"/>
      <c r="FO96" s="140"/>
    </row>
    <row r="97" spans="2:171" s="139" customFormat="1">
      <c r="B97" s="139" t="s">
        <v>287</v>
      </c>
      <c r="D97" s="383" t="e">
        <f>D93-D95</f>
        <v>#REF!</v>
      </c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0"/>
      <c r="DN97" s="140"/>
      <c r="DO97" s="140"/>
      <c r="DP97" s="140"/>
      <c r="DQ97" s="140"/>
      <c r="DR97" s="140"/>
      <c r="DS97" s="140"/>
      <c r="DT97" s="140"/>
      <c r="DU97" s="140"/>
      <c r="DV97" s="140"/>
      <c r="DW97" s="140"/>
      <c r="DX97" s="140"/>
      <c r="DY97" s="140"/>
      <c r="DZ97" s="140"/>
      <c r="EA97" s="140"/>
      <c r="EB97" s="140"/>
      <c r="EC97" s="140"/>
      <c r="ED97" s="140"/>
      <c r="EE97" s="140"/>
      <c r="EF97" s="140"/>
      <c r="EG97" s="140"/>
      <c r="EH97" s="140"/>
      <c r="EI97" s="140"/>
      <c r="EJ97" s="140"/>
      <c r="EK97" s="140"/>
      <c r="EL97" s="140"/>
      <c r="EM97" s="140"/>
      <c r="EN97" s="140"/>
      <c r="EO97" s="140"/>
      <c r="EP97" s="140"/>
      <c r="EQ97" s="140"/>
      <c r="ER97" s="140"/>
      <c r="ES97" s="140"/>
      <c r="ET97" s="140"/>
      <c r="EU97" s="140"/>
      <c r="EV97" s="140"/>
      <c r="EW97" s="140"/>
      <c r="EX97" s="140"/>
      <c r="EY97" s="140"/>
      <c r="EZ97" s="140"/>
      <c r="FA97" s="140"/>
      <c r="FB97" s="140"/>
      <c r="FC97" s="140"/>
      <c r="FD97" s="140"/>
      <c r="FE97" s="140"/>
      <c r="FF97" s="140"/>
      <c r="FG97" s="140"/>
      <c r="FH97" s="140"/>
      <c r="FI97" s="140"/>
      <c r="FJ97" s="140"/>
      <c r="FK97" s="140"/>
      <c r="FL97" s="140"/>
      <c r="FM97" s="140"/>
      <c r="FN97" s="140"/>
      <c r="FO97" s="140"/>
    </row>
    <row r="98" spans="2:171" s="139" customFormat="1"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0"/>
      <c r="DN98" s="140"/>
      <c r="DO98" s="140"/>
      <c r="DP98" s="140"/>
      <c r="DQ98" s="140"/>
      <c r="DR98" s="140"/>
      <c r="DS98" s="140"/>
      <c r="DT98" s="140"/>
      <c r="DU98" s="140"/>
      <c r="DV98" s="140"/>
      <c r="DW98" s="140"/>
      <c r="DX98" s="140"/>
      <c r="DY98" s="140"/>
      <c r="DZ98" s="140"/>
      <c r="EA98" s="140"/>
      <c r="EB98" s="140"/>
      <c r="EC98" s="140"/>
      <c r="ED98" s="140"/>
      <c r="EE98" s="140"/>
      <c r="EF98" s="140"/>
      <c r="EG98" s="140"/>
      <c r="EH98" s="140"/>
      <c r="EI98" s="140"/>
      <c r="EJ98" s="140"/>
      <c r="EK98" s="140"/>
      <c r="EL98" s="140"/>
      <c r="EM98" s="140"/>
      <c r="EN98" s="140"/>
      <c r="EO98" s="140"/>
      <c r="EP98" s="140"/>
      <c r="EQ98" s="140"/>
      <c r="ER98" s="140"/>
      <c r="ES98" s="140"/>
      <c r="ET98" s="140"/>
      <c r="EU98" s="140"/>
      <c r="EV98" s="140"/>
      <c r="EW98" s="140"/>
      <c r="EX98" s="140"/>
      <c r="EY98" s="140"/>
      <c r="EZ98" s="140"/>
      <c r="FA98" s="140"/>
      <c r="FB98" s="140"/>
      <c r="FC98" s="140"/>
      <c r="FD98" s="140"/>
      <c r="FE98" s="140"/>
      <c r="FF98" s="140"/>
      <c r="FG98" s="140"/>
      <c r="FH98" s="140"/>
      <c r="FI98" s="140"/>
      <c r="FJ98" s="140"/>
      <c r="FK98" s="140"/>
      <c r="FL98" s="140"/>
      <c r="FM98" s="140"/>
      <c r="FN98" s="140"/>
      <c r="FO98" s="140"/>
    </row>
    <row r="99" spans="2:171" s="139" customFormat="1"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  <c r="DD99" s="140"/>
      <c r="DE99" s="140"/>
      <c r="DF99" s="140"/>
      <c r="DG99" s="140"/>
      <c r="DH99" s="140"/>
      <c r="DI99" s="140"/>
      <c r="DJ99" s="140"/>
      <c r="DK99" s="140"/>
      <c r="DL99" s="140"/>
      <c r="DM99" s="140"/>
      <c r="DN99" s="140"/>
      <c r="DO99" s="140"/>
      <c r="DP99" s="140"/>
      <c r="DQ99" s="140"/>
      <c r="DR99" s="140"/>
      <c r="DS99" s="140"/>
      <c r="DT99" s="140"/>
      <c r="DU99" s="140"/>
      <c r="DV99" s="140"/>
      <c r="DW99" s="140"/>
      <c r="DX99" s="140"/>
      <c r="DY99" s="140"/>
      <c r="DZ99" s="140"/>
      <c r="EA99" s="140"/>
      <c r="EB99" s="140"/>
      <c r="EC99" s="140"/>
      <c r="ED99" s="140"/>
      <c r="EE99" s="140"/>
      <c r="EF99" s="140"/>
      <c r="EG99" s="140"/>
      <c r="EH99" s="140"/>
      <c r="EI99" s="140"/>
      <c r="EJ99" s="140"/>
      <c r="EK99" s="140"/>
      <c r="EL99" s="140"/>
      <c r="EM99" s="140"/>
      <c r="EN99" s="140"/>
      <c r="EO99" s="140"/>
      <c r="EP99" s="140"/>
      <c r="EQ99" s="140"/>
      <c r="ER99" s="140"/>
      <c r="ES99" s="140"/>
      <c r="ET99" s="140"/>
      <c r="EU99" s="140"/>
      <c r="EV99" s="140"/>
      <c r="EW99" s="140"/>
      <c r="EX99" s="140"/>
      <c r="EY99" s="140"/>
      <c r="EZ99" s="140"/>
      <c r="FA99" s="140"/>
      <c r="FB99" s="140"/>
      <c r="FC99" s="140"/>
      <c r="FD99" s="140"/>
      <c r="FE99" s="140"/>
      <c r="FF99" s="140"/>
      <c r="FG99" s="140"/>
      <c r="FH99" s="140"/>
      <c r="FI99" s="140"/>
      <c r="FJ99" s="140"/>
      <c r="FK99" s="140"/>
      <c r="FL99" s="140"/>
      <c r="FM99" s="140"/>
      <c r="FN99" s="140"/>
      <c r="FO99" s="140"/>
    </row>
    <row r="100" spans="2:171" s="139" customFormat="1"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  <c r="DD100" s="140"/>
      <c r="DE100" s="140"/>
      <c r="DF100" s="140"/>
      <c r="DG100" s="140"/>
      <c r="DH100" s="140"/>
      <c r="DI100" s="140"/>
      <c r="DJ100" s="140"/>
      <c r="DK100" s="140"/>
      <c r="DL100" s="140"/>
      <c r="DM100" s="140"/>
      <c r="DN100" s="140"/>
      <c r="DO100" s="140"/>
      <c r="DP100" s="140"/>
      <c r="DQ100" s="140"/>
      <c r="DR100" s="140"/>
      <c r="DS100" s="140"/>
      <c r="DT100" s="140"/>
      <c r="DU100" s="140"/>
      <c r="DV100" s="140"/>
      <c r="DW100" s="140"/>
      <c r="DX100" s="140"/>
      <c r="DY100" s="140"/>
      <c r="DZ100" s="140"/>
      <c r="EA100" s="140"/>
      <c r="EB100" s="140"/>
      <c r="EC100" s="140"/>
      <c r="ED100" s="140"/>
      <c r="EE100" s="140"/>
      <c r="EF100" s="140"/>
      <c r="EG100" s="140"/>
      <c r="EH100" s="140"/>
      <c r="EI100" s="140"/>
      <c r="EJ100" s="140"/>
      <c r="EK100" s="140"/>
      <c r="EL100" s="140"/>
      <c r="EM100" s="140"/>
      <c r="EN100" s="140"/>
      <c r="EO100" s="140"/>
      <c r="EP100" s="140"/>
      <c r="EQ100" s="140"/>
      <c r="ER100" s="140"/>
      <c r="ES100" s="140"/>
      <c r="ET100" s="140"/>
      <c r="EU100" s="140"/>
      <c r="EV100" s="140"/>
      <c r="EW100" s="140"/>
      <c r="EX100" s="140"/>
      <c r="EY100" s="140"/>
      <c r="EZ100" s="140"/>
      <c r="FA100" s="140"/>
      <c r="FB100" s="140"/>
      <c r="FC100" s="140"/>
      <c r="FD100" s="140"/>
      <c r="FE100" s="140"/>
      <c r="FF100" s="140"/>
      <c r="FG100" s="140"/>
      <c r="FH100" s="140"/>
      <c r="FI100" s="140"/>
      <c r="FJ100" s="140"/>
      <c r="FK100" s="140"/>
      <c r="FL100" s="140"/>
      <c r="FM100" s="140"/>
      <c r="FN100" s="140"/>
      <c r="FO100" s="140"/>
    </row>
    <row r="101" spans="2:171" s="139" customFormat="1"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  <c r="DD101" s="140"/>
      <c r="DE101" s="140"/>
      <c r="DF101" s="140"/>
      <c r="DG101" s="140"/>
      <c r="DH101" s="140"/>
      <c r="DI101" s="140"/>
      <c r="DJ101" s="140"/>
      <c r="DK101" s="140"/>
      <c r="DL101" s="140"/>
      <c r="DM101" s="140"/>
      <c r="DN101" s="140"/>
      <c r="DO101" s="140"/>
      <c r="DP101" s="140"/>
      <c r="DQ101" s="140"/>
      <c r="DR101" s="140"/>
      <c r="DS101" s="140"/>
      <c r="DT101" s="140"/>
      <c r="DU101" s="140"/>
      <c r="DV101" s="140"/>
      <c r="DW101" s="140"/>
      <c r="DX101" s="140"/>
      <c r="DY101" s="140"/>
      <c r="DZ101" s="140"/>
      <c r="EA101" s="140"/>
      <c r="EB101" s="140"/>
      <c r="EC101" s="140"/>
      <c r="ED101" s="140"/>
      <c r="EE101" s="140"/>
      <c r="EF101" s="140"/>
      <c r="EG101" s="140"/>
      <c r="EH101" s="140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40"/>
      <c r="EV101" s="140"/>
      <c r="EW101" s="140"/>
      <c r="EX101" s="140"/>
      <c r="EY101" s="140"/>
      <c r="EZ101" s="140"/>
      <c r="FA101" s="140"/>
      <c r="FB101" s="140"/>
      <c r="FC101" s="140"/>
      <c r="FD101" s="140"/>
      <c r="FE101" s="140"/>
      <c r="FF101" s="140"/>
      <c r="FG101" s="140"/>
      <c r="FH101" s="140"/>
      <c r="FI101" s="140"/>
      <c r="FJ101" s="140"/>
      <c r="FK101" s="140"/>
      <c r="FL101" s="140"/>
      <c r="FM101" s="140"/>
      <c r="FN101" s="140"/>
      <c r="FO101" s="140"/>
    </row>
    <row r="102" spans="2:171" s="139" customFormat="1"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  <c r="DD102" s="140"/>
      <c r="DE102" s="140"/>
      <c r="DF102" s="140"/>
      <c r="DG102" s="140"/>
      <c r="DH102" s="140"/>
      <c r="DI102" s="140"/>
      <c r="DJ102" s="140"/>
      <c r="DK102" s="140"/>
      <c r="DL102" s="140"/>
      <c r="DM102" s="140"/>
      <c r="DN102" s="140"/>
      <c r="DO102" s="140"/>
      <c r="DP102" s="140"/>
      <c r="DQ102" s="140"/>
      <c r="DR102" s="140"/>
      <c r="DS102" s="140"/>
      <c r="DT102" s="140"/>
      <c r="DU102" s="140"/>
      <c r="DV102" s="140"/>
      <c r="DW102" s="140"/>
      <c r="DX102" s="140"/>
      <c r="DY102" s="140"/>
      <c r="DZ102" s="140"/>
      <c r="EA102" s="140"/>
      <c r="EB102" s="140"/>
      <c r="EC102" s="140"/>
      <c r="ED102" s="140"/>
      <c r="EE102" s="140"/>
      <c r="EF102" s="140"/>
      <c r="EG102" s="140"/>
      <c r="EH102" s="140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40"/>
      <c r="EV102" s="140"/>
      <c r="EW102" s="140"/>
      <c r="EX102" s="140"/>
      <c r="EY102" s="140"/>
      <c r="EZ102" s="140"/>
      <c r="FA102" s="140"/>
      <c r="FB102" s="140"/>
      <c r="FC102" s="140"/>
      <c r="FD102" s="140"/>
      <c r="FE102" s="140"/>
      <c r="FF102" s="140"/>
      <c r="FG102" s="140"/>
      <c r="FH102" s="140"/>
      <c r="FI102" s="140"/>
      <c r="FJ102" s="140"/>
      <c r="FK102" s="140"/>
      <c r="FL102" s="140"/>
      <c r="FM102" s="140"/>
      <c r="FN102" s="140"/>
      <c r="FO102" s="140"/>
    </row>
    <row r="103" spans="2:171" s="139" customFormat="1"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  <c r="DD103" s="140"/>
      <c r="DE103" s="140"/>
      <c r="DF103" s="140"/>
      <c r="DG103" s="140"/>
      <c r="DH103" s="140"/>
      <c r="DI103" s="140"/>
      <c r="DJ103" s="140"/>
      <c r="DK103" s="140"/>
      <c r="DL103" s="140"/>
      <c r="DM103" s="140"/>
      <c r="DN103" s="140"/>
      <c r="DO103" s="140"/>
      <c r="DP103" s="140"/>
      <c r="DQ103" s="140"/>
      <c r="DR103" s="140"/>
      <c r="DS103" s="140"/>
      <c r="DT103" s="140"/>
      <c r="DU103" s="140"/>
      <c r="DV103" s="140"/>
      <c r="DW103" s="140"/>
      <c r="DX103" s="140"/>
      <c r="DY103" s="140"/>
      <c r="DZ103" s="140"/>
      <c r="EA103" s="140"/>
      <c r="EB103" s="140"/>
      <c r="EC103" s="140"/>
      <c r="ED103" s="140"/>
      <c r="EE103" s="140"/>
      <c r="EF103" s="140"/>
      <c r="EG103" s="140"/>
      <c r="EH103" s="140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40"/>
      <c r="EV103" s="140"/>
      <c r="EW103" s="140"/>
      <c r="EX103" s="140"/>
      <c r="EY103" s="140"/>
      <c r="EZ103" s="140"/>
      <c r="FA103" s="140"/>
      <c r="FB103" s="140"/>
      <c r="FC103" s="140"/>
      <c r="FD103" s="140"/>
      <c r="FE103" s="140"/>
      <c r="FF103" s="140"/>
      <c r="FG103" s="140"/>
      <c r="FH103" s="140"/>
      <c r="FI103" s="140"/>
      <c r="FJ103" s="140"/>
      <c r="FK103" s="140"/>
      <c r="FL103" s="140"/>
      <c r="FM103" s="140"/>
      <c r="FN103" s="140"/>
      <c r="FO103" s="140"/>
    </row>
    <row r="104" spans="2:171" s="139" customFormat="1"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  <c r="DD104" s="140"/>
      <c r="DE104" s="140"/>
      <c r="DF104" s="140"/>
      <c r="DG104" s="140"/>
      <c r="DH104" s="140"/>
      <c r="DI104" s="140"/>
      <c r="DJ104" s="140"/>
      <c r="DK104" s="140"/>
      <c r="DL104" s="140"/>
      <c r="DM104" s="140"/>
      <c r="DN104" s="140"/>
      <c r="DO104" s="140"/>
      <c r="DP104" s="140"/>
      <c r="DQ104" s="140"/>
      <c r="DR104" s="140"/>
      <c r="DS104" s="140"/>
      <c r="DT104" s="140"/>
      <c r="DU104" s="140"/>
      <c r="DV104" s="140"/>
      <c r="DW104" s="140"/>
      <c r="DX104" s="140"/>
      <c r="DY104" s="140"/>
      <c r="DZ104" s="140"/>
      <c r="EA104" s="140"/>
      <c r="EB104" s="140"/>
      <c r="EC104" s="140"/>
      <c r="ED104" s="140"/>
      <c r="EE104" s="140"/>
      <c r="EF104" s="140"/>
      <c r="EG104" s="140"/>
      <c r="EH104" s="140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40"/>
      <c r="EV104" s="140"/>
      <c r="EW104" s="140"/>
      <c r="EX104" s="140"/>
      <c r="EY104" s="140"/>
      <c r="EZ104" s="140"/>
      <c r="FA104" s="140"/>
      <c r="FB104" s="140"/>
      <c r="FC104" s="140"/>
      <c r="FD104" s="140"/>
      <c r="FE104" s="140"/>
      <c r="FF104" s="140"/>
      <c r="FG104" s="140"/>
      <c r="FH104" s="140"/>
      <c r="FI104" s="140"/>
      <c r="FJ104" s="140"/>
      <c r="FK104" s="140"/>
      <c r="FL104" s="140"/>
      <c r="FM104" s="140"/>
      <c r="FN104" s="140"/>
      <c r="FO104" s="140"/>
    </row>
    <row r="105" spans="2:171" s="139" customFormat="1"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  <c r="DD105" s="140"/>
      <c r="DE105" s="140"/>
      <c r="DF105" s="140"/>
      <c r="DG105" s="140"/>
      <c r="DH105" s="140"/>
      <c r="DI105" s="140"/>
      <c r="DJ105" s="140"/>
      <c r="DK105" s="140"/>
      <c r="DL105" s="140"/>
      <c r="DM105" s="140"/>
      <c r="DN105" s="140"/>
      <c r="DO105" s="140"/>
      <c r="DP105" s="140"/>
      <c r="DQ105" s="140"/>
      <c r="DR105" s="140"/>
      <c r="DS105" s="140"/>
      <c r="DT105" s="140"/>
      <c r="DU105" s="140"/>
      <c r="DV105" s="140"/>
      <c r="DW105" s="140"/>
      <c r="DX105" s="140"/>
      <c r="DY105" s="140"/>
      <c r="DZ105" s="140"/>
      <c r="EA105" s="140"/>
      <c r="EB105" s="140"/>
      <c r="EC105" s="140"/>
      <c r="ED105" s="140"/>
      <c r="EE105" s="140"/>
      <c r="EF105" s="140"/>
      <c r="EG105" s="140"/>
      <c r="EH105" s="140"/>
      <c r="EI105" s="140"/>
      <c r="EJ105" s="140"/>
      <c r="EK105" s="140"/>
      <c r="EL105" s="140"/>
      <c r="EM105" s="140"/>
      <c r="EN105" s="140"/>
      <c r="EO105" s="140"/>
      <c r="EP105" s="140"/>
      <c r="EQ105" s="140"/>
      <c r="ER105" s="140"/>
      <c r="ES105" s="140"/>
      <c r="ET105" s="140"/>
      <c r="EU105" s="140"/>
      <c r="EV105" s="140"/>
      <c r="EW105" s="140"/>
      <c r="EX105" s="140"/>
      <c r="EY105" s="140"/>
      <c r="EZ105" s="140"/>
      <c r="FA105" s="140"/>
      <c r="FB105" s="140"/>
      <c r="FC105" s="140"/>
      <c r="FD105" s="140"/>
      <c r="FE105" s="140"/>
      <c r="FF105" s="140"/>
      <c r="FG105" s="140"/>
      <c r="FH105" s="140"/>
      <c r="FI105" s="140"/>
      <c r="FJ105" s="140"/>
      <c r="FK105" s="140"/>
      <c r="FL105" s="140"/>
      <c r="FM105" s="140"/>
      <c r="FN105" s="140"/>
      <c r="FO105" s="140"/>
    </row>
    <row r="106" spans="2:171" s="139" customFormat="1"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  <c r="DD106" s="140"/>
      <c r="DE106" s="140"/>
      <c r="DF106" s="140"/>
      <c r="DG106" s="140"/>
      <c r="DH106" s="140"/>
      <c r="DI106" s="140"/>
      <c r="DJ106" s="140"/>
      <c r="DK106" s="140"/>
      <c r="DL106" s="140"/>
      <c r="DM106" s="140"/>
      <c r="DN106" s="140"/>
      <c r="DO106" s="140"/>
      <c r="DP106" s="140"/>
      <c r="DQ106" s="140"/>
      <c r="DR106" s="140"/>
      <c r="DS106" s="140"/>
      <c r="DT106" s="140"/>
      <c r="DU106" s="140"/>
      <c r="DV106" s="140"/>
      <c r="DW106" s="140"/>
      <c r="DX106" s="140"/>
      <c r="DY106" s="140"/>
      <c r="DZ106" s="140"/>
      <c r="EA106" s="140"/>
      <c r="EB106" s="140"/>
      <c r="EC106" s="140"/>
      <c r="ED106" s="140"/>
      <c r="EE106" s="140"/>
      <c r="EF106" s="140"/>
      <c r="EG106" s="140"/>
      <c r="EH106" s="140"/>
      <c r="EI106" s="140"/>
      <c r="EJ106" s="140"/>
      <c r="EK106" s="140"/>
      <c r="EL106" s="140"/>
      <c r="EM106" s="140"/>
      <c r="EN106" s="140"/>
      <c r="EO106" s="140"/>
      <c r="EP106" s="140"/>
      <c r="EQ106" s="140"/>
      <c r="ER106" s="140"/>
      <c r="ES106" s="140"/>
      <c r="ET106" s="140"/>
      <c r="EU106" s="140"/>
      <c r="EV106" s="140"/>
      <c r="EW106" s="140"/>
      <c r="EX106" s="140"/>
      <c r="EY106" s="140"/>
      <c r="EZ106" s="140"/>
      <c r="FA106" s="140"/>
      <c r="FB106" s="140"/>
      <c r="FC106" s="140"/>
      <c r="FD106" s="140"/>
      <c r="FE106" s="140"/>
      <c r="FF106" s="140"/>
      <c r="FG106" s="140"/>
      <c r="FH106" s="140"/>
      <c r="FI106" s="140"/>
      <c r="FJ106" s="140"/>
      <c r="FK106" s="140"/>
      <c r="FL106" s="140"/>
      <c r="FM106" s="140"/>
      <c r="FN106" s="140"/>
      <c r="FO106" s="140"/>
    </row>
    <row r="107" spans="2:171" s="139" customFormat="1"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  <c r="DD107" s="140"/>
      <c r="DE107" s="140"/>
      <c r="DF107" s="140"/>
      <c r="DG107" s="140"/>
      <c r="DH107" s="140"/>
      <c r="DI107" s="140"/>
      <c r="DJ107" s="140"/>
      <c r="DK107" s="140"/>
      <c r="DL107" s="140"/>
      <c r="DM107" s="140"/>
      <c r="DN107" s="140"/>
      <c r="DO107" s="140"/>
      <c r="DP107" s="140"/>
      <c r="DQ107" s="140"/>
      <c r="DR107" s="140"/>
      <c r="DS107" s="140"/>
      <c r="DT107" s="140"/>
      <c r="DU107" s="140"/>
      <c r="DV107" s="140"/>
      <c r="DW107" s="140"/>
      <c r="DX107" s="140"/>
      <c r="DY107" s="140"/>
      <c r="DZ107" s="140"/>
      <c r="EA107" s="140"/>
      <c r="EB107" s="140"/>
      <c r="EC107" s="140"/>
      <c r="ED107" s="140"/>
      <c r="EE107" s="140"/>
      <c r="EF107" s="140"/>
      <c r="EG107" s="140"/>
      <c r="EH107" s="140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40"/>
      <c r="EV107" s="140"/>
      <c r="EW107" s="140"/>
      <c r="EX107" s="140"/>
      <c r="EY107" s="140"/>
      <c r="EZ107" s="140"/>
      <c r="FA107" s="140"/>
      <c r="FB107" s="140"/>
      <c r="FC107" s="140"/>
      <c r="FD107" s="140"/>
      <c r="FE107" s="140"/>
      <c r="FF107" s="140"/>
      <c r="FG107" s="140"/>
      <c r="FH107" s="140"/>
      <c r="FI107" s="140"/>
      <c r="FJ107" s="140"/>
      <c r="FK107" s="140"/>
      <c r="FL107" s="140"/>
      <c r="FM107" s="140"/>
      <c r="FN107" s="140"/>
      <c r="FO107" s="140"/>
    </row>
    <row r="108" spans="2:171" s="139" customFormat="1"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  <c r="DD108" s="140"/>
      <c r="DE108" s="140"/>
      <c r="DF108" s="140"/>
      <c r="DG108" s="140"/>
      <c r="DH108" s="140"/>
      <c r="DI108" s="140"/>
      <c r="DJ108" s="140"/>
      <c r="DK108" s="140"/>
      <c r="DL108" s="140"/>
      <c r="DM108" s="140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0"/>
      <c r="FB108" s="140"/>
      <c r="FC108" s="140"/>
      <c r="FD108" s="140"/>
      <c r="FE108" s="140"/>
      <c r="FF108" s="140"/>
      <c r="FG108" s="140"/>
      <c r="FH108" s="140"/>
      <c r="FI108" s="140"/>
      <c r="FJ108" s="140"/>
      <c r="FK108" s="140"/>
      <c r="FL108" s="140"/>
      <c r="FM108" s="140"/>
      <c r="FN108" s="140"/>
      <c r="FO108" s="140"/>
    </row>
    <row r="109" spans="2:171" s="139" customFormat="1"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/>
      <c r="DF109" s="140"/>
      <c r="DG109" s="140"/>
      <c r="DH109" s="140"/>
      <c r="DI109" s="140"/>
      <c r="DJ109" s="140"/>
      <c r="DK109" s="140"/>
      <c r="DL109" s="140"/>
      <c r="DM109" s="140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0"/>
      <c r="FB109" s="140"/>
      <c r="FC109" s="140"/>
      <c r="FD109" s="140"/>
      <c r="FE109" s="140"/>
      <c r="FF109" s="140"/>
      <c r="FG109" s="140"/>
      <c r="FH109" s="140"/>
      <c r="FI109" s="140"/>
      <c r="FJ109" s="140"/>
      <c r="FK109" s="140"/>
      <c r="FL109" s="140"/>
      <c r="FM109" s="140"/>
      <c r="FN109" s="140"/>
      <c r="FO109" s="140"/>
    </row>
    <row r="110" spans="2:171" s="139" customFormat="1"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/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0"/>
      <c r="FB110" s="140"/>
      <c r="FC110" s="140"/>
      <c r="FD110" s="140"/>
      <c r="FE110" s="140"/>
      <c r="FF110" s="140"/>
      <c r="FG110" s="140"/>
      <c r="FH110" s="140"/>
      <c r="FI110" s="140"/>
      <c r="FJ110" s="140"/>
      <c r="FK110" s="140"/>
      <c r="FL110" s="140"/>
      <c r="FM110" s="140"/>
      <c r="FN110" s="140"/>
      <c r="FO110" s="140"/>
    </row>
    <row r="111" spans="2:171" s="139" customFormat="1"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  <c r="DD111" s="140"/>
      <c r="DE111" s="140"/>
      <c r="DF111" s="140"/>
      <c r="DG111" s="140"/>
      <c r="DH111" s="140"/>
      <c r="DI111" s="140"/>
      <c r="DJ111" s="140"/>
      <c r="DK111" s="140"/>
      <c r="DL111" s="140"/>
      <c r="DM111" s="140"/>
      <c r="DN111" s="140"/>
      <c r="DO111" s="140"/>
      <c r="DP111" s="140"/>
      <c r="DQ111" s="140"/>
      <c r="DR111" s="140"/>
      <c r="DS111" s="140"/>
      <c r="DT111" s="140"/>
      <c r="DU111" s="140"/>
      <c r="DV111" s="140"/>
      <c r="DW111" s="140"/>
      <c r="DX111" s="140"/>
      <c r="DY111" s="140"/>
      <c r="DZ111" s="140"/>
      <c r="EA111" s="140"/>
      <c r="EB111" s="140"/>
      <c r="EC111" s="140"/>
      <c r="ED111" s="140"/>
      <c r="EE111" s="140"/>
      <c r="EF111" s="140"/>
      <c r="EG111" s="140"/>
      <c r="EH111" s="140"/>
      <c r="EI111" s="140"/>
      <c r="EJ111" s="140"/>
      <c r="EK111" s="140"/>
      <c r="EL111" s="140"/>
      <c r="EM111" s="140"/>
      <c r="EN111" s="140"/>
      <c r="EO111" s="140"/>
      <c r="EP111" s="140"/>
      <c r="EQ111" s="140"/>
      <c r="ER111" s="140"/>
      <c r="ES111" s="140"/>
      <c r="ET111" s="140"/>
      <c r="EU111" s="140"/>
      <c r="EV111" s="140"/>
      <c r="EW111" s="140"/>
      <c r="EX111" s="140"/>
      <c r="EY111" s="140"/>
      <c r="EZ111" s="140"/>
      <c r="FA111" s="140"/>
      <c r="FB111" s="140"/>
      <c r="FC111" s="140"/>
      <c r="FD111" s="140"/>
      <c r="FE111" s="140"/>
      <c r="FF111" s="140"/>
      <c r="FG111" s="140"/>
      <c r="FH111" s="140"/>
      <c r="FI111" s="140"/>
      <c r="FJ111" s="140"/>
      <c r="FK111" s="140"/>
      <c r="FL111" s="140"/>
      <c r="FM111" s="140"/>
      <c r="FN111" s="140"/>
      <c r="FO111" s="140"/>
    </row>
    <row r="112" spans="2:171" s="139" customFormat="1"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  <c r="DD112" s="140"/>
      <c r="DE112" s="140"/>
      <c r="DF112" s="140"/>
      <c r="DG112" s="140"/>
      <c r="DH112" s="140"/>
      <c r="DI112" s="140"/>
      <c r="DJ112" s="140"/>
      <c r="DK112" s="140"/>
      <c r="DL112" s="140"/>
      <c r="DM112" s="140"/>
      <c r="DN112" s="140"/>
      <c r="DO112" s="140"/>
      <c r="DP112" s="140"/>
      <c r="DQ112" s="140"/>
      <c r="DR112" s="140"/>
      <c r="DS112" s="140"/>
      <c r="DT112" s="140"/>
      <c r="DU112" s="140"/>
      <c r="DV112" s="140"/>
      <c r="DW112" s="140"/>
      <c r="DX112" s="140"/>
      <c r="DY112" s="140"/>
      <c r="DZ112" s="140"/>
      <c r="EA112" s="140"/>
      <c r="EB112" s="140"/>
      <c r="EC112" s="140"/>
      <c r="ED112" s="140"/>
      <c r="EE112" s="140"/>
      <c r="EF112" s="140"/>
      <c r="EG112" s="140"/>
      <c r="EH112" s="140"/>
      <c r="EI112" s="140"/>
      <c r="EJ112" s="140"/>
      <c r="EK112" s="140"/>
      <c r="EL112" s="140"/>
      <c r="EM112" s="140"/>
      <c r="EN112" s="140"/>
      <c r="EO112" s="140"/>
      <c r="EP112" s="140"/>
      <c r="EQ112" s="140"/>
      <c r="ER112" s="140"/>
      <c r="ES112" s="140"/>
      <c r="ET112" s="140"/>
      <c r="EU112" s="140"/>
      <c r="EV112" s="140"/>
      <c r="EW112" s="140"/>
      <c r="EX112" s="140"/>
      <c r="EY112" s="140"/>
      <c r="EZ112" s="140"/>
      <c r="FA112" s="140"/>
      <c r="FB112" s="140"/>
      <c r="FC112" s="140"/>
      <c r="FD112" s="140"/>
      <c r="FE112" s="140"/>
      <c r="FF112" s="140"/>
      <c r="FG112" s="140"/>
      <c r="FH112" s="140"/>
      <c r="FI112" s="140"/>
      <c r="FJ112" s="140"/>
      <c r="FK112" s="140"/>
      <c r="FL112" s="140"/>
      <c r="FM112" s="140"/>
      <c r="FN112" s="140"/>
      <c r="FO112" s="140"/>
    </row>
    <row r="113" spans="72:171" s="139" customFormat="1"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  <c r="DD113" s="140"/>
      <c r="DE113" s="140"/>
      <c r="DF113" s="140"/>
      <c r="DG113" s="140"/>
      <c r="DH113" s="140"/>
      <c r="DI113" s="140"/>
      <c r="DJ113" s="140"/>
      <c r="DK113" s="140"/>
      <c r="DL113" s="140"/>
      <c r="DM113" s="140"/>
      <c r="DN113" s="140"/>
      <c r="DO113" s="140"/>
      <c r="DP113" s="140"/>
      <c r="DQ113" s="140"/>
      <c r="DR113" s="140"/>
      <c r="DS113" s="140"/>
      <c r="DT113" s="140"/>
      <c r="DU113" s="140"/>
      <c r="DV113" s="140"/>
      <c r="DW113" s="140"/>
      <c r="DX113" s="140"/>
      <c r="DY113" s="140"/>
      <c r="DZ113" s="140"/>
      <c r="EA113" s="140"/>
      <c r="EB113" s="140"/>
      <c r="EC113" s="140"/>
      <c r="ED113" s="140"/>
      <c r="EE113" s="140"/>
      <c r="EF113" s="140"/>
      <c r="EG113" s="140"/>
      <c r="EH113" s="140"/>
      <c r="EI113" s="140"/>
      <c r="EJ113" s="140"/>
      <c r="EK113" s="140"/>
      <c r="EL113" s="140"/>
      <c r="EM113" s="140"/>
      <c r="EN113" s="140"/>
      <c r="EO113" s="140"/>
      <c r="EP113" s="140"/>
      <c r="EQ113" s="140"/>
      <c r="ER113" s="140"/>
      <c r="ES113" s="140"/>
      <c r="ET113" s="140"/>
      <c r="EU113" s="140"/>
      <c r="EV113" s="140"/>
      <c r="EW113" s="140"/>
      <c r="EX113" s="140"/>
      <c r="EY113" s="140"/>
      <c r="EZ113" s="140"/>
      <c r="FA113" s="140"/>
      <c r="FB113" s="140"/>
      <c r="FC113" s="140"/>
      <c r="FD113" s="140"/>
      <c r="FE113" s="140"/>
      <c r="FF113" s="140"/>
      <c r="FG113" s="140"/>
      <c r="FH113" s="140"/>
      <c r="FI113" s="140"/>
      <c r="FJ113" s="140"/>
      <c r="FK113" s="140"/>
      <c r="FL113" s="140"/>
      <c r="FM113" s="140"/>
      <c r="FN113" s="140"/>
      <c r="FO113" s="140"/>
    </row>
    <row r="114" spans="72:171" s="139" customFormat="1"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  <c r="DD114" s="140"/>
      <c r="DE114" s="140"/>
      <c r="DF114" s="140"/>
      <c r="DG114" s="140"/>
      <c r="DH114" s="140"/>
      <c r="DI114" s="140"/>
      <c r="DJ114" s="140"/>
      <c r="DK114" s="140"/>
      <c r="DL114" s="140"/>
      <c r="DM114" s="140"/>
      <c r="DN114" s="140"/>
      <c r="DO114" s="140"/>
      <c r="DP114" s="140"/>
      <c r="DQ114" s="140"/>
      <c r="DR114" s="140"/>
      <c r="DS114" s="140"/>
      <c r="DT114" s="140"/>
      <c r="DU114" s="140"/>
      <c r="DV114" s="140"/>
      <c r="DW114" s="140"/>
      <c r="DX114" s="140"/>
      <c r="DY114" s="140"/>
      <c r="DZ114" s="140"/>
      <c r="EA114" s="140"/>
      <c r="EB114" s="140"/>
      <c r="EC114" s="140"/>
      <c r="ED114" s="140"/>
      <c r="EE114" s="140"/>
      <c r="EF114" s="140"/>
      <c r="EG114" s="140"/>
      <c r="EH114" s="140"/>
      <c r="EI114" s="140"/>
      <c r="EJ114" s="140"/>
      <c r="EK114" s="140"/>
      <c r="EL114" s="140"/>
      <c r="EM114" s="140"/>
      <c r="EN114" s="140"/>
      <c r="EO114" s="140"/>
      <c r="EP114" s="140"/>
      <c r="EQ114" s="140"/>
      <c r="ER114" s="140"/>
      <c r="ES114" s="140"/>
      <c r="ET114" s="140"/>
      <c r="EU114" s="140"/>
      <c r="EV114" s="140"/>
      <c r="EW114" s="140"/>
      <c r="EX114" s="140"/>
      <c r="EY114" s="140"/>
      <c r="EZ114" s="140"/>
      <c r="FA114" s="140"/>
      <c r="FB114" s="140"/>
      <c r="FC114" s="140"/>
      <c r="FD114" s="140"/>
      <c r="FE114" s="140"/>
      <c r="FF114" s="140"/>
      <c r="FG114" s="140"/>
      <c r="FH114" s="140"/>
      <c r="FI114" s="140"/>
      <c r="FJ114" s="140"/>
      <c r="FK114" s="140"/>
      <c r="FL114" s="140"/>
      <c r="FM114" s="140"/>
      <c r="FN114" s="140"/>
      <c r="FO114" s="140"/>
    </row>
    <row r="115" spans="72:171" s="139" customFormat="1"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40"/>
      <c r="FK115" s="140"/>
      <c r="FL115" s="140"/>
      <c r="FM115" s="140"/>
      <c r="FN115" s="140"/>
      <c r="FO115" s="140"/>
    </row>
    <row r="116" spans="72:171" s="139" customFormat="1"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/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  <c r="FF116" s="140"/>
      <c r="FG116" s="140"/>
      <c r="FH116" s="140"/>
      <c r="FI116" s="140"/>
      <c r="FJ116" s="140"/>
      <c r="FK116" s="140"/>
      <c r="FL116" s="140"/>
      <c r="FM116" s="140"/>
      <c r="FN116" s="140"/>
      <c r="FO116" s="140"/>
    </row>
    <row r="117" spans="72:171" s="139" customFormat="1"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/>
      <c r="DF117" s="140"/>
      <c r="DG117" s="140"/>
      <c r="DH117" s="140"/>
      <c r="DI117" s="140"/>
      <c r="DJ117" s="140"/>
      <c r="DK117" s="140"/>
      <c r="DL117" s="140"/>
      <c r="DM117" s="140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0"/>
      <c r="FB117" s="140"/>
      <c r="FC117" s="140"/>
      <c r="FD117" s="140"/>
      <c r="FE117" s="140"/>
      <c r="FF117" s="140"/>
      <c r="FG117" s="140"/>
      <c r="FH117" s="140"/>
      <c r="FI117" s="140"/>
      <c r="FJ117" s="140"/>
      <c r="FK117" s="140"/>
      <c r="FL117" s="140"/>
      <c r="FM117" s="140"/>
      <c r="FN117" s="140"/>
      <c r="FO117" s="140"/>
    </row>
    <row r="118" spans="72:171" s="139" customFormat="1"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  <c r="DD118" s="140"/>
      <c r="DE118" s="140"/>
      <c r="DF118" s="140"/>
      <c r="DG118" s="140"/>
      <c r="DH118" s="140"/>
      <c r="DI118" s="140"/>
      <c r="DJ118" s="140"/>
      <c r="DK118" s="140"/>
      <c r="DL118" s="140"/>
      <c r="DM118" s="140"/>
      <c r="DN118" s="140"/>
      <c r="DO118" s="140"/>
      <c r="DP118" s="140"/>
      <c r="DQ118" s="140"/>
      <c r="DR118" s="140"/>
      <c r="DS118" s="140"/>
      <c r="DT118" s="140"/>
      <c r="DU118" s="140"/>
      <c r="DV118" s="140"/>
      <c r="DW118" s="140"/>
      <c r="DX118" s="140"/>
      <c r="DY118" s="140"/>
      <c r="DZ118" s="140"/>
      <c r="EA118" s="140"/>
      <c r="EB118" s="140"/>
      <c r="EC118" s="140"/>
      <c r="ED118" s="140"/>
      <c r="EE118" s="140"/>
      <c r="EF118" s="140"/>
      <c r="EG118" s="140"/>
      <c r="EH118" s="140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40"/>
      <c r="EV118" s="140"/>
      <c r="EW118" s="140"/>
      <c r="EX118" s="140"/>
      <c r="EY118" s="140"/>
      <c r="EZ118" s="140"/>
      <c r="FA118" s="140"/>
      <c r="FB118" s="140"/>
      <c r="FC118" s="140"/>
      <c r="FD118" s="140"/>
      <c r="FE118" s="140"/>
      <c r="FF118" s="140"/>
      <c r="FG118" s="140"/>
      <c r="FH118" s="140"/>
      <c r="FI118" s="140"/>
      <c r="FJ118" s="140"/>
      <c r="FK118" s="140"/>
      <c r="FL118" s="140"/>
      <c r="FM118" s="140"/>
      <c r="FN118" s="140"/>
      <c r="FO118" s="140"/>
    </row>
    <row r="119" spans="72:171" s="139" customFormat="1"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  <c r="DD119" s="140"/>
      <c r="DE119" s="140"/>
      <c r="DF119" s="140"/>
      <c r="DG119" s="140"/>
      <c r="DH119" s="140"/>
      <c r="DI119" s="140"/>
      <c r="DJ119" s="140"/>
      <c r="DK119" s="140"/>
      <c r="DL119" s="140"/>
      <c r="DM119" s="140"/>
      <c r="DN119" s="140"/>
      <c r="DO119" s="140"/>
      <c r="DP119" s="140"/>
      <c r="DQ119" s="140"/>
      <c r="DR119" s="140"/>
      <c r="DS119" s="140"/>
      <c r="DT119" s="140"/>
      <c r="DU119" s="140"/>
      <c r="DV119" s="140"/>
      <c r="DW119" s="140"/>
      <c r="DX119" s="140"/>
      <c r="DY119" s="140"/>
      <c r="DZ119" s="140"/>
      <c r="EA119" s="140"/>
      <c r="EB119" s="140"/>
      <c r="EC119" s="140"/>
      <c r="ED119" s="140"/>
      <c r="EE119" s="140"/>
      <c r="EF119" s="140"/>
      <c r="EG119" s="140"/>
      <c r="EH119" s="140"/>
      <c r="EI119" s="140"/>
      <c r="EJ119" s="140"/>
      <c r="EK119" s="140"/>
      <c r="EL119" s="140"/>
      <c r="EM119" s="140"/>
      <c r="EN119" s="140"/>
      <c r="EO119" s="140"/>
      <c r="EP119" s="140"/>
      <c r="EQ119" s="140"/>
      <c r="ER119" s="140"/>
      <c r="ES119" s="140"/>
      <c r="ET119" s="140"/>
      <c r="EU119" s="140"/>
      <c r="EV119" s="140"/>
      <c r="EW119" s="140"/>
      <c r="EX119" s="140"/>
      <c r="EY119" s="140"/>
      <c r="EZ119" s="140"/>
      <c r="FA119" s="140"/>
      <c r="FB119" s="140"/>
      <c r="FC119" s="140"/>
      <c r="FD119" s="140"/>
      <c r="FE119" s="140"/>
      <c r="FF119" s="140"/>
      <c r="FG119" s="140"/>
      <c r="FH119" s="140"/>
      <c r="FI119" s="140"/>
      <c r="FJ119" s="140"/>
      <c r="FK119" s="140"/>
      <c r="FL119" s="140"/>
      <c r="FM119" s="140"/>
      <c r="FN119" s="140"/>
      <c r="FO119" s="140"/>
    </row>
    <row r="120" spans="72:171" s="139" customFormat="1"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  <c r="DD120" s="140"/>
      <c r="DE120" s="140"/>
      <c r="DF120" s="140"/>
      <c r="DG120" s="140"/>
      <c r="DH120" s="140"/>
      <c r="DI120" s="140"/>
      <c r="DJ120" s="140"/>
      <c r="DK120" s="140"/>
      <c r="DL120" s="140"/>
      <c r="DM120" s="140"/>
      <c r="DN120" s="140"/>
      <c r="DO120" s="140"/>
      <c r="DP120" s="140"/>
      <c r="DQ120" s="140"/>
      <c r="DR120" s="140"/>
      <c r="DS120" s="140"/>
      <c r="DT120" s="140"/>
      <c r="DU120" s="140"/>
      <c r="DV120" s="140"/>
      <c r="DW120" s="140"/>
      <c r="DX120" s="140"/>
      <c r="DY120" s="140"/>
      <c r="DZ120" s="140"/>
      <c r="EA120" s="140"/>
      <c r="EB120" s="140"/>
      <c r="EC120" s="140"/>
      <c r="ED120" s="140"/>
      <c r="EE120" s="140"/>
      <c r="EF120" s="140"/>
      <c r="EG120" s="140"/>
      <c r="EH120" s="140"/>
      <c r="EI120" s="140"/>
      <c r="EJ120" s="140"/>
      <c r="EK120" s="140"/>
      <c r="EL120" s="140"/>
      <c r="EM120" s="140"/>
      <c r="EN120" s="140"/>
      <c r="EO120" s="140"/>
      <c r="EP120" s="140"/>
      <c r="EQ120" s="140"/>
      <c r="ER120" s="140"/>
      <c r="ES120" s="140"/>
      <c r="ET120" s="140"/>
      <c r="EU120" s="140"/>
      <c r="EV120" s="140"/>
      <c r="EW120" s="140"/>
      <c r="EX120" s="140"/>
      <c r="EY120" s="140"/>
      <c r="EZ120" s="140"/>
      <c r="FA120" s="140"/>
      <c r="FB120" s="140"/>
      <c r="FC120" s="140"/>
      <c r="FD120" s="140"/>
      <c r="FE120" s="140"/>
      <c r="FF120" s="140"/>
      <c r="FG120" s="140"/>
      <c r="FH120" s="140"/>
      <c r="FI120" s="140"/>
      <c r="FJ120" s="140"/>
      <c r="FK120" s="140"/>
      <c r="FL120" s="140"/>
      <c r="FM120" s="140"/>
      <c r="FN120" s="140"/>
      <c r="FO120" s="140"/>
    </row>
    <row r="121" spans="72:171" s="139" customFormat="1"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  <c r="DD121" s="140"/>
      <c r="DE121" s="140"/>
      <c r="DF121" s="140"/>
      <c r="DG121" s="140"/>
      <c r="DH121" s="140"/>
      <c r="DI121" s="140"/>
      <c r="DJ121" s="140"/>
      <c r="DK121" s="140"/>
      <c r="DL121" s="140"/>
      <c r="DM121" s="140"/>
      <c r="DN121" s="140"/>
      <c r="DO121" s="140"/>
      <c r="DP121" s="140"/>
      <c r="DQ121" s="140"/>
      <c r="DR121" s="140"/>
      <c r="DS121" s="140"/>
      <c r="DT121" s="140"/>
      <c r="DU121" s="140"/>
      <c r="DV121" s="140"/>
      <c r="DW121" s="140"/>
      <c r="DX121" s="140"/>
      <c r="DY121" s="140"/>
      <c r="DZ121" s="140"/>
      <c r="EA121" s="140"/>
      <c r="EB121" s="140"/>
      <c r="EC121" s="140"/>
      <c r="ED121" s="140"/>
      <c r="EE121" s="140"/>
      <c r="EF121" s="140"/>
      <c r="EG121" s="140"/>
      <c r="EH121" s="140"/>
      <c r="EI121" s="140"/>
      <c r="EJ121" s="140"/>
      <c r="EK121" s="140"/>
      <c r="EL121" s="140"/>
      <c r="EM121" s="140"/>
      <c r="EN121" s="140"/>
      <c r="EO121" s="140"/>
      <c r="EP121" s="140"/>
      <c r="EQ121" s="140"/>
      <c r="ER121" s="140"/>
      <c r="ES121" s="140"/>
      <c r="ET121" s="140"/>
      <c r="EU121" s="140"/>
      <c r="EV121" s="140"/>
      <c r="EW121" s="140"/>
      <c r="EX121" s="140"/>
      <c r="EY121" s="140"/>
      <c r="EZ121" s="140"/>
      <c r="FA121" s="140"/>
      <c r="FB121" s="140"/>
      <c r="FC121" s="140"/>
      <c r="FD121" s="140"/>
      <c r="FE121" s="140"/>
      <c r="FF121" s="140"/>
      <c r="FG121" s="140"/>
      <c r="FH121" s="140"/>
      <c r="FI121" s="140"/>
      <c r="FJ121" s="140"/>
      <c r="FK121" s="140"/>
      <c r="FL121" s="140"/>
      <c r="FM121" s="140"/>
      <c r="FN121" s="140"/>
      <c r="FO121" s="140"/>
    </row>
    <row r="122" spans="72:171" s="139" customFormat="1"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  <c r="DD122" s="140"/>
      <c r="DE122" s="140"/>
      <c r="DF122" s="140"/>
      <c r="DG122" s="140"/>
      <c r="DH122" s="140"/>
      <c r="DI122" s="140"/>
      <c r="DJ122" s="140"/>
      <c r="DK122" s="140"/>
      <c r="DL122" s="140"/>
      <c r="DM122" s="140"/>
      <c r="DN122" s="140"/>
      <c r="DO122" s="140"/>
      <c r="DP122" s="140"/>
      <c r="DQ122" s="140"/>
      <c r="DR122" s="140"/>
      <c r="DS122" s="140"/>
      <c r="DT122" s="140"/>
      <c r="DU122" s="140"/>
      <c r="DV122" s="140"/>
      <c r="DW122" s="140"/>
      <c r="DX122" s="140"/>
      <c r="DY122" s="140"/>
      <c r="DZ122" s="140"/>
      <c r="EA122" s="140"/>
      <c r="EB122" s="140"/>
      <c r="EC122" s="140"/>
      <c r="ED122" s="140"/>
      <c r="EE122" s="140"/>
      <c r="EF122" s="140"/>
      <c r="EG122" s="140"/>
      <c r="EH122" s="140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40"/>
      <c r="ET122" s="140"/>
      <c r="EU122" s="140"/>
      <c r="EV122" s="140"/>
      <c r="EW122" s="140"/>
      <c r="EX122" s="140"/>
      <c r="EY122" s="140"/>
      <c r="EZ122" s="140"/>
      <c r="FA122" s="140"/>
      <c r="FB122" s="140"/>
      <c r="FC122" s="140"/>
      <c r="FD122" s="140"/>
      <c r="FE122" s="140"/>
      <c r="FF122" s="140"/>
      <c r="FG122" s="140"/>
      <c r="FH122" s="140"/>
      <c r="FI122" s="140"/>
      <c r="FJ122" s="140"/>
      <c r="FK122" s="140"/>
      <c r="FL122" s="140"/>
      <c r="FM122" s="140"/>
      <c r="FN122" s="140"/>
      <c r="FO122" s="140"/>
    </row>
    <row r="123" spans="72:171" s="139" customFormat="1"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  <c r="DK123" s="140"/>
      <c r="DL123" s="140"/>
      <c r="DM123" s="140"/>
      <c r="DN123" s="140"/>
      <c r="DO123" s="140"/>
      <c r="DP123" s="140"/>
      <c r="DQ123" s="140"/>
      <c r="DR123" s="140"/>
      <c r="DS123" s="140"/>
      <c r="DT123" s="140"/>
      <c r="DU123" s="140"/>
      <c r="DV123" s="140"/>
      <c r="DW123" s="140"/>
      <c r="DX123" s="140"/>
      <c r="DY123" s="140"/>
      <c r="DZ123" s="140"/>
      <c r="EA123" s="140"/>
      <c r="EB123" s="140"/>
      <c r="EC123" s="140"/>
      <c r="ED123" s="140"/>
      <c r="EE123" s="140"/>
      <c r="EF123" s="140"/>
      <c r="EG123" s="140"/>
      <c r="EH123" s="140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40"/>
      <c r="EV123" s="140"/>
      <c r="EW123" s="140"/>
      <c r="EX123" s="140"/>
      <c r="EY123" s="140"/>
      <c r="EZ123" s="140"/>
      <c r="FA123" s="140"/>
      <c r="FB123" s="140"/>
      <c r="FC123" s="140"/>
      <c r="FD123" s="140"/>
      <c r="FE123" s="140"/>
      <c r="FF123" s="140"/>
      <c r="FG123" s="140"/>
      <c r="FH123" s="140"/>
      <c r="FI123" s="140"/>
      <c r="FJ123" s="140"/>
      <c r="FK123" s="140"/>
      <c r="FL123" s="140"/>
      <c r="FM123" s="140"/>
      <c r="FN123" s="140"/>
      <c r="FO123" s="140"/>
    </row>
    <row r="124" spans="72:171" s="139" customFormat="1"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  <c r="DD124" s="140"/>
      <c r="DE124" s="140"/>
      <c r="DF124" s="140"/>
      <c r="DG124" s="140"/>
      <c r="DH124" s="140"/>
      <c r="DI124" s="140"/>
      <c r="DJ124" s="140"/>
      <c r="DK124" s="140"/>
      <c r="DL124" s="140"/>
      <c r="DM124" s="140"/>
      <c r="DN124" s="140"/>
      <c r="DO124" s="140"/>
      <c r="DP124" s="140"/>
      <c r="DQ124" s="140"/>
      <c r="DR124" s="140"/>
      <c r="DS124" s="140"/>
      <c r="DT124" s="140"/>
      <c r="DU124" s="140"/>
      <c r="DV124" s="140"/>
      <c r="DW124" s="140"/>
      <c r="DX124" s="140"/>
      <c r="DY124" s="140"/>
      <c r="DZ124" s="140"/>
      <c r="EA124" s="140"/>
      <c r="EB124" s="140"/>
      <c r="EC124" s="140"/>
      <c r="ED124" s="140"/>
      <c r="EE124" s="140"/>
      <c r="EF124" s="140"/>
      <c r="EG124" s="140"/>
      <c r="EH124" s="140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40"/>
      <c r="EV124" s="140"/>
      <c r="EW124" s="140"/>
      <c r="EX124" s="140"/>
      <c r="EY124" s="140"/>
      <c r="EZ124" s="140"/>
      <c r="FA124" s="140"/>
      <c r="FB124" s="140"/>
      <c r="FC124" s="140"/>
      <c r="FD124" s="140"/>
      <c r="FE124" s="140"/>
      <c r="FF124" s="140"/>
      <c r="FG124" s="140"/>
      <c r="FH124" s="140"/>
      <c r="FI124" s="140"/>
      <c r="FJ124" s="140"/>
      <c r="FK124" s="140"/>
      <c r="FL124" s="140"/>
      <c r="FM124" s="140"/>
      <c r="FN124" s="140"/>
      <c r="FO124" s="140"/>
    </row>
    <row r="125" spans="72:171" s="139" customFormat="1"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  <c r="DD125" s="140"/>
      <c r="DE125" s="140"/>
      <c r="DF125" s="140"/>
      <c r="DG125" s="140"/>
      <c r="DH125" s="140"/>
      <c r="DI125" s="140"/>
      <c r="DJ125" s="140"/>
      <c r="DK125" s="140"/>
      <c r="DL125" s="140"/>
      <c r="DM125" s="140"/>
      <c r="DN125" s="140"/>
      <c r="DO125" s="140"/>
      <c r="DP125" s="140"/>
      <c r="DQ125" s="140"/>
      <c r="DR125" s="140"/>
      <c r="DS125" s="140"/>
      <c r="DT125" s="140"/>
      <c r="DU125" s="140"/>
      <c r="DV125" s="140"/>
      <c r="DW125" s="140"/>
      <c r="DX125" s="140"/>
      <c r="DY125" s="140"/>
      <c r="DZ125" s="140"/>
      <c r="EA125" s="140"/>
      <c r="EB125" s="140"/>
      <c r="EC125" s="140"/>
      <c r="ED125" s="140"/>
      <c r="EE125" s="140"/>
      <c r="EF125" s="140"/>
      <c r="EG125" s="140"/>
      <c r="EH125" s="140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40"/>
      <c r="EV125" s="140"/>
      <c r="EW125" s="140"/>
      <c r="EX125" s="140"/>
      <c r="EY125" s="140"/>
      <c r="EZ125" s="140"/>
      <c r="FA125" s="140"/>
      <c r="FB125" s="140"/>
      <c r="FC125" s="140"/>
      <c r="FD125" s="140"/>
      <c r="FE125" s="140"/>
      <c r="FF125" s="140"/>
      <c r="FG125" s="140"/>
      <c r="FH125" s="140"/>
      <c r="FI125" s="140"/>
      <c r="FJ125" s="140"/>
      <c r="FK125" s="140"/>
      <c r="FL125" s="140"/>
      <c r="FM125" s="140"/>
      <c r="FN125" s="140"/>
      <c r="FO125" s="140"/>
    </row>
    <row r="126" spans="72:171" s="139" customFormat="1"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0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0"/>
      <c r="FB126" s="140"/>
      <c r="FC126" s="140"/>
      <c r="FD126" s="140"/>
      <c r="FE126" s="140"/>
      <c r="FF126" s="140"/>
      <c r="FG126" s="140"/>
      <c r="FH126" s="140"/>
      <c r="FI126" s="140"/>
      <c r="FJ126" s="140"/>
      <c r="FK126" s="140"/>
      <c r="FL126" s="140"/>
      <c r="FM126" s="140"/>
      <c r="FN126" s="140"/>
      <c r="FO126" s="140"/>
    </row>
    <row r="127" spans="72:171" s="139" customFormat="1"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  <c r="DD127" s="140"/>
      <c r="DE127" s="140"/>
      <c r="DF127" s="140"/>
      <c r="DG127" s="140"/>
      <c r="DH127" s="140"/>
      <c r="DI127" s="140"/>
      <c r="DJ127" s="140"/>
      <c r="DK127" s="140"/>
      <c r="DL127" s="140"/>
      <c r="DM127" s="140"/>
      <c r="DN127" s="140"/>
      <c r="DO127" s="140"/>
      <c r="DP127" s="140"/>
      <c r="DQ127" s="140"/>
      <c r="DR127" s="140"/>
      <c r="DS127" s="140"/>
      <c r="DT127" s="140"/>
      <c r="DU127" s="140"/>
      <c r="DV127" s="140"/>
      <c r="DW127" s="140"/>
      <c r="DX127" s="140"/>
      <c r="DY127" s="140"/>
      <c r="DZ127" s="140"/>
      <c r="EA127" s="140"/>
      <c r="EB127" s="140"/>
      <c r="EC127" s="140"/>
      <c r="ED127" s="140"/>
      <c r="EE127" s="140"/>
      <c r="EF127" s="140"/>
      <c r="EG127" s="140"/>
      <c r="EH127" s="140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40"/>
      <c r="EV127" s="140"/>
      <c r="EW127" s="140"/>
      <c r="EX127" s="140"/>
      <c r="EY127" s="140"/>
      <c r="EZ127" s="140"/>
      <c r="FA127" s="140"/>
      <c r="FB127" s="140"/>
      <c r="FC127" s="140"/>
      <c r="FD127" s="140"/>
      <c r="FE127" s="140"/>
      <c r="FF127" s="140"/>
      <c r="FG127" s="140"/>
      <c r="FH127" s="140"/>
      <c r="FI127" s="140"/>
      <c r="FJ127" s="140"/>
      <c r="FK127" s="140"/>
      <c r="FL127" s="140"/>
      <c r="FM127" s="140"/>
      <c r="FN127" s="140"/>
      <c r="FO127" s="140"/>
    </row>
    <row r="128" spans="72:171" s="139" customFormat="1"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  <c r="DD128" s="140"/>
      <c r="DE128" s="140"/>
      <c r="DF128" s="140"/>
      <c r="DG128" s="140"/>
      <c r="DH128" s="140"/>
      <c r="DI128" s="140"/>
      <c r="DJ128" s="140"/>
      <c r="DK128" s="140"/>
      <c r="DL128" s="140"/>
      <c r="DM128" s="140"/>
      <c r="DN128" s="140"/>
      <c r="DO128" s="140"/>
      <c r="DP128" s="140"/>
      <c r="DQ128" s="140"/>
      <c r="DR128" s="140"/>
      <c r="DS128" s="140"/>
      <c r="DT128" s="140"/>
      <c r="DU128" s="140"/>
      <c r="DV128" s="140"/>
      <c r="DW128" s="140"/>
      <c r="DX128" s="140"/>
      <c r="DY128" s="140"/>
      <c r="DZ128" s="140"/>
      <c r="EA128" s="140"/>
      <c r="EB128" s="140"/>
      <c r="EC128" s="140"/>
      <c r="ED128" s="140"/>
      <c r="EE128" s="140"/>
      <c r="EF128" s="140"/>
      <c r="EG128" s="140"/>
      <c r="EH128" s="140"/>
      <c r="EI128" s="140"/>
      <c r="EJ128" s="140"/>
      <c r="EK128" s="140"/>
      <c r="EL128" s="140"/>
      <c r="EM128" s="140"/>
      <c r="EN128" s="140"/>
      <c r="EO128" s="140"/>
      <c r="EP128" s="140"/>
      <c r="EQ128" s="140"/>
      <c r="ER128" s="140"/>
      <c r="ES128" s="140"/>
      <c r="ET128" s="140"/>
      <c r="EU128" s="140"/>
      <c r="EV128" s="140"/>
      <c r="EW128" s="140"/>
      <c r="EX128" s="140"/>
      <c r="EY128" s="140"/>
      <c r="EZ128" s="140"/>
      <c r="FA128" s="140"/>
      <c r="FB128" s="140"/>
      <c r="FC128" s="140"/>
      <c r="FD128" s="140"/>
      <c r="FE128" s="140"/>
      <c r="FF128" s="140"/>
      <c r="FG128" s="140"/>
      <c r="FH128" s="140"/>
      <c r="FI128" s="140"/>
      <c r="FJ128" s="140"/>
      <c r="FK128" s="140"/>
      <c r="FL128" s="140"/>
      <c r="FM128" s="140"/>
      <c r="FN128" s="140"/>
      <c r="FO128" s="140"/>
    </row>
    <row r="129" spans="72:171" s="139" customFormat="1"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  <c r="DD129" s="140"/>
      <c r="DE129" s="140"/>
      <c r="DF129" s="140"/>
      <c r="DG129" s="140"/>
      <c r="DH129" s="140"/>
      <c r="DI129" s="140"/>
      <c r="DJ129" s="140"/>
      <c r="DK129" s="140"/>
      <c r="DL129" s="140"/>
      <c r="DM129" s="140"/>
      <c r="DN129" s="140"/>
      <c r="DO129" s="140"/>
      <c r="DP129" s="140"/>
      <c r="DQ129" s="140"/>
      <c r="DR129" s="140"/>
      <c r="DS129" s="140"/>
      <c r="DT129" s="140"/>
      <c r="DU129" s="140"/>
      <c r="DV129" s="140"/>
      <c r="DW129" s="140"/>
      <c r="DX129" s="140"/>
      <c r="DY129" s="140"/>
      <c r="DZ129" s="140"/>
      <c r="EA129" s="140"/>
      <c r="EB129" s="140"/>
      <c r="EC129" s="140"/>
      <c r="ED129" s="140"/>
      <c r="EE129" s="140"/>
      <c r="EF129" s="140"/>
      <c r="EG129" s="140"/>
      <c r="EH129" s="140"/>
      <c r="EI129" s="140"/>
      <c r="EJ129" s="140"/>
      <c r="EK129" s="140"/>
      <c r="EL129" s="140"/>
      <c r="EM129" s="140"/>
      <c r="EN129" s="140"/>
      <c r="EO129" s="140"/>
      <c r="EP129" s="140"/>
      <c r="EQ129" s="140"/>
      <c r="ER129" s="140"/>
      <c r="ES129" s="140"/>
      <c r="ET129" s="140"/>
      <c r="EU129" s="140"/>
      <c r="EV129" s="140"/>
      <c r="EW129" s="140"/>
      <c r="EX129" s="140"/>
      <c r="EY129" s="140"/>
      <c r="EZ129" s="140"/>
      <c r="FA129" s="140"/>
      <c r="FB129" s="140"/>
      <c r="FC129" s="140"/>
      <c r="FD129" s="140"/>
      <c r="FE129" s="140"/>
      <c r="FF129" s="140"/>
      <c r="FG129" s="140"/>
      <c r="FH129" s="140"/>
      <c r="FI129" s="140"/>
      <c r="FJ129" s="140"/>
      <c r="FK129" s="140"/>
      <c r="FL129" s="140"/>
      <c r="FM129" s="140"/>
      <c r="FN129" s="140"/>
      <c r="FO129" s="140"/>
    </row>
    <row r="130" spans="72:171" s="139" customFormat="1"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  <c r="DD130" s="140"/>
      <c r="DE130" s="140"/>
      <c r="DF130" s="140"/>
      <c r="DG130" s="140"/>
      <c r="DH130" s="140"/>
      <c r="DI130" s="140"/>
      <c r="DJ130" s="140"/>
      <c r="DK130" s="140"/>
      <c r="DL130" s="140"/>
      <c r="DM130" s="140"/>
      <c r="DN130" s="140"/>
      <c r="DO130" s="140"/>
      <c r="DP130" s="140"/>
      <c r="DQ130" s="140"/>
      <c r="DR130" s="140"/>
      <c r="DS130" s="140"/>
      <c r="DT130" s="140"/>
      <c r="DU130" s="140"/>
      <c r="DV130" s="140"/>
      <c r="DW130" s="140"/>
      <c r="DX130" s="140"/>
      <c r="DY130" s="140"/>
      <c r="DZ130" s="140"/>
      <c r="EA130" s="140"/>
      <c r="EB130" s="140"/>
      <c r="EC130" s="140"/>
      <c r="ED130" s="140"/>
      <c r="EE130" s="140"/>
      <c r="EF130" s="140"/>
      <c r="EG130" s="140"/>
      <c r="EH130" s="140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40"/>
      <c r="EV130" s="140"/>
      <c r="EW130" s="140"/>
      <c r="EX130" s="140"/>
      <c r="EY130" s="140"/>
      <c r="EZ130" s="140"/>
      <c r="FA130" s="140"/>
      <c r="FB130" s="140"/>
      <c r="FC130" s="140"/>
      <c r="FD130" s="140"/>
      <c r="FE130" s="140"/>
      <c r="FF130" s="140"/>
      <c r="FG130" s="140"/>
      <c r="FH130" s="140"/>
      <c r="FI130" s="140"/>
      <c r="FJ130" s="140"/>
      <c r="FK130" s="140"/>
      <c r="FL130" s="140"/>
      <c r="FM130" s="140"/>
      <c r="FN130" s="140"/>
      <c r="FO130" s="140"/>
    </row>
    <row r="131" spans="72:171" s="139" customFormat="1"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  <c r="DD131" s="140"/>
      <c r="DE131" s="140"/>
      <c r="DF131" s="140"/>
      <c r="DG131" s="140"/>
      <c r="DH131" s="140"/>
      <c r="DI131" s="140"/>
      <c r="DJ131" s="140"/>
      <c r="DK131" s="140"/>
      <c r="DL131" s="140"/>
      <c r="DM131" s="140"/>
      <c r="DN131" s="140"/>
      <c r="DO131" s="140"/>
      <c r="DP131" s="140"/>
      <c r="DQ131" s="140"/>
      <c r="DR131" s="140"/>
      <c r="DS131" s="140"/>
      <c r="DT131" s="140"/>
      <c r="DU131" s="140"/>
      <c r="DV131" s="140"/>
      <c r="DW131" s="140"/>
      <c r="DX131" s="140"/>
      <c r="DY131" s="140"/>
      <c r="DZ131" s="140"/>
      <c r="EA131" s="140"/>
      <c r="EB131" s="140"/>
      <c r="EC131" s="140"/>
      <c r="ED131" s="140"/>
      <c r="EE131" s="140"/>
      <c r="EF131" s="140"/>
      <c r="EG131" s="140"/>
      <c r="EH131" s="140"/>
      <c r="EI131" s="140"/>
      <c r="EJ131" s="140"/>
      <c r="EK131" s="140"/>
      <c r="EL131" s="140"/>
      <c r="EM131" s="140"/>
      <c r="EN131" s="140"/>
      <c r="EO131" s="140"/>
      <c r="EP131" s="140"/>
      <c r="EQ131" s="140"/>
      <c r="ER131" s="140"/>
      <c r="ES131" s="140"/>
      <c r="ET131" s="140"/>
      <c r="EU131" s="140"/>
      <c r="EV131" s="140"/>
      <c r="EW131" s="140"/>
      <c r="EX131" s="140"/>
      <c r="EY131" s="140"/>
      <c r="EZ131" s="140"/>
      <c r="FA131" s="140"/>
      <c r="FB131" s="140"/>
      <c r="FC131" s="140"/>
      <c r="FD131" s="140"/>
      <c r="FE131" s="140"/>
      <c r="FF131" s="140"/>
      <c r="FG131" s="140"/>
      <c r="FH131" s="140"/>
      <c r="FI131" s="140"/>
      <c r="FJ131" s="140"/>
      <c r="FK131" s="140"/>
      <c r="FL131" s="140"/>
      <c r="FM131" s="140"/>
      <c r="FN131" s="140"/>
      <c r="FO131" s="140"/>
    </row>
    <row r="132" spans="72:171" s="139" customFormat="1"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  <c r="DD132" s="140"/>
      <c r="DE132" s="140"/>
      <c r="DF132" s="140"/>
      <c r="DG132" s="140"/>
      <c r="DH132" s="140"/>
      <c r="DI132" s="140"/>
      <c r="DJ132" s="140"/>
      <c r="DK132" s="140"/>
      <c r="DL132" s="140"/>
      <c r="DM132" s="140"/>
      <c r="DN132" s="140"/>
      <c r="DO132" s="140"/>
      <c r="DP132" s="140"/>
      <c r="DQ132" s="140"/>
      <c r="DR132" s="140"/>
      <c r="DS132" s="140"/>
      <c r="DT132" s="140"/>
      <c r="DU132" s="140"/>
      <c r="DV132" s="140"/>
      <c r="DW132" s="140"/>
      <c r="DX132" s="140"/>
      <c r="DY132" s="140"/>
      <c r="DZ132" s="140"/>
      <c r="EA132" s="140"/>
      <c r="EB132" s="140"/>
      <c r="EC132" s="140"/>
      <c r="ED132" s="140"/>
      <c r="EE132" s="140"/>
      <c r="EF132" s="140"/>
      <c r="EG132" s="140"/>
      <c r="EH132" s="140"/>
      <c r="EI132" s="140"/>
      <c r="EJ132" s="140"/>
      <c r="EK132" s="140"/>
      <c r="EL132" s="140"/>
      <c r="EM132" s="140"/>
      <c r="EN132" s="140"/>
      <c r="EO132" s="140"/>
      <c r="EP132" s="140"/>
      <c r="EQ132" s="140"/>
      <c r="ER132" s="140"/>
      <c r="ES132" s="140"/>
      <c r="ET132" s="140"/>
      <c r="EU132" s="140"/>
      <c r="EV132" s="140"/>
      <c r="EW132" s="140"/>
      <c r="EX132" s="140"/>
      <c r="EY132" s="140"/>
      <c r="EZ132" s="140"/>
      <c r="FA132" s="140"/>
      <c r="FB132" s="140"/>
      <c r="FC132" s="140"/>
      <c r="FD132" s="140"/>
      <c r="FE132" s="140"/>
      <c r="FF132" s="140"/>
      <c r="FG132" s="140"/>
      <c r="FH132" s="140"/>
      <c r="FI132" s="140"/>
      <c r="FJ132" s="140"/>
      <c r="FK132" s="140"/>
      <c r="FL132" s="140"/>
      <c r="FM132" s="140"/>
      <c r="FN132" s="140"/>
      <c r="FO132" s="140"/>
    </row>
    <row r="133" spans="72:171" s="139" customFormat="1"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  <c r="DD133" s="140"/>
      <c r="DE133" s="140"/>
      <c r="DF133" s="140"/>
      <c r="DG133" s="140"/>
      <c r="DH133" s="140"/>
      <c r="DI133" s="140"/>
      <c r="DJ133" s="140"/>
      <c r="DK133" s="140"/>
      <c r="DL133" s="140"/>
      <c r="DM133" s="140"/>
      <c r="DN133" s="140"/>
      <c r="DO133" s="140"/>
      <c r="DP133" s="140"/>
      <c r="DQ133" s="140"/>
      <c r="DR133" s="140"/>
      <c r="DS133" s="140"/>
      <c r="DT133" s="140"/>
      <c r="DU133" s="140"/>
      <c r="DV133" s="140"/>
      <c r="DW133" s="140"/>
      <c r="DX133" s="140"/>
      <c r="DY133" s="140"/>
      <c r="DZ133" s="140"/>
      <c r="EA133" s="140"/>
      <c r="EB133" s="140"/>
      <c r="EC133" s="140"/>
      <c r="ED133" s="140"/>
      <c r="EE133" s="140"/>
      <c r="EF133" s="140"/>
      <c r="EG133" s="140"/>
      <c r="EH133" s="140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40"/>
      <c r="EV133" s="140"/>
      <c r="EW133" s="140"/>
      <c r="EX133" s="140"/>
      <c r="EY133" s="140"/>
      <c r="EZ133" s="140"/>
      <c r="FA133" s="140"/>
      <c r="FB133" s="140"/>
      <c r="FC133" s="140"/>
      <c r="FD133" s="140"/>
      <c r="FE133" s="140"/>
      <c r="FF133" s="140"/>
      <c r="FG133" s="140"/>
      <c r="FH133" s="140"/>
      <c r="FI133" s="140"/>
      <c r="FJ133" s="140"/>
      <c r="FK133" s="140"/>
      <c r="FL133" s="140"/>
      <c r="FM133" s="140"/>
      <c r="FN133" s="140"/>
      <c r="FO133" s="140"/>
    </row>
    <row r="134" spans="72:171" s="139" customFormat="1"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  <c r="CW134" s="140"/>
      <c r="CX134" s="140"/>
      <c r="CY134" s="140"/>
      <c r="CZ134" s="140"/>
      <c r="DA134" s="140"/>
      <c r="DB134" s="140"/>
      <c r="DC134" s="140"/>
      <c r="DD134" s="140"/>
      <c r="DE134" s="140"/>
      <c r="DF134" s="140"/>
      <c r="DG134" s="140"/>
      <c r="DH134" s="140"/>
      <c r="DI134" s="140"/>
      <c r="DJ134" s="140"/>
      <c r="DK134" s="140"/>
      <c r="DL134" s="140"/>
      <c r="DM134" s="140"/>
      <c r="DN134" s="140"/>
      <c r="DO134" s="140"/>
      <c r="DP134" s="140"/>
      <c r="DQ134" s="140"/>
      <c r="DR134" s="140"/>
      <c r="DS134" s="140"/>
      <c r="DT134" s="140"/>
      <c r="DU134" s="140"/>
      <c r="DV134" s="140"/>
      <c r="DW134" s="140"/>
      <c r="DX134" s="140"/>
      <c r="DY134" s="140"/>
      <c r="DZ134" s="140"/>
      <c r="EA134" s="140"/>
      <c r="EB134" s="140"/>
      <c r="EC134" s="140"/>
      <c r="ED134" s="140"/>
      <c r="EE134" s="140"/>
      <c r="EF134" s="140"/>
      <c r="EG134" s="140"/>
      <c r="EH134" s="140"/>
      <c r="EI134" s="140"/>
      <c r="EJ134" s="140"/>
      <c r="EK134" s="140"/>
      <c r="EL134" s="140"/>
      <c r="EM134" s="140"/>
      <c r="EN134" s="140"/>
      <c r="EO134" s="140"/>
      <c r="EP134" s="140"/>
      <c r="EQ134" s="140"/>
      <c r="ER134" s="140"/>
      <c r="ES134" s="140"/>
      <c r="ET134" s="140"/>
      <c r="EU134" s="140"/>
      <c r="EV134" s="140"/>
      <c r="EW134" s="140"/>
      <c r="EX134" s="140"/>
      <c r="EY134" s="140"/>
      <c r="EZ134" s="140"/>
      <c r="FA134" s="140"/>
      <c r="FB134" s="140"/>
      <c r="FC134" s="140"/>
      <c r="FD134" s="140"/>
      <c r="FE134" s="140"/>
      <c r="FF134" s="140"/>
      <c r="FG134" s="140"/>
      <c r="FH134" s="140"/>
      <c r="FI134" s="140"/>
      <c r="FJ134" s="140"/>
      <c r="FK134" s="140"/>
      <c r="FL134" s="140"/>
      <c r="FM134" s="140"/>
      <c r="FN134" s="140"/>
      <c r="FO134" s="140"/>
    </row>
    <row r="135" spans="72:171" s="139" customFormat="1"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140"/>
      <c r="CX135" s="140"/>
      <c r="CY135" s="140"/>
      <c r="CZ135" s="140"/>
      <c r="DA135" s="140"/>
      <c r="DB135" s="140"/>
      <c r="DC135" s="140"/>
      <c r="DD135" s="140"/>
      <c r="DE135" s="140"/>
      <c r="DF135" s="140"/>
      <c r="DG135" s="140"/>
      <c r="DH135" s="140"/>
      <c r="DI135" s="140"/>
      <c r="DJ135" s="140"/>
      <c r="DK135" s="140"/>
      <c r="DL135" s="140"/>
      <c r="DM135" s="140"/>
      <c r="DN135" s="140"/>
      <c r="DO135" s="140"/>
      <c r="DP135" s="140"/>
      <c r="DQ135" s="140"/>
      <c r="DR135" s="140"/>
      <c r="DS135" s="140"/>
      <c r="DT135" s="140"/>
      <c r="DU135" s="140"/>
      <c r="DV135" s="140"/>
      <c r="DW135" s="140"/>
      <c r="DX135" s="140"/>
      <c r="DY135" s="140"/>
      <c r="DZ135" s="140"/>
      <c r="EA135" s="140"/>
      <c r="EB135" s="140"/>
      <c r="EC135" s="140"/>
      <c r="ED135" s="140"/>
      <c r="EE135" s="140"/>
      <c r="EF135" s="140"/>
      <c r="EG135" s="140"/>
      <c r="EH135" s="140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140"/>
      <c r="ES135" s="140"/>
      <c r="ET135" s="140"/>
      <c r="EU135" s="140"/>
      <c r="EV135" s="140"/>
      <c r="EW135" s="140"/>
      <c r="EX135" s="140"/>
      <c r="EY135" s="140"/>
      <c r="EZ135" s="140"/>
      <c r="FA135" s="140"/>
      <c r="FB135" s="140"/>
      <c r="FC135" s="140"/>
      <c r="FD135" s="140"/>
      <c r="FE135" s="140"/>
      <c r="FF135" s="140"/>
      <c r="FG135" s="140"/>
      <c r="FH135" s="140"/>
      <c r="FI135" s="140"/>
      <c r="FJ135" s="140"/>
      <c r="FK135" s="140"/>
      <c r="FL135" s="140"/>
      <c r="FM135" s="140"/>
      <c r="FN135" s="140"/>
      <c r="FO135" s="140"/>
    </row>
    <row r="136" spans="72:171" s="139" customFormat="1"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14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140"/>
      <c r="CX136" s="140"/>
      <c r="CY136" s="140"/>
      <c r="CZ136" s="140"/>
      <c r="DA136" s="140"/>
      <c r="DB136" s="140"/>
      <c r="DC136" s="140"/>
      <c r="DD136" s="140"/>
      <c r="DE136" s="140"/>
      <c r="DF136" s="140"/>
      <c r="DG136" s="140"/>
      <c r="DH136" s="140"/>
      <c r="DI136" s="140"/>
      <c r="DJ136" s="140"/>
      <c r="DK136" s="140"/>
      <c r="DL136" s="140"/>
      <c r="DM136" s="140"/>
      <c r="DN136" s="140"/>
      <c r="DO136" s="140"/>
      <c r="DP136" s="140"/>
      <c r="DQ136" s="140"/>
      <c r="DR136" s="140"/>
      <c r="DS136" s="140"/>
      <c r="DT136" s="140"/>
      <c r="DU136" s="140"/>
      <c r="DV136" s="140"/>
      <c r="DW136" s="140"/>
      <c r="DX136" s="140"/>
      <c r="DY136" s="140"/>
      <c r="DZ136" s="140"/>
      <c r="EA136" s="140"/>
      <c r="EB136" s="140"/>
      <c r="EC136" s="140"/>
      <c r="ED136" s="140"/>
      <c r="EE136" s="140"/>
      <c r="EF136" s="140"/>
      <c r="EG136" s="140"/>
      <c r="EH136" s="140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140"/>
      <c r="ES136" s="140"/>
      <c r="ET136" s="140"/>
      <c r="EU136" s="140"/>
      <c r="EV136" s="140"/>
      <c r="EW136" s="140"/>
      <c r="EX136" s="140"/>
      <c r="EY136" s="140"/>
      <c r="EZ136" s="140"/>
      <c r="FA136" s="140"/>
      <c r="FB136" s="140"/>
      <c r="FC136" s="140"/>
      <c r="FD136" s="140"/>
      <c r="FE136" s="140"/>
      <c r="FF136" s="140"/>
      <c r="FG136" s="140"/>
      <c r="FH136" s="140"/>
      <c r="FI136" s="140"/>
      <c r="FJ136" s="140"/>
      <c r="FK136" s="140"/>
      <c r="FL136" s="140"/>
      <c r="FM136" s="140"/>
      <c r="FN136" s="140"/>
      <c r="FO136" s="140"/>
    </row>
    <row r="137" spans="72:171" s="139" customFormat="1"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  <c r="CR137" s="140"/>
      <c r="CS137" s="140"/>
      <c r="CT137" s="140"/>
      <c r="CU137" s="140"/>
      <c r="CV137" s="140"/>
      <c r="CW137" s="140"/>
      <c r="CX137" s="140"/>
      <c r="CY137" s="140"/>
      <c r="CZ137" s="140"/>
      <c r="DA137" s="140"/>
      <c r="DB137" s="140"/>
      <c r="DC137" s="140"/>
      <c r="DD137" s="140"/>
      <c r="DE137" s="140"/>
      <c r="DF137" s="140"/>
      <c r="DG137" s="140"/>
      <c r="DH137" s="140"/>
      <c r="DI137" s="140"/>
      <c r="DJ137" s="140"/>
      <c r="DK137" s="140"/>
      <c r="DL137" s="140"/>
      <c r="DM137" s="140"/>
      <c r="DN137" s="140"/>
      <c r="DO137" s="140"/>
      <c r="DP137" s="140"/>
      <c r="DQ137" s="140"/>
      <c r="DR137" s="140"/>
      <c r="DS137" s="140"/>
      <c r="DT137" s="140"/>
      <c r="DU137" s="140"/>
      <c r="DV137" s="140"/>
      <c r="DW137" s="140"/>
      <c r="DX137" s="140"/>
      <c r="DY137" s="140"/>
      <c r="DZ137" s="140"/>
      <c r="EA137" s="140"/>
      <c r="EB137" s="140"/>
      <c r="EC137" s="140"/>
      <c r="ED137" s="140"/>
      <c r="EE137" s="140"/>
      <c r="EF137" s="140"/>
      <c r="EG137" s="140"/>
      <c r="EH137" s="140"/>
      <c r="EI137" s="140"/>
      <c r="EJ137" s="140"/>
      <c r="EK137" s="140"/>
      <c r="EL137" s="140"/>
      <c r="EM137" s="140"/>
      <c r="EN137" s="140"/>
      <c r="EO137" s="140"/>
      <c r="EP137" s="140"/>
      <c r="EQ137" s="140"/>
      <c r="ER137" s="140"/>
      <c r="ES137" s="140"/>
      <c r="ET137" s="140"/>
      <c r="EU137" s="140"/>
      <c r="EV137" s="140"/>
      <c r="EW137" s="140"/>
      <c r="EX137" s="140"/>
      <c r="EY137" s="140"/>
      <c r="EZ137" s="140"/>
      <c r="FA137" s="140"/>
      <c r="FB137" s="140"/>
      <c r="FC137" s="140"/>
      <c r="FD137" s="140"/>
      <c r="FE137" s="140"/>
      <c r="FF137" s="140"/>
      <c r="FG137" s="140"/>
      <c r="FH137" s="140"/>
      <c r="FI137" s="140"/>
      <c r="FJ137" s="140"/>
      <c r="FK137" s="140"/>
      <c r="FL137" s="140"/>
      <c r="FM137" s="140"/>
      <c r="FN137" s="140"/>
      <c r="FO137" s="140"/>
    </row>
    <row r="138" spans="72:171" s="139" customFormat="1"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0"/>
      <c r="CT138" s="140"/>
      <c r="CU138" s="140"/>
      <c r="CV138" s="140"/>
      <c r="CW138" s="140"/>
      <c r="CX138" s="140"/>
      <c r="CY138" s="140"/>
      <c r="CZ138" s="140"/>
      <c r="DA138" s="140"/>
      <c r="DB138" s="140"/>
      <c r="DC138" s="140"/>
      <c r="DD138" s="140"/>
      <c r="DE138" s="140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40"/>
      <c r="DW138" s="140"/>
      <c r="DX138" s="140"/>
      <c r="DY138" s="140"/>
      <c r="DZ138" s="140"/>
      <c r="EA138" s="140"/>
      <c r="EB138" s="140"/>
      <c r="EC138" s="140"/>
      <c r="ED138" s="140"/>
      <c r="EE138" s="140"/>
      <c r="EF138" s="140"/>
      <c r="EG138" s="140"/>
      <c r="EH138" s="140"/>
      <c r="EI138" s="140"/>
      <c r="EJ138" s="140"/>
      <c r="EK138" s="140"/>
      <c r="EL138" s="140"/>
      <c r="EM138" s="140"/>
      <c r="EN138" s="140"/>
      <c r="EO138" s="140"/>
      <c r="EP138" s="140"/>
      <c r="EQ138" s="140"/>
      <c r="ER138" s="140"/>
      <c r="ES138" s="140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40"/>
      <c r="FK138" s="140"/>
      <c r="FL138" s="140"/>
      <c r="FM138" s="140"/>
      <c r="FN138" s="140"/>
      <c r="FO138" s="140"/>
    </row>
    <row r="139" spans="72:171" s="139" customFormat="1"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140"/>
      <c r="CX139" s="140"/>
      <c r="CY139" s="140"/>
      <c r="CZ139" s="140"/>
      <c r="DA139" s="140"/>
      <c r="DB139" s="140"/>
      <c r="DC139" s="140"/>
      <c r="DD139" s="140"/>
      <c r="DE139" s="140"/>
      <c r="DF139" s="140"/>
      <c r="DG139" s="140"/>
      <c r="DH139" s="140"/>
      <c r="DI139" s="140"/>
      <c r="DJ139" s="140"/>
      <c r="DK139" s="140"/>
      <c r="DL139" s="140"/>
      <c r="DM139" s="140"/>
      <c r="DN139" s="140"/>
      <c r="DO139" s="140"/>
      <c r="DP139" s="140"/>
      <c r="DQ139" s="140"/>
      <c r="DR139" s="140"/>
      <c r="DS139" s="140"/>
      <c r="DT139" s="140"/>
      <c r="DU139" s="140"/>
      <c r="DV139" s="140"/>
      <c r="DW139" s="140"/>
      <c r="DX139" s="140"/>
      <c r="DY139" s="140"/>
      <c r="DZ139" s="140"/>
      <c r="EA139" s="140"/>
      <c r="EB139" s="140"/>
      <c r="EC139" s="140"/>
      <c r="ED139" s="140"/>
      <c r="EE139" s="140"/>
      <c r="EF139" s="140"/>
      <c r="EG139" s="140"/>
      <c r="EH139" s="140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0"/>
      <c r="FB139" s="140"/>
      <c r="FC139" s="140"/>
      <c r="FD139" s="140"/>
      <c r="FE139" s="140"/>
      <c r="FF139" s="140"/>
      <c r="FG139" s="140"/>
      <c r="FH139" s="140"/>
      <c r="FI139" s="140"/>
      <c r="FJ139" s="140"/>
      <c r="FK139" s="140"/>
      <c r="FL139" s="140"/>
      <c r="FM139" s="140"/>
      <c r="FN139" s="140"/>
      <c r="FO139" s="140"/>
    </row>
    <row r="140" spans="72:171" s="139" customFormat="1"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  <c r="CR140" s="140"/>
      <c r="CS140" s="140"/>
      <c r="CT140" s="140"/>
      <c r="CU140" s="140"/>
      <c r="CV140" s="140"/>
      <c r="CW140" s="140"/>
      <c r="CX140" s="140"/>
      <c r="CY140" s="140"/>
      <c r="CZ140" s="140"/>
      <c r="DA140" s="140"/>
      <c r="DB140" s="140"/>
      <c r="DC140" s="140"/>
      <c r="DD140" s="140"/>
      <c r="DE140" s="140"/>
      <c r="DF140" s="140"/>
      <c r="DG140" s="140"/>
      <c r="DH140" s="140"/>
      <c r="DI140" s="140"/>
      <c r="DJ140" s="140"/>
      <c r="DK140" s="140"/>
      <c r="DL140" s="140"/>
      <c r="DM140" s="140"/>
      <c r="DN140" s="140"/>
      <c r="DO140" s="140"/>
      <c r="DP140" s="140"/>
      <c r="DQ140" s="140"/>
      <c r="DR140" s="140"/>
      <c r="DS140" s="140"/>
      <c r="DT140" s="140"/>
      <c r="DU140" s="140"/>
      <c r="DV140" s="140"/>
      <c r="DW140" s="140"/>
      <c r="DX140" s="140"/>
      <c r="DY140" s="140"/>
      <c r="DZ140" s="140"/>
      <c r="EA140" s="140"/>
      <c r="EB140" s="140"/>
      <c r="EC140" s="140"/>
      <c r="ED140" s="140"/>
      <c r="EE140" s="140"/>
      <c r="EF140" s="140"/>
      <c r="EG140" s="140"/>
      <c r="EH140" s="140"/>
      <c r="EI140" s="140"/>
      <c r="EJ140" s="140"/>
      <c r="EK140" s="140"/>
      <c r="EL140" s="140"/>
      <c r="EM140" s="140"/>
      <c r="EN140" s="140"/>
      <c r="EO140" s="140"/>
      <c r="EP140" s="140"/>
      <c r="EQ140" s="140"/>
      <c r="ER140" s="140"/>
      <c r="ES140" s="140"/>
      <c r="ET140" s="140"/>
      <c r="EU140" s="140"/>
      <c r="EV140" s="140"/>
      <c r="EW140" s="140"/>
      <c r="EX140" s="140"/>
      <c r="EY140" s="140"/>
      <c r="EZ140" s="140"/>
      <c r="FA140" s="140"/>
      <c r="FB140" s="140"/>
      <c r="FC140" s="140"/>
      <c r="FD140" s="140"/>
      <c r="FE140" s="140"/>
      <c r="FF140" s="140"/>
      <c r="FG140" s="140"/>
      <c r="FH140" s="140"/>
      <c r="FI140" s="140"/>
      <c r="FJ140" s="140"/>
      <c r="FK140" s="140"/>
      <c r="FL140" s="140"/>
      <c r="FM140" s="140"/>
      <c r="FN140" s="140"/>
      <c r="FO140" s="140"/>
    </row>
    <row r="141" spans="72:171" s="139" customFormat="1"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0"/>
      <c r="CT141" s="140"/>
      <c r="CU141" s="140"/>
      <c r="CV141" s="140"/>
      <c r="CW141" s="140"/>
      <c r="CX141" s="140"/>
      <c r="CY141" s="140"/>
      <c r="CZ141" s="140"/>
      <c r="DA141" s="140"/>
      <c r="DB141" s="140"/>
      <c r="DC141" s="140"/>
      <c r="DD141" s="140"/>
      <c r="DE141" s="140"/>
      <c r="DF141" s="140"/>
      <c r="DG141" s="140"/>
      <c r="DH141" s="140"/>
      <c r="DI141" s="140"/>
      <c r="DJ141" s="140"/>
      <c r="DK141" s="140"/>
      <c r="DL141" s="140"/>
      <c r="DM141" s="140"/>
      <c r="DN141" s="140"/>
      <c r="DO141" s="140"/>
      <c r="DP141" s="140"/>
      <c r="DQ141" s="140"/>
      <c r="DR141" s="140"/>
      <c r="DS141" s="140"/>
      <c r="DT141" s="140"/>
      <c r="DU141" s="140"/>
      <c r="DV141" s="140"/>
      <c r="DW141" s="140"/>
      <c r="DX141" s="140"/>
      <c r="DY141" s="140"/>
      <c r="DZ141" s="140"/>
      <c r="EA141" s="140"/>
      <c r="EB141" s="140"/>
      <c r="EC141" s="140"/>
      <c r="ED141" s="140"/>
      <c r="EE141" s="140"/>
      <c r="EF141" s="140"/>
      <c r="EG141" s="140"/>
      <c r="EH141" s="140"/>
      <c r="EI141" s="140"/>
      <c r="EJ141" s="140"/>
      <c r="EK141" s="140"/>
      <c r="EL141" s="140"/>
      <c r="EM141" s="140"/>
      <c r="EN141" s="140"/>
      <c r="EO141" s="140"/>
      <c r="EP141" s="140"/>
      <c r="EQ141" s="140"/>
      <c r="ER141" s="140"/>
      <c r="ES141" s="140"/>
      <c r="ET141" s="140"/>
      <c r="EU141" s="140"/>
      <c r="EV141" s="140"/>
      <c r="EW141" s="140"/>
      <c r="EX141" s="140"/>
      <c r="EY141" s="140"/>
      <c r="EZ141" s="140"/>
      <c r="FA141" s="140"/>
      <c r="FB141" s="140"/>
      <c r="FC141" s="140"/>
      <c r="FD141" s="140"/>
      <c r="FE141" s="140"/>
      <c r="FF141" s="140"/>
      <c r="FG141" s="140"/>
      <c r="FH141" s="140"/>
      <c r="FI141" s="140"/>
      <c r="FJ141" s="140"/>
      <c r="FK141" s="140"/>
      <c r="FL141" s="140"/>
      <c r="FM141" s="140"/>
      <c r="FN141" s="140"/>
      <c r="FO141" s="140"/>
    </row>
    <row r="142" spans="72:171" s="139" customFormat="1"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  <c r="CR142" s="140"/>
      <c r="CS142" s="140"/>
      <c r="CT142" s="140"/>
      <c r="CU142" s="140"/>
      <c r="CV142" s="140"/>
      <c r="CW142" s="140"/>
      <c r="CX142" s="140"/>
      <c r="CY142" s="140"/>
      <c r="CZ142" s="140"/>
      <c r="DA142" s="140"/>
      <c r="DB142" s="140"/>
      <c r="DC142" s="140"/>
      <c r="DD142" s="140"/>
      <c r="DE142" s="140"/>
      <c r="DF142" s="140"/>
      <c r="DG142" s="140"/>
      <c r="DH142" s="140"/>
      <c r="DI142" s="140"/>
      <c r="DJ142" s="140"/>
      <c r="DK142" s="140"/>
      <c r="DL142" s="140"/>
      <c r="DM142" s="140"/>
      <c r="DN142" s="140"/>
      <c r="DO142" s="140"/>
      <c r="DP142" s="140"/>
      <c r="DQ142" s="140"/>
      <c r="DR142" s="140"/>
      <c r="DS142" s="140"/>
      <c r="DT142" s="140"/>
      <c r="DU142" s="140"/>
      <c r="DV142" s="140"/>
      <c r="DW142" s="140"/>
      <c r="DX142" s="140"/>
      <c r="DY142" s="140"/>
      <c r="DZ142" s="140"/>
      <c r="EA142" s="140"/>
      <c r="EB142" s="140"/>
      <c r="EC142" s="140"/>
      <c r="ED142" s="140"/>
      <c r="EE142" s="140"/>
      <c r="EF142" s="140"/>
      <c r="EG142" s="140"/>
      <c r="EH142" s="140"/>
      <c r="EI142" s="140"/>
      <c r="EJ142" s="140"/>
      <c r="EK142" s="140"/>
      <c r="EL142" s="140"/>
      <c r="EM142" s="140"/>
      <c r="EN142" s="140"/>
      <c r="EO142" s="140"/>
      <c r="EP142" s="140"/>
      <c r="EQ142" s="140"/>
      <c r="ER142" s="140"/>
      <c r="ES142" s="140"/>
      <c r="ET142" s="140"/>
      <c r="EU142" s="140"/>
      <c r="EV142" s="140"/>
      <c r="EW142" s="140"/>
      <c r="EX142" s="140"/>
      <c r="EY142" s="140"/>
      <c r="EZ142" s="140"/>
      <c r="FA142" s="140"/>
      <c r="FB142" s="140"/>
      <c r="FC142" s="140"/>
      <c r="FD142" s="140"/>
      <c r="FE142" s="140"/>
      <c r="FF142" s="140"/>
      <c r="FG142" s="140"/>
      <c r="FH142" s="140"/>
      <c r="FI142" s="140"/>
      <c r="FJ142" s="140"/>
      <c r="FK142" s="140"/>
      <c r="FL142" s="140"/>
      <c r="FM142" s="140"/>
      <c r="FN142" s="140"/>
      <c r="FO142" s="140"/>
    </row>
    <row r="143" spans="72:171" s="139" customFormat="1">
      <c r="BT143" s="140"/>
      <c r="BU143" s="140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0"/>
      <c r="CP143" s="140"/>
      <c r="CQ143" s="140"/>
      <c r="CR143" s="140"/>
      <c r="CS143" s="140"/>
      <c r="CT143" s="140"/>
      <c r="CU143" s="140"/>
      <c r="CV143" s="140"/>
      <c r="CW143" s="140"/>
      <c r="CX143" s="140"/>
      <c r="CY143" s="140"/>
      <c r="CZ143" s="140"/>
      <c r="DA143" s="140"/>
      <c r="DB143" s="140"/>
      <c r="DC143" s="140"/>
      <c r="DD143" s="140"/>
      <c r="DE143" s="140"/>
      <c r="DF143" s="140"/>
      <c r="DG143" s="140"/>
      <c r="DH143" s="140"/>
      <c r="DI143" s="140"/>
      <c r="DJ143" s="140"/>
      <c r="DK143" s="140"/>
      <c r="DL143" s="140"/>
      <c r="DM143" s="140"/>
      <c r="DN143" s="140"/>
      <c r="DO143" s="140"/>
      <c r="DP143" s="140"/>
      <c r="DQ143" s="140"/>
      <c r="DR143" s="140"/>
      <c r="DS143" s="140"/>
      <c r="DT143" s="140"/>
      <c r="DU143" s="140"/>
      <c r="DV143" s="140"/>
      <c r="DW143" s="140"/>
      <c r="DX143" s="140"/>
      <c r="DY143" s="140"/>
      <c r="DZ143" s="140"/>
      <c r="EA143" s="140"/>
      <c r="EB143" s="140"/>
      <c r="EC143" s="140"/>
      <c r="ED143" s="140"/>
      <c r="EE143" s="140"/>
      <c r="EF143" s="140"/>
      <c r="EG143" s="140"/>
      <c r="EH143" s="140"/>
      <c r="EI143" s="140"/>
      <c r="EJ143" s="140"/>
      <c r="EK143" s="140"/>
      <c r="EL143" s="140"/>
      <c r="EM143" s="140"/>
      <c r="EN143" s="140"/>
      <c r="EO143" s="140"/>
      <c r="EP143" s="140"/>
      <c r="EQ143" s="140"/>
      <c r="ER143" s="140"/>
      <c r="ES143" s="140"/>
      <c r="ET143" s="140"/>
      <c r="EU143" s="140"/>
      <c r="EV143" s="140"/>
      <c r="EW143" s="140"/>
      <c r="EX143" s="140"/>
      <c r="EY143" s="140"/>
      <c r="EZ143" s="140"/>
      <c r="FA143" s="140"/>
      <c r="FB143" s="140"/>
      <c r="FC143" s="140"/>
      <c r="FD143" s="140"/>
      <c r="FE143" s="140"/>
      <c r="FF143" s="140"/>
      <c r="FG143" s="140"/>
      <c r="FH143" s="140"/>
      <c r="FI143" s="140"/>
      <c r="FJ143" s="140"/>
      <c r="FK143" s="140"/>
      <c r="FL143" s="140"/>
      <c r="FM143" s="140"/>
      <c r="FN143" s="140"/>
      <c r="FO143" s="140"/>
    </row>
    <row r="144" spans="72:171" s="139" customFormat="1"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0"/>
      <c r="CT144" s="140"/>
      <c r="CU144" s="140"/>
      <c r="CV144" s="140"/>
      <c r="CW144" s="140"/>
      <c r="CX144" s="140"/>
      <c r="CY144" s="140"/>
      <c r="CZ144" s="140"/>
      <c r="DA144" s="140"/>
      <c r="DB144" s="140"/>
      <c r="DC144" s="140"/>
      <c r="DD144" s="140"/>
      <c r="DE144" s="140"/>
      <c r="DF144" s="140"/>
      <c r="DG144" s="140"/>
      <c r="DH144" s="140"/>
      <c r="DI144" s="140"/>
      <c r="DJ144" s="140"/>
      <c r="DK144" s="140"/>
      <c r="DL144" s="140"/>
      <c r="DM144" s="140"/>
      <c r="DN144" s="140"/>
      <c r="DO144" s="140"/>
      <c r="DP144" s="140"/>
      <c r="DQ144" s="140"/>
      <c r="DR144" s="140"/>
      <c r="DS144" s="140"/>
      <c r="DT144" s="140"/>
      <c r="DU144" s="140"/>
      <c r="DV144" s="140"/>
      <c r="DW144" s="140"/>
      <c r="DX144" s="140"/>
      <c r="DY144" s="140"/>
      <c r="DZ144" s="140"/>
      <c r="EA144" s="140"/>
      <c r="EB144" s="140"/>
      <c r="EC144" s="140"/>
      <c r="ED144" s="140"/>
      <c r="EE144" s="140"/>
      <c r="EF144" s="140"/>
      <c r="EG144" s="140"/>
      <c r="EH144" s="140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0"/>
      <c r="FB144" s="140"/>
      <c r="FC144" s="140"/>
      <c r="FD144" s="140"/>
      <c r="FE144" s="140"/>
      <c r="FF144" s="140"/>
      <c r="FG144" s="140"/>
      <c r="FH144" s="140"/>
      <c r="FI144" s="140"/>
      <c r="FJ144" s="140"/>
      <c r="FK144" s="140"/>
      <c r="FL144" s="140"/>
      <c r="FM144" s="140"/>
      <c r="FN144" s="140"/>
      <c r="FO144" s="140"/>
    </row>
    <row r="145" spans="72:171" s="139" customFormat="1"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140"/>
      <c r="DC145" s="140"/>
      <c r="DD145" s="140"/>
      <c r="DE145" s="140"/>
      <c r="DF145" s="140"/>
      <c r="DG145" s="140"/>
      <c r="DH145" s="140"/>
      <c r="DI145" s="140"/>
      <c r="DJ145" s="140"/>
      <c r="DK145" s="140"/>
      <c r="DL145" s="140"/>
      <c r="DM145" s="140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14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  <c r="FF145" s="140"/>
      <c r="FG145" s="140"/>
      <c r="FH145" s="140"/>
      <c r="FI145" s="140"/>
      <c r="FJ145" s="140"/>
      <c r="FK145" s="140"/>
      <c r="FL145" s="140"/>
      <c r="FM145" s="140"/>
      <c r="FN145" s="140"/>
      <c r="FO145" s="140"/>
    </row>
    <row r="146" spans="72:171" s="139" customFormat="1"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0"/>
      <c r="CT146" s="140"/>
      <c r="CU146" s="140"/>
      <c r="CV146" s="140"/>
      <c r="CW146" s="140"/>
      <c r="CX146" s="140"/>
      <c r="CY146" s="140"/>
      <c r="CZ146" s="140"/>
      <c r="DA146" s="140"/>
      <c r="DB146" s="140"/>
      <c r="DC146" s="140"/>
      <c r="DD146" s="140"/>
      <c r="DE146" s="140"/>
      <c r="DF146" s="140"/>
      <c r="DG146" s="140"/>
      <c r="DH146" s="140"/>
      <c r="DI146" s="140"/>
      <c r="DJ146" s="140"/>
      <c r="DK146" s="140"/>
      <c r="DL146" s="140"/>
      <c r="DM146" s="140"/>
      <c r="DN146" s="140"/>
      <c r="DO146" s="140"/>
      <c r="DP146" s="140"/>
      <c r="DQ146" s="140"/>
      <c r="DR146" s="140"/>
      <c r="DS146" s="140"/>
      <c r="DT146" s="140"/>
      <c r="DU146" s="140"/>
      <c r="DV146" s="140"/>
      <c r="DW146" s="140"/>
      <c r="DX146" s="140"/>
      <c r="DY146" s="140"/>
      <c r="DZ146" s="140"/>
      <c r="EA146" s="140"/>
      <c r="EB146" s="140"/>
      <c r="EC146" s="140"/>
      <c r="ED146" s="140"/>
      <c r="EE146" s="140"/>
      <c r="EF146" s="140"/>
      <c r="EG146" s="140"/>
      <c r="EH146" s="140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0"/>
      <c r="FB146" s="140"/>
      <c r="FC146" s="140"/>
      <c r="FD146" s="140"/>
      <c r="FE146" s="140"/>
      <c r="FF146" s="140"/>
      <c r="FG146" s="140"/>
      <c r="FH146" s="140"/>
      <c r="FI146" s="140"/>
      <c r="FJ146" s="140"/>
      <c r="FK146" s="140"/>
      <c r="FL146" s="140"/>
      <c r="FM146" s="140"/>
      <c r="FN146" s="140"/>
      <c r="FO146" s="140"/>
    </row>
    <row r="147" spans="72:171" s="139" customFormat="1">
      <c r="BT147" s="140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  <c r="CR147" s="140"/>
      <c r="CS147" s="140"/>
      <c r="CT147" s="140"/>
      <c r="CU147" s="140"/>
      <c r="CV147" s="140"/>
      <c r="CW147" s="140"/>
      <c r="CX147" s="140"/>
      <c r="CY147" s="140"/>
      <c r="CZ147" s="140"/>
      <c r="DA147" s="140"/>
      <c r="DB147" s="140"/>
      <c r="DC147" s="140"/>
      <c r="DD147" s="140"/>
      <c r="DE147" s="140"/>
      <c r="DF147" s="140"/>
      <c r="DG147" s="140"/>
      <c r="DH147" s="140"/>
      <c r="DI147" s="140"/>
      <c r="DJ147" s="140"/>
      <c r="DK147" s="140"/>
      <c r="DL147" s="140"/>
      <c r="DM147" s="140"/>
      <c r="DN147" s="140"/>
      <c r="DO147" s="140"/>
      <c r="DP147" s="140"/>
      <c r="DQ147" s="140"/>
      <c r="DR147" s="140"/>
      <c r="DS147" s="140"/>
      <c r="DT147" s="140"/>
      <c r="DU147" s="140"/>
      <c r="DV147" s="140"/>
      <c r="DW147" s="140"/>
      <c r="DX147" s="140"/>
      <c r="DY147" s="140"/>
      <c r="DZ147" s="140"/>
      <c r="EA147" s="140"/>
      <c r="EB147" s="140"/>
      <c r="EC147" s="140"/>
      <c r="ED147" s="140"/>
      <c r="EE147" s="140"/>
      <c r="EF147" s="140"/>
      <c r="EG147" s="140"/>
      <c r="EH147" s="140"/>
      <c r="EI147" s="140"/>
      <c r="EJ147" s="140"/>
      <c r="EK147" s="140"/>
      <c r="EL147" s="140"/>
      <c r="EM147" s="140"/>
      <c r="EN147" s="140"/>
      <c r="EO147" s="140"/>
      <c r="EP147" s="140"/>
      <c r="EQ147" s="140"/>
      <c r="ER147" s="140"/>
      <c r="ES147" s="140"/>
      <c r="ET147" s="140"/>
      <c r="EU147" s="140"/>
      <c r="EV147" s="140"/>
      <c r="EW147" s="140"/>
      <c r="EX147" s="140"/>
      <c r="EY147" s="140"/>
      <c r="EZ147" s="140"/>
      <c r="FA147" s="140"/>
      <c r="FB147" s="140"/>
      <c r="FC147" s="140"/>
      <c r="FD147" s="140"/>
      <c r="FE147" s="140"/>
      <c r="FF147" s="140"/>
      <c r="FG147" s="140"/>
      <c r="FH147" s="140"/>
      <c r="FI147" s="140"/>
      <c r="FJ147" s="140"/>
      <c r="FK147" s="140"/>
      <c r="FL147" s="140"/>
      <c r="FM147" s="140"/>
      <c r="FN147" s="140"/>
      <c r="FO147" s="140"/>
    </row>
    <row r="148" spans="72:171" s="139" customFormat="1"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0"/>
      <c r="CT148" s="140"/>
      <c r="CU148" s="140"/>
      <c r="CV148" s="140"/>
      <c r="CW148" s="140"/>
      <c r="CX148" s="140"/>
      <c r="CY148" s="140"/>
      <c r="CZ148" s="140"/>
      <c r="DA148" s="140"/>
      <c r="DB148" s="140"/>
      <c r="DC148" s="140"/>
      <c r="DD148" s="140"/>
      <c r="DE148" s="140"/>
      <c r="DF148" s="140"/>
      <c r="DG148" s="140"/>
      <c r="DH148" s="140"/>
      <c r="DI148" s="140"/>
      <c r="DJ148" s="140"/>
      <c r="DK148" s="140"/>
      <c r="DL148" s="140"/>
      <c r="DM148" s="140"/>
      <c r="DN148" s="140"/>
      <c r="DO148" s="140"/>
      <c r="DP148" s="140"/>
      <c r="DQ148" s="140"/>
      <c r="DR148" s="140"/>
      <c r="DS148" s="140"/>
      <c r="DT148" s="140"/>
      <c r="DU148" s="140"/>
      <c r="DV148" s="140"/>
      <c r="DW148" s="140"/>
      <c r="DX148" s="140"/>
      <c r="DY148" s="140"/>
      <c r="DZ148" s="140"/>
      <c r="EA148" s="140"/>
      <c r="EB148" s="140"/>
      <c r="EC148" s="140"/>
      <c r="ED148" s="140"/>
      <c r="EE148" s="140"/>
      <c r="EF148" s="140"/>
      <c r="EG148" s="140"/>
      <c r="EH148" s="140"/>
      <c r="EI148" s="140"/>
      <c r="EJ148" s="140"/>
      <c r="EK148" s="140"/>
      <c r="EL148" s="140"/>
      <c r="EM148" s="140"/>
      <c r="EN148" s="140"/>
      <c r="EO148" s="140"/>
      <c r="EP148" s="140"/>
      <c r="EQ148" s="140"/>
      <c r="ER148" s="140"/>
      <c r="ES148" s="140"/>
      <c r="ET148" s="140"/>
      <c r="EU148" s="140"/>
      <c r="EV148" s="140"/>
      <c r="EW148" s="140"/>
      <c r="EX148" s="140"/>
      <c r="EY148" s="140"/>
      <c r="EZ148" s="140"/>
      <c r="FA148" s="140"/>
      <c r="FB148" s="140"/>
      <c r="FC148" s="140"/>
      <c r="FD148" s="140"/>
      <c r="FE148" s="140"/>
      <c r="FF148" s="140"/>
      <c r="FG148" s="140"/>
      <c r="FH148" s="140"/>
      <c r="FI148" s="140"/>
      <c r="FJ148" s="140"/>
      <c r="FK148" s="140"/>
      <c r="FL148" s="140"/>
      <c r="FM148" s="140"/>
      <c r="FN148" s="140"/>
      <c r="FO148" s="140"/>
    </row>
    <row r="149" spans="72:171" s="139" customFormat="1"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  <c r="CR149" s="140"/>
      <c r="CS149" s="140"/>
      <c r="CT149" s="140"/>
      <c r="CU149" s="140"/>
      <c r="CV149" s="140"/>
      <c r="CW149" s="140"/>
      <c r="CX149" s="140"/>
      <c r="CY149" s="140"/>
      <c r="CZ149" s="140"/>
      <c r="DA149" s="140"/>
      <c r="DB149" s="140"/>
      <c r="DC149" s="140"/>
      <c r="DD149" s="140"/>
      <c r="DE149" s="140"/>
      <c r="DF149" s="140"/>
      <c r="DG149" s="140"/>
      <c r="DH149" s="140"/>
      <c r="DI149" s="140"/>
      <c r="DJ149" s="140"/>
      <c r="DK149" s="140"/>
      <c r="DL149" s="140"/>
      <c r="DM149" s="140"/>
      <c r="DN149" s="140"/>
      <c r="DO149" s="140"/>
      <c r="DP149" s="140"/>
      <c r="DQ149" s="140"/>
      <c r="DR149" s="140"/>
      <c r="DS149" s="140"/>
      <c r="DT149" s="140"/>
      <c r="DU149" s="140"/>
      <c r="DV149" s="140"/>
      <c r="DW149" s="140"/>
      <c r="DX149" s="140"/>
      <c r="DY149" s="140"/>
      <c r="DZ149" s="140"/>
      <c r="EA149" s="140"/>
      <c r="EB149" s="140"/>
      <c r="EC149" s="140"/>
      <c r="ED149" s="140"/>
      <c r="EE149" s="140"/>
      <c r="EF149" s="140"/>
      <c r="EG149" s="140"/>
      <c r="EH149" s="140"/>
      <c r="EI149" s="140"/>
      <c r="EJ149" s="140"/>
      <c r="EK149" s="140"/>
      <c r="EL149" s="140"/>
      <c r="EM149" s="140"/>
      <c r="EN149" s="140"/>
      <c r="EO149" s="140"/>
      <c r="EP149" s="140"/>
      <c r="EQ149" s="140"/>
      <c r="ER149" s="140"/>
      <c r="ES149" s="140"/>
      <c r="ET149" s="140"/>
      <c r="EU149" s="140"/>
      <c r="EV149" s="140"/>
      <c r="EW149" s="140"/>
      <c r="EX149" s="140"/>
      <c r="EY149" s="140"/>
      <c r="EZ149" s="140"/>
      <c r="FA149" s="140"/>
      <c r="FB149" s="140"/>
      <c r="FC149" s="140"/>
      <c r="FD149" s="140"/>
      <c r="FE149" s="140"/>
      <c r="FF149" s="140"/>
      <c r="FG149" s="140"/>
      <c r="FH149" s="140"/>
      <c r="FI149" s="140"/>
      <c r="FJ149" s="140"/>
      <c r="FK149" s="140"/>
      <c r="FL149" s="140"/>
      <c r="FM149" s="140"/>
      <c r="FN149" s="140"/>
      <c r="FO149" s="140"/>
    </row>
    <row r="150" spans="72:171" s="139" customFormat="1"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0"/>
      <c r="DJ150" s="140"/>
      <c r="DK150" s="140"/>
      <c r="DL150" s="140"/>
      <c r="DM150" s="140"/>
      <c r="DN150" s="140"/>
      <c r="DO150" s="140"/>
      <c r="DP150" s="140"/>
      <c r="DQ150" s="140"/>
      <c r="DR150" s="140"/>
      <c r="DS150" s="140"/>
      <c r="DT150" s="140"/>
      <c r="DU150" s="140"/>
      <c r="DV150" s="140"/>
      <c r="DW150" s="140"/>
      <c r="DX150" s="140"/>
      <c r="DY150" s="140"/>
      <c r="DZ150" s="140"/>
      <c r="EA150" s="140"/>
      <c r="EB150" s="140"/>
      <c r="EC150" s="140"/>
      <c r="ED150" s="140"/>
      <c r="EE150" s="140"/>
      <c r="EF150" s="140"/>
      <c r="EG150" s="140"/>
      <c r="EH150" s="140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140"/>
      <c r="ES150" s="140"/>
      <c r="ET150" s="140"/>
      <c r="EU150" s="140"/>
      <c r="EV150" s="140"/>
      <c r="EW150" s="140"/>
      <c r="EX150" s="140"/>
      <c r="EY150" s="140"/>
      <c r="EZ150" s="140"/>
      <c r="FA150" s="140"/>
      <c r="FB150" s="140"/>
      <c r="FC150" s="140"/>
      <c r="FD150" s="140"/>
      <c r="FE150" s="140"/>
      <c r="FF150" s="140"/>
      <c r="FG150" s="140"/>
      <c r="FH150" s="140"/>
      <c r="FI150" s="140"/>
      <c r="FJ150" s="140"/>
      <c r="FK150" s="140"/>
      <c r="FL150" s="140"/>
      <c r="FM150" s="140"/>
      <c r="FN150" s="140"/>
      <c r="FO150" s="140"/>
    </row>
    <row r="151" spans="72:171" s="139" customFormat="1"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  <c r="CW151" s="140"/>
      <c r="CX151" s="140"/>
      <c r="CY151" s="140"/>
      <c r="CZ151" s="140"/>
      <c r="DA151" s="140"/>
      <c r="DB151" s="140"/>
      <c r="DC151" s="140"/>
      <c r="DD151" s="140"/>
      <c r="DE151" s="140"/>
      <c r="DF151" s="140"/>
      <c r="DG151" s="140"/>
      <c r="DH151" s="140"/>
      <c r="DI151" s="140"/>
      <c r="DJ151" s="140"/>
      <c r="DK151" s="140"/>
      <c r="DL151" s="140"/>
      <c r="DM151" s="140"/>
      <c r="DN151" s="140"/>
      <c r="DO151" s="140"/>
      <c r="DP151" s="140"/>
      <c r="DQ151" s="140"/>
      <c r="DR151" s="140"/>
      <c r="DS151" s="140"/>
      <c r="DT151" s="140"/>
      <c r="DU151" s="140"/>
      <c r="DV151" s="140"/>
      <c r="DW151" s="140"/>
      <c r="DX151" s="140"/>
      <c r="DY151" s="140"/>
      <c r="DZ151" s="140"/>
      <c r="EA151" s="140"/>
      <c r="EB151" s="140"/>
      <c r="EC151" s="140"/>
      <c r="ED151" s="140"/>
      <c r="EE151" s="140"/>
      <c r="EF151" s="140"/>
      <c r="EG151" s="140"/>
      <c r="EH151" s="140"/>
      <c r="EI151" s="140"/>
      <c r="EJ151" s="140"/>
      <c r="EK151" s="140"/>
      <c r="EL151" s="140"/>
      <c r="EM151" s="140"/>
      <c r="EN151" s="140"/>
      <c r="EO151" s="140"/>
      <c r="EP151" s="140"/>
      <c r="EQ151" s="140"/>
      <c r="ER151" s="140"/>
      <c r="ES151" s="140"/>
      <c r="ET151" s="140"/>
      <c r="EU151" s="140"/>
      <c r="EV151" s="140"/>
      <c r="EW151" s="140"/>
      <c r="EX151" s="140"/>
      <c r="EY151" s="140"/>
      <c r="EZ151" s="140"/>
      <c r="FA151" s="140"/>
      <c r="FB151" s="140"/>
      <c r="FC151" s="140"/>
      <c r="FD151" s="140"/>
      <c r="FE151" s="140"/>
      <c r="FF151" s="140"/>
      <c r="FG151" s="140"/>
      <c r="FH151" s="140"/>
      <c r="FI151" s="140"/>
      <c r="FJ151" s="140"/>
      <c r="FK151" s="140"/>
      <c r="FL151" s="140"/>
      <c r="FM151" s="140"/>
      <c r="FN151" s="140"/>
      <c r="FO151" s="140"/>
    </row>
    <row r="152" spans="72:171" s="139" customFormat="1"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  <c r="CW152" s="140"/>
      <c r="CX152" s="140"/>
      <c r="CY152" s="140"/>
      <c r="CZ152" s="140"/>
      <c r="DA152" s="140"/>
      <c r="DB152" s="140"/>
      <c r="DC152" s="140"/>
      <c r="DD152" s="140"/>
      <c r="DE152" s="140"/>
      <c r="DF152" s="140"/>
      <c r="DG152" s="140"/>
      <c r="DH152" s="140"/>
      <c r="DI152" s="140"/>
      <c r="DJ152" s="140"/>
      <c r="DK152" s="140"/>
      <c r="DL152" s="140"/>
      <c r="DM152" s="140"/>
      <c r="DN152" s="140"/>
      <c r="DO152" s="140"/>
      <c r="DP152" s="140"/>
      <c r="DQ152" s="140"/>
      <c r="DR152" s="140"/>
      <c r="DS152" s="140"/>
      <c r="DT152" s="140"/>
      <c r="DU152" s="140"/>
      <c r="DV152" s="140"/>
      <c r="DW152" s="140"/>
      <c r="DX152" s="140"/>
      <c r="DY152" s="140"/>
      <c r="DZ152" s="140"/>
      <c r="EA152" s="140"/>
      <c r="EB152" s="140"/>
      <c r="EC152" s="140"/>
      <c r="ED152" s="140"/>
      <c r="EE152" s="140"/>
      <c r="EF152" s="140"/>
      <c r="EG152" s="140"/>
      <c r="EH152" s="140"/>
      <c r="EI152" s="140"/>
      <c r="EJ152" s="140"/>
      <c r="EK152" s="140"/>
      <c r="EL152" s="140"/>
      <c r="EM152" s="140"/>
      <c r="EN152" s="140"/>
      <c r="EO152" s="140"/>
      <c r="EP152" s="140"/>
      <c r="EQ152" s="140"/>
      <c r="ER152" s="140"/>
      <c r="ES152" s="140"/>
      <c r="ET152" s="140"/>
      <c r="EU152" s="140"/>
      <c r="EV152" s="140"/>
      <c r="EW152" s="140"/>
      <c r="EX152" s="140"/>
      <c r="EY152" s="140"/>
      <c r="EZ152" s="140"/>
      <c r="FA152" s="140"/>
      <c r="FB152" s="140"/>
      <c r="FC152" s="140"/>
      <c r="FD152" s="140"/>
      <c r="FE152" s="140"/>
      <c r="FF152" s="140"/>
      <c r="FG152" s="140"/>
      <c r="FH152" s="140"/>
      <c r="FI152" s="140"/>
      <c r="FJ152" s="140"/>
      <c r="FK152" s="140"/>
      <c r="FL152" s="140"/>
      <c r="FM152" s="140"/>
      <c r="FN152" s="140"/>
      <c r="FO152" s="140"/>
    </row>
    <row r="153" spans="72:171" s="139" customFormat="1"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0"/>
      <c r="CU153" s="140"/>
      <c r="CV153" s="140"/>
      <c r="CW153" s="140"/>
      <c r="CX153" s="140"/>
      <c r="CY153" s="140"/>
      <c r="CZ153" s="140"/>
      <c r="DA153" s="140"/>
      <c r="DB153" s="140"/>
      <c r="DC153" s="140"/>
      <c r="DD153" s="140"/>
      <c r="DE153" s="140"/>
      <c r="DF153" s="140"/>
      <c r="DG153" s="140"/>
      <c r="DH153" s="140"/>
      <c r="DI153" s="140"/>
      <c r="DJ153" s="140"/>
      <c r="DK153" s="140"/>
      <c r="DL153" s="140"/>
      <c r="DM153" s="140"/>
      <c r="DN153" s="140"/>
      <c r="DO153" s="140"/>
      <c r="DP153" s="140"/>
      <c r="DQ153" s="140"/>
      <c r="DR153" s="140"/>
      <c r="DS153" s="140"/>
      <c r="DT153" s="140"/>
      <c r="DU153" s="140"/>
      <c r="DV153" s="140"/>
      <c r="DW153" s="140"/>
      <c r="DX153" s="140"/>
      <c r="DY153" s="140"/>
      <c r="DZ153" s="140"/>
      <c r="EA153" s="140"/>
      <c r="EB153" s="140"/>
      <c r="EC153" s="140"/>
      <c r="ED153" s="140"/>
      <c r="EE153" s="140"/>
      <c r="EF153" s="140"/>
      <c r="EG153" s="140"/>
      <c r="EH153" s="140"/>
      <c r="EI153" s="140"/>
      <c r="EJ153" s="140"/>
      <c r="EK153" s="140"/>
      <c r="EL153" s="140"/>
      <c r="EM153" s="140"/>
      <c r="EN153" s="140"/>
      <c r="EO153" s="140"/>
      <c r="EP153" s="140"/>
      <c r="EQ153" s="140"/>
      <c r="ER153" s="140"/>
      <c r="ES153" s="140"/>
      <c r="ET153" s="140"/>
      <c r="EU153" s="140"/>
      <c r="EV153" s="140"/>
      <c r="EW153" s="140"/>
      <c r="EX153" s="140"/>
      <c r="EY153" s="140"/>
      <c r="EZ153" s="140"/>
      <c r="FA153" s="140"/>
      <c r="FB153" s="140"/>
      <c r="FC153" s="140"/>
      <c r="FD153" s="140"/>
      <c r="FE153" s="140"/>
      <c r="FF153" s="140"/>
      <c r="FG153" s="140"/>
      <c r="FH153" s="140"/>
      <c r="FI153" s="140"/>
      <c r="FJ153" s="140"/>
      <c r="FK153" s="140"/>
      <c r="FL153" s="140"/>
      <c r="FM153" s="140"/>
      <c r="FN153" s="140"/>
      <c r="FO153" s="140"/>
    </row>
    <row r="154" spans="72:171" s="139" customFormat="1"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0"/>
      <c r="CP154" s="140"/>
      <c r="CQ154" s="140"/>
      <c r="CR154" s="140"/>
      <c r="CS154" s="140"/>
      <c r="CT154" s="140"/>
      <c r="CU154" s="140"/>
      <c r="CV154" s="140"/>
      <c r="CW154" s="140"/>
      <c r="CX154" s="140"/>
      <c r="CY154" s="140"/>
      <c r="CZ154" s="140"/>
      <c r="DA154" s="140"/>
      <c r="DB154" s="140"/>
      <c r="DC154" s="140"/>
      <c r="DD154" s="140"/>
      <c r="DE154" s="140"/>
      <c r="DF154" s="140"/>
      <c r="DG154" s="140"/>
      <c r="DH154" s="140"/>
      <c r="DI154" s="140"/>
      <c r="DJ154" s="140"/>
      <c r="DK154" s="140"/>
      <c r="DL154" s="140"/>
      <c r="DM154" s="140"/>
      <c r="DN154" s="140"/>
      <c r="DO154" s="140"/>
      <c r="DP154" s="140"/>
      <c r="DQ154" s="140"/>
      <c r="DR154" s="140"/>
      <c r="DS154" s="140"/>
      <c r="DT154" s="140"/>
      <c r="DU154" s="140"/>
      <c r="DV154" s="140"/>
      <c r="DW154" s="140"/>
      <c r="DX154" s="140"/>
      <c r="DY154" s="140"/>
      <c r="DZ154" s="140"/>
      <c r="EA154" s="140"/>
      <c r="EB154" s="140"/>
      <c r="EC154" s="140"/>
      <c r="ED154" s="140"/>
      <c r="EE154" s="140"/>
      <c r="EF154" s="140"/>
      <c r="EG154" s="140"/>
      <c r="EH154" s="140"/>
      <c r="EI154" s="140"/>
      <c r="EJ154" s="140"/>
      <c r="EK154" s="140"/>
      <c r="EL154" s="140"/>
      <c r="EM154" s="140"/>
      <c r="EN154" s="140"/>
      <c r="EO154" s="140"/>
      <c r="EP154" s="140"/>
      <c r="EQ154" s="140"/>
      <c r="ER154" s="140"/>
      <c r="ES154" s="140"/>
      <c r="ET154" s="140"/>
      <c r="EU154" s="140"/>
      <c r="EV154" s="140"/>
      <c r="EW154" s="140"/>
      <c r="EX154" s="140"/>
      <c r="EY154" s="140"/>
      <c r="EZ154" s="140"/>
      <c r="FA154" s="140"/>
      <c r="FB154" s="140"/>
      <c r="FC154" s="140"/>
      <c r="FD154" s="140"/>
      <c r="FE154" s="140"/>
      <c r="FF154" s="140"/>
      <c r="FG154" s="140"/>
      <c r="FH154" s="140"/>
      <c r="FI154" s="140"/>
      <c r="FJ154" s="140"/>
      <c r="FK154" s="140"/>
      <c r="FL154" s="140"/>
      <c r="FM154" s="140"/>
      <c r="FN154" s="140"/>
      <c r="FO154" s="140"/>
    </row>
    <row r="155" spans="72:171" s="139" customFormat="1">
      <c r="BT155" s="140"/>
      <c r="BU155" s="140"/>
      <c r="BV155" s="140"/>
      <c r="BW155" s="140"/>
      <c r="BX155" s="140"/>
      <c r="BY155" s="140"/>
      <c r="BZ155" s="140"/>
      <c r="CA155" s="140"/>
      <c r="CB155" s="140"/>
      <c r="CC155" s="140"/>
      <c r="CD155" s="140"/>
      <c r="CE155" s="140"/>
      <c r="CF155" s="140"/>
      <c r="CG155" s="140"/>
      <c r="CH155" s="140"/>
      <c r="CI155" s="140"/>
      <c r="CJ155" s="140"/>
      <c r="CK155" s="140"/>
      <c r="CL155" s="140"/>
      <c r="CM155" s="140"/>
      <c r="CN155" s="140"/>
      <c r="CO155" s="140"/>
      <c r="CP155" s="140"/>
      <c r="CQ155" s="140"/>
      <c r="CR155" s="140"/>
      <c r="CS155" s="140"/>
      <c r="CT155" s="140"/>
      <c r="CU155" s="140"/>
      <c r="CV155" s="140"/>
      <c r="CW155" s="140"/>
      <c r="CX155" s="140"/>
      <c r="CY155" s="140"/>
      <c r="CZ155" s="140"/>
      <c r="DA155" s="140"/>
      <c r="DB155" s="140"/>
      <c r="DC155" s="140"/>
      <c r="DD155" s="140"/>
      <c r="DE155" s="140"/>
      <c r="DF155" s="140"/>
      <c r="DG155" s="140"/>
      <c r="DH155" s="140"/>
      <c r="DI155" s="140"/>
      <c r="DJ155" s="140"/>
      <c r="DK155" s="140"/>
      <c r="DL155" s="140"/>
      <c r="DM155" s="140"/>
      <c r="DN155" s="140"/>
      <c r="DO155" s="140"/>
      <c r="DP155" s="140"/>
      <c r="DQ155" s="140"/>
      <c r="DR155" s="140"/>
      <c r="DS155" s="140"/>
      <c r="DT155" s="140"/>
      <c r="DU155" s="140"/>
      <c r="DV155" s="140"/>
      <c r="DW155" s="140"/>
      <c r="DX155" s="140"/>
      <c r="DY155" s="140"/>
      <c r="DZ155" s="140"/>
      <c r="EA155" s="140"/>
      <c r="EB155" s="140"/>
      <c r="EC155" s="140"/>
      <c r="ED155" s="140"/>
      <c r="EE155" s="140"/>
      <c r="EF155" s="140"/>
      <c r="EG155" s="140"/>
      <c r="EH155" s="140"/>
      <c r="EI155" s="140"/>
      <c r="EJ155" s="140"/>
      <c r="EK155" s="140"/>
      <c r="EL155" s="140"/>
      <c r="EM155" s="140"/>
      <c r="EN155" s="140"/>
      <c r="EO155" s="140"/>
      <c r="EP155" s="140"/>
      <c r="EQ155" s="140"/>
      <c r="ER155" s="140"/>
      <c r="ES155" s="140"/>
      <c r="ET155" s="140"/>
      <c r="EU155" s="140"/>
      <c r="EV155" s="140"/>
      <c r="EW155" s="140"/>
      <c r="EX155" s="140"/>
      <c r="EY155" s="140"/>
      <c r="EZ155" s="140"/>
      <c r="FA155" s="140"/>
      <c r="FB155" s="140"/>
      <c r="FC155" s="140"/>
      <c r="FD155" s="140"/>
      <c r="FE155" s="140"/>
      <c r="FF155" s="140"/>
      <c r="FG155" s="140"/>
      <c r="FH155" s="140"/>
      <c r="FI155" s="140"/>
      <c r="FJ155" s="140"/>
      <c r="FK155" s="140"/>
      <c r="FL155" s="140"/>
      <c r="FM155" s="140"/>
      <c r="FN155" s="140"/>
      <c r="FO155" s="140"/>
    </row>
    <row r="156" spans="72:171" s="139" customFormat="1"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  <c r="CE156" s="140"/>
      <c r="CF156" s="140"/>
      <c r="CG156" s="140"/>
      <c r="CH156" s="140"/>
      <c r="CI156" s="140"/>
      <c r="CJ156" s="140"/>
      <c r="CK156" s="140"/>
      <c r="CL156" s="140"/>
      <c r="CM156" s="140"/>
      <c r="CN156" s="140"/>
      <c r="CO156" s="140"/>
      <c r="CP156" s="140"/>
      <c r="CQ156" s="140"/>
      <c r="CR156" s="140"/>
      <c r="CS156" s="140"/>
      <c r="CT156" s="140"/>
      <c r="CU156" s="140"/>
      <c r="CV156" s="140"/>
      <c r="CW156" s="140"/>
      <c r="CX156" s="140"/>
      <c r="CY156" s="140"/>
      <c r="CZ156" s="140"/>
      <c r="DA156" s="140"/>
      <c r="DB156" s="140"/>
      <c r="DC156" s="140"/>
      <c r="DD156" s="140"/>
      <c r="DE156" s="140"/>
      <c r="DF156" s="140"/>
      <c r="DG156" s="140"/>
      <c r="DH156" s="140"/>
      <c r="DI156" s="140"/>
      <c r="DJ156" s="140"/>
      <c r="DK156" s="140"/>
      <c r="DL156" s="140"/>
      <c r="DM156" s="140"/>
      <c r="DN156" s="140"/>
      <c r="DO156" s="140"/>
      <c r="DP156" s="140"/>
      <c r="DQ156" s="140"/>
      <c r="DR156" s="140"/>
      <c r="DS156" s="140"/>
      <c r="DT156" s="140"/>
      <c r="DU156" s="140"/>
      <c r="DV156" s="140"/>
      <c r="DW156" s="140"/>
      <c r="DX156" s="140"/>
      <c r="DY156" s="140"/>
      <c r="DZ156" s="140"/>
      <c r="EA156" s="140"/>
      <c r="EB156" s="140"/>
      <c r="EC156" s="140"/>
      <c r="ED156" s="140"/>
      <c r="EE156" s="140"/>
      <c r="EF156" s="140"/>
      <c r="EG156" s="140"/>
      <c r="EH156" s="140"/>
      <c r="EI156" s="140"/>
      <c r="EJ156" s="140"/>
      <c r="EK156" s="140"/>
      <c r="EL156" s="140"/>
      <c r="EM156" s="140"/>
      <c r="EN156" s="140"/>
      <c r="EO156" s="140"/>
      <c r="EP156" s="140"/>
      <c r="EQ156" s="140"/>
      <c r="ER156" s="140"/>
      <c r="ES156" s="140"/>
      <c r="ET156" s="140"/>
      <c r="EU156" s="140"/>
      <c r="EV156" s="140"/>
      <c r="EW156" s="140"/>
      <c r="EX156" s="140"/>
      <c r="EY156" s="140"/>
      <c r="EZ156" s="140"/>
      <c r="FA156" s="140"/>
      <c r="FB156" s="140"/>
      <c r="FC156" s="140"/>
      <c r="FD156" s="140"/>
      <c r="FE156" s="140"/>
      <c r="FF156" s="140"/>
      <c r="FG156" s="140"/>
      <c r="FH156" s="140"/>
      <c r="FI156" s="140"/>
      <c r="FJ156" s="140"/>
      <c r="FK156" s="140"/>
      <c r="FL156" s="140"/>
      <c r="FM156" s="140"/>
      <c r="FN156" s="140"/>
      <c r="FO156" s="140"/>
    </row>
    <row r="157" spans="72:171" s="139" customFormat="1"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0"/>
      <c r="DJ157" s="140"/>
      <c r="DK157" s="140"/>
      <c r="DL157" s="140"/>
      <c r="DM157" s="140"/>
      <c r="DN157" s="140"/>
      <c r="DO157" s="140"/>
      <c r="DP157" s="140"/>
      <c r="DQ157" s="140"/>
      <c r="DR157" s="140"/>
      <c r="DS157" s="140"/>
      <c r="DT157" s="140"/>
      <c r="DU157" s="140"/>
      <c r="DV157" s="140"/>
      <c r="DW157" s="140"/>
      <c r="DX157" s="140"/>
      <c r="DY157" s="140"/>
      <c r="DZ157" s="140"/>
      <c r="EA157" s="140"/>
      <c r="EB157" s="140"/>
      <c r="EC157" s="140"/>
      <c r="ED157" s="140"/>
      <c r="EE157" s="140"/>
      <c r="EF157" s="140"/>
      <c r="EG157" s="140"/>
      <c r="EH157" s="140"/>
      <c r="EI157" s="140"/>
      <c r="EJ157" s="140"/>
      <c r="EK157" s="140"/>
      <c r="EL157" s="140"/>
      <c r="EM157" s="140"/>
      <c r="EN157" s="140"/>
      <c r="EO157" s="140"/>
      <c r="EP157" s="140"/>
      <c r="EQ157" s="140"/>
      <c r="ER157" s="140"/>
      <c r="ES157" s="140"/>
      <c r="ET157" s="140"/>
      <c r="EU157" s="140"/>
      <c r="EV157" s="140"/>
      <c r="EW157" s="140"/>
      <c r="EX157" s="140"/>
      <c r="EY157" s="140"/>
      <c r="EZ157" s="140"/>
      <c r="FA157" s="140"/>
      <c r="FB157" s="140"/>
      <c r="FC157" s="140"/>
      <c r="FD157" s="140"/>
      <c r="FE157" s="140"/>
      <c r="FF157" s="140"/>
      <c r="FG157" s="140"/>
      <c r="FH157" s="140"/>
      <c r="FI157" s="140"/>
      <c r="FJ157" s="140"/>
      <c r="FK157" s="140"/>
      <c r="FL157" s="140"/>
      <c r="FM157" s="140"/>
      <c r="FN157" s="140"/>
      <c r="FO157" s="140"/>
    </row>
    <row r="158" spans="72:171" s="139" customFormat="1"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  <c r="CR158" s="140"/>
      <c r="CS158" s="140"/>
      <c r="CT158" s="140"/>
      <c r="CU158" s="140"/>
      <c r="CV158" s="140"/>
      <c r="CW158" s="140"/>
      <c r="CX158" s="140"/>
      <c r="CY158" s="140"/>
      <c r="CZ158" s="140"/>
      <c r="DA158" s="140"/>
      <c r="DB158" s="140"/>
      <c r="DC158" s="140"/>
      <c r="DD158" s="140"/>
      <c r="DE158" s="140"/>
      <c r="DF158" s="140"/>
      <c r="DG158" s="140"/>
      <c r="DH158" s="140"/>
      <c r="DI158" s="140"/>
      <c r="DJ158" s="140"/>
      <c r="DK158" s="140"/>
      <c r="DL158" s="140"/>
      <c r="DM158" s="140"/>
      <c r="DN158" s="140"/>
      <c r="DO158" s="140"/>
      <c r="DP158" s="140"/>
      <c r="DQ158" s="140"/>
      <c r="DR158" s="140"/>
      <c r="DS158" s="140"/>
      <c r="DT158" s="140"/>
      <c r="DU158" s="140"/>
      <c r="DV158" s="140"/>
      <c r="DW158" s="140"/>
      <c r="DX158" s="140"/>
      <c r="DY158" s="140"/>
      <c r="DZ158" s="140"/>
      <c r="EA158" s="140"/>
      <c r="EB158" s="140"/>
      <c r="EC158" s="140"/>
      <c r="ED158" s="140"/>
      <c r="EE158" s="140"/>
      <c r="EF158" s="140"/>
      <c r="EG158" s="140"/>
      <c r="EH158" s="140"/>
      <c r="EI158" s="140"/>
      <c r="EJ158" s="140"/>
      <c r="EK158" s="140"/>
      <c r="EL158" s="140"/>
      <c r="EM158" s="140"/>
      <c r="EN158" s="140"/>
      <c r="EO158" s="140"/>
      <c r="EP158" s="140"/>
      <c r="EQ158" s="140"/>
      <c r="ER158" s="140"/>
      <c r="ES158" s="140"/>
      <c r="ET158" s="140"/>
      <c r="EU158" s="140"/>
      <c r="EV158" s="140"/>
      <c r="EW158" s="140"/>
      <c r="EX158" s="140"/>
      <c r="EY158" s="140"/>
      <c r="EZ158" s="140"/>
      <c r="FA158" s="140"/>
      <c r="FB158" s="140"/>
      <c r="FC158" s="140"/>
      <c r="FD158" s="140"/>
      <c r="FE158" s="140"/>
      <c r="FF158" s="140"/>
      <c r="FG158" s="140"/>
      <c r="FH158" s="140"/>
      <c r="FI158" s="140"/>
      <c r="FJ158" s="140"/>
      <c r="FK158" s="140"/>
      <c r="FL158" s="140"/>
      <c r="FM158" s="140"/>
      <c r="FN158" s="140"/>
      <c r="FO158" s="140"/>
    </row>
    <row r="159" spans="72:171" s="139" customFormat="1"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40"/>
      <c r="CK159" s="140"/>
      <c r="CL159" s="140"/>
      <c r="CM159" s="140"/>
      <c r="CN159" s="140"/>
      <c r="CO159" s="140"/>
      <c r="CP159" s="140"/>
      <c r="CQ159" s="140"/>
      <c r="CR159" s="140"/>
      <c r="CS159" s="140"/>
      <c r="CT159" s="140"/>
      <c r="CU159" s="140"/>
      <c r="CV159" s="140"/>
      <c r="CW159" s="140"/>
      <c r="CX159" s="140"/>
      <c r="CY159" s="140"/>
      <c r="CZ159" s="140"/>
      <c r="DA159" s="140"/>
      <c r="DB159" s="140"/>
      <c r="DC159" s="140"/>
      <c r="DD159" s="140"/>
      <c r="DE159" s="140"/>
      <c r="DF159" s="140"/>
      <c r="DG159" s="140"/>
      <c r="DH159" s="140"/>
      <c r="DI159" s="140"/>
      <c r="DJ159" s="140"/>
      <c r="DK159" s="140"/>
      <c r="DL159" s="140"/>
      <c r="DM159" s="140"/>
      <c r="DN159" s="140"/>
      <c r="DO159" s="140"/>
      <c r="DP159" s="140"/>
      <c r="DQ159" s="140"/>
      <c r="DR159" s="140"/>
      <c r="DS159" s="140"/>
      <c r="DT159" s="140"/>
      <c r="DU159" s="140"/>
      <c r="DV159" s="140"/>
      <c r="DW159" s="140"/>
      <c r="DX159" s="140"/>
      <c r="DY159" s="140"/>
      <c r="DZ159" s="140"/>
      <c r="EA159" s="140"/>
      <c r="EB159" s="140"/>
      <c r="EC159" s="140"/>
      <c r="ED159" s="140"/>
      <c r="EE159" s="140"/>
      <c r="EF159" s="140"/>
      <c r="EG159" s="140"/>
      <c r="EH159" s="140"/>
      <c r="EI159" s="140"/>
      <c r="EJ159" s="140"/>
      <c r="EK159" s="140"/>
      <c r="EL159" s="140"/>
      <c r="EM159" s="140"/>
      <c r="EN159" s="140"/>
      <c r="EO159" s="140"/>
      <c r="EP159" s="140"/>
      <c r="EQ159" s="140"/>
      <c r="ER159" s="140"/>
      <c r="ES159" s="140"/>
      <c r="ET159" s="140"/>
      <c r="EU159" s="140"/>
      <c r="EV159" s="140"/>
      <c r="EW159" s="140"/>
      <c r="EX159" s="140"/>
      <c r="EY159" s="140"/>
      <c r="EZ159" s="140"/>
      <c r="FA159" s="140"/>
      <c r="FB159" s="140"/>
      <c r="FC159" s="140"/>
      <c r="FD159" s="140"/>
      <c r="FE159" s="140"/>
      <c r="FF159" s="140"/>
      <c r="FG159" s="140"/>
      <c r="FH159" s="140"/>
      <c r="FI159" s="140"/>
      <c r="FJ159" s="140"/>
      <c r="FK159" s="140"/>
      <c r="FL159" s="140"/>
      <c r="FM159" s="140"/>
      <c r="FN159" s="140"/>
      <c r="FO159" s="140"/>
    </row>
    <row r="160" spans="72:171" s="139" customFormat="1"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0"/>
      <c r="EL160" s="140"/>
      <c r="EM160" s="140"/>
      <c r="EN160" s="140"/>
      <c r="EO160" s="140"/>
      <c r="EP160" s="140"/>
      <c r="EQ160" s="140"/>
      <c r="ER160" s="140"/>
      <c r="ES160" s="140"/>
      <c r="ET160" s="140"/>
      <c r="EU160" s="140"/>
      <c r="EV160" s="140"/>
      <c r="EW160" s="140"/>
      <c r="EX160" s="140"/>
      <c r="EY160" s="140"/>
      <c r="EZ160" s="140"/>
      <c r="FA160" s="140"/>
      <c r="FB160" s="140"/>
      <c r="FC160" s="140"/>
      <c r="FD160" s="140"/>
      <c r="FE160" s="140"/>
      <c r="FF160" s="140"/>
      <c r="FG160" s="140"/>
      <c r="FH160" s="140"/>
      <c r="FI160" s="140"/>
      <c r="FJ160" s="140"/>
      <c r="FK160" s="140"/>
      <c r="FL160" s="140"/>
      <c r="FM160" s="140"/>
      <c r="FN160" s="140"/>
      <c r="FO160" s="140"/>
    </row>
    <row r="161" spans="44:171" s="139" customFormat="1"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0"/>
      <c r="CP161" s="140"/>
      <c r="CQ161" s="140"/>
      <c r="CR161" s="140"/>
      <c r="CS161" s="140"/>
      <c r="CT161" s="140"/>
      <c r="CU161" s="140"/>
      <c r="CV161" s="140"/>
      <c r="CW161" s="140"/>
      <c r="CX161" s="140"/>
      <c r="CY161" s="140"/>
      <c r="CZ161" s="140"/>
      <c r="DA161" s="140"/>
      <c r="DB161" s="140"/>
      <c r="DC161" s="140"/>
      <c r="DD161" s="140"/>
      <c r="DE161" s="140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40"/>
      <c r="DW161" s="140"/>
      <c r="DX161" s="140"/>
      <c r="DY161" s="140"/>
      <c r="DZ161" s="140"/>
      <c r="EA161" s="140"/>
      <c r="EB161" s="140"/>
      <c r="EC161" s="140"/>
      <c r="ED161" s="140"/>
      <c r="EE161" s="140"/>
      <c r="EF161" s="140"/>
      <c r="EG161" s="140"/>
      <c r="EH161" s="140"/>
      <c r="EI161" s="140"/>
      <c r="EJ161" s="140"/>
      <c r="EK161" s="140"/>
      <c r="EL161" s="140"/>
      <c r="EM161" s="140"/>
      <c r="EN161" s="140"/>
      <c r="EO161" s="140"/>
      <c r="EP161" s="140"/>
      <c r="EQ161" s="140"/>
      <c r="ER161" s="140"/>
      <c r="ES161" s="140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40"/>
      <c r="FK161" s="140"/>
      <c r="FL161" s="140"/>
      <c r="FM161" s="140"/>
      <c r="FN161" s="140"/>
      <c r="FO161" s="140"/>
    </row>
    <row r="162" spans="44:171" s="139" customFormat="1">
      <c r="BT162" s="140"/>
      <c r="BU162" s="140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  <c r="CR162" s="140"/>
      <c r="CS162" s="140"/>
      <c r="CT162" s="140"/>
      <c r="CU162" s="140"/>
      <c r="CV162" s="140"/>
      <c r="CW162" s="140"/>
      <c r="CX162" s="140"/>
      <c r="CY162" s="140"/>
      <c r="CZ162" s="140"/>
      <c r="DA162" s="140"/>
      <c r="DB162" s="140"/>
      <c r="DC162" s="140"/>
      <c r="DD162" s="140"/>
      <c r="DE162" s="140"/>
      <c r="DF162" s="140"/>
      <c r="DG162" s="140"/>
      <c r="DH162" s="140"/>
      <c r="DI162" s="140"/>
      <c r="DJ162" s="140"/>
      <c r="DK162" s="140"/>
      <c r="DL162" s="140"/>
      <c r="DM162" s="140"/>
      <c r="DN162" s="140"/>
      <c r="DO162" s="140"/>
      <c r="DP162" s="140"/>
      <c r="DQ162" s="140"/>
      <c r="DR162" s="140"/>
      <c r="DS162" s="140"/>
      <c r="DT162" s="140"/>
      <c r="DU162" s="140"/>
      <c r="DV162" s="140"/>
      <c r="DW162" s="140"/>
      <c r="DX162" s="140"/>
      <c r="DY162" s="140"/>
      <c r="DZ162" s="140"/>
      <c r="EA162" s="140"/>
      <c r="EB162" s="140"/>
      <c r="EC162" s="140"/>
      <c r="ED162" s="140"/>
      <c r="EE162" s="140"/>
      <c r="EF162" s="140"/>
      <c r="EG162" s="140"/>
      <c r="EH162" s="140"/>
      <c r="EI162" s="140"/>
      <c r="EJ162" s="140"/>
      <c r="EK162" s="140"/>
      <c r="EL162" s="140"/>
      <c r="EM162" s="140"/>
      <c r="EN162" s="140"/>
      <c r="EO162" s="140"/>
      <c r="EP162" s="140"/>
      <c r="EQ162" s="140"/>
      <c r="ER162" s="140"/>
      <c r="ES162" s="140"/>
      <c r="ET162" s="140"/>
      <c r="EU162" s="140"/>
      <c r="EV162" s="140"/>
      <c r="EW162" s="140"/>
      <c r="EX162" s="140"/>
      <c r="EY162" s="140"/>
      <c r="EZ162" s="140"/>
      <c r="FA162" s="140"/>
      <c r="FB162" s="140"/>
      <c r="FC162" s="140"/>
      <c r="FD162" s="140"/>
      <c r="FE162" s="140"/>
      <c r="FF162" s="140"/>
      <c r="FG162" s="140"/>
      <c r="FH162" s="140"/>
      <c r="FI162" s="140"/>
      <c r="FJ162" s="140"/>
      <c r="FK162" s="140"/>
      <c r="FL162" s="140"/>
      <c r="FM162" s="140"/>
      <c r="FN162" s="140"/>
      <c r="FO162" s="140"/>
    </row>
    <row r="163" spans="44:171" s="139" customFormat="1">
      <c r="BT163" s="140"/>
      <c r="BU163" s="140"/>
      <c r="BV163" s="140"/>
      <c r="BW163" s="140"/>
      <c r="BX163" s="140"/>
      <c r="BY163" s="140"/>
      <c r="BZ163" s="140"/>
      <c r="CA163" s="140"/>
      <c r="CB163" s="140"/>
      <c r="CC163" s="140"/>
      <c r="CD163" s="140"/>
      <c r="CE163" s="140"/>
      <c r="CF163" s="140"/>
      <c r="CG163" s="140"/>
      <c r="CH163" s="140"/>
      <c r="CI163" s="140"/>
      <c r="CJ163" s="140"/>
      <c r="CK163" s="140"/>
      <c r="CL163" s="140"/>
      <c r="CM163" s="140"/>
      <c r="CN163" s="140"/>
      <c r="CO163" s="140"/>
      <c r="CP163" s="140"/>
      <c r="CQ163" s="140"/>
      <c r="CR163" s="140"/>
      <c r="CS163" s="140"/>
      <c r="CT163" s="140"/>
      <c r="CU163" s="140"/>
      <c r="CV163" s="140"/>
      <c r="CW163" s="140"/>
      <c r="CX163" s="140"/>
      <c r="CY163" s="140"/>
      <c r="CZ163" s="140"/>
      <c r="DA163" s="140"/>
      <c r="DB163" s="140"/>
      <c r="DC163" s="140"/>
      <c r="DD163" s="140"/>
      <c r="DE163" s="140"/>
      <c r="DF163" s="140"/>
      <c r="DG163" s="140"/>
      <c r="DH163" s="140"/>
      <c r="DI163" s="140"/>
      <c r="DJ163" s="140"/>
      <c r="DK163" s="140"/>
      <c r="DL163" s="140"/>
      <c r="DM163" s="140"/>
      <c r="DN163" s="140"/>
      <c r="DO163" s="140"/>
      <c r="DP163" s="140"/>
      <c r="DQ163" s="140"/>
      <c r="DR163" s="140"/>
      <c r="DS163" s="140"/>
      <c r="DT163" s="140"/>
      <c r="DU163" s="140"/>
      <c r="DV163" s="140"/>
      <c r="DW163" s="140"/>
      <c r="DX163" s="140"/>
      <c r="DY163" s="140"/>
      <c r="DZ163" s="140"/>
      <c r="EA163" s="140"/>
      <c r="EB163" s="140"/>
      <c r="EC163" s="140"/>
      <c r="ED163" s="140"/>
      <c r="EE163" s="140"/>
      <c r="EF163" s="140"/>
      <c r="EG163" s="140"/>
      <c r="EH163" s="140"/>
      <c r="EI163" s="140"/>
      <c r="EJ163" s="140"/>
      <c r="EK163" s="140"/>
      <c r="EL163" s="140"/>
      <c r="EM163" s="140"/>
      <c r="EN163" s="140"/>
      <c r="EO163" s="140"/>
      <c r="EP163" s="140"/>
      <c r="EQ163" s="140"/>
      <c r="ER163" s="140"/>
      <c r="ES163" s="140"/>
      <c r="ET163" s="140"/>
      <c r="EU163" s="140"/>
      <c r="EV163" s="140"/>
      <c r="EW163" s="140"/>
      <c r="EX163" s="140"/>
      <c r="EY163" s="140"/>
      <c r="EZ163" s="140"/>
      <c r="FA163" s="140"/>
      <c r="FB163" s="140"/>
      <c r="FC163" s="140"/>
      <c r="FD163" s="140"/>
      <c r="FE163" s="140"/>
      <c r="FF163" s="140"/>
      <c r="FG163" s="140"/>
      <c r="FH163" s="140"/>
      <c r="FI163" s="140"/>
      <c r="FJ163" s="140"/>
      <c r="FK163" s="140"/>
      <c r="FL163" s="140"/>
      <c r="FM163" s="140"/>
      <c r="FN163" s="140"/>
      <c r="FO163" s="140"/>
    </row>
    <row r="164" spans="44:171" s="139" customFormat="1"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0"/>
      <c r="CT164" s="140"/>
      <c r="CU164" s="140"/>
      <c r="CV164" s="140"/>
      <c r="CW164" s="140"/>
      <c r="CX164" s="140"/>
      <c r="CY164" s="140"/>
      <c r="CZ164" s="140"/>
      <c r="DA164" s="140"/>
      <c r="DB164" s="140"/>
      <c r="DC164" s="140"/>
      <c r="DD164" s="140"/>
      <c r="DE164" s="140"/>
      <c r="DF164" s="140"/>
      <c r="DG164" s="140"/>
      <c r="DH164" s="140"/>
      <c r="DI164" s="140"/>
      <c r="DJ164" s="140"/>
      <c r="DK164" s="140"/>
      <c r="DL164" s="140"/>
      <c r="DM164" s="140"/>
      <c r="DN164" s="140"/>
      <c r="DO164" s="140"/>
      <c r="DP164" s="140"/>
      <c r="DQ164" s="140"/>
      <c r="DR164" s="140"/>
      <c r="DS164" s="140"/>
      <c r="DT164" s="140"/>
      <c r="DU164" s="140"/>
      <c r="DV164" s="140"/>
      <c r="DW164" s="140"/>
      <c r="DX164" s="140"/>
      <c r="DY164" s="140"/>
      <c r="DZ164" s="140"/>
      <c r="EA164" s="140"/>
      <c r="EB164" s="140"/>
      <c r="EC164" s="140"/>
      <c r="ED164" s="140"/>
      <c r="EE164" s="140"/>
      <c r="EF164" s="140"/>
      <c r="EG164" s="140"/>
      <c r="EH164" s="140"/>
      <c r="EI164" s="140"/>
      <c r="EJ164" s="140"/>
      <c r="EK164" s="140"/>
      <c r="EL164" s="140"/>
      <c r="EM164" s="140"/>
      <c r="EN164" s="140"/>
      <c r="EO164" s="140"/>
      <c r="EP164" s="140"/>
      <c r="EQ164" s="140"/>
      <c r="ER164" s="140"/>
      <c r="ES164" s="140"/>
      <c r="ET164" s="140"/>
      <c r="EU164" s="140"/>
      <c r="EV164" s="140"/>
      <c r="EW164" s="140"/>
      <c r="EX164" s="140"/>
      <c r="EY164" s="140"/>
      <c r="EZ164" s="140"/>
      <c r="FA164" s="140"/>
      <c r="FB164" s="140"/>
      <c r="FC164" s="140"/>
      <c r="FD164" s="140"/>
      <c r="FE164" s="140"/>
      <c r="FF164" s="140"/>
      <c r="FG164" s="140"/>
      <c r="FH164" s="140"/>
      <c r="FI164" s="140"/>
      <c r="FJ164" s="140"/>
      <c r="FK164" s="140"/>
      <c r="FL164" s="140"/>
      <c r="FM164" s="140"/>
      <c r="FN164" s="140"/>
      <c r="FO164" s="140"/>
    </row>
    <row r="165" spans="44:171" s="139" customFormat="1">
      <c r="BT165" s="140"/>
      <c r="BU165" s="140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0"/>
      <c r="CP165" s="140"/>
      <c r="CQ165" s="140"/>
      <c r="CR165" s="140"/>
      <c r="CS165" s="140"/>
      <c r="CT165" s="140"/>
      <c r="CU165" s="140"/>
      <c r="CV165" s="140"/>
      <c r="CW165" s="140"/>
      <c r="CX165" s="140"/>
      <c r="CY165" s="140"/>
      <c r="CZ165" s="140"/>
      <c r="DA165" s="140"/>
      <c r="DB165" s="140"/>
      <c r="DC165" s="140"/>
      <c r="DD165" s="140"/>
      <c r="DE165" s="140"/>
      <c r="DF165" s="140"/>
      <c r="DG165" s="140"/>
      <c r="DH165" s="140"/>
      <c r="DI165" s="140"/>
      <c r="DJ165" s="140"/>
      <c r="DK165" s="140"/>
      <c r="DL165" s="140"/>
      <c r="DM165" s="140"/>
      <c r="DN165" s="140"/>
      <c r="DO165" s="140"/>
      <c r="DP165" s="140"/>
      <c r="DQ165" s="140"/>
      <c r="DR165" s="140"/>
      <c r="DS165" s="140"/>
      <c r="DT165" s="140"/>
      <c r="DU165" s="140"/>
      <c r="DV165" s="140"/>
      <c r="DW165" s="140"/>
      <c r="DX165" s="140"/>
      <c r="DY165" s="140"/>
      <c r="DZ165" s="140"/>
      <c r="EA165" s="140"/>
      <c r="EB165" s="140"/>
      <c r="EC165" s="140"/>
      <c r="ED165" s="140"/>
      <c r="EE165" s="140"/>
      <c r="EF165" s="140"/>
      <c r="EG165" s="140"/>
      <c r="EH165" s="140"/>
      <c r="EI165" s="140"/>
      <c r="EJ165" s="140"/>
      <c r="EK165" s="140"/>
      <c r="EL165" s="140"/>
      <c r="EM165" s="140"/>
      <c r="EN165" s="140"/>
      <c r="EO165" s="140"/>
      <c r="EP165" s="140"/>
      <c r="EQ165" s="140"/>
      <c r="ER165" s="140"/>
      <c r="ES165" s="140"/>
      <c r="ET165" s="140"/>
      <c r="EU165" s="140"/>
      <c r="EV165" s="140"/>
      <c r="EW165" s="140"/>
      <c r="EX165" s="140"/>
      <c r="EY165" s="140"/>
      <c r="EZ165" s="140"/>
      <c r="FA165" s="140"/>
      <c r="FB165" s="140"/>
      <c r="FC165" s="140"/>
      <c r="FD165" s="140"/>
      <c r="FE165" s="140"/>
      <c r="FF165" s="140"/>
      <c r="FG165" s="140"/>
      <c r="FH165" s="140"/>
      <c r="FI165" s="140"/>
      <c r="FJ165" s="140"/>
      <c r="FK165" s="140"/>
      <c r="FL165" s="140"/>
      <c r="FM165" s="140"/>
      <c r="FN165" s="140"/>
      <c r="FO165" s="140"/>
    </row>
    <row r="166" spans="44:171" s="139" customFormat="1"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  <c r="CR166" s="140"/>
      <c r="CS166" s="140"/>
      <c r="CT166" s="140"/>
      <c r="CU166" s="140"/>
      <c r="CV166" s="140"/>
      <c r="CW166" s="140"/>
      <c r="CX166" s="140"/>
      <c r="CY166" s="140"/>
      <c r="CZ166" s="140"/>
      <c r="DA166" s="140"/>
      <c r="DB166" s="140"/>
      <c r="DC166" s="140"/>
      <c r="DD166" s="140"/>
      <c r="DE166" s="140"/>
      <c r="DF166" s="140"/>
      <c r="DG166" s="140"/>
      <c r="DH166" s="140"/>
      <c r="DI166" s="140"/>
      <c r="DJ166" s="140"/>
      <c r="DK166" s="140"/>
      <c r="DL166" s="140"/>
      <c r="DM166" s="140"/>
      <c r="DN166" s="140"/>
      <c r="DO166" s="140"/>
      <c r="DP166" s="140"/>
      <c r="DQ166" s="140"/>
      <c r="DR166" s="140"/>
      <c r="DS166" s="140"/>
      <c r="DT166" s="140"/>
      <c r="DU166" s="140"/>
      <c r="DV166" s="140"/>
      <c r="DW166" s="140"/>
      <c r="DX166" s="140"/>
      <c r="DY166" s="140"/>
      <c r="DZ166" s="140"/>
      <c r="EA166" s="140"/>
      <c r="EB166" s="140"/>
      <c r="EC166" s="140"/>
      <c r="ED166" s="140"/>
      <c r="EE166" s="140"/>
      <c r="EF166" s="140"/>
      <c r="EG166" s="140"/>
      <c r="EH166" s="140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140"/>
      <c r="EU166" s="140"/>
      <c r="EV166" s="140"/>
      <c r="EW166" s="140"/>
      <c r="EX166" s="140"/>
      <c r="EY166" s="140"/>
      <c r="EZ166" s="140"/>
      <c r="FA166" s="140"/>
      <c r="FB166" s="140"/>
      <c r="FC166" s="140"/>
      <c r="FD166" s="140"/>
      <c r="FE166" s="140"/>
      <c r="FF166" s="140"/>
      <c r="FG166" s="140"/>
      <c r="FH166" s="140"/>
      <c r="FI166" s="140"/>
      <c r="FJ166" s="140"/>
      <c r="FK166" s="140"/>
      <c r="FL166" s="140"/>
      <c r="FM166" s="140"/>
      <c r="FN166" s="140"/>
      <c r="FO166" s="140"/>
    </row>
    <row r="167" spans="44:171">
      <c r="AR167" s="139"/>
      <c r="AS167" s="139"/>
      <c r="AT167" s="139"/>
      <c r="AU167" s="139"/>
      <c r="AV167" s="139"/>
      <c r="AW167" s="139"/>
      <c r="AX167" s="139"/>
      <c r="AY167" s="139"/>
    </row>
    <row r="168" spans="44:171">
      <c r="AR168" s="139"/>
      <c r="AS168" s="139"/>
      <c r="AT168" s="139"/>
      <c r="AU168" s="139"/>
      <c r="AV168" s="139"/>
      <c r="AW168" s="139"/>
      <c r="AX168" s="139"/>
      <c r="AY168" s="139"/>
    </row>
    <row r="169" spans="44:171">
      <c r="AR169" s="139"/>
      <c r="AS169" s="139"/>
      <c r="AT169" s="139"/>
      <c r="AU169" s="139"/>
      <c r="AV169" s="139"/>
      <c r="AW169" s="139"/>
      <c r="AX169" s="139"/>
      <c r="AY169" s="139"/>
    </row>
    <row r="170" spans="44:171">
      <c r="AR170" s="139"/>
      <c r="AS170" s="139"/>
      <c r="AT170" s="139"/>
      <c r="AU170" s="139"/>
      <c r="AV170" s="139"/>
      <c r="AW170" s="139"/>
      <c r="AX170" s="139"/>
      <c r="AY170" s="139"/>
    </row>
  </sheetData>
  <mergeCells count="38">
    <mergeCell ref="B47:B49"/>
    <mergeCell ref="D48:D49"/>
    <mergeCell ref="F48:F49"/>
    <mergeCell ref="E48:E49"/>
    <mergeCell ref="D47:J47"/>
    <mergeCell ref="G48:H48"/>
    <mergeCell ref="I48:J48"/>
    <mergeCell ref="AS7:AY7"/>
    <mergeCell ref="AS8:AS9"/>
    <mergeCell ref="AU8:AU9"/>
    <mergeCell ref="AV8:AW8"/>
    <mergeCell ref="AX8:AY8"/>
    <mergeCell ref="AB7:AH7"/>
    <mergeCell ref="AJ7:AP7"/>
    <mergeCell ref="T8:T9"/>
    <mergeCell ref="AO8:AP8"/>
    <mergeCell ref="O8:P8"/>
    <mergeCell ref="Q8:R8"/>
    <mergeCell ref="W8:X8"/>
    <mergeCell ref="Y8:Z8"/>
    <mergeCell ref="AM8:AN8"/>
    <mergeCell ref="AL8:AL9"/>
    <mergeCell ref="AJ8:AJ9"/>
    <mergeCell ref="AB8:AB9"/>
    <mergeCell ref="AD8:AD9"/>
    <mergeCell ref="AE8:AF8"/>
    <mergeCell ref="AG8:AH8"/>
    <mergeCell ref="B7:B9"/>
    <mergeCell ref="D7:J7"/>
    <mergeCell ref="L7:R7"/>
    <mergeCell ref="T7:Z7"/>
    <mergeCell ref="D8:D9"/>
    <mergeCell ref="F8:F9"/>
    <mergeCell ref="L8:L9"/>
    <mergeCell ref="N8:N9"/>
    <mergeCell ref="G8:H8"/>
    <mergeCell ref="I8:J8"/>
    <mergeCell ref="V8:V9"/>
  </mergeCells>
  <phoneticPr fontId="1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O57"/>
  <sheetViews>
    <sheetView zoomScale="75" workbookViewId="0">
      <pane xSplit="2" ySplit="9" topLeftCell="C19" activePane="bottomRight" state="frozen"/>
      <selection pane="topRight" activeCell="C1" sqref="C1"/>
      <selection pane="bottomLeft" activeCell="A10" sqref="A10"/>
      <selection pane="bottomRight" activeCell="C51" sqref="C51:N51"/>
    </sheetView>
  </sheetViews>
  <sheetFormatPr defaultColWidth="8.7109375" defaultRowHeight="12.75"/>
  <cols>
    <col min="1" max="1" width="13" customWidth="1"/>
    <col min="2" max="2" width="14" bestFit="1" customWidth="1"/>
    <col min="3" max="14" width="16.7109375" bestFit="1" customWidth="1"/>
    <col min="15" max="15" width="12.42578125" bestFit="1" customWidth="1"/>
  </cols>
  <sheetData>
    <row r="1" spans="1:15">
      <c r="A1" s="289" t="s">
        <v>193</v>
      </c>
    </row>
    <row r="2" spans="1:15">
      <c r="A2" s="290" t="s">
        <v>194</v>
      </c>
    </row>
    <row r="3" spans="1:15">
      <c r="A3" s="290" t="s">
        <v>195</v>
      </c>
      <c r="D3" s="302"/>
    </row>
    <row r="5" spans="1:15">
      <c r="A5" s="289" t="s">
        <v>196</v>
      </c>
    </row>
    <row r="6" spans="1:15">
      <c r="A6" s="290" t="s">
        <v>197</v>
      </c>
    </row>
    <row r="7" spans="1:15">
      <c r="A7" s="290" t="s">
        <v>198</v>
      </c>
    </row>
    <row r="8" spans="1:15">
      <c r="C8" s="291" t="s">
        <v>14</v>
      </c>
      <c r="D8" s="291" t="s">
        <v>15</v>
      </c>
      <c r="E8" s="291" t="s">
        <v>16</v>
      </c>
      <c r="F8" s="291" t="s">
        <v>17</v>
      </c>
      <c r="G8" s="291" t="s">
        <v>18</v>
      </c>
      <c r="H8" s="291" t="s">
        <v>19</v>
      </c>
      <c r="I8" s="291" t="s">
        <v>20</v>
      </c>
      <c r="J8" s="291" t="s">
        <v>21</v>
      </c>
      <c r="K8" s="291" t="s">
        <v>22</v>
      </c>
      <c r="L8" s="291" t="s">
        <v>23</v>
      </c>
      <c r="M8" s="291" t="s">
        <v>24</v>
      </c>
      <c r="N8" s="291" t="s">
        <v>25</v>
      </c>
    </row>
    <row r="9" spans="1:15">
      <c r="C9" s="291" t="s">
        <v>199</v>
      </c>
      <c r="D9" s="291" t="s">
        <v>199</v>
      </c>
      <c r="E9" s="291" t="s">
        <v>199</v>
      </c>
      <c r="F9" s="291" t="s">
        <v>199</v>
      </c>
      <c r="G9" s="291" t="s">
        <v>199</v>
      </c>
      <c r="H9" s="291" t="s">
        <v>199</v>
      </c>
      <c r="I9" s="291" t="s">
        <v>199</v>
      </c>
      <c r="J9" s="291" t="s">
        <v>199</v>
      </c>
      <c r="K9" s="291" t="s">
        <v>199</v>
      </c>
      <c r="L9" s="291" t="s">
        <v>199</v>
      </c>
      <c r="M9" s="291" t="s">
        <v>199</v>
      </c>
      <c r="N9" s="291" t="s">
        <v>199</v>
      </c>
    </row>
    <row r="10" spans="1:15">
      <c r="A10" s="292" t="s">
        <v>200</v>
      </c>
      <c r="B10" s="292" t="s">
        <v>201</v>
      </c>
      <c r="C10" s="293" t="e">
        <f>#REF!</f>
        <v>#REF!</v>
      </c>
      <c r="D10" s="293" t="e">
        <f>#REF!</f>
        <v>#REF!</v>
      </c>
      <c r="E10" s="293" t="e">
        <f>#REF!</f>
        <v>#REF!</v>
      </c>
      <c r="F10" s="293" t="e">
        <f>#REF!</f>
        <v>#REF!</v>
      </c>
      <c r="G10" s="293" t="e">
        <f>#REF!</f>
        <v>#REF!</v>
      </c>
      <c r="H10" s="293" t="e">
        <f>#REF!</f>
        <v>#REF!</v>
      </c>
      <c r="I10" s="293" t="e">
        <f>#REF!</f>
        <v>#REF!</v>
      </c>
      <c r="J10" s="293" t="e">
        <f>#REF!</f>
        <v>#REF!</v>
      </c>
      <c r="K10" s="293" t="e">
        <f>#REF!</f>
        <v>#REF!</v>
      </c>
      <c r="L10" s="293" t="e">
        <f>#REF!</f>
        <v>#REF!</v>
      </c>
      <c r="M10" s="293" t="e">
        <f>#REF!</f>
        <v>#REF!</v>
      </c>
      <c r="N10" s="293" t="e">
        <f>#REF!</f>
        <v>#REF!</v>
      </c>
      <c r="O10" s="297"/>
    </row>
    <row r="11" spans="1:15">
      <c r="A11" s="294" t="s">
        <v>202</v>
      </c>
      <c r="B11" s="292" t="s">
        <v>201</v>
      </c>
      <c r="C11" s="295" t="e">
        <f>C10*18/118</f>
        <v>#REF!</v>
      </c>
      <c r="D11" s="295" t="e">
        <f t="shared" ref="D11:N11" si="0">D10*18/118</f>
        <v>#REF!</v>
      </c>
      <c r="E11" s="295" t="e">
        <f t="shared" si="0"/>
        <v>#REF!</v>
      </c>
      <c r="F11" s="295" t="e">
        <f t="shared" si="0"/>
        <v>#REF!</v>
      </c>
      <c r="G11" s="295" t="e">
        <f t="shared" si="0"/>
        <v>#REF!</v>
      </c>
      <c r="H11" s="295" t="e">
        <f t="shared" si="0"/>
        <v>#REF!</v>
      </c>
      <c r="I11" s="295" t="e">
        <f t="shared" si="0"/>
        <v>#REF!</v>
      </c>
      <c r="J11" s="295" t="e">
        <f t="shared" si="0"/>
        <v>#REF!</v>
      </c>
      <c r="K11" s="295" t="e">
        <f t="shared" si="0"/>
        <v>#REF!</v>
      </c>
      <c r="L11" s="295" t="e">
        <f t="shared" si="0"/>
        <v>#REF!</v>
      </c>
      <c r="M11" s="295" t="e">
        <f t="shared" si="0"/>
        <v>#REF!</v>
      </c>
      <c r="N11" s="295" t="e">
        <f t="shared" si="0"/>
        <v>#REF!</v>
      </c>
      <c r="O11" s="297"/>
    </row>
    <row r="12" spans="1:15">
      <c r="A12" s="292" t="s">
        <v>203</v>
      </c>
      <c r="B12" s="292" t="s">
        <v>201</v>
      </c>
      <c r="C12" s="293" t="e">
        <f>#REF!</f>
        <v>#REF!</v>
      </c>
      <c r="D12" s="293" t="e">
        <f>#REF!</f>
        <v>#REF!</v>
      </c>
      <c r="E12" s="293" t="e">
        <f>#REF!</f>
        <v>#REF!</v>
      </c>
      <c r="F12" s="293" t="e">
        <f>#REF!</f>
        <v>#REF!</v>
      </c>
      <c r="G12" s="293" t="e">
        <f>#REF!</f>
        <v>#REF!</v>
      </c>
      <c r="H12" s="293" t="e">
        <f>#REF!</f>
        <v>#REF!</v>
      </c>
      <c r="I12" s="293" t="e">
        <f>#REF!</f>
        <v>#REF!</v>
      </c>
      <c r="J12" s="293" t="e">
        <f>#REF!</f>
        <v>#REF!</v>
      </c>
      <c r="K12" s="293" t="e">
        <f>#REF!</f>
        <v>#REF!</v>
      </c>
      <c r="L12" s="293" t="e">
        <f>#REF!</f>
        <v>#REF!</v>
      </c>
      <c r="M12" s="293" t="e">
        <f>#REF!</f>
        <v>#REF!</v>
      </c>
      <c r="N12" s="293" t="e">
        <f>#REF!</f>
        <v>#REF!</v>
      </c>
      <c r="O12" s="297"/>
    </row>
    <row r="13" spans="1:15">
      <c r="A13" s="292" t="s">
        <v>204</v>
      </c>
      <c r="B13" s="292" t="s">
        <v>201</v>
      </c>
      <c r="C13" s="293" t="e">
        <f>(C12+C12*2.5%)*96.78%*20%+(C12+C12*2.5%)*2.76%*12%</f>
        <v>#REF!</v>
      </c>
      <c r="D13" s="293" t="e">
        <f t="shared" ref="D13:N13" si="1">(D12+D12*2.5%)*96.78%*20%+(D12+D12*2.5%)*2.76%*12%</f>
        <v>#REF!</v>
      </c>
      <c r="E13" s="293" t="e">
        <f t="shared" si="1"/>
        <v>#REF!</v>
      </c>
      <c r="F13" s="293" t="e">
        <f t="shared" si="1"/>
        <v>#REF!</v>
      </c>
      <c r="G13" s="293" t="e">
        <f t="shared" si="1"/>
        <v>#REF!</v>
      </c>
      <c r="H13" s="293" t="e">
        <f t="shared" si="1"/>
        <v>#REF!</v>
      </c>
      <c r="I13" s="293" t="e">
        <f t="shared" si="1"/>
        <v>#REF!</v>
      </c>
      <c r="J13" s="293" t="e">
        <f t="shared" si="1"/>
        <v>#REF!</v>
      </c>
      <c r="K13" s="293" t="e">
        <f t="shared" si="1"/>
        <v>#REF!</v>
      </c>
      <c r="L13" s="293" t="e">
        <f t="shared" si="1"/>
        <v>#REF!</v>
      </c>
      <c r="M13" s="293" t="e">
        <f t="shared" si="1"/>
        <v>#REF!</v>
      </c>
      <c r="N13" s="293" t="e">
        <f t="shared" si="1"/>
        <v>#REF!</v>
      </c>
      <c r="O13" s="297"/>
    </row>
    <row r="14" spans="1:15">
      <c r="A14" s="292" t="s">
        <v>205</v>
      </c>
      <c r="B14" s="292" t="s">
        <v>201</v>
      </c>
      <c r="C14" s="293" t="e">
        <f>C12*99.54%*2.5%</f>
        <v>#REF!</v>
      </c>
      <c r="D14" s="293" t="e">
        <f t="shared" ref="D14:N14" si="2">D12*99.54%*2.5%</f>
        <v>#REF!</v>
      </c>
      <c r="E14" s="293" t="e">
        <f t="shared" si="2"/>
        <v>#REF!</v>
      </c>
      <c r="F14" s="293" t="e">
        <f t="shared" si="2"/>
        <v>#REF!</v>
      </c>
      <c r="G14" s="293" t="e">
        <f t="shared" si="2"/>
        <v>#REF!</v>
      </c>
      <c r="H14" s="293" t="e">
        <f t="shared" si="2"/>
        <v>#REF!</v>
      </c>
      <c r="I14" s="293" t="e">
        <f t="shared" si="2"/>
        <v>#REF!</v>
      </c>
      <c r="J14" s="293" t="e">
        <f t="shared" si="2"/>
        <v>#REF!</v>
      </c>
      <c r="K14" s="293" t="e">
        <f t="shared" si="2"/>
        <v>#REF!</v>
      </c>
      <c r="L14" s="293" t="e">
        <f t="shared" si="2"/>
        <v>#REF!</v>
      </c>
      <c r="M14" s="293" t="e">
        <f t="shared" si="2"/>
        <v>#REF!</v>
      </c>
      <c r="N14" s="293" t="e">
        <f t="shared" si="2"/>
        <v>#REF!</v>
      </c>
      <c r="O14" s="297"/>
    </row>
    <row r="15" spans="1:15">
      <c r="A15" s="292" t="s">
        <v>206</v>
      </c>
      <c r="B15" s="292" t="s">
        <v>201</v>
      </c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7"/>
    </row>
    <row r="16" spans="1:15">
      <c r="A16" s="292" t="s">
        <v>207</v>
      </c>
      <c r="B16" s="292" t="s">
        <v>201</v>
      </c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7"/>
    </row>
    <row r="17" spans="1:15">
      <c r="A17" s="292" t="s">
        <v>208</v>
      </c>
      <c r="B17" s="292" t="s">
        <v>201</v>
      </c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7"/>
    </row>
    <row r="18" spans="1:15">
      <c r="A18" s="296" t="s">
        <v>209</v>
      </c>
      <c r="B18" s="292" t="s">
        <v>201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7"/>
    </row>
    <row r="19" spans="1:15">
      <c r="A19" s="296" t="s">
        <v>210</v>
      </c>
      <c r="B19" s="292" t="s">
        <v>201</v>
      </c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7"/>
    </row>
    <row r="20" spans="1:15">
      <c r="A20" s="296" t="s">
        <v>211</v>
      </c>
      <c r="B20" s="292" t="s">
        <v>201</v>
      </c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7"/>
    </row>
    <row r="21" spans="1:15">
      <c r="A21" s="296" t="s">
        <v>212</v>
      </c>
      <c r="B21" s="292" t="s">
        <v>201</v>
      </c>
      <c r="C21" s="293" t="e">
        <f>#REF!</f>
        <v>#REF!</v>
      </c>
      <c r="D21" s="293" t="e">
        <f>#REF!</f>
        <v>#REF!</v>
      </c>
      <c r="E21" s="293" t="e">
        <f>#REF!</f>
        <v>#REF!</v>
      </c>
      <c r="F21" s="293" t="e">
        <f>#REF!</f>
        <v>#REF!</v>
      </c>
      <c r="G21" s="293" t="e">
        <f>#REF!</f>
        <v>#REF!</v>
      </c>
      <c r="H21" s="293" t="e">
        <f>#REF!</f>
        <v>#REF!</v>
      </c>
      <c r="I21" s="293" t="e">
        <f>#REF!</f>
        <v>#REF!</v>
      </c>
      <c r="J21" s="293" t="e">
        <f>#REF!</f>
        <v>#REF!</v>
      </c>
      <c r="K21" s="293" t="e">
        <f>#REF!</f>
        <v>#REF!</v>
      </c>
      <c r="L21" s="293" t="e">
        <f>#REF!</f>
        <v>#REF!</v>
      </c>
      <c r="M21" s="293" t="e">
        <f>#REF!</f>
        <v>#REF!</v>
      </c>
      <c r="N21" s="293" t="e">
        <f>#REF!</f>
        <v>#REF!</v>
      </c>
      <c r="O21" s="297"/>
    </row>
    <row r="22" spans="1:15">
      <c r="A22" s="292" t="s">
        <v>213</v>
      </c>
      <c r="B22" s="292" t="s">
        <v>201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7"/>
    </row>
    <row r="23" spans="1:15">
      <c r="A23" s="292" t="s">
        <v>214</v>
      </c>
      <c r="B23" s="292" t="s">
        <v>201</v>
      </c>
      <c r="C23" s="293" t="e">
        <f>#REF!</f>
        <v>#REF!</v>
      </c>
      <c r="D23" s="293" t="e">
        <f>#REF!</f>
        <v>#REF!</v>
      </c>
      <c r="E23" s="293" t="e">
        <f>#REF!</f>
        <v>#REF!</v>
      </c>
      <c r="F23" s="293" t="e">
        <f>#REF!</f>
        <v>#REF!</v>
      </c>
      <c r="G23" s="293" t="e">
        <f>#REF!</f>
        <v>#REF!</v>
      </c>
      <c r="H23" s="293" t="e">
        <f>#REF!</f>
        <v>#REF!</v>
      </c>
      <c r="I23" s="293" t="e">
        <f>#REF!</f>
        <v>#REF!</v>
      </c>
      <c r="J23" s="293" t="e">
        <f>#REF!</f>
        <v>#REF!</v>
      </c>
      <c r="K23" s="293" t="e">
        <f>#REF!</f>
        <v>#REF!</v>
      </c>
      <c r="L23" s="293" t="e">
        <f>#REF!</f>
        <v>#REF!</v>
      </c>
      <c r="M23" s="293" t="e">
        <f>#REF!</f>
        <v>#REF!</v>
      </c>
      <c r="N23" s="293" t="e">
        <f>#REF!</f>
        <v>#REF!</v>
      </c>
      <c r="O23" s="297"/>
    </row>
    <row r="24" spans="1:15">
      <c r="A24" s="292" t="s">
        <v>215</v>
      </c>
      <c r="B24" s="292" t="s">
        <v>201</v>
      </c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7"/>
    </row>
    <row r="25" spans="1:15">
      <c r="A25" s="292" t="s">
        <v>216</v>
      </c>
      <c r="B25" s="292" t="s">
        <v>201</v>
      </c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7"/>
    </row>
    <row r="26" spans="1:15">
      <c r="A26" s="292" t="s">
        <v>217</v>
      </c>
      <c r="B26" s="292" t="s">
        <v>201</v>
      </c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293"/>
      <c r="O26" s="297"/>
    </row>
    <row r="27" spans="1:15">
      <c r="A27" s="292" t="s">
        <v>218</v>
      </c>
      <c r="B27" s="292" t="s">
        <v>201</v>
      </c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7"/>
    </row>
    <row r="28" spans="1:15">
      <c r="A28" s="292" t="s">
        <v>219</v>
      </c>
      <c r="B28" s="292" t="s">
        <v>201</v>
      </c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7"/>
    </row>
    <row r="29" spans="1:15">
      <c r="A29" s="292" t="s">
        <v>220</v>
      </c>
      <c r="B29" s="292" t="s">
        <v>201</v>
      </c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7"/>
    </row>
    <row r="30" spans="1:15">
      <c r="A30" s="292" t="s">
        <v>221</v>
      </c>
      <c r="B30" s="292" t="s">
        <v>201</v>
      </c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7"/>
    </row>
    <row r="31" spans="1:15">
      <c r="A31" s="292" t="s">
        <v>222</v>
      </c>
      <c r="B31" s="292" t="s">
        <v>201</v>
      </c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7"/>
    </row>
    <row r="32" spans="1:15">
      <c r="A32" s="292" t="s">
        <v>223</v>
      </c>
      <c r="B32" s="292" t="s">
        <v>201</v>
      </c>
      <c r="C32" s="293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7"/>
    </row>
    <row r="33" spans="1:15">
      <c r="A33" s="292" t="s">
        <v>224</v>
      </c>
      <c r="B33" s="292" t="s">
        <v>201</v>
      </c>
      <c r="C33" s="293"/>
      <c r="D33" s="293"/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7"/>
    </row>
    <row r="34" spans="1:15">
      <c r="A34" s="292" t="s">
        <v>225</v>
      </c>
      <c r="B34" s="292" t="s">
        <v>201</v>
      </c>
      <c r="C34" s="293"/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7"/>
    </row>
    <row r="35" spans="1:15">
      <c r="A35" s="292" t="s">
        <v>226</v>
      </c>
      <c r="B35" s="292" t="s">
        <v>201</v>
      </c>
      <c r="C35" s="293"/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7"/>
    </row>
    <row r="36" spans="1:15">
      <c r="A36" s="292" t="s">
        <v>227</v>
      </c>
      <c r="B36" s="292" t="s">
        <v>201</v>
      </c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7"/>
    </row>
    <row r="37" spans="1:15">
      <c r="A37" s="292" t="s">
        <v>228</v>
      </c>
      <c r="B37" s="292" t="s">
        <v>201</v>
      </c>
      <c r="C37" s="293" t="e">
        <f>#REF!/1.18/12</f>
        <v>#REF!</v>
      </c>
      <c r="D37" s="293" t="e">
        <f>#REF!/1.18/12</f>
        <v>#REF!</v>
      </c>
      <c r="E37" s="293" t="e">
        <f>#REF!/1.18/12</f>
        <v>#REF!</v>
      </c>
      <c r="F37" s="293" t="e">
        <f>#REF!/1.18/12</f>
        <v>#REF!</v>
      </c>
      <c r="G37" s="293" t="e">
        <f>#REF!/1.18/12</f>
        <v>#REF!</v>
      </c>
      <c r="H37" s="293" t="e">
        <f>#REF!/1.18/12</f>
        <v>#REF!</v>
      </c>
      <c r="I37" s="293" t="e">
        <f>#REF!/1.18/12</f>
        <v>#REF!</v>
      </c>
      <c r="J37" s="293" t="e">
        <f>#REF!/1.18/12</f>
        <v>#REF!</v>
      </c>
      <c r="K37" s="293" t="e">
        <f>#REF!/1.18/12</f>
        <v>#REF!</v>
      </c>
      <c r="L37" s="293" t="e">
        <f>#REF!/1.18/12</f>
        <v>#REF!</v>
      </c>
      <c r="M37" s="293" t="e">
        <f>#REF!/1.18/12</f>
        <v>#REF!</v>
      </c>
      <c r="N37" s="293" t="e">
        <f>#REF!/1.18/12</f>
        <v>#REF!</v>
      </c>
      <c r="O37" s="297"/>
    </row>
    <row r="38" spans="1:15">
      <c r="A38" s="292" t="s">
        <v>229</v>
      </c>
      <c r="B38" s="292" t="s">
        <v>201</v>
      </c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7"/>
    </row>
    <row r="39" spans="1:15">
      <c r="A39" s="292" t="s">
        <v>230</v>
      </c>
      <c r="B39" s="292" t="s">
        <v>201</v>
      </c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7"/>
    </row>
    <row r="40" spans="1:15">
      <c r="A40" s="292" t="s">
        <v>231</v>
      </c>
      <c r="B40" s="292" t="s">
        <v>201</v>
      </c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7"/>
    </row>
    <row r="41" spans="1:15">
      <c r="A41" s="292" t="s">
        <v>232</v>
      </c>
      <c r="B41" s="292" t="s">
        <v>201</v>
      </c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7"/>
    </row>
    <row r="42" spans="1:15">
      <c r="A42" s="292" t="s">
        <v>233</v>
      </c>
      <c r="B42" s="292" t="s">
        <v>201</v>
      </c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7"/>
    </row>
    <row r="43" spans="1:15">
      <c r="A43" s="292" t="s">
        <v>234</v>
      </c>
      <c r="B43" s="292" t="s">
        <v>201</v>
      </c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7"/>
    </row>
    <row r="44" spans="1:15">
      <c r="A44" s="292" t="s">
        <v>235</v>
      </c>
      <c r="B44" s="292" t="s">
        <v>201</v>
      </c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7"/>
    </row>
    <row r="45" spans="1:15">
      <c r="A45" s="292" t="s">
        <v>236</v>
      </c>
      <c r="B45" s="292" t="s">
        <v>201</v>
      </c>
      <c r="C45" s="293" t="e">
        <f>#REF!/1.18/6</f>
        <v>#REF!</v>
      </c>
      <c r="D45" s="293" t="e">
        <f>#REF!/1.18/6</f>
        <v>#REF!</v>
      </c>
      <c r="E45" s="293" t="e">
        <f>#REF!/1.18/6</f>
        <v>#REF!</v>
      </c>
      <c r="F45" s="293" t="e">
        <f>#REF!/1.18/6</f>
        <v>#REF!</v>
      </c>
      <c r="G45" s="293" t="e">
        <f>#REF!/1.18/6</f>
        <v>#REF!</v>
      </c>
      <c r="H45" s="293" t="e">
        <f>#REF!/1.18/6</f>
        <v>#REF!</v>
      </c>
      <c r="I45" s="293" t="e">
        <f>#REF!/1.18/6</f>
        <v>#REF!</v>
      </c>
      <c r="J45" s="293" t="e">
        <f>#REF!/1.18/6</f>
        <v>#REF!</v>
      </c>
      <c r="K45" s="293" t="e">
        <f>#REF!/1.18/6</f>
        <v>#REF!</v>
      </c>
      <c r="L45" s="293" t="e">
        <f>#REF!/1.18/6</f>
        <v>#REF!</v>
      </c>
      <c r="M45" s="293" t="e">
        <f>#REF!/1.18/6</f>
        <v>#REF!</v>
      </c>
      <c r="N45" s="293" t="e">
        <f>#REF!/1.18/6</f>
        <v>#REF!</v>
      </c>
      <c r="O45" s="297"/>
    </row>
    <row r="46" spans="1:15">
      <c r="A46" s="292" t="s">
        <v>237</v>
      </c>
      <c r="B46" s="292" t="s">
        <v>201</v>
      </c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7"/>
    </row>
    <row r="47" spans="1:15">
      <c r="A47" s="292" t="s">
        <v>238</v>
      </c>
      <c r="B47" s="292" t="s">
        <v>201</v>
      </c>
      <c r="C47" s="293" t="e">
        <f>#REF!/1.18</f>
        <v>#REF!</v>
      </c>
      <c r="D47" s="293" t="e">
        <f>#REF!/1.18</f>
        <v>#REF!</v>
      </c>
      <c r="E47" s="293" t="e">
        <f>#REF!/1.18</f>
        <v>#REF!</v>
      </c>
      <c r="F47" s="293" t="e">
        <f>#REF!/1.18</f>
        <v>#REF!</v>
      </c>
      <c r="G47" s="293" t="e">
        <f>#REF!/1.18</f>
        <v>#REF!</v>
      </c>
      <c r="H47" s="293" t="e">
        <f>#REF!/1.18</f>
        <v>#REF!</v>
      </c>
      <c r="I47" s="293" t="e">
        <f>#REF!/1.18</f>
        <v>#REF!</v>
      </c>
      <c r="J47" s="293" t="e">
        <f>#REF!/1.18</f>
        <v>#REF!</v>
      </c>
      <c r="K47" s="293" t="e">
        <f>#REF!/1.18</f>
        <v>#REF!</v>
      </c>
      <c r="L47" s="293" t="e">
        <f>#REF!/1.18</f>
        <v>#REF!</v>
      </c>
      <c r="M47" s="293" t="e">
        <f>#REF!/1.18</f>
        <v>#REF!</v>
      </c>
      <c r="N47" s="293" t="e">
        <f>#REF!/1.18</f>
        <v>#REF!</v>
      </c>
      <c r="O47" s="297"/>
    </row>
    <row r="48" spans="1:15">
      <c r="A48" s="292" t="s">
        <v>239</v>
      </c>
      <c r="B48" s="292" t="s">
        <v>201</v>
      </c>
      <c r="C48" s="293" t="e">
        <f>#REF!/1.18</f>
        <v>#REF!</v>
      </c>
      <c r="D48" s="293" t="e">
        <f>#REF!/1.18</f>
        <v>#REF!</v>
      </c>
      <c r="E48" s="293" t="e">
        <f>#REF!/1.18</f>
        <v>#REF!</v>
      </c>
      <c r="F48" s="293" t="e">
        <f>#REF!/1.18</f>
        <v>#REF!</v>
      </c>
      <c r="G48" s="293" t="e">
        <f>#REF!/1.18</f>
        <v>#REF!</v>
      </c>
      <c r="H48" s="293" t="e">
        <f>#REF!/1.18</f>
        <v>#REF!</v>
      </c>
      <c r="I48" s="293" t="e">
        <f>#REF!/1.18</f>
        <v>#REF!</v>
      </c>
      <c r="J48" s="293" t="e">
        <f>#REF!/1.18</f>
        <v>#REF!</v>
      </c>
      <c r="K48" s="293" t="e">
        <f>#REF!/1.18</f>
        <v>#REF!</v>
      </c>
      <c r="L48" s="293" t="e">
        <f>#REF!/1.18</f>
        <v>#REF!</v>
      </c>
      <c r="M48" s="293" t="e">
        <f>#REF!/1.18</f>
        <v>#REF!</v>
      </c>
      <c r="N48" s="293" t="e">
        <f>#REF!/1.18</f>
        <v>#REF!</v>
      </c>
      <c r="O48" s="297"/>
    </row>
    <row r="49" spans="1:15">
      <c r="A49" s="292" t="s">
        <v>240</v>
      </c>
      <c r="B49" s="292" t="s">
        <v>201</v>
      </c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7"/>
    </row>
    <row r="50" spans="1:15">
      <c r="A50" s="292" t="s">
        <v>241</v>
      </c>
      <c r="B50" s="292" t="s">
        <v>201</v>
      </c>
      <c r="C50" s="293" t="e">
        <f>(C12+C13+C14)*0.5%</f>
        <v>#REF!</v>
      </c>
      <c r="D50" s="293" t="e">
        <f t="shared" ref="D50:N50" si="3">(D12+D13+D14)*0.5%</f>
        <v>#REF!</v>
      </c>
      <c r="E50" s="293" t="e">
        <f t="shared" si="3"/>
        <v>#REF!</v>
      </c>
      <c r="F50" s="293" t="e">
        <f t="shared" si="3"/>
        <v>#REF!</v>
      </c>
      <c r="G50" s="293" t="e">
        <f t="shared" si="3"/>
        <v>#REF!</v>
      </c>
      <c r="H50" s="293" t="e">
        <f t="shared" si="3"/>
        <v>#REF!</v>
      </c>
      <c r="I50" s="293" t="e">
        <f t="shared" si="3"/>
        <v>#REF!</v>
      </c>
      <c r="J50" s="293" t="e">
        <f t="shared" si="3"/>
        <v>#REF!</v>
      </c>
      <c r="K50" s="293" t="e">
        <f t="shared" si="3"/>
        <v>#REF!</v>
      </c>
      <c r="L50" s="293" t="e">
        <f t="shared" si="3"/>
        <v>#REF!</v>
      </c>
      <c r="M50" s="293" t="e">
        <f t="shared" si="3"/>
        <v>#REF!</v>
      </c>
      <c r="N50" s="293" t="e">
        <f t="shared" si="3"/>
        <v>#REF!</v>
      </c>
      <c r="O50" s="297"/>
    </row>
    <row r="51" spans="1:15">
      <c r="A51" s="292" t="s">
        <v>242</v>
      </c>
      <c r="B51" s="292" t="s">
        <v>201</v>
      </c>
      <c r="C51" s="313">
        <f>'Purchase old'!D120/1.18</f>
        <v>0</v>
      </c>
      <c r="D51" s="313">
        <f>'Purchase old'!E120/1.18</f>
        <v>0</v>
      </c>
      <c r="E51" s="313">
        <f>'Purchase old'!F120/1.18</f>
        <v>0</v>
      </c>
      <c r="F51" s="313" t="e">
        <f>'Purchase old'!G120/1.18</f>
        <v>#REF!</v>
      </c>
      <c r="G51" s="313" t="e">
        <f>'Purchase old'!#REF!/1.18</f>
        <v>#REF!</v>
      </c>
      <c r="H51" s="313" t="e">
        <f>'Purchase old'!#REF!/1.18</f>
        <v>#REF!</v>
      </c>
      <c r="I51" s="313" t="e">
        <f>'Purchase old'!H120/1.18</f>
        <v>#REF!</v>
      </c>
      <c r="J51" s="313">
        <f>'Purchase old'!I120/1.18</f>
        <v>0</v>
      </c>
      <c r="K51" s="313">
        <f>'Purchase old'!J120/1.18</f>
        <v>0</v>
      </c>
      <c r="L51" s="313" t="e">
        <f>'Purchase old'!K120/1.18</f>
        <v>#REF!</v>
      </c>
      <c r="M51" s="313">
        <f>'Purchase old'!L120/1.18</f>
        <v>0</v>
      </c>
      <c r="N51" s="313" t="e">
        <f>'Purchase old'!M120/1.18</f>
        <v>#REF!</v>
      </c>
      <c r="O51" s="297"/>
    </row>
    <row r="52" spans="1:15">
      <c r="A52" s="292" t="s">
        <v>243</v>
      </c>
      <c r="B52" s="292" t="s">
        <v>201</v>
      </c>
      <c r="C52" s="293" t="e">
        <f>'Purchase old'!D125+#REF!/12</f>
        <v>#REF!</v>
      </c>
      <c r="D52" s="293" t="e">
        <f>'Purchase old'!E125+#REF!/12</f>
        <v>#REF!</v>
      </c>
      <c r="E52" s="293" t="e">
        <f>'Purchase old'!F125+#REF!/12</f>
        <v>#REF!</v>
      </c>
      <c r="F52" s="293" t="e">
        <f>'Purchase old'!G125+#REF!/12</f>
        <v>#REF!</v>
      </c>
      <c r="G52" s="293" t="e">
        <f>'Purchase old'!#REF!+#REF!/12</f>
        <v>#REF!</v>
      </c>
      <c r="H52" s="293" t="e">
        <f>'Purchase old'!#REF!+#REF!/12</f>
        <v>#REF!</v>
      </c>
      <c r="I52" s="293" t="e">
        <f>'Purchase old'!H125+#REF!/12</f>
        <v>#REF!</v>
      </c>
      <c r="J52" s="293" t="e">
        <f>'Purchase old'!I125+#REF!/12</f>
        <v>#REF!</v>
      </c>
      <c r="K52" s="293" t="e">
        <f>'Purchase old'!J125+#REF!/12</f>
        <v>#REF!</v>
      </c>
      <c r="L52" s="293" t="e">
        <f>'Purchase old'!K125+#REF!/12</f>
        <v>#REF!</v>
      </c>
      <c r="M52" s="293" t="e">
        <f>'Purchase old'!L125+#REF!/12</f>
        <v>#REF!</v>
      </c>
      <c r="N52" s="293" t="e">
        <f>'Purchase old'!M125+#REF!/12</f>
        <v>#REF!</v>
      </c>
      <c r="O52" s="297"/>
    </row>
    <row r="53" spans="1:15">
      <c r="A53" s="292" t="s">
        <v>244</v>
      </c>
      <c r="B53" s="292" t="s">
        <v>201</v>
      </c>
      <c r="C53" s="293">
        <f>'Purchase old'!D124</f>
        <v>0</v>
      </c>
      <c r="D53" s="293">
        <f>'Purchase old'!E124</f>
        <v>0</v>
      </c>
      <c r="E53" s="293">
        <f>'Purchase old'!F124</f>
        <v>0</v>
      </c>
      <c r="F53" s="293">
        <f>'Purchase old'!G124</f>
        <v>0</v>
      </c>
      <c r="G53" s="293" t="e">
        <f>'Purchase old'!#REF!</f>
        <v>#REF!</v>
      </c>
      <c r="H53" s="293" t="e">
        <f>'Purchase old'!#REF!</f>
        <v>#REF!</v>
      </c>
      <c r="I53" s="293">
        <f>'Purchase old'!H124</f>
        <v>0</v>
      </c>
      <c r="J53" s="293">
        <f>'Purchase old'!I124</f>
        <v>0</v>
      </c>
      <c r="K53" s="293">
        <f>'Purchase old'!J124</f>
        <v>0</v>
      </c>
      <c r="L53" s="293">
        <f>'Purchase old'!K124</f>
        <v>0</v>
      </c>
      <c r="M53" s="293">
        <f>'Purchase old'!L124</f>
        <v>0</v>
      </c>
      <c r="N53" s="293">
        <f>'Purchase old'!M124</f>
        <v>0</v>
      </c>
      <c r="O53" s="297"/>
    </row>
    <row r="54" spans="1:15">
      <c r="A54" s="292" t="s">
        <v>245</v>
      </c>
      <c r="B54" s="292" t="s">
        <v>201</v>
      </c>
      <c r="C54" s="293">
        <f>'Purchase old'!D123</f>
        <v>0</v>
      </c>
      <c r="D54" s="293">
        <f>'Purchase old'!E123</f>
        <v>0</v>
      </c>
      <c r="E54" s="293">
        <f>'Purchase old'!F123</f>
        <v>0</v>
      </c>
      <c r="F54" s="293" t="e">
        <f>'Purchase old'!G123</f>
        <v>#REF!</v>
      </c>
      <c r="G54" s="293" t="e">
        <f>'Purchase old'!#REF!</f>
        <v>#REF!</v>
      </c>
      <c r="H54" s="293" t="e">
        <f>'Purchase old'!#REF!</f>
        <v>#REF!</v>
      </c>
      <c r="I54" s="293" t="e">
        <f>'Purchase old'!H123</f>
        <v>#REF!</v>
      </c>
      <c r="J54" s="293">
        <f>'Purchase old'!I123</f>
        <v>0</v>
      </c>
      <c r="K54" s="293">
        <f>'Purchase old'!J123</f>
        <v>0</v>
      </c>
      <c r="L54" s="293" t="e">
        <f>'Purchase old'!K123</f>
        <v>#REF!</v>
      </c>
      <c r="M54" s="293">
        <f>'Purchase old'!L123</f>
        <v>0</v>
      </c>
      <c r="N54" s="293" t="e">
        <f>'Purchase old'!M123</f>
        <v>#REF!</v>
      </c>
      <c r="O54" s="297"/>
    </row>
    <row r="55" spans="1:15">
      <c r="A55" s="292" t="s">
        <v>246</v>
      </c>
      <c r="B55" s="292" t="s">
        <v>201</v>
      </c>
      <c r="C55" s="293">
        <f>'Purchase old'!D121</f>
        <v>0</v>
      </c>
      <c r="D55" s="293">
        <f>'Purchase old'!E121</f>
        <v>0</v>
      </c>
      <c r="E55" s="293">
        <f>'Purchase old'!F121</f>
        <v>0</v>
      </c>
      <c r="F55" s="293">
        <f>'Purchase old'!G121</f>
        <v>0</v>
      </c>
      <c r="G55" s="293" t="e">
        <f>'Purchase old'!#REF!</f>
        <v>#REF!</v>
      </c>
      <c r="H55" s="293" t="e">
        <f>'Purchase old'!#REF!</f>
        <v>#REF!</v>
      </c>
      <c r="I55" s="293">
        <f>'Purchase old'!H121</f>
        <v>0</v>
      </c>
      <c r="J55" s="293">
        <f>'Purchase old'!I121</f>
        <v>0</v>
      </c>
      <c r="K55" s="293">
        <f>'Purchase old'!J121</f>
        <v>0</v>
      </c>
      <c r="L55" s="293">
        <f>'Purchase old'!K121</f>
        <v>0</v>
      </c>
      <c r="M55" s="293">
        <f>'Purchase old'!L121</f>
        <v>0</v>
      </c>
      <c r="N55" s="293">
        <f>'Purchase old'!M121</f>
        <v>0</v>
      </c>
      <c r="O55" s="297"/>
    </row>
    <row r="56" spans="1:15">
      <c r="A56" s="292" t="s">
        <v>247</v>
      </c>
      <c r="B56" s="292" t="s">
        <v>201</v>
      </c>
      <c r="C56" s="293">
        <f>'Purchase old'!D122</f>
        <v>0</v>
      </c>
      <c r="D56" s="293">
        <f>'Purchase old'!E122</f>
        <v>0</v>
      </c>
      <c r="E56" s="293">
        <f>'Purchase old'!F122</f>
        <v>0</v>
      </c>
      <c r="F56" s="293">
        <f>'Purchase old'!G122</f>
        <v>0</v>
      </c>
      <c r="G56" s="293" t="e">
        <f>'Purchase old'!#REF!</f>
        <v>#REF!</v>
      </c>
      <c r="H56" s="293" t="e">
        <f>'Purchase old'!#REF!</f>
        <v>#REF!</v>
      </c>
      <c r="I56" s="293">
        <f>'Purchase old'!H122</f>
        <v>0</v>
      </c>
      <c r="J56" s="293">
        <f>'Purchase old'!I122</f>
        <v>0</v>
      </c>
      <c r="K56" s="293">
        <f>'Purchase old'!J122</f>
        <v>0</v>
      </c>
      <c r="L56" s="293">
        <f>'Purchase old'!K122</f>
        <v>0</v>
      </c>
      <c r="M56" s="293">
        <f>'Purchase old'!L122</f>
        <v>0</v>
      </c>
      <c r="N56" s="293">
        <f>'Purchase old'!M122</f>
        <v>0</v>
      </c>
      <c r="O56" s="297"/>
    </row>
    <row r="57" spans="1:15">
      <c r="A57" s="292" t="s">
        <v>248</v>
      </c>
      <c r="B57" s="292" t="s">
        <v>201</v>
      </c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</row>
  </sheetData>
  <phoneticPr fontId="14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9"/>
  <sheetViews>
    <sheetView showGridLines="0" workbookViewId="0">
      <selection activeCell="D29" sqref="D29"/>
    </sheetView>
  </sheetViews>
  <sheetFormatPr defaultColWidth="8.7109375" defaultRowHeight="12.75"/>
  <cols>
    <col min="2" max="2" width="26.42578125" bestFit="1" customWidth="1"/>
  </cols>
  <sheetData>
    <row r="2" spans="2:16">
      <c r="O2" s="402" t="s">
        <v>330</v>
      </c>
      <c r="P2">
        <v>32.125</v>
      </c>
    </row>
    <row r="3" spans="2:16" ht="15.75">
      <c r="B3" s="3" t="s">
        <v>323</v>
      </c>
      <c r="O3" s="402" t="s">
        <v>325</v>
      </c>
      <c r="P3">
        <v>1500</v>
      </c>
    </row>
    <row r="5" spans="2:16" ht="15">
      <c r="B5" s="392" t="s">
        <v>322</v>
      </c>
      <c r="C5" s="380" t="s">
        <v>271</v>
      </c>
      <c r="D5" s="380" t="s">
        <v>272</v>
      </c>
      <c r="E5" s="380" t="s">
        <v>273</v>
      </c>
      <c r="F5" s="380" t="s">
        <v>274</v>
      </c>
      <c r="G5" s="380" t="s">
        <v>275</v>
      </c>
      <c r="H5" s="380" t="s">
        <v>276</v>
      </c>
      <c r="I5" s="380" t="s">
        <v>277</v>
      </c>
      <c r="J5" s="380" t="s">
        <v>278</v>
      </c>
      <c r="K5" s="380" t="s">
        <v>279</v>
      </c>
      <c r="L5" s="380" t="s">
        <v>280</v>
      </c>
      <c r="M5" s="380" t="s">
        <v>281</v>
      </c>
      <c r="N5" s="380" t="s">
        <v>282</v>
      </c>
      <c r="P5" s="380" t="s">
        <v>324</v>
      </c>
    </row>
    <row r="6" spans="2:16" ht="15">
      <c r="B6" s="447" t="s">
        <v>332</v>
      </c>
      <c r="C6" s="297">
        <f>3102.50299+100</f>
        <v>3202.50299</v>
      </c>
      <c r="D6" s="297">
        <f>C6</f>
        <v>3202.50299</v>
      </c>
      <c r="E6" s="297">
        <f t="shared" ref="E6:N6" si="0">D6</f>
        <v>3202.50299</v>
      </c>
      <c r="F6" s="297">
        <f t="shared" si="0"/>
        <v>3202.50299</v>
      </c>
      <c r="G6" s="297">
        <f t="shared" si="0"/>
        <v>3202.50299</v>
      </c>
      <c r="H6" s="297">
        <f t="shared" si="0"/>
        <v>3202.50299</v>
      </c>
      <c r="I6" s="297">
        <f t="shared" si="0"/>
        <v>3202.50299</v>
      </c>
      <c r="J6" s="297">
        <f t="shared" si="0"/>
        <v>3202.50299</v>
      </c>
      <c r="K6" s="297">
        <f t="shared" si="0"/>
        <v>3202.50299</v>
      </c>
      <c r="L6" s="297">
        <f t="shared" si="0"/>
        <v>3202.50299</v>
      </c>
      <c r="M6" s="297">
        <f t="shared" si="0"/>
        <v>3202.50299</v>
      </c>
      <c r="N6" s="297">
        <f t="shared" si="0"/>
        <v>3202.50299</v>
      </c>
      <c r="P6" s="297"/>
    </row>
    <row r="7" spans="2:16" ht="15">
      <c r="B7" s="44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P7" s="297"/>
    </row>
    <row r="8" spans="2:16" ht="15">
      <c r="B8" s="449" t="s">
        <v>326</v>
      </c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P8" s="297"/>
    </row>
    <row r="9" spans="2:16">
      <c r="B9" s="448" t="s">
        <v>309</v>
      </c>
      <c r="C9" s="297">
        <v>2726</v>
      </c>
      <c r="D9" s="297">
        <f>C9</f>
        <v>2726</v>
      </c>
      <c r="E9" s="297">
        <f t="shared" ref="E9:N11" si="1">D9</f>
        <v>2726</v>
      </c>
      <c r="F9" s="297">
        <f t="shared" si="1"/>
        <v>2726</v>
      </c>
      <c r="G9" s="297">
        <f t="shared" si="1"/>
        <v>2726</v>
      </c>
      <c r="H9" s="297">
        <f t="shared" si="1"/>
        <v>2726</v>
      </c>
      <c r="I9" s="297">
        <f t="shared" si="1"/>
        <v>2726</v>
      </c>
      <c r="J9" s="297">
        <f t="shared" si="1"/>
        <v>2726</v>
      </c>
      <c r="K9" s="297">
        <f t="shared" si="1"/>
        <v>2726</v>
      </c>
      <c r="L9" s="297">
        <f t="shared" si="1"/>
        <v>2726</v>
      </c>
      <c r="M9" s="297">
        <f t="shared" si="1"/>
        <v>2726</v>
      </c>
      <c r="N9" s="297">
        <f t="shared" si="1"/>
        <v>2726</v>
      </c>
      <c r="P9" s="297">
        <v>71.3</v>
      </c>
    </row>
    <row r="10" spans="2:16">
      <c r="B10" s="448" t="s">
        <v>305</v>
      </c>
      <c r="C10" s="297">
        <v>9907</v>
      </c>
      <c r="D10" s="297">
        <f>C10</f>
        <v>9907</v>
      </c>
      <c r="E10" s="297">
        <f t="shared" si="1"/>
        <v>9907</v>
      </c>
      <c r="F10" s="297">
        <f t="shared" si="1"/>
        <v>9907</v>
      </c>
      <c r="G10" s="297">
        <f t="shared" si="1"/>
        <v>9907</v>
      </c>
      <c r="H10" s="297">
        <f t="shared" si="1"/>
        <v>9907</v>
      </c>
      <c r="I10" s="297">
        <f t="shared" si="1"/>
        <v>9907</v>
      </c>
      <c r="J10" s="297">
        <f t="shared" si="1"/>
        <v>9907</v>
      </c>
      <c r="K10" s="297">
        <f t="shared" si="1"/>
        <v>9907</v>
      </c>
      <c r="L10" s="297">
        <f t="shared" si="1"/>
        <v>9907</v>
      </c>
      <c r="M10" s="297">
        <f t="shared" si="1"/>
        <v>9907</v>
      </c>
      <c r="N10" s="297">
        <f t="shared" si="1"/>
        <v>9907</v>
      </c>
      <c r="P10" s="297">
        <v>133.19999999999999</v>
      </c>
    </row>
    <row r="11" spans="2:16">
      <c r="B11" s="448" t="s">
        <v>311</v>
      </c>
      <c r="C11" s="297">
        <v>8873</v>
      </c>
      <c r="D11" s="297">
        <f>C11</f>
        <v>8873</v>
      </c>
      <c r="E11" s="297">
        <f t="shared" si="1"/>
        <v>8873</v>
      </c>
      <c r="F11" s="297">
        <f t="shared" si="1"/>
        <v>8873</v>
      </c>
      <c r="G11" s="297">
        <f t="shared" si="1"/>
        <v>8873</v>
      </c>
      <c r="H11" s="297">
        <f t="shared" si="1"/>
        <v>8873</v>
      </c>
      <c r="I11" s="297">
        <f t="shared" si="1"/>
        <v>8873</v>
      </c>
      <c r="J11" s="297">
        <f t="shared" si="1"/>
        <v>8873</v>
      </c>
      <c r="K11" s="297">
        <f t="shared" si="1"/>
        <v>8873</v>
      </c>
      <c r="L11" s="297">
        <f t="shared" si="1"/>
        <v>8873</v>
      </c>
      <c r="M11" s="297">
        <f t="shared" si="1"/>
        <v>8873</v>
      </c>
      <c r="N11" s="297">
        <f t="shared" si="1"/>
        <v>8873</v>
      </c>
      <c r="P11" s="297">
        <v>65.28</v>
      </c>
    </row>
    <row r="12" spans="2:16">
      <c r="B12" s="448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P12" s="297"/>
    </row>
    <row r="13" spans="2:16">
      <c r="B13" s="450" t="s">
        <v>327</v>
      </c>
      <c r="C13" s="297"/>
      <c r="D13" s="297"/>
      <c r="E13" s="297"/>
      <c r="F13" s="297"/>
      <c r="G13" s="297"/>
      <c r="H13" s="297"/>
      <c r="I13" s="297"/>
      <c r="J13" s="297"/>
      <c r="K13" s="297"/>
      <c r="L13" s="297"/>
      <c r="M13" s="297"/>
      <c r="N13" s="297"/>
      <c r="P13" s="297"/>
    </row>
    <row r="14" spans="2:16">
      <c r="B14" s="448" t="s">
        <v>312</v>
      </c>
      <c r="C14" s="297">
        <v>0</v>
      </c>
      <c r="D14" s="297">
        <f>F14/2</f>
        <v>2409.375</v>
      </c>
      <c r="E14" s="297">
        <f>D14</f>
        <v>2409.375</v>
      </c>
      <c r="F14" s="297">
        <f>$P14*$P$3*$P$2/1000</f>
        <v>4818.75</v>
      </c>
      <c r="G14" s="297">
        <f t="shared" ref="G14:N14" si="2">F14</f>
        <v>4818.75</v>
      </c>
      <c r="H14" s="297">
        <f t="shared" si="2"/>
        <v>4818.75</v>
      </c>
      <c r="I14" s="297">
        <f t="shared" si="2"/>
        <v>4818.75</v>
      </c>
      <c r="J14" s="297">
        <f t="shared" si="2"/>
        <v>4818.75</v>
      </c>
      <c r="K14" s="297">
        <f t="shared" si="2"/>
        <v>4818.75</v>
      </c>
      <c r="L14" s="297">
        <f t="shared" si="2"/>
        <v>4818.75</v>
      </c>
      <c r="M14" s="297">
        <f t="shared" si="2"/>
        <v>4818.75</v>
      </c>
      <c r="N14" s="297">
        <f t="shared" si="2"/>
        <v>4818.75</v>
      </c>
      <c r="P14" s="297">
        <v>100</v>
      </c>
    </row>
    <row r="15" spans="2:16">
      <c r="B15" s="448" t="s">
        <v>313</v>
      </c>
      <c r="C15" s="297">
        <f>D15/2</f>
        <v>2168.4375</v>
      </c>
      <c r="D15" s="297">
        <f>$P15*$P$3*$P$2/1000</f>
        <v>4336.875</v>
      </c>
      <c r="E15" s="297">
        <f t="shared" ref="E15:N16" si="3">D15</f>
        <v>4336.875</v>
      </c>
      <c r="F15" s="297">
        <f t="shared" si="3"/>
        <v>4336.875</v>
      </c>
      <c r="G15" s="297">
        <f t="shared" si="3"/>
        <v>4336.875</v>
      </c>
      <c r="H15" s="297">
        <f t="shared" si="3"/>
        <v>4336.875</v>
      </c>
      <c r="I15" s="297">
        <f t="shared" si="3"/>
        <v>4336.875</v>
      </c>
      <c r="J15" s="297">
        <f t="shared" si="3"/>
        <v>4336.875</v>
      </c>
      <c r="K15" s="297">
        <f t="shared" si="3"/>
        <v>4336.875</v>
      </c>
      <c r="L15" s="297">
        <f t="shared" si="3"/>
        <v>4336.875</v>
      </c>
      <c r="M15" s="297">
        <f t="shared" si="3"/>
        <v>4336.875</v>
      </c>
      <c r="N15" s="297">
        <f t="shared" si="3"/>
        <v>4336.875</v>
      </c>
      <c r="P15" s="297">
        <v>90</v>
      </c>
    </row>
    <row r="16" spans="2:16">
      <c r="B16" s="448" t="s">
        <v>314</v>
      </c>
      <c r="C16" s="297">
        <v>0</v>
      </c>
      <c r="D16" s="297">
        <v>0</v>
      </c>
      <c r="E16" s="297">
        <v>0</v>
      </c>
      <c r="F16" s="297">
        <v>0</v>
      </c>
      <c r="G16" s="297">
        <f>I16/2</f>
        <v>2891.25</v>
      </c>
      <c r="H16" s="297">
        <f>G16</f>
        <v>2891.25</v>
      </c>
      <c r="I16" s="297">
        <f>$P16*$P$3*$P$2/1000</f>
        <v>5782.5</v>
      </c>
      <c r="J16" s="297">
        <f t="shared" si="3"/>
        <v>5782.5</v>
      </c>
      <c r="K16" s="297">
        <f t="shared" si="3"/>
        <v>5782.5</v>
      </c>
      <c r="L16" s="297">
        <f t="shared" si="3"/>
        <v>5782.5</v>
      </c>
      <c r="M16" s="297">
        <f t="shared" si="3"/>
        <v>5782.5</v>
      </c>
      <c r="N16" s="297">
        <f t="shared" si="3"/>
        <v>5782.5</v>
      </c>
      <c r="P16" s="297">
        <v>120</v>
      </c>
    </row>
    <row r="17" spans="2:16">
      <c r="B17" s="448" t="s">
        <v>315</v>
      </c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P17" s="297">
        <v>120</v>
      </c>
    </row>
    <row r="18" spans="2:16">
      <c r="B18" s="448" t="s">
        <v>316</v>
      </c>
      <c r="C18" s="297">
        <f>D18/2</f>
        <v>3276.75</v>
      </c>
      <c r="D18" s="297">
        <f>$P18*$P$3*$P$2/1000</f>
        <v>6553.5</v>
      </c>
      <c r="E18" s="297">
        <f t="shared" ref="E18:N18" si="4">D18</f>
        <v>6553.5</v>
      </c>
      <c r="F18" s="297">
        <f t="shared" si="4"/>
        <v>6553.5</v>
      </c>
      <c r="G18" s="297">
        <f t="shared" si="4"/>
        <v>6553.5</v>
      </c>
      <c r="H18" s="297">
        <f t="shared" si="4"/>
        <v>6553.5</v>
      </c>
      <c r="I18" s="297">
        <f t="shared" si="4"/>
        <v>6553.5</v>
      </c>
      <c r="J18" s="297">
        <f t="shared" si="4"/>
        <v>6553.5</v>
      </c>
      <c r="K18" s="297">
        <f t="shared" si="4"/>
        <v>6553.5</v>
      </c>
      <c r="L18" s="297">
        <f t="shared" si="4"/>
        <v>6553.5</v>
      </c>
      <c r="M18" s="297">
        <f t="shared" si="4"/>
        <v>6553.5</v>
      </c>
      <c r="N18" s="297">
        <f t="shared" si="4"/>
        <v>6553.5</v>
      </c>
      <c r="P18" s="297">
        <v>136</v>
      </c>
    </row>
    <row r="19" spans="2:16">
      <c r="B19" s="448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P19" s="297"/>
    </row>
    <row r="20" spans="2:16">
      <c r="B20" s="450" t="s">
        <v>328</v>
      </c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  <c r="N20" s="297"/>
      <c r="P20" s="297"/>
    </row>
    <row r="21" spans="2:16">
      <c r="B21" s="448" t="s">
        <v>317</v>
      </c>
      <c r="C21" s="297">
        <f>E21/2</f>
        <v>2168.4375</v>
      </c>
      <c r="D21" s="297">
        <f>C21</f>
        <v>2168.4375</v>
      </c>
      <c r="E21" s="297">
        <f>$P21*$P$3*$P$2/1000</f>
        <v>4336.875</v>
      </c>
      <c r="F21" s="297">
        <f t="shared" ref="F21:N21" si="5">E21</f>
        <v>4336.875</v>
      </c>
      <c r="G21" s="297">
        <f t="shared" si="5"/>
        <v>4336.875</v>
      </c>
      <c r="H21" s="297">
        <f t="shared" si="5"/>
        <v>4336.875</v>
      </c>
      <c r="I21" s="297">
        <f t="shared" si="5"/>
        <v>4336.875</v>
      </c>
      <c r="J21" s="297">
        <f t="shared" si="5"/>
        <v>4336.875</v>
      </c>
      <c r="K21" s="297">
        <f t="shared" si="5"/>
        <v>4336.875</v>
      </c>
      <c r="L21" s="297">
        <f t="shared" si="5"/>
        <v>4336.875</v>
      </c>
      <c r="M21" s="297">
        <f t="shared" si="5"/>
        <v>4336.875</v>
      </c>
      <c r="N21" s="297">
        <f t="shared" si="5"/>
        <v>4336.875</v>
      </c>
      <c r="P21" s="297">
        <v>90</v>
      </c>
    </row>
    <row r="22" spans="2:16">
      <c r="B22" s="448" t="s">
        <v>318</v>
      </c>
      <c r="C22" s="297">
        <f>D22/2</f>
        <v>3541.78125</v>
      </c>
      <c r="D22" s="297">
        <f>$P22*$P$3*$P$2/1000</f>
        <v>7083.5625</v>
      </c>
      <c r="E22" s="297">
        <f t="shared" ref="E22:N23" si="6">D22</f>
        <v>7083.5625</v>
      </c>
      <c r="F22" s="297">
        <f t="shared" si="6"/>
        <v>7083.5625</v>
      </c>
      <c r="G22" s="297">
        <f t="shared" si="6"/>
        <v>7083.5625</v>
      </c>
      <c r="H22" s="297">
        <f t="shared" si="6"/>
        <v>7083.5625</v>
      </c>
      <c r="I22" s="297">
        <f t="shared" si="6"/>
        <v>7083.5625</v>
      </c>
      <c r="J22" s="297">
        <f t="shared" si="6"/>
        <v>7083.5625</v>
      </c>
      <c r="K22" s="297">
        <f t="shared" si="6"/>
        <v>7083.5625</v>
      </c>
      <c r="L22" s="297">
        <f t="shared" si="6"/>
        <v>7083.5625</v>
      </c>
      <c r="M22" s="297">
        <f t="shared" si="6"/>
        <v>7083.5625</v>
      </c>
      <c r="N22" s="297">
        <f t="shared" si="6"/>
        <v>7083.5625</v>
      </c>
      <c r="P22" s="297">
        <v>147</v>
      </c>
    </row>
    <row r="23" spans="2:16">
      <c r="B23" s="448" t="s">
        <v>319</v>
      </c>
      <c r="C23" s="297">
        <v>0</v>
      </c>
      <c r="D23" s="297">
        <v>0</v>
      </c>
      <c r="E23" s="297">
        <v>0</v>
      </c>
      <c r="F23" s="297">
        <v>0</v>
      </c>
      <c r="G23" s="297">
        <v>0</v>
      </c>
      <c r="H23" s="297">
        <f>J23/2</f>
        <v>2168.4375</v>
      </c>
      <c r="I23" s="297">
        <f>H23</f>
        <v>2168.4375</v>
      </c>
      <c r="J23" s="297">
        <f>$P23*$P$3*$P$2/1000</f>
        <v>4336.875</v>
      </c>
      <c r="K23" s="297">
        <f t="shared" si="6"/>
        <v>4336.875</v>
      </c>
      <c r="L23" s="297">
        <f t="shared" si="6"/>
        <v>4336.875</v>
      </c>
      <c r="M23" s="297">
        <f t="shared" si="6"/>
        <v>4336.875</v>
      </c>
      <c r="N23" s="297">
        <f t="shared" si="6"/>
        <v>4336.875</v>
      </c>
      <c r="P23" s="297">
        <v>90</v>
      </c>
    </row>
    <row r="24" spans="2:16">
      <c r="B24" s="448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P24" s="297"/>
    </row>
    <row r="25" spans="2:16">
      <c r="B25" s="450" t="s">
        <v>329</v>
      </c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P25" s="297"/>
    </row>
    <row r="26" spans="2:16">
      <c r="B26" s="448" t="s">
        <v>320</v>
      </c>
      <c r="C26" s="297">
        <f>E26/2</f>
        <v>2891.25</v>
      </c>
      <c r="D26" s="297">
        <f>C26</f>
        <v>2891.25</v>
      </c>
      <c r="E26" s="297">
        <f>$P26*$P$3*$P$2/1000</f>
        <v>5782.5</v>
      </c>
      <c r="F26" s="297">
        <f t="shared" ref="F26:N27" si="7">E26</f>
        <v>5782.5</v>
      </c>
      <c r="G26" s="297">
        <f t="shared" si="7"/>
        <v>5782.5</v>
      </c>
      <c r="H26" s="297">
        <f t="shared" si="7"/>
        <v>5782.5</v>
      </c>
      <c r="I26" s="297">
        <f t="shared" si="7"/>
        <v>5782.5</v>
      </c>
      <c r="J26" s="297">
        <f t="shared" si="7"/>
        <v>5782.5</v>
      </c>
      <c r="K26" s="297">
        <f t="shared" si="7"/>
        <v>5782.5</v>
      </c>
      <c r="L26" s="297">
        <f t="shared" si="7"/>
        <v>5782.5</v>
      </c>
      <c r="M26" s="297">
        <f t="shared" si="7"/>
        <v>5782.5</v>
      </c>
      <c r="N26" s="297">
        <f t="shared" si="7"/>
        <v>5782.5</v>
      </c>
      <c r="P26" s="297">
        <v>120</v>
      </c>
    </row>
    <row r="27" spans="2:16">
      <c r="B27" s="448" t="s">
        <v>321</v>
      </c>
      <c r="C27" s="297">
        <v>0</v>
      </c>
      <c r="D27" s="297">
        <f>F27/2</f>
        <v>2168.4375</v>
      </c>
      <c r="E27" s="297">
        <f>D27</f>
        <v>2168.4375</v>
      </c>
      <c r="F27" s="297">
        <f>$P27*$P$3*$P$2/1000</f>
        <v>4336.875</v>
      </c>
      <c r="G27" s="297">
        <f t="shared" si="7"/>
        <v>4336.875</v>
      </c>
      <c r="H27" s="297">
        <f t="shared" si="7"/>
        <v>4336.875</v>
      </c>
      <c r="I27" s="297">
        <f t="shared" si="7"/>
        <v>4336.875</v>
      </c>
      <c r="J27" s="297">
        <f t="shared" si="7"/>
        <v>4336.875</v>
      </c>
      <c r="K27" s="297">
        <f t="shared" si="7"/>
        <v>4336.875</v>
      </c>
      <c r="L27" s="297">
        <f t="shared" si="7"/>
        <v>4336.875</v>
      </c>
      <c r="M27" s="297">
        <f t="shared" si="7"/>
        <v>4336.875</v>
      </c>
      <c r="N27" s="297">
        <f t="shared" si="7"/>
        <v>4336.875</v>
      </c>
      <c r="P27" s="297">
        <v>90</v>
      </c>
    </row>
    <row r="28" spans="2:16">
      <c r="P28" s="297"/>
    </row>
    <row r="29" spans="2:16">
      <c r="B29" s="451" t="s">
        <v>331</v>
      </c>
      <c r="C29" s="452">
        <f>SUM(C9:C11,C14:C18,C21:C23,C26:C27)</f>
        <v>35552.65625</v>
      </c>
      <c r="D29" s="452">
        <f t="shared" ref="D29:N29" si="8">SUM(D9:D11,D14:D18,D21:D23,D26:D27)</f>
        <v>49117.4375</v>
      </c>
      <c r="E29" s="452">
        <f t="shared" si="8"/>
        <v>54177.125</v>
      </c>
      <c r="F29" s="452">
        <f t="shared" si="8"/>
        <v>58754.9375</v>
      </c>
      <c r="G29" s="452">
        <f t="shared" si="8"/>
        <v>61646.1875</v>
      </c>
      <c r="H29" s="452">
        <f t="shared" si="8"/>
        <v>63814.625</v>
      </c>
      <c r="I29" s="452">
        <f t="shared" si="8"/>
        <v>66705.875</v>
      </c>
      <c r="J29" s="452">
        <f t="shared" si="8"/>
        <v>68874.3125</v>
      </c>
      <c r="K29" s="452">
        <f t="shared" si="8"/>
        <v>68874.3125</v>
      </c>
      <c r="L29" s="452">
        <f t="shared" si="8"/>
        <v>68874.3125</v>
      </c>
      <c r="M29" s="452">
        <f t="shared" si="8"/>
        <v>68874.3125</v>
      </c>
      <c r="N29" s="452">
        <f t="shared" si="8"/>
        <v>68874.3125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CL39"/>
  <sheetViews>
    <sheetView showGridLines="0" zoomScale="80" zoomScaleNormal="80" workbookViewId="0">
      <pane xSplit="1" ySplit="5" topLeftCell="N6" activePane="bottomRight" state="frozen"/>
      <selection pane="topRight" activeCell="B1" sqref="B1"/>
      <selection pane="bottomLeft" activeCell="A6" sqref="A6"/>
      <selection pane="bottomRight" activeCell="N10" sqref="N10"/>
    </sheetView>
  </sheetViews>
  <sheetFormatPr defaultColWidth="9.28515625" defaultRowHeight="15" outlineLevelCol="1"/>
  <cols>
    <col min="1" max="1" width="22.42578125" style="401" customWidth="1"/>
    <col min="2" max="2" width="13.28515625" style="401" hidden="1" customWidth="1" outlineLevel="1"/>
    <col min="3" max="5" width="10.42578125" style="401" hidden="1" customWidth="1" outlineLevel="1"/>
    <col min="6" max="6" width="11.28515625" style="401" hidden="1" customWidth="1" outlineLevel="1"/>
    <col min="7" max="7" width="10.7109375" style="401" hidden="1" customWidth="1" outlineLevel="1"/>
    <col min="8" max="8" width="11.42578125" style="401" hidden="1" customWidth="1" outlineLevel="1"/>
    <col min="9" max="12" width="10.42578125" style="401" hidden="1" customWidth="1" outlineLevel="1"/>
    <col min="13" max="13" width="9.7109375" style="401" hidden="1" customWidth="1" outlineLevel="1"/>
    <col min="14" max="14" width="13.28515625" style="401" customWidth="1" collapsed="1"/>
    <col min="15" max="15" width="10" style="401" customWidth="1"/>
    <col min="16" max="16" width="11" style="401" customWidth="1"/>
    <col min="17" max="28" width="14.42578125" style="401" hidden="1" customWidth="1" outlineLevel="1"/>
    <col min="29" max="29" width="10.42578125" style="401" customWidth="1" collapsed="1"/>
    <col min="30" max="30" width="9.42578125" style="401" customWidth="1"/>
    <col min="31" max="31" width="4.28515625" style="467" customWidth="1"/>
    <col min="32" max="43" width="11.7109375" style="467" hidden="1" customWidth="1" outlineLevel="1"/>
    <col min="44" max="44" width="11.7109375" style="401" customWidth="1" collapsed="1"/>
    <col min="45" max="45" width="10" style="401" bestFit="1" customWidth="1"/>
    <col min="46" max="46" width="7.42578125" style="467" customWidth="1"/>
    <col min="47" max="47" width="41.42578125" style="467" customWidth="1"/>
    <col min="48" max="48" width="12" style="467" customWidth="1"/>
    <col min="49" max="49" width="10.42578125" style="467" customWidth="1"/>
    <col min="50" max="50" width="11" style="467" customWidth="1"/>
    <col min="51" max="52" width="11.42578125" style="467" customWidth="1"/>
    <col min="53" max="53" width="39.42578125" style="467" customWidth="1"/>
    <col min="54" max="64" width="9.28515625" style="467" customWidth="1"/>
    <col min="65" max="65" width="9.42578125" style="467" customWidth="1"/>
    <col min="66" max="66" width="13.7109375" style="467" customWidth="1" collapsed="1"/>
    <col min="67" max="67" width="5" style="467" customWidth="1"/>
    <col min="68" max="79" width="9.28515625" style="467" customWidth="1"/>
    <col min="80" max="80" width="13.7109375" style="467" customWidth="1" collapsed="1"/>
    <col min="81" max="81" width="5.42578125" style="467" customWidth="1"/>
    <col min="82" max="85" width="13.7109375" style="467" customWidth="1"/>
    <col min="86" max="86" width="4.28515625" style="467" customWidth="1"/>
    <col min="87" max="87" width="9.42578125" style="4" customWidth="1"/>
    <col min="88" max="88" width="7.42578125" style="467" customWidth="1"/>
    <col min="89" max="89" width="13.42578125" style="467" customWidth="1"/>
    <col min="90" max="90" width="9.28515625" style="467"/>
    <col min="91" max="16384" width="9.28515625" style="401"/>
  </cols>
  <sheetData>
    <row r="1" spans="1:90">
      <c r="F1" s="540"/>
      <c r="G1" s="532"/>
      <c r="N1" s="491"/>
      <c r="O1" s="531"/>
    </row>
    <row r="2" spans="1:90"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</row>
    <row r="3" spans="1:90" ht="21">
      <c r="A3" s="395" t="s">
        <v>381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S3"/>
      <c r="AT3" s="4"/>
      <c r="AU3" s="463"/>
      <c r="AY3" s="4"/>
      <c r="BA3" s="521"/>
      <c r="BB3" s="497"/>
      <c r="BC3" s="497"/>
      <c r="BD3" s="497"/>
      <c r="BE3" s="497"/>
      <c r="BF3" s="4"/>
      <c r="BG3" s="497"/>
      <c r="BH3" s="497"/>
      <c r="BI3" s="497"/>
      <c r="BJ3" s="497"/>
      <c r="BK3" s="497"/>
      <c r="BL3" s="497"/>
      <c r="BM3" s="497"/>
      <c r="BN3" s="497"/>
      <c r="BO3" s="497"/>
      <c r="BP3" s="497"/>
      <c r="BQ3" s="497"/>
      <c r="BR3" s="497"/>
      <c r="BS3" s="497"/>
      <c r="BT3" s="497"/>
      <c r="BU3" s="497"/>
      <c r="BV3" s="497"/>
      <c r="BW3" s="497"/>
      <c r="BX3" s="497"/>
      <c r="BY3" s="497"/>
      <c r="BZ3" s="497"/>
      <c r="CA3" s="497"/>
      <c r="CB3" s="497"/>
      <c r="CC3" s="497"/>
      <c r="CD3" s="497"/>
      <c r="CE3" s="497"/>
      <c r="CF3" s="497"/>
      <c r="CG3" s="497"/>
      <c r="CH3" s="497"/>
      <c r="CJ3" s="497"/>
    </row>
    <row r="4" spans="1:90">
      <c r="A4" s="394"/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S4" s="393"/>
      <c r="AT4" s="497"/>
      <c r="AU4" s="497"/>
      <c r="AY4" s="497"/>
      <c r="BA4" s="523"/>
      <c r="BB4" s="497"/>
      <c r="BC4" s="497"/>
      <c r="BD4" s="497"/>
      <c r="BE4" s="497"/>
      <c r="BF4" s="4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  <c r="BY4" s="497"/>
      <c r="BZ4" s="497"/>
      <c r="CA4" s="497"/>
      <c r="CB4" s="497"/>
      <c r="CC4" s="497"/>
      <c r="CD4" s="497"/>
      <c r="CE4" s="497"/>
      <c r="CF4" s="497"/>
      <c r="CG4" s="497"/>
      <c r="CH4" s="497"/>
      <c r="CJ4" s="497"/>
    </row>
    <row r="5" spans="1:90" ht="30">
      <c r="A5" s="498"/>
      <c r="B5" s="499" t="s">
        <v>377</v>
      </c>
      <c r="C5" s="499" t="s">
        <v>378</v>
      </c>
      <c r="D5" s="499" t="s">
        <v>379</v>
      </c>
      <c r="E5" s="499" t="s">
        <v>380</v>
      </c>
      <c r="F5" s="499" t="s">
        <v>275</v>
      </c>
      <c r="G5" s="499" t="s">
        <v>276</v>
      </c>
      <c r="H5" s="499" t="s">
        <v>277</v>
      </c>
      <c r="I5" s="499" t="s">
        <v>278</v>
      </c>
      <c r="J5" s="499" t="s">
        <v>279</v>
      </c>
      <c r="K5" s="499" t="s">
        <v>280</v>
      </c>
      <c r="L5" s="499" t="s">
        <v>281</v>
      </c>
      <c r="M5" s="499" t="s">
        <v>282</v>
      </c>
      <c r="N5" s="505" t="s">
        <v>376</v>
      </c>
      <c r="O5" s="506" t="s">
        <v>375</v>
      </c>
      <c r="P5" s="496"/>
      <c r="Q5" s="500" t="s">
        <v>271</v>
      </c>
      <c r="R5" s="500" t="s">
        <v>272</v>
      </c>
      <c r="S5" s="500" t="s">
        <v>273</v>
      </c>
      <c r="T5" s="500" t="s">
        <v>274</v>
      </c>
      <c r="U5" s="500" t="s">
        <v>275</v>
      </c>
      <c r="V5" s="500" t="s">
        <v>276</v>
      </c>
      <c r="W5" s="500" t="s">
        <v>277</v>
      </c>
      <c r="X5" s="500" t="s">
        <v>278</v>
      </c>
      <c r="Y5" s="500" t="s">
        <v>279</v>
      </c>
      <c r="Z5" s="500" t="s">
        <v>280</v>
      </c>
      <c r="AA5" s="500" t="s">
        <v>281</v>
      </c>
      <c r="AB5" s="500" t="s">
        <v>282</v>
      </c>
      <c r="AC5" s="500" t="s">
        <v>373</v>
      </c>
      <c r="AD5" s="495" t="s">
        <v>374</v>
      </c>
      <c r="AE5" s="533"/>
      <c r="AF5" s="501" t="s">
        <v>271</v>
      </c>
      <c r="AG5" s="501" t="s">
        <v>272</v>
      </c>
      <c r="AH5" s="501" t="s">
        <v>273</v>
      </c>
      <c r="AI5" s="501" t="s">
        <v>274</v>
      </c>
      <c r="AJ5" s="501" t="s">
        <v>275</v>
      </c>
      <c r="AK5" s="501" t="s">
        <v>276</v>
      </c>
      <c r="AL5" s="501" t="s">
        <v>277</v>
      </c>
      <c r="AM5" s="501" t="s">
        <v>278</v>
      </c>
      <c r="AN5" s="501" t="s">
        <v>279</v>
      </c>
      <c r="AO5" s="501" t="s">
        <v>280</v>
      </c>
      <c r="AP5" s="501" t="s">
        <v>281</v>
      </c>
      <c r="AQ5" s="501" t="s">
        <v>282</v>
      </c>
      <c r="AR5" s="501" t="s">
        <v>371</v>
      </c>
      <c r="AS5" s="501" t="s">
        <v>372</v>
      </c>
      <c r="AT5" s="513"/>
      <c r="AU5" s="580" t="s">
        <v>407</v>
      </c>
      <c r="AV5" s="580" t="s">
        <v>390</v>
      </c>
      <c r="AW5" s="580" t="s">
        <v>395</v>
      </c>
      <c r="BB5" s="518"/>
      <c r="BC5" s="518"/>
      <c r="BD5" s="518"/>
      <c r="BE5" s="518"/>
      <c r="BF5" s="518"/>
      <c r="BG5" s="518"/>
      <c r="BH5" s="518"/>
      <c r="BI5" s="518"/>
      <c r="BJ5" s="518"/>
      <c r="BK5" s="518"/>
      <c r="BL5" s="518"/>
      <c r="BM5" s="518"/>
      <c r="BN5" s="522"/>
      <c r="BO5" s="4"/>
      <c r="BP5" s="518"/>
      <c r="BQ5" s="518"/>
      <c r="BR5" s="518"/>
      <c r="BS5" s="518"/>
      <c r="BT5" s="518"/>
      <c r="BU5" s="518"/>
      <c r="BV5" s="518"/>
      <c r="BW5" s="518"/>
      <c r="BX5" s="518"/>
      <c r="BY5" s="518"/>
      <c r="BZ5" s="518"/>
      <c r="CA5" s="518"/>
      <c r="CB5" s="518"/>
      <c r="CC5" s="4"/>
      <c r="CD5" s="518"/>
      <c r="CE5" s="518"/>
      <c r="CF5" s="518"/>
      <c r="CG5" s="518"/>
      <c r="CH5" s="4"/>
      <c r="CI5" s="516"/>
      <c r="CK5" s="513"/>
    </row>
    <row r="6" spans="1:90">
      <c r="A6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/>
      <c r="P6" s="393"/>
      <c r="Q6"/>
      <c r="R6"/>
      <c r="S6"/>
      <c r="T6"/>
      <c r="U6"/>
      <c r="V6"/>
      <c r="W6"/>
      <c r="X6"/>
      <c r="Y6"/>
      <c r="Z6"/>
      <c r="AA6"/>
      <c r="AB6"/>
      <c r="AC6"/>
      <c r="AD6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S6" s="393"/>
      <c r="AT6" s="497"/>
      <c r="AU6" s="47" t="s">
        <v>391</v>
      </c>
      <c r="AV6" s="571">
        <f>'For upload'!AS9</f>
        <v>0</v>
      </c>
      <c r="AW6" s="573">
        <f>'For upload'!AT9</f>
        <v>0</v>
      </c>
      <c r="BB6" s="497"/>
      <c r="BC6" s="497"/>
      <c r="BD6" s="497"/>
      <c r="BE6" s="497"/>
      <c r="BF6" s="4"/>
      <c r="BG6" s="497"/>
      <c r="BH6" s="497"/>
      <c r="BI6" s="497"/>
      <c r="BJ6" s="497"/>
      <c r="BK6" s="497"/>
      <c r="BL6" s="497"/>
      <c r="BM6" s="497"/>
      <c r="BN6" s="497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</row>
    <row r="7" spans="1:90">
      <c r="A7" s="47" t="s">
        <v>296</v>
      </c>
      <c r="B7" s="378" t="e">
        <f>'For upload'!#REF!</f>
        <v>#REF!</v>
      </c>
      <c r="C7" s="378" t="e">
        <f>'For upload'!#REF!</f>
        <v>#REF!</v>
      </c>
      <c r="D7" s="378" t="e">
        <f>'For upload'!#REF!</f>
        <v>#REF!</v>
      </c>
      <c r="E7" s="378" t="e">
        <f>'For upload'!#REF!</f>
        <v>#REF!</v>
      </c>
      <c r="F7" s="378" t="e">
        <f>'For upload'!#REF!</f>
        <v>#REF!</v>
      </c>
      <c r="G7" s="378" t="e">
        <f>'For upload'!#REF!</f>
        <v>#REF!</v>
      </c>
      <c r="H7" s="378" t="e">
        <f>'For upload'!#REF!</f>
        <v>#REF!</v>
      </c>
      <c r="I7" s="378" t="e">
        <f>'For upload'!#REF!</f>
        <v>#REF!</v>
      </c>
      <c r="J7" s="378" t="e">
        <f>'For upload'!#REF!</f>
        <v>#REF!</v>
      </c>
      <c r="K7" s="378" t="e">
        <f>'For upload'!#REF!</f>
        <v>#REF!</v>
      </c>
      <c r="L7" s="378" t="e">
        <f>'For upload'!#REF!</f>
        <v>#REF!</v>
      </c>
      <c r="M7" s="378" t="e">
        <f>'For upload'!#REF!</f>
        <v>#REF!</v>
      </c>
      <c r="N7" s="378" t="e">
        <f>'For upload'!#REF!</f>
        <v>#REF!</v>
      </c>
      <c r="O7" s="465" t="e">
        <f>'For upload'!#REF!</f>
        <v>#REF!</v>
      </c>
      <c r="P7" s="393"/>
      <c r="Q7" s="446">
        <v>10243.050847457627</v>
      </c>
      <c r="R7" s="446">
        <v>17405.32253220339</v>
      </c>
      <c r="S7" s="446">
        <v>40608.443402542369</v>
      </c>
      <c r="T7" s="446">
        <v>74330.197071186441</v>
      </c>
      <c r="U7" s="446">
        <v>63059.208629661021</v>
      </c>
      <c r="V7" s="446">
        <v>28793.683042372882</v>
      </c>
      <c r="W7" s="446">
        <v>22049.710550847463</v>
      </c>
      <c r="X7" s="446">
        <v>33763.868029661018</v>
      </c>
      <c r="Y7" s="446">
        <v>27304.304161016953</v>
      </c>
      <c r="Z7" s="446">
        <v>17492.980911016952</v>
      </c>
      <c r="AA7" s="446">
        <v>9357.7124999999996</v>
      </c>
      <c r="AB7" s="446">
        <v>12155.15020338983</v>
      </c>
      <c r="AC7" s="446">
        <v>356563.63188135589</v>
      </c>
      <c r="AD7" s="446"/>
      <c r="AE7" s="463"/>
      <c r="AF7" s="507" t="e">
        <f t="shared" ref="AF7:AR11" si="0">B7-Q7</f>
        <v>#REF!</v>
      </c>
      <c r="AG7" s="507" t="e">
        <f t="shared" si="0"/>
        <v>#REF!</v>
      </c>
      <c r="AH7" s="507" t="e">
        <f t="shared" si="0"/>
        <v>#REF!</v>
      </c>
      <c r="AI7" s="507" t="e">
        <f t="shared" si="0"/>
        <v>#REF!</v>
      </c>
      <c r="AJ7" s="507" t="e">
        <f t="shared" si="0"/>
        <v>#REF!</v>
      </c>
      <c r="AK7" s="507" t="e">
        <f t="shared" si="0"/>
        <v>#REF!</v>
      </c>
      <c r="AL7" s="507" t="e">
        <f t="shared" si="0"/>
        <v>#REF!</v>
      </c>
      <c r="AM7" s="507" t="e">
        <f t="shared" si="0"/>
        <v>#REF!</v>
      </c>
      <c r="AN7" s="507" t="e">
        <f t="shared" si="0"/>
        <v>#REF!</v>
      </c>
      <c r="AO7" s="507" t="e">
        <f t="shared" si="0"/>
        <v>#REF!</v>
      </c>
      <c r="AP7" s="507" t="e">
        <f t="shared" si="0"/>
        <v>#REF!</v>
      </c>
      <c r="AQ7" s="507" t="e">
        <f t="shared" si="0"/>
        <v>#REF!</v>
      </c>
      <c r="AR7" s="507" t="e">
        <f t="shared" si="0"/>
        <v>#REF!</v>
      </c>
      <c r="AS7" s="570" t="e">
        <f>AR7/AC7</f>
        <v>#REF!</v>
      </c>
      <c r="AT7" s="463"/>
      <c r="AU7" s="47" t="s">
        <v>389</v>
      </c>
      <c r="AV7" s="571" t="e">
        <f>'For upload'!#REF!</f>
        <v>#REF!</v>
      </c>
      <c r="AW7" s="573" t="e">
        <f>'For upload'!#REF!</f>
        <v>#REF!</v>
      </c>
      <c r="BB7" s="463"/>
      <c r="BC7" s="463"/>
      <c r="BD7" s="463"/>
      <c r="BE7" s="463"/>
      <c r="BF7" s="463"/>
      <c r="BG7" s="463"/>
      <c r="BH7" s="463"/>
      <c r="BI7" s="463"/>
      <c r="BJ7" s="463"/>
      <c r="BK7" s="463"/>
      <c r="BL7" s="463"/>
      <c r="BM7" s="463"/>
      <c r="BN7" s="463"/>
      <c r="BO7" s="4"/>
      <c r="BP7" s="463"/>
      <c r="BQ7" s="463"/>
      <c r="BR7" s="463"/>
      <c r="BS7" s="463"/>
      <c r="BT7" s="463"/>
      <c r="BU7" s="463"/>
      <c r="BV7" s="463"/>
      <c r="BW7" s="463"/>
      <c r="BX7" s="463"/>
      <c r="BY7" s="463"/>
      <c r="BZ7" s="463"/>
      <c r="CA7" s="463"/>
      <c r="CB7" s="463"/>
      <c r="CC7" s="4"/>
      <c r="CD7" s="463"/>
      <c r="CE7" s="463"/>
      <c r="CF7" s="463"/>
      <c r="CG7" s="463"/>
      <c r="CH7" s="4"/>
      <c r="CI7" s="463"/>
      <c r="CK7" s="463"/>
    </row>
    <row r="8" spans="1:90">
      <c r="A8" s="47" t="s">
        <v>288</v>
      </c>
      <c r="B8" s="378" t="e">
        <f>'For upload'!#REF!</f>
        <v>#REF!</v>
      </c>
      <c r="C8" s="378" t="e">
        <f>'For upload'!#REF!</f>
        <v>#REF!</v>
      </c>
      <c r="D8" s="378" t="e">
        <f>'For upload'!#REF!</f>
        <v>#REF!</v>
      </c>
      <c r="E8" s="378" t="e">
        <f>'For upload'!#REF!</f>
        <v>#REF!</v>
      </c>
      <c r="F8" s="378" t="e">
        <f>'For upload'!#REF!</f>
        <v>#REF!</v>
      </c>
      <c r="G8" s="378" t="e">
        <f>'For upload'!#REF!</f>
        <v>#REF!</v>
      </c>
      <c r="H8" s="378" t="e">
        <f>'For upload'!#REF!</f>
        <v>#REF!</v>
      </c>
      <c r="I8" s="378" t="e">
        <f>'For upload'!#REF!</f>
        <v>#REF!</v>
      </c>
      <c r="J8" s="378" t="e">
        <f>'For upload'!#REF!</f>
        <v>#REF!</v>
      </c>
      <c r="K8" s="378" t="e">
        <f>'For upload'!#REF!</f>
        <v>#REF!</v>
      </c>
      <c r="L8" s="378" t="e">
        <f>'For upload'!#REF!</f>
        <v>#REF!</v>
      </c>
      <c r="M8" s="378" t="e">
        <f>'For upload'!#REF!</f>
        <v>#REF!</v>
      </c>
      <c r="N8" s="378" t="e">
        <f>'For upload'!#REF!</f>
        <v>#REF!</v>
      </c>
      <c r="O8" s="466" t="e">
        <f>'For upload'!#REF!</f>
        <v>#REF!</v>
      </c>
      <c r="P8" s="393"/>
      <c r="Q8" s="446">
        <v>-5073.3808480668667</v>
      </c>
      <c r="R8" s="446">
        <v>-10069.271325025205</v>
      </c>
      <c r="S8" s="446">
        <v>-20649.801179377169</v>
      </c>
      <c r="T8" s="446">
        <v>-33665.067001917574</v>
      </c>
      <c r="U8" s="446">
        <v>-26919.044660284409</v>
      </c>
      <c r="V8" s="446">
        <v>-10649.953124649615</v>
      </c>
      <c r="W8" s="446">
        <v>-11033.47479942771</v>
      </c>
      <c r="X8" s="446">
        <v>-19062.970293401911</v>
      </c>
      <c r="Y8" s="446">
        <v>-13958.655947369738</v>
      </c>
      <c r="Z8" s="446">
        <v>-7150.1779613693834</v>
      </c>
      <c r="AA8" s="446">
        <v>-3520.0201024259231</v>
      </c>
      <c r="AB8" s="446">
        <v>-4240.9962718009119</v>
      </c>
      <c r="AC8" s="446">
        <v>-165992.8135151164</v>
      </c>
      <c r="AD8" s="492">
        <f>AC8/AC$7</f>
        <v>-0.46553489664461734</v>
      </c>
      <c r="AE8" s="504"/>
      <c r="AF8" s="507" t="e">
        <f t="shared" si="0"/>
        <v>#REF!</v>
      </c>
      <c r="AG8" s="507" t="e">
        <f t="shared" si="0"/>
        <v>#REF!</v>
      </c>
      <c r="AH8" s="507" t="e">
        <f t="shared" si="0"/>
        <v>#REF!</v>
      </c>
      <c r="AI8" s="507" t="e">
        <f t="shared" si="0"/>
        <v>#REF!</v>
      </c>
      <c r="AJ8" s="507" t="e">
        <f t="shared" si="0"/>
        <v>#REF!</v>
      </c>
      <c r="AK8" s="507" t="e">
        <f t="shared" si="0"/>
        <v>#REF!</v>
      </c>
      <c r="AL8" s="507" t="e">
        <f t="shared" si="0"/>
        <v>#REF!</v>
      </c>
      <c r="AM8" s="507" t="e">
        <f t="shared" si="0"/>
        <v>#REF!</v>
      </c>
      <c r="AN8" s="507" t="e">
        <f t="shared" si="0"/>
        <v>#REF!</v>
      </c>
      <c r="AO8" s="507" t="e">
        <f t="shared" si="0"/>
        <v>#REF!</v>
      </c>
      <c r="AP8" s="507" t="e">
        <f t="shared" si="0"/>
        <v>#REF!</v>
      </c>
      <c r="AQ8" s="507" t="e">
        <f t="shared" si="0"/>
        <v>#REF!</v>
      </c>
      <c r="AR8" s="507" t="e">
        <f t="shared" si="0"/>
        <v>#REF!</v>
      </c>
      <c r="AS8" s="502" t="e">
        <f t="shared" ref="AS8:AS22" si="1">AR8/AC8</f>
        <v>#REF!</v>
      </c>
      <c r="AT8" s="463"/>
      <c r="AU8" s="580" t="s">
        <v>53</v>
      </c>
      <c r="AV8" s="581" t="e">
        <f>SUM(AV6:AV7)</f>
        <v>#REF!</v>
      </c>
      <c r="AW8" s="582" t="e">
        <f>AS7</f>
        <v>#REF!</v>
      </c>
      <c r="BB8" s="463"/>
      <c r="BC8" s="463"/>
      <c r="BD8" s="463"/>
      <c r="BE8" s="463"/>
      <c r="BF8" s="463"/>
      <c r="BG8" s="463"/>
      <c r="BH8" s="463"/>
      <c r="BI8" s="463"/>
      <c r="BJ8" s="463"/>
      <c r="BK8" s="463"/>
      <c r="BL8" s="463"/>
      <c r="BM8" s="463"/>
      <c r="BN8" s="463"/>
      <c r="BO8" s="4"/>
      <c r="BP8" s="463"/>
      <c r="BQ8" s="463"/>
      <c r="BR8" s="463"/>
      <c r="BS8" s="463"/>
      <c r="BT8" s="463"/>
      <c r="BU8" s="463"/>
      <c r="BV8" s="463"/>
      <c r="BW8" s="463"/>
      <c r="BX8" s="463"/>
      <c r="BY8" s="463"/>
      <c r="BZ8" s="463"/>
      <c r="CA8" s="463"/>
      <c r="CB8" s="463"/>
      <c r="CC8" s="4"/>
      <c r="CD8" s="463"/>
      <c r="CE8" s="463"/>
      <c r="CF8" s="463"/>
      <c r="CG8" s="463"/>
      <c r="CH8" s="4"/>
      <c r="CI8" s="463"/>
      <c r="CJ8" s="4"/>
      <c r="CK8" s="463"/>
    </row>
    <row r="9" spans="1:90">
      <c r="A9" t="s">
        <v>284</v>
      </c>
      <c r="B9" s="378" t="e">
        <f>'For upload'!#REF!</f>
        <v>#REF!</v>
      </c>
      <c r="C9" s="378" t="e">
        <f>'For upload'!#REF!</f>
        <v>#REF!</v>
      </c>
      <c r="D9" s="378" t="e">
        <f>'For upload'!#REF!</f>
        <v>#REF!</v>
      </c>
      <c r="E9" s="378" t="e">
        <f>'For upload'!#REF!</f>
        <v>#REF!</v>
      </c>
      <c r="F9" s="378" t="e">
        <f>'For upload'!#REF!</f>
        <v>#REF!</v>
      </c>
      <c r="G9" s="378" t="e">
        <f>'For upload'!#REF!</f>
        <v>#REF!</v>
      </c>
      <c r="H9" s="378" t="e">
        <f>'For upload'!#REF!</f>
        <v>#REF!</v>
      </c>
      <c r="I9" s="378" t="e">
        <f>'For upload'!#REF!</f>
        <v>#REF!</v>
      </c>
      <c r="J9" s="378" t="e">
        <f>'For upload'!#REF!</f>
        <v>#REF!</v>
      </c>
      <c r="K9" s="378" t="e">
        <f>'For upload'!#REF!</f>
        <v>#REF!</v>
      </c>
      <c r="L9" s="378" t="e">
        <f>'For upload'!#REF!</f>
        <v>#REF!</v>
      </c>
      <c r="M9" s="378" t="e">
        <f>'For upload'!#REF!</f>
        <v>#REF!</v>
      </c>
      <c r="N9" s="378" t="e">
        <f>'For upload'!#REF!</f>
        <v>#REF!</v>
      </c>
      <c r="O9" s="466" t="e">
        <f>'For upload'!#REF!</f>
        <v>#REF!</v>
      </c>
      <c r="P9" s="393"/>
      <c r="Q9" s="446">
        <v>-60.880570176802401</v>
      </c>
      <c r="R9" s="446">
        <v>-120.83125590030249</v>
      </c>
      <c r="S9" s="446">
        <v>-247.79761415252605</v>
      </c>
      <c r="T9" s="446">
        <v>-403.98080402301088</v>
      </c>
      <c r="U9" s="446">
        <v>-323.02853592341296</v>
      </c>
      <c r="V9" s="446">
        <v>-127.79943749579539</v>
      </c>
      <c r="W9" s="446">
        <v>-132.40169759313252</v>
      </c>
      <c r="X9" s="446">
        <v>-228.75564352082296</v>
      </c>
      <c r="Y9" s="446">
        <v>-167.50387136843688</v>
      </c>
      <c r="Z9" s="446">
        <v>-85.802135536432615</v>
      </c>
      <c r="AA9" s="446">
        <v>-42.240241229111078</v>
      </c>
      <c r="AB9" s="446">
        <v>-50.891955261610939</v>
      </c>
      <c r="AC9" s="446">
        <v>-1991.9137621813973</v>
      </c>
      <c r="AD9" s="492">
        <f t="shared" ref="AD9:AD22" si="2">AC9/AC$7</f>
        <v>-5.5864187597354092E-3</v>
      </c>
      <c r="AE9" s="504"/>
      <c r="AF9" s="507" t="e">
        <f t="shared" si="0"/>
        <v>#REF!</v>
      </c>
      <c r="AG9" s="507" t="e">
        <f t="shared" si="0"/>
        <v>#REF!</v>
      </c>
      <c r="AH9" s="507" t="e">
        <f t="shared" si="0"/>
        <v>#REF!</v>
      </c>
      <c r="AI9" s="507" t="e">
        <f t="shared" si="0"/>
        <v>#REF!</v>
      </c>
      <c r="AJ9" s="507" t="e">
        <f t="shared" si="0"/>
        <v>#REF!</v>
      </c>
      <c r="AK9" s="507" t="e">
        <f t="shared" si="0"/>
        <v>#REF!</v>
      </c>
      <c r="AL9" s="507" t="e">
        <f t="shared" si="0"/>
        <v>#REF!</v>
      </c>
      <c r="AM9" s="507" t="e">
        <f t="shared" si="0"/>
        <v>#REF!</v>
      </c>
      <c r="AN9" s="507" t="e">
        <f t="shared" si="0"/>
        <v>#REF!</v>
      </c>
      <c r="AO9" s="507" t="e">
        <f t="shared" si="0"/>
        <v>#REF!</v>
      </c>
      <c r="AP9" s="507" t="e">
        <f t="shared" si="0"/>
        <v>#REF!</v>
      </c>
      <c r="AQ9" s="507" t="e">
        <f t="shared" si="0"/>
        <v>#REF!</v>
      </c>
      <c r="AR9" s="507" t="e">
        <f t="shared" si="0"/>
        <v>#REF!</v>
      </c>
      <c r="AS9" s="502" t="e">
        <f t="shared" si="1"/>
        <v>#REF!</v>
      </c>
      <c r="AT9" s="463"/>
      <c r="AU9" t="s">
        <v>392</v>
      </c>
      <c r="AV9" s="574" t="e">
        <f>'For upload'!AS14-'For upload'!#REF!</f>
        <v>#REF!</v>
      </c>
      <c r="AW9" s="574"/>
      <c r="BB9" s="463"/>
      <c r="BC9" s="463"/>
      <c r="BD9" s="463"/>
      <c r="BE9" s="463"/>
      <c r="BF9" s="463"/>
      <c r="BG9" s="463"/>
      <c r="BH9" s="463"/>
      <c r="BI9" s="463"/>
      <c r="BJ9" s="463"/>
      <c r="BK9" s="463"/>
      <c r="BL9" s="463"/>
      <c r="BM9" s="463"/>
      <c r="BN9" s="463"/>
      <c r="BO9" s="4"/>
      <c r="BP9" s="463"/>
      <c r="BQ9" s="463"/>
      <c r="BR9" s="463"/>
      <c r="BS9" s="463"/>
      <c r="BT9" s="463"/>
      <c r="BU9" s="463"/>
      <c r="BV9" s="463"/>
      <c r="BW9" s="463"/>
      <c r="BX9" s="463"/>
      <c r="BY9" s="463"/>
      <c r="BZ9" s="463"/>
      <c r="CA9" s="463"/>
      <c r="CB9" s="463"/>
      <c r="CC9" s="4"/>
      <c r="CD9" s="463"/>
      <c r="CE9" s="463"/>
      <c r="CF9" s="463"/>
      <c r="CG9" s="463"/>
      <c r="CH9" s="4"/>
      <c r="CI9" s="463"/>
      <c r="CJ9" s="4"/>
      <c r="CK9" s="463"/>
    </row>
    <row r="10" spans="1:90">
      <c r="A10" t="s">
        <v>290</v>
      </c>
      <c r="B10" s="378" t="e">
        <f>'For upload'!#REF!</f>
        <v>#REF!</v>
      </c>
      <c r="C10" s="378" t="e">
        <f>'For upload'!#REF!</f>
        <v>#REF!</v>
      </c>
      <c r="D10" s="378" t="e">
        <f>'For upload'!#REF!</f>
        <v>#REF!</v>
      </c>
      <c r="E10" s="378" t="e">
        <f>'For upload'!#REF!</f>
        <v>#REF!</v>
      </c>
      <c r="F10" s="378" t="e">
        <f>'For upload'!#REF!</f>
        <v>#REF!</v>
      </c>
      <c r="G10" s="378" t="e">
        <f>'For upload'!#REF!</f>
        <v>#REF!</v>
      </c>
      <c r="H10" s="378" t="e">
        <f>'For upload'!#REF!</f>
        <v>#REF!</v>
      </c>
      <c r="I10" s="378" t="e">
        <f>'For upload'!#REF!</f>
        <v>#REF!</v>
      </c>
      <c r="J10" s="378" t="e">
        <f>'For upload'!#REF!</f>
        <v>#REF!</v>
      </c>
      <c r="K10" s="378" t="e">
        <f>'For upload'!#REF!</f>
        <v>#REF!</v>
      </c>
      <c r="L10" s="378" t="e">
        <f>'For upload'!#REF!</f>
        <v>#REF!</v>
      </c>
      <c r="M10" s="378" t="e">
        <f>'For upload'!#REF!</f>
        <v>#REF!</v>
      </c>
      <c r="N10" s="378" t="e">
        <f>'For upload'!#REF!</f>
        <v>#REF!</v>
      </c>
      <c r="O10" s="466" t="e">
        <f>'For upload'!#REF!</f>
        <v>#REF!</v>
      </c>
      <c r="P10" s="393"/>
      <c r="Q10" s="446">
        <v>0</v>
      </c>
      <c r="R10" s="446">
        <v>0</v>
      </c>
      <c r="S10" s="446">
        <v>0</v>
      </c>
      <c r="T10" s="446">
        <v>0</v>
      </c>
      <c r="U10" s="446">
        <v>0</v>
      </c>
      <c r="V10" s="446">
        <v>0</v>
      </c>
      <c r="W10" s="446">
        <v>0</v>
      </c>
      <c r="X10" s="446">
        <v>0</v>
      </c>
      <c r="Y10" s="446">
        <v>0</v>
      </c>
      <c r="Z10" s="446">
        <v>0</v>
      </c>
      <c r="AA10" s="446">
        <v>0</v>
      </c>
      <c r="AB10" s="446">
        <v>0</v>
      </c>
      <c r="AC10" s="446">
        <v>0</v>
      </c>
      <c r="AD10" s="492">
        <f t="shared" si="2"/>
        <v>0</v>
      </c>
      <c r="AE10" s="504"/>
      <c r="AF10" s="507" t="e">
        <f t="shared" si="0"/>
        <v>#REF!</v>
      </c>
      <c r="AG10" s="507" t="e">
        <f t="shared" si="0"/>
        <v>#REF!</v>
      </c>
      <c r="AH10" s="507" t="e">
        <f t="shared" si="0"/>
        <v>#REF!</v>
      </c>
      <c r="AI10" s="507" t="e">
        <f t="shared" si="0"/>
        <v>#REF!</v>
      </c>
      <c r="AJ10" s="507" t="e">
        <f t="shared" si="0"/>
        <v>#REF!</v>
      </c>
      <c r="AK10" s="507" t="e">
        <f t="shared" si="0"/>
        <v>#REF!</v>
      </c>
      <c r="AL10" s="507" t="e">
        <f t="shared" si="0"/>
        <v>#REF!</v>
      </c>
      <c r="AM10" s="507" t="e">
        <f t="shared" si="0"/>
        <v>#REF!</v>
      </c>
      <c r="AN10" s="507" t="e">
        <f t="shared" si="0"/>
        <v>#REF!</v>
      </c>
      <c r="AO10" s="507" t="e">
        <f t="shared" si="0"/>
        <v>#REF!</v>
      </c>
      <c r="AP10" s="507" t="e">
        <f t="shared" si="0"/>
        <v>#REF!</v>
      </c>
      <c r="AQ10" s="507" t="e">
        <f t="shared" si="0"/>
        <v>#REF!</v>
      </c>
      <c r="AR10" s="507" t="e">
        <f t="shared" si="0"/>
        <v>#REF!</v>
      </c>
      <c r="AS10" s="502" t="e">
        <f>AR10/AC10</f>
        <v>#REF!</v>
      </c>
      <c r="AT10" s="463"/>
      <c r="AU10" t="s">
        <v>393</v>
      </c>
      <c r="AV10" s="574" t="e">
        <f>'For upload'!#REF!</f>
        <v>#REF!</v>
      </c>
      <c r="AW10" s="574"/>
      <c r="BB10" s="463"/>
      <c r="BC10" s="463"/>
      <c r="BD10" s="463"/>
      <c r="BE10" s="463"/>
      <c r="BF10" s="463"/>
      <c r="BG10" s="463"/>
      <c r="BH10" s="463"/>
      <c r="BI10" s="463"/>
      <c r="BJ10" s="463"/>
      <c r="BK10" s="463"/>
      <c r="BL10" s="463"/>
      <c r="BM10" s="463"/>
      <c r="BN10" s="463"/>
      <c r="BO10" s="4"/>
      <c r="BP10" s="463"/>
      <c r="BQ10" s="463"/>
      <c r="BR10" s="463"/>
      <c r="BS10" s="463"/>
      <c r="BT10" s="463"/>
      <c r="BU10" s="463"/>
      <c r="BV10" s="463"/>
      <c r="BW10" s="463"/>
      <c r="BX10" s="463"/>
      <c r="BY10" s="463"/>
      <c r="BZ10" s="463"/>
      <c r="CA10" s="463"/>
      <c r="CB10" s="463"/>
      <c r="CC10" s="4"/>
      <c r="CD10" s="463"/>
      <c r="CE10" s="463"/>
      <c r="CF10" s="463"/>
      <c r="CG10" s="463"/>
      <c r="CH10" s="4"/>
      <c r="CI10" s="463"/>
      <c r="CJ10" s="4"/>
      <c r="CK10" s="463"/>
    </row>
    <row r="11" spans="1:90">
      <c r="A11" s="47" t="s">
        <v>382</v>
      </c>
      <c r="B11" s="378" t="e">
        <f>'For upload'!#REF!</f>
        <v>#REF!</v>
      </c>
      <c r="C11" s="378" t="e">
        <f>'For upload'!#REF!</f>
        <v>#REF!</v>
      </c>
      <c r="D11" s="378" t="e">
        <f>'For upload'!#REF!</f>
        <v>#REF!</v>
      </c>
      <c r="E11" s="378" t="e">
        <f>'For upload'!#REF!</f>
        <v>#REF!</v>
      </c>
      <c r="F11" s="378" t="e">
        <f>'For upload'!#REF!</f>
        <v>#REF!</v>
      </c>
      <c r="G11" s="378" t="e">
        <f>'For upload'!#REF!</f>
        <v>#REF!</v>
      </c>
      <c r="H11" s="378" t="e">
        <f>'For upload'!#REF!</f>
        <v>#REF!</v>
      </c>
      <c r="I11" s="378" t="e">
        <f>'For upload'!#REF!</f>
        <v>#REF!</v>
      </c>
      <c r="J11" s="378" t="e">
        <f>'For upload'!#REF!</f>
        <v>#REF!</v>
      </c>
      <c r="K11" s="378" t="e">
        <f>'For upload'!#REF!</f>
        <v>#REF!</v>
      </c>
      <c r="L11" s="378" t="e">
        <f>'For upload'!#REF!</f>
        <v>#REF!</v>
      </c>
      <c r="M11" s="378" t="e">
        <f>'For upload'!#REF!</f>
        <v>#REF!</v>
      </c>
      <c r="N11" s="378" t="e">
        <f>'For upload'!#REF!</f>
        <v>#REF!</v>
      </c>
      <c r="O11" s="466" t="e">
        <f>'For upload'!#REF!</f>
        <v>#REF!</v>
      </c>
      <c r="P11" s="393"/>
      <c r="Q11" s="446">
        <v>0</v>
      </c>
      <c r="R11" s="446">
        <v>0</v>
      </c>
      <c r="S11" s="446">
        <v>0</v>
      </c>
      <c r="T11" s="446">
        <v>0</v>
      </c>
      <c r="U11" s="446">
        <v>0</v>
      </c>
      <c r="V11" s="446">
        <v>0</v>
      </c>
      <c r="W11" s="446">
        <v>0</v>
      </c>
      <c r="X11" s="446">
        <v>0</v>
      </c>
      <c r="Y11" s="446">
        <v>0</v>
      </c>
      <c r="Z11" s="446">
        <v>0</v>
      </c>
      <c r="AA11" s="446">
        <v>0</v>
      </c>
      <c r="AB11" s="446">
        <v>0</v>
      </c>
      <c r="AC11" s="446">
        <v>0</v>
      </c>
      <c r="AD11" s="492">
        <f t="shared" si="2"/>
        <v>0</v>
      </c>
      <c r="AE11" s="504"/>
      <c r="AF11" s="507" t="e">
        <f t="shared" si="0"/>
        <v>#REF!</v>
      </c>
      <c r="AG11" s="507" t="e">
        <f t="shared" si="0"/>
        <v>#REF!</v>
      </c>
      <c r="AH11" s="507" t="e">
        <f t="shared" si="0"/>
        <v>#REF!</v>
      </c>
      <c r="AI11" s="507" t="e">
        <f t="shared" si="0"/>
        <v>#REF!</v>
      </c>
      <c r="AJ11" s="507" t="e">
        <f t="shared" si="0"/>
        <v>#REF!</v>
      </c>
      <c r="AK11" s="507" t="e">
        <f t="shared" si="0"/>
        <v>#REF!</v>
      </c>
      <c r="AL11" s="507" t="e">
        <f t="shared" si="0"/>
        <v>#REF!</v>
      </c>
      <c r="AM11" s="507" t="e">
        <f t="shared" si="0"/>
        <v>#REF!</v>
      </c>
      <c r="AN11" s="507" t="e">
        <f t="shared" si="0"/>
        <v>#REF!</v>
      </c>
      <c r="AO11" s="507" t="e">
        <f t="shared" si="0"/>
        <v>#REF!</v>
      </c>
      <c r="AP11" s="507" t="e">
        <f t="shared" si="0"/>
        <v>#REF!</v>
      </c>
      <c r="AQ11" s="507" t="e">
        <f t="shared" si="0"/>
        <v>#REF!</v>
      </c>
      <c r="AR11" s="507" t="e">
        <f t="shared" si="0"/>
        <v>#REF!</v>
      </c>
      <c r="AS11" s="502" t="e">
        <f>AR11/AC11</f>
        <v>#REF!</v>
      </c>
      <c r="AT11" s="463"/>
      <c r="AU11" t="s">
        <v>290</v>
      </c>
      <c r="AV11" s="571" t="e">
        <f>'For upload'!#REF!</f>
        <v>#REF!</v>
      </c>
      <c r="BB11" s="463"/>
      <c r="BC11" s="463"/>
      <c r="BD11" s="463"/>
      <c r="BE11" s="463"/>
      <c r="BF11" s="463"/>
      <c r="BG11" s="463"/>
      <c r="BH11" s="463"/>
      <c r="BI11" s="463"/>
      <c r="BJ11" s="463"/>
      <c r="BK11" s="463"/>
      <c r="BL11" s="463"/>
      <c r="BM11" s="463"/>
      <c r="BN11" s="463"/>
      <c r="BO11" s="4"/>
      <c r="BP11" s="463"/>
      <c r="BQ11" s="463"/>
      <c r="BR11" s="463"/>
      <c r="BS11" s="463"/>
      <c r="BT11" s="463"/>
      <c r="BU11" s="463"/>
      <c r="BV11" s="463"/>
      <c r="BW11" s="463"/>
      <c r="BX11" s="463"/>
      <c r="BY11" s="463"/>
      <c r="BZ11" s="463"/>
      <c r="CA11" s="463"/>
      <c r="CB11" s="463"/>
      <c r="CC11" s="4"/>
      <c r="CD11" s="463"/>
      <c r="CE11" s="463"/>
      <c r="CF11" s="463"/>
      <c r="CG11" s="463"/>
      <c r="CH11" s="4"/>
      <c r="CI11" s="463"/>
      <c r="CJ11" s="4"/>
      <c r="CK11" s="463"/>
    </row>
    <row r="12" spans="1:90">
      <c r="A12" s="388"/>
      <c r="B12" s="393" t="e">
        <f>'For upload'!#REF!</f>
        <v>#REF!</v>
      </c>
      <c r="C12" s="393" t="e">
        <f>'For upload'!#REF!</f>
        <v>#REF!</v>
      </c>
      <c r="D12" s="393" t="e">
        <f>'For upload'!#REF!</f>
        <v>#REF!</v>
      </c>
      <c r="E12" s="393" t="e">
        <f>'For upload'!#REF!</f>
        <v>#REF!</v>
      </c>
      <c r="F12" s="393" t="e">
        <f>'For upload'!#REF!</f>
        <v>#REF!</v>
      </c>
      <c r="G12" s="393" t="e">
        <f>'For upload'!#REF!</f>
        <v>#REF!</v>
      </c>
      <c r="H12" s="393" t="e">
        <f>'For upload'!#REF!</f>
        <v>#REF!</v>
      </c>
      <c r="I12" s="393" t="e">
        <f>'For upload'!#REF!</f>
        <v>#REF!</v>
      </c>
      <c r="J12" s="393" t="e">
        <f>'For upload'!#REF!</f>
        <v>#REF!</v>
      </c>
      <c r="K12" s="393" t="e">
        <f>'For upload'!#REF!</f>
        <v>#REF!</v>
      </c>
      <c r="L12" s="393" t="e">
        <f>'For upload'!#REF!</f>
        <v>#REF!</v>
      </c>
      <c r="M12" s="393" t="e">
        <f>'For upload'!#REF!</f>
        <v>#REF!</v>
      </c>
      <c r="N12" s="393" t="e">
        <f>'For upload'!#REF!</f>
        <v>#REF!</v>
      </c>
      <c r="O12" s="393" t="e">
        <f>'For upload'!#REF!</f>
        <v>#REF!</v>
      </c>
      <c r="P12" s="393"/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497"/>
      <c r="AF12" s="404"/>
      <c r="AG12" s="404"/>
      <c r="AH12" s="404"/>
      <c r="AI12" s="404"/>
      <c r="AJ12" s="404"/>
      <c r="AK12" s="404"/>
      <c r="AL12" s="404"/>
      <c r="AM12" s="404"/>
      <c r="AN12" s="404"/>
      <c r="AO12" s="404"/>
      <c r="AP12" s="404"/>
      <c r="AQ12" s="404"/>
      <c r="AR12" s="404"/>
      <c r="AS12" s="494"/>
      <c r="AT12" s="497"/>
      <c r="AU12" s="47" t="s">
        <v>382</v>
      </c>
      <c r="AV12" s="571" t="e">
        <f>'For upload'!#REF!</f>
        <v>#REF!</v>
      </c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"/>
      <c r="CD12" s="463"/>
      <c r="CE12" s="497"/>
      <c r="CF12" s="497"/>
      <c r="CG12" s="497"/>
      <c r="CH12" s="4"/>
      <c r="CI12" s="497"/>
      <c r="CJ12" s="4"/>
      <c r="CK12" s="463"/>
    </row>
    <row r="13" spans="1:90" s="527" customFormat="1">
      <c r="A13" s="556" t="s">
        <v>58</v>
      </c>
      <c r="B13" s="557" t="e">
        <f>'For upload'!#REF!</f>
        <v>#REF!</v>
      </c>
      <c r="C13" s="557" t="e">
        <f>'For upload'!#REF!</f>
        <v>#REF!</v>
      </c>
      <c r="D13" s="557" t="e">
        <f>'For upload'!#REF!</f>
        <v>#REF!</v>
      </c>
      <c r="E13" s="557" t="e">
        <f>'For upload'!#REF!</f>
        <v>#REF!</v>
      </c>
      <c r="F13" s="557" t="e">
        <f>'For upload'!#REF!</f>
        <v>#REF!</v>
      </c>
      <c r="G13" s="557" t="e">
        <f>'For upload'!#REF!</f>
        <v>#REF!</v>
      </c>
      <c r="H13" s="557" t="e">
        <f>'For upload'!#REF!</f>
        <v>#REF!</v>
      </c>
      <c r="I13" s="557" t="e">
        <f>'For upload'!#REF!</f>
        <v>#REF!</v>
      </c>
      <c r="J13" s="557" t="e">
        <f>'For upload'!#REF!</f>
        <v>#REF!</v>
      </c>
      <c r="K13" s="557" t="e">
        <f>'For upload'!#REF!</f>
        <v>#REF!</v>
      </c>
      <c r="L13" s="557" t="e">
        <f>'For upload'!#REF!</f>
        <v>#REF!</v>
      </c>
      <c r="M13" s="557" t="e">
        <f>'For upload'!#REF!</f>
        <v>#REF!</v>
      </c>
      <c r="N13" s="557" t="e">
        <f>'For upload'!#REF!</f>
        <v>#REF!</v>
      </c>
      <c r="O13" s="558" t="e">
        <f>'For upload'!#REF!</f>
        <v>#REF!</v>
      </c>
      <c r="P13" s="545"/>
      <c r="Q13" s="554">
        <v>5108.789429213959</v>
      </c>
      <c r="R13" s="554">
        <v>7215.2199512778825</v>
      </c>
      <c r="S13" s="554">
        <v>19710.844609012674</v>
      </c>
      <c r="T13" s="554">
        <v>40261.149265245855</v>
      </c>
      <c r="U13" s="554">
        <v>35817.135433453201</v>
      </c>
      <c r="V13" s="554">
        <v>18015.930480227471</v>
      </c>
      <c r="W13" s="554">
        <v>10883.83405382662</v>
      </c>
      <c r="X13" s="554">
        <v>14472.142092738286</v>
      </c>
      <c r="Y13" s="554">
        <v>13178.144342278776</v>
      </c>
      <c r="Z13" s="554">
        <v>10257.000814111134</v>
      </c>
      <c r="AA13" s="554">
        <v>5795.4521563449662</v>
      </c>
      <c r="AB13" s="554">
        <v>7863.2619763273087</v>
      </c>
      <c r="AC13" s="554">
        <v>188578.9046040581</v>
      </c>
      <c r="AD13" s="555">
        <f t="shared" si="2"/>
        <v>0.52887868459564724</v>
      </c>
      <c r="AE13" s="546"/>
      <c r="AF13" s="547" t="e">
        <f t="shared" ref="AF13:AQ13" si="3">B13-Q13</f>
        <v>#REF!</v>
      </c>
      <c r="AG13" s="547" t="e">
        <f t="shared" si="3"/>
        <v>#REF!</v>
      </c>
      <c r="AH13" s="547" t="e">
        <f t="shared" si="3"/>
        <v>#REF!</v>
      </c>
      <c r="AI13" s="547" t="e">
        <f t="shared" si="3"/>
        <v>#REF!</v>
      </c>
      <c r="AJ13" s="547" t="e">
        <f t="shared" si="3"/>
        <v>#REF!</v>
      </c>
      <c r="AK13" s="547" t="e">
        <f t="shared" si="3"/>
        <v>#REF!</v>
      </c>
      <c r="AL13" s="547" t="e">
        <f t="shared" si="3"/>
        <v>#REF!</v>
      </c>
      <c r="AM13" s="547" t="e">
        <f t="shared" si="3"/>
        <v>#REF!</v>
      </c>
      <c r="AN13" s="547" t="e">
        <f t="shared" si="3"/>
        <v>#REF!</v>
      </c>
      <c r="AO13" s="547" t="e">
        <f t="shared" si="3"/>
        <v>#REF!</v>
      </c>
      <c r="AP13" s="547" t="e">
        <f t="shared" si="3"/>
        <v>#REF!</v>
      </c>
      <c r="AQ13" s="547" t="e">
        <f t="shared" si="3"/>
        <v>#REF!</v>
      </c>
      <c r="AR13" s="552" t="e">
        <f>N13-AC13</f>
        <v>#REF!</v>
      </c>
      <c r="AS13" s="553" t="e">
        <f t="shared" si="1"/>
        <v>#REF!</v>
      </c>
      <c r="AT13" s="548"/>
      <c r="AU13" s="580" t="s">
        <v>394</v>
      </c>
      <c r="AV13" s="581" t="e">
        <f>SUM(AV9:AV12)</f>
        <v>#REF!</v>
      </c>
      <c r="AW13" s="582" t="e">
        <f>AS13</f>
        <v>#REF!</v>
      </c>
      <c r="AX13" s="467"/>
      <c r="BB13" s="548"/>
      <c r="BC13" s="548"/>
      <c r="BD13" s="548"/>
      <c r="BE13" s="548"/>
      <c r="BF13" s="548"/>
      <c r="BG13" s="548"/>
      <c r="BH13" s="548"/>
      <c r="BI13" s="548"/>
      <c r="BJ13" s="548"/>
      <c r="BK13" s="548"/>
      <c r="BL13" s="548"/>
      <c r="BM13" s="548"/>
      <c r="BN13" s="548"/>
      <c r="BO13" s="549"/>
      <c r="BP13" s="548"/>
      <c r="BQ13" s="548"/>
      <c r="BR13" s="548"/>
      <c r="BS13" s="548"/>
      <c r="BT13" s="548"/>
      <c r="BU13" s="548"/>
      <c r="BV13" s="548"/>
      <c r="BW13" s="548"/>
      <c r="BX13" s="548"/>
      <c r="BY13" s="548"/>
      <c r="BZ13" s="548"/>
      <c r="CA13" s="548"/>
      <c r="CB13" s="548"/>
      <c r="CC13" s="549"/>
      <c r="CD13" s="548"/>
      <c r="CE13" s="548"/>
      <c r="CF13" s="548"/>
      <c r="CG13" s="548"/>
      <c r="CH13" s="549"/>
      <c r="CI13" s="548"/>
      <c r="CJ13" s="549"/>
      <c r="CK13" s="548"/>
      <c r="CL13" s="550"/>
    </row>
    <row r="14" spans="1:90">
      <c r="A14" s="394" t="s">
        <v>289</v>
      </c>
      <c r="B14" s="393" t="e">
        <f>'For upload'!#REF!</f>
        <v>#REF!</v>
      </c>
      <c r="C14" s="393" t="e">
        <f>'For upload'!#REF!</f>
        <v>#REF!</v>
      </c>
      <c r="D14" s="393" t="e">
        <f>'For upload'!#REF!</f>
        <v>#REF!</v>
      </c>
      <c r="E14" s="393" t="e">
        <f>'For upload'!#REF!</f>
        <v>#REF!</v>
      </c>
      <c r="F14" s="393" t="e">
        <f>'For upload'!#REF!</f>
        <v>#REF!</v>
      </c>
      <c r="G14" s="393" t="e">
        <f>'For upload'!#REF!</f>
        <v>#REF!</v>
      </c>
      <c r="H14" s="393" t="e">
        <f>'For upload'!#REF!</f>
        <v>#REF!</v>
      </c>
      <c r="I14" s="393" t="e">
        <f>'For upload'!#REF!</f>
        <v>#REF!</v>
      </c>
      <c r="J14" s="393" t="e">
        <f>'For upload'!#REF!</f>
        <v>#REF!</v>
      </c>
      <c r="K14" s="393" t="e">
        <f>'For upload'!#REF!</f>
        <v>#REF!</v>
      </c>
      <c r="L14" s="393" t="e">
        <f>'For upload'!#REF!</f>
        <v>#REF!</v>
      </c>
      <c r="M14" s="393" t="e">
        <f>'For upload'!#REF!</f>
        <v>#REF!</v>
      </c>
      <c r="N14" s="393" t="e">
        <f>'For upload'!#REF!</f>
        <v>#REF!</v>
      </c>
      <c r="O14" s="393"/>
      <c r="P14" s="393"/>
      <c r="Q14" s="446">
        <v>0.49875662098094381</v>
      </c>
      <c r="R14" s="446">
        <v>0.41454100824206253</v>
      </c>
      <c r="S14" s="446">
        <v>0.48538783950971731</v>
      </c>
      <c r="T14" s="446">
        <v>0.54165266408062296</v>
      </c>
      <c r="U14" s="446">
        <v>0.5679921491530735</v>
      </c>
      <c r="V14" s="446">
        <v>0.62569037985571929</v>
      </c>
      <c r="W14" s="446">
        <v>0.49360439579141363</v>
      </c>
      <c r="X14" s="446">
        <v>0.42862808491090953</v>
      </c>
      <c r="Y14" s="446">
        <v>0.48263981621965474</v>
      </c>
      <c r="Z14" s="446">
        <v>0.58634951162905291</v>
      </c>
      <c r="AA14" s="446">
        <v>0.61932359605458775</v>
      </c>
      <c r="AB14" s="446">
        <v>0.64690784110050736</v>
      </c>
      <c r="AC14" s="446"/>
      <c r="AD14" s="492"/>
      <c r="AE14" s="504"/>
      <c r="AF14" s="507"/>
      <c r="AG14" s="507"/>
      <c r="AH14" s="507"/>
      <c r="AI14" s="507"/>
      <c r="AJ14" s="507"/>
      <c r="AK14" s="507"/>
      <c r="AL14" s="507"/>
      <c r="AM14" s="507"/>
      <c r="AN14" s="507"/>
      <c r="AO14" s="507"/>
      <c r="AP14" s="507"/>
      <c r="AQ14" s="507"/>
      <c r="AR14" s="507"/>
      <c r="AS14" s="503"/>
      <c r="AT14" s="497"/>
      <c r="AU14" t="s">
        <v>396</v>
      </c>
      <c r="AV14" s="571" t="e">
        <f>SUM('For upload'!#REF!,'For upload'!#REF!)</f>
        <v>#REF!</v>
      </c>
      <c r="BB14" s="497"/>
      <c r="BC14" s="497"/>
      <c r="BD14" s="497"/>
      <c r="BE14" s="497"/>
      <c r="BF14" s="497"/>
      <c r="BG14" s="497"/>
      <c r="BH14" s="497"/>
      <c r="BI14" s="497"/>
      <c r="BJ14" s="497"/>
      <c r="BK14" s="497"/>
      <c r="BL14" s="497"/>
      <c r="BM14" s="497"/>
      <c r="BN14" s="497"/>
      <c r="BO14" s="4"/>
      <c r="BP14" s="497"/>
      <c r="BQ14" s="497"/>
      <c r="BR14" s="497"/>
      <c r="BS14" s="497"/>
      <c r="BT14" s="497"/>
      <c r="BU14" s="497"/>
      <c r="BV14" s="497"/>
      <c r="BW14" s="497"/>
      <c r="BX14" s="497"/>
      <c r="BY14" s="497"/>
      <c r="BZ14" s="497"/>
      <c r="CA14" s="497"/>
      <c r="CB14" s="497"/>
      <c r="CC14" s="4"/>
      <c r="CD14" s="497"/>
      <c r="CE14" s="497"/>
      <c r="CF14" s="497"/>
      <c r="CG14" s="497"/>
      <c r="CH14" s="4"/>
      <c r="CI14" s="497"/>
      <c r="CJ14" s="4"/>
      <c r="CK14" s="463"/>
    </row>
    <row r="15" spans="1:90">
      <c r="A15" s="47" t="s">
        <v>306</v>
      </c>
      <c r="B15" s="378" t="e">
        <f>'For upload'!#REF!</f>
        <v>#REF!</v>
      </c>
      <c r="C15" s="378" t="e">
        <f>'For upload'!#REF!</f>
        <v>#REF!</v>
      </c>
      <c r="D15" s="378" t="e">
        <f>'For upload'!#REF!</f>
        <v>#REF!</v>
      </c>
      <c r="E15" s="378" t="e">
        <f>'For upload'!#REF!</f>
        <v>#REF!</v>
      </c>
      <c r="F15" s="378" t="e">
        <f>'For upload'!#REF!</f>
        <v>#REF!</v>
      </c>
      <c r="G15" s="378" t="e">
        <f>'For upload'!#REF!</f>
        <v>#REF!</v>
      </c>
      <c r="H15" s="378" t="e">
        <f>'For upload'!#REF!</f>
        <v>#REF!</v>
      </c>
      <c r="I15" s="378" t="e">
        <f>'For upload'!#REF!</f>
        <v>#REF!</v>
      </c>
      <c r="J15" s="378" t="e">
        <f>'For upload'!#REF!</f>
        <v>#REF!</v>
      </c>
      <c r="K15" s="378" t="e">
        <f>'For upload'!#REF!</f>
        <v>#REF!</v>
      </c>
      <c r="L15" s="378" t="e">
        <f>'For upload'!#REF!</f>
        <v>#REF!</v>
      </c>
      <c r="M15" s="378" t="e">
        <f>'For upload'!#REF!</f>
        <v>#REF!</v>
      </c>
      <c r="N15" s="378" t="e">
        <f>'For upload'!#REF!</f>
        <v>#REF!</v>
      </c>
      <c r="O15" s="466" t="e">
        <f>'For upload'!#REF!</f>
        <v>#REF!</v>
      </c>
      <c r="P15" s="393"/>
      <c r="Q15" s="446">
        <v>5108.789429213959</v>
      </c>
      <c r="R15" s="446">
        <v>7215.2199512778825</v>
      </c>
      <c r="S15" s="446">
        <v>19710.844609012674</v>
      </c>
      <c r="T15" s="446">
        <v>40261.149265245855</v>
      </c>
      <c r="U15" s="446">
        <v>35817.135433453201</v>
      </c>
      <c r="V15" s="446">
        <v>18015.930480227471</v>
      </c>
      <c r="W15" s="446">
        <v>10883.83405382662</v>
      </c>
      <c r="X15" s="446">
        <v>14472.142092738286</v>
      </c>
      <c r="Y15" s="446">
        <v>13178.144342278776</v>
      </c>
      <c r="Z15" s="446">
        <v>10257.000814111134</v>
      </c>
      <c r="AA15" s="446">
        <v>5795.4521563449662</v>
      </c>
      <c r="AB15" s="446">
        <v>7863.2619763273087</v>
      </c>
      <c r="AC15" s="446">
        <v>188578.9046040581</v>
      </c>
      <c r="AD15" s="492">
        <f t="shared" si="2"/>
        <v>0.52887868459564724</v>
      </c>
      <c r="AE15" s="504"/>
      <c r="AF15" s="507" t="e">
        <f t="shared" ref="AF15:AQ15" si="4">B15-Q15</f>
        <v>#REF!</v>
      </c>
      <c r="AG15" s="507" t="e">
        <f t="shared" si="4"/>
        <v>#REF!</v>
      </c>
      <c r="AH15" s="507" t="e">
        <f t="shared" si="4"/>
        <v>#REF!</v>
      </c>
      <c r="AI15" s="507" t="e">
        <f t="shared" si="4"/>
        <v>#REF!</v>
      </c>
      <c r="AJ15" s="507" t="e">
        <f t="shared" si="4"/>
        <v>#REF!</v>
      </c>
      <c r="AK15" s="507" t="e">
        <f t="shared" si="4"/>
        <v>#REF!</v>
      </c>
      <c r="AL15" s="507" t="e">
        <f t="shared" si="4"/>
        <v>#REF!</v>
      </c>
      <c r="AM15" s="507" t="e">
        <f t="shared" si="4"/>
        <v>#REF!</v>
      </c>
      <c r="AN15" s="507" t="e">
        <f t="shared" si="4"/>
        <v>#REF!</v>
      </c>
      <c r="AO15" s="507" t="e">
        <f t="shared" si="4"/>
        <v>#REF!</v>
      </c>
      <c r="AP15" s="507" t="e">
        <f t="shared" si="4"/>
        <v>#REF!</v>
      </c>
      <c r="AQ15" s="507" t="e">
        <f t="shared" si="4"/>
        <v>#REF!</v>
      </c>
      <c r="AR15" s="507" t="e">
        <f>N15-AC15</f>
        <v>#REF!</v>
      </c>
      <c r="AS15" s="502" t="e">
        <f t="shared" si="1"/>
        <v>#REF!</v>
      </c>
      <c r="AT15" s="463"/>
      <c r="AU15" t="s">
        <v>397</v>
      </c>
      <c r="AV15" s="571" t="e">
        <f>SUM('For upload'!#REF!,'For upload'!#REF!)</f>
        <v>#REF!</v>
      </c>
      <c r="AY15" s="497"/>
      <c r="BA15" s="523"/>
      <c r="BB15" s="497"/>
      <c r="BC15" s="497"/>
      <c r="BD15" s="497"/>
      <c r="BE15" s="497"/>
      <c r="BF15" s="497"/>
      <c r="BG15" s="497"/>
      <c r="BH15" s="497"/>
      <c r="BI15" s="497"/>
      <c r="BJ15" s="497"/>
      <c r="BK15" s="497"/>
      <c r="BL15" s="497"/>
      <c r="BM15" s="497"/>
      <c r="BN15" s="497"/>
      <c r="BO15" s="4"/>
      <c r="BP15" s="497"/>
      <c r="BQ15" s="497"/>
      <c r="BR15" s="497"/>
      <c r="BS15" s="497"/>
      <c r="BT15" s="497"/>
      <c r="BU15" s="497"/>
      <c r="BV15" s="497"/>
      <c r="BW15" s="497"/>
      <c r="BX15" s="497"/>
      <c r="BY15" s="497"/>
      <c r="BZ15" s="497"/>
      <c r="CA15" s="497"/>
      <c r="CB15" s="497"/>
      <c r="CC15" s="4"/>
      <c r="CD15" s="497"/>
      <c r="CE15" s="497"/>
      <c r="CF15" s="497"/>
      <c r="CG15" s="497"/>
      <c r="CH15" s="4"/>
      <c r="CI15" s="463"/>
      <c r="CJ15" s="4"/>
      <c r="CK15" s="463"/>
    </row>
    <row r="16" spans="1:90">
      <c r="A16"/>
      <c r="B16" s="393" t="e">
        <f>'For upload'!#REF!</f>
        <v>#REF!</v>
      </c>
      <c r="C16" s="393" t="e">
        <f>'For upload'!#REF!</f>
        <v>#REF!</v>
      </c>
      <c r="D16" s="393" t="e">
        <f>'For upload'!#REF!</f>
        <v>#REF!</v>
      </c>
      <c r="E16" s="393" t="e">
        <f>'For upload'!#REF!</f>
        <v>#REF!</v>
      </c>
      <c r="F16" s="393" t="e">
        <f>'For upload'!#REF!</f>
        <v>#REF!</v>
      </c>
      <c r="G16" s="393" t="e">
        <f>'For upload'!#REF!</f>
        <v>#REF!</v>
      </c>
      <c r="H16" s="393" t="e">
        <f>'For upload'!#REF!</f>
        <v>#REF!</v>
      </c>
      <c r="I16" s="393" t="e">
        <f>'For upload'!#REF!</f>
        <v>#REF!</v>
      </c>
      <c r="J16" s="393" t="e">
        <f>'For upload'!#REF!</f>
        <v>#REF!</v>
      </c>
      <c r="K16" s="393" t="e">
        <f>'For upload'!#REF!</f>
        <v>#REF!</v>
      </c>
      <c r="L16" s="393" t="e">
        <f>'For upload'!#REF!</f>
        <v>#REF!</v>
      </c>
      <c r="M16" s="393" t="e">
        <f>'For upload'!#REF!</f>
        <v>#REF!</v>
      </c>
      <c r="N16" s="393" t="e">
        <f>'For upload'!#REF!</f>
        <v>#REF!</v>
      </c>
      <c r="O16" s="393" t="e">
        <f>'For upload'!#REF!</f>
        <v>#REF!</v>
      </c>
      <c r="P16" s="393"/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  <c r="AD16" s="393"/>
      <c r="AE16" s="497"/>
      <c r="AF16" s="404"/>
      <c r="AG16" s="404"/>
      <c r="AH16" s="404"/>
      <c r="AI16" s="404"/>
      <c r="AJ16" s="404"/>
      <c r="AK16" s="404"/>
      <c r="AL16" s="404"/>
      <c r="AM16" s="404"/>
      <c r="AN16" s="404"/>
      <c r="AO16" s="404"/>
      <c r="AP16" s="404"/>
      <c r="AQ16" s="404"/>
      <c r="AR16" s="404"/>
      <c r="AS16" s="494"/>
      <c r="AT16" s="497"/>
      <c r="AU16" t="s">
        <v>291</v>
      </c>
      <c r="AV16" s="571" t="e">
        <f>AR17-'For upload'!#REF!</f>
        <v>#REF!</v>
      </c>
      <c r="AY16" s="497"/>
      <c r="BA16" s="4"/>
      <c r="BB16" s="497"/>
      <c r="BC16" s="497"/>
      <c r="BD16" s="497"/>
      <c r="BE16" s="497"/>
      <c r="BF16" s="497"/>
      <c r="BG16" s="497"/>
      <c r="BH16" s="497"/>
      <c r="BI16" s="497"/>
      <c r="BJ16" s="497"/>
      <c r="BK16" s="497"/>
      <c r="BL16" s="497"/>
      <c r="BM16" s="497"/>
      <c r="BN16" s="497"/>
      <c r="BO16" s="4"/>
      <c r="BP16" s="497"/>
      <c r="BQ16" s="497"/>
      <c r="BR16" s="497"/>
      <c r="BS16" s="497"/>
      <c r="BT16" s="497"/>
      <c r="BU16" s="497"/>
      <c r="BV16" s="497"/>
      <c r="BW16" s="497"/>
      <c r="BX16" s="497"/>
      <c r="BY16" s="497"/>
      <c r="BZ16" s="497"/>
      <c r="CA16" s="497"/>
      <c r="CB16" s="497"/>
      <c r="CC16" s="4"/>
      <c r="CD16" s="497"/>
      <c r="CE16" s="497"/>
      <c r="CF16" s="497"/>
      <c r="CG16" s="497"/>
      <c r="CH16" s="4"/>
      <c r="CI16" s="497"/>
      <c r="CJ16" s="4"/>
      <c r="CK16" s="463"/>
    </row>
    <row r="17" spans="1:89">
      <c r="A17" s="399" t="s">
        <v>291</v>
      </c>
      <c r="B17" s="378" t="e">
        <f>'For upload'!#REF!</f>
        <v>#REF!</v>
      </c>
      <c r="C17" s="378" t="e">
        <f>'For upload'!#REF!</f>
        <v>#REF!</v>
      </c>
      <c r="D17" s="378" t="e">
        <f>'For upload'!#REF!</f>
        <v>#REF!</v>
      </c>
      <c r="E17" s="378" t="e">
        <f>'For upload'!#REF!</f>
        <v>#REF!</v>
      </c>
      <c r="F17" s="378" t="e">
        <f>'For upload'!#REF!</f>
        <v>#REF!</v>
      </c>
      <c r="G17" s="378" t="e">
        <f>'For upload'!#REF!</f>
        <v>#REF!</v>
      </c>
      <c r="H17" s="378" t="e">
        <f>'For upload'!#REF!</f>
        <v>#REF!</v>
      </c>
      <c r="I17" s="378" t="e">
        <f>'For upload'!#REF!</f>
        <v>#REF!</v>
      </c>
      <c r="J17" s="378" t="e">
        <f>'For upload'!#REF!</f>
        <v>#REF!</v>
      </c>
      <c r="K17" s="378" t="e">
        <f>'For upload'!#REF!</f>
        <v>#REF!</v>
      </c>
      <c r="L17" s="378" t="e">
        <f>'For upload'!#REF!</f>
        <v>#REF!</v>
      </c>
      <c r="M17" s="378" t="e">
        <f>'For upload'!#REF!</f>
        <v>#REF!</v>
      </c>
      <c r="N17" s="378" t="e">
        <f>'For upload'!#REF!</f>
        <v>#REF!</v>
      </c>
      <c r="O17" s="466" t="e">
        <f>'For upload'!#REF!</f>
        <v>#REF!</v>
      </c>
      <c r="P17" s="393"/>
      <c r="Q17" s="446">
        <v>-3986.8600547919405</v>
      </c>
      <c r="R17" s="446">
        <v>-5546.2349505989805</v>
      </c>
      <c r="S17" s="446">
        <v>-7149.2424948132375</v>
      </c>
      <c r="T17" s="446">
        <v>-9998.0830090614654</v>
      </c>
      <c r="U17" s="446">
        <v>-7836.6066735138811</v>
      </c>
      <c r="V17" s="446">
        <v>-6180.263428014473</v>
      </c>
      <c r="W17" s="446">
        <v>-7093.9669057525234</v>
      </c>
      <c r="X17" s="446">
        <v>-6572.0938910664427</v>
      </c>
      <c r="Y17" s="446">
        <v>-6441.6523842231773</v>
      </c>
      <c r="Z17" s="446">
        <v>-5861.3982817462438</v>
      </c>
      <c r="AA17" s="446">
        <v>-4371.5916214795006</v>
      </c>
      <c r="AB17" s="446">
        <v>-6365.4773353166956</v>
      </c>
      <c r="AC17" s="446">
        <v>-77403.471030378554</v>
      </c>
      <c r="AD17" s="492">
        <f t="shared" si="2"/>
        <v>-0.21708178880154</v>
      </c>
      <c r="AE17" s="504"/>
      <c r="AF17" s="507" t="e">
        <f t="shared" ref="AF17:AQ18" si="5">B17-Q17</f>
        <v>#REF!</v>
      </c>
      <c r="AG17" s="507" t="e">
        <f t="shared" si="5"/>
        <v>#REF!</v>
      </c>
      <c r="AH17" s="507" t="e">
        <f t="shared" si="5"/>
        <v>#REF!</v>
      </c>
      <c r="AI17" s="507" t="e">
        <f t="shared" si="5"/>
        <v>#REF!</v>
      </c>
      <c r="AJ17" s="507" t="e">
        <f t="shared" si="5"/>
        <v>#REF!</v>
      </c>
      <c r="AK17" s="507" t="e">
        <f t="shared" si="5"/>
        <v>#REF!</v>
      </c>
      <c r="AL17" s="507" t="e">
        <f t="shared" si="5"/>
        <v>#REF!</v>
      </c>
      <c r="AM17" s="507" t="e">
        <f t="shared" si="5"/>
        <v>#REF!</v>
      </c>
      <c r="AN17" s="507" t="e">
        <f t="shared" si="5"/>
        <v>#REF!</v>
      </c>
      <c r="AO17" s="507" t="e">
        <f t="shared" si="5"/>
        <v>#REF!</v>
      </c>
      <c r="AP17" s="507" t="e">
        <f t="shared" si="5"/>
        <v>#REF!</v>
      </c>
      <c r="AQ17" s="507" t="e">
        <f t="shared" si="5"/>
        <v>#REF!</v>
      </c>
      <c r="AR17" s="507" t="e">
        <f>N17-AC17</f>
        <v>#REF!</v>
      </c>
      <c r="AS17" s="502" t="e">
        <f t="shared" si="1"/>
        <v>#REF!</v>
      </c>
      <c r="AT17" s="463"/>
      <c r="AU17" s="575" t="s">
        <v>308</v>
      </c>
      <c r="AV17" s="576" t="e">
        <f>'For upload'!#REF!+'For upload'!#REF!</f>
        <v>#REF!</v>
      </c>
      <c r="AW17" s="519"/>
      <c r="AX17" s="576" t="e">
        <f>SUM('For upload'!#REF!)</f>
        <v>#REF!</v>
      </c>
      <c r="AY17" s="575" t="s">
        <v>398</v>
      </c>
      <c r="AZ17" s="577"/>
      <c r="BA17" s="577"/>
      <c r="BB17" s="463"/>
      <c r="BC17" s="463"/>
      <c r="BD17" s="463"/>
      <c r="BE17" s="463"/>
      <c r="BF17" s="463"/>
      <c r="BG17" s="463"/>
      <c r="BH17" s="463"/>
      <c r="BI17" s="463"/>
      <c r="BJ17" s="463"/>
      <c r="BK17" s="463"/>
      <c r="BL17" s="463"/>
      <c r="BM17" s="463"/>
      <c r="BN17" s="463"/>
      <c r="BO17" s="4"/>
      <c r="BP17" s="463"/>
      <c r="BQ17" s="463"/>
      <c r="BR17" s="463"/>
      <c r="BS17" s="463"/>
      <c r="BT17" s="463"/>
      <c r="BU17" s="463"/>
      <c r="BV17" s="463"/>
      <c r="BW17" s="463"/>
      <c r="BX17" s="463"/>
      <c r="BY17" s="463"/>
      <c r="BZ17" s="463"/>
      <c r="CA17" s="463"/>
      <c r="CB17" s="463"/>
      <c r="CC17" s="4"/>
      <c r="CD17" s="463"/>
      <c r="CE17" s="463"/>
      <c r="CF17" s="463"/>
      <c r="CG17" s="463"/>
      <c r="CH17" s="4"/>
      <c r="CI17" s="463"/>
      <c r="CJ17" s="4"/>
      <c r="CK17" s="463"/>
    </row>
    <row r="18" spans="1:89">
      <c r="A18" s="399" t="s">
        <v>299</v>
      </c>
      <c r="B18" s="378" t="e">
        <f>'For upload'!#REF!</f>
        <v>#REF!</v>
      </c>
      <c r="C18" s="378" t="e">
        <f>'For upload'!#REF!</f>
        <v>#REF!</v>
      </c>
      <c r="D18" s="378" t="e">
        <f>'For upload'!#REF!</f>
        <v>#REF!</v>
      </c>
      <c r="E18" s="378" t="e">
        <f>'For upload'!#REF!</f>
        <v>#REF!</v>
      </c>
      <c r="F18" s="378" t="e">
        <f>'For upload'!#REF!</f>
        <v>#REF!</v>
      </c>
      <c r="G18" s="378" t="e">
        <f>'For upload'!#REF!</f>
        <v>#REF!</v>
      </c>
      <c r="H18" s="378" t="e">
        <f>'For upload'!#REF!</f>
        <v>#REF!</v>
      </c>
      <c r="I18" s="378" t="e">
        <f>'For upload'!#REF!</f>
        <v>#REF!</v>
      </c>
      <c r="J18" s="378" t="e">
        <f>'For upload'!#REF!</f>
        <v>#REF!</v>
      </c>
      <c r="K18" s="378" t="e">
        <f>'For upload'!#REF!</f>
        <v>#REF!</v>
      </c>
      <c r="L18" s="378" t="e">
        <f>'For upload'!#REF!</f>
        <v>#REF!</v>
      </c>
      <c r="M18" s="378" t="e">
        <f>'For upload'!#REF!</f>
        <v>#REF!</v>
      </c>
      <c r="N18" s="378" t="e">
        <f>'For upload'!#REF!</f>
        <v>#REF!</v>
      </c>
      <c r="O18" s="466" t="e">
        <f>'For upload'!#REF!</f>
        <v>#REF!</v>
      </c>
      <c r="P18" s="393"/>
      <c r="Q18" s="446">
        <v>-5752.4586208057008</v>
      </c>
      <c r="R18" s="446">
        <v>-5843.8990109771303</v>
      </c>
      <c r="S18" s="446">
        <v>-5810.2985336746951</v>
      </c>
      <c r="T18" s="446">
        <v>-6494.6628790224577</v>
      </c>
      <c r="U18" s="446">
        <v>-6328.8325668202287</v>
      </c>
      <c r="V18" s="446">
        <v>-6030.221142925604</v>
      </c>
      <c r="W18" s="446">
        <v>-6116.592252655696</v>
      </c>
      <c r="X18" s="446">
        <v>-6290.8290921277357</v>
      </c>
      <c r="Y18" s="446">
        <v>-5882.4921072748148</v>
      </c>
      <c r="Z18" s="446">
        <v>-5692.469569745168</v>
      </c>
      <c r="AA18" s="446">
        <v>-5541.1504886282828</v>
      </c>
      <c r="AB18" s="446">
        <v>-5725.8296145433087</v>
      </c>
      <c r="AC18" s="446">
        <v>-71509.735879200831</v>
      </c>
      <c r="AD18" s="492">
        <f t="shared" si="2"/>
        <v>-0.2005525227065087</v>
      </c>
      <c r="AE18" s="504"/>
      <c r="AF18" s="507" t="e">
        <f t="shared" si="5"/>
        <v>#REF!</v>
      </c>
      <c r="AG18" s="507" t="e">
        <f t="shared" si="5"/>
        <v>#REF!</v>
      </c>
      <c r="AH18" s="507" t="e">
        <f t="shared" si="5"/>
        <v>#REF!</v>
      </c>
      <c r="AI18" s="507" t="e">
        <f t="shared" si="5"/>
        <v>#REF!</v>
      </c>
      <c r="AJ18" s="507" t="e">
        <f t="shared" si="5"/>
        <v>#REF!</v>
      </c>
      <c r="AK18" s="507" t="e">
        <f t="shared" si="5"/>
        <v>#REF!</v>
      </c>
      <c r="AL18" s="507" t="e">
        <f t="shared" si="5"/>
        <v>#REF!</v>
      </c>
      <c r="AM18" s="507" t="e">
        <f t="shared" si="5"/>
        <v>#REF!</v>
      </c>
      <c r="AN18" s="507" t="e">
        <f t="shared" si="5"/>
        <v>#REF!</v>
      </c>
      <c r="AO18" s="507" t="e">
        <f t="shared" si="5"/>
        <v>#REF!</v>
      </c>
      <c r="AP18" s="507" t="e">
        <f t="shared" si="5"/>
        <v>#REF!</v>
      </c>
      <c r="AQ18" s="507" t="e">
        <f t="shared" si="5"/>
        <v>#REF!</v>
      </c>
      <c r="AR18" s="507" t="e">
        <f>N18-AC18</f>
        <v>#REF!</v>
      </c>
      <c r="AS18" s="502" t="e">
        <f t="shared" si="1"/>
        <v>#REF!</v>
      </c>
      <c r="AT18" s="463"/>
      <c r="AU18" s="575" t="s">
        <v>399</v>
      </c>
      <c r="AV18" s="576" t="e">
        <f>'For upload'!#REF!</f>
        <v>#REF!</v>
      </c>
      <c r="AX18" s="577" t="s">
        <v>400</v>
      </c>
      <c r="AY18" s="575"/>
      <c r="AZ18" s="577"/>
      <c r="BA18" s="577"/>
      <c r="BB18" s="463"/>
      <c r="BC18" s="463"/>
      <c r="BD18" s="463"/>
      <c r="BE18" s="463"/>
      <c r="BF18" s="463"/>
      <c r="BG18" s="463"/>
      <c r="BH18" s="463"/>
      <c r="BI18" s="463"/>
      <c r="BJ18" s="463"/>
      <c r="BK18" s="463"/>
      <c r="BL18" s="463"/>
      <c r="BM18" s="463"/>
      <c r="BN18" s="463"/>
      <c r="BO18" s="4"/>
      <c r="BP18" s="463"/>
      <c r="BQ18" s="463"/>
      <c r="BR18" s="463"/>
      <c r="BS18" s="463"/>
      <c r="BT18" s="463"/>
      <c r="BU18" s="463"/>
      <c r="BV18" s="463"/>
      <c r="BW18" s="463"/>
      <c r="BX18" s="463"/>
      <c r="BY18" s="463"/>
      <c r="BZ18" s="463"/>
      <c r="CA18" s="463"/>
      <c r="CB18" s="463"/>
      <c r="CC18" s="4"/>
      <c r="CD18" s="463"/>
      <c r="CE18" s="463"/>
      <c r="CF18" s="463"/>
      <c r="CG18" s="463"/>
      <c r="CH18" s="4"/>
      <c r="CI18" s="463"/>
      <c r="CJ18" s="4"/>
      <c r="CK18" s="463"/>
    </row>
    <row r="19" spans="1:89">
      <c r="A19" s="388"/>
      <c r="B19" s="393" t="e">
        <f>'For upload'!#REF!</f>
        <v>#REF!</v>
      </c>
      <c r="C19" s="393" t="e">
        <f>'For upload'!#REF!</f>
        <v>#REF!</v>
      </c>
      <c r="D19" s="393" t="e">
        <f>'For upload'!#REF!</f>
        <v>#REF!</v>
      </c>
      <c r="E19" s="393" t="e">
        <f>'For upload'!#REF!</f>
        <v>#REF!</v>
      </c>
      <c r="F19" s="393" t="e">
        <f>'For upload'!#REF!</f>
        <v>#REF!</v>
      </c>
      <c r="G19" s="393" t="e">
        <f>'For upload'!#REF!</f>
        <v>#REF!</v>
      </c>
      <c r="H19" s="393" t="e">
        <f>'For upload'!#REF!</f>
        <v>#REF!</v>
      </c>
      <c r="I19" s="393" t="e">
        <f>'For upload'!#REF!</f>
        <v>#REF!</v>
      </c>
      <c r="J19" s="393" t="e">
        <f>'For upload'!#REF!</f>
        <v>#REF!</v>
      </c>
      <c r="K19" s="393" t="e">
        <f>'For upload'!#REF!</f>
        <v>#REF!</v>
      </c>
      <c r="L19" s="393" t="e">
        <f>'For upload'!#REF!</f>
        <v>#REF!</v>
      </c>
      <c r="M19" s="393" t="e">
        <f>'For upload'!#REF!</f>
        <v>#REF!</v>
      </c>
      <c r="N19" s="393" t="e">
        <f>'For upload'!#REF!</f>
        <v>#REF!</v>
      </c>
      <c r="O19" s="393" t="e">
        <f>'For upload'!#REF!</f>
        <v>#REF!</v>
      </c>
      <c r="P19" s="393"/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497"/>
      <c r="AF19" s="508"/>
      <c r="AG19" s="508"/>
      <c r="AH19" s="508"/>
      <c r="AI19" s="508"/>
      <c r="AJ19" s="508"/>
      <c r="AK19" s="508"/>
      <c r="AL19" s="508"/>
      <c r="AM19" s="508"/>
      <c r="AN19" s="508"/>
      <c r="AO19" s="508"/>
      <c r="AP19" s="508"/>
      <c r="AQ19" s="508"/>
      <c r="AR19" s="508"/>
      <c r="AS19" s="494"/>
      <c r="AT19" s="497"/>
      <c r="AU19" s="577" t="s">
        <v>408</v>
      </c>
      <c r="AV19" s="576" t="e">
        <f>'For upload'!#REF!</f>
        <v>#REF!</v>
      </c>
      <c r="AX19" s="577"/>
      <c r="AY19" s="577"/>
      <c r="AZ19" s="577"/>
      <c r="BA19" s="584"/>
      <c r="BB19" s="497"/>
      <c r="BC19" s="497"/>
      <c r="BD19" s="497"/>
      <c r="BE19" s="497"/>
      <c r="BF19" s="497"/>
      <c r="BG19" s="497"/>
      <c r="BH19" s="497"/>
      <c r="BI19" s="497"/>
      <c r="BJ19" s="497"/>
      <c r="BK19" s="497"/>
      <c r="BL19" s="497"/>
      <c r="BM19" s="497"/>
      <c r="BN19" s="497"/>
      <c r="BO19" s="4"/>
      <c r="BP19" s="497"/>
      <c r="BQ19" s="497"/>
      <c r="BR19" s="497"/>
      <c r="BS19" s="497"/>
      <c r="BT19" s="497"/>
      <c r="BU19" s="497"/>
      <c r="BV19" s="497"/>
      <c r="BW19" s="497"/>
      <c r="BX19" s="497"/>
      <c r="BY19" s="497"/>
      <c r="BZ19" s="497"/>
      <c r="CA19" s="497"/>
      <c r="CB19" s="497"/>
      <c r="CC19" s="4"/>
      <c r="CD19" s="497"/>
      <c r="CE19" s="497"/>
      <c r="CF19" s="497"/>
      <c r="CG19" s="497"/>
      <c r="CH19" s="4"/>
      <c r="CI19" s="497"/>
      <c r="CJ19" s="4"/>
      <c r="CK19" s="497"/>
    </row>
    <row r="20" spans="1:89">
      <c r="A20" s="392" t="s">
        <v>293</v>
      </c>
      <c r="B20" s="390" t="e">
        <f>'For upload'!#REF!</f>
        <v>#REF!</v>
      </c>
      <c r="C20" s="390" t="e">
        <f>'For upload'!#REF!</f>
        <v>#REF!</v>
      </c>
      <c r="D20" s="390" t="e">
        <f>'For upload'!#REF!</f>
        <v>#REF!</v>
      </c>
      <c r="E20" s="390" t="e">
        <f>'For upload'!#REF!</f>
        <v>#REF!</v>
      </c>
      <c r="F20" s="390" t="e">
        <f>'For upload'!#REF!</f>
        <v>#REF!</v>
      </c>
      <c r="G20" s="390" t="e">
        <f>'For upload'!#REF!</f>
        <v>#REF!</v>
      </c>
      <c r="H20" s="390" t="e">
        <f>'For upload'!#REF!</f>
        <v>#REF!</v>
      </c>
      <c r="I20" s="390" t="e">
        <f>'For upload'!#REF!</f>
        <v>#REF!</v>
      </c>
      <c r="J20" s="390" t="e">
        <f>'For upload'!#REF!</f>
        <v>#REF!</v>
      </c>
      <c r="K20" s="390" t="e">
        <f>'For upload'!#REF!</f>
        <v>#REF!</v>
      </c>
      <c r="L20" s="390" t="e">
        <f>'For upload'!#REF!</f>
        <v>#REF!</v>
      </c>
      <c r="M20" s="390" t="e">
        <f>'For upload'!#REF!</f>
        <v>#REF!</v>
      </c>
      <c r="N20" s="390" t="e">
        <f>'For upload'!#REF!</f>
        <v>#REF!</v>
      </c>
      <c r="O20" s="466" t="e">
        <f>'For upload'!#REF!</f>
        <v>#REF!</v>
      </c>
      <c r="P20" s="393"/>
      <c r="Q20" s="446">
        <v>-4630.5292463836831</v>
      </c>
      <c r="R20" s="446">
        <v>-4174.9140102982283</v>
      </c>
      <c r="S20" s="446">
        <v>6751.3035805247418</v>
      </c>
      <c r="T20" s="446">
        <v>23768.403377161932</v>
      </c>
      <c r="U20" s="446">
        <v>21651.696193119089</v>
      </c>
      <c r="V20" s="446">
        <v>5805.445909287394</v>
      </c>
      <c r="W20" s="446">
        <v>-2326.7251045816001</v>
      </c>
      <c r="X20" s="446">
        <v>1609.2191095441074</v>
      </c>
      <c r="Y20" s="446">
        <v>853.99985078078407</v>
      </c>
      <c r="Z20" s="446">
        <v>-1296.8670373802775</v>
      </c>
      <c r="AA20" s="446">
        <v>-4117.2899537628164</v>
      </c>
      <c r="AB20" s="446">
        <v>-4228.0449735326956</v>
      </c>
      <c r="AC20" s="446">
        <v>39665.697694478746</v>
      </c>
      <c r="AD20" s="492">
        <f>AC20/AC$7</f>
        <v>0.11124437308759867</v>
      </c>
      <c r="AE20" s="504"/>
      <c r="AF20" s="507" t="e">
        <f t="shared" ref="AF20:AQ22" si="6">B20-Q20</f>
        <v>#REF!</v>
      </c>
      <c r="AG20" s="507" t="e">
        <f t="shared" si="6"/>
        <v>#REF!</v>
      </c>
      <c r="AH20" s="507" t="e">
        <f t="shared" si="6"/>
        <v>#REF!</v>
      </c>
      <c r="AI20" s="507" t="e">
        <f t="shared" si="6"/>
        <v>#REF!</v>
      </c>
      <c r="AJ20" s="507" t="e">
        <f t="shared" si="6"/>
        <v>#REF!</v>
      </c>
      <c r="AK20" s="507" t="e">
        <f t="shared" si="6"/>
        <v>#REF!</v>
      </c>
      <c r="AL20" s="507" t="e">
        <f t="shared" si="6"/>
        <v>#REF!</v>
      </c>
      <c r="AM20" s="507" t="e">
        <f t="shared" si="6"/>
        <v>#REF!</v>
      </c>
      <c r="AN20" s="507" t="e">
        <f t="shared" si="6"/>
        <v>#REF!</v>
      </c>
      <c r="AO20" s="507" t="e">
        <f t="shared" si="6"/>
        <v>#REF!</v>
      </c>
      <c r="AP20" s="507" t="e">
        <f t="shared" si="6"/>
        <v>#REF!</v>
      </c>
      <c r="AQ20" s="507" t="e">
        <f t="shared" si="6"/>
        <v>#REF!</v>
      </c>
      <c r="AR20" s="507" t="e">
        <f>N20-AC20</f>
        <v>#REF!</v>
      </c>
      <c r="AS20" s="464" t="e">
        <f t="shared" si="1"/>
        <v>#REF!</v>
      </c>
      <c r="AT20" s="514"/>
      <c r="AU20" s="575" t="s">
        <v>292</v>
      </c>
      <c r="AV20" s="576" t="e">
        <f>'For upload'!#REF!+'For upload'!#REF!</f>
        <v>#REF!</v>
      </c>
      <c r="AX20" s="577" t="s">
        <v>410</v>
      </c>
      <c r="AY20" s="575"/>
      <c r="AZ20" s="577"/>
      <c r="BA20" s="585"/>
      <c r="BB20" s="514"/>
      <c r="BC20" s="514"/>
      <c r="BD20" s="514"/>
      <c r="BE20" s="514"/>
      <c r="BF20" s="514"/>
      <c r="BG20" s="514"/>
      <c r="BH20" s="514"/>
      <c r="BI20" s="514"/>
      <c r="BJ20" s="514"/>
      <c r="BK20" s="514"/>
      <c r="BL20" s="514"/>
      <c r="BM20" s="514"/>
      <c r="BN20" s="514"/>
      <c r="BO20" s="4"/>
      <c r="BP20" s="514"/>
      <c r="BQ20" s="514"/>
      <c r="BR20" s="514"/>
      <c r="BS20" s="514"/>
      <c r="BT20" s="514"/>
      <c r="BU20" s="514"/>
      <c r="BV20" s="514"/>
      <c r="BW20" s="514"/>
      <c r="BX20" s="514"/>
      <c r="BY20" s="514"/>
      <c r="BZ20" s="514"/>
      <c r="CA20" s="514"/>
      <c r="CB20" s="514"/>
      <c r="CC20" s="4"/>
      <c r="CD20" s="514"/>
      <c r="CE20" s="514"/>
      <c r="CF20" s="514"/>
      <c r="CG20" s="514"/>
      <c r="CH20" s="4"/>
      <c r="CI20" s="514"/>
      <c r="CJ20" s="4"/>
      <c r="CK20" s="514"/>
    </row>
    <row r="21" spans="1:89">
      <c r="A21" s="559" t="s">
        <v>298</v>
      </c>
      <c r="B21" s="560" t="e">
        <f>'For upload'!#REF!</f>
        <v>#REF!</v>
      </c>
      <c r="C21" s="560" t="e">
        <f>'For upload'!#REF!</f>
        <v>#REF!</v>
      </c>
      <c r="D21" s="560" t="e">
        <f>'For upload'!#REF!</f>
        <v>#REF!</v>
      </c>
      <c r="E21" s="560" t="e">
        <f>'For upload'!#REF!</f>
        <v>#REF!</v>
      </c>
      <c r="F21" s="560" t="e">
        <f>'For upload'!#REF!</f>
        <v>#REF!</v>
      </c>
      <c r="G21" s="560" t="e">
        <f>'For upload'!#REF!</f>
        <v>#REF!</v>
      </c>
      <c r="H21" s="560" t="e">
        <f>'For upload'!#REF!</f>
        <v>#REF!</v>
      </c>
      <c r="I21" s="560" t="e">
        <f>'For upload'!#REF!</f>
        <v>#REF!</v>
      </c>
      <c r="J21" s="560" t="e">
        <f>'For upload'!#REF!</f>
        <v>#REF!</v>
      </c>
      <c r="K21" s="560" t="e">
        <f>'For upload'!#REF!</f>
        <v>#REF!</v>
      </c>
      <c r="L21" s="560" t="e">
        <f>'For upload'!#REF!</f>
        <v>#REF!</v>
      </c>
      <c r="M21" s="560" t="e">
        <f>'For upload'!#REF!</f>
        <v>#REF!</v>
      </c>
      <c r="N21" s="560" t="e">
        <f>'For upload'!#REF!</f>
        <v>#REF!</v>
      </c>
      <c r="O21" s="561" t="e">
        <f>'For upload'!#REF!</f>
        <v>#REF!</v>
      </c>
      <c r="P21" s="393"/>
      <c r="Q21" s="560" t="e">
        <f>'For upload'!#REF!</f>
        <v>#REF!</v>
      </c>
      <c r="R21" s="560" t="e">
        <f>'For upload'!#REF!</f>
        <v>#REF!</v>
      </c>
      <c r="S21" s="560" t="e">
        <f>'For upload'!#REF!</f>
        <v>#REF!</v>
      </c>
      <c r="T21" s="560" t="e">
        <f>'For upload'!#REF!</f>
        <v>#REF!</v>
      </c>
      <c r="U21" s="560" t="e">
        <f>'For upload'!#REF!</f>
        <v>#REF!</v>
      </c>
      <c r="V21" s="560" t="e">
        <f>'For upload'!#REF!</f>
        <v>#REF!</v>
      </c>
      <c r="W21" s="560" t="e">
        <f>'For upload'!#REF!</f>
        <v>#REF!</v>
      </c>
      <c r="X21" s="560" t="e">
        <f>'For upload'!#REF!</f>
        <v>#REF!</v>
      </c>
      <c r="Y21" s="560" t="e">
        <f>'For upload'!#REF!</f>
        <v>#REF!</v>
      </c>
      <c r="Z21" s="560" t="e">
        <f>'For upload'!#REF!</f>
        <v>#REF!</v>
      </c>
      <c r="AA21" s="560" t="e">
        <f>'For upload'!#REF!</f>
        <v>#REF!</v>
      </c>
      <c r="AB21" s="560" t="e">
        <f>'For upload'!#REF!</f>
        <v>#REF!</v>
      </c>
      <c r="AC21" s="560" t="e">
        <f>'For upload'!#REF!</f>
        <v>#REF!</v>
      </c>
      <c r="AD21" s="569" t="e">
        <f>AC21/AC$7</f>
        <v>#REF!</v>
      </c>
      <c r="AE21" s="562"/>
      <c r="AF21" s="563" t="e">
        <f t="shared" si="6"/>
        <v>#REF!</v>
      </c>
      <c r="AG21" s="563" t="e">
        <f t="shared" si="6"/>
        <v>#REF!</v>
      </c>
      <c r="AH21" s="563" t="e">
        <f t="shared" si="6"/>
        <v>#REF!</v>
      </c>
      <c r="AI21" s="563" t="e">
        <f t="shared" si="6"/>
        <v>#REF!</v>
      </c>
      <c r="AJ21" s="563" t="e">
        <f t="shared" si="6"/>
        <v>#REF!</v>
      </c>
      <c r="AK21" s="563" t="e">
        <f t="shared" si="6"/>
        <v>#REF!</v>
      </c>
      <c r="AL21" s="563" t="e">
        <f t="shared" si="6"/>
        <v>#REF!</v>
      </c>
      <c r="AM21" s="563" t="e">
        <f t="shared" si="6"/>
        <v>#REF!</v>
      </c>
      <c r="AN21" s="563" t="e">
        <f t="shared" si="6"/>
        <v>#REF!</v>
      </c>
      <c r="AO21" s="563" t="e">
        <f t="shared" si="6"/>
        <v>#REF!</v>
      </c>
      <c r="AP21" s="563" t="e">
        <f t="shared" si="6"/>
        <v>#REF!</v>
      </c>
      <c r="AQ21" s="563" t="e">
        <f t="shared" si="6"/>
        <v>#REF!</v>
      </c>
      <c r="AR21" s="563" t="e">
        <f>N21-AC21</f>
        <v>#REF!</v>
      </c>
      <c r="AS21" s="564" t="e">
        <f t="shared" si="1"/>
        <v>#REF!</v>
      </c>
      <c r="AT21" s="551"/>
      <c r="AU21" s="575" t="s">
        <v>409</v>
      </c>
      <c r="AV21" s="576">
        <f>-1005</f>
        <v>-1005</v>
      </c>
      <c r="AX21" s="577" t="s">
        <v>411</v>
      </c>
      <c r="AY21" s="577"/>
      <c r="AZ21" s="577"/>
      <c r="BA21" s="586"/>
      <c r="BB21" s="551"/>
      <c r="BC21" s="551"/>
      <c r="BD21" s="551"/>
      <c r="BE21" s="551"/>
      <c r="BF21" s="551"/>
      <c r="BG21" s="551"/>
      <c r="BH21" s="551"/>
      <c r="BI21" s="551"/>
      <c r="BJ21" s="551"/>
      <c r="BK21" s="551"/>
      <c r="BL21" s="551"/>
      <c r="BM21" s="551"/>
      <c r="BN21" s="551"/>
      <c r="BO21" s="551"/>
      <c r="BP21" s="551"/>
      <c r="BQ21" s="551"/>
      <c r="BR21" s="551"/>
      <c r="BS21" s="551"/>
      <c r="BT21" s="551"/>
      <c r="BU21" s="551"/>
      <c r="BV21" s="551"/>
      <c r="BW21" s="551"/>
      <c r="BX21" s="551"/>
      <c r="BY21" s="551"/>
      <c r="BZ21" s="551"/>
      <c r="CA21" s="551"/>
      <c r="CB21" s="551"/>
      <c r="CC21" s="551"/>
      <c r="CD21" s="551"/>
      <c r="CE21" s="551"/>
      <c r="CF21" s="551"/>
      <c r="CG21" s="551"/>
      <c r="CH21" s="551"/>
      <c r="CI21" s="551"/>
      <c r="CJ21" s="551"/>
      <c r="CK21" s="551"/>
    </row>
    <row r="22" spans="1:89">
      <c r="A22" s="391" t="s">
        <v>294</v>
      </c>
      <c r="B22" s="378" t="e">
        <f>'For upload'!#REF!</f>
        <v>#REF!</v>
      </c>
      <c r="C22" s="378" t="e">
        <f>'For upload'!#REF!</f>
        <v>#REF!</v>
      </c>
      <c r="D22" s="378" t="e">
        <f>'For upload'!#REF!</f>
        <v>#REF!</v>
      </c>
      <c r="E22" s="378" t="e">
        <f>'For upload'!#REF!</f>
        <v>#REF!</v>
      </c>
      <c r="F22" s="378" t="e">
        <f>'For upload'!#REF!</f>
        <v>#REF!</v>
      </c>
      <c r="G22" s="378" t="e">
        <f>'For upload'!#REF!</f>
        <v>#REF!</v>
      </c>
      <c r="H22" s="378" t="e">
        <f>'For upload'!#REF!</f>
        <v>#REF!</v>
      </c>
      <c r="I22" s="378" t="e">
        <f>'For upload'!#REF!</f>
        <v>#REF!</v>
      </c>
      <c r="J22" s="378" t="e">
        <f>'For upload'!#REF!</f>
        <v>#REF!</v>
      </c>
      <c r="K22" s="378" t="e">
        <f>'For upload'!#REF!</f>
        <v>#REF!</v>
      </c>
      <c r="L22" s="378" t="e">
        <f>'For upload'!#REF!</f>
        <v>#REF!</v>
      </c>
      <c r="M22" s="378" t="e">
        <f>'For upload'!#REF!</f>
        <v>#REF!</v>
      </c>
      <c r="N22" s="378" t="e">
        <f>'For upload'!#REF!</f>
        <v>#REF!</v>
      </c>
      <c r="O22" s="466" t="e">
        <f>'For upload'!#REF!</f>
        <v>#REF!</v>
      </c>
      <c r="P22" s="393"/>
      <c r="Q22" s="446">
        <v>926.10584927673665</v>
      </c>
      <c r="R22" s="446">
        <v>834.98280205964579</v>
      </c>
      <c r="S22" s="446">
        <v>-1350.2607161049486</v>
      </c>
      <c r="T22" s="446">
        <v>-4753.6806754323861</v>
      </c>
      <c r="U22" s="446">
        <v>-4330.3392386238183</v>
      </c>
      <c r="V22" s="446">
        <v>-1161.0891818574787</v>
      </c>
      <c r="W22" s="446">
        <v>465.34502091631998</v>
      </c>
      <c r="X22" s="446">
        <v>-321.8438219088215</v>
      </c>
      <c r="Y22" s="446">
        <v>-170.7999701561568</v>
      </c>
      <c r="Z22" s="446">
        <v>259.37340747605555</v>
      </c>
      <c r="AA22" s="446">
        <v>823.45799075256332</v>
      </c>
      <c r="AB22" s="446">
        <v>845.60899470653908</v>
      </c>
      <c r="AC22" s="446">
        <v>-7933.139538895748</v>
      </c>
      <c r="AD22" s="492">
        <f t="shared" si="2"/>
        <v>-2.2248874617519732E-2</v>
      </c>
      <c r="AE22" s="504"/>
      <c r="AF22" s="507" t="e">
        <f t="shared" si="6"/>
        <v>#REF!</v>
      </c>
      <c r="AG22" s="507" t="e">
        <f t="shared" si="6"/>
        <v>#REF!</v>
      </c>
      <c r="AH22" s="507" t="e">
        <f t="shared" si="6"/>
        <v>#REF!</v>
      </c>
      <c r="AI22" s="507" t="e">
        <f t="shared" si="6"/>
        <v>#REF!</v>
      </c>
      <c r="AJ22" s="507" t="e">
        <f t="shared" si="6"/>
        <v>#REF!</v>
      </c>
      <c r="AK22" s="507" t="e">
        <f t="shared" si="6"/>
        <v>#REF!</v>
      </c>
      <c r="AL22" s="507" t="e">
        <f t="shared" si="6"/>
        <v>#REF!</v>
      </c>
      <c r="AM22" s="507" t="e">
        <f t="shared" si="6"/>
        <v>#REF!</v>
      </c>
      <c r="AN22" s="507" t="e">
        <f t="shared" si="6"/>
        <v>#REF!</v>
      </c>
      <c r="AO22" s="507" t="e">
        <f t="shared" si="6"/>
        <v>#REF!</v>
      </c>
      <c r="AP22" s="507" t="e">
        <f t="shared" si="6"/>
        <v>#REF!</v>
      </c>
      <c r="AQ22" s="507" t="e">
        <f t="shared" si="6"/>
        <v>#REF!</v>
      </c>
      <c r="AR22" s="507" t="e">
        <f>N22-AC22</f>
        <v>#REF!</v>
      </c>
      <c r="AS22" s="502" t="e">
        <f t="shared" si="1"/>
        <v>#REF!</v>
      </c>
      <c r="AT22" s="463"/>
      <c r="AU22" s="575" t="s">
        <v>401</v>
      </c>
      <c r="AV22" s="576">
        <f>-140-687-90</f>
        <v>-917</v>
      </c>
      <c r="AX22" s="571"/>
      <c r="AY22" s="497"/>
      <c r="BB22" s="463"/>
      <c r="BC22" s="463"/>
      <c r="BD22" s="463"/>
      <c r="BE22" s="463"/>
      <c r="BF22" s="463"/>
      <c r="BG22" s="463"/>
      <c r="BH22" s="463"/>
      <c r="BI22" s="463"/>
      <c r="BJ22" s="463"/>
      <c r="BK22" s="463"/>
      <c r="BL22" s="463"/>
      <c r="BM22" s="463"/>
      <c r="BN22" s="463"/>
      <c r="BO22" s="4"/>
      <c r="BP22" s="463"/>
      <c r="BQ22" s="463"/>
      <c r="BR22" s="463"/>
      <c r="BS22" s="463"/>
      <c r="BT22" s="463"/>
      <c r="BU22" s="463"/>
      <c r="BV22" s="463"/>
      <c r="BW22" s="463"/>
      <c r="BX22" s="463"/>
      <c r="BY22" s="463"/>
      <c r="BZ22" s="463"/>
      <c r="CA22" s="463"/>
      <c r="CB22" s="463"/>
      <c r="CC22" s="4"/>
      <c r="CD22" s="463"/>
      <c r="CE22" s="463"/>
      <c r="CF22" s="463"/>
      <c r="CG22" s="463"/>
      <c r="CH22" s="4"/>
      <c r="CI22" s="463"/>
      <c r="CJ22" s="4"/>
      <c r="CK22" s="463"/>
    </row>
    <row r="23" spans="1:89">
      <c r="A23" s="391" t="s">
        <v>357</v>
      </c>
      <c r="B23" s="378" t="e">
        <f>'For upload'!#REF!</f>
        <v>#REF!</v>
      </c>
      <c r="C23" s="378" t="e">
        <f>'For upload'!#REF!</f>
        <v>#REF!</v>
      </c>
      <c r="D23" s="378" t="e">
        <f>'For upload'!#REF!</f>
        <v>#REF!</v>
      </c>
      <c r="E23" s="378" t="e">
        <f>'For upload'!#REF!</f>
        <v>#REF!</v>
      </c>
      <c r="F23" s="378" t="e">
        <f>'For upload'!#REF!</f>
        <v>#REF!</v>
      </c>
      <c r="G23" s="378" t="e">
        <f>'For upload'!#REF!</f>
        <v>#REF!</v>
      </c>
      <c r="H23" s="378" t="e">
        <f>'For upload'!#REF!</f>
        <v>#REF!</v>
      </c>
      <c r="I23" s="378" t="e">
        <f>'For upload'!#REF!</f>
        <v>#REF!</v>
      </c>
      <c r="J23" s="378" t="e">
        <f>'For upload'!#REF!</f>
        <v>#REF!</v>
      </c>
      <c r="K23" s="378" t="e">
        <f>'For upload'!#REF!</f>
        <v>#REF!</v>
      </c>
      <c r="L23" s="378" t="e">
        <f>'For upload'!#REF!</f>
        <v>#REF!</v>
      </c>
      <c r="M23" s="378" t="e">
        <f>'For upload'!#REF!</f>
        <v>#REF!</v>
      </c>
      <c r="N23" s="378" t="e">
        <f>'For upload'!#REF!</f>
        <v>#REF!</v>
      </c>
      <c r="O23" s="393" t="e">
        <f>'For upload'!#REF!</f>
        <v>#REF!</v>
      </c>
      <c r="P23" s="393"/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3"/>
      <c r="AC23" s="393"/>
      <c r="AD23" s="393"/>
      <c r="AE23" s="497"/>
      <c r="AF23" s="508"/>
      <c r="AG23" s="508"/>
      <c r="AH23" s="508"/>
      <c r="AI23" s="508"/>
      <c r="AJ23" s="508"/>
      <c r="AK23" s="508"/>
      <c r="AL23" s="508"/>
      <c r="AM23" s="508"/>
      <c r="AN23" s="508"/>
      <c r="AO23" s="508"/>
      <c r="AP23" s="508"/>
      <c r="AQ23" s="508"/>
      <c r="AR23" s="508"/>
      <c r="AS23" s="493"/>
      <c r="AT23" s="463"/>
      <c r="AU23" s="575" t="s">
        <v>402</v>
      </c>
      <c r="AV23" s="576">
        <f>220*7</f>
        <v>1540</v>
      </c>
      <c r="AX23" s="571"/>
      <c r="AY23" s="497"/>
      <c r="BB23" s="463"/>
      <c r="BC23" s="463"/>
      <c r="BD23" s="463"/>
      <c r="BE23" s="463"/>
      <c r="BF23" s="463"/>
      <c r="BG23" s="463"/>
      <c r="BH23" s="463"/>
      <c r="BI23" s="463"/>
      <c r="BJ23" s="463"/>
      <c r="BK23" s="463"/>
      <c r="BL23" s="463"/>
      <c r="BM23" s="463"/>
      <c r="BN23" s="463"/>
      <c r="BO23" s="4"/>
      <c r="BP23" s="463"/>
      <c r="BQ23" s="463"/>
      <c r="BR23" s="463"/>
      <c r="BS23" s="463"/>
      <c r="BT23" s="463"/>
      <c r="BU23" s="463"/>
      <c r="BV23" s="463"/>
      <c r="BW23" s="463"/>
      <c r="BX23" s="463"/>
      <c r="BY23" s="463"/>
      <c r="BZ23" s="463"/>
      <c r="CA23" s="463"/>
      <c r="CB23" s="463"/>
      <c r="CC23" s="4"/>
      <c r="CD23" s="463"/>
      <c r="CE23" s="463"/>
      <c r="CF23" s="463"/>
      <c r="CG23" s="463"/>
      <c r="CH23" s="4"/>
      <c r="CI23" s="463"/>
      <c r="CJ23" s="4"/>
      <c r="CK23" s="463"/>
    </row>
    <row r="24" spans="1:89">
      <c r="A24" s="391" t="s">
        <v>358</v>
      </c>
      <c r="B24" s="378" t="e">
        <f>'For upload'!#REF!</f>
        <v>#REF!</v>
      </c>
      <c r="C24" s="378" t="e">
        <f>'For upload'!#REF!</f>
        <v>#REF!</v>
      </c>
      <c r="D24" s="378" t="e">
        <f>'For upload'!#REF!</f>
        <v>#REF!</v>
      </c>
      <c r="E24" s="378" t="e">
        <f>'For upload'!#REF!</f>
        <v>#REF!</v>
      </c>
      <c r="F24" s="378" t="e">
        <f>'For upload'!#REF!</f>
        <v>#REF!</v>
      </c>
      <c r="G24" s="378" t="e">
        <f>'For upload'!#REF!</f>
        <v>#REF!</v>
      </c>
      <c r="H24" s="378" t="e">
        <f>'For upload'!#REF!</f>
        <v>#REF!</v>
      </c>
      <c r="I24" s="378" t="e">
        <f>'For upload'!#REF!</f>
        <v>#REF!</v>
      </c>
      <c r="J24" s="378" t="e">
        <f>'For upload'!#REF!</f>
        <v>#REF!</v>
      </c>
      <c r="K24" s="378" t="e">
        <f>'For upload'!#REF!</f>
        <v>#REF!</v>
      </c>
      <c r="L24" s="378" t="e">
        <f>'For upload'!#REF!</f>
        <v>#REF!</v>
      </c>
      <c r="M24" s="378" t="e">
        <f>'For upload'!#REF!</f>
        <v>#REF!</v>
      </c>
      <c r="N24" s="378" t="e">
        <f>'For upload'!#REF!</f>
        <v>#REF!</v>
      </c>
      <c r="O24" t="e">
        <f>'For upload'!#REF!</f>
        <v>#REF!</v>
      </c>
      <c r="P24" s="393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/>
      <c r="AE24" s="4"/>
      <c r="AF24" s="508"/>
      <c r="AG24" s="508"/>
      <c r="AH24" s="508"/>
      <c r="AI24" s="508"/>
      <c r="AJ24" s="508"/>
      <c r="AK24" s="508"/>
      <c r="AL24" s="508"/>
      <c r="AM24" s="508"/>
      <c r="AN24" s="508"/>
      <c r="AO24" s="508"/>
      <c r="AP24" s="508"/>
      <c r="AQ24" s="508"/>
      <c r="AR24" s="508"/>
      <c r="AS24" s="493"/>
      <c r="AT24" s="4"/>
      <c r="AU24" s="575" t="s">
        <v>283</v>
      </c>
      <c r="AV24" s="576" t="e">
        <f>'For upload'!#REF!</f>
        <v>#REF!</v>
      </c>
      <c r="AW24" s="517"/>
      <c r="AY24" s="497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J24" s="4"/>
      <c r="CK24" s="4"/>
    </row>
    <row r="25" spans="1:89">
      <c r="A25" s="572" t="s">
        <v>287</v>
      </c>
      <c r="B25" s="567" t="e">
        <f>'For upload'!#REF!</f>
        <v>#REF!</v>
      </c>
      <c r="C25" s="567" t="e">
        <f>'For upload'!#REF!</f>
        <v>#REF!</v>
      </c>
      <c r="D25" s="567" t="e">
        <f>'For upload'!#REF!</f>
        <v>#REF!</v>
      </c>
      <c r="E25" s="567" t="e">
        <f>'For upload'!#REF!</f>
        <v>#REF!</v>
      </c>
      <c r="F25" s="567" t="e">
        <f>'For upload'!#REF!</f>
        <v>#REF!</v>
      </c>
      <c r="G25" s="567" t="e">
        <f>'For upload'!#REF!</f>
        <v>#REF!</v>
      </c>
      <c r="H25" s="567" t="e">
        <f>'For upload'!#REF!</f>
        <v>#REF!</v>
      </c>
      <c r="I25" s="567" t="e">
        <f>'For upload'!#REF!</f>
        <v>#REF!</v>
      </c>
      <c r="J25" s="567" t="e">
        <f>'For upload'!#REF!</f>
        <v>#REF!</v>
      </c>
      <c r="K25" s="567" t="e">
        <f>'For upload'!#REF!</f>
        <v>#REF!</v>
      </c>
      <c r="L25" s="567" t="e">
        <f>'For upload'!#REF!</f>
        <v>#REF!</v>
      </c>
      <c r="M25" s="567" t="e">
        <f>'For upload'!#REF!</f>
        <v>#REF!</v>
      </c>
      <c r="N25" s="567" t="e">
        <f>'For upload'!#REF!</f>
        <v>#REF!</v>
      </c>
      <c r="O25" s="569" t="e">
        <f>'For upload'!#REF!</f>
        <v>#REF!</v>
      </c>
      <c r="P25" s="393"/>
      <c r="Q25" s="565">
        <v>-3704.4233971069461</v>
      </c>
      <c r="R25" s="565">
        <v>-3339.9312082385827</v>
      </c>
      <c r="S25" s="565">
        <v>5401.0428644197937</v>
      </c>
      <c r="T25" s="565">
        <v>19014.722701729544</v>
      </c>
      <c r="U25" s="565">
        <v>17321.35695449527</v>
      </c>
      <c r="V25" s="565">
        <v>4644.3567274299148</v>
      </c>
      <c r="W25" s="565">
        <v>-1861.3800836652799</v>
      </c>
      <c r="X25" s="565">
        <v>1287.3752876352858</v>
      </c>
      <c r="Y25" s="565">
        <v>683.19988062462721</v>
      </c>
      <c r="Z25" s="565">
        <v>-1037.4936299042217</v>
      </c>
      <c r="AA25" s="565">
        <v>-3293.8319630102528</v>
      </c>
      <c r="AB25" s="565">
        <v>-3382.4359788261563</v>
      </c>
      <c r="AC25" s="565">
        <v>31732.558155582985</v>
      </c>
      <c r="AD25" s="569">
        <f>AC25/AC$7</f>
        <v>8.8995498470078899E-2</v>
      </c>
      <c r="AE25" s="504"/>
      <c r="AF25" s="507" t="e">
        <f t="shared" ref="AF25:AQ25" si="7">B25-Q25</f>
        <v>#REF!</v>
      </c>
      <c r="AG25" s="507" t="e">
        <f t="shared" si="7"/>
        <v>#REF!</v>
      </c>
      <c r="AH25" s="507" t="e">
        <f t="shared" si="7"/>
        <v>#REF!</v>
      </c>
      <c r="AI25" s="507" t="e">
        <f t="shared" si="7"/>
        <v>#REF!</v>
      </c>
      <c r="AJ25" s="507" t="e">
        <f t="shared" si="7"/>
        <v>#REF!</v>
      </c>
      <c r="AK25" s="507" t="e">
        <f t="shared" si="7"/>
        <v>#REF!</v>
      </c>
      <c r="AL25" s="507" t="e">
        <f t="shared" si="7"/>
        <v>#REF!</v>
      </c>
      <c r="AM25" s="507" t="e">
        <f t="shared" si="7"/>
        <v>#REF!</v>
      </c>
      <c r="AN25" s="507" t="e">
        <f t="shared" si="7"/>
        <v>#REF!</v>
      </c>
      <c r="AO25" s="507" t="e">
        <f t="shared" si="7"/>
        <v>#REF!</v>
      </c>
      <c r="AP25" s="507" t="e">
        <f t="shared" si="7"/>
        <v>#REF!</v>
      </c>
      <c r="AQ25" s="507" t="e">
        <f t="shared" si="7"/>
        <v>#REF!</v>
      </c>
      <c r="AR25" s="563" t="e">
        <f>N25-AC25</f>
        <v>#REF!</v>
      </c>
      <c r="AS25" s="566" t="e">
        <f>AR25/AC25</f>
        <v>#REF!</v>
      </c>
      <c r="AT25" s="514"/>
      <c r="AU25" s="577" t="s">
        <v>403</v>
      </c>
      <c r="AV25" s="576">
        <v>-1415</v>
      </c>
      <c r="AW25" s="517"/>
      <c r="AX25" s="544"/>
      <c r="AY25" s="497"/>
      <c r="BA25" s="515"/>
      <c r="BB25" s="514"/>
      <c r="BC25" s="514"/>
      <c r="BD25" s="514"/>
      <c r="BE25" s="514"/>
      <c r="BF25" s="514"/>
      <c r="BG25" s="514"/>
      <c r="BH25" s="514"/>
      <c r="BI25" s="514"/>
      <c r="BJ25" s="514"/>
      <c r="BK25" s="514"/>
      <c r="BL25" s="514"/>
      <c r="BM25" s="514"/>
      <c r="BN25" s="514"/>
      <c r="BO25" s="4"/>
      <c r="BP25" s="514"/>
      <c r="BQ25" s="514"/>
      <c r="BR25" s="514"/>
      <c r="BS25" s="514"/>
      <c r="BT25" s="514"/>
      <c r="BU25" s="514"/>
      <c r="BV25" s="514"/>
      <c r="BW25" s="514"/>
      <c r="BX25" s="514"/>
      <c r="BY25" s="514"/>
      <c r="BZ25" s="514"/>
      <c r="CA25" s="514"/>
      <c r="CB25" s="514"/>
      <c r="CC25" s="4"/>
      <c r="CD25" s="514"/>
      <c r="CE25" s="514"/>
      <c r="CF25" s="514"/>
      <c r="CG25" s="514"/>
      <c r="CH25" s="4"/>
      <c r="CI25" s="514"/>
      <c r="CJ25" s="4"/>
      <c r="CK25" s="514"/>
    </row>
    <row r="26" spans="1:89">
      <c r="A26" s="394" t="s">
        <v>295</v>
      </c>
      <c r="B26" s="393" t="e">
        <f>'For upload'!#REF!</f>
        <v>#REF!</v>
      </c>
      <c r="C26" s="393" t="e">
        <f>'For upload'!#REF!</f>
        <v>#REF!</v>
      </c>
      <c r="D26" s="393" t="e">
        <f>'For upload'!#REF!</f>
        <v>#REF!</v>
      </c>
      <c r="E26" s="393" t="e">
        <f>'For upload'!#REF!</f>
        <v>#REF!</v>
      </c>
      <c r="F26" s="393" t="e">
        <f>'For upload'!#REF!</f>
        <v>#REF!</v>
      </c>
      <c r="G26" s="393" t="e">
        <f>'For upload'!#REF!</f>
        <v>#REF!</v>
      </c>
      <c r="H26" s="393" t="e">
        <f>'For upload'!#REF!</f>
        <v>#REF!</v>
      </c>
      <c r="I26" s="393" t="e">
        <f>'For upload'!#REF!</f>
        <v>#REF!</v>
      </c>
      <c r="J26" s="393" t="e">
        <f>'For upload'!#REF!</f>
        <v>#REF!</v>
      </c>
      <c r="K26" s="393" t="e">
        <f>'For upload'!#REF!</f>
        <v>#REF!</v>
      </c>
      <c r="L26" s="393" t="e">
        <f>'For upload'!#REF!</f>
        <v>#REF!</v>
      </c>
      <c r="M26" s="393" t="e">
        <f>'For upload'!#REF!</f>
        <v>#REF!</v>
      </c>
      <c r="N26" s="393"/>
      <c r="O26" s="393" t="e">
        <f>'For upload'!#REF!</f>
        <v>#REF!</v>
      </c>
      <c r="P26" s="393"/>
      <c r="Q26" s="393">
        <v>-0.36165234872639546</v>
      </c>
      <c r="R26" s="393">
        <v>-0.19189137127789674</v>
      </c>
      <c r="S26" s="393">
        <v>0.13300295238801621</v>
      </c>
      <c r="T26" s="393">
        <v>0.25581423769829426</v>
      </c>
      <c r="U26" s="393">
        <v>0.27468402047703244</v>
      </c>
      <c r="V26" s="393">
        <v>0.16129776522841011</v>
      </c>
      <c r="W26" s="393">
        <v>-8.4417438468086345E-2</v>
      </c>
      <c r="X26" s="393">
        <v>3.812878567421088E-2</v>
      </c>
      <c r="Y26" s="393">
        <v>2.5021691693577344E-2</v>
      </c>
      <c r="Z26" s="393">
        <v>-5.9309138630044229E-2</v>
      </c>
      <c r="AA26" s="393">
        <v>-0.35199114773084267</v>
      </c>
      <c r="AB26" s="393">
        <v>-0.27827183722360438</v>
      </c>
      <c r="AC26" s="393"/>
      <c r="AD26" s="393"/>
      <c r="AE26" s="497"/>
      <c r="AF26" s="497"/>
      <c r="AG26" s="497"/>
      <c r="AH26" s="497"/>
      <c r="AI26" s="497"/>
      <c r="AJ26" s="497"/>
      <c r="AK26" s="497"/>
      <c r="AL26" s="497"/>
      <c r="AM26" s="497"/>
      <c r="AN26" s="497"/>
      <c r="AO26" s="497"/>
      <c r="AP26" s="497"/>
      <c r="AQ26" s="497"/>
      <c r="AS26" s="393"/>
      <c r="AT26" s="497"/>
      <c r="AU26" s="577" t="s">
        <v>386</v>
      </c>
      <c r="AV26" s="578" t="e">
        <f>AV16-AV17-AV18-AV19-AV20-AV21-AV22-AV23-AV24-AV25</f>
        <v>#REF!</v>
      </c>
      <c r="AX26" s="542"/>
      <c r="BA26" s="523"/>
      <c r="BB26" s="497"/>
      <c r="BC26" s="497"/>
      <c r="BD26" s="497"/>
      <c r="BE26" s="497"/>
      <c r="BF26" s="497"/>
      <c r="BG26" s="497"/>
      <c r="BH26" s="497"/>
      <c r="BI26" s="497"/>
      <c r="BJ26" s="497"/>
      <c r="BK26" s="497"/>
      <c r="BL26" s="497"/>
      <c r="BM26" s="497"/>
      <c r="BN26" s="497"/>
      <c r="BO26" s="4"/>
      <c r="BP26" s="497"/>
      <c r="BQ26" s="497"/>
      <c r="BR26" s="497"/>
      <c r="BS26" s="497"/>
      <c r="BT26" s="497"/>
      <c r="BU26" s="497"/>
      <c r="BV26" s="497"/>
      <c r="BW26" s="497"/>
      <c r="BX26" s="497"/>
      <c r="BY26" s="497"/>
      <c r="BZ26" s="497"/>
      <c r="CA26" s="497"/>
      <c r="CB26" s="497"/>
      <c r="CC26" s="4"/>
      <c r="CD26" s="497"/>
      <c r="CE26" s="497"/>
      <c r="CF26" s="497"/>
      <c r="CG26" s="497"/>
      <c r="CH26" s="4"/>
      <c r="CI26" s="497"/>
      <c r="CJ26" s="4"/>
      <c r="CK26" s="497"/>
    </row>
    <row r="27" spans="1:89">
      <c r="A27" s="524"/>
      <c r="B27" s="525"/>
      <c r="C27" s="525"/>
      <c r="D27" s="525"/>
      <c r="E27" s="525"/>
      <c r="F27" s="400"/>
      <c r="G27" s="400"/>
      <c r="H27" s="400"/>
      <c r="I27" s="400"/>
      <c r="J27" s="400"/>
      <c r="K27" s="400"/>
      <c r="L27" s="400"/>
      <c r="M27" s="400"/>
      <c r="N27" s="389"/>
      <c r="AC27" s="389"/>
      <c r="AU27" s="583" t="s">
        <v>307</v>
      </c>
      <c r="AV27" s="581" t="e">
        <f>SUM(AV13:AV16)</f>
        <v>#REF!</v>
      </c>
      <c r="AW27" s="582" t="e">
        <f>AS20</f>
        <v>#REF!</v>
      </c>
      <c r="AX27" s="542"/>
    </row>
    <row r="28" spans="1:89">
      <c r="A28" s="524"/>
      <c r="B28" s="389"/>
      <c r="C28" s="389"/>
      <c r="D28" s="389"/>
      <c r="E28" s="389"/>
      <c r="F28" s="378"/>
      <c r="G28" s="378"/>
      <c r="H28" s="378"/>
      <c r="I28" s="378"/>
      <c r="J28" s="378"/>
      <c r="K28" s="378"/>
      <c r="L28" s="378"/>
      <c r="M28" s="378"/>
      <c r="AC28" s="389"/>
      <c r="AU28" t="s">
        <v>404</v>
      </c>
      <c r="AV28" s="571" t="e">
        <f>'For upload'!#REF!</f>
        <v>#REF!</v>
      </c>
    </row>
    <row r="29" spans="1:89">
      <c r="G29" s="400"/>
      <c r="AU29" t="s">
        <v>405</v>
      </c>
      <c r="AV29" s="571" t="e">
        <f>'For upload'!#REF!</f>
        <v>#REF!</v>
      </c>
      <c r="BB29" s="517"/>
      <c r="BC29" s="517"/>
      <c r="BD29" s="517"/>
      <c r="BE29" s="517"/>
      <c r="BF29" s="517"/>
      <c r="BG29" s="517"/>
      <c r="BH29" s="517"/>
      <c r="BI29" s="517"/>
      <c r="BJ29" s="517"/>
      <c r="BK29" s="517"/>
      <c r="BL29" s="517"/>
      <c r="BM29" s="517"/>
    </row>
    <row r="30" spans="1:89">
      <c r="AU30" t="s">
        <v>406</v>
      </c>
      <c r="AV30" s="571" t="e">
        <f>'For upload'!#REF!</f>
        <v>#REF!</v>
      </c>
    </row>
    <row r="31" spans="1:89">
      <c r="AU31" s="583" t="s">
        <v>293</v>
      </c>
      <c r="AV31" s="581" t="e">
        <f>SUM(AV27:AV30)</f>
        <v>#REF!</v>
      </c>
      <c r="AW31" s="582" t="e">
        <f>AS20</f>
        <v>#REF!</v>
      </c>
    </row>
    <row r="32" spans="1:89">
      <c r="AU32" s="543" t="s">
        <v>357</v>
      </c>
      <c r="AV32" s="579" t="e">
        <f>Comments!AR22</f>
        <v>#REF!</v>
      </c>
      <c r="AW32" s="537"/>
    </row>
    <row r="33" spans="47:49">
      <c r="AU33" s="583" t="s">
        <v>287</v>
      </c>
      <c r="AV33" s="581" t="e">
        <f>SUM(AV31:AV32)</f>
        <v>#REF!</v>
      </c>
      <c r="AW33" s="582" t="e">
        <f>AS25</f>
        <v>#REF!</v>
      </c>
    </row>
    <row r="34" spans="47:49">
      <c r="AV34" s="574" t="e">
        <f>AR25-AV33</f>
        <v>#REF!</v>
      </c>
    </row>
    <row r="38" spans="47:49">
      <c r="AU38" s="517"/>
      <c r="AV38" s="520"/>
    </row>
    <row r="39" spans="47:49">
      <c r="AU39" s="497"/>
      <c r="AW39" s="523"/>
    </row>
  </sheetData>
  <pageMargins left="0.7" right="0.7" top="0.75" bottom="0.75" header="0.3" footer="0.3"/>
  <pageSetup paperSize="9"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119"/>
  <sheetViews>
    <sheetView showGridLines="0" topLeftCell="A88" zoomScale="80" zoomScaleNormal="80" workbookViewId="0">
      <selection activeCell="B39" sqref="B39"/>
    </sheetView>
  </sheetViews>
  <sheetFormatPr defaultColWidth="9.28515625" defaultRowHeight="15"/>
  <cols>
    <col min="1" max="1" width="9.28515625" style="472"/>
    <col min="2" max="2" width="27.28515625" style="472" customWidth="1"/>
    <col min="3" max="5" width="0" style="472" hidden="1" customWidth="1"/>
    <col min="6" max="6" width="9.42578125" style="472" bestFit="1" customWidth="1"/>
    <col min="7" max="9" width="9.28515625" style="472"/>
    <col min="10" max="10" width="9.28515625" style="472" customWidth="1"/>
    <col min="11" max="17" width="9.28515625" style="472"/>
    <col min="18" max="18" width="9.28515625" style="472" customWidth="1"/>
    <col min="19" max="19" width="16.42578125" style="472" hidden="1" customWidth="1"/>
    <col min="20" max="20" width="13.42578125" style="472" customWidth="1"/>
    <col min="21" max="21" width="14" style="472" hidden="1" customWidth="1"/>
    <col min="22" max="22" width="10" style="472" bestFit="1" customWidth="1"/>
    <col min="23" max="23" width="16.28515625" style="472" customWidth="1"/>
    <col min="24" max="16384" width="9.28515625" style="472"/>
  </cols>
  <sheetData>
    <row r="2" spans="2:20">
      <c r="B2" s="470"/>
    </row>
    <row r="3" spans="2:20">
      <c r="B3" s="470"/>
    </row>
    <row r="4" spans="2:20" ht="21">
      <c r="B4" s="468" t="s">
        <v>369</v>
      </c>
      <c r="C4" s="469"/>
      <c r="D4" s="469"/>
      <c r="E4" s="470"/>
      <c r="F4" s="470"/>
      <c r="G4" s="470"/>
      <c r="H4" s="468">
        <v>0</v>
      </c>
      <c r="I4" s="470"/>
      <c r="J4" s="470"/>
      <c r="K4" s="470"/>
      <c r="L4" s="470"/>
      <c r="M4" s="470"/>
      <c r="N4" s="470"/>
      <c r="O4" s="470"/>
      <c r="P4" s="470"/>
      <c r="Q4" s="471" t="s">
        <v>364</v>
      </c>
      <c r="R4" s="470">
        <f>COUNTIF(F8:Q8,"&gt;0")</f>
        <v>12</v>
      </c>
    </row>
    <row r="5" spans="2:20">
      <c r="B5" s="470"/>
      <c r="C5" s="469"/>
      <c r="D5" s="473">
        <v>2014</v>
      </c>
      <c r="E5" s="470"/>
      <c r="F5" s="1276">
        <v>2014</v>
      </c>
      <c r="G5" s="1276"/>
      <c r="H5" s="1276"/>
      <c r="I5" s="1276"/>
      <c r="J5" s="1276"/>
      <c r="K5" s="1276"/>
      <c r="L5" s="1276"/>
      <c r="M5" s="1276"/>
      <c r="N5" s="1276"/>
      <c r="O5" s="1276"/>
      <c r="P5" s="1276"/>
      <c r="Q5" s="1276"/>
      <c r="R5" s="1276"/>
    </row>
    <row r="6" spans="2:20">
      <c r="B6" s="474"/>
      <c r="C6" s="475">
        <v>2011</v>
      </c>
      <c r="D6" s="475" t="s">
        <v>365</v>
      </c>
      <c r="E6" s="470"/>
      <c r="F6" s="476" t="s">
        <v>271</v>
      </c>
      <c r="G6" s="476" t="s">
        <v>272</v>
      </c>
      <c r="H6" s="476" t="s">
        <v>273</v>
      </c>
      <c r="I6" s="476" t="s">
        <v>274</v>
      </c>
      <c r="J6" s="476" t="s">
        <v>275</v>
      </c>
      <c r="K6" s="476" t="s">
        <v>276</v>
      </c>
      <c r="L6" s="476" t="s">
        <v>277</v>
      </c>
      <c r="M6" s="476" t="s">
        <v>278</v>
      </c>
      <c r="N6" s="476" t="s">
        <v>279</v>
      </c>
      <c r="O6" s="476" t="s">
        <v>280</v>
      </c>
      <c r="P6" s="476" t="s">
        <v>281</v>
      </c>
      <c r="Q6" s="476" t="s">
        <v>282</v>
      </c>
      <c r="R6" s="476">
        <v>2014</v>
      </c>
    </row>
    <row r="7" spans="2:20">
      <c r="B7" s="470"/>
      <c r="C7" s="469"/>
      <c r="D7" s="469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</row>
    <row r="8" spans="2:20">
      <c r="B8" s="477" t="s">
        <v>366</v>
      </c>
      <c r="C8" s="478">
        <v>137264.78080146</v>
      </c>
      <c r="D8" s="478">
        <v>173023.01250000001</v>
      </c>
      <c r="E8" s="470"/>
      <c r="F8" s="478">
        <v>5789.5115614000006</v>
      </c>
      <c r="G8" s="478">
        <v>5757.621967</v>
      </c>
      <c r="H8" s="478">
        <v>7291.5476269999999</v>
      </c>
      <c r="I8" s="478">
        <v>8733.4881687999987</v>
      </c>
      <c r="J8" s="478">
        <v>12042.064055399998</v>
      </c>
      <c r="K8" s="478">
        <v>11628.7442636</v>
      </c>
      <c r="L8" s="478">
        <v>13149.053360799999</v>
      </c>
      <c r="M8" s="478">
        <v>11684.295158999999</v>
      </c>
      <c r="N8" s="478">
        <v>4610.7975844000002</v>
      </c>
      <c r="O8" s="478">
        <v>3698.7022355999998</v>
      </c>
      <c r="P8" s="478">
        <v>2655.3450319999997</v>
      </c>
      <c r="Q8" s="478">
        <v>5536.1130750000002</v>
      </c>
      <c r="R8" s="478">
        <v>92577.284089999986</v>
      </c>
    </row>
    <row r="9" spans="2:20">
      <c r="B9" s="477" t="s">
        <v>296</v>
      </c>
      <c r="C9" s="478"/>
      <c r="D9" s="478"/>
      <c r="E9" s="470"/>
      <c r="F9" s="478">
        <v>4906.3657300000004</v>
      </c>
      <c r="G9" s="478">
        <v>4879.3406500000001</v>
      </c>
      <c r="H9" s="478">
        <v>6179.27765</v>
      </c>
      <c r="I9" s="478">
        <v>7401.26116</v>
      </c>
      <c r="J9" s="478">
        <v>10205.139029999998</v>
      </c>
      <c r="K9" s="478">
        <v>9854.8680199999999</v>
      </c>
      <c r="L9" s="478">
        <v>11143.26556</v>
      </c>
      <c r="M9" s="478">
        <v>9901.9450500000003</v>
      </c>
      <c r="N9" s="478">
        <v>3907.4555800000003</v>
      </c>
      <c r="O9" s="478">
        <v>3134.4934199999998</v>
      </c>
      <c r="P9" s="478">
        <v>2250.2923999999998</v>
      </c>
      <c r="Q9" s="478">
        <v>4691.6212500000001</v>
      </c>
      <c r="R9" s="478">
        <v>78455.325500000006</v>
      </c>
    </row>
    <row r="10" spans="2:20">
      <c r="B10" s="477" t="s">
        <v>288</v>
      </c>
      <c r="C10" s="478">
        <v>-78160.780801460001</v>
      </c>
      <c r="D10" s="478">
        <v>-98623.117125000004</v>
      </c>
      <c r="E10" s="470"/>
      <c r="F10" s="478">
        <v>-2510.3872700000002</v>
      </c>
      <c r="G10" s="478">
        <v>-2830.2133000000003</v>
      </c>
      <c r="H10" s="478">
        <v>-2238.12914</v>
      </c>
      <c r="I10" s="478">
        <v>-2258.0489400000001</v>
      </c>
      <c r="J10" s="478">
        <v>-3240.0644300000004</v>
      </c>
      <c r="K10" s="478">
        <v>-3675.3049999999998</v>
      </c>
      <c r="L10" s="478">
        <v>-5857.22462</v>
      </c>
      <c r="M10" s="478">
        <v>-5928.5748800000001</v>
      </c>
      <c r="N10" s="478">
        <v>-1413.7374399999999</v>
      </c>
      <c r="O10" s="478">
        <v>-1230.39941</v>
      </c>
      <c r="P10" s="478">
        <v>-1011.5146999999999</v>
      </c>
      <c r="Q10" s="478">
        <v>-2724.7760800000001</v>
      </c>
      <c r="R10" s="478">
        <v>-34918.375210000006</v>
      </c>
      <c r="T10" s="479">
        <f>R10/$R$9</f>
        <v>-0.44507335846818968</v>
      </c>
    </row>
    <row r="11" spans="2:20">
      <c r="B11" s="470" t="s">
        <v>284</v>
      </c>
      <c r="C11" s="478">
        <v>-1000</v>
      </c>
      <c r="D11" s="478">
        <v>-493.11558562500005</v>
      </c>
      <c r="E11" s="470"/>
      <c r="F11" s="478">
        <v>-4.6524300000000007</v>
      </c>
      <c r="G11" s="478">
        <v>2.2422300000000002</v>
      </c>
      <c r="H11" s="478">
        <v>-0.71113999999999999</v>
      </c>
      <c r="I11" s="478">
        <v>0</v>
      </c>
      <c r="J11" s="478">
        <v>-0.58132000000000006</v>
      </c>
      <c r="K11" s="478">
        <v>-1.79487</v>
      </c>
      <c r="L11" s="478">
        <v>-3.2033200000000002</v>
      </c>
      <c r="M11" s="478">
        <v>-14.444889999999999</v>
      </c>
      <c r="N11" s="478">
        <v>0.85763</v>
      </c>
      <c r="O11" s="478">
        <v>-0.23327000000000001</v>
      </c>
      <c r="P11" s="478">
        <v>16.651599999999998</v>
      </c>
      <c r="Q11" s="478">
        <v>-0.68352000000000002</v>
      </c>
      <c r="R11" s="478">
        <v>-6.5533000000000019</v>
      </c>
    </row>
    <row r="12" spans="2:20">
      <c r="B12" s="477" t="s">
        <v>58</v>
      </c>
      <c r="C12" s="478">
        <v>59104</v>
      </c>
      <c r="D12" s="478">
        <v>74399.895375000007</v>
      </c>
      <c r="E12" s="470"/>
      <c r="F12" s="478">
        <v>2391.3260300000002</v>
      </c>
      <c r="G12" s="478">
        <v>2051.3695799999996</v>
      </c>
      <c r="H12" s="478">
        <v>3940.4373700000001</v>
      </c>
      <c r="I12" s="478">
        <v>5143.2122199999994</v>
      </c>
      <c r="J12" s="478">
        <v>6964.4932799999979</v>
      </c>
      <c r="K12" s="478">
        <v>6177.7681499999999</v>
      </c>
      <c r="L12" s="478">
        <v>5282.8376200000002</v>
      </c>
      <c r="M12" s="478">
        <v>3958.9252799999999</v>
      </c>
      <c r="N12" s="478">
        <v>2494.5757700000004</v>
      </c>
      <c r="O12" s="478">
        <v>1903.8607399999999</v>
      </c>
      <c r="P12" s="478">
        <v>1255.4292999999998</v>
      </c>
      <c r="Q12" s="478">
        <v>1966.16165</v>
      </c>
      <c r="R12" s="478">
        <v>43530.396990000001</v>
      </c>
    </row>
    <row r="13" spans="2:20">
      <c r="B13" s="480" t="s">
        <v>289</v>
      </c>
      <c r="C13" s="481">
        <v>0.43058386612286309</v>
      </c>
      <c r="D13" s="481">
        <v>0.43</v>
      </c>
      <c r="E13" s="470"/>
      <c r="F13" s="481">
        <v>0.48739253484065076</v>
      </c>
      <c r="G13" s="481">
        <v>0.42041942285788131</v>
      </c>
      <c r="H13" s="481">
        <v>0.63768576089148543</v>
      </c>
      <c r="I13" s="481">
        <v>0.69491024689095005</v>
      </c>
      <c r="J13" s="481">
        <v>0.68244962263880093</v>
      </c>
      <c r="K13" s="481">
        <v>0.6268747726973618</v>
      </c>
      <c r="L13" s="481">
        <v>0.47408343555621052</v>
      </c>
      <c r="M13" s="481">
        <v>0.39981289130664283</v>
      </c>
      <c r="N13" s="481">
        <v>0.63841436426514675</v>
      </c>
      <c r="O13" s="481">
        <v>0.60739024936284602</v>
      </c>
      <c r="P13" s="481">
        <v>0.55789607608326808</v>
      </c>
      <c r="Q13" s="481">
        <v>0.41907936408975893</v>
      </c>
      <c r="R13" s="481">
        <v>0.55484311246659723</v>
      </c>
    </row>
    <row r="14" spans="2:20">
      <c r="B14" s="470"/>
      <c r="C14" s="478"/>
      <c r="D14" s="478"/>
      <c r="E14" s="470"/>
      <c r="F14" s="487">
        <v>0</v>
      </c>
      <c r="G14" s="487">
        <v>0</v>
      </c>
      <c r="H14" s="487">
        <v>0</v>
      </c>
      <c r="I14" s="487">
        <v>0</v>
      </c>
      <c r="J14" s="487">
        <v>0</v>
      </c>
      <c r="K14" s="487">
        <v>0</v>
      </c>
      <c r="L14" s="487">
        <v>0</v>
      </c>
      <c r="M14" s="487">
        <v>0</v>
      </c>
      <c r="N14" s="487">
        <v>0</v>
      </c>
      <c r="O14" s="487">
        <v>0</v>
      </c>
      <c r="P14" s="487">
        <v>0</v>
      </c>
      <c r="Q14" s="487">
        <v>0</v>
      </c>
      <c r="R14" s="487">
        <v>0</v>
      </c>
    </row>
    <row r="15" spans="2:20">
      <c r="B15" s="477" t="s">
        <v>300</v>
      </c>
      <c r="C15" s="478"/>
      <c r="D15" s="478"/>
      <c r="E15" s="470"/>
      <c r="F15" s="478">
        <v>-1769.8769900000002</v>
      </c>
      <c r="G15" s="478">
        <v>-1798.5758199999998</v>
      </c>
      <c r="H15" s="478">
        <v>-1790.7566599999998</v>
      </c>
      <c r="I15" s="478">
        <v>-1754.7841299999998</v>
      </c>
      <c r="J15" s="478">
        <v>-1530.2047499999999</v>
      </c>
      <c r="K15" s="478">
        <v>-1461.6246500000002</v>
      </c>
      <c r="L15" s="478">
        <v>-1738.1041699999998</v>
      </c>
      <c r="M15" s="478">
        <v>-1814.8291300000001</v>
      </c>
      <c r="N15" s="478">
        <v>-2156.8719700000001</v>
      </c>
      <c r="O15" s="478">
        <v>-2077.60439</v>
      </c>
      <c r="P15" s="478">
        <v>-1927.5571600000001</v>
      </c>
      <c r="Q15" s="478">
        <v>-1793.5869799999998</v>
      </c>
      <c r="R15" s="478">
        <v>-21614.376799999998</v>
      </c>
      <c r="S15" s="482">
        <f>(R15*-1)/R9</f>
        <v>0.27549916672004626</v>
      </c>
      <c r="T15" s="479">
        <f>R15/$R$9</f>
        <v>-0.27549916672004626</v>
      </c>
    </row>
    <row r="16" spans="2:20">
      <c r="B16" s="477" t="s">
        <v>292</v>
      </c>
      <c r="C16" s="478"/>
      <c r="D16" s="478"/>
      <c r="E16" s="470"/>
      <c r="F16" s="478">
        <v>-591.86785000000009</v>
      </c>
      <c r="G16" s="478">
        <v>-552.92884000000004</v>
      </c>
      <c r="H16" s="478">
        <v>-522.36422000000005</v>
      </c>
      <c r="I16" s="478">
        <v>-564.88102000000003</v>
      </c>
      <c r="J16" s="478">
        <v>-644.42543999999998</v>
      </c>
      <c r="K16" s="478">
        <v>-687.73718000000008</v>
      </c>
      <c r="L16" s="478">
        <v>-737.16638000000012</v>
      </c>
      <c r="M16" s="478">
        <v>-722.45942000000014</v>
      </c>
      <c r="N16" s="478">
        <v>-522.12426000000005</v>
      </c>
      <c r="O16" s="478">
        <v>-624.89656000000002</v>
      </c>
      <c r="P16" s="478">
        <v>-444.98996999999997</v>
      </c>
      <c r="Q16" s="478">
        <v>-494.99409999999995</v>
      </c>
      <c r="R16" s="478">
        <v>-7110.8352400000003</v>
      </c>
      <c r="S16" s="482">
        <f>(R16*-1)/R9</f>
        <v>9.0635469226368837E-2</v>
      </c>
      <c r="T16" s="479">
        <f t="shared" ref="T16:T23" si="0">R16/$R$9</f>
        <v>-9.0635469226368837E-2</v>
      </c>
    </row>
    <row r="17" spans="2:20">
      <c r="B17" s="477" t="s">
        <v>285</v>
      </c>
      <c r="C17" s="478"/>
      <c r="D17" s="478"/>
      <c r="E17" s="470"/>
      <c r="F17" s="478">
        <v>0</v>
      </c>
      <c r="G17" s="478">
        <v>0</v>
      </c>
      <c r="H17" s="478">
        <v>0</v>
      </c>
      <c r="I17" s="478">
        <v>0</v>
      </c>
      <c r="J17" s="478">
        <v>0</v>
      </c>
      <c r="K17" s="478">
        <v>0</v>
      </c>
      <c r="L17" s="478">
        <v>0</v>
      </c>
      <c r="M17" s="478">
        <v>0</v>
      </c>
      <c r="N17" s="478">
        <v>0</v>
      </c>
      <c r="O17" s="478">
        <v>0</v>
      </c>
      <c r="P17" s="478">
        <v>0</v>
      </c>
      <c r="Q17" s="478">
        <v>0</v>
      </c>
      <c r="R17" s="478">
        <v>0</v>
      </c>
      <c r="T17" s="479">
        <f t="shared" si="0"/>
        <v>0</v>
      </c>
    </row>
    <row r="18" spans="2:20">
      <c r="B18" s="477" t="s">
        <v>301</v>
      </c>
      <c r="C18" s="478"/>
      <c r="D18" s="478"/>
      <c r="E18" s="470"/>
      <c r="F18" s="478">
        <v>-228.25068999999996</v>
      </c>
      <c r="G18" s="478">
        <v>-68.803529999999995</v>
      </c>
      <c r="H18" s="478">
        <v>-212.56873000000002</v>
      </c>
      <c r="I18" s="478">
        <v>-113.75067000000001</v>
      </c>
      <c r="J18" s="478">
        <v>-32.377139999999997</v>
      </c>
      <c r="K18" s="478">
        <v>-44.17718</v>
      </c>
      <c r="L18" s="478">
        <v>-190.92952000000002</v>
      </c>
      <c r="M18" s="478">
        <v>-254.88883999999999</v>
      </c>
      <c r="N18" s="478">
        <v>-175.48314000000002</v>
      </c>
      <c r="O18" s="478">
        <v>-2.9</v>
      </c>
      <c r="P18" s="478">
        <v>0</v>
      </c>
      <c r="Q18" s="478">
        <v>-29.199159999999999</v>
      </c>
      <c r="R18" s="478">
        <v>-1353.3286000000003</v>
      </c>
      <c r="S18" s="482">
        <f>(R18*-1)/R9</f>
        <v>1.7249671598137721E-2</v>
      </c>
      <c r="T18" s="479">
        <f t="shared" si="0"/>
        <v>-1.7249671598137721E-2</v>
      </c>
    </row>
    <row r="19" spans="2:20">
      <c r="B19" s="477" t="s">
        <v>367</v>
      </c>
      <c r="C19" s="478"/>
      <c r="D19" s="478"/>
      <c r="E19" s="470"/>
      <c r="F19" s="478">
        <v>0</v>
      </c>
      <c r="G19" s="478">
        <v>0</v>
      </c>
      <c r="H19" s="478">
        <v>0</v>
      </c>
      <c r="I19" s="478">
        <v>0</v>
      </c>
      <c r="J19" s="478">
        <v>0</v>
      </c>
      <c r="K19" s="478">
        <v>0</v>
      </c>
      <c r="L19" s="478">
        <v>0</v>
      </c>
      <c r="M19" s="478">
        <v>0</v>
      </c>
      <c r="N19" s="478">
        <v>0</v>
      </c>
      <c r="O19" s="478">
        <v>0</v>
      </c>
      <c r="P19" s="478">
        <v>0</v>
      </c>
      <c r="Q19" s="478">
        <v>0</v>
      </c>
      <c r="R19" s="478">
        <v>0</v>
      </c>
      <c r="T19" s="479">
        <f t="shared" si="0"/>
        <v>0</v>
      </c>
    </row>
    <row r="20" spans="2:20">
      <c r="B20" s="477" t="s">
        <v>368</v>
      </c>
      <c r="C20" s="478"/>
      <c r="D20" s="478"/>
      <c r="E20" s="470"/>
      <c r="F20" s="478">
        <v>-27.584020000000002</v>
      </c>
      <c r="G20" s="478">
        <v>-24.646589999999996</v>
      </c>
      <c r="H20" s="478">
        <v>-23.164570000000001</v>
      </c>
      <c r="I20" s="478">
        <v>-20.763129999999997</v>
      </c>
      <c r="J20" s="478">
        <v>-1.13592</v>
      </c>
      <c r="K20" s="478">
        <v>-42.125830000000001</v>
      </c>
      <c r="L20" s="478">
        <v>-23.36946</v>
      </c>
      <c r="M20" s="478">
        <v>-1.13592</v>
      </c>
      <c r="N20" s="478">
        <v>-51.052630000000001</v>
      </c>
      <c r="O20" s="478">
        <v>-25.567720000000001</v>
      </c>
      <c r="P20" s="478">
        <v>-1.09927</v>
      </c>
      <c r="Q20" s="478">
        <v>-53.741260000000011</v>
      </c>
      <c r="R20" s="478">
        <v>-295.38632000000001</v>
      </c>
      <c r="T20" s="479">
        <f t="shared" si="0"/>
        <v>-3.7650257406681717E-3</v>
      </c>
    </row>
    <row r="21" spans="2:20">
      <c r="B21" s="477" t="s">
        <v>302</v>
      </c>
      <c r="C21" s="478"/>
      <c r="D21" s="478"/>
      <c r="E21" s="470"/>
      <c r="F21" s="478">
        <v>-8.5768000000000004</v>
      </c>
      <c r="G21" s="478">
        <v>-28.463829999999998</v>
      </c>
      <c r="H21" s="478">
        <v>-55.073030000000003</v>
      </c>
      <c r="I21" s="478">
        <v>-157.83012000000002</v>
      </c>
      <c r="J21" s="478">
        <v>-36.8172</v>
      </c>
      <c r="K21" s="478">
        <v>-101.28729999999999</v>
      </c>
      <c r="L21" s="478">
        <v>-87.108980000000017</v>
      </c>
      <c r="M21" s="478">
        <v>-62.763100000000001</v>
      </c>
      <c r="N21" s="478">
        <v>-72.613370000000003</v>
      </c>
      <c r="O21" s="478">
        <v>-90.413299999999992</v>
      </c>
      <c r="P21" s="478">
        <v>-42.393680000000003</v>
      </c>
      <c r="Q21" s="478">
        <v>-76.135549999999995</v>
      </c>
      <c r="R21" s="478">
        <v>-819.47626000000002</v>
      </c>
      <c r="T21" s="479">
        <f t="shared" si="0"/>
        <v>-1.0445132370268478E-2</v>
      </c>
    </row>
    <row r="22" spans="2:20">
      <c r="B22" s="477" t="s">
        <v>303</v>
      </c>
      <c r="C22" s="478"/>
      <c r="D22" s="478"/>
      <c r="E22" s="470"/>
      <c r="F22" s="478">
        <v>0</v>
      </c>
      <c r="G22" s="478">
        <v>0</v>
      </c>
      <c r="H22" s="478">
        <v>0</v>
      </c>
      <c r="I22" s="478">
        <v>0</v>
      </c>
      <c r="J22" s="478">
        <v>0</v>
      </c>
      <c r="K22" s="478">
        <v>0</v>
      </c>
      <c r="L22" s="478">
        <v>0</v>
      </c>
      <c r="M22" s="478">
        <v>0</v>
      </c>
      <c r="N22" s="478">
        <v>0</v>
      </c>
      <c r="O22" s="478">
        <v>0</v>
      </c>
      <c r="P22" s="478">
        <v>0</v>
      </c>
      <c r="Q22" s="478">
        <v>0</v>
      </c>
      <c r="R22" s="478">
        <v>0</v>
      </c>
      <c r="T22" s="479">
        <f t="shared" si="0"/>
        <v>0</v>
      </c>
    </row>
    <row r="23" spans="2:20">
      <c r="B23" s="477" t="s">
        <v>304</v>
      </c>
      <c r="C23" s="478"/>
      <c r="D23" s="478"/>
      <c r="E23" s="470"/>
      <c r="F23" s="478">
        <v>-40.521660000000004</v>
      </c>
      <c r="G23" s="478">
        <v>-42.939269999999993</v>
      </c>
      <c r="H23" s="478">
        <v>-58.193959999999983</v>
      </c>
      <c r="I23" s="478">
        <v>-68.51115999999999</v>
      </c>
      <c r="J23" s="478">
        <v>-86.124659999999977</v>
      </c>
      <c r="K23" s="478">
        <v>-103.02939999999997</v>
      </c>
      <c r="L23" s="478">
        <v>-106.83688000000001</v>
      </c>
      <c r="M23" s="478">
        <v>-93.783369999999991</v>
      </c>
      <c r="N23" s="478">
        <v>-52.964800000000018</v>
      </c>
      <c r="O23" s="478">
        <v>-31.449259999999999</v>
      </c>
      <c r="P23" s="478">
        <v>-27.586600000000004</v>
      </c>
      <c r="Q23" s="478">
        <v>-48.369500000000002</v>
      </c>
      <c r="R23" s="478">
        <v>-760.31051999999977</v>
      </c>
      <c r="T23" s="479">
        <f t="shared" si="0"/>
        <v>-9.6909994975420723E-3</v>
      </c>
    </row>
    <row r="24" spans="2:20">
      <c r="B24" s="470"/>
      <c r="C24" s="478"/>
      <c r="D24" s="478"/>
      <c r="E24" s="470"/>
      <c r="F24" s="470">
        <v>0</v>
      </c>
      <c r="G24" s="470">
        <v>0</v>
      </c>
      <c r="H24" s="470">
        <v>0</v>
      </c>
      <c r="I24" s="470">
        <v>0</v>
      </c>
      <c r="J24" s="470">
        <v>0</v>
      </c>
      <c r="K24" s="470">
        <v>0</v>
      </c>
      <c r="L24" s="470">
        <v>0</v>
      </c>
      <c r="M24" s="470">
        <v>0</v>
      </c>
      <c r="N24" s="470">
        <v>0</v>
      </c>
      <c r="O24" s="470">
        <v>0</v>
      </c>
      <c r="P24" s="470">
        <v>0</v>
      </c>
      <c r="Q24" s="470">
        <v>0</v>
      </c>
      <c r="R24" s="470">
        <v>0</v>
      </c>
    </row>
    <row r="25" spans="2:20">
      <c r="B25" s="483" t="s">
        <v>293</v>
      </c>
      <c r="C25" s="484">
        <v>20336.533945813379</v>
      </c>
      <c r="D25" s="484">
        <v>33041.520352763066</v>
      </c>
      <c r="E25" s="470"/>
      <c r="F25" s="484">
        <v>0</v>
      </c>
      <c r="G25" s="484">
        <v>0</v>
      </c>
      <c r="H25" s="484">
        <v>0</v>
      </c>
      <c r="I25" s="484">
        <v>0</v>
      </c>
      <c r="J25" s="484">
        <v>0</v>
      </c>
      <c r="K25" s="484">
        <v>0</v>
      </c>
      <c r="L25" s="484">
        <v>0</v>
      </c>
      <c r="M25" s="484">
        <v>0</v>
      </c>
      <c r="N25" s="484">
        <v>0</v>
      </c>
      <c r="O25" s="484">
        <v>0</v>
      </c>
      <c r="P25" s="484">
        <v>0</v>
      </c>
      <c r="Q25" s="484">
        <v>0</v>
      </c>
      <c r="R25" s="484">
        <v>0</v>
      </c>
      <c r="S25" s="485">
        <f>R25/R9</f>
        <v>0</v>
      </c>
    </row>
    <row r="26" spans="2:20">
      <c r="B26" s="470"/>
      <c r="C26" s="478"/>
      <c r="D26" s="478"/>
      <c r="E26" s="470"/>
      <c r="F26" s="470">
        <v>-275.35198000000008</v>
      </c>
      <c r="G26" s="470">
        <v>-464.98830000000021</v>
      </c>
      <c r="H26" s="470">
        <v>1278.3162000000007</v>
      </c>
      <c r="I26" s="470">
        <v>2462.6919899999998</v>
      </c>
      <c r="J26" s="470">
        <v>4633.4081699999979</v>
      </c>
      <c r="K26" s="470">
        <v>3737.7866100000001</v>
      </c>
      <c r="L26" s="470">
        <v>2399.3222300000007</v>
      </c>
      <c r="M26" s="470">
        <v>1009.0654999999998</v>
      </c>
      <c r="N26" s="470">
        <v>-536.53439999999989</v>
      </c>
      <c r="O26" s="470">
        <v>-948.97049000000004</v>
      </c>
      <c r="P26" s="470">
        <v>-1188.1973800000001</v>
      </c>
      <c r="Q26" s="470">
        <v>-529.86489999999981</v>
      </c>
      <c r="R26" s="470">
        <v>11576.683250000004</v>
      </c>
    </row>
    <row r="27" spans="2:20">
      <c r="B27" s="486" t="s">
        <v>294</v>
      </c>
      <c r="C27" s="478">
        <v>-4067.3067891626761</v>
      </c>
      <c r="D27" s="478">
        <v>-6608.3040705526137</v>
      </c>
      <c r="E27" s="470"/>
      <c r="F27" s="478">
        <v>0</v>
      </c>
      <c r="G27" s="478">
        <v>0</v>
      </c>
      <c r="H27" s="478">
        <v>0</v>
      </c>
      <c r="I27" s="478">
        <v>0</v>
      </c>
      <c r="J27" s="478">
        <v>0</v>
      </c>
      <c r="K27" s="478">
        <v>0</v>
      </c>
      <c r="L27" s="478">
        <v>0</v>
      </c>
      <c r="M27" s="478">
        <v>0</v>
      </c>
      <c r="N27" s="478">
        <v>0</v>
      </c>
      <c r="O27" s="478">
        <v>0</v>
      </c>
      <c r="P27" s="478">
        <v>0</v>
      </c>
      <c r="Q27" s="478">
        <v>0</v>
      </c>
      <c r="R27" s="478">
        <v>0</v>
      </c>
    </row>
    <row r="28" spans="2:20">
      <c r="B28" s="470"/>
      <c r="C28" s="478"/>
      <c r="D28" s="478"/>
      <c r="E28" s="470"/>
      <c r="F28" s="470">
        <v>0</v>
      </c>
      <c r="G28" s="470">
        <v>0</v>
      </c>
      <c r="H28" s="470">
        <v>0</v>
      </c>
      <c r="I28" s="470">
        <v>0</v>
      </c>
      <c r="J28" s="470">
        <v>0</v>
      </c>
      <c r="K28" s="470">
        <v>0</v>
      </c>
      <c r="L28" s="470">
        <v>0</v>
      </c>
      <c r="M28" s="470">
        <v>0</v>
      </c>
      <c r="N28" s="470">
        <v>0</v>
      </c>
      <c r="O28" s="470">
        <v>0</v>
      </c>
      <c r="P28" s="470">
        <v>0</v>
      </c>
      <c r="Q28" s="470">
        <v>0</v>
      </c>
      <c r="R28" s="470">
        <v>0</v>
      </c>
    </row>
    <row r="29" spans="2:20">
      <c r="B29" s="483" t="s">
        <v>287</v>
      </c>
      <c r="C29" s="484">
        <v>16269.227156650702</v>
      </c>
      <c r="D29" s="484">
        <v>26433.216282210451</v>
      </c>
      <c r="E29" s="470"/>
      <c r="F29" s="484" t="e">
        <v>#REF!</v>
      </c>
      <c r="G29" s="484" t="e">
        <v>#REF!</v>
      </c>
      <c r="H29" s="484" t="e">
        <v>#REF!</v>
      </c>
      <c r="I29" s="484" t="e">
        <v>#REF!</v>
      </c>
      <c r="J29" s="484" t="e">
        <v>#REF!</v>
      </c>
      <c r="K29" s="484" t="e">
        <v>#REF!</v>
      </c>
      <c r="L29" s="484" t="e">
        <v>#REF!</v>
      </c>
      <c r="M29" s="484" t="e">
        <v>#REF!</v>
      </c>
      <c r="N29" s="484" t="e">
        <v>#REF!</v>
      </c>
      <c r="O29" s="484" t="e">
        <v>#REF!</v>
      </c>
      <c r="P29" s="484" t="e">
        <v>#REF!</v>
      </c>
      <c r="Q29" s="484" t="e">
        <v>#REF!</v>
      </c>
      <c r="R29" s="484" t="e">
        <v>#REF!</v>
      </c>
    </row>
    <row r="30" spans="2:20">
      <c r="B30" s="480" t="s">
        <v>295</v>
      </c>
      <c r="C30" s="481">
        <v>0.11852440998818582</v>
      </c>
      <c r="D30" s="481">
        <v>0.1527728358226941</v>
      </c>
      <c r="E30" s="470"/>
      <c r="F30" s="481" t="e">
        <v>#REF!</v>
      </c>
      <c r="G30" s="481" t="e">
        <v>#REF!</v>
      </c>
      <c r="H30" s="481" t="e">
        <v>#REF!</v>
      </c>
      <c r="I30" s="481" t="e">
        <v>#REF!</v>
      </c>
      <c r="J30" s="481" t="e">
        <v>#REF!</v>
      </c>
      <c r="K30" s="481" t="e">
        <v>#REF!</v>
      </c>
      <c r="L30" s="481" t="e">
        <v>#REF!</v>
      </c>
      <c r="M30" s="481" t="e">
        <v>#REF!</v>
      </c>
      <c r="N30" s="481" t="e">
        <v>#REF!</v>
      </c>
      <c r="O30" s="481" t="e">
        <v>#REF!</v>
      </c>
      <c r="P30" s="481" t="e">
        <v>#REF!</v>
      </c>
      <c r="Q30" s="481" t="e">
        <v>#REF!</v>
      </c>
      <c r="R30" s="481" t="e">
        <v>#REF!</v>
      </c>
    </row>
    <row r="34" spans="2:20" ht="21">
      <c r="B34" s="468" t="s">
        <v>363</v>
      </c>
      <c r="C34" s="469"/>
      <c r="D34" s="469"/>
      <c r="E34" s="470"/>
      <c r="F34" s="470"/>
      <c r="G34" s="470"/>
      <c r="H34" s="468">
        <v>0</v>
      </c>
      <c r="I34" s="470"/>
      <c r="J34" s="470"/>
      <c r="K34" s="470"/>
      <c r="L34" s="470"/>
      <c r="M34" s="470"/>
      <c r="N34" s="470"/>
      <c r="O34" s="470"/>
      <c r="P34" s="470"/>
      <c r="Q34" s="471" t="s">
        <v>364</v>
      </c>
      <c r="R34" s="470">
        <f>COUNTIF(F38:Q38,"&gt;0")</f>
        <v>12</v>
      </c>
    </row>
    <row r="35" spans="2:20">
      <c r="B35" s="470"/>
      <c r="C35" s="469"/>
      <c r="D35" s="473">
        <v>2014</v>
      </c>
      <c r="E35" s="470"/>
      <c r="F35" s="1276">
        <v>2014</v>
      </c>
      <c r="G35" s="1276"/>
      <c r="H35" s="1276"/>
      <c r="I35" s="1276"/>
      <c r="J35" s="1276"/>
      <c r="K35" s="1276"/>
      <c r="L35" s="1276"/>
      <c r="M35" s="1276"/>
      <c r="N35" s="1276"/>
      <c r="O35" s="1276"/>
      <c r="P35" s="1276"/>
      <c r="Q35" s="1276"/>
      <c r="R35" s="1276"/>
    </row>
    <row r="36" spans="2:20">
      <c r="B36" s="474"/>
      <c r="C36" s="475">
        <v>2011</v>
      </c>
      <c r="D36" s="475" t="s">
        <v>365</v>
      </c>
      <c r="E36" s="470"/>
      <c r="F36" s="476" t="s">
        <v>271</v>
      </c>
      <c r="G36" s="476" t="s">
        <v>272</v>
      </c>
      <c r="H36" s="476" t="s">
        <v>273</v>
      </c>
      <c r="I36" s="476" t="s">
        <v>274</v>
      </c>
      <c r="J36" s="476" t="s">
        <v>275</v>
      </c>
      <c r="K36" s="476" t="s">
        <v>276</v>
      </c>
      <c r="L36" s="476" t="s">
        <v>277</v>
      </c>
      <c r="M36" s="476" t="s">
        <v>278</v>
      </c>
      <c r="N36" s="476" t="s">
        <v>279</v>
      </c>
      <c r="O36" s="476" t="s">
        <v>280</v>
      </c>
      <c r="P36" s="476" t="s">
        <v>281</v>
      </c>
      <c r="Q36" s="476" t="s">
        <v>282</v>
      </c>
      <c r="R36" s="476">
        <v>2014</v>
      </c>
    </row>
    <row r="37" spans="2:20">
      <c r="B37" s="470"/>
      <c r="C37" s="469"/>
      <c r="D37" s="469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</row>
    <row r="38" spans="2:20">
      <c r="B38" s="477" t="s">
        <v>366</v>
      </c>
      <c r="C38" s="478">
        <v>137264.78080146</v>
      </c>
      <c r="D38" s="478">
        <v>173023.01250000001</v>
      </c>
      <c r="E38" s="470"/>
      <c r="F38" s="478">
        <v>2267.1185301999999</v>
      </c>
      <c r="G38" s="478">
        <v>2312.5905972</v>
      </c>
      <c r="H38" s="478">
        <v>2608.2026396000001</v>
      </c>
      <c r="I38" s="478">
        <v>2518.7852839999996</v>
      </c>
      <c r="J38" s="478">
        <v>3282.7313024</v>
      </c>
      <c r="K38" s="478">
        <v>2810.5434817999994</v>
      </c>
      <c r="L38" s="478">
        <v>4348.3565691999993</v>
      </c>
      <c r="M38" s="478">
        <v>5247.3515815999999</v>
      </c>
      <c r="N38" s="478">
        <v>1916.7947139999999</v>
      </c>
      <c r="O38" s="478">
        <v>1603.7998201999999</v>
      </c>
      <c r="P38" s="478">
        <v>1143.0749208</v>
      </c>
      <c r="Q38" s="478">
        <v>2039.1317213999998</v>
      </c>
      <c r="R38" s="478">
        <v>32098.481162399996</v>
      </c>
    </row>
    <row r="39" spans="2:20">
      <c r="B39" s="477" t="s">
        <v>296</v>
      </c>
      <c r="C39" s="478"/>
      <c r="D39" s="478"/>
      <c r="E39" s="470"/>
      <c r="F39" s="478">
        <v>1921.2868899999999</v>
      </c>
      <c r="G39" s="478">
        <v>1959.8225400000001</v>
      </c>
      <c r="H39" s="478">
        <v>2210.3412200000002</v>
      </c>
      <c r="I39" s="478">
        <v>2134.5637999999999</v>
      </c>
      <c r="J39" s="478">
        <v>2781.97568</v>
      </c>
      <c r="K39" s="478">
        <v>2381.8165099999997</v>
      </c>
      <c r="L39" s="478">
        <v>3685.0479399999999</v>
      </c>
      <c r="M39" s="478">
        <v>4446.9081200000001</v>
      </c>
      <c r="N39" s="478">
        <v>1624.4023</v>
      </c>
      <c r="O39" s="478">
        <v>1359.15239</v>
      </c>
      <c r="P39" s="478">
        <v>968.70756000000006</v>
      </c>
      <c r="Q39" s="478">
        <v>1728.07773</v>
      </c>
      <c r="R39" s="478">
        <v>27202.10268</v>
      </c>
    </row>
    <row r="40" spans="2:20">
      <c r="B40" s="477" t="s">
        <v>288</v>
      </c>
      <c r="C40" s="478">
        <v>-78160.780801460001</v>
      </c>
      <c r="D40" s="478">
        <v>-98623.117125000004</v>
      </c>
      <c r="E40" s="470"/>
      <c r="F40" s="478">
        <v>-941.20892000000003</v>
      </c>
      <c r="G40" s="478">
        <v>-1173.6968100000001</v>
      </c>
      <c r="H40" s="478">
        <v>-781.66684999999995</v>
      </c>
      <c r="I40" s="478">
        <v>-655.24461999999994</v>
      </c>
      <c r="J40" s="478">
        <v>-877.4789300000001</v>
      </c>
      <c r="K40" s="478">
        <v>-987.20892000000003</v>
      </c>
      <c r="L40" s="478">
        <v>-2108.6196499999996</v>
      </c>
      <c r="M40" s="478">
        <v>-2828.4887799999997</v>
      </c>
      <c r="N40" s="478">
        <v>-529.21681000000001</v>
      </c>
      <c r="O40" s="478">
        <v>-461.21699000000001</v>
      </c>
      <c r="P40" s="478">
        <v>-412.92149999999998</v>
      </c>
      <c r="Q40" s="478">
        <v>-1019.08296</v>
      </c>
      <c r="R40" s="478">
        <v>-12776.051740000001</v>
      </c>
    </row>
    <row r="41" spans="2:20">
      <c r="B41" s="470" t="s">
        <v>284</v>
      </c>
      <c r="C41" s="478">
        <v>-1000</v>
      </c>
      <c r="D41" s="478">
        <v>-493.11558562500005</v>
      </c>
      <c r="E41" s="470"/>
      <c r="F41" s="478">
        <v>-0.91554999999999997</v>
      </c>
      <c r="G41" s="478">
        <v>-3.2007699999999999</v>
      </c>
      <c r="H41" s="478">
        <v>0</v>
      </c>
      <c r="I41" s="478">
        <v>-0.84783000000000008</v>
      </c>
      <c r="J41" s="478">
        <v>0.16174000000000002</v>
      </c>
      <c r="K41" s="478">
        <v>-0.50919000000000003</v>
      </c>
      <c r="L41" s="478">
        <v>-4.5359999999999998E-2</v>
      </c>
      <c r="M41" s="478">
        <v>-3.0640000000000001</v>
      </c>
      <c r="N41" s="478">
        <v>-2.15808</v>
      </c>
      <c r="O41" s="478">
        <v>0</v>
      </c>
      <c r="P41" s="478">
        <v>0</v>
      </c>
      <c r="Q41" s="478">
        <v>0</v>
      </c>
      <c r="R41" s="478">
        <v>-10.579040000000001</v>
      </c>
    </row>
    <row r="42" spans="2:20">
      <c r="B42" s="477" t="s">
        <v>58</v>
      </c>
      <c r="C42" s="478">
        <v>59104</v>
      </c>
      <c r="D42" s="478">
        <v>74399.895375000007</v>
      </c>
      <c r="E42" s="470"/>
      <c r="F42" s="478">
        <v>979.16241999999977</v>
      </c>
      <c r="G42" s="478">
        <v>782.92495999999994</v>
      </c>
      <c r="H42" s="478">
        <v>1428.6743700000002</v>
      </c>
      <c r="I42" s="478">
        <v>1478.47135</v>
      </c>
      <c r="J42" s="478">
        <v>1904.6584899999998</v>
      </c>
      <c r="K42" s="478">
        <v>1394.0983999999996</v>
      </c>
      <c r="L42" s="478">
        <v>1576.3829300000002</v>
      </c>
      <c r="M42" s="478">
        <v>1615.3553400000003</v>
      </c>
      <c r="N42" s="478">
        <v>1093.0274099999999</v>
      </c>
      <c r="O42" s="478">
        <v>897.93539999999996</v>
      </c>
      <c r="P42" s="478">
        <v>555.78606000000013</v>
      </c>
      <c r="Q42" s="478">
        <v>708.99477000000002</v>
      </c>
      <c r="R42" s="478">
        <v>14415.4719</v>
      </c>
    </row>
    <row r="43" spans="2:20">
      <c r="B43" s="480" t="s">
        <v>289</v>
      </c>
      <c r="C43" s="481">
        <v>0.43058386612286309</v>
      </c>
      <c r="D43" s="481">
        <v>0.43</v>
      </c>
      <c r="E43" s="470"/>
      <c r="F43" s="481">
        <v>0.50963883899712648</v>
      </c>
      <c r="G43" s="481">
        <v>0.39948768014475428</v>
      </c>
      <c r="H43" s="481">
        <v>0.64635919426051336</v>
      </c>
      <c r="I43" s="481">
        <v>0.6926339470387346</v>
      </c>
      <c r="J43" s="481">
        <v>0.68464239414199324</v>
      </c>
      <c r="K43" s="481">
        <v>0.58530889938284958</v>
      </c>
      <c r="L43" s="481">
        <v>0.42777813360007477</v>
      </c>
      <c r="M43" s="481">
        <v>0.36325359022709025</v>
      </c>
      <c r="N43" s="481">
        <v>0.67287974783094062</v>
      </c>
      <c r="O43" s="481">
        <v>0.66065836811720569</v>
      </c>
      <c r="P43" s="481">
        <v>0.57373977756506833</v>
      </c>
      <c r="Q43" s="481">
        <v>0.41027944385348919</v>
      </c>
      <c r="R43" s="481">
        <v>0.52993961788839183</v>
      </c>
    </row>
    <row r="44" spans="2:20">
      <c r="B44" s="470"/>
      <c r="C44" s="478"/>
      <c r="D44" s="478"/>
      <c r="E44" s="470"/>
      <c r="F44" s="470">
        <v>0</v>
      </c>
      <c r="G44" s="470">
        <v>0</v>
      </c>
      <c r="H44" s="470">
        <v>0</v>
      </c>
      <c r="I44" s="470">
        <v>0</v>
      </c>
      <c r="J44" s="470">
        <v>0</v>
      </c>
      <c r="K44" s="470">
        <v>0</v>
      </c>
      <c r="L44" s="470">
        <v>0</v>
      </c>
      <c r="M44" s="470">
        <v>0</v>
      </c>
      <c r="N44" s="470">
        <v>0</v>
      </c>
      <c r="O44" s="470">
        <v>0</v>
      </c>
      <c r="P44" s="470">
        <v>0</v>
      </c>
      <c r="Q44" s="470">
        <v>0</v>
      </c>
      <c r="R44" s="470">
        <v>0</v>
      </c>
    </row>
    <row r="45" spans="2:20">
      <c r="B45" s="477" t="s">
        <v>300</v>
      </c>
      <c r="C45" s="478"/>
      <c r="D45" s="478"/>
      <c r="E45" s="470"/>
      <c r="F45" s="478">
        <v>-289.99288999999993</v>
      </c>
      <c r="G45" s="478">
        <v>-336.28694999999999</v>
      </c>
      <c r="H45" s="478">
        <v>-327.51487999999995</v>
      </c>
      <c r="I45" s="478">
        <v>-360.10138999999992</v>
      </c>
      <c r="J45" s="478">
        <v>-354.26273999999989</v>
      </c>
      <c r="K45" s="478">
        <v>-437.24247999999994</v>
      </c>
      <c r="L45" s="478">
        <v>-389.36439999999999</v>
      </c>
      <c r="M45" s="478">
        <v>-562.06289000000004</v>
      </c>
      <c r="N45" s="478">
        <v>-665.88066000000003</v>
      </c>
      <c r="O45" s="478">
        <v>-293.53201999999999</v>
      </c>
      <c r="P45" s="478">
        <v>-294.13964999999996</v>
      </c>
      <c r="Q45" s="478">
        <v>-293.02697999999998</v>
      </c>
      <c r="R45" s="478">
        <v>-4603.4079299999994</v>
      </c>
      <c r="S45" s="482">
        <f>(R45*-1)/R39</f>
        <v>0.16922985638844001</v>
      </c>
      <c r="T45" s="479">
        <f>R45/$R$39</f>
        <v>-0.16922985638844001</v>
      </c>
    </row>
    <row r="46" spans="2:20">
      <c r="B46" s="477" t="s">
        <v>292</v>
      </c>
      <c r="C46" s="478"/>
      <c r="D46" s="478"/>
      <c r="E46" s="470"/>
      <c r="F46" s="478">
        <v>-313.64520999999996</v>
      </c>
      <c r="G46" s="478">
        <v>-301.28017999999997</v>
      </c>
      <c r="H46" s="478">
        <v>-295.87374</v>
      </c>
      <c r="I46" s="478">
        <v>-285.10401999999999</v>
      </c>
      <c r="J46" s="478">
        <v>-305.66768999999999</v>
      </c>
      <c r="K46" s="478">
        <v>-279.50542999999999</v>
      </c>
      <c r="L46" s="478">
        <v>-389.36439999999999</v>
      </c>
      <c r="M46" s="478">
        <v>-362.26208999999994</v>
      </c>
      <c r="N46" s="478">
        <v>-274.75236000000001</v>
      </c>
      <c r="O46" s="478">
        <v>-327.50861999999995</v>
      </c>
      <c r="P46" s="478">
        <v>-296.74229000000003</v>
      </c>
      <c r="Q46" s="478">
        <v>-366.31389999999999</v>
      </c>
      <c r="R46" s="478">
        <v>-3798.0199300000004</v>
      </c>
      <c r="S46" s="482">
        <f>(R46*-1)/R39</f>
        <v>0.13962229224259368</v>
      </c>
      <c r="T46" s="479">
        <f t="shared" ref="T46:T53" si="1">R46/$R$39</f>
        <v>-0.13962229224259368</v>
      </c>
    </row>
    <row r="47" spans="2:20">
      <c r="B47" s="477" t="s">
        <v>285</v>
      </c>
      <c r="C47" s="478"/>
      <c r="D47" s="478"/>
      <c r="E47" s="470"/>
      <c r="F47" s="478">
        <v>0</v>
      </c>
      <c r="G47" s="478">
        <v>0</v>
      </c>
      <c r="H47" s="478">
        <v>0</v>
      </c>
      <c r="I47" s="478">
        <v>0</v>
      </c>
      <c r="J47" s="478">
        <v>0</v>
      </c>
      <c r="K47" s="478">
        <v>0</v>
      </c>
      <c r="L47" s="478">
        <v>0</v>
      </c>
      <c r="M47" s="478">
        <v>0</v>
      </c>
      <c r="N47" s="478">
        <v>0</v>
      </c>
      <c r="O47" s="478">
        <v>0</v>
      </c>
      <c r="P47" s="478">
        <v>0</v>
      </c>
      <c r="Q47" s="478">
        <v>0</v>
      </c>
      <c r="R47" s="478">
        <v>0</v>
      </c>
      <c r="T47" s="479">
        <f t="shared" si="1"/>
        <v>0</v>
      </c>
    </row>
    <row r="48" spans="2:20">
      <c r="B48" s="477" t="s">
        <v>301</v>
      </c>
      <c r="C48" s="478"/>
      <c r="D48" s="478"/>
      <c r="E48" s="470"/>
      <c r="F48" s="478">
        <v>-122.88722999999999</v>
      </c>
      <c r="G48" s="478">
        <v>0</v>
      </c>
      <c r="H48" s="478">
        <v>-118.81219499999999</v>
      </c>
      <c r="I48" s="478">
        <v>-83.407630000000012</v>
      </c>
      <c r="J48" s="478">
        <v>-24.582000000000001</v>
      </c>
      <c r="K48" s="478">
        <v>-2.012</v>
      </c>
      <c r="L48" s="478">
        <v>-94.208459999999988</v>
      </c>
      <c r="M48" s="478">
        <v>-139.19347999999999</v>
      </c>
      <c r="N48" s="478">
        <v>-144.37213999999997</v>
      </c>
      <c r="O48" s="478">
        <v>-1.1599999999999999</v>
      </c>
      <c r="P48" s="478">
        <v>0</v>
      </c>
      <c r="Q48" s="478">
        <v>-29.199159999999999</v>
      </c>
      <c r="R48" s="478">
        <v>-759.83429499999988</v>
      </c>
      <c r="T48" s="479">
        <f t="shared" si="1"/>
        <v>-2.7932925036661168E-2</v>
      </c>
    </row>
    <row r="49" spans="2:20">
      <c r="B49" s="477" t="s">
        <v>367</v>
      </c>
      <c r="C49" s="478"/>
      <c r="D49" s="478"/>
      <c r="E49" s="470"/>
      <c r="F49" s="478">
        <v>0</v>
      </c>
      <c r="G49" s="478">
        <v>0</v>
      </c>
      <c r="H49" s="478">
        <v>0</v>
      </c>
      <c r="I49" s="478">
        <v>0</v>
      </c>
      <c r="J49" s="478">
        <v>0</v>
      </c>
      <c r="K49" s="478">
        <v>0</v>
      </c>
      <c r="L49" s="478">
        <v>0</v>
      </c>
      <c r="M49" s="478">
        <v>0</v>
      </c>
      <c r="N49" s="478">
        <v>0</v>
      </c>
      <c r="O49" s="478">
        <v>0</v>
      </c>
      <c r="P49" s="478">
        <v>0</v>
      </c>
      <c r="Q49" s="478">
        <v>0</v>
      </c>
      <c r="R49" s="478">
        <v>0</v>
      </c>
      <c r="T49" s="479">
        <f t="shared" si="1"/>
        <v>0</v>
      </c>
    </row>
    <row r="50" spans="2:20">
      <c r="B50" s="477" t="s">
        <v>297</v>
      </c>
      <c r="C50" s="478"/>
      <c r="D50" s="478"/>
      <c r="E50" s="470"/>
      <c r="F50" s="478">
        <v>-29.209550000000004</v>
      </c>
      <c r="G50" s="478">
        <v>-16.325050000000001</v>
      </c>
      <c r="H50" s="478">
        <v>-15.940270000000002</v>
      </c>
      <c r="I50" s="478">
        <v>-16.711590000000001</v>
      </c>
      <c r="J50" s="478">
        <v>-3.9739400000000002</v>
      </c>
      <c r="K50" s="478">
        <v>-27.94577</v>
      </c>
      <c r="L50" s="478">
        <v>-16.983240000000002</v>
      </c>
      <c r="M50" s="478">
        <v>-15.885100000000001</v>
      </c>
      <c r="N50" s="478">
        <v>-16.089630000000003</v>
      </c>
      <c r="O50" s="478">
        <v>-18.484479999999998</v>
      </c>
      <c r="P50" s="478">
        <v>-3.8510099999999996</v>
      </c>
      <c r="Q50" s="478">
        <v>-56.060919999999989</v>
      </c>
      <c r="R50" s="478">
        <v>-237.46054999999998</v>
      </c>
      <c r="T50" s="479">
        <f t="shared" si="1"/>
        <v>-8.7294924511328257E-3</v>
      </c>
    </row>
    <row r="51" spans="2:20">
      <c r="B51" s="477" t="s">
        <v>302</v>
      </c>
      <c r="C51" s="478"/>
      <c r="D51" s="478"/>
      <c r="E51" s="470"/>
      <c r="F51" s="478">
        <v>-13.919039999999999</v>
      </c>
      <c r="G51" s="478">
        <v>-21.207419999999999</v>
      </c>
      <c r="H51" s="478">
        <v>-19.232759999999999</v>
      </c>
      <c r="I51" s="478">
        <v>-66.600890000000007</v>
      </c>
      <c r="J51" s="478">
        <v>-20.424380000000003</v>
      </c>
      <c r="K51" s="478">
        <v>-18.700190000000003</v>
      </c>
      <c r="L51" s="478">
        <v>-38.030050000000003</v>
      </c>
      <c r="M51" s="478">
        <v>-17.82986</v>
      </c>
      <c r="N51" s="478">
        <v>-48.459039999999987</v>
      </c>
      <c r="O51" s="478">
        <v>-41.660809999999998</v>
      </c>
      <c r="P51" s="478">
        <v>-35.63993</v>
      </c>
      <c r="Q51" s="478">
        <v>-20.972070000000002</v>
      </c>
      <c r="R51" s="478">
        <v>-362.67643999999996</v>
      </c>
      <c r="T51" s="479">
        <f t="shared" si="1"/>
        <v>-1.3332661973467705E-2</v>
      </c>
    </row>
    <row r="52" spans="2:20">
      <c r="B52" s="477" t="s">
        <v>303</v>
      </c>
      <c r="C52" s="478"/>
      <c r="D52" s="478"/>
      <c r="E52" s="470"/>
      <c r="F52" s="478">
        <v>0</v>
      </c>
      <c r="G52" s="478">
        <v>0</v>
      </c>
      <c r="H52" s="478">
        <v>0</v>
      </c>
      <c r="I52" s="478">
        <v>0</v>
      </c>
      <c r="J52" s="478">
        <v>0</v>
      </c>
      <c r="K52" s="478">
        <v>0</v>
      </c>
      <c r="L52" s="478">
        <v>0</v>
      </c>
      <c r="M52" s="478">
        <v>0</v>
      </c>
      <c r="N52" s="478">
        <v>-2.5</v>
      </c>
      <c r="O52" s="478">
        <v>-2.5</v>
      </c>
      <c r="P52" s="478">
        <v>-2.5</v>
      </c>
      <c r="Q52" s="478">
        <v>-2.5</v>
      </c>
      <c r="R52" s="478">
        <v>-10</v>
      </c>
      <c r="T52" s="479">
        <f t="shared" si="1"/>
        <v>-3.6761864028078879E-4</v>
      </c>
    </row>
    <row r="53" spans="2:20">
      <c r="B53" s="477" t="s">
        <v>304</v>
      </c>
      <c r="C53" s="478"/>
      <c r="D53" s="478"/>
      <c r="E53" s="470"/>
      <c r="F53" s="478">
        <v>-13.251439999999999</v>
      </c>
      <c r="G53" s="478">
        <v>-15.942449999999997</v>
      </c>
      <c r="H53" s="478">
        <v>-18.49905</v>
      </c>
      <c r="I53" s="478">
        <v>-19.369240000000001</v>
      </c>
      <c r="J53" s="478">
        <v>-17.316710000000004</v>
      </c>
      <c r="K53" s="478">
        <v>-22.575210000000002</v>
      </c>
      <c r="L53" s="478">
        <v>-30.361950000000004</v>
      </c>
      <c r="M53" s="478">
        <v>-36.959739999999989</v>
      </c>
      <c r="N53" s="478">
        <v>-22.17822</v>
      </c>
      <c r="O53" s="478">
        <v>-10.76196</v>
      </c>
      <c r="P53" s="478">
        <v>-12.69228</v>
      </c>
      <c r="Q53" s="478">
        <v>-18.672079999999998</v>
      </c>
      <c r="R53" s="478">
        <v>-238.58032999999998</v>
      </c>
      <c r="T53" s="479">
        <f t="shared" si="1"/>
        <v>-8.7706576512341875E-3</v>
      </c>
    </row>
    <row r="54" spans="2:20">
      <c r="B54" s="470"/>
      <c r="C54" s="478"/>
      <c r="D54" s="478"/>
      <c r="E54" s="470"/>
      <c r="F54" s="470">
        <v>0</v>
      </c>
      <c r="G54" s="470">
        <v>0</v>
      </c>
      <c r="H54" s="470">
        <v>0</v>
      </c>
      <c r="I54" s="470">
        <v>0</v>
      </c>
      <c r="J54" s="470">
        <v>0</v>
      </c>
      <c r="K54" s="470">
        <v>0</v>
      </c>
      <c r="L54" s="470">
        <v>0</v>
      </c>
      <c r="M54" s="470">
        <v>0</v>
      </c>
      <c r="N54" s="470">
        <v>0</v>
      </c>
      <c r="O54" s="470">
        <v>0</v>
      </c>
      <c r="P54" s="470">
        <v>0</v>
      </c>
      <c r="Q54" s="470">
        <v>0</v>
      </c>
      <c r="R54" s="470">
        <v>0</v>
      </c>
    </row>
    <row r="55" spans="2:20">
      <c r="B55" s="483" t="s">
        <v>293</v>
      </c>
      <c r="C55" s="484">
        <v>20336.533945813379</v>
      </c>
      <c r="D55" s="484">
        <v>33041.520352763066</v>
      </c>
      <c r="E55" s="470"/>
      <c r="F55" s="484">
        <v>0</v>
      </c>
      <c r="G55" s="484">
        <v>0</v>
      </c>
      <c r="H55" s="484">
        <v>0</v>
      </c>
      <c r="I55" s="484">
        <v>0</v>
      </c>
      <c r="J55" s="484">
        <v>0</v>
      </c>
      <c r="K55" s="484">
        <v>0</v>
      </c>
      <c r="L55" s="484">
        <v>0</v>
      </c>
      <c r="M55" s="484">
        <v>0</v>
      </c>
      <c r="N55" s="484">
        <v>0</v>
      </c>
      <c r="O55" s="484">
        <v>0</v>
      </c>
      <c r="P55" s="484">
        <v>0</v>
      </c>
      <c r="Q55" s="484">
        <v>0</v>
      </c>
      <c r="R55" s="484">
        <v>0</v>
      </c>
      <c r="S55" s="485">
        <f>R55/R39</f>
        <v>0</v>
      </c>
    </row>
    <row r="56" spans="2:20">
      <c r="B56" s="470"/>
      <c r="C56" s="478"/>
      <c r="D56" s="478"/>
      <c r="E56" s="470"/>
      <c r="F56" s="470">
        <v>196.25705999999994</v>
      </c>
      <c r="G56" s="470">
        <v>91.882909999999981</v>
      </c>
      <c r="H56" s="470">
        <v>632.80147500000021</v>
      </c>
      <c r="I56" s="470">
        <v>647.17658999999992</v>
      </c>
      <c r="J56" s="470">
        <v>1178.4310299999997</v>
      </c>
      <c r="K56" s="470">
        <v>606.11731999999984</v>
      </c>
      <c r="L56" s="470">
        <v>618.07043000000044</v>
      </c>
      <c r="M56" s="470">
        <v>481.16218000000038</v>
      </c>
      <c r="N56" s="470">
        <v>-81.204640000000083</v>
      </c>
      <c r="O56" s="470">
        <v>202.32750999999999</v>
      </c>
      <c r="P56" s="470">
        <v>-89.779099999999843</v>
      </c>
      <c r="Q56" s="470">
        <v>-77.750339999999937</v>
      </c>
      <c r="R56" s="470">
        <v>4405.4924250000013</v>
      </c>
    </row>
    <row r="57" spans="2:20">
      <c r="B57" s="486" t="s">
        <v>294</v>
      </c>
      <c r="C57" s="478">
        <v>-4067.3067891626761</v>
      </c>
      <c r="D57" s="478">
        <v>-6608.3040705526137</v>
      </c>
      <c r="E57" s="470"/>
      <c r="F57" s="478">
        <v>0</v>
      </c>
      <c r="G57" s="478">
        <v>0</v>
      </c>
      <c r="H57" s="478">
        <v>0</v>
      </c>
      <c r="I57" s="478">
        <v>0</v>
      </c>
      <c r="J57" s="478">
        <v>0</v>
      </c>
      <c r="K57" s="478">
        <v>0</v>
      </c>
      <c r="L57" s="478">
        <v>0</v>
      </c>
      <c r="M57" s="478">
        <v>0</v>
      </c>
      <c r="N57" s="478">
        <v>0</v>
      </c>
      <c r="O57" s="478">
        <v>0</v>
      </c>
      <c r="P57" s="478">
        <v>0</v>
      </c>
      <c r="Q57" s="478">
        <v>0</v>
      </c>
      <c r="R57" s="478">
        <v>0</v>
      </c>
    </row>
    <row r="58" spans="2:20">
      <c r="B58" s="470"/>
      <c r="C58" s="478"/>
      <c r="D58" s="478"/>
      <c r="E58" s="470"/>
      <c r="F58" s="470">
        <v>0</v>
      </c>
      <c r="G58" s="470">
        <v>0</v>
      </c>
      <c r="H58" s="470">
        <v>0</v>
      </c>
      <c r="I58" s="470">
        <v>0</v>
      </c>
      <c r="J58" s="470">
        <v>0</v>
      </c>
      <c r="K58" s="470">
        <v>0</v>
      </c>
      <c r="L58" s="470">
        <v>0</v>
      </c>
      <c r="M58" s="470">
        <v>0</v>
      </c>
      <c r="N58" s="470">
        <v>0</v>
      </c>
      <c r="O58" s="470">
        <v>0</v>
      </c>
      <c r="P58" s="470">
        <v>0</v>
      </c>
      <c r="Q58" s="470">
        <v>0</v>
      </c>
      <c r="R58" s="470">
        <v>0</v>
      </c>
    </row>
    <row r="59" spans="2:20">
      <c r="B59" s="483" t="s">
        <v>287</v>
      </c>
      <c r="C59" s="484">
        <v>16269.227156650702</v>
      </c>
      <c r="D59" s="484">
        <v>26433.216282210451</v>
      </c>
      <c r="E59" s="470"/>
      <c r="F59" s="484" t="e">
        <v>#REF!</v>
      </c>
      <c r="G59" s="484" t="e">
        <v>#REF!</v>
      </c>
      <c r="H59" s="484" t="e">
        <v>#REF!</v>
      </c>
      <c r="I59" s="484" t="e">
        <v>#REF!</v>
      </c>
      <c r="J59" s="484" t="e">
        <v>#REF!</v>
      </c>
      <c r="K59" s="484" t="e">
        <v>#REF!</v>
      </c>
      <c r="L59" s="484" t="e">
        <v>#REF!</v>
      </c>
      <c r="M59" s="484" t="e">
        <v>#REF!</v>
      </c>
      <c r="N59" s="484" t="e">
        <v>#REF!</v>
      </c>
      <c r="O59" s="484" t="e">
        <v>#REF!</v>
      </c>
      <c r="P59" s="484" t="e">
        <v>#REF!</v>
      </c>
      <c r="Q59" s="484" t="e">
        <v>#REF!</v>
      </c>
      <c r="R59" s="484" t="e">
        <v>#REF!</v>
      </c>
    </row>
    <row r="60" spans="2:20">
      <c r="B60" s="480" t="s">
        <v>295</v>
      </c>
      <c r="C60" s="481">
        <v>0.11852440998818582</v>
      </c>
      <c r="D60" s="481">
        <v>0.1527728358226941</v>
      </c>
      <c r="E60" s="470"/>
      <c r="F60" s="481" t="e">
        <v>#REF!</v>
      </c>
      <c r="G60" s="481" t="e">
        <v>#REF!</v>
      </c>
      <c r="H60" s="481" t="e">
        <v>#REF!</v>
      </c>
      <c r="I60" s="481" t="e">
        <v>#REF!</v>
      </c>
      <c r="J60" s="481" t="e">
        <v>#REF!</v>
      </c>
      <c r="K60" s="481" t="e">
        <v>#REF!</v>
      </c>
      <c r="L60" s="481" t="e">
        <v>#REF!</v>
      </c>
      <c r="M60" s="481" t="e">
        <v>#REF!</v>
      </c>
      <c r="N60" s="481" t="e">
        <v>#REF!</v>
      </c>
      <c r="O60" s="481" t="e">
        <v>#REF!</v>
      </c>
      <c r="P60" s="481" t="e">
        <v>#REF!</v>
      </c>
      <c r="Q60" s="481" t="e">
        <v>#REF!</v>
      </c>
      <c r="R60" s="481" t="e">
        <v>#REF!</v>
      </c>
    </row>
    <row r="64" spans="2:20" ht="21">
      <c r="B64" s="468" t="s">
        <v>363</v>
      </c>
      <c r="C64" s="469"/>
      <c r="D64" s="469"/>
      <c r="E64" s="470"/>
      <c r="F64" s="470"/>
      <c r="G64" s="470"/>
      <c r="H64" s="468">
        <v>0</v>
      </c>
      <c r="I64" s="470"/>
      <c r="J64" s="470"/>
      <c r="K64" s="470"/>
      <c r="L64" s="470"/>
      <c r="M64" s="470"/>
      <c r="N64" s="470"/>
      <c r="O64" s="470"/>
      <c r="P64" s="470"/>
      <c r="Q64" s="471" t="s">
        <v>364</v>
      </c>
      <c r="R64" s="470">
        <f>COUNTIF(F68:Q68,"&gt;0")</f>
        <v>12</v>
      </c>
    </row>
    <row r="65" spans="2:20">
      <c r="B65" s="470"/>
      <c r="C65" s="469"/>
      <c r="D65" s="473">
        <v>2014</v>
      </c>
      <c r="E65" s="470"/>
      <c r="F65" s="1276">
        <v>2014</v>
      </c>
      <c r="G65" s="1276"/>
      <c r="H65" s="1276"/>
      <c r="I65" s="1276"/>
      <c r="J65" s="1276"/>
      <c r="K65" s="1276"/>
      <c r="L65" s="1276"/>
      <c r="M65" s="1276"/>
      <c r="N65" s="1276"/>
      <c r="O65" s="1276"/>
      <c r="P65" s="1276"/>
      <c r="Q65" s="1276"/>
      <c r="R65" s="1276"/>
    </row>
    <row r="66" spans="2:20">
      <c r="B66" s="474"/>
      <c r="C66" s="475">
        <v>2011</v>
      </c>
      <c r="D66" s="475" t="s">
        <v>365</v>
      </c>
      <c r="E66" s="470"/>
      <c r="F66" s="476" t="s">
        <v>271</v>
      </c>
      <c r="G66" s="476" t="s">
        <v>272</v>
      </c>
      <c r="H66" s="476" t="s">
        <v>273</v>
      </c>
      <c r="I66" s="476" t="s">
        <v>274</v>
      </c>
      <c r="J66" s="476" t="s">
        <v>275</v>
      </c>
      <c r="K66" s="476" t="s">
        <v>276</v>
      </c>
      <c r="L66" s="476" t="s">
        <v>277</v>
      </c>
      <c r="M66" s="476" t="s">
        <v>278</v>
      </c>
      <c r="N66" s="476" t="s">
        <v>279</v>
      </c>
      <c r="O66" s="476" t="s">
        <v>280</v>
      </c>
      <c r="P66" s="476" t="s">
        <v>281</v>
      </c>
      <c r="Q66" s="476" t="s">
        <v>282</v>
      </c>
      <c r="R66" s="476">
        <v>2014</v>
      </c>
    </row>
    <row r="67" spans="2:20">
      <c r="B67" s="470"/>
      <c r="C67" s="469"/>
      <c r="D67" s="469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</row>
    <row r="68" spans="2:20">
      <c r="B68" s="477" t="s">
        <v>366</v>
      </c>
      <c r="C68" s="478">
        <v>137264.78080146</v>
      </c>
      <c r="D68" s="478">
        <v>173023.01250000001</v>
      </c>
      <c r="E68" s="470"/>
      <c r="F68" s="478">
        <v>2575.0460083999997</v>
      </c>
      <c r="G68" s="478">
        <v>2322.1493169999999</v>
      </c>
      <c r="H68" s="478">
        <v>2903.3501985999997</v>
      </c>
      <c r="I68" s="478">
        <v>3812.8993433999999</v>
      </c>
      <c r="J68" s="478">
        <v>5243.2351398000001</v>
      </c>
      <c r="K68" s="478">
        <v>4625.2242643999998</v>
      </c>
      <c r="L68" s="478">
        <v>6093.4597255999997</v>
      </c>
      <c r="M68" s="478">
        <v>5287.3534635999995</v>
      </c>
      <c r="N68" s="478">
        <v>2120.5300093999999</v>
      </c>
      <c r="O68" s="478">
        <v>1532.4748854000002</v>
      </c>
      <c r="P68" s="478">
        <v>978.61122899999998</v>
      </c>
      <c r="Q68" s="478">
        <v>1226.018</v>
      </c>
      <c r="R68" s="478">
        <v>38720.351584599994</v>
      </c>
    </row>
    <row r="69" spans="2:20">
      <c r="B69" s="477" t="s">
        <v>296</v>
      </c>
      <c r="C69" s="478"/>
      <c r="D69" s="478"/>
      <c r="E69" s="470"/>
      <c r="F69" s="478">
        <v>2182.2423799999997</v>
      </c>
      <c r="G69" s="478">
        <v>1967.9231499999999</v>
      </c>
      <c r="H69" s="478">
        <v>2460.4662699999999</v>
      </c>
      <c r="I69" s="478">
        <v>3231.27063</v>
      </c>
      <c r="J69" s="478">
        <v>4443.4196099999999</v>
      </c>
      <c r="K69" s="478">
        <v>3919.6815799999999</v>
      </c>
      <c r="L69" s="478">
        <v>5163.9489199999998</v>
      </c>
      <c r="M69" s="478">
        <v>4480.8080199999995</v>
      </c>
      <c r="N69" s="478">
        <v>1797.05933</v>
      </c>
      <c r="O69" s="478">
        <v>1298.7075300000001</v>
      </c>
      <c r="P69" s="478">
        <v>829.33154999999999</v>
      </c>
      <c r="Q69" s="478">
        <v>1850.4255900000001</v>
      </c>
      <c r="R69" s="478">
        <v>33625.28456</v>
      </c>
    </row>
    <row r="70" spans="2:20">
      <c r="B70" s="477" t="s">
        <v>288</v>
      </c>
      <c r="C70" s="478">
        <v>-78160.780801460001</v>
      </c>
      <c r="D70" s="478">
        <v>-98623.117125000004</v>
      </c>
      <c r="E70" s="470"/>
      <c r="F70" s="478">
        <v>-1125.2233000000001</v>
      </c>
      <c r="G70" s="478">
        <v>-1123.9483</v>
      </c>
      <c r="H70" s="478">
        <v>-791.60090000000002</v>
      </c>
      <c r="I70" s="478">
        <v>-983.70781999999997</v>
      </c>
      <c r="J70" s="478">
        <v>-1406.94948</v>
      </c>
      <c r="K70" s="478">
        <v>-1493.04476</v>
      </c>
      <c r="L70" s="478">
        <v>-2764.2011000000002</v>
      </c>
      <c r="M70" s="478">
        <v>-2761.2139200000001</v>
      </c>
      <c r="N70" s="478">
        <v>-618.70640000000003</v>
      </c>
      <c r="O70" s="478">
        <v>-456.97474</v>
      </c>
      <c r="P70" s="478">
        <v>-352.11831000000001</v>
      </c>
      <c r="Q70" s="478">
        <v>-1052.7409599999999</v>
      </c>
      <c r="R70" s="478">
        <v>-14930.429990000001</v>
      </c>
      <c r="T70" s="479">
        <f>R70/$R$69</f>
        <v>-0.44402390003149467</v>
      </c>
    </row>
    <row r="71" spans="2:20">
      <c r="B71" s="470" t="s">
        <v>284</v>
      </c>
      <c r="C71" s="478">
        <v>-1000</v>
      </c>
      <c r="D71" s="478">
        <v>-493.11558562500005</v>
      </c>
      <c r="E71" s="470"/>
      <c r="F71" s="478">
        <v>-0.20454</v>
      </c>
      <c r="G71" s="478">
        <v>0</v>
      </c>
      <c r="H71" s="478">
        <v>0</v>
      </c>
      <c r="I71" s="478">
        <v>1.08477</v>
      </c>
      <c r="J71" s="478">
        <v>4.6659999999999993E-2</v>
      </c>
      <c r="K71" s="478">
        <v>-0.69995000000000007</v>
      </c>
      <c r="L71" s="478">
        <v>-0.43519999999999998</v>
      </c>
      <c r="M71" s="478">
        <v>-0.4980099999999999</v>
      </c>
      <c r="N71" s="478">
        <v>-0.14391000000000001</v>
      </c>
      <c r="O71" s="478">
        <v>0</v>
      </c>
      <c r="P71" s="478">
        <v>0</v>
      </c>
      <c r="Q71" s="478">
        <v>-1.3203699999999998</v>
      </c>
      <c r="R71" s="478">
        <v>-2.1705499999999995</v>
      </c>
    </row>
    <row r="72" spans="2:20">
      <c r="B72" s="477" t="s">
        <v>58</v>
      </c>
      <c r="C72" s="478">
        <v>59104</v>
      </c>
      <c r="D72" s="478">
        <v>74399.895375000007</v>
      </c>
      <c r="E72" s="470"/>
      <c r="F72" s="478">
        <v>1056.8145399999996</v>
      </c>
      <c r="G72" s="478">
        <v>843.97484999999983</v>
      </c>
      <c r="H72" s="478">
        <v>1668.86537</v>
      </c>
      <c r="I72" s="478">
        <v>2248.6475799999998</v>
      </c>
      <c r="J72" s="478">
        <v>3036.5167899999997</v>
      </c>
      <c r="K72" s="478">
        <v>2425.9368699999995</v>
      </c>
      <c r="L72" s="478">
        <v>2399.3126199999997</v>
      </c>
      <c r="M72" s="478">
        <v>1719.0960899999993</v>
      </c>
      <c r="N72" s="478">
        <v>1178.20902</v>
      </c>
      <c r="O72" s="478">
        <v>841.73279000000014</v>
      </c>
      <c r="P72" s="478">
        <v>477.21323999999998</v>
      </c>
      <c r="Q72" s="478">
        <v>796.36426000000017</v>
      </c>
      <c r="R72" s="478">
        <v>18692.684019999997</v>
      </c>
    </row>
    <row r="73" spans="2:20">
      <c r="B73" s="480" t="s">
        <v>289</v>
      </c>
      <c r="C73" s="481">
        <v>0.43058386612286309</v>
      </c>
      <c r="D73" s="481">
        <v>0.43</v>
      </c>
      <c r="E73" s="470"/>
      <c r="F73" s="481">
        <v>0.48427917525824965</v>
      </c>
      <c r="G73" s="481">
        <v>0.42886575626695578</v>
      </c>
      <c r="H73" s="481">
        <v>0.67827199679514405</v>
      </c>
      <c r="I73" s="481">
        <v>0.69590196473267851</v>
      </c>
      <c r="J73" s="481">
        <v>0.68337385538972306</v>
      </c>
      <c r="K73" s="481">
        <v>0.61891172037500031</v>
      </c>
      <c r="L73" s="481">
        <v>0.46462748899537909</v>
      </c>
      <c r="M73" s="481">
        <v>0.3836576087006735</v>
      </c>
      <c r="N73" s="481">
        <v>0.65563167577778303</v>
      </c>
      <c r="O73" s="481">
        <v>0.64813113850198434</v>
      </c>
      <c r="P73" s="481">
        <v>0.57541913122682964</v>
      </c>
      <c r="Q73" s="481">
        <v>0.43036816195348887</v>
      </c>
      <c r="R73" s="481">
        <v>0.55591154884192295</v>
      </c>
    </row>
    <row r="74" spans="2:20">
      <c r="B74" s="470"/>
      <c r="C74" s="478"/>
      <c r="D74" s="478"/>
      <c r="E74" s="470"/>
      <c r="F74" s="470">
        <v>0</v>
      </c>
      <c r="G74" s="470">
        <v>0</v>
      </c>
      <c r="H74" s="470">
        <v>0</v>
      </c>
      <c r="I74" s="470">
        <v>0</v>
      </c>
      <c r="J74" s="470">
        <v>0</v>
      </c>
      <c r="K74" s="470">
        <v>0</v>
      </c>
      <c r="L74" s="470">
        <v>0</v>
      </c>
      <c r="M74" s="470">
        <v>0</v>
      </c>
      <c r="N74" s="470">
        <v>0</v>
      </c>
      <c r="O74" s="470">
        <v>0</v>
      </c>
      <c r="P74" s="470">
        <v>0</v>
      </c>
      <c r="Q74" s="470">
        <v>0</v>
      </c>
      <c r="R74" s="470">
        <v>0</v>
      </c>
    </row>
    <row r="75" spans="2:20">
      <c r="B75" s="477" t="s">
        <v>300</v>
      </c>
      <c r="C75" s="478"/>
      <c r="D75" s="478"/>
      <c r="E75" s="470"/>
      <c r="F75" s="478">
        <v>-607.85255000000006</v>
      </c>
      <c r="G75" s="478">
        <v>-613.25082999999995</v>
      </c>
      <c r="H75" s="478">
        <v>-596.75023999999996</v>
      </c>
      <c r="I75" s="478">
        <v>-600.26936999999998</v>
      </c>
      <c r="J75" s="478">
        <v>-602.66035999999997</v>
      </c>
      <c r="K75" s="478">
        <v>-634.97083000000009</v>
      </c>
      <c r="L75" s="478">
        <v>-598.36965999999995</v>
      </c>
      <c r="M75" s="478">
        <v>-736.93963000000008</v>
      </c>
      <c r="N75" s="478">
        <v>-640.02734999999984</v>
      </c>
      <c r="O75" s="478">
        <v>-633.04828999999995</v>
      </c>
      <c r="P75" s="478">
        <v>-615.88571999999999</v>
      </c>
      <c r="Q75" s="478">
        <v>-622.87420999999995</v>
      </c>
      <c r="R75" s="478">
        <v>-7502.8990399999993</v>
      </c>
      <c r="S75" s="482">
        <f>(R75*-1)/R69</f>
        <v>0.22313265562443166</v>
      </c>
      <c r="T75" s="479">
        <f>R75/$R$69</f>
        <v>-0.22313265562443166</v>
      </c>
    </row>
    <row r="76" spans="2:20">
      <c r="B76" s="477" t="s">
        <v>292</v>
      </c>
      <c r="C76" s="478"/>
      <c r="D76" s="478"/>
      <c r="E76" s="470"/>
      <c r="F76" s="478">
        <v>-373.44984999999997</v>
      </c>
      <c r="G76" s="478">
        <v>-360.27501999999993</v>
      </c>
      <c r="H76" s="478">
        <v>-384.06994000000003</v>
      </c>
      <c r="I76" s="478">
        <v>-362.33398</v>
      </c>
      <c r="J76" s="478">
        <v>-429.36543</v>
      </c>
      <c r="K76" s="478">
        <v>-450.21040000000005</v>
      </c>
      <c r="L76" s="478">
        <v>-546.92619000000002</v>
      </c>
      <c r="M76" s="478">
        <v>-455.94646999999998</v>
      </c>
      <c r="N76" s="478">
        <v>-398.86500000000001</v>
      </c>
      <c r="O76" s="478">
        <v>-331.50921999999997</v>
      </c>
      <c r="P76" s="478">
        <v>-296.50922000000003</v>
      </c>
      <c r="Q76" s="478">
        <v>-378.29312000000004</v>
      </c>
      <c r="R76" s="478">
        <v>-4767.7538400000003</v>
      </c>
      <c r="S76" s="482">
        <f>(R76*-1)/R69</f>
        <v>0.14179073582240043</v>
      </c>
      <c r="T76" s="479">
        <f t="shared" ref="T76:T83" si="2">R76/$R$69</f>
        <v>-0.14179073582240043</v>
      </c>
    </row>
    <row r="77" spans="2:20">
      <c r="B77" s="477" t="s">
        <v>285</v>
      </c>
      <c r="C77" s="478"/>
      <c r="D77" s="478"/>
      <c r="E77" s="470"/>
      <c r="F77" s="478">
        <v>0</v>
      </c>
      <c r="G77" s="478">
        <v>0</v>
      </c>
      <c r="H77" s="478">
        <v>0</v>
      </c>
      <c r="I77" s="478">
        <v>0</v>
      </c>
      <c r="J77" s="478">
        <v>0</v>
      </c>
      <c r="K77" s="478">
        <v>0</v>
      </c>
      <c r="L77" s="478">
        <v>0</v>
      </c>
      <c r="M77" s="478">
        <v>0</v>
      </c>
      <c r="N77" s="478">
        <v>0</v>
      </c>
      <c r="O77" s="478">
        <v>0</v>
      </c>
      <c r="P77" s="478">
        <v>0</v>
      </c>
      <c r="Q77" s="478">
        <v>0</v>
      </c>
      <c r="R77" s="478">
        <v>0</v>
      </c>
      <c r="T77" s="479">
        <f t="shared" si="2"/>
        <v>0</v>
      </c>
    </row>
    <row r="78" spans="2:20">
      <c r="B78" s="488" t="s">
        <v>301</v>
      </c>
      <c r="C78" s="478"/>
      <c r="D78" s="478"/>
      <c r="E78" s="470"/>
      <c r="F78" s="489">
        <v>-126.69438999999997</v>
      </c>
      <c r="G78" s="489">
        <v>-22.185590000000001</v>
      </c>
      <c r="H78" s="489">
        <v>-148.70245166666666</v>
      </c>
      <c r="I78" s="489">
        <v>-92.173400000000015</v>
      </c>
      <c r="J78" s="489">
        <v>-23.238919999999997</v>
      </c>
      <c r="K78" s="489">
        <v>-21.149159999999998</v>
      </c>
      <c r="L78" s="489">
        <v>-104.03406999999999</v>
      </c>
      <c r="M78" s="489">
        <v>-144.74727999999999</v>
      </c>
      <c r="N78" s="489">
        <v>-128.45761999999999</v>
      </c>
      <c r="O78" s="489">
        <v>-1.74</v>
      </c>
      <c r="P78" s="489">
        <v>0</v>
      </c>
      <c r="Q78" s="489">
        <v>-18.121410000000001</v>
      </c>
      <c r="R78" s="478">
        <v>-831.24429166666653</v>
      </c>
      <c r="T78" s="479">
        <f t="shared" si="2"/>
        <v>-2.4720810620454909E-2</v>
      </c>
    </row>
    <row r="79" spans="2:20">
      <c r="B79" s="477" t="s">
        <v>367</v>
      </c>
      <c r="C79" s="478"/>
      <c r="D79" s="478"/>
      <c r="E79" s="470"/>
      <c r="F79" s="478">
        <v>0</v>
      </c>
      <c r="G79" s="478">
        <v>0</v>
      </c>
      <c r="H79" s="478">
        <v>0</v>
      </c>
      <c r="I79" s="478">
        <v>0</v>
      </c>
      <c r="J79" s="478">
        <v>0</v>
      </c>
      <c r="K79" s="478">
        <v>0</v>
      </c>
      <c r="L79" s="478">
        <v>0</v>
      </c>
      <c r="M79" s="478">
        <v>0</v>
      </c>
      <c r="N79" s="478">
        <v>0</v>
      </c>
      <c r="O79" s="478">
        <v>0</v>
      </c>
      <c r="P79" s="478">
        <v>0</v>
      </c>
      <c r="Q79" s="478">
        <v>0</v>
      </c>
      <c r="R79" s="478">
        <v>0</v>
      </c>
      <c r="T79" s="479">
        <f t="shared" si="2"/>
        <v>0</v>
      </c>
    </row>
    <row r="80" spans="2:20">
      <c r="B80" s="477" t="s">
        <v>297</v>
      </c>
      <c r="C80" s="478"/>
      <c r="D80" s="478"/>
      <c r="E80" s="470"/>
      <c r="F80" s="478">
        <v>-8.9112299999999998</v>
      </c>
      <c r="G80" s="478">
        <v>-8.7758099999999999</v>
      </c>
      <c r="H80" s="478">
        <v>-13.407980000000002</v>
      </c>
      <c r="I80" s="478">
        <v>-6.2857100000000008</v>
      </c>
      <c r="J80" s="478">
        <v>-6.7079199999999997</v>
      </c>
      <c r="K80" s="478">
        <v>-7.0922300000000016</v>
      </c>
      <c r="L80" s="478">
        <v>-6.325730000000001</v>
      </c>
      <c r="M80" s="478">
        <v>-9.92821</v>
      </c>
      <c r="N80" s="478">
        <v>-9.8094500000000018</v>
      </c>
      <c r="O80" s="478">
        <v>-9.7298299999999998</v>
      </c>
      <c r="P80" s="478">
        <v>-9.6560600000000019</v>
      </c>
      <c r="Q80" s="478">
        <v>-10.06396</v>
      </c>
      <c r="R80" s="478">
        <v>-106.69411999999998</v>
      </c>
      <c r="T80" s="479">
        <f t="shared" si="2"/>
        <v>-3.1730324782714638E-3</v>
      </c>
    </row>
    <row r="81" spans="2:20">
      <c r="B81" s="477" t="s">
        <v>302</v>
      </c>
      <c r="C81" s="478"/>
      <c r="D81" s="478"/>
      <c r="E81" s="470"/>
      <c r="F81" s="478">
        <v>-11.314890000000002</v>
      </c>
      <c r="G81" s="478">
        <v>-32.672579999999996</v>
      </c>
      <c r="H81" s="478">
        <v>-208.87370000000001</v>
      </c>
      <c r="I81" s="478">
        <v>-55.782229999999991</v>
      </c>
      <c r="J81" s="478">
        <v>-18.346190000000004</v>
      </c>
      <c r="K81" s="478">
        <v>-23.763369999999998</v>
      </c>
      <c r="L81" s="478">
        <v>-61.75224</v>
      </c>
      <c r="M81" s="478">
        <v>-20.663409999999999</v>
      </c>
      <c r="N81" s="478">
        <v>-22.814769999999999</v>
      </c>
      <c r="O81" s="478">
        <v>-48.00094</v>
      </c>
      <c r="P81" s="478">
        <v>-17.477420000000002</v>
      </c>
      <c r="Q81" s="478">
        <v>-32.767219999999995</v>
      </c>
      <c r="R81" s="478">
        <v>-554.22895999999992</v>
      </c>
      <c r="T81" s="479">
        <f t="shared" si="2"/>
        <v>-1.6482506163213267E-2</v>
      </c>
    </row>
    <row r="82" spans="2:20">
      <c r="B82" s="477" t="s">
        <v>303</v>
      </c>
      <c r="C82" s="478"/>
      <c r="D82" s="478"/>
      <c r="E82" s="470"/>
      <c r="F82" s="478">
        <v>0</v>
      </c>
      <c r="G82" s="478">
        <v>0</v>
      </c>
      <c r="H82" s="478">
        <v>0</v>
      </c>
      <c r="I82" s="478">
        <v>0</v>
      </c>
      <c r="J82" s="478">
        <v>0</v>
      </c>
      <c r="K82" s="478">
        <v>0</v>
      </c>
      <c r="L82" s="478">
        <v>0</v>
      </c>
      <c r="M82" s="478">
        <v>0</v>
      </c>
      <c r="N82" s="478">
        <v>0</v>
      </c>
      <c r="O82" s="478">
        <v>0</v>
      </c>
      <c r="P82" s="478">
        <v>0</v>
      </c>
      <c r="Q82" s="478">
        <v>0</v>
      </c>
      <c r="R82" s="478">
        <v>0</v>
      </c>
      <c r="T82" s="479">
        <f t="shared" si="2"/>
        <v>0</v>
      </c>
    </row>
    <row r="83" spans="2:20">
      <c r="B83" s="477" t="s">
        <v>304</v>
      </c>
      <c r="C83" s="478"/>
      <c r="D83" s="478"/>
      <c r="E83" s="470"/>
      <c r="F83" s="478">
        <v>-19.542370000000002</v>
      </c>
      <c r="G83" s="478">
        <v>-17.545539999999995</v>
      </c>
      <c r="H83" s="478">
        <v>-21.598090000000003</v>
      </c>
      <c r="I83" s="478">
        <v>-27.92595</v>
      </c>
      <c r="J83" s="478">
        <v>-39.206319999999998</v>
      </c>
      <c r="K83" s="478">
        <v>-43.103529999999999</v>
      </c>
      <c r="L83" s="478">
        <v>-49.569779999999994</v>
      </c>
      <c r="M83" s="478">
        <v>-40.995840000000001</v>
      </c>
      <c r="N83" s="478">
        <v>-25.406180000000003</v>
      </c>
      <c r="O83" s="478">
        <v>-12.989610000000006</v>
      </c>
      <c r="P83" s="478">
        <v>-11.059020000000002</v>
      </c>
      <c r="Q83" s="478">
        <v>-20.830880000000001</v>
      </c>
      <c r="R83" s="478">
        <v>-329.77310999999997</v>
      </c>
      <c r="T83" s="479">
        <f t="shared" si="2"/>
        <v>-9.807295739358346E-3</v>
      </c>
    </row>
    <row r="84" spans="2:20">
      <c r="B84" s="470"/>
      <c r="C84" s="478"/>
      <c r="D84" s="478"/>
      <c r="E84" s="470"/>
      <c r="F84" s="470">
        <v>0</v>
      </c>
      <c r="G84" s="470">
        <v>0</v>
      </c>
      <c r="H84" s="470">
        <v>0</v>
      </c>
      <c r="I84" s="470">
        <v>0</v>
      </c>
      <c r="J84" s="470">
        <v>0</v>
      </c>
      <c r="K84" s="470">
        <v>0</v>
      </c>
      <c r="L84" s="470">
        <v>0</v>
      </c>
      <c r="M84" s="470">
        <v>0</v>
      </c>
      <c r="N84" s="470">
        <v>0</v>
      </c>
      <c r="O84" s="470">
        <v>0</v>
      </c>
      <c r="P84" s="470">
        <v>0</v>
      </c>
      <c r="Q84" s="470">
        <v>0</v>
      </c>
      <c r="R84" s="470">
        <v>0</v>
      </c>
    </row>
    <row r="85" spans="2:20">
      <c r="B85" s="483" t="s">
        <v>293</v>
      </c>
      <c r="C85" s="484">
        <v>20336.533945813379</v>
      </c>
      <c r="D85" s="484">
        <v>33041.520352763066</v>
      </c>
      <c r="E85" s="470"/>
      <c r="F85" s="484">
        <v>0</v>
      </c>
      <c r="G85" s="484">
        <v>0</v>
      </c>
      <c r="H85" s="484">
        <v>0</v>
      </c>
      <c r="I85" s="484">
        <v>0</v>
      </c>
      <c r="J85" s="484">
        <v>0</v>
      </c>
      <c r="K85" s="484">
        <v>0</v>
      </c>
      <c r="L85" s="484">
        <v>0</v>
      </c>
      <c r="M85" s="484">
        <v>0</v>
      </c>
      <c r="N85" s="484">
        <v>0</v>
      </c>
      <c r="O85" s="484">
        <v>0</v>
      </c>
      <c r="P85" s="484">
        <v>0</v>
      </c>
      <c r="Q85" s="484">
        <v>0</v>
      </c>
      <c r="R85" s="484">
        <v>0</v>
      </c>
      <c r="S85" s="485">
        <f>R85/R69</f>
        <v>0</v>
      </c>
    </row>
    <row r="86" spans="2:20">
      <c r="B86" s="470"/>
      <c r="C86" s="478"/>
      <c r="D86" s="478"/>
      <c r="E86" s="470"/>
      <c r="F86" s="470">
        <v>-90.950740000000394</v>
      </c>
      <c r="G86" s="470">
        <v>-210.73052000000004</v>
      </c>
      <c r="H86" s="470">
        <v>295.46296833333344</v>
      </c>
      <c r="I86" s="470">
        <v>1103.8769399999996</v>
      </c>
      <c r="J86" s="470">
        <v>1916.9916499999997</v>
      </c>
      <c r="K86" s="470">
        <v>1245.6473499999995</v>
      </c>
      <c r="L86" s="470">
        <v>1032.3349499999997</v>
      </c>
      <c r="M86" s="470">
        <v>309.87524999999931</v>
      </c>
      <c r="N86" s="470">
        <v>-47.171349999999833</v>
      </c>
      <c r="O86" s="470">
        <v>-195.2850999999998</v>
      </c>
      <c r="P86" s="470">
        <v>-473.37420000000003</v>
      </c>
      <c r="Q86" s="470">
        <v>-286.58653999999979</v>
      </c>
      <c r="R86" s="470">
        <v>4600.090658333329</v>
      </c>
    </row>
    <row r="87" spans="2:20">
      <c r="B87" s="486" t="s">
        <v>294</v>
      </c>
      <c r="C87" s="478">
        <v>-4067.3067891626761</v>
      </c>
      <c r="D87" s="478">
        <v>-6608.3040705526137</v>
      </c>
      <c r="E87" s="470"/>
      <c r="F87" s="478">
        <v>0</v>
      </c>
      <c r="G87" s="478">
        <v>0</v>
      </c>
      <c r="H87" s="478">
        <v>0</v>
      </c>
      <c r="I87" s="478">
        <v>0</v>
      </c>
      <c r="J87" s="478">
        <v>0</v>
      </c>
      <c r="K87" s="478">
        <v>0</v>
      </c>
      <c r="L87" s="478">
        <v>0</v>
      </c>
      <c r="M87" s="478">
        <v>0</v>
      </c>
      <c r="N87" s="478">
        <v>0</v>
      </c>
      <c r="O87" s="478">
        <v>0</v>
      </c>
      <c r="P87" s="478">
        <v>0</v>
      </c>
      <c r="Q87" s="478">
        <v>0</v>
      </c>
      <c r="R87" s="478">
        <v>0</v>
      </c>
    </row>
    <row r="88" spans="2:20">
      <c r="B88" s="470"/>
      <c r="C88" s="478"/>
      <c r="D88" s="478"/>
      <c r="E88" s="470"/>
      <c r="F88" s="470">
        <v>0</v>
      </c>
      <c r="G88" s="470">
        <v>0</v>
      </c>
      <c r="H88" s="470">
        <v>0</v>
      </c>
      <c r="I88" s="470">
        <v>0</v>
      </c>
      <c r="J88" s="470">
        <v>0</v>
      </c>
      <c r="K88" s="470">
        <v>0</v>
      </c>
      <c r="L88" s="470">
        <v>0</v>
      </c>
      <c r="M88" s="470">
        <v>0</v>
      </c>
      <c r="N88" s="470">
        <v>0</v>
      </c>
      <c r="O88" s="470">
        <v>0</v>
      </c>
      <c r="P88" s="470">
        <v>0</v>
      </c>
      <c r="Q88" s="470">
        <v>0</v>
      </c>
      <c r="R88" s="470">
        <v>0</v>
      </c>
    </row>
    <row r="89" spans="2:20">
      <c r="B89" s="483" t="s">
        <v>287</v>
      </c>
      <c r="C89" s="484">
        <v>16269.227156650702</v>
      </c>
      <c r="D89" s="484">
        <v>26433.216282210451</v>
      </c>
      <c r="E89" s="470"/>
      <c r="F89" s="484" t="e">
        <v>#REF!</v>
      </c>
      <c r="G89" s="484" t="e">
        <v>#REF!</v>
      </c>
      <c r="H89" s="484" t="e">
        <v>#REF!</v>
      </c>
      <c r="I89" s="484" t="e">
        <v>#REF!</v>
      </c>
      <c r="J89" s="484" t="e">
        <v>#REF!</v>
      </c>
      <c r="K89" s="484" t="e">
        <v>#REF!</v>
      </c>
      <c r="L89" s="484" t="e">
        <v>#REF!</v>
      </c>
      <c r="M89" s="484" t="e">
        <v>#REF!</v>
      </c>
      <c r="N89" s="484" t="e">
        <v>#REF!</v>
      </c>
      <c r="O89" s="484" t="e">
        <v>#REF!</v>
      </c>
      <c r="P89" s="484" t="e">
        <v>#REF!</v>
      </c>
      <c r="Q89" s="484" t="e">
        <v>#REF!</v>
      </c>
      <c r="R89" s="484" t="e">
        <v>#REF!</v>
      </c>
    </row>
    <row r="90" spans="2:20">
      <c r="B90" s="480" t="s">
        <v>295</v>
      </c>
      <c r="C90" s="481">
        <v>0.11852440998818582</v>
      </c>
      <c r="D90" s="481">
        <v>0.1527728358226941</v>
      </c>
      <c r="E90" s="470"/>
      <c r="F90" s="481" t="e">
        <v>#REF!</v>
      </c>
      <c r="G90" s="481" t="e">
        <v>#REF!</v>
      </c>
      <c r="H90" s="481" t="e">
        <v>#REF!</v>
      </c>
      <c r="I90" s="481" t="e">
        <v>#REF!</v>
      </c>
      <c r="J90" s="481" t="e">
        <v>#REF!</v>
      </c>
      <c r="K90" s="481" t="e">
        <v>#REF!</v>
      </c>
      <c r="L90" s="481" t="e">
        <v>#REF!</v>
      </c>
      <c r="M90" s="481" t="e">
        <v>#REF!</v>
      </c>
      <c r="N90" s="481" t="e">
        <v>#REF!</v>
      </c>
      <c r="O90" s="481" t="e">
        <v>#REF!</v>
      </c>
      <c r="P90" s="481" t="e">
        <v>#REF!</v>
      </c>
      <c r="Q90" s="481" t="e">
        <v>#REF!</v>
      </c>
      <c r="R90" s="481" t="e">
        <v>#REF!</v>
      </c>
    </row>
    <row r="93" spans="2:20" ht="21">
      <c r="B93" s="468" t="s">
        <v>363</v>
      </c>
      <c r="C93" s="469"/>
      <c r="D93" s="469"/>
      <c r="E93" s="470"/>
      <c r="F93" s="470"/>
      <c r="G93" s="470"/>
      <c r="H93" s="468" t="s">
        <v>387</v>
      </c>
      <c r="I93" s="470"/>
      <c r="J93" s="470"/>
      <c r="K93" s="470"/>
      <c r="L93" s="470"/>
      <c r="M93" s="470"/>
      <c r="N93" s="470"/>
      <c r="O93" s="470"/>
      <c r="P93" s="470"/>
      <c r="Q93" s="471" t="s">
        <v>364</v>
      </c>
      <c r="R93" s="470">
        <f>COUNTIF(F97:Q97,"&gt;0")</f>
        <v>12</v>
      </c>
    </row>
    <row r="94" spans="2:20">
      <c r="B94" s="470"/>
      <c r="C94" s="469"/>
      <c r="D94" s="473">
        <v>2014</v>
      </c>
      <c r="E94" s="470"/>
      <c r="F94" s="1276">
        <v>2014</v>
      </c>
      <c r="G94" s="1276"/>
      <c r="H94" s="1276"/>
      <c r="I94" s="1276"/>
      <c r="J94" s="1276"/>
      <c r="K94" s="1276"/>
      <c r="L94" s="1276"/>
      <c r="M94" s="1276"/>
      <c r="N94" s="1276"/>
      <c r="O94" s="1276"/>
      <c r="P94" s="1276"/>
      <c r="Q94" s="1276"/>
      <c r="R94" s="1276"/>
    </row>
    <row r="95" spans="2:20">
      <c r="B95" s="474"/>
      <c r="C95" s="475">
        <v>2011</v>
      </c>
      <c r="D95" s="475" t="s">
        <v>365</v>
      </c>
      <c r="E95" s="470"/>
      <c r="F95" s="476" t="s">
        <v>271</v>
      </c>
      <c r="G95" s="476" t="s">
        <v>272</v>
      </c>
      <c r="H95" s="476" t="s">
        <v>273</v>
      </c>
      <c r="I95" s="476" t="s">
        <v>274</v>
      </c>
      <c r="J95" s="476" t="s">
        <v>275</v>
      </c>
      <c r="K95" s="476" t="s">
        <v>276</v>
      </c>
      <c r="L95" s="476" t="s">
        <v>277</v>
      </c>
      <c r="M95" s="476" t="s">
        <v>278</v>
      </c>
      <c r="N95" s="476" t="s">
        <v>279</v>
      </c>
      <c r="O95" s="476" t="s">
        <v>280</v>
      </c>
      <c r="P95" s="476" t="s">
        <v>281</v>
      </c>
      <c r="Q95" s="476" t="s">
        <v>282</v>
      </c>
      <c r="R95" s="476">
        <v>2014</v>
      </c>
    </row>
    <row r="96" spans="2:20">
      <c r="B96" s="470"/>
      <c r="C96" s="469"/>
      <c r="D96" s="469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</row>
    <row r="97" spans="2:20">
      <c r="B97" s="477" t="s">
        <v>366</v>
      </c>
      <c r="C97" s="478">
        <v>137264.78080146</v>
      </c>
      <c r="D97" s="478">
        <v>173023.01250000001</v>
      </c>
      <c r="E97" s="470"/>
      <c r="F97" s="478">
        <f>F8+F38+F68</f>
        <v>10631.676100000001</v>
      </c>
      <c r="G97" s="478">
        <f t="shared" ref="G97:R97" si="3">G8+G38+G68</f>
        <v>10392.3618812</v>
      </c>
      <c r="H97" s="478">
        <f t="shared" si="3"/>
        <v>12803.100465199999</v>
      </c>
      <c r="I97" s="478">
        <f t="shared" si="3"/>
        <v>15065.172796199999</v>
      </c>
      <c r="J97" s="478">
        <f t="shared" si="3"/>
        <v>20568.030497599997</v>
      </c>
      <c r="K97" s="478">
        <f t="shared" si="3"/>
        <v>19064.512009799997</v>
      </c>
      <c r="L97" s="478">
        <f t="shared" si="3"/>
        <v>23590.8696556</v>
      </c>
      <c r="M97" s="478">
        <f t="shared" si="3"/>
        <v>22219.000204200001</v>
      </c>
      <c r="N97" s="478">
        <f t="shared" si="3"/>
        <v>8648.1223078000003</v>
      </c>
      <c r="O97" s="478">
        <f t="shared" si="3"/>
        <v>6834.9769411999996</v>
      </c>
      <c r="P97" s="478">
        <f t="shared" si="3"/>
        <v>4777.0311818</v>
      </c>
      <c r="Q97" s="478">
        <f t="shared" si="3"/>
        <v>8801.2627964000003</v>
      </c>
      <c r="R97" s="478">
        <f t="shared" si="3"/>
        <v>163396.11683699998</v>
      </c>
    </row>
    <row r="98" spans="2:20">
      <c r="B98" s="477" t="s">
        <v>296</v>
      </c>
      <c r="C98" s="478"/>
      <c r="D98" s="478"/>
      <c r="E98" s="470"/>
      <c r="F98" s="478">
        <f t="shared" ref="F98:R98" si="4">F9+F39+F69</f>
        <v>9009.8950000000004</v>
      </c>
      <c r="G98" s="478">
        <f t="shared" si="4"/>
        <v>8807.0863399999998</v>
      </c>
      <c r="H98" s="478">
        <f t="shared" si="4"/>
        <v>10850.085139999999</v>
      </c>
      <c r="I98" s="478">
        <f t="shared" si="4"/>
        <v>12767.095590000001</v>
      </c>
      <c r="J98" s="478">
        <f t="shared" si="4"/>
        <v>17430.534319999999</v>
      </c>
      <c r="K98" s="478">
        <f t="shared" si="4"/>
        <v>16156.366109999999</v>
      </c>
      <c r="L98" s="478">
        <f t="shared" si="4"/>
        <v>19992.262419999999</v>
      </c>
      <c r="M98" s="478">
        <f t="shared" si="4"/>
        <v>18829.661189999999</v>
      </c>
      <c r="N98" s="478">
        <f t="shared" si="4"/>
        <v>7328.9172100000005</v>
      </c>
      <c r="O98" s="478">
        <f t="shared" si="4"/>
        <v>5792.3533399999997</v>
      </c>
      <c r="P98" s="478">
        <f t="shared" si="4"/>
        <v>4048.33151</v>
      </c>
      <c r="Q98" s="478">
        <f t="shared" si="4"/>
        <v>8270.1245699999999</v>
      </c>
      <c r="R98" s="478">
        <f t="shared" si="4"/>
        <v>139282.71273999999</v>
      </c>
    </row>
    <row r="99" spans="2:20">
      <c r="B99" s="477" t="s">
        <v>288</v>
      </c>
      <c r="C99" s="478">
        <v>-78160.780801460001</v>
      </c>
      <c r="D99" s="478">
        <v>-98623.117125000004</v>
      </c>
      <c r="E99" s="470"/>
      <c r="F99" s="478">
        <f t="shared" ref="F99:R99" si="5">F10+F40+F70</f>
        <v>-4576.8194899999999</v>
      </c>
      <c r="G99" s="478">
        <f t="shared" si="5"/>
        <v>-5127.8584100000007</v>
      </c>
      <c r="H99" s="478">
        <f t="shared" si="5"/>
        <v>-3811.39689</v>
      </c>
      <c r="I99" s="478">
        <f t="shared" si="5"/>
        <v>-3897.0013800000002</v>
      </c>
      <c r="J99" s="478">
        <f t="shared" si="5"/>
        <v>-5524.4928400000008</v>
      </c>
      <c r="K99" s="478">
        <f t="shared" si="5"/>
        <v>-6155.5586799999992</v>
      </c>
      <c r="L99" s="478">
        <f t="shared" si="5"/>
        <v>-10730.04537</v>
      </c>
      <c r="M99" s="478">
        <f t="shared" si="5"/>
        <v>-11518.27758</v>
      </c>
      <c r="N99" s="478">
        <f t="shared" si="5"/>
        <v>-2561.6606499999998</v>
      </c>
      <c r="O99" s="478">
        <f t="shared" si="5"/>
        <v>-2148.59114</v>
      </c>
      <c r="P99" s="478">
        <f t="shared" si="5"/>
        <v>-1776.5545099999999</v>
      </c>
      <c r="Q99" s="478">
        <f t="shared" si="5"/>
        <v>-4796.6000000000004</v>
      </c>
      <c r="R99" s="478">
        <f t="shared" si="5"/>
        <v>-62624.856940000012</v>
      </c>
      <c r="T99" s="541">
        <f t="shared" ref="T99:T104" si="6">R99/$R$98</f>
        <v>-0.44962404671785988</v>
      </c>
    </row>
    <row r="100" spans="2:20">
      <c r="B100" s="470" t="s">
        <v>284</v>
      </c>
      <c r="C100" s="478">
        <v>-1000</v>
      </c>
      <c r="D100" s="478">
        <v>-493.11558562500005</v>
      </c>
      <c r="E100" s="470"/>
      <c r="F100" s="478">
        <f t="shared" ref="F100:R100" si="7">F11+F41+F71</f>
        <v>-5.7725200000000001</v>
      </c>
      <c r="G100" s="478">
        <f t="shared" si="7"/>
        <v>-0.95853999999999973</v>
      </c>
      <c r="H100" s="478">
        <f t="shared" si="7"/>
        <v>-0.71113999999999999</v>
      </c>
      <c r="I100" s="478">
        <f t="shared" si="7"/>
        <v>0.23693999999999993</v>
      </c>
      <c r="J100" s="478">
        <f t="shared" si="7"/>
        <v>-0.37292000000000008</v>
      </c>
      <c r="K100" s="478">
        <f t="shared" si="7"/>
        <v>-3.0040100000000001</v>
      </c>
      <c r="L100" s="478">
        <f t="shared" si="7"/>
        <v>-3.6838800000000003</v>
      </c>
      <c r="M100" s="478">
        <f t="shared" si="7"/>
        <v>-18.006900000000002</v>
      </c>
      <c r="N100" s="478">
        <f t="shared" si="7"/>
        <v>-1.4443600000000001</v>
      </c>
      <c r="O100" s="478">
        <f t="shared" si="7"/>
        <v>-0.23327000000000001</v>
      </c>
      <c r="P100" s="478">
        <f t="shared" si="7"/>
        <v>16.651599999999998</v>
      </c>
      <c r="Q100" s="478">
        <f t="shared" si="7"/>
        <v>-2.0038899999999997</v>
      </c>
      <c r="R100" s="478">
        <f t="shared" si="7"/>
        <v>-19.302890000000001</v>
      </c>
      <c r="T100" s="541">
        <f t="shared" si="6"/>
        <v>-1.3858783778883485E-4</v>
      </c>
    </row>
    <row r="101" spans="2:20">
      <c r="B101" s="477" t="s">
        <v>58</v>
      </c>
      <c r="C101" s="478">
        <v>59104</v>
      </c>
      <c r="D101" s="478">
        <v>74399.895375000007</v>
      </c>
      <c r="E101" s="470"/>
      <c r="F101" s="478">
        <f t="shared" ref="F101:R101" si="8">F12+F42+F72</f>
        <v>4427.3029899999992</v>
      </c>
      <c r="G101" s="478">
        <f t="shared" si="8"/>
        <v>3678.2693899999995</v>
      </c>
      <c r="H101" s="478">
        <f t="shared" si="8"/>
        <v>7037.9771099999998</v>
      </c>
      <c r="I101" s="478">
        <f t="shared" si="8"/>
        <v>8870.3311499999982</v>
      </c>
      <c r="J101" s="478">
        <f t="shared" si="8"/>
        <v>11905.668559999996</v>
      </c>
      <c r="K101" s="478">
        <f t="shared" si="8"/>
        <v>9997.8034200000002</v>
      </c>
      <c r="L101" s="478">
        <f t="shared" si="8"/>
        <v>9258.5331699999988</v>
      </c>
      <c r="M101" s="478">
        <f t="shared" si="8"/>
        <v>7293.3767099999995</v>
      </c>
      <c r="N101" s="478">
        <f t="shared" si="8"/>
        <v>4765.8122000000003</v>
      </c>
      <c r="O101" s="478">
        <f t="shared" si="8"/>
        <v>3643.5289299999999</v>
      </c>
      <c r="P101" s="478">
        <f t="shared" si="8"/>
        <v>2288.4285999999997</v>
      </c>
      <c r="Q101" s="478">
        <f t="shared" si="8"/>
        <v>3471.5206800000005</v>
      </c>
      <c r="R101" s="478">
        <f t="shared" si="8"/>
        <v>76638.552909999999</v>
      </c>
      <c r="T101" s="541">
        <f t="shared" si="6"/>
        <v>0.55023736544435142</v>
      </c>
    </row>
    <row r="102" spans="2:20">
      <c r="B102" s="480" t="s">
        <v>289</v>
      </c>
      <c r="C102" s="481">
        <v>0.43058386612286309</v>
      </c>
      <c r="D102" s="481">
        <v>0.43</v>
      </c>
      <c r="E102" s="470"/>
      <c r="F102" s="481">
        <f t="shared" ref="F102:R102" si="9">F13+F43+F73</f>
        <v>1.4813105490960268</v>
      </c>
      <c r="G102" s="481">
        <f t="shared" si="9"/>
        <v>1.2487728592695913</v>
      </c>
      <c r="H102" s="481">
        <f t="shared" si="9"/>
        <v>1.9623169519471428</v>
      </c>
      <c r="I102" s="481">
        <f t="shared" si="9"/>
        <v>2.0834461586623632</v>
      </c>
      <c r="J102" s="481">
        <f t="shared" si="9"/>
        <v>2.0504658721705171</v>
      </c>
      <c r="K102" s="481">
        <f t="shared" si="9"/>
        <v>1.8310953924552118</v>
      </c>
      <c r="L102" s="481">
        <f t="shared" si="9"/>
        <v>1.3664890581516644</v>
      </c>
      <c r="M102" s="481">
        <f t="shared" si="9"/>
        <v>1.1467240902344067</v>
      </c>
      <c r="N102" s="481">
        <f t="shared" si="9"/>
        <v>1.9669257878738704</v>
      </c>
      <c r="O102" s="481">
        <f t="shared" si="9"/>
        <v>1.9161797559820362</v>
      </c>
      <c r="P102" s="481">
        <f t="shared" si="9"/>
        <v>1.7070549848751662</v>
      </c>
      <c r="Q102" s="481">
        <f t="shared" si="9"/>
        <v>1.259726969896737</v>
      </c>
      <c r="R102" s="481">
        <f t="shared" si="9"/>
        <v>1.6406942791969121</v>
      </c>
      <c r="T102" s="541">
        <f t="shared" si="6"/>
        <v>1.1779597388080799E-5</v>
      </c>
    </row>
    <row r="103" spans="2:20">
      <c r="B103" s="470"/>
      <c r="C103" s="478"/>
      <c r="D103" s="478"/>
      <c r="E103" s="470"/>
      <c r="F103" s="470">
        <f t="shared" ref="F103:R103" si="10">F14+F44+F74</f>
        <v>0</v>
      </c>
      <c r="G103" s="470">
        <f t="shared" si="10"/>
        <v>0</v>
      </c>
      <c r="H103" s="470">
        <f t="shared" si="10"/>
        <v>0</v>
      </c>
      <c r="I103" s="470">
        <f t="shared" si="10"/>
        <v>0</v>
      </c>
      <c r="J103" s="470">
        <f t="shared" si="10"/>
        <v>0</v>
      </c>
      <c r="K103" s="470">
        <f t="shared" si="10"/>
        <v>0</v>
      </c>
      <c r="L103" s="470">
        <f t="shared" si="10"/>
        <v>0</v>
      </c>
      <c r="M103" s="470">
        <f t="shared" si="10"/>
        <v>0</v>
      </c>
      <c r="N103" s="470">
        <f t="shared" si="10"/>
        <v>0</v>
      </c>
      <c r="O103" s="470">
        <f t="shared" si="10"/>
        <v>0</v>
      </c>
      <c r="P103" s="470">
        <f t="shared" si="10"/>
        <v>0</v>
      </c>
      <c r="Q103" s="470">
        <f t="shared" si="10"/>
        <v>0</v>
      </c>
      <c r="R103" s="470">
        <f t="shared" si="10"/>
        <v>0</v>
      </c>
      <c r="T103" s="541">
        <f t="shared" si="6"/>
        <v>0</v>
      </c>
    </row>
    <row r="104" spans="2:20">
      <c r="B104" s="477" t="s">
        <v>300</v>
      </c>
      <c r="C104" s="478"/>
      <c r="D104" s="478"/>
      <c r="E104" s="470"/>
      <c r="F104" s="478">
        <f t="shared" ref="F104:R104" si="11">F15+F45+F75</f>
        <v>-2667.7224300000003</v>
      </c>
      <c r="G104" s="478">
        <f t="shared" si="11"/>
        <v>-2748.1135999999997</v>
      </c>
      <c r="H104" s="478">
        <f t="shared" si="11"/>
        <v>-2715.0217799999996</v>
      </c>
      <c r="I104" s="478">
        <f t="shared" si="11"/>
        <v>-2715.1548899999998</v>
      </c>
      <c r="J104" s="478">
        <f t="shared" si="11"/>
        <v>-2487.1278499999999</v>
      </c>
      <c r="K104" s="478">
        <f t="shared" si="11"/>
        <v>-2533.8379600000003</v>
      </c>
      <c r="L104" s="478">
        <f t="shared" si="11"/>
        <v>-2725.8382299999998</v>
      </c>
      <c r="M104" s="478">
        <f t="shared" si="11"/>
        <v>-3113.8316500000001</v>
      </c>
      <c r="N104" s="478">
        <f t="shared" si="11"/>
        <v>-3462.7799799999998</v>
      </c>
      <c r="O104" s="478">
        <f t="shared" si="11"/>
        <v>-3004.1846999999998</v>
      </c>
      <c r="P104" s="478">
        <f t="shared" si="11"/>
        <v>-2837.5825299999997</v>
      </c>
      <c r="Q104" s="478">
        <f t="shared" si="11"/>
        <v>-2709.4881699999996</v>
      </c>
      <c r="R104" s="478">
        <f t="shared" si="11"/>
        <v>-33720.683769999996</v>
      </c>
      <c r="S104" s="482">
        <f>(R104*-1)/R98</f>
        <v>0.24210243401093595</v>
      </c>
      <c r="T104" s="541">
        <f t="shared" si="6"/>
        <v>-0.24210243401093595</v>
      </c>
    </row>
    <row r="105" spans="2:20">
      <c r="B105" s="477" t="s">
        <v>292</v>
      </c>
      <c r="C105" s="478"/>
      <c r="D105" s="478"/>
      <c r="E105" s="470"/>
      <c r="F105" s="478">
        <f t="shared" ref="F105:R105" si="12">F16+F46+F76</f>
        <v>-1278.96291</v>
      </c>
      <c r="G105" s="478">
        <f t="shared" si="12"/>
        <v>-1214.4840399999998</v>
      </c>
      <c r="H105" s="478">
        <f t="shared" si="12"/>
        <v>-1202.3079</v>
      </c>
      <c r="I105" s="478">
        <f t="shared" si="12"/>
        <v>-1212.3190199999999</v>
      </c>
      <c r="J105" s="478">
        <f t="shared" si="12"/>
        <v>-1379.45856</v>
      </c>
      <c r="K105" s="478">
        <f t="shared" si="12"/>
        <v>-1417.4530100000002</v>
      </c>
      <c r="L105" s="478">
        <f t="shared" si="12"/>
        <v>-1673.4569700000002</v>
      </c>
      <c r="M105" s="478">
        <f t="shared" si="12"/>
        <v>-1540.6679800000002</v>
      </c>
      <c r="N105" s="478">
        <f t="shared" si="12"/>
        <v>-1195.74162</v>
      </c>
      <c r="O105" s="478">
        <f t="shared" si="12"/>
        <v>-1283.9143999999999</v>
      </c>
      <c r="P105" s="478">
        <f t="shared" si="12"/>
        <v>-1038.2414800000001</v>
      </c>
      <c r="Q105" s="478">
        <f t="shared" si="12"/>
        <v>-1239.60112</v>
      </c>
      <c r="R105" s="478">
        <f t="shared" si="12"/>
        <v>-15676.60901</v>
      </c>
      <c r="S105" s="482">
        <f>(R105*-1)/R98</f>
        <v>0.11255243886054715</v>
      </c>
      <c r="T105" s="541">
        <f t="shared" ref="T105:T112" si="13">R105/$R$98</f>
        <v>-0.11255243886054715</v>
      </c>
    </row>
    <row r="106" spans="2:20">
      <c r="B106" s="477" t="s">
        <v>285</v>
      </c>
      <c r="C106" s="478"/>
      <c r="D106" s="478"/>
      <c r="E106" s="470"/>
      <c r="F106" s="478">
        <f t="shared" ref="F106:R106" si="14">F17+F47+F77</f>
        <v>0</v>
      </c>
      <c r="G106" s="478">
        <f t="shared" si="14"/>
        <v>0</v>
      </c>
      <c r="H106" s="478">
        <f t="shared" si="14"/>
        <v>0</v>
      </c>
      <c r="I106" s="478">
        <f t="shared" si="14"/>
        <v>0</v>
      </c>
      <c r="J106" s="478">
        <f t="shared" si="14"/>
        <v>0</v>
      </c>
      <c r="K106" s="478">
        <f t="shared" si="14"/>
        <v>0</v>
      </c>
      <c r="L106" s="478">
        <f t="shared" si="14"/>
        <v>0</v>
      </c>
      <c r="M106" s="478">
        <f t="shared" si="14"/>
        <v>0</v>
      </c>
      <c r="N106" s="478">
        <f t="shared" si="14"/>
        <v>0</v>
      </c>
      <c r="O106" s="478">
        <f t="shared" si="14"/>
        <v>0</v>
      </c>
      <c r="P106" s="478">
        <f t="shared" si="14"/>
        <v>0</v>
      </c>
      <c r="Q106" s="478">
        <f t="shared" si="14"/>
        <v>0</v>
      </c>
      <c r="R106" s="478">
        <f t="shared" si="14"/>
        <v>0</v>
      </c>
      <c r="T106" s="541">
        <f t="shared" si="13"/>
        <v>0</v>
      </c>
    </row>
    <row r="107" spans="2:20">
      <c r="B107" s="488" t="s">
        <v>301</v>
      </c>
      <c r="C107" s="478"/>
      <c r="D107" s="478"/>
      <c r="E107" s="470"/>
      <c r="F107" s="489">
        <f t="shared" ref="F107:R107" si="15">F18+F48+F78</f>
        <v>-477.83230999999989</v>
      </c>
      <c r="G107" s="489">
        <f t="shared" si="15"/>
        <v>-90.98912</v>
      </c>
      <c r="H107" s="489">
        <f t="shared" si="15"/>
        <v>-480.08337666666665</v>
      </c>
      <c r="I107" s="489">
        <f t="shared" si="15"/>
        <v>-289.33170000000007</v>
      </c>
      <c r="J107" s="489">
        <f t="shared" si="15"/>
        <v>-80.198059999999998</v>
      </c>
      <c r="K107" s="489">
        <f t="shared" si="15"/>
        <v>-67.338340000000002</v>
      </c>
      <c r="L107" s="489">
        <f t="shared" si="15"/>
        <v>-389.17205000000001</v>
      </c>
      <c r="M107" s="489">
        <f t="shared" si="15"/>
        <v>-538.82960000000003</v>
      </c>
      <c r="N107" s="489">
        <f t="shared" si="15"/>
        <v>-448.31290000000001</v>
      </c>
      <c r="O107" s="489">
        <f t="shared" si="15"/>
        <v>-5.8</v>
      </c>
      <c r="P107" s="489">
        <f t="shared" si="15"/>
        <v>0</v>
      </c>
      <c r="Q107" s="489">
        <f t="shared" si="15"/>
        <v>-76.519729999999996</v>
      </c>
      <c r="R107" s="478">
        <f t="shared" si="15"/>
        <v>-2944.4071866666668</v>
      </c>
      <c r="T107" s="541">
        <f t="shared" si="13"/>
        <v>-2.1139789200997343E-2</v>
      </c>
    </row>
    <row r="108" spans="2:20">
      <c r="B108" s="477" t="s">
        <v>367</v>
      </c>
      <c r="C108" s="478"/>
      <c r="D108" s="478"/>
      <c r="E108" s="470"/>
      <c r="F108" s="478">
        <f t="shared" ref="F108:R108" si="16">F19+F49+F79</f>
        <v>0</v>
      </c>
      <c r="G108" s="478">
        <f t="shared" si="16"/>
        <v>0</v>
      </c>
      <c r="H108" s="478">
        <f t="shared" si="16"/>
        <v>0</v>
      </c>
      <c r="I108" s="478">
        <f t="shared" si="16"/>
        <v>0</v>
      </c>
      <c r="J108" s="478">
        <f t="shared" si="16"/>
        <v>0</v>
      </c>
      <c r="K108" s="478">
        <f t="shared" si="16"/>
        <v>0</v>
      </c>
      <c r="L108" s="478">
        <f t="shared" si="16"/>
        <v>0</v>
      </c>
      <c r="M108" s="478">
        <f t="shared" si="16"/>
        <v>0</v>
      </c>
      <c r="N108" s="478">
        <f t="shared" si="16"/>
        <v>0</v>
      </c>
      <c r="O108" s="478">
        <f t="shared" si="16"/>
        <v>0</v>
      </c>
      <c r="P108" s="478">
        <f t="shared" si="16"/>
        <v>0</v>
      </c>
      <c r="Q108" s="478">
        <f t="shared" si="16"/>
        <v>0</v>
      </c>
      <c r="R108" s="478">
        <f t="shared" si="16"/>
        <v>0</v>
      </c>
      <c r="T108" s="541">
        <f t="shared" si="13"/>
        <v>0</v>
      </c>
    </row>
    <row r="109" spans="2:20">
      <c r="B109" s="477" t="s">
        <v>297</v>
      </c>
      <c r="C109" s="478"/>
      <c r="D109" s="478"/>
      <c r="E109" s="470"/>
      <c r="F109" s="478">
        <f t="shared" ref="F109:R109" si="17">F20+F50+F80</f>
        <v>-65.704800000000006</v>
      </c>
      <c r="G109" s="478">
        <f t="shared" si="17"/>
        <v>-49.747449999999994</v>
      </c>
      <c r="H109" s="478">
        <f t="shared" si="17"/>
        <v>-52.512820000000005</v>
      </c>
      <c r="I109" s="478">
        <f t="shared" si="17"/>
        <v>-43.760429999999999</v>
      </c>
      <c r="J109" s="478">
        <f t="shared" si="17"/>
        <v>-11.817779999999999</v>
      </c>
      <c r="K109" s="478">
        <f t="shared" si="17"/>
        <v>-77.163830000000004</v>
      </c>
      <c r="L109" s="478">
        <f t="shared" si="17"/>
        <v>-46.678429999999999</v>
      </c>
      <c r="M109" s="478">
        <f t="shared" si="17"/>
        <v>-26.94923</v>
      </c>
      <c r="N109" s="478">
        <f t="shared" si="17"/>
        <v>-76.951710000000006</v>
      </c>
      <c r="O109" s="478">
        <f t="shared" si="17"/>
        <v>-53.782029999999999</v>
      </c>
      <c r="P109" s="478">
        <f t="shared" si="17"/>
        <v>-14.606340000000001</v>
      </c>
      <c r="Q109" s="478">
        <f t="shared" si="17"/>
        <v>-119.86613999999999</v>
      </c>
      <c r="R109" s="478">
        <f t="shared" si="17"/>
        <v>-639.54098999999997</v>
      </c>
      <c r="T109" s="541">
        <f t="shared" si="13"/>
        <v>-4.5916752870389281E-3</v>
      </c>
    </row>
    <row r="110" spans="2:20">
      <c r="B110" s="477" t="s">
        <v>302</v>
      </c>
      <c r="C110" s="478"/>
      <c r="D110" s="478"/>
      <c r="E110" s="470"/>
      <c r="F110" s="478">
        <f t="shared" ref="F110:R110" si="18">F21+F51+F81</f>
        <v>-33.810730000000007</v>
      </c>
      <c r="G110" s="478">
        <f t="shared" si="18"/>
        <v>-82.343829999999997</v>
      </c>
      <c r="H110" s="478">
        <f t="shared" si="18"/>
        <v>-283.17948999999999</v>
      </c>
      <c r="I110" s="478">
        <f t="shared" si="18"/>
        <v>-280.21323999999998</v>
      </c>
      <c r="J110" s="478">
        <f t="shared" si="18"/>
        <v>-75.587770000000006</v>
      </c>
      <c r="K110" s="478">
        <f t="shared" si="18"/>
        <v>-143.75085999999999</v>
      </c>
      <c r="L110" s="478">
        <f t="shared" si="18"/>
        <v>-186.89127000000002</v>
      </c>
      <c r="M110" s="478">
        <f t="shared" si="18"/>
        <v>-101.25637</v>
      </c>
      <c r="N110" s="478">
        <f t="shared" si="18"/>
        <v>-143.88718</v>
      </c>
      <c r="O110" s="478">
        <f t="shared" si="18"/>
        <v>-180.07504999999998</v>
      </c>
      <c r="P110" s="478">
        <f t="shared" si="18"/>
        <v>-95.511030000000005</v>
      </c>
      <c r="Q110" s="478">
        <f t="shared" si="18"/>
        <v>-129.87484000000001</v>
      </c>
      <c r="R110" s="478">
        <f t="shared" si="18"/>
        <v>-1736.38166</v>
      </c>
      <c r="T110" s="541">
        <f t="shared" si="13"/>
        <v>-1.2466598516366606E-2</v>
      </c>
    </row>
    <row r="111" spans="2:20">
      <c r="B111" s="477" t="s">
        <v>303</v>
      </c>
      <c r="C111" s="478"/>
      <c r="D111" s="478"/>
      <c r="E111" s="470"/>
      <c r="F111" s="478">
        <f t="shared" ref="F111:R111" si="19">F22+F52+F82</f>
        <v>0</v>
      </c>
      <c r="G111" s="478">
        <f t="shared" si="19"/>
        <v>0</v>
      </c>
      <c r="H111" s="478">
        <f t="shared" si="19"/>
        <v>0</v>
      </c>
      <c r="I111" s="478">
        <f t="shared" si="19"/>
        <v>0</v>
      </c>
      <c r="J111" s="478">
        <f t="shared" si="19"/>
        <v>0</v>
      </c>
      <c r="K111" s="478">
        <f t="shared" si="19"/>
        <v>0</v>
      </c>
      <c r="L111" s="478">
        <f t="shared" si="19"/>
        <v>0</v>
      </c>
      <c r="M111" s="478">
        <f t="shared" si="19"/>
        <v>0</v>
      </c>
      <c r="N111" s="478">
        <f t="shared" si="19"/>
        <v>-2.5</v>
      </c>
      <c r="O111" s="478">
        <f t="shared" si="19"/>
        <v>-2.5</v>
      </c>
      <c r="P111" s="478">
        <f t="shared" si="19"/>
        <v>-2.5</v>
      </c>
      <c r="Q111" s="478">
        <f t="shared" si="19"/>
        <v>-2.5</v>
      </c>
      <c r="R111" s="478">
        <f t="shared" si="19"/>
        <v>-10</v>
      </c>
      <c r="T111" s="541">
        <f t="shared" si="13"/>
        <v>-7.1796418976036673E-5</v>
      </c>
    </row>
    <row r="112" spans="2:20">
      <c r="B112" s="477" t="s">
        <v>304</v>
      </c>
      <c r="C112" s="478"/>
      <c r="D112" s="478"/>
      <c r="E112" s="470"/>
      <c r="F112" s="478">
        <f t="shared" ref="F112:R112" si="20">F23+F53+F83</f>
        <v>-73.315470000000005</v>
      </c>
      <c r="G112" s="478">
        <f t="shared" si="20"/>
        <v>-76.42725999999999</v>
      </c>
      <c r="H112" s="478">
        <f t="shared" si="20"/>
        <v>-98.291099999999986</v>
      </c>
      <c r="I112" s="478">
        <f t="shared" si="20"/>
        <v>-115.80634999999999</v>
      </c>
      <c r="J112" s="478">
        <f t="shared" si="20"/>
        <v>-142.64768999999998</v>
      </c>
      <c r="K112" s="478">
        <f t="shared" si="20"/>
        <v>-168.70813999999996</v>
      </c>
      <c r="L112" s="478">
        <f t="shared" si="20"/>
        <v>-186.76861000000002</v>
      </c>
      <c r="M112" s="478">
        <f t="shared" si="20"/>
        <v>-171.73894999999999</v>
      </c>
      <c r="N112" s="478">
        <f t="shared" si="20"/>
        <v>-100.54920000000003</v>
      </c>
      <c r="O112" s="478">
        <f t="shared" si="20"/>
        <v>-55.200830000000003</v>
      </c>
      <c r="P112" s="478">
        <f t="shared" si="20"/>
        <v>-51.337900000000005</v>
      </c>
      <c r="Q112" s="478">
        <f t="shared" si="20"/>
        <v>-87.87245999999999</v>
      </c>
      <c r="R112" s="478">
        <f t="shared" si="20"/>
        <v>-1328.6639599999999</v>
      </c>
      <c r="T112" s="541">
        <f t="shared" si="13"/>
        <v>-9.539331435052003E-3</v>
      </c>
    </row>
    <row r="113" spans="2:19">
      <c r="B113" s="470"/>
      <c r="C113" s="478"/>
      <c r="D113" s="478"/>
      <c r="E113" s="470"/>
      <c r="F113" s="470">
        <f t="shared" ref="F113:R113" si="21">F24+F54+F84</f>
        <v>0</v>
      </c>
      <c r="G113" s="470">
        <f t="shared" si="21"/>
        <v>0</v>
      </c>
      <c r="H113" s="470">
        <f t="shared" si="21"/>
        <v>0</v>
      </c>
      <c r="I113" s="470">
        <f t="shared" si="21"/>
        <v>0</v>
      </c>
      <c r="J113" s="470">
        <f t="shared" si="21"/>
        <v>0</v>
      </c>
      <c r="K113" s="470">
        <f t="shared" si="21"/>
        <v>0</v>
      </c>
      <c r="L113" s="470">
        <f t="shared" si="21"/>
        <v>0</v>
      </c>
      <c r="M113" s="470">
        <f t="shared" si="21"/>
        <v>0</v>
      </c>
      <c r="N113" s="470">
        <f t="shared" si="21"/>
        <v>0</v>
      </c>
      <c r="O113" s="470">
        <f t="shared" si="21"/>
        <v>0</v>
      </c>
      <c r="P113" s="470">
        <f t="shared" si="21"/>
        <v>0</v>
      </c>
      <c r="Q113" s="470">
        <f t="shared" si="21"/>
        <v>0</v>
      </c>
      <c r="R113" s="470">
        <f t="shared" si="21"/>
        <v>0</v>
      </c>
    </row>
    <row r="114" spans="2:19">
      <c r="B114" s="483" t="s">
        <v>293</v>
      </c>
      <c r="C114" s="484">
        <v>20336.533945813379</v>
      </c>
      <c r="D114" s="484">
        <v>33041.520352763066</v>
      </c>
      <c r="E114" s="470"/>
      <c r="F114" s="484">
        <f t="shared" ref="F114:R114" si="22">F25+F55+F85</f>
        <v>0</v>
      </c>
      <c r="G114" s="484">
        <f t="shared" si="22"/>
        <v>0</v>
      </c>
      <c r="H114" s="484">
        <f t="shared" si="22"/>
        <v>0</v>
      </c>
      <c r="I114" s="484">
        <f t="shared" si="22"/>
        <v>0</v>
      </c>
      <c r="J114" s="484">
        <f t="shared" si="22"/>
        <v>0</v>
      </c>
      <c r="K114" s="484">
        <f t="shared" si="22"/>
        <v>0</v>
      </c>
      <c r="L114" s="484">
        <f t="shared" si="22"/>
        <v>0</v>
      </c>
      <c r="M114" s="484">
        <f>M25+M55+M85</f>
        <v>0</v>
      </c>
      <c r="N114" s="484">
        <f t="shared" si="22"/>
        <v>0</v>
      </c>
      <c r="O114" s="484">
        <f t="shared" si="22"/>
        <v>0</v>
      </c>
      <c r="P114" s="484">
        <f t="shared" si="22"/>
        <v>0</v>
      </c>
      <c r="Q114" s="484">
        <f t="shared" si="22"/>
        <v>0</v>
      </c>
      <c r="R114" s="484">
        <f t="shared" si="22"/>
        <v>0</v>
      </c>
      <c r="S114" s="485">
        <f>R114/R98</f>
        <v>0</v>
      </c>
    </row>
    <row r="115" spans="2:19">
      <c r="B115" s="470"/>
      <c r="C115" s="478"/>
      <c r="D115" s="478"/>
      <c r="E115" s="470"/>
      <c r="F115" s="470">
        <f t="shared" ref="F115:R115" si="23">F26+F56+F86</f>
        <v>-170.04566000000054</v>
      </c>
      <c r="G115" s="470">
        <f t="shared" si="23"/>
        <v>-583.83591000000024</v>
      </c>
      <c r="H115" s="470">
        <f t="shared" si="23"/>
        <v>2206.5806433333341</v>
      </c>
      <c r="I115" s="470">
        <f t="shared" si="23"/>
        <v>4213.7455199999995</v>
      </c>
      <c r="J115" s="470">
        <f t="shared" si="23"/>
        <v>7728.8308499999976</v>
      </c>
      <c r="K115" s="470">
        <f t="shared" si="23"/>
        <v>5589.5512799999997</v>
      </c>
      <c r="L115" s="470">
        <f t="shared" si="23"/>
        <v>4049.7276100000008</v>
      </c>
      <c r="M115" s="470">
        <f t="shared" si="23"/>
        <v>1800.1029299999996</v>
      </c>
      <c r="N115" s="470">
        <f t="shared" si="23"/>
        <v>-664.91038999999978</v>
      </c>
      <c r="O115" s="470">
        <f t="shared" si="23"/>
        <v>-941.92807999999991</v>
      </c>
      <c r="P115" s="470">
        <f t="shared" si="23"/>
        <v>-1751.3506799999998</v>
      </c>
      <c r="Q115" s="470">
        <f t="shared" si="23"/>
        <v>-894.20177999999953</v>
      </c>
      <c r="R115" s="470">
        <f t="shared" si="23"/>
        <v>20582.266333333333</v>
      </c>
    </row>
    <row r="116" spans="2:19">
      <c r="B116" s="486" t="s">
        <v>294</v>
      </c>
      <c r="C116" s="478">
        <v>-4067.3067891626761</v>
      </c>
      <c r="D116" s="478">
        <v>-6608.3040705526137</v>
      </c>
      <c r="E116" s="470"/>
      <c r="F116" s="478">
        <f t="shared" ref="F116:R116" si="24">F27+F57+F87</f>
        <v>0</v>
      </c>
      <c r="G116" s="478">
        <f t="shared" si="24"/>
        <v>0</v>
      </c>
      <c r="H116" s="478">
        <f t="shared" si="24"/>
        <v>0</v>
      </c>
      <c r="I116" s="478">
        <f t="shared" si="24"/>
        <v>0</v>
      </c>
      <c r="J116" s="478">
        <f t="shared" si="24"/>
        <v>0</v>
      </c>
      <c r="K116" s="478">
        <f t="shared" si="24"/>
        <v>0</v>
      </c>
      <c r="L116" s="478">
        <f t="shared" si="24"/>
        <v>0</v>
      </c>
      <c r="M116" s="478">
        <f t="shared" si="24"/>
        <v>0</v>
      </c>
      <c r="N116" s="478">
        <f t="shared" si="24"/>
        <v>0</v>
      </c>
      <c r="O116" s="478">
        <f t="shared" si="24"/>
        <v>0</v>
      </c>
      <c r="P116" s="478">
        <f t="shared" si="24"/>
        <v>0</v>
      </c>
      <c r="Q116" s="478">
        <f t="shared" si="24"/>
        <v>0</v>
      </c>
      <c r="R116" s="478">
        <f t="shared" si="24"/>
        <v>0</v>
      </c>
    </row>
    <row r="117" spans="2:19">
      <c r="B117" s="470"/>
      <c r="C117" s="478"/>
      <c r="D117" s="478"/>
      <c r="E117" s="470"/>
      <c r="F117" s="470">
        <f t="shared" ref="F117:R117" si="25">F28+F58+F88</f>
        <v>0</v>
      </c>
      <c r="G117" s="470">
        <f t="shared" si="25"/>
        <v>0</v>
      </c>
      <c r="H117" s="470">
        <f t="shared" si="25"/>
        <v>0</v>
      </c>
      <c r="I117" s="470">
        <f t="shared" si="25"/>
        <v>0</v>
      </c>
      <c r="J117" s="470">
        <f t="shared" si="25"/>
        <v>0</v>
      </c>
      <c r="K117" s="470">
        <f t="shared" si="25"/>
        <v>0</v>
      </c>
      <c r="L117" s="470">
        <f t="shared" si="25"/>
        <v>0</v>
      </c>
      <c r="M117" s="470">
        <f t="shared" si="25"/>
        <v>0</v>
      </c>
      <c r="N117" s="470">
        <f t="shared" si="25"/>
        <v>0</v>
      </c>
      <c r="O117" s="470">
        <f t="shared" si="25"/>
        <v>0</v>
      </c>
      <c r="P117" s="470">
        <f t="shared" si="25"/>
        <v>0</v>
      </c>
      <c r="Q117" s="470">
        <f t="shared" si="25"/>
        <v>0</v>
      </c>
      <c r="R117" s="470">
        <f t="shared" si="25"/>
        <v>0</v>
      </c>
    </row>
    <row r="118" spans="2:19">
      <c r="B118" s="483" t="s">
        <v>287</v>
      </c>
      <c r="C118" s="484">
        <v>16269.227156650702</v>
      </c>
      <c r="D118" s="484">
        <v>26433.216282210451</v>
      </c>
      <c r="E118" s="470"/>
      <c r="F118" s="484" t="e">
        <f t="shared" ref="F118:R118" si="26">F29+F59+F89</f>
        <v>#REF!</v>
      </c>
      <c r="G118" s="484" t="e">
        <f t="shared" si="26"/>
        <v>#REF!</v>
      </c>
      <c r="H118" s="484" t="e">
        <f t="shared" si="26"/>
        <v>#REF!</v>
      </c>
      <c r="I118" s="484" t="e">
        <f t="shared" si="26"/>
        <v>#REF!</v>
      </c>
      <c r="J118" s="484" t="e">
        <f t="shared" si="26"/>
        <v>#REF!</v>
      </c>
      <c r="K118" s="484" t="e">
        <f t="shared" si="26"/>
        <v>#REF!</v>
      </c>
      <c r="L118" s="484" t="e">
        <f t="shared" si="26"/>
        <v>#REF!</v>
      </c>
      <c r="M118" s="484" t="e">
        <f t="shared" si="26"/>
        <v>#REF!</v>
      </c>
      <c r="N118" s="484" t="e">
        <f t="shared" si="26"/>
        <v>#REF!</v>
      </c>
      <c r="O118" s="484" t="e">
        <f t="shared" si="26"/>
        <v>#REF!</v>
      </c>
      <c r="P118" s="484" t="e">
        <f t="shared" si="26"/>
        <v>#REF!</v>
      </c>
      <c r="Q118" s="484" t="e">
        <f t="shared" si="26"/>
        <v>#REF!</v>
      </c>
      <c r="R118" s="484" t="e">
        <f t="shared" si="26"/>
        <v>#REF!</v>
      </c>
    </row>
    <row r="119" spans="2:19">
      <c r="B119" s="480" t="s">
        <v>295</v>
      </c>
      <c r="C119" s="481">
        <v>0.11852440998818582</v>
      </c>
      <c r="D119" s="481">
        <v>0.1527728358226941</v>
      </c>
      <c r="E119" s="470"/>
      <c r="F119" s="481" t="e">
        <f>F118/F98</f>
        <v>#REF!</v>
      </c>
      <c r="G119" s="481" t="e">
        <f t="shared" ref="G119:R119" si="27">G118/G98</f>
        <v>#REF!</v>
      </c>
      <c r="H119" s="481" t="e">
        <f t="shared" si="27"/>
        <v>#REF!</v>
      </c>
      <c r="I119" s="481" t="e">
        <f t="shared" si="27"/>
        <v>#REF!</v>
      </c>
      <c r="J119" s="481" t="e">
        <f t="shared" si="27"/>
        <v>#REF!</v>
      </c>
      <c r="K119" s="481" t="e">
        <f t="shared" si="27"/>
        <v>#REF!</v>
      </c>
      <c r="L119" s="481" t="e">
        <f t="shared" si="27"/>
        <v>#REF!</v>
      </c>
      <c r="M119" s="481" t="e">
        <f t="shared" si="27"/>
        <v>#REF!</v>
      </c>
      <c r="N119" s="481" t="e">
        <f t="shared" si="27"/>
        <v>#REF!</v>
      </c>
      <c r="O119" s="481" t="e">
        <f t="shared" si="27"/>
        <v>#REF!</v>
      </c>
      <c r="P119" s="481" t="e">
        <f t="shared" si="27"/>
        <v>#REF!</v>
      </c>
      <c r="Q119" s="481" t="e">
        <f t="shared" si="27"/>
        <v>#REF!</v>
      </c>
      <c r="R119" s="481" t="e">
        <f t="shared" si="27"/>
        <v>#REF!</v>
      </c>
    </row>
  </sheetData>
  <mergeCells count="4">
    <mergeCell ref="F5:R5"/>
    <mergeCell ref="F35:R35"/>
    <mergeCell ref="F65:R65"/>
    <mergeCell ref="F94:R9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1"/>
  <sheetViews>
    <sheetView workbookViewId="0">
      <selection activeCell="I20" sqref="I20"/>
    </sheetView>
  </sheetViews>
  <sheetFormatPr defaultColWidth="8.7109375" defaultRowHeight="12.75" outlineLevelRow="1"/>
  <cols>
    <col min="1" max="1" width="31.42578125" bestFit="1" customWidth="1"/>
    <col min="2" max="2" width="10.28515625" customWidth="1"/>
    <col min="3" max="4" width="12.42578125" bestFit="1" customWidth="1"/>
    <col min="5" max="5" width="14" bestFit="1" customWidth="1"/>
    <col min="6" max="6" width="16.42578125" bestFit="1" customWidth="1"/>
    <col min="7" max="7" width="14" bestFit="1" customWidth="1"/>
    <col min="8" max="8" width="6.42578125" customWidth="1"/>
    <col min="9" max="9" width="32.42578125" customWidth="1"/>
    <col min="10" max="10" width="15.42578125" customWidth="1"/>
    <col min="11" max="11" width="12.42578125" bestFit="1" customWidth="1"/>
  </cols>
  <sheetData>
    <row r="2" spans="1:11">
      <c r="A2" s="713" t="s">
        <v>489</v>
      </c>
      <c r="B2">
        <v>2014</v>
      </c>
      <c r="C2" s="713">
        <v>2015</v>
      </c>
      <c r="D2" s="713">
        <v>2016</v>
      </c>
      <c r="J2">
        <v>2016</v>
      </c>
    </row>
    <row r="3" spans="1:11">
      <c r="I3" s="713" t="s">
        <v>506</v>
      </c>
      <c r="J3" s="490" t="e">
        <f>D8+D9</f>
        <v>#REF!</v>
      </c>
    </row>
    <row r="4" spans="1:11" ht="15">
      <c r="A4" s="528" t="s">
        <v>370</v>
      </c>
      <c r="C4" s="490" t="e">
        <f>#REF!</f>
        <v>#REF!</v>
      </c>
      <c r="D4" s="490" t="e">
        <f>#REF!</f>
        <v>#REF!</v>
      </c>
      <c r="I4" s="713" t="s">
        <v>513</v>
      </c>
      <c r="J4" s="490">
        <f>-(C22+C23)</f>
        <v>29000</v>
      </c>
    </row>
    <row r="5" spans="1:11" ht="15" hidden="1" outlineLevel="1">
      <c r="A5" s="528" t="s">
        <v>384</v>
      </c>
      <c r="C5" s="490" t="e">
        <f>#REF!</f>
        <v>#REF!</v>
      </c>
      <c r="D5" s="490" t="e">
        <f>#REF!</f>
        <v>#REF!</v>
      </c>
      <c r="J5" s="490"/>
    </row>
    <row r="6" spans="1:11" ht="15" hidden="1" outlineLevel="1">
      <c r="A6" s="528" t="s">
        <v>385</v>
      </c>
      <c r="C6" s="490" t="e">
        <f>#REF!</f>
        <v>#REF!</v>
      </c>
      <c r="D6" s="490" t="e">
        <f>#REF!</f>
        <v>#REF!</v>
      </c>
      <c r="J6" s="490"/>
    </row>
    <row r="7" spans="1:11" s="713" customFormat="1" ht="15" collapsed="1">
      <c r="A7" s="528" t="s">
        <v>493</v>
      </c>
      <c r="C7" s="490" t="e">
        <f>SUM(C5:C6)</f>
        <v>#REF!</v>
      </c>
      <c r="D7" s="490" t="e">
        <f>SUM(D5:D6)</f>
        <v>#REF!</v>
      </c>
      <c r="I7" s="713" t="s">
        <v>512</v>
      </c>
      <c r="J7" s="490">
        <f>D22</f>
        <v>-37389.435557775643</v>
      </c>
    </row>
    <row r="8" spans="1:11" ht="15">
      <c r="A8" s="528" t="s">
        <v>491</v>
      </c>
      <c r="C8" s="490" t="e">
        <f>'For upload'!#REF!</f>
        <v>#REF!</v>
      </c>
      <c r="D8" s="490" t="e">
        <f>'For upload'!#REF!+'For upload'!#REF!</f>
        <v>#REF!</v>
      </c>
      <c r="E8" s="490">
        <f>3426772+200000</f>
        <v>3626772</v>
      </c>
      <c r="F8" s="720">
        <f>E8*$D$17*$D$16/1000</f>
        <v>261671.59980000003</v>
      </c>
      <c r="G8" s="720" t="e">
        <f>D8+F8</f>
        <v>#REF!</v>
      </c>
      <c r="I8" s="713" t="s">
        <v>507</v>
      </c>
      <c r="J8" s="717" t="e">
        <f>SUM(J3:J7)</f>
        <v>#REF!</v>
      </c>
    </row>
    <row r="9" spans="1:11" s="713" customFormat="1" ht="15">
      <c r="A9" s="528" t="s">
        <v>492</v>
      </c>
      <c r="C9" s="490">
        <f>'For upload'!AD10</f>
        <v>0</v>
      </c>
      <c r="D9" s="490">
        <f>'For upload'!O10</f>
        <v>-5040.9311575324682</v>
      </c>
      <c r="E9" s="490">
        <v>2724805</v>
      </c>
      <c r="F9" s="720">
        <f>E9*$D$17*$D$16/1000</f>
        <v>196594.68075000003</v>
      </c>
      <c r="G9" s="720">
        <f>D9+F9</f>
        <v>191553.74959246756</v>
      </c>
      <c r="I9" s="713" t="s">
        <v>508</v>
      </c>
      <c r="J9" s="490" t="e">
        <f>D7</f>
        <v>#REF!</v>
      </c>
    </row>
    <row r="10" spans="1:11" s="713" customFormat="1" ht="15">
      <c r="A10" s="528" t="s">
        <v>494</v>
      </c>
      <c r="C10" s="490"/>
      <c r="D10" s="490"/>
      <c r="I10" s="713" t="s">
        <v>509</v>
      </c>
      <c r="J10" s="490" t="e">
        <f>J8+D7</f>
        <v>#REF!</v>
      </c>
      <c r="K10" s="713" t="s">
        <v>514</v>
      </c>
    </row>
    <row r="11" spans="1:11" ht="15">
      <c r="A11" s="528" t="s">
        <v>490</v>
      </c>
      <c r="C11" s="490" t="e">
        <f>'For upload'!#REF!</f>
        <v>#REF!</v>
      </c>
      <c r="D11" s="490" t="e">
        <f>'For upload'!#REF!</f>
        <v>#REF!</v>
      </c>
      <c r="E11" s="491"/>
      <c r="F11" s="720">
        <f>200*D16*D17</f>
        <v>14430.000000000002</v>
      </c>
      <c r="I11" s="713" t="s">
        <v>510</v>
      </c>
      <c r="J11" s="490" t="e">
        <f>J10/65</f>
        <v>#REF!</v>
      </c>
    </row>
    <row r="12" spans="1:11" ht="15">
      <c r="A12" s="528" t="s">
        <v>383</v>
      </c>
      <c r="B12" s="490">
        <f>SUM(B5:B11)</f>
        <v>0</v>
      </c>
      <c r="C12" s="490" t="e">
        <f>SUM(C4,C7:C11)</f>
        <v>#REF!</v>
      </c>
      <c r="D12" s="490" t="e">
        <f>SUM(D4,D7:D11)</f>
        <v>#REF!</v>
      </c>
      <c r="F12">
        <v>20000</v>
      </c>
      <c r="K12" s="490"/>
    </row>
    <row r="13" spans="1:11">
      <c r="C13" s="490"/>
      <c r="D13" s="490"/>
      <c r="F13" s="720">
        <f>F11/F12</f>
        <v>0.72150000000000014</v>
      </c>
      <c r="I13" s="713" t="s">
        <v>511</v>
      </c>
      <c r="J13" s="490" t="e">
        <f>#REF!</f>
        <v>#REF!</v>
      </c>
    </row>
    <row r="14" spans="1:11" ht="15">
      <c r="A14" s="718" t="s">
        <v>496</v>
      </c>
      <c r="B14" s="490">
        <f>B12-B5</f>
        <v>0</v>
      </c>
      <c r="C14" s="536" t="e">
        <f>C12-C4</f>
        <v>#REF!</v>
      </c>
      <c r="D14" s="490" t="e">
        <f>D12-D4</f>
        <v>#REF!</v>
      </c>
      <c r="J14" s="491" t="e">
        <f>J13-J10</f>
        <v>#REF!</v>
      </c>
    </row>
    <row r="16" spans="1:11" ht="15">
      <c r="A16" s="718" t="s">
        <v>412</v>
      </c>
      <c r="C16" s="719" t="e">
        <f>#REF!</f>
        <v>#REF!</v>
      </c>
      <c r="D16" s="719">
        <v>65</v>
      </c>
    </row>
    <row r="17" spans="1:7">
      <c r="A17" s="713" t="s">
        <v>495</v>
      </c>
      <c r="C17" s="719" t="e">
        <f>1+#REF!</f>
        <v>#REF!</v>
      </c>
      <c r="D17">
        <v>1.1100000000000001</v>
      </c>
    </row>
    <row r="19" spans="1:7" s="713" customFormat="1" ht="15">
      <c r="A19" s="718" t="s">
        <v>497</v>
      </c>
      <c r="B19" s="490">
        <f>B17-B10</f>
        <v>0</v>
      </c>
      <c r="C19" s="490" t="e">
        <f>C14/C16/C17</f>
        <v>#REF!</v>
      </c>
      <c r="D19" s="490" t="e">
        <f>D14/D16/D17</f>
        <v>#REF!</v>
      </c>
    </row>
    <row r="20" spans="1:7" ht="15">
      <c r="A20" s="718" t="s">
        <v>498</v>
      </c>
      <c r="C20" s="490" t="e">
        <f>C19*C17</f>
        <v>#REF!</v>
      </c>
      <c r="D20" s="490" t="e">
        <f>D19*D17</f>
        <v>#REF!</v>
      </c>
    </row>
    <row r="22" spans="1:7">
      <c r="A22" s="713" t="s">
        <v>500</v>
      </c>
      <c r="C22">
        <v>-27000</v>
      </c>
      <c r="D22" s="490">
        <v>-37389.435557775643</v>
      </c>
    </row>
    <row r="23" spans="1:7">
      <c r="C23">
        <v>-2000</v>
      </c>
    </row>
    <row r="25" spans="1:7">
      <c r="A25" s="713" t="s">
        <v>499</v>
      </c>
      <c r="C25" s="642" t="e">
        <f>C14+C22+C23</f>
        <v>#REF!</v>
      </c>
      <c r="D25" s="642" t="e">
        <f>D14+D22+D23</f>
        <v>#REF!</v>
      </c>
      <c r="F25" s="713" t="s">
        <v>488</v>
      </c>
      <c r="G25" s="491">
        <f>-G26*0.2</f>
        <v>1272997.4040000001</v>
      </c>
    </row>
    <row r="26" spans="1:7">
      <c r="F26" s="713" t="s">
        <v>503</v>
      </c>
      <c r="G26" s="490">
        <v>-6364987.0199999996</v>
      </c>
    </row>
    <row r="27" spans="1:7">
      <c r="B27" s="713" t="s">
        <v>501</v>
      </c>
      <c r="C27" s="491" t="e">
        <f>C12+C22+C23-C28</f>
        <v>#REF!</v>
      </c>
      <c r="F27" s="713" t="s">
        <v>505</v>
      </c>
      <c r="G27" s="717">
        <f>SUM(G25:G26)</f>
        <v>-5091989.6159999995</v>
      </c>
    </row>
    <row r="28" spans="1:7">
      <c r="B28" s="713" t="s">
        <v>502</v>
      </c>
      <c r="C28">
        <v>53000</v>
      </c>
      <c r="G28" s="490"/>
    </row>
    <row r="29" spans="1:7">
      <c r="F29" s="713" t="s">
        <v>504</v>
      </c>
      <c r="G29" s="490">
        <v>5728488.318</v>
      </c>
    </row>
    <row r="30" spans="1:7">
      <c r="F30" s="713" t="s">
        <v>505</v>
      </c>
      <c r="G30" s="721">
        <f>SUM(G27:G29)</f>
        <v>636498.70200000051</v>
      </c>
    </row>
    <row r="31" spans="1:7">
      <c r="G31" s="49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1"/>
  <sheetViews>
    <sheetView zoomScale="85" zoomScaleNormal="85" workbookViewId="0">
      <selection activeCell="E19" sqref="E19"/>
    </sheetView>
  </sheetViews>
  <sheetFormatPr defaultColWidth="9.28515625" defaultRowHeight="12.75"/>
  <cols>
    <col min="1" max="1" width="1.42578125" style="140" customWidth="1"/>
    <col min="2" max="2" width="20.7109375" style="140" customWidth="1"/>
    <col min="3" max="3" width="30.7109375" style="140" customWidth="1"/>
    <col min="4" max="13" width="15.42578125" style="140" customWidth="1"/>
    <col min="14" max="14" width="11.42578125" style="181" bestFit="1" customWidth="1"/>
    <col min="15" max="15" width="24.7109375" style="182" customWidth="1"/>
    <col min="16" max="21" width="14.42578125" style="182" customWidth="1"/>
    <col min="22" max="23" width="14.42578125" style="181" customWidth="1"/>
    <col min="24" max="16384" width="9.28515625" style="140"/>
  </cols>
  <sheetData>
    <row r="1" spans="1:23" ht="13.5" thickBot="1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</row>
    <row r="2" spans="1:23" s="175" customFormat="1" ht="21" customHeight="1" thickBot="1">
      <c r="A2" s="167"/>
      <c r="B2" s="168" t="s">
        <v>270</v>
      </c>
      <c r="C2" s="167"/>
      <c r="D2" s="169" t="s">
        <v>192</v>
      </c>
      <c r="E2" s="169"/>
      <c r="F2" s="170"/>
      <c r="G2" s="171" t="str">
        <f>Title!I19</f>
        <v>HAVAIANAS</v>
      </c>
      <c r="H2" s="172"/>
      <c r="I2" s="167"/>
      <c r="J2" s="167"/>
      <c r="K2" s="167"/>
      <c r="L2" s="167"/>
      <c r="M2" s="167"/>
      <c r="N2" s="173"/>
      <c r="O2" s="174"/>
      <c r="P2" s="174"/>
      <c r="Q2" s="174"/>
      <c r="R2" s="174"/>
      <c r="S2" s="174"/>
      <c r="T2" s="174"/>
      <c r="U2" s="174"/>
      <c r="V2" s="173"/>
      <c r="W2" s="173"/>
    </row>
    <row r="3" spans="1:23" s="175" customFormat="1" ht="16.5" customHeight="1">
      <c r="A3" s="167"/>
      <c r="B3" s="167"/>
      <c r="C3" s="167"/>
      <c r="D3" s="167"/>
      <c r="E3" s="167"/>
      <c r="F3" s="167"/>
      <c r="G3" s="172"/>
      <c r="H3" s="172"/>
      <c r="I3" s="172"/>
      <c r="J3" s="172"/>
      <c r="K3" s="172"/>
      <c r="L3" s="172"/>
      <c r="M3" s="172"/>
      <c r="N3" s="173"/>
      <c r="O3" s="174"/>
      <c r="P3" s="174"/>
      <c r="Q3" s="174"/>
      <c r="R3" s="173"/>
      <c r="S3" s="173"/>
      <c r="T3" s="173"/>
      <c r="U3" s="173"/>
      <c r="V3" s="173"/>
      <c r="W3" s="173"/>
    </row>
    <row r="4" spans="1:23" s="175" customFormat="1" ht="10.5" customHeight="1" thickBot="1">
      <c r="A4" s="167"/>
      <c r="B4" s="168"/>
      <c r="C4" s="167"/>
      <c r="D4" s="167"/>
      <c r="E4" s="167"/>
      <c r="F4" s="167"/>
      <c r="G4" s="176"/>
      <c r="H4" s="172"/>
      <c r="I4" s="172"/>
      <c r="J4" s="172"/>
      <c r="K4" s="172"/>
      <c r="L4" s="172"/>
      <c r="M4" s="172"/>
      <c r="N4" s="173"/>
      <c r="O4" s="174"/>
      <c r="P4" s="174"/>
      <c r="Q4" s="174"/>
      <c r="R4" s="173"/>
      <c r="S4" s="173"/>
      <c r="T4" s="173"/>
      <c r="U4" s="173"/>
      <c r="V4" s="173"/>
      <c r="W4" s="173"/>
    </row>
    <row r="5" spans="1:23" s="175" customFormat="1" ht="17.25" customHeight="1" thickBot="1">
      <c r="A5" s="167"/>
      <c r="B5" s="177" t="s">
        <v>0</v>
      </c>
      <c r="C5" s="178">
        <v>42</v>
      </c>
      <c r="D5" s="167"/>
      <c r="E5" s="167"/>
      <c r="F5" s="167"/>
      <c r="G5" s="172"/>
      <c r="H5" s="172"/>
      <c r="I5" s="172"/>
      <c r="J5" s="172"/>
      <c r="K5" s="172"/>
      <c r="L5" s="172"/>
      <c r="M5" s="172"/>
      <c r="N5" s="173"/>
      <c r="O5" s="173"/>
      <c r="P5" s="173"/>
      <c r="Q5" s="173"/>
      <c r="R5" s="173"/>
      <c r="S5" s="173"/>
      <c r="T5" s="173"/>
      <c r="U5" s="173"/>
      <c r="V5" s="173"/>
      <c r="W5" s="173"/>
    </row>
    <row r="6" spans="1:23" s="175" customFormat="1" ht="3.75" customHeight="1" thickBot="1">
      <c r="A6" s="167"/>
      <c r="B6" s="177"/>
      <c r="C6" s="179"/>
      <c r="D6" s="167"/>
      <c r="E6" s="167"/>
      <c r="F6" s="167"/>
      <c r="G6" s="172"/>
      <c r="H6" s="172"/>
      <c r="I6" s="172"/>
      <c r="J6" s="172"/>
      <c r="K6" s="172"/>
      <c r="L6" s="172"/>
      <c r="M6" s="172"/>
      <c r="N6" s="173"/>
      <c r="O6" s="173"/>
      <c r="P6" s="173"/>
      <c r="Q6" s="173"/>
      <c r="R6" s="173"/>
      <c r="S6" s="173"/>
      <c r="T6" s="173"/>
      <c r="U6" s="173"/>
      <c r="V6" s="173"/>
      <c r="W6" s="173"/>
    </row>
    <row r="7" spans="1:23" s="175" customFormat="1" ht="16.5" customHeight="1" thickBot="1">
      <c r="A7" s="167"/>
      <c r="B7" s="177" t="s">
        <v>2</v>
      </c>
      <c r="C7" s="178">
        <f>C5/C9</f>
        <v>0.52500000000000002</v>
      </c>
      <c r="D7" s="167"/>
      <c r="E7" s="167"/>
      <c r="F7" s="167"/>
      <c r="G7" s="176"/>
      <c r="H7" s="172"/>
      <c r="I7" s="172"/>
      <c r="J7" s="172"/>
      <c r="K7" s="172"/>
      <c r="L7" s="172"/>
      <c r="M7" s="180"/>
      <c r="N7" s="173"/>
      <c r="O7" s="173"/>
      <c r="P7" s="173"/>
      <c r="Q7" s="173"/>
      <c r="R7" s="173"/>
      <c r="S7" s="173"/>
      <c r="T7" s="173"/>
      <c r="U7" s="173"/>
      <c r="V7" s="173"/>
      <c r="W7" s="173"/>
    </row>
    <row r="8" spans="1:23" s="175" customFormat="1" ht="4.5" customHeight="1" thickBot="1">
      <c r="A8" s="167"/>
      <c r="B8" s="177"/>
      <c r="C8" s="179"/>
      <c r="D8" s="167"/>
      <c r="E8" s="167"/>
      <c r="F8" s="167"/>
      <c r="G8" s="172"/>
      <c r="H8" s="172"/>
      <c r="I8" s="172"/>
      <c r="J8" s="172"/>
      <c r="K8" s="172"/>
      <c r="L8" s="172"/>
      <c r="M8" s="172"/>
      <c r="N8" s="173"/>
      <c r="O8" s="173"/>
      <c r="P8" s="173"/>
      <c r="Q8" s="173"/>
      <c r="R8" s="173"/>
      <c r="S8" s="173"/>
      <c r="T8" s="173"/>
      <c r="U8" s="173"/>
      <c r="V8" s="173"/>
      <c r="W8" s="173"/>
    </row>
    <row r="9" spans="1:23" s="175" customFormat="1" ht="16.5" customHeight="1" thickBot="1">
      <c r="A9" s="167"/>
      <c r="B9" s="177" t="s">
        <v>102</v>
      </c>
      <c r="C9" s="178">
        <f>Title!I29</f>
        <v>80</v>
      </c>
      <c r="D9" s="167"/>
      <c r="E9" s="167"/>
      <c r="F9" s="167"/>
      <c r="G9" s="176"/>
      <c r="H9" s="172"/>
      <c r="I9" s="172"/>
      <c r="J9" s="172"/>
      <c r="K9" s="172"/>
      <c r="L9" s="172"/>
      <c r="M9" s="180"/>
      <c r="N9" s="173"/>
      <c r="O9" s="173"/>
      <c r="P9" s="173"/>
      <c r="Q9" s="173"/>
      <c r="R9" s="173"/>
      <c r="S9" s="173"/>
      <c r="T9" s="173"/>
      <c r="U9" s="173"/>
      <c r="V9" s="173"/>
      <c r="W9" s="173"/>
    </row>
    <row r="10" spans="1:23" ht="6.75" customHeight="1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1:23" ht="16.5" customHeight="1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1:23" ht="16.5" customHeight="1" thickBot="1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O12" s="230"/>
      <c r="P12" s="231"/>
      <c r="Q12" s="231"/>
      <c r="R12" s="231"/>
      <c r="S12" s="231"/>
      <c r="T12" s="231"/>
      <c r="U12" s="231"/>
      <c r="V12" s="231"/>
      <c r="W12" s="231"/>
    </row>
    <row r="13" spans="1:23" ht="16.5" customHeight="1" thickTop="1" thickBot="1">
      <c r="A13" s="139"/>
      <c r="B13" s="1150" t="s">
        <v>1</v>
      </c>
      <c r="C13" s="1151"/>
      <c r="D13" s="1135" t="e">
        <f>#REF!</f>
        <v>#REF!</v>
      </c>
      <c r="E13" s="1134"/>
      <c r="F13" s="1133" t="e">
        <f>#REF!</f>
        <v>#REF!</v>
      </c>
      <c r="G13" s="1134"/>
      <c r="H13" s="1133" t="e">
        <f>#REF!</f>
        <v>#REF!</v>
      </c>
      <c r="I13" s="1140"/>
      <c r="J13" s="1135" t="e">
        <f>#REF!</f>
        <v>#REF!</v>
      </c>
      <c r="K13" s="1140"/>
      <c r="L13" s="1135" t="e">
        <f>#REF!</f>
        <v>#REF!</v>
      </c>
      <c r="M13" s="1140"/>
      <c r="O13" s="230"/>
      <c r="P13" s="231"/>
      <c r="Q13" s="231"/>
      <c r="R13" s="231"/>
      <c r="S13" s="231"/>
      <c r="T13" s="231"/>
      <c r="U13" s="231"/>
      <c r="V13" s="231"/>
      <c r="W13" s="231"/>
    </row>
    <row r="14" spans="1:23" ht="4.5" customHeight="1" thickBot="1">
      <c r="A14" s="139"/>
      <c r="B14" s="1152"/>
      <c r="C14" s="1153"/>
      <c r="D14" s="234"/>
      <c r="E14" s="234"/>
      <c r="F14" s="234"/>
      <c r="G14" s="234"/>
      <c r="H14" s="234"/>
      <c r="I14" s="235"/>
      <c r="J14" s="234"/>
      <c r="K14" s="235"/>
      <c r="L14" s="234"/>
      <c r="M14" s="235"/>
      <c r="O14" s="230"/>
      <c r="P14" s="231"/>
      <c r="Q14" s="231"/>
      <c r="R14" s="231"/>
      <c r="S14" s="231"/>
      <c r="T14" s="231"/>
      <c r="U14" s="231"/>
      <c r="V14" s="231"/>
      <c r="W14" s="231"/>
    </row>
    <row r="15" spans="1:23" ht="16.5" customHeight="1" thickTop="1" thickBot="1">
      <c r="A15" s="139"/>
      <c r="B15" s="1152"/>
      <c r="C15" s="1153"/>
      <c r="D15" s="232" t="s">
        <v>268</v>
      </c>
      <c r="E15" s="233" t="s">
        <v>269</v>
      </c>
      <c r="F15" s="232" t="s">
        <v>268</v>
      </c>
      <c r="G15" s="233" t="s">
        <v>269</v>
      </c>
      <c r="H15" s="232" t="s">
        <v>268</v>
      </c>
      <c r="I15" s="233" t="s">
        <v>269</v>
      </c>
      <c r="J15" s="232" t="s">
        <v>268</v>
      </c>
      <c r="K15" s="233" t="s">
        <v>269</v>
      </c>
      <c r="L15" s="232" t="s">
        <v>268</v>
      </c>
      <c r="M15" s="233" t="s">
        <v>269</v>
      </c>
      <c r="O15" s="230"/>
      <c r="P15" s="231"/>
      <c r="Q15" s="231"/>
      <c r="R15" s="231"/>
      <c r="S15" s="231"/>
      <c r="T15" s="231"/>
      <c r="U15" s="231"/>
      <c r="V15" s="231"/>
      <c r="W15" s="231"/>
    </row>
    <row r="16" spans="1:23" ht="6.75" customHeight="1" thickTop="1" thickBot="1">
      <c r="A16" s="139"/>
      <c r="B16" s="236"/>
      <c r="C16" s="237"/>
      <c r="D16" s="183"/>
      <c r="E16" s="183"/>
      <c r="F16" s="183"/>
      <c r="G16" s="183"/>
      <c r="H16" s="183"/>
      <c r="I16" s="184"/>
      <c r="J16" s="183"/>
      <c r="K16" s="184"/>
      <c r="L16" s="183"/>
      <c r="M16" s="184"/>
      <c r="O16" s="230"/>
      <c r="P16" s="231"/>
      <c r="Q16" s="231"/>
      <c r="R16" s="231"/>
      <c r="S16" s="231"/>
      <c r="T16" s="231"/>
      <c r="U16" s="231"/>
      <c r="V16" s="231"/>
      <c r="W16" s="231"/>
    </row>
    <row r="17" spans="1:23" ht="16.5" thickBot="1">
      <c r="A17" s="139"/>
      <c r="B17" s="236"/>
      <c r="C17" s="238" t="s">
        <v>27</v>
      </c>
      <c r="D17" s="370">
        <v>0</v>
      </c>
      <c r="E17" s="370">
        <v>0</v>
      </c>
      <c r="F17" s="370">
        <v>0</v>
      </c>
      <c r="G17" s="370">
        <v>0</v>
      </c>
      <c r="H17" s="371">
        <v>0</v>
      </c>
      <c r="I17" s="372">
        <v>0</v>
      </c>
      <c r="J17" s="371">
        <v>0</v>
      </c>
      <c r="K17" s="372">
        <v>0</v>
      </c>
      <c r="L17" s="371">
        <v>0</v>
      </c>
      <c r="M17" s="372">
        <v>0</v>
      </c>
      <c r="O17" s="230"/>
      <c r="P17" s="231"/>
      <c r="Q17" s="231"/>
      <c r="R17" s="231"/>
      <c r="S17" s="231"/>
      <c r="T17" s="231"/>
      <c r="U17" s="231"/>
      <c r="V17" s="231"/>
      <c r="W17" s="231"/>
    </row>
    <row r="18" spans="1:23" ht="5.45" customHeight="1" thickTop="1" thickBot="1">
      <c r="A18" s="139"/>
      <c r="B18" s="236"/>
      <c r="C18" s="237"/>
      <c r="D18" s="373"/>
      <c r="E18" s="373"/>
      <c r="F18" s="373"/>
      <c r="G18" s="373"/>
      <c r="H18" s="373"/>
      <c r="I18" s="373"/>
      <c r="J18" s="373"/>
      <c r="K18" s="373"/>
      <c r="L18" s="373"/>
      <c r="M18" s="374"/>
      <c r="O18" s="230"/>
      <c r="P18" s="231"/>
      <c r="Q18" s="231"/>
      <c r="R18" s="231"/>
      <c r="S18" s="231"/>
      <c r="T18" s="231"/>
      <c r="U18" s="231"/>
      <c r="V18" s="231"/>
      <c r="W18" s="231"/>
    </row>
    <row r="19" spans="1:23" ht="16.5" thickBot="1">
      <c r="A19" s="139"/>
      <c r="B19" s="236"/>
      <c r="C19" s="238" t="s">
        <v>191</v>
      </c>
      <c r="D19" s="370" t="e">
        <f>#REF!-#REF!</f>
        <v>#REF!</v>
      </c>
      <c r="E19" s="370" t="e">
        <f>#REF!-#REF!</f>
        <v>#REF!</v>
      </c>
      <c r="F19" s="370" t="e">
        <f>#REF!</f>
        <v>#REF!</v>
      </c>
      <c r="G19" s="370" t="e">
        <f>#REF!</f>
        <v>#REF!</v>
      </c>
      <c r="H19" s="371" t="e">
        <f>#REF!</f>
        <v>#REF!</v>
      </c>
      <c r="I19" s="372" t="e">
        <f>#REF!</f>
        <v>#REF!</v>
      </c>
      <c r="J19" s="371" t="e">
        <f>#REF!</f>
        <v>#REF!</v>
      </c>
      <c r="K19" s="372" t="e">
        <f>#REF!</f>
        <v>#REF!</v>
      </c>
      <c r="L19" s="371" t="e">
        <f>#REF!</f>
        <v>#REF!</v>
      </c>
      <c r="M19" s="372" t="e">
        <f>#REF!</f>
        <v>#REF!</v>
      </c>
      <c r="O19" s="230"/>
      <c r="P19" s="231"/>
      <c r="Q19" s="231"/>
      <c r="R19" s="231"/>
      <c r="S19" s="231"/>
      <c r="T19" s="231"/>
      <c r="U19" s="231"/>
      <c r="V19" s="231"/>
      <c r="W19" s="231"/>
    </row>
    <row r="20" spans="1:23" ht="5.45" customHeight="1" thickTop="1">
      <c r="A20" s="139"/>
      <c r="B20" s="236"/>
      <c r="C20" s="237"/>
      <c r="D20" s="373"/>
      <c r="E20" s="373"/>
      <c r="F20" s="373"/>
      <c r="G20" s="373"/>
      <c r="H20" s="373"/>
      <c r="I20" s="373"/>
      <c r="J20" s="373"/>
      <c r="K20" s="373"/>
      <c r="L20" s="373"/>
      <c r="M20" s="374"/>
      <c r="O20" s="230"/>
      <c r="P20" s="231"/>
      <c r="Q20" s="231"/>
      <c r="R20" s="231"/>
      <c r="S20" s="231"/>
      <c r="T20" s="231"/>
      <c r="U20" s="231"/>
      <c r="V20" s="231"/>
      <c r="W20" s="231"/>
    </row>
    <row r="21" spans="1:23" ht="5.45" customHeight="1" thickBot="1">
      <c r="A21" s="139"/>
      <c r="B21" s="236"/>
      <c r="C21" s="237"/>
      <c r="D21" s="373"/>
      <c r="E21" s="373"/>
      <c r="F21" s="373"/>
      <c r="G21" s="373"/>
      <c r="H21" s="373"/>
      <c r="I21" s="373"/>
      <c r="J21" s="373"/>
      <c r="K21" s="373"/>
      <c r="L21" s="373"/>
      <c r="M21" s="374"/>
      <c r="O21" s="230"/>
      <c r="P21" s="231"/>
      <c r="Q21" s="231"/>
      <c r="R21" s="231"/>
      <c r="S21" s="231"/>
      <c r="T21" s="231"/>
      <c r="U21" s="231"/>
      <c r="V21" s="231"/>
      <c r="W21" s="231"/>
    </row>
    <row r="22" spans="1:23" ht="16.5" customHeight="1" thickTop="1" thickBot="1">
      <c r="A22" s="139"/>
      <c r="B22" s="239"/>
      <c r="C22" s="240" t="s">
        <v>28</v>
      </c>
      <c r="D22" s="375" t="e">
        <f>SUM(D17,D19)</f>
        <v>#REF!</v>
      </c>
      <c r="E22" s="375" t="e">
        <f t="shared" ref="E22:M22" si="0">SUM(E17,E19)</f>
        <v>#REF!</v>
      </c>
      <c r="F22" s="375" t="e">
        <f t="shared" si="0"/>
        <v>#REF!</v>
      </c>
      <c r="G22" s="375" t="e">
        <f t="shared" si="0"/>
        <v>#REF!</v>
      </c>
      <c r="H22" s="375" t="e">
        <f t="shared" si="0"/>
        <v>#REF!</v>
      </c>
      <c r="I22" s="375" t="e">
        <f t="shared" si="0"/>
        <v>#REF!</v>
      </c>
      <c r="J22" s="375" t="e">
        <f t="shared" si="0"/>
        <v>#REF!</v>
      </c>
      <c r="K22" s="375" t="e">
        <f t="shared" si="0"/>
        <v>#REF!</v>
      </c>
      <c r="L22" s="375" t="e">
        <f t="shared" si="0"/>
        <v>#REF!</v>
      </c>
      <c r="M22" s="375" t="e">
        <f t="shared" si="0"/>
        <v>#REF!</v>
      </c>
      <c r="O22" s="230"/>
      <c r="P22" s="231"/>
      <c r="Q22" s="231"/>
      <c r="R22" s="231"/>
      <c r="S22" s="231"/>
      <c r="T22" s="231"/>
      <c r="U22" s="231"/>
      <c r="V22" s="231"/>
      <c r="W22" s="231"/>
    </row>
    <row r="23" spans="1:23" ht="16.5" customHeight="1" thickTop="1">
      <c r="A23" s="139"/>
      <c r="B23" s="139"/>
      <c r="C23" s="241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O23" s="230"/>
      <c r="P23" s="231"/>
      <c r="Q23" s="231"/>
      <c r="R23" s="231"/>
      <c r="S23" s="231"/>
      <c r="T23" s="231"/>
      <c r="U23" s="231"/>
      <c r="V23" s="231"/>
      <c r="W23" s="231"/>
    </row>
    <row r="24" spans="1:23" ht="4.5" customHeight="1">
      <c r="A24" s="139"/>
      <c r="B24" s="242"/>
      <c r="C24" s="243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O24" s="230"/>
      <c r="P24" s="231"/>
      <c r="Q24" s="231"/>
      <c r="R24" s="231"/>
      <c r="S24" s="231"/>
      <c r="T24" s="231"/>
      <c r="U24" s="231"/>
      <c r="V24" s="231"/>
      <c r="W24" s="231"/>
    </row>
    <row r="25" spans="1:23" ht="16.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O25" s="230"/>
      <c r="P25" s="231"/>
      <c r="Q25" s="231"/>
      <c r="R25" s="231"/>
      <c r="S25" s="231"/>
      <c r="T25" s="231"/>
      <c r="U25" s="231"/>
      <c r="V25" s="231"/>
      <c r="W25" s="231"/>
    </row>
    <row r="26" spans="1:23" ht="15.75" hidden="1">
      <c r="A26" s="139"/>
      <c r="B26" s="77" t="s">
        <v>178</v>
      </c>
      <c r="C26" s="77"/>
      <c r="D26" s="139"/>
      <c r="E26" s="139"/>
      <c r="F26" s="139"/>
      <c r="G26" s="139"/>
      <c r="H26" s="139"/>
      <c r="I26" s="139"/>
      <c r="J26" s="139"/>
      <c r="K26" s="139"/>
      <c r="L26" s="139"/>
      <c r="M26" s="139"/>
    </row>
    <row r="27" spans="1:23" ht="6.75" hidden="1" customHeight="1" thickBo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</row>
    <row r="28" spans="1:23" ht="17.25" hidden="1" customHeight="1" thickTop="1" thickBot="1">
      <c r="A28" s="139"/>
      <c r="B28" s="1129" t="s">
        <v>92</v>
      </c>
      <c r="C28" s="1130"/>
      <c r="D28" s="1135" t="e">
        <f>D$13</f>
        <v>#REF!</v>
      </c>
      <c r="E28" s="1134"/>
      <c r="F28" s="1133" t="e">
        <f>F$13</f>
        <v>#REF!</v>
      </c>
      <c r="G28" s="1134"/>
      <c r="H28" s="1133" t="e">
        <f>H$13</f>
        <v>#REF!</v>
      </c>
      <c r="I28" s="1134"/>
      <c r="J28" s="1133" t="e">
        <f>J$13</f>
        <v>#REF!</v>
      </c>
      <c r="K28" s="1134"/>
      <c r="L28" s="1133" t="e">
        <f>L$13</f>
        <v>#REF!</v>
      </c>
      <c r="M28" s="1140"/>
    </row>
    <row r="29" spans="1:23" ht="16.5" hidden="1" thickTop="1" thickBot="1">
      <c r="A29" s="183"/>
      <c r="B29" s="1131" t="s">
        <v>103</v>
      </c>
      <c r="C29" s="1132"/>
      <c r="D29" s="1138">
        <v>2.5000000000000001E-2</v>
      </c>
      <c r="E29" s="1139"/>
      <c r="F29" s="1138">
        <v>2.5000000000000001E-2</v>
      </c>
      <c r="G29" s="1139"/>
      <c r="H29" s="1138">
        <v>2.5000000000000001E-2</v>
      </c>
      <c r="I29" s="1139"/>
      <c r="J29" s="1138">
        <v>0</v>
      </c>
      <c r="K29" s="1139"/>
      <c r="L29" s="1138">
        <v>0</v>
      </c>
      <c r="M29" s="1139"/>
      <c r="N29" s="86"/>
    </row>
    <row r="30" spans="1:23" ht="15" hidden="1" customHeight="1" thickTop="1" thickBot="1">
      <c r="A30" s="183"/>
      <c r="B30" s="1131" t="s">
        <v>3</v>
      </c>
      <c r="C30" s="1132"/>
      <c r="D30" s="232" t="s">
        <v>268</v>
      </c>
      <c r="E30" s="233" t="s">
        <v>269</v>
      </c>
      <c r="F30" s="232" t="s">
        <v>268</v>
      </c>
      <c r="G30" s="233" t="s">
        <v>269</v>
      </c>
      <c r="H30" s="232" t="s">
        <v>268</v>
      </c>
      <c r="I30" s="233" t="s">
        <v>269</v>
      </c>
      <c r="J30" s="232" t="s">
        <v>268</v>
      </c>
      <c r="K30" s="233" t="s">
        <v>269</v>
      </c>
      <c r="L30" s="232" t="s">
        <v>268</v>
      </c>
      <c r="M30" s="233" t="s">
        <v>269</v>
      </c>
    </row>
    <row r="31" spans="1:23" ht="16.5" hidden="1" thickTop="1" thickBot="1">
      <c r="A31" s="183"/>
      <c r="B31" s="1131" t="s">
        <v>4</v>
      </c>
      <c r="C31" s="1132"/>
      <c r="D31" s="185" t="e">
        <f>D$19*D29</f>
        <v>#REF!</v>
      </c>
      <c r="E31" s="185" t="e">
        <f>E$19*D29</f>
        <v>#REF!</v>
      </c>
      <c r="F31" s="185" t="e">
        <f>F$19*F29</f>
        <v>#REF!</v>
      </c>
      <c r="G31" s="185" t="e">
        <f>G$19*F29</f>
        <v>#REF!</v>
      </c>
      <c r="H31" s="185" t="e">
        <f>H$19*H29</f>
        <v>#REF!</v>
      </c>
      <c r="I31" s="185" t="e">
        <f>I$19*H29</f>
        <v>#REF!</v>
      </c>
      <c r="J31" s="185" t="e">
        <f>J$19*J29</f>
        <v>#REF!</v>
      </c>
      <c r="K31" s="185" t="e">
        <f>K$19*J29</f>
        <v>#REF!</v>
      </c>
      <c r="L31" s="185" t="e">
        <f>L$19*L29</f>
        <v>#REF!</v>
      </c>
      <c r="M31" s="186" t="e">
        <f>M$19*L29</f>
        <v>#REF!</v>
      </c>
    </row>
    <row r="32" spans="1:23" ht="16.5" hidden="1" customHeight="1" thickTop="1" thickBot="1">
      <c r="A32" s="183"/>
      <c r="B32" s="1131" t="s">
        <v>5</v>
      </c>
      <c r="C32" s="1132"/>
      <c r="D32" s="1143" t="e">
        <f>D31+E31</f>
        <v>#REF!</v>
      </c>
      <c r="E32" s="1144"/>
      <c r="F32" s="1143" t="e">
        <f>F31+G31</f>
        <v>#REF!</v>
      </c>
      <c r="G32" s="1144"/>
      <c r="H32" s="1143" t="e">
        <f>H31+I31</f>
        <v>#REF!</v>
      </c>
      <c r="I32" s="1144"/>
      <c r="J32" s="1143" t="e">
        <f>J31+K31</f>
        <v>#REF!</v>
      </c>
      <c r="K32" s="1144"/>
      <c r="L32" s="1143" t="e">
        <f>L31+M31</f>
        <v>#REF!</v>
      </c>
      <c r="M32" s="1144"/>
    </row>
    <row r="33" spans="1:14" ht="16.5" hidden="1" thickTop="1" thickBot="1">
      <c r="A33" s="183"/>
      <c r="B33" s="1131" t="s">
        <v>6</v>
      </c>
      <c r="C33" s="1132"/>
      <c r="D33" s="187" t="e">
        <f>D31*$C$5</f>
        <v>#REF!</v>
      </c>
      <c r="E33" s="187" t="e">
        <f>E31*$C$5</f>
        <v>#REF!</v>
      </c>
      <c r="F33" s="187" t="e">
        <f t="shared" ref="F33:M33" si="1">F31*$C$5</f>
        <v>#REF!</v>
      </c>
      <c r="G33" s="187" t="e">
        <f t="shared" si="1"/>
        <v>#REF!</v>
      </c>
      <c r="H33" s="187" t="e">
        <f t="shared" si="1"/>
        <v>#REF!</v>
      </c>
      <c r="I33" s="187" t="e">
        <f t="shared" si="1"/>
        <v>#REF!</v>
      </c>
      <c r="J33" s="187" t="e">
        <f t="shared" si="1"/>
        <v>#REF!</v>
      </c>
      <c r="K33" s="187" t="e">
        <f t="shared" si="1"/>
        <v>#REF!</v>
      </c>
      <c r="L33" s="187" t="e">
        <f t="shared" si="1"/>
        <v>#REF!</v>
      </c>
      <c r="M33" s="188" t="e">
        <f t="shared" si="1"/>
        <v>#REF!</v>
      </c>
    </row>
    <row r="34" spans="1:14" ht="17.25" hidden="1" thickTop="1" thickBot="1">
      <c r="A34" s="183"/>
      <c r="B34" s="1131" t="s">
        <v>7</v>
      </c>
      <c r="C34" s="1132"/>
      <c r="D34" s="1136" t="e">
        <f>SUM(D33:E33)</f>
        <v>#REF!</v>
      </c>
      <c r="E34" s="1137"/>
      <c r="F34" s="1136" t="e">
        <f>SUM(F33:G33)</f>
        <v>#REF!</v>
      </c>
      <c r="G34" s="1137"/>
      <c r="H34" s="1136" t="e">
        <f>SUM(H33:I33)</f>
        <v>#REF!</v>
      </c>
      <c r="I34" s="1137"/>
      <c r="J34" s="1136" t="e">
        <f>SUM(J33:K33)</f>
        <v>#REF!</v>
      </c>
      <c r="K34" s="1137"/>
      <c r="L34" s="1136" t="e">
        <f>SUM(L33:M33)</f>
        <v>#REF!</v>
      </c>
      <c r="M34" s="1137"/>
    </row>
    <row r="35" spans="1:14" ht="10.5" hidden="1" customHeight="1" thickTop="1">
      <c r="A35" s="183"/>
      <c r="B35" s="183"/>
      <c r="C35" s="245"/>
      <c r="D35" s="246"/>
      <c r="E35" s="246"/>
      <c r="F35" s="246"/>
      <c r="G35" s="246"/>
      <c r="H35" s="246"/>
      <c r="I35" s="246"/>
      <c r="J35" s="246"/>
      <c r="K35" s="246"/>
      <c r="L35" s="246"/>
      <c r="M35" s="246"/>
    </row>
    <row r="36" spans="1:14" ht="15.75" hidden="1">
      <c r="A36" s="139"/>
      <c r="B36" s="77" t="s">
        <v>179</v>
      </c>
      <c r="C36" s="77"/>
      <c r="D36" s="139"/>
      <c r="E36" s="139"/>
      <c r="F36" s="139"/>
      <c r="G36" s="139"/>
      <c r="H36" s="139"/>
      <c r="I36" s="139"/>
      <c r="J36" s="139"/>
      <c r="K36" s="139"/>
      <c r="L36" s="139"/>
      <c r="M36" s="139"/>
    </row>
    <row r="37" spans="1:14" ht="11.25" hidden="1" customHeight="1" thickBot="1">
      <c r="A37" s="183"/>
      <c r="B37" s="183"/>
      <c r="C37" s="245"/>
      <c r="D37" s="246"/>
      <c r="E37" s="246"/>
      <c r="F37" s="246"/>
      <c r="G37" s="246"/>
      <c r="H37" s="246"/>
      <c r="I37" s="246"/>
      <c r="J37" s="246"/>
      <c r="K37" s="246"/>
      <c r="L37" s="246"/>
      <c r="M37" s="246"/>
    </row>
    <row r="38" spans="1:14" ht="17.25" hidden="1" customHeight="1" thickTop="1" thickBot="1">
      <c r="A38" s="139"/>
      <c r="B38" s="1129" t="s">
        <v>92</v>
      </c>
      <c r="C38" s="1130"/>
      <c r="D38" s="1135" t="e">
        <f>D$13</f>
        <v>#REF!</v>
      </c>
      <c r="E38" s="1134"/>
      <c r="F38" s="1133" t="e">
        <f>F$13</f>
        <v>#REF!</v>
      </c>
      <c r="G38" s="1134"/>
      <c r="H38" s="1133" t="e">
        <f>H$13</f>
        <v>#REF!</v>
      </c>
      <c r="I38" s="1134"/>
      <c r="J38" s="1133" t="e">
        <f>J$13</f>
        <v>#REF!</v>
      </c>
      <c r="K38" s="1134"/>
      <c r="L38" s="1133" t="e">
        <f>L$13</f>
        <v>#REF!</v>
      </c>
      <c r="M38" s="1140"/>
    </row>
    <row r="39" spans="1:14" ht="16.5" hidden="1" thickTop="1" thickBot="1">
      <c r="A39" s="183"/>
      <c r="B39" s="1131" t="s">
        <v>103</v>
      </c>
      <c r="C39" s="1132"/>
      <c r="D39" s="1141">
        <v>0</v>
      </c>
      <c r="E39" s="1142"/>
      <c r="F39" s="1141">
        <v>0</v>
      </c>
      <c r="G39" s="1142"/>
      <c r="H39" s="1141">
        <v>0</v>
      </c>
      <c r="I39" s="1142"/>
      <c r="J39" s="1141">
        <v>0</v>
      </c>
      <c r="K39" s="1142"/>
      <c r="L39" s="1141">
        <v>0</v>
      </c>
      <c r="M39" s="1142"/>
      <c r="N39" s="86"/>
    </row>
    <row r="40" spans="1:14" ht="15" hidden="1" customHeight="1" thickTop="1" thickBot="1">
      <c r="A40" s="183"/>
      <c r="B40" s="1131" t="s">
        <v>3</v>
      </c>
      <c r="C40" s="1132"/>
      <c r="D40" s="232" t="s">
        <v>268</v>
      </c>
      <c r="E40" s="233" t="s">
        <v>269</v>
      </c>
      <c r="F40" s="232" t="s">
        <v>268</v>
      </c>
      <c r="G40" s="233" t="s">
        <v>269</v>
      </c>
      <c r="H40" s="232" t="s">
        <v>268</v>
      </c>
      <c r="I40" s="233" t="s">
        <v>269</v>
      </c>
      <c r="J40" s="232" t="s">
        <v>268</v>
      </c>
      <c r="K40" s="233" t="s">
        <v>269</v>
      </c>
      <c r="L40" s="232" t="s">
        <v>268</v>
      </c>
      <c r="M40" s="233" t="s">
        <v>269</v>
      </c>
    </row>
    <row r="41" spans="1:14" ht="16.5" hidden="1" thickTop="1" thickBot="1">
      <c r="A41" s="183"/>
      <c r="B41" s="1131" t="s">
        <v>4</v>
      </c>
      <c r="C41" s="1132"/>
      <c r="D41" s="185" t="e">
        <f>D$19*D39</f>
        <v>#REF!</v>
      </c>
      <c r="E41" s="185" t="e">
        <f>E$19*D39</f>
        <v>#REF!</v>
      </c>
      <c r="F41" s="185" t="e">
        <f>F$19*F39</f>
        <v>#REF!</v>
      </c>
      <c r="G41" s="185" t="e">
        <f>G$19*F39</f>
        <v>#REF!</v>
      </c>
      <c r="H41" s="185" t="e">
        <f>H$19*H39</f>
        <v>#REF!</v>
      </c>
      <c r="I41" s="185" t="e">
        <f>I$19*H39</f>
        <v>#REF!</v>
      </c>
      <c r="J41" s="185" t="e">
        <f>J$19*J39</f>
        <v>#REF!</v>
      </c>
      <c r="K41" s="185" t="e">
        <f>K$19*J39</f>
        <v>#REF!</v>
      </c>
      <c r="L41" s="185" t="e">
        <f>L$19*L39</f>
        <v>#REF!</v>
      </c>
      <c r="M41" s="186" t="e">
        <f>M$19*L39</f>
        <v>#REF!</v>
      </c>
    </row>
    <row r="42" spans="1:14" ht="16.5" hidden="1" thickTop="1" thickBot="1">
      <c r="A42" s="183"/>
      <c r="B42" s="1131" t="s">
        <v>5</v>
      </c>
      <c r="C42" s="1132"/>
      <c r="D42" s="1143" t="e">
        <f>D41+E41</f>
        <v>#REF!</v>
      </c>
      <c r="E42" s="1144"/>
      <c r="F42" s="1143" t="e">
        <f>F41+G41</f>
        <v>#REF!</v>
      </c>
      <c r="G42" s="1144"/>
      <c r="H42" s="1143" t="e">
        <f>H41+I41</f>
        <v>#REF!</v>
      </c>
      <c r="I42" s="1144"/>
      <c r="J42" s="1143" t="e">
        <f>J41+K41</f>
        <v>#REF!</v>
      </c>
      <c r="K42" s="1144"/>
      <c r="L42" s="1143" t="e">
        <f>L41+M41</f>
        <v>#REF!</v>
      </c>
      <c r="M42" s="1144"/>
    </row>
    <row r="43" spans="1:14" ht="16.5" hidden="1" thickTop="1" thickBot="1">
      <c r="A43" s="183"/>
      <c r="B43" s="1131" t="s">
        <v>6</v>
      </c>
      <c r="C43" s="1132"/>
      <c r="D43" s="187" t="e">
        <f t="shared" ref="D43:M43" si="2">D41*$C$5</f>
        <v>#REF!</v>
      </c>
      <c r="E43" s="187" t="e">
        <f t="shared" si="2"/>
        <v>#REF!</v>
      </c>
      <c r="F43" s="187" t="e">
        <f t="shared" si="2"/>
        <v>#REF!</v>
      </c>
      <c r="G43" s="187" t="e">
        <f t="shared" si="2"/>
        <v>#REF!</v>
      </c>
      <c r="H43" s="187" t="e">
        <f t="shared" si="2"/>
        <v>#REF!</v>
      </c>
      <c r="I43" s="187" t="e">
        <f t="shared" si="2"/>
        <v>#REF!</v>
      </c>
      <c r="J43" s="187" t="e">
        <f t="shared" si="2"/>
        <v>#REF!</v>
      </c>
      <c r="K43" s="187" t="e">
        <f t="shared" si="2"/>
        <v>#REF!</v>
      </c>
      <c r="L43" s="187" t="e">
        <f t="shared" si="2"/>
        <v>#REF!</v>
      </c>
      <c r="M43" s="188" t="e">
        <f t="shared" si="2"/>
        <v>#REF!</v>
      </c>
    </row>
    <row r="44" spans="1:14" ht="17.25" hidden="1" thickTop="1" thickBot="1">
      <c r="A44" s="183"/>
      <c r="B44" s="1131" t="s">
        <v>7</v>
      </c>
      <c r="C44" s="1132"/>
      <c r="D44" s="1136" t="e">
        <f>SUM(D43:E43)</f>
        <v>#REF!</v>
      </c>
      <c r="E44" s="1137"/>
      <c r="F44" s="1136" t="e">
        <f>SUM(F43:G43)</f>
        <v>#REF!</v>
      </c>
      <c r="G44" s="1137"/>
      <c r="H44" s="1136" t="e">
        <f>SUM(H43:I43)</f>
        <v>#REF!</v>
      </c>
      <c r="I44" s="1137"/>
      <c r="J44" s="1136" t="e">
        <f>SUM(J43:K43)</f>
        <v>#REF!</v>
      </c>
      <c r="K44" s="1137"/>
      <c r="L44" s="1136" t="e">
        <f>SUM(L43:M43)</f>
        <v>#REF!</v>
      </c>
      <c r="M44" s="1137"/>
    </row>
    <row r="45" spans="1:14" ht="11.25" hidden="1" customHeight="1" thickTop="1">
      <c r="A45" s="183"/>
      <c r="B45" s="183"/>
      <c r="C45" s="247"/>
      <c r="D45" s="246"/>
      <c r="E45" s="246"/>
      <c r="F45" s="246"/>
      <c r="G45" s="246"/>
      <c r="H45" s="246"/>
      <c r="I45" s="246"/>
      <c r="J45" s="246"/>
      <c r="K45" s="246"/>
      <c r="L45" s="246"/>
      <c r="M45" s="246"/>
    </row>
    <row r="46" spans="1:14" ht="15.75" hidden="1">
      <c r="A46" s="183"/>
      <c r="B46" s="141" t="s">
        <v>180</v>
      </c>
      <c r="C46" s="77"/>
      <c r="D46" s="246"/>
      <c r="E46" s="246"/>
      <c r="F46" s="246"/>
      <c r="G46" s="246"/>
      <c r="H46" s="246"/>
      <c r="I46" s="246"/>
      <c r="J46" s="246"/>
      <c r="K46" s="246"/>
      <c r="L46" s="246"/>
      <c r="M46" s="246"/>
    </row>
    <row r="47" spans="1:14" ht="12" hidden="1" customHeight="1" thickBot="1">
      <c r="A47" s="183"/>
      <c r="B47" s="183"/>
      <c r="C47" s="247"/>
      <c r="D47" s="246"/>
      <c r="E47" s="246"/>
      <c r="F47" s="246"/>
      <c r="G47" s="246"/>
      <c r="H47" s="246"/>
      <c r="I47" s="246"/>
      <c r="J47" s="246"/>
      <c r="K47" s="246"/>
      <c r="L47" s="246"/>
      <c r="M47" s="246"/>
    </row>
    <row r="48" spans="1:14" ht="17.25" hidden="1" customHeight="1" thickTop="1" thickBot="1">
      <c r="A48" s="139"/>
      <c r="B48" s="1129" t="s">
        <v>92</v>
      </c>
      <c r="C48" s="1130"/>
      <c r="D48" s="1135" t="e">
        <f>D$13</f>
        <v>#REF!</v>
      </c>
      <c r="E48" s="1134"/>
      <c r="F48" s="1133" t="e">
        <f>F$13</f>
        <v>#REF!</v>
      </c>
      <c r="G48" s="1134"/>
      <c r="H48" s="1133" t="e">
        <f>H$13</f>
        <v>#REF!</v>
      </c>
      <c r="I48" s="1134"/>
      <c r="J48" s="1133" t="e">
        <f>J$13</f>
        <v>#REF!</v>
      </c>
      <c r="K48" s="1134"/>
      <c r="L48" s="1133" t="e">
        <f>L$13</f>
        <v>#REF!</v>
      </c>
      <c r="M48" s="1140"/>
    </row>
    <row r="49" spans="1:14" ht="16.5" hidden="1" thickTop="1" thickBot="1">
      <c r="A49" s="183"/>
      <c r="B49" s="1131" t="s">
        <v>103</v>
      </c>
      <c r="C49" s="1132"/>
      <c r="D49" s="1141">
        <v>0</v>
      </c>
      <c r="E49" s="1142"/>
      <c r="F49" s="1141">
        <v>0</v>
      </c>
      <c r="G49" s="1142"/>
      <c r="H49" s="1141">
        <v>0</v>
      </c>
      <c r="I49" s="1142"/>
      <c r="J49" s="1141">
        <v>0</v>
      </c>
      <c r="K49" s="1142"/>
      <c r="L49" s="1141">
        <v>0</v>
      </c>
      <c r="M49" s="1142"/>
      <c r="N49" s="86"/>
    </row>
    <row r="50" spans="1:14" ht="15" hidden="1" customHeight="1" thickTop="1" thickBot="1">
      <c r="A50" s="183"/>
      <c r="B50" s="1131" t="s">
        <v>3</v>
      </c>
      <c r="C50" s="1132"/>
      <c r="D50" s="232" t="s">
        <v>268</v>
      </c>
      <c r="E50" s="233" t="s">
        <v>269</v>
      </c>
      <c r="F50" s="232" t="s">
        <v>268</v>
      </c>
      <c r="G50" s="233" t="s">
        <v>269</v>
      </c>
      <c r="H50" s="232" t="s">
        <v>268</v>
      </c>
      <c r="I50" s="233" t="s">
        <v>269</v>
      </c>
      <c r="J50" s="232" t="s">
        <v>268</v>
      </c>
      <c r="K50" s="233" t="s">
        <v>269</v>
      </c>
      <c r="L50" s="232" t="s">
        <v>268</v>
      </c>
      <c r="M50" s="233" t="s">
        <v>269</v>
      </c>
    </row>
    <row r="51" spans="1:14" ht="16.5" hidden="1" thickTop="1" thickBot="1">
      <c r="A51" s="183"/>
      <c r="B51" s="1131" t="s">
        <v>4</v>
      </c>
      <c r="C51" s="1132"/>
      <c r="D51" s="185" t="e">
        <f>D$19*D49</f>
        <v>#REF!</v>
      </c>
      <c r="E51" s="185" t="e">
        <f>E$19*D49</f>
        <v>#REF!</v>
      </c>
      <c r="F51" s="185" t="e">
        <f>F$19*F49</f>
        <v>#REF!</v>
      </c>
      <c r="G51" s="185" t="e">
        <f>G$19*F49</f>
        <v>#REF!</v>
      </c>
      <c r="H51" s="185" t="e">
        <f>H$19*H49</f>
        <v>#REF!</v>
      </c>
      <c r="I51" s="185" t="e">
        <f>I$19*H49</f>
        <v>#REF!</v>
      </c>
      <c r="J51" s="185" t="e">
        <f>J$19*J49</f>
        <v>#REF!</v>
      </c>
      <c r="K51" s="185" t="e">
        <f>K$19*J49</f>
        <v>#REF!</v>
      </c>
      <c r="L51" s="185" t="e">
        <f>L$19*L49</f>
        <v>#REF!</v>
      </c>
      <c r="M51" s="186" t="e">
        <f>M$19*L49</f>
        <v>#REF!</v>
      </c>
    </row>
    <row r="52" spans="1:14" ht="16.5" hidden="1" thickTop="1" thickBot="1">
      <c r="A52" s="183"/>
      <c r="B52" s="1131" t="s">
        <v>5</v>
      </c>
      <c r="C52" s="1132"/>
      <c r="D52" s="1143" t="e">
        <f>D51+E51</f>
        <v>#REF!</v>
      </c>
      <c r="E52" s="1144"/>
      <c r="F52" s="1143" t="e">
        <f>F51+G51</f>
        <v>#REF!</v>
      </c>
      <c r="G52" s="1144"/>
      <c r="H52" s="1143" t="e">
        <f>H51+I51</f>
        <v>#REF!</v>
      </c>
      <c r="I52" s="1144"/>
      <c r="J52" s="1143" t="e">
        <f>J51+K51</f>
        <v>#REF!</v>
      </c>
      <c r="K52" s="1144"/>
      <c r="L52" s="1143" t="e">
        <f>L51+M51</f>
        <v>#REF!</v>
      </c>
      <c r="M52" s="1144"/>
    </row>
    <row r="53" spans="1:14" ht="16.5" hidden="1" thickTop="1" thickBot="1">
      <c r="A53" s="183"/>
      <c r="B53" s="1131" t="s">
        <v>6</v>
      </c>
      <c r="C53" s="1132"/>
      <c r="D53" s="187" t="e">
        <f t="shared" ref="D53:M53" si="3">D51*$C$5</f>
        <v>#REF!</v>
      </c>
      <c r="E53" s="187" t="e">
        <f t="shared" si="3"/>
        <v>#REF!</v>
      </c>
      <c r="F53" s="187" t="e">
        <f t="shared" si="3"/>
        <v>#REF!</v>
      </c>
      <c r="G53" s="187" t="e">
        <f t="shared" si="3"/>
        <v>#REF!</v>
      </c>
      <c r="H53" s="187" t="e">
        <f t="shared" si="3"/>
        <v>#REF!</v>
      </c>
      <c r="I53" s="187" t="e">
        <f t="shared" si="3"/>
        <v>#REF!</v>
      </c>
      <c r="J53" s="187" t="e">
        <f t="shared" si="3"/>
        <v>#REF!</v>
      </c>
      <c r="K53" s="187" t="e">
        <f t="shared" si="3"/>
        <v>#REF!</v>
      </c>
      <c r="L53" s="187" t="e">
        <f t="shared" si="3"/>
        <v>#REF!</v>
      </c>
      <c r="M53" s="188" t="e">
        <f t="shared" si="3"/>
        <v>#REF!</v>
      </c>
    </row>
    <row r="54" spans="1:14" ht="17.25" hidden="1" thickTop="1" thickBot="1">
      <c r="A54" s="183"/>
      <c r="B54" s="1131" t="s">
        <v>7</v>
      </c>
      <c r="C54" s="1132"/>
      <c r="D54" s="1136" t="e">
        <f>SUM(D53:E53)</f>
        <v>#REF!</v>
      </c>
      <c r="E54" s="1137"/>
      <c r="F54" s="1136" t="e">
        <f>SUM(F53:G53)</f>
        <v>#REF!</v>
      </c>
      <c r="G54" s="1137"/>
      <c r="H54" s="1136" t="e">
        <f>SUM(H53:I53)</f>
        <v>#REF!</v>
      </c>
      <c r="I54" s="1137"/>
      <c r="J54" s="1136" t="e">
        <f>SUM(J53:K53)</f>
        <v>#REF!</v>
      </c>
      <c r="K54" s="1137"/>
      <c r="L54" s="1136" t="e">
        <f>SUM(L53:M53)</f>
        <v>#REF!</v>
      </c>
      <c r="M54" s="1137"/>
    </row>
    <row r="55" spans="1:14" ht="12" hidden="1" customHeight="1" thickTop="1">
      <c r="A55" s="183"/>
      <c r="B55" s="183"/>
      <c r="C55" s="247"/>
      <c r="D55" s="246"/>
      <c r="E55" s="246"/>
      <c r="F55" s="246"/>
      <c r="G55" s="246"/>
      <c r="H55" s="246"/>
      <c r="I55" s="246"/>
      <c r="J55" s="246"/>
      <c r="K55" s="246"/>
      <c r="L55" s="246"/>
      <c r="M55" s="246"/>
    </row>
    <row r="56" spans="1:14" ht="15.75" hidden="1">
      <c r="A56" s="183"/>
      <c r="B56" s="141" t="s">
        <v>181</v>
      </c>
      <c r="C56" s="141"/>
      <c r="D56" s="246"/>
      <c r="E56" s="246"/>
      <c r="F56" s="246"/>
      <c r="G56" s="246"/>
      <c r="H56" s="246"/>
      <c r="I56" s="246"/>
      <c r="J56" s="246"/>
      <c r="K56" s="246"/>
      <c r="L56" s="246"/>
      <c r="M56" s="246"/>
    </row>
    <row r="57" spans="1:14" ht="10.5" hidden="1" customHeight="1" thickBot="1">
      <c r="A57" s="183"/>
      <c r="B57" s="183"/>
      <c r="C57" s="247"/>
      <c r="D57" s="246"/>
      <c r="E57" s="246"/>
      <c r="F57" s="246"/>
      <c r="G57" s="246"/>
      <c r="H57" s="246"/>
      <c r="I57" s="246"/>
      <c r="J57" s="246"/>
      <c r="K57" s="246"/>
      <c r="L57" s="246"/>
      <c r="M57" s="246"/>
    </row>
    <row r="58" spans="1:14" ht="17.25" hidden="1" customHeight="1" thickTop="1" thickBot="1">
      <c r="A58" s="139"/>
      <c r="B58" s="1129" t="s">
        <v>92</v>
      </c>
      <c r="C58" s="1130"/>
      <c r="D58" s="1135" t="e">
        <f>D$13</f>
        <v>#REF!</v>
      </c>
      <c r="E58" s="1134"/>
      <c r="F58" s="1133" t="e">
        <f>F$13</f>
        <v>#REF!</v>
      </c>
      <c r="G58" s="1134"/>
      <c r="H58" s="1133" t="e">
        <f>H$13</f>
        <v>#REF!</v>
      </c>
      <c r="I58" s="1134"/>
      <c r="J58" s="1133" t="e">
        <f>J$13</f>
        <v>#REF!</v>
      </c>
      <c r="K58" s="1134"/>
      <c r="L58" s="1133" t="e">
        <f>L$13</f>
        <v>#REF!</v>
      </c>
      <c r="M58" s="1140"/>
    </row>
    <row r="59" spans="1:14" ht="16.5" hidden="1" thickTop="1" thickBot="1">
      <c r="A59" s="183"/>
      <c r="B59" s="1131" t="s">
        <v>103</v>
      </c>
      <c r="C59" s="1132"/>
      <c r="D59" s="1138">
        <v>0.01</v>
      </c>
      <c r="E59" s="1139"/>
      <c r="F59" s="1138">
        <v>0.01</v>
      </c>
      <c r="G59" s="1139"/>
      <c r="H59" s="1138">
        <v>0.01</v>
      </c>
      <c r="I59" s="1139"/>
      <c r="J59" s="1138">
        <v>0</v>
      </c>
      <c r="K59" s="1139"/>
      <c r="L59" s="1138">
        <v>0</v>
      </c>
      <c r="M59" s="1139"/>
      <c r="N59" s="86"/>
    </row>
    <row r="60" spans="1:14" ht="15" hidden="1" customHeight="1" thickTop="1" thickBot="1">
      <c r="A60" s="183"/>
      <c r="B60" s="1131" t="s">
        <v>3</v>
      </c>
      <c r="C60" s="1132"/>
      <c r="D60" s="232" t="s">
        <v>268</v>
      </c>
      <c r="E60" s="233" t="s">
        <v>269</v>
      </c>
      <c r="F60" s="232" t="s">
        <v>268</v>
      </c>
      <c r="G60" s="233" t="s">
        <v>269</v>
      </c>
      <c r="H60" s="232" t="s">
        <v>268</v>
      </c>
      <c r="I60" s="233" t="s">
        <v>269</v>
      </c>
      <c r="J60" s="232" t="s">
        <v>268</v>
      </c>
      <c r="K60" s="233" t="s">
        <v>269</v>
      </c>
      <c r="L60" s="232" t="s">
        <v>268</v>
      </c>
      <c r="M60" s="233" t="s">
        <v>269</v>
      </c>
    </row>
    <row r="61" spans="1:14" ht="16.5" hidden="1" thickTop="1" thickBot="1">
      <c r="A61" s="183"/>
      <c r="B61" s="1131" t="s">
        <v>4</v>
      </c>
      <c r="C61" s="1132"/>
      <c r="D61" s="185" t="e">
        <f>D$19*D59</f>
        <v>#REF!</v>
      </c>
      <c r="E61" s="185" t="e">
        <f>E$19*D59</f>
        <v>#REF!</v>
      </c>
      <c r="F61" s="185" t="e">
        <f>F$19*F59</f>
        <v>#REF!</v>
      </c>
      <c r="G61" s="185" t="e">
        <f>G$19*F59</f>
        <v>#REF!</v>
      </c>
      <c r="H61" s="185" t="e">
        <f>H$19*H59</f>
        <v>#REF!</v>
      </c>
      <c r="I61" s="185" t="e">
        <f>I$19*H59</f>
        <v>#REF!</v>
      </c>
      <c r="J61" s="185" t="e">
        <f>J$19*J59</f>
        <v>#REF!</v>
      </c>
      <c r="K61" s="185" t="e">
        <f>K$19*J59</f>
        <v>#REF!</v>
      </c>
      <c r="L61" s="185" t="e">
        <f>L$19*L59</f>
        <v>#REF!</v>
      </c>
      <c r="M61" s="186" t="e">
        <f>M$19*L59</f>
        <v>#REF!</v>
      </c>
    </row>
    <row r="62" spans="1:14" ht="16.5" hidden="1" thickTop="1" thickBot="1">
      <c r="A62" s="183"/>
      <c r="B62" s="1131" t="s">
        <v>5</v>
      </c>
      <c r="C62" s="1132"/>
      <c r="D62" s="1143" t="e">
        <f>D61+E61</f>
        <v>#REF!</v>
      </c>
      <c r="E62" s="1144"/>
      <c r="F62" s="1143" t="e">
        <f>F61+G61</f>
        <v>#REF!</v>
      </c>
      <c r="G62" s="1144"/>
      <c r="H62" s="1143" t="e">
        <f>H61+I61</f>
        <v>#REF!</v>
      </c>
      <c r="I62" s="1144"/>
      <c r="J62" s="1143" t="e">
        <f>J61+K61</f>
        <v>#REF!</v>
      </c>
      <c r="K62" s="1144"/>
      <c r="L62" s="1143" t="e">
        <f>L61+M61</f>
        <v>#REF!</v>
      </c>
      <c r="M62" s="1144"/>
    </row>
    <row r="63" spans="1:14" ht="16.5" hidden="1" thickTop="1" thickBot="1">
      <c r="A63" s="183"/>
      <c r="B63" s="1131" t="s">
        <v>6</v>
      </c>
      <c r="C63" s="1132"/>
      <c r="D63" s="187" t="e">
        <f t="shared" ref="D63:M63" si="4">D61*$C$5</f>
        <v>#REF!</v>
      </c>
      <c r="E63" s="187" t="e">
        <f t="shared" si="4"/>
        <v>#REF!</v>
      </c>
      <c r="F63" s="187" t="e">
        <f t="shared" si="4"/>
        <v>#REF!</v>
      </c>
      <c r="G63" s="187" t="e">
        <f t="shared" si="4"/>
        <v>#REF!</v>
      </c>
      <c r="H63" s="187" t="e">
        <f t="shared" si="4"/>
        <v>#REF!</v>
      </c>
      <c r="I63" s="187" t="e">
        <f t="shared" si="4"/>
        <v>#REF!</v>
      </c>
      <c r="J63" s="187" t="e">
        <f t="shared" si="4"/>
        <v>#REF!</v>
      </c>
      <c r="K63" s="187" t="e">
        <f t="shared" si="4"/>
        <v>#REF!</v>
      </c>
      <c r="L63" s="187" t="e">
        <f t="shared" si="4"/>
        <v>#REF!</v>
      </c>
      <c r="M63" s="188" t="e">
        <f t="shared" si="4"/>
        <v>#REF!</v>
      </c>
    </row>
    <row r="64" spans="1:14" ht="17.25" hidden="1" thickTop="1" thickBot="1">
      <c r="A64" s="183"/>
      <c r="B64" s="1131" t="s">
        <v>7</v>
      </c>
      <c r="C64" s="1132"/>
      <c r="D64" s="1136" t="e">
        <f>SUM(D63:E63)</f>
        <v>#REF!</v>
      </c>
      <c r="E64" s="1137"/>
      <c r="F64" s="1136" t="e">
        <f>SUM(F63:G63)</f>
        <v>#REF!</v>
      </c>
      <c r="G64" s="1137"/>
      <c r="H64" s="1136" t="e">
        <f>SUM(H63:I63)</f>
        <v>#REF!</v>
      </c>
      <c r="I64" s="1137"/>
      <c r="J64" s="1136" t="e">
        <f>SUM(J63:K63)</f>
        <v>#REF!</v>
      </c>
      <c r="K64" s="1137"/>
      <c r="L64" s="1136" t="e">
        <f>SUM(L63:M63)</f>
        <v>#REF!</v>
      </c>
      <c r="M64" s="1137"/>
    </row>
    <row r="65" spans="1:14" ht="12.75" hidden="1" customHeight="1" thickTop="1">
      <c r="A65" s="183"/>
      <c r="B65" s="183"/>
      <c r="C65" s="247"/>
      <c r="D65" s="246"/>
      <c r="E65" s="246"/>
      <c r="F65" s="246"/>
      <c r="G65" s="246"/>
      <c r="H65" s="246"/>
      <c r="I65" s="246"/>
      <c r="J65" s="246"/>
      <c r="K65" s="246"/>
      <c r="L65" s="246"/>
      <c r="M65" s="246"/>
    </row>
    <row r="66" spans="1:14" ht="15.75" hidden="1">
      <c r="A66" s="183"/>
      <c r="B66" s="77" t="s">
        <v>182</v>
      </c>
      <c r="C66" s="77"/>
      <c r="D66" s="246"/>
      <c r="E66" s="246"/>
      <c r="F66" s="246"/>
      <c r="G66" s="246"/>
      <c r="H66" s="246"/>
      <c r="I66" s="246"/>
      <c r="J66" s="246"/>
      <c r="K66" s="246"/>
      <c r="L66" s="246"/>
      <c r="M66" s="246"/>
    </row>
    <row r="67" spans="1:14" ht="11.25" hidden="1" customHeight="1" thickBot="1">
      <c r="A67" s="183"/>
      <c r="B67" s="183"/>
      <c r="C67" s="77"/>
      <c r="D67" s="246"/>
      <c r="E67" s="246"/>
      <c r="F67" s="246"/>
      <c r="G67" s="246"/>
      <c r="H67" s="246"/>
      <c r="I67" s="246"/>
      <c r="J67" s="246"/>
      <c r="K67" s="246"/>
      <c r="L67" s="246"/>
      <c r="M67" s="246"/>
    </row>
    <row r="68" spans="1:14" ht="17.25" hidden="1" customHeight="1" thickTop="1" thickBot="1">
      <c r="A68" s="183"/>
      <c r="B68" s="1129" t="s">
        <v>92</v>
      </c>
      <c r="C68" s="1130"/>
      <c r="D68" s="1135" t="e">
        <f>D$13</f>
        <v>#REF!</v>
      </c>
      <c r="E68" s="1134"/>
      <c r="F68" s="1133" t="e">
        <f>F$13</f>
        <v>#REF!</v>
      </c>
      <c r="G68" s="1134"/>
      <c r="H68" s="1133" t="e">
        <f>H$13</f>
        <v>#REF!</v>
      </c>
      <c r="I68" s="1134"/>
      <c r="J68" s="1133" t="e">
        <f>J$13</f>
        <v>#REF!</v>
      </c>
      <c r="K68" s="1134"/>
      <c r="L68" s="1133" t="e">
        <f>L$13</f>
        <v>#REF!</v>
      </c>
      <c r="M68" s="1140"/>
    </row>
    <row r="69" spans="1:14" ht="16.5" hidden="1" thickTop="1" thickBot="1">
      <c r="A69" s="183"/>
      <c r="B69" s="1131" t="s">
        <v>103</v>
      </c>
      <c r="C69" s="1132"/>
      <c r="D69" s="1138">
        <v>0</v>
      </c>
      <c r="E69" s="1139"/>
      <c r="F69" s="1138">
        <v>0</v>
      </c>
      <c r="G69" s="1139"/>
      <c r="H69" s="1138">
        <v>0</v>
      </c>
      <c r="I69" s="1139"/>
      <c r="J69" s="1138">
        <v>0</v>
      </c>
      <c r="K69" s="1139"/>
      <c r="L69" s="1138">
        <v>0</v>
      </c>
      <c r="M69" s="1139"/>
      <c r="N69" s="86"/>
    </row>
    <row r="70" spans="1:14" ht="16.5" hidden="1" thickTop="1" thickBot="1">
      <c r="A70" s="183"/>
      <c r="B70" s="1131" t="s">
        <v>3</v>
      </c>
      <c r="C70" s="1132"/>
      <c r="D70" s="232" t="s">
        <v>268</v>
      </c>
      <c r="E70" s="233" t="s">
        <v>269</v>
      </c>
      <c r="F70" s="232" t="s">
        <v>268</v>
      </c>
      <c r="G70" s="233" t="s">
        <v>269</v>
      </c>
      <c r="H70" s="232" t="s">
        <v>268</v>
      </c>
      <c r="I70" s="233" t="s">
        <v>269</v>
      </c>
      <c r="J70" s="232" t="s">
        <v>268</v>
      </c>
      <c r="K70" s="233" t="s">
        <v>269</v>
      </c>
      <c r="L70" s="232" t="s">
        <v>268</v>
      </c>
      <c r="M70" s="233" t="s">
        <v>269</v>
      </c>
    </row>
    <row r="71" spans="1:14" ht="16.5" hidden="1" thickTop="1" thickBot="1">
      <c r="A71" s="183"/>
      <c r="B71" s="1131" t="s">
        <v>104</v>
      </c>
      <c r="C71" s="1132"/>
      <c r="D71" s="248"/>
      <c r="E71" s="248"/>
      <c r="F71" s="248"/>
      <c r="G71" s="248"/>
      <c r="H71" s="248"/>
      <c r="I71" s="248"/>
      <c r="J71" s="248"/>
      <c r="K71" s="248"/>
      <c r="L71" s="248"/>
      <c r="M71" s="249"/>
    </row>
    <row r="72" spans="1:14" ht="16.5" hidden="1" thickTop="1" thickBot="1">
      <c r="A72" s="183"/>
      <c r="B72" s="1131" t="s">
        <v>6</v>
      </c>
      <c r="C72" s="1132"/>
      <c r="D72" s="250"/>
      <c r="E72" s="250"/>
      <c r="F72" s="250"/>
      <c r="G72" s="250"/>
      <c r="H72" s="250"/>
      <c r="I72" s="250"/>
      <c r="J72" s="250"/>
      <c r="K72" s="250"/>
      <c r="L72" s="250"/>
      <c r="M72" s="251"/>
    </row>
    <row r="73" spans="1:14" ht="17.25" hidden="1" thickTop="1" thickBot="1">
      <c r="A73" s="183"/>
      <c r="B73" s="1131" t="s">
        <v>7</v>
      </c>
      <c r="C73" s="1132"/>
      <c r="D73" s="1148">
        <f>SUM(D72:E72)</f>
        <v>0</v>
      </c>
      <c r="E73" s="1149"/>
      <c r="F73" s="1148">
        <f>SUM(F72:G72)</f>
        <v>0</v>
      </c>
      <c r="G73" s="1149"/>
      <c r="H73" s="1148">
        <f>SUM(H72:I72)</f>
        <v>0</v>
      </c>
      <c r="I73" s="1149"/>
      <c r="J73" s="1148">
        <f>SUM(J72:K72)</f>
        <v>0</v>
      </c>
      <c r="K73" s="1149"/>
      <c r="L73" s="1148">
        <f>SUM(L72:M72)</f>
        <v>0</v>
      </c>
      <c r="M73" s="1149"/>
    </row>
    <row r="74" spans="1:14" ht="15" hidden="1" customHeight="1" thickTop="1">
      <c r="A74" s="183"/>
      <c r="B74" s="183"/>
      <c r="C74" s="245"/>
      <c r="D74" s="252"/>
      <c r="E74" s="252"/>
      <c r="F74" s="252"/>
      <c r="G74" s="252"/>
      <c r="H74" s="252"/>
      <c r="I74" s="252"/>
      <c r="J74" s="252"/>
      <c r="K74" s="252"/>
      <c r="L74" s="252"/>
      <c r="M74" s="252"/>
    </row>
    <row r="75" spans="1:14" ht="15" hidden="1" customHeight="1">
      <c r="A75" s="183"/>
      <c r="B75" s="253" t="s">
        <v>93</v>
      </c>
      <c r="C75" s="245"/>
      <c r="D75" s="252"/>
      <c r="E75" s="252"/>
      <c r="F75" s="252"/>
      <c r="G75" s="252"/>
      <c r="H75" s="252"/>
      <c r="I75" s="252"/>
      <c r="J75" s="252"/>
      <c r="K75" s="252"/>
      <c r="L75" s="252"/>
      <c r="M75" s="252"/>
    </row>
    <row r="76" spans="1:14" ht="5.45" hidden="1" customHeight="1" thickBot="1">
      <c r="A76" s="183"/>
      <c r="B76" s="183"/>
      <c r="C76" s="245"/>
      <c r="D76" s="252"/>
      <c r="E76" s="252"/>
      <c r="F76" s="252"/>
      <c r="G76" s="252"/>
      <c r="H76" s="252"/>
      <c r="I76" s="252"/>
      <c r="J76" s="252"/>
      <c r="K76" s="252"/>
      <c r="L76" s="252"/>
      <c r="M76" s="252"/>
    </row>
    <row r="77" spans="1:14" ht="17.25" hidden="1" customHeight="1" thickTop="1" thickBot="1">
      <c r="A77" s="139"/>
      <c r="B77" s="1129" t="s">
        <v>92</v>
      </c>
      <c r="C77" s="1130"/>
      <c r="D77" s="1135" t="e">
        <f>D$13</f>
        <v>#REF!</v>
      </c>
      <c r="E77" s="1134"/>
      <c r="F77" s="1133" t="e">
        <f>F$13</f>
        <v>#REF!</v>
      </c>
      <c r="G77" s="1134"/>
      <c r="H77" s="1133" t="e">
        <f>H$13</f>
        <v>#REF!</v>
      </c>
      <c r="I77" s="1134"/>
      <c r="J77" s="1133" t="e">
        <f>J$13</f>
        <v>#REF!</v>
      </c>
      <c r="K77" s="1134"/>
      <c r="L77" s="1133" t="e">
        <f>L$13</f>
        <v>#REF!</v>
      </c>
      <c r="M77" s="1140"/>
    </row>
    <row r="78" spans="1:14" ht="16.5" hidden="1" thickTop="1" thickBot="1">
      <c r="A78" s="183"/>
      <c r="B78" s="1131" t="s">
        <v>103</v>
      </c>
      <c r="C78" s="1132"/>
      <c r="D78" s="1138">
        <v>0.15</v>
      </c>
      <c r="E78" s="1139"/>
      <c r="F78" s="1138">
        <v>0.15</v>
      </c>
      <c r="G78" s="1139"/>
      <c r="H78" s="1138">
        <v>0.15</v>
      </c>
      <c r="I78" s="1139"/>
      <c r="J78" s="1138">
        <v>0</v>
      </c>
      <c r="K78" s="1139"/>
      <c r="L78" s="1138">
        <v>0</v>
      </c>
      <c r="M78" s="1139"/>
      <c r="N78" s="86"/>
    </row>
    <row r="79" spans="1:14" ht="15" hidden="1" customHeight="1" thickTop="1" thickBot="1">
      <c r="A79" s="183"/>
      <c r="B79" s="1131" t="s">
        <v>3</v>
      </c>
      <c r="C79" s="1132"/>
      <c r="D79" s="232" t="s">
        <v>268</v>
      </c>
      <c r="E79" s="233" t="s">
        <v>269</v>
      </c>
      <c r="F79" s="232" t="s">
        <v>268</v>
      </c>
      <c r="G79" s="233" t="s">
        <v>269</v>
      </c>
      <c r="H79" s="232" t="s">
        <v>268</v>
      </c>
      <c r="I79" s="233" t="s">
        <v>269</v>
      </c>
      <c r="J79" s="232" t="s">
        <v>268</v>
      </c>
      <c r="K79" s="233" t="s">
        <v>269</v>
      </c>
      <c r="L79" s="232" t="s">
        <v>268</v>
      </c>
      <c r="M79" s="233" t="s">
        <v>269</v>
      </c>
    </row>
    <row r="80" spans="1:14" ht="16.5" hidden="1" thickTop="1" thickBot="1">
      <c r="A80" s="183"/>
      <c r="B80" s="1131" t="s">
        <v>4</v>
      </c>
      <c r="C80" s="1132"/>
      <c r="D80" s="185">
        <v>0</v>
      </c>
      <c r="E80" s="301">
        <v>0</v>
      </c>
      <c r="F80" s="185">
        <v>0</v>
      </c>
      <c r="G80" s="301">
        <v>0</v>
      </c>
      <c r="H80" s="185">
        <v>0</v>
      </c>
      <c r="I80" s="301">
        <v>0</v>
      </c>
      <c r="J80" s="185">
        <v>0</v>
      </c>
      <c r="K80" s="301">
        <v>0</v>
      </c>
      <c r="L80" s="185">
        <v>0</v>
      </c>
      <c r="M80" s="301">
        <v>0</v>
      </c>
    </row>
    <row r="81" spans="1:23" ht="16.5" hidden="1" thickTop="1" thickBot="1">
      <c r="A81" s="183"/>
      <c r="B81" s="1131" t="s">
        <v>5</v>
      </c>
      <c r="C81" s="1132"/>
      <c r="D81" s="1143">
        <f>D80+E80</f>
        <v>0</v>
      </c>
      <c r="E81" s="1144"/>
      <c r="F81" s="1143">
        <f>F80+G80</f>
        <v>0</v>
      </c>
      <c r="G81" s="1144"/>
      <c r="H81" s="1143">
        <f>H80+I80</f>
        <v>0</v>
      </c>
      <c r="I81" s="1144"/>
      <c r="J81" s="1143">
        <f>J80+K80</f>
        <v>0</v>
      </c>
      <c r="K81" s="1144"/>
      <c r="L81" s="1143">
        <f>L80+M80</f>
        <v>0</v>
      </c>
      <c r="M81" s="1144"/>
    </row>
    <row r="82" spans="1:23" ht="16.5" hidden="1" thickTop="1" thickBot="1">
      <c r="A82" s="183"/>
      <c r="B82" s="1131" t="s">
        <v>6</v>
      </c>
      <c r="C82" s="1132"/>
      <c r="D82" s="187">
        <f t="shared" ref="D82:M82" si="5">D80*$C$5</f>
        <v>0</v>
      </c>
      <c r="E82" s="187">
        <f t="shared" si="5"/>
        <v>0</v>
      </c>
      <c r="F82" s="187">
        <f t="shared" si="5"/>
        <v>0</v>
      </c>
      <c r="G82" s="187">
        <f t="shared" si="5"/>
        <v>0</v>
      </c>
      <c r="H82" s="187">
        <f t="shared" si="5"/>
        <v>0</v>
      </c>
      <c r="I82" s="187">
        <f t="shared" si="5"/>
        <v>0</v>
      </c>
      <c r="J82" s="187">
        <f t="shared" si="5"/>
        <v>0</v>
      </c>
      <c r="K82" s="187">
        <f t="shared" si="5"/>
        <v>0</v>
      </c>
      <c r="L82" s="187">
        <f t="shared" si="5"/>
        <v>0</v>
      </c>
      <c r="M82" s="188">
        <f t="shared" si="5"/>
        <v>0</v>
      </c>
    </row>
    <row r="83" spans="1:23" ht="17.25" hidden="1" thickTop="1" thickBot="1">
      <c r="A83" s="183"/>
      <c r="B83" s="1131" t="s">
        <v>7</v>
      </c>
      <c r="C83" s="1132"/>
      <c r="D83" s="1136">
        <f>SUM(D82:E82)</f>
        <v>0</v>
      </c>
      <c r="E83" s="1137"/>
      <c r="F83" s="1136">
        <f>SUM(F82:G82)</f>
        <v>0</v>
      </c>
      <c r="G83" s="1137"/>
      <c r="H83" s="1136">
        <f>SUM(H82:I82)</f>
        <v>0</v>
      </c>
      <c r="I83" s="1137"/>
      <c r="J83" s="1136">
        <f>SUM(J82:K82)</f>
        <v>0</v>
      </c>
      <c r="K83" s="1137"/>
      <c r="L83" s="1136">
        <f>SUM(L82:M82)</f>
        <v>0</v>
      </c>
      <c r="M83" s="1137"/>
    </row>
    <row r="84" spans="1:23" s="311" customFormat="1" ht="15" hidden="1" customHeight="1" thickTop="1">
      <c r="A84" s="305"/>
      <c r="B84" s="306"/>
      <c r="C84" s="307"/>
      <c r="D84" s="286"/>
      <c r="E84" s="286"/>
      <c r="F84" s="286"/>
      <c r="G84" s="308">
        <v>0.65</v>
      </c>
      <c r="H84" s="308">
        <v>0.35</v>
      </c>
      <c r="I84" s="286"/>
      <c r="J84" s="286"/>
      <c r="K84" s="308">
        <v>0.7</v>
      </c>
      <c r="L84" s="286"/>
      <c r="M84" s="308">
        <v>0.3</v>
      </c>
      <c r="N84" s="309"/>
      <c r="O84" s="310"/>
      <c r="P84" s="310"/>
      <c r="Q84" s="310"/>
      <c r="R84" s="310"/>
      <c r="S84" s="310"/>
      <c r="T84" s="310"/>
      <c r="U84" s="310"/>
      <c r="V84" s="309"/>
      <c r="W84" s="309"/>
    </row>
    <row r="85" spans="1:23" s="311" customFormat="1" ht="15" hidden="1" customHeight="1">
      <c r="A85" s="305"/>
      <c r="B85" s="307" t="s">
        <v>8</v>
      </c>
      <c r="C85" s="307"/>
      <c r="D85" s="286"/>
      <c r="E85" s="312"/>
      <c r="F85" s="286"/>
      <c r="G85" s="312">
        <v>0.33</v>
      </c>
      <c r="H85" s="312">
        <v>0.67</v>
      </c>
      <c r="I85" s="286"/>
      <c r="J85" s="286"/>
      <c r="K85" s="312">
        <v>0.6</v>
      </c>
      <c r="L85" s="286"/>
      <c r="M85" s="308">
        <v>0.4</v>
      </c>
      <c r="N85" s="309"/>
      <c r="O85" s="310"/>
      <c r="P85" s="310"/>
      <c r="Q85" s="310"/>
      <c r="R85" s="310"/>
      <c r="S85" s="310"/>
      <c r="T85" s="310"/>
      <c r="U85" s="310"/>
      <c r="V85" s="309"/>
      <c r="W85" s="309"/>
    </row>
    <row r="86" spans="1:23" ht="15" hidden="1" customHeight="1" thickBot="1">
      <c r="A86" s="183"/>
      <c r="B86" s="8"/>
      <c r="C86" s="278"/>
      <c r="D86" s="279" t="s">
        <v>14</v>
      </c>
      <c r="E86" s="279" t="s">
        <v>15</v>
      </c>
      <c r="F86" s="279" t="s">
        <v>16</v>
      </c>
      <c r="G86" s="279" t="s">
        <v>17</v>
      </c>
      <c r="H86" s="279" t="s">
        <v>20</v>
      </c>
      <c r="I86" s="279" t="s">
        <v>21</v>
      </c>
      <c r="J86" s="279" t="s">
        <v>22</v>
      </c>
      <c r="K86" s="279" t="s">
        <v>23</v>
      </c>
      <c r="L86" s="279" t="s">
        <v>24</v>
      </c>
      <c r="M86" s="279" t="s">
        <v>25</v>
      </c>
    </row>
    <row r="87" spans="1:23" ht="15" hidden="1" customHeight="1" thickTop="1" thickBot="1">
      <c r="A87" s="183"/>
      <c r="B87" s="1145" t="e">
        <f>D13</f>
        <v>#REF!</v>
      </c>
      <c r="C87" s="280" t="s">
        <v>9</v>
      </c>
      <c r="D87" s="281">
        <v>0</v>
      </c>
      <c r="E87" s="281">
        <v>0</v>
      </c>
      <c r="F87" s="281">
        <v>0</v>
      </c>
      <c r="G87" s="281" t="e">
        <f>#REF!*'Purchase old'!G85</f>
        <v>#REF!</v>
      </c>
      <c r="H87" s="281" t="e">
        <f>#REF!*'Purchase old'!H85</f>
        <v>#REF!</v>
      </c>
      <c r="I87" s="281">
        <v>0</v>
      </c>
      <c r="J87" s="281">
        <v>0</v>
      </c>
      <c r="K87" s="281" t="e">
        <f>#REF!*'Purchase old'!K85</f>
        <v>#REF!</v>
      </c>
      <c r="L87" s="281">
        <v>0</v>
      </c>
      <c r="M87" s="281" t="e">
        <f>#REF!*'Purchase old'!M85</f>
        <v>#REF!</v>
      </c>
      <c r="N87" s="303" t="e">
        <f>SUM(D87:M87)</f>
        <v>#REF!</v>
      </c>
    </row>
    <row r="88" spans="1:23" ht="15" hidden="1" customHeight="1" thickTop="1" thickBot="1">
      <c r="A88" s="183"/>
      <c r="B88" s="1146"/>
      <c r="C88" s="280" t="s">
        <v>12</v>
      </c>
      <c r="D88" s="281">
        <v>0</v>
      </c>
      <c r="E88" s="281">
        <v>0</v>
      </c>
      <c r="F88" s="281">
        <v>0</v>
      </c>
      <c r="G88" s="281">
        <v>0</v>
      </c>
      <c r="H88" s="281">
        <v>0</v>
      </c>
      <c r="I88" s="281">
        <v>0</v>
      </c>
      <c r="J88" s="281">
        <v>0</v>
      </c>
      <c r="K88" s="281">
        <v>0</v>
      </c>
      <c r="L88" s="281">
        <v>0</v>
      </c>
      <c r="M88" s="281">
        <v>0</v>
      </c>
    </row>
    <row r="89" spans="1:23" ht="15" hidden="1" customHeight="1" thickTop="1" thickBot="1">
      <c r="A89" s="183"/>
      <c r="B89" s="1146"/>
      <c r="C89" s="280" t="s">
        <v>10</v>
      </c>
      <c r="D89" s="282">
        <v>0</v>
      </c>
      <c r="E89" s="282">
        <v>0</v>
      </c>
      <c r="F89" s="282">
        <v>0</v>
      </c>
      <c r="G89" s="282">
        <v>0</v>
      </c>
      <c r="H89" s="282">
        <v>0</v>
      </c>
      <c r="I89" s="282">
        <v>0</v>
      </c>
      <c r="J89" s="282">
        <v>0</v>
      </c>
      <c r="K89" s="282">
        <v>0</v>
      </c>
      <c r="L89" s="282">
        <v>0</v>
      </c>
      <c r="M89" s="282">
        <v>0</v>
      </c>
    </row>
    <row r="90" spans="1:23" ht="15" hidden="1" customHeight="1" thickTop="1" thickBot="1">
      <c r="A90" s="183"/>
      <c r="B90" s="1146"/>
      <c r="C90" s="280" t="s">
        <v>11</v>
      </c>
      <c r="D90" s="282">
        <v>0</v>
      </c>
      <c r="E90" s="282">
        <v>0</v>
      </c>
      <c r="F90" s="282">
        <v>0</v>
      </c>
      <c r="G90" s="282" t="e">
        <f>D63*G84</f>
        <v>#REF!</v>
      </c>
      <c r="H90" s="282" t="e">
        <f>D63*H84</f>
        <v>#REF!</v>
      </c>
      <c r="I90" s="282">
        <v>0</v>
      </c>
      <c r="J90" s="282">
        <v>0</v>
      </c>
      <c r="K90" s="282" t="e">
        <f>E63*K84</f>
        <v>#REF!</v>
      </c>
      <c r="L90" s="282">
        <v>0</v>
      </c>
      <c r="M90" s="282" t="e">
        <f>E63*M84</f>
        <v>#REF!</v>
      </c>
    </row>
    <row r="91" spans="1:23" ht="15" hidden="1" customHeight="1" thickTop="1" thickBot="1">
      <c r="A91" s="183"/>
      <c r="B91" s="1146"/>
      <c r="C91" s="283" t="s">
        <v>13</v>
      </c>
      <c r="D91" s="282">
        <v>0</v>
      </c>
      <c r="E91" s="282">
        <v>0</v>
      </c>
      <c r="F91" s="282">
        <v>0</v>
      </c>
      <c r="G91" s="282">
        <v>0</v>
      </c>
      <c r="H91" s="282">
        <v>0</v>
      </c>
      <c r="I91" s="282">
        <v>0</v>
      </c>
      <c r="J91" s="282">
        <v>0</v>
      </c>
      <c r="K91" s="282">
        <v>0</v>
      </c>
      <c r="L91" s="282">
        <v>0</v>
      </c>
      <c r="M91" s="282">
        <v>0</v>
      </c>
    </row>
    <row r="92" spans="1:23" ht="15" hidden="1" customHeight="1" thickTop="1" thickBot="1">
      <c r="A92" s="183"/>
      <c r="B92" s="1154"/>
      <c r="C92" s="280" t="s">
        <v>94</v>
      </c>
      <c r="D92" s="282">
        <v>0</v>
      </c>
      <c r="E92" s="282">
        <v>0</v>
      </c>
      <c r="F92" s="282">
        <v>0</v>
      </c>
      <c r="G92" s="282">
        <f>D82*G84</f>
        <v>0</v>
      </c>
      <c r="H92" s="282">
        <f>D82*H84</f>
        <v>0</v>
      </c>
      <c r="I92" s="282">
        <v>0</v>
      </c>
      <c r="J92" s="282">
        <v>0</v>
      </c>
      <c r="K92" s="282">
        <f>E82*K84</f>
        <v>0</v>
      </c>
      <c r="L92" s="282">
        <v>0</v>
      </c>
      <c r="M92" s="282">
        <f>E82*M84</f>
        <v>0</v>
      </c>
    </row>
    <row r="93" spans="1:23" ht="15" hidden="1" customHeight="1" thickTop="1" thickBot="1">
      <c r="A93" s="183"/>
      <c r="B93" s="1155"/>
      <c r="C93" s="284" t="s">
        <v>26</v>
      </c>
      <c r="D93" s="285">
        <f>SUM(D87:D92)</f>
        <v>0</v>
      </c>
      <c r="E93" s="285">
        <f t="shared" ref="E93:M93" si="6">SUM(E87:E92)</f>
        <v>0</v>
      </c>
      <c r="F93" s="285">
        <f t="shared" si="6"/>
        <v>0</v>
      </c>
      <c r="G93" s="285" t="e">
        <f t="shared" si="6"/>
        <v>#REF!</v>
      </c>
      <c r="H93" s="285" t="e">
        <f t="shared" si="6"/>
        <v>#REF!</v>
      </c>
      <c r="I93" s="285">
        <f t="shared" si="6"/>
        <v>0</v>
      </c>
      <c r="J93" s="285">
        <f t="shared" si="6"/>
        <v>0</v>
      </c>
      <c r="K93" s="285" t="e">
        <f t="shared" si="6"/>
        <v>#REF!</v>
      </c>
      <c r="L93" s="285">
        <f t="shared" si="6"/>
        <v>0</v>
      </c>
      <c r="M93" s="285" t="e">
        <f t="shared" si="6"/>
        <v>#REF!</v>
      </c>
    </row>
    <row r="94" spans="1:23" ht="4.5" hidden="1" customHeight="1" thickTop="1" thickBot="1">
      <c r="A94" s="183"/>
      <c r="B94" s="8"/>
      <c r="C94" s="278"/>
      <c r="D94" s="286"/>
      <c r="E94" s="286"/>
      <c r="F94" s="286"/>
      <c r="G94" s="286"/>
      <c r="H94" s="286"/>
      <c r="I94" s="286"/>
      <c r="J94" s="286"/>
      <c r="K94" s="286"/>
      <c r="L94" s="286"/>
      <c r="M94" s="286"/>
    </row>
    <row r="95" spans="1:23" ht="15" hidden="1" customHeight="1" thickTop="1" thickBot="1">
      <c r="A95" s="183"/>
      <c r="B95" s="1145" t="e">
        <f>F13</f>
        <v>#REF!</v>
      </c>
      <c r="C95" s="280" t="s">
        <v>9</v>
      </c>
      <c r="D95" s="281">
        <v>0</v>
      </c>
      <c r="E95" s="281">
        <v>0</v>
      </c>
      <c r="F95" s="281">
        <v>0</v>
      </c>
      <c r="G95" s="281" t="e">
        <f>#REF!*'Purchase old'!G85</f>
        <v>#REF!</v>
      </c>
      <c r="H95" s="281" t="e">
        <f>#REF!*'Purchase old'!H85</f>
        <v>#REF!</v>
      </c>
      <c r="I95" s="281">
        <v>0</v>
      </c>
      <c r="J95" s="281">
        <v>0</v>
      </c>
      <c r="K95" s="281" t="e">
        <f>#REF!*'Purchase old'!K85</f>
        <v>#REF!</v>
      </c>
      <c r="L95" s="281">
        <v>0</v>
      </c>
      <c r="M95" s="281" t="e">
        <f>#REF!*'Purchase old'!M85</f>
        <v>#REF!</v>
      </c>
      <c r="N95" s="303" t="e">
        <f>SUM(D95:M95)</f>
        <v>#REF!</v>
      </c>
    </row>
    <row r="96" spans="1:23" ht="15" hidden="1" customHeight="1" thickTop="1" thickBot="1">
      <c r="A96" s="183"/>
      <c r="B96" s="1146"/>
      <c r="C96" s="280" t="s">
        <v>12</v>
      </c>
      <c r="D96" s="281">
        <v>0</v>
      </c>
      <c r="E96" s="281">
        <v>0</v>
      </c>
      <c r="F96" s="281">
        <v>0</v>
      </c>
      <c r="G96" s="281">
        <v>0</v>
      </c>
      <c r="H96" s="281">
        <v>0</v>
      </c>
      <c r="I96" s="281">
        <v>0</v>
      </c>
      <c r="J96" s="281">
        <v>0</v>
      </c>
      <c r="K96" s="281">
        <v>0</v>
      </c>
      <c r="L96" s="281">
        <v>0</v>
      </c>
      <c r="M96" s="281">
        <v>0</v>
      </c>
    </row>
    <row r="97" spans="1:21" ht="15" hidden="1" customHeight="1" thickTop="1" thickBot="1">
      <c r="A97" s="183"/>
      <c r="B97" s="1146"/>
      <c r="C97" s="280" t="s">
        <v>10</v>
      </c>
      <c r="D97" s="282">
        <v>0</v>
      </c>
      <c r="E97" s="282">
        <v>0</v>
      </c>
      <c r="F97" s="282">
        <v>0</v>
      </c>
      <c r="G97" s="282">
        <v>0</v>
      </c>
      <c r="H97" s="282">
        <v>0</v>
      </c>
      <c r="I97" s="282">
        <v>0</v>
      </c>
      <c r="J97" s="282">
        <v>0</v>
      </c>
      <c r="K97" s="282">
        <v>0</v>
      </c>
      <c r="L97" s="282">
        <v>0</v>
      </c>
      <c r="M97" s="282">
        <v>0</v>
      </c>
    </row>
    <row r="98" spans="1:21" ht="15" hidden="1" customHeight="1" thickTop="1" thickBot="1">
      <c r="A98" s="183"/>
      <c r="B98" s="1146"/>
      <c r="C98" s="280" t="s">
        <v>11</v>
      </c>
      <c r="D98" s="282">
        <v>0</v>
      </c>
      <c r="E98" s="282">
        <v>0</v>
      </c>
      <c r="F98" s="282">
        <v>0</v>
      </c>
      <c r="G98" s="282" t="e">
        <f>F63*G84</f>
        <v>#REF!</v>
      </c>
      <c r="H98" s="282" t="e">
        <f>F63*H84</f>
        <v>#REF!</v>
      </c>
      <c r="I98" s="282">
        <v>0</v>
      </c>
      <c r="J98" s="282">
        <v>0</v>
      </c>
      <c r="K98" s="282" t="e">
        <f>G63*K84</f>
        <v>#REF!</v>
      </c>
      <c r="L98" s="282">
        <v>0</v>
      </c>
      <c r="M98" s="282" t="e">
        <f>G63*M84</f>
        <v>#REF!</v>
      </c>
    </row>
    <row r="99" spans="1:21" ht="15" hidden="1" customHeight="1" thickTop="1" thickBot="1">
      <c r="A99" s="183"/>
      <c r="B99" s="1146"/>
      <c r="C99" s="283" t="s">
        <v>13</v>
      </c>
      <c r="D99" s="282">
        <v>0</v>
      </c>
      <c r="E99" s="282">
        <v>0</v>
      </c>
      <c r="F99" s="282">
        <v>0</v>
      </c>
      <c r="G99" s="282">
        <v>0</v>
      </c>
      <c r="H99" s="282">
        <v>0</v>
      </c>
      <c r="I99" s="282">
        <v>0</v>
      </c>
      <c r="J99" s="282">
        <v>0</v>
      </c>
      <c r="K99" s="282">
        <v>0</v>
      </c>
      <c r="L99" s="282">
        <v>0</v>
      </c>
      <c r="M99" s="282">
        <v>0</v>
      </c>
    </row>
    <row r="100" spans="1:21" ht="15" hidden="1" customHeight="1" thickTop="1" thickBot="1">
      <c r="A100" s="183"/>
      <c r="B100" s="1146"/>
      <c r="C100" s="280" t="s">
        <v>94</v>
      </c>
      <c r="D100" s="282">
        <v>0</v>
      </c>
      <c r="E100" s="282">
        <v>0</v>
      </c>
      <c r="F100" s="282">
        <v>0</v>
      </c>
      <c r="G100" s="282">
        <f>F82*G84</f>
        <v>0</v>
      </c>
      <c r="H100" s="282">
        <f>F82*H84</f>
        <v>0</v>
      </c>
      <c r="I100" s="282">
        <v>0</v>
      </c>
      <c r="J100" s="282">
        <v>0</v>
      </c>
      <c r="K100" s="282">
        <f>G82*K84</f>
        <v>0</v>
      </c>
      <c r="L100" s="282">
        <v>0</v>
      </c>
      <c r="M100" s="282">
        <f>G82*M84</f>
        <v>0</v>
      </c>
    </row>
    <row r="101" spans="1:21" ht="15" hidden="1" customHeight="1" thickTop="1" thickBot="1">
      <c r="A101" s="183"/>
      <c r="B101" s="1147"/>
      <c r="C101" s="284" t="s">
        <v>26</v>
      </c>
      <c r="D101" s="285">
        <f t="shared" ref="D101:M101" si="7">SUM(D95:D100)</f>
        <v>0</v>
      </c>
      <c r="E101" s="285">
        <f t="shared" si="7"/>
        <v>0</v>
      </c>
      <c r="F101" s="285">
        <f t="shared" si="7"/>
        <v>0</v>
      </c>
      <c r="G101" s="285" t="e">
        <f t="shared" si="7"/>
        <v>#REF!</v>
      </c>
      <c r="H101" s="285" t="e">
        <f t="shared" si="7"/>
        <v>#REF!</v>
      </c>
      <c r="I101" s="285">
        <f t="shared" si="7"/>
        <v>0</v>
      </c>
      <c r="J101" s="285">
        <f t="shared" si="7"/>
        <v>0</v>
      </c>
      <c r="K101" s="285" t="e">
        <f t="shared" si="7"/>
        <v>#REF!</v>
      </c>
      <c r="L101" s="285">
        <f t="shared" si="7"/>
        <v>0</v>
      </c>
      <c r="M101" s="285" t="e">
        <f t="shared" si="7"/>
        <v>#REF!</v>
      </c>
    </row>
    <row r="102" spans="1:21" ht="3" hidden="1" customHeight="1" thickTop="1">
      <c r="A102" s="254"/>
      <c r="B102" s="287"/>
      <c r="C102" s="288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</row>
    <row r="103" spans="1:21" ht="3" hidden="1" customHeight="1" thickBot="1">
      <c r="A103" s="254"/>
      <c r="B103" s="287"/>
      <c r="C103" s="288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</row>
    <row r="104" spans="1:21" ht="16.5" hidden="1" customHeight="1" thickTop="1" thickBot="1">
      <c r="A104" s="139"/>
      <c r="B104" s="1145" t="s">
        <v>177</v>
      </c>
      <c r="C104" s="280" t="s">
        <v>9</v>
      </c>
      <c r="D104" s="281">
        <v>0</v>
      </c>
      <c r="E104" s="281">
        <v>0</v>
      </c>
      <c r="F104" s="281">
        <v>0</v>
      </c>
      <c r="G104" s="281" t="e">
        <f>#REF!*'Purchase old'!G85</f>
        <v>#REF!</v>
      </c>
      <c r="H104" s="281" t="e">
        <f>#REF!*'Purchase old'!H85</f>
        <v>#REF!</v>
      </c>
      <c r="I104" s="281">
        <v>0</v>
      </c>
      <c r="J104" s="281">
        <v>0</v>
      </c>
      <c r="K104" s="281" t="e">
        <f>#REF!*'Purchase old'!K85</f>
        <v>#REF!</v>
      </c>
      <c r="L104" s="281">
        <v>0</v>
      </c>
      <c r="M104" s="281" t="e">
        <f>#REF!*'Purchase old'!M85</f>
        <v>#REF!</v>
      </c>
      <c r="N104" s="303" t="e">
        <f>SUM(D104:M104)</f>
        <v>#REF!</v>
      </c>
      <c r="O104" s="181"/>
      <c r="P104" s="181"/>
      <c r="Q104" s="181"/>
      <c r="R104" s="181"/>
      <c r="S104" s="181"/>
      <c r="T104" s="181"/>
      <c r="U104" s="181"/>
    </row>
    <row r="105" spans="1:21" ht="16.5" hidden="1" customHeight="1" thickTop="1" thickBot="1">
      <c r="A105" s="139"/>
      <c r="B105" s="1146"/>
      <c r="C105" s="280" t="s">
        <v>12</v>
      </c>
      <c r="D105" s="281">
        <v>0</v>
      </c>
      <c r="E105" s="281">
        <v>0</v>
      </c>
      <c r="F105" s="281">
        <v>0</v>
      </c>
      <c r="G105" s="281">
        <v>0</v>
      </c>
      <c r="H105" s="281">
        <v>0</v>
      </c>
      <c r="I105" s="281">
        <v>0</v>
      </c>
      <c r="J105" s="281">
        <v>0</v>
      </c>
      <c r="K105" s="281">
        <v>0</v>
      </c>
      <c r="L105" s="281">
        <v>0</v>
      </c>
      <c r="M105" s="281">
        <v>0</v>
      </c>
      <c r="O105" s="181"/>
      <c r="P105" s="181"/>
      <c r="Q105" s="181"/>
      <c r="R105" s="181"/>
      <c r="S105" s="181"/>
      <c r="T105" s="181"/>
      <c r="U105" s="181"/>
    </row>
    <row r="106" spans="1:21" ht="16.5" hidden="1" customHeight="1" thickTop="1" thickBot="1">
      <c r="A106" s="139"/>
      <c r="B106" s="1146"/>
      <c r="C106" s="280" t="s">
        <v>10</v>
      </c>
      <c r="D106" s="281">
        <v>0</v>
      </c>
      <c r="E106" s="281">
        <v>0</v>
      </c>
      <c r="F106" s="281">
        <v>0</v>
      </c>
      <c r="G106" s="281">
        <v>0</v>
      </c>
      <c r="H106" s="281">
        <v>0</v>
      </c>
      <c r="I106" s="281">
        <v>0</v>
      </c>
      <c r="J106" s="281">
        <v>0</v>
      </c>
      <c r="K106" s="281">
        <v>0</v>
      </c>
      <c r="L106" s="281">
        <v>0</v>
      </c>
      <c r="M106" s="281">
        <v>0</v>
      </c>
      <c r="O106" s="181"/>
      <c r="P106" s="181"/>
      <c r="Q106" s="181"/>
      <c r="R106" s="181"/>
      <c r="S106" s="181"/>
      <c r="T106" s="181"/>
      <c r="U106" s="181"/>
    </row>
    <row r="107" spans="1:21" ht="16.5" hidden="1" customHeight="1" thickTop="1" thickBot="1">
      <c r="A107" s="139"/>
      <c r="B107" s="1146"/>
      <c r="C107" s="280" t="s">
        <v>11</v>
      </c>
      <c r="D107" s="281">
        <v>0</v>
      </c>
      <c r="E107" s="281">
        <v>0</v>
      </c>
      <c r="F107" s="281">
        <v>0</v>
      </c>
      <c r="G107" s="281" t="e">
        <f>H63*G84</f>
        <v>#REF!</v>
      </c>
      <c r="H107" s="281" t="e">
        <f>H63*H84</f>
        <v>#REF!</v>
      </c>
      <c r="I107" s="281">
        <v>0</v>
      </c>
      <c r="J107" s="281">
        <v>0</v>
      </c>
      <c r="K107" s="281" t="e">
        <f>I63*K84</f>
        <v>#REF!</v>
      </c>
      <c r="L107" s="281">
        <v>0</v>
      </c>
      <c r="M107" s="281" t="e">
        <f>I63*M84</f>
        <v>#REF!</v>
      </c>
      <c r="O107" s="181"/>
      <c r="P107" s="181"/>
      <c r="Q107" s="181"/>
      <c r="R107" s="181"/>
      <c r="S107" s="181"/>
      <c r="T107" s="181"/>
      <c r="U107" s="181"/>
    </row>
    <row r="108" spans="1:21" ht="16.5" hidden="1" customHeight="1" thickTop="1" thickBot="1">
      <c r="A108" s="139"/>
      <c r="B108" s="1146"/>
      <c r="C108" s="283" t="s">
        <v>13</v>
      </c>
      <c r="D108" s="282">
        <v>0</v>
      </c>
      <c r="E108" s="282">
        <v>0</v>
      </c>
      <c r="F108" s="282">
        <v>0</v>
      </c>
      <c r="G108" s="282">
        <v>0</v>
      </c>
      <c r="H108" s="282">
        <v>0</v>
      </c>
      <c r="I108" s="282">
        <v>0</v>
      </c>
      <c r="J108" s="282">
        <v>0</v>
      </c>
      <c r="K108" s="282">
        <v>0</v>
      </c>
      <c r="L108" s="282">
        <v>0</v>
      </c>
      <c r="M108" s="282">
        <v>0</v>
      </c>
      <c r="O108" s="181"/>
      <c r="P108" s="181"/>
      <c r="Q108" s="181"/>
      <c r="R108" s="181"/>
      <c r="S108" s="181"/>
      <c r="T108" s="181"/>
      <c r="U108" s="181"/>
    </row>
    <row r="109" spans="1:21" ht="16.5" hidden="1" customHeight="1" thickTop="1" thickBot="1">
      <c r="A109" s="139"/>
      <c r="B109" s="1146"/>
      <c r="C109" s="280" t="s">
        <v>94</v>
      </c>
      <c r="D109" s="282">
        <v>0</v>
      </c>
      <c r="E109" s="282">
        <v>0</v>
      </c>
      <c r="F109" s="282">
        <v>0</v>
      </c>
      <c r="G109" s="282">
        <f>H82*G84</f>
        <v>0</v>
      </c>
      <c r="H109" s="282">
        <f>H82*H84</f>
        <v>0</v>
      </c>
      <c r="I109" s="282">
        <v>0</v>
      </c>
      <c r="J109" s="282">
        <v>0</v>
      </c>
      <c r="K109" s="282">
        <f>I82*K84</f>
        <v>0</v>
      </c>
      <c r="L109" s="282">
        <v>0</v>
      </c>
      <c r="M109" s="282">
        <f>I82*M84</f>
        <v>0</v>
      </c>
      <c r="O109" s="181"/>
      <c r="P109" s="181"/>
      <c r="Q109" s="181"/>
      <c r="R109" s="181"/>
      <c r="S109" s="181"/>
      <c r="T109" s="181"/>
      <c r="U109" s="181"/>
    </row>
    <row r="110" spans="1:21" ht="16.5" hidden="1" customHeight="1" thickTop="1" thickBot="1">
      <c r="A110" s="139"/>
      <c r="B110" s="1147"/>
      <c r="C110" s="284" t="s">
        <v>26</v>
      </c>
      <c r="D110" s="285">
        <f t="shared" ref="D110:M110" si="8">SUM(D104:D109)</f>
        <v>0</v>
      </c>
      <c r="E110" s="285">
        <f t="shared" si="8"/>
        <v>0</v>
      </c>
      <c r="F110" s="285">
        <f t="shared" si="8"/>
        <v>0</v>
      </c>
      <c r="G110" s="285" t="e">
        <f t="shared" si="8"/>
        <v>#REF!</v>
      </c>
      <c r="H110" s="285" t="e">
        <f t="shared" si="8"/>
        <v>#REF!</v>
      </c>
      <c r="I110" s="285">
        <f t="shared" si="8"/>
        <v>0</v>
      </c>
      <c r="J110" s="285">
        <f t="shared" si="8"/>
        <v>0</v>
      </c>
      <c r="K110" s="285" t="e">
        <f t="shared" si="8"/>
        <v>#REF!</v>
      </c>
      <c r="L110" s="285">
        <f t="shared" si="8"/>
        <v>0</v>
      </c>
      <c r="M110" s="285" t="e">
        <f t="shared" si="8"/>
        <v>#REF!</v>
      </c>
      <c r="O110" s="181"/>
      <c r="P110" s="181"/>
      <c r="Q110" s="181"/>
      <c r="R110" s="181"/>
      <c r="S110" s="181"/>
      <c r="T110" s="181"/>
      <c r="U110" s="181"/>
    </row>
    <row r="111" spans="1:21" ht="3" hidden="1" customHeight="1" thickTop="1" thickBot="1">
      <c r="A111" s="254"/>
      <c r="B111" s="287"/>
      <c r="C111" s="288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</row>
    <row r="112" spans="1:21" ht="16.5" hidden="1" customHeight="1" thickTop="1" thickBot="1">
      <c r="A112" s="139"/>
      <c r="B112" s="1145" t="e">
        <f>J13</f>
        <v>#REF!</v>
      </c>
      <c r="C112" s="280" t="s">
        <v>9</v>
      </c>
      <c r="D112" s="281">
        <v>0</v>
      </c>
      <c r="E112" s="281">
        <v>0</v>
      </c>
      <c r="F112" s="281">
        <v>0</v>
      </c>
      <c r="G112" s="281">
        <v>0</v>
      </c>
      <c r="H112" s="281">
        <v>0</v>
      </c>
      <c r="I112" s="281">
        <v>0</v>
      </c>
      <c r="J112" s="281">
        <v>0</v>
      </c>
      <c r="K112" s="281">
        <v>0</v>
      </c>
      <c r="L112" s="281">
        <v>0</v>
      </c>
      <c r="M112" s="281">
        <v>0</v>
      </c>
      <c r="O112" s="181"/>
      <c r="P112" s="181"/>
      <c r="Q112" s="181"/>
      <c r="R112" s="181"/>
      <c r="S112" s="181"/>
      <c r="T112" s="181"/>
      <c r="U112" s="181"/>
    </row>
    <row r="113" spans="1:21" ht="16.5" hidden="1" customHeight="1" thickTop="1" thickBot="1">
      <c r="A113" s="139"/>
      <c r="B113" s="1146"/>
      <c r="C113" s="280" t="s">
        <v>12</v>
      </c>
      <c r="D113" s="281">
        <v>0</v>
      </c>
      <c r="E113" s="281">
        <v>0</v>
      </c>
      <c r="F113" s="281">
        <v>0</v>
      </c>
      <c r="G113" s="281">
        <v>0</v>
      </c>
      <c r="H113" s="281">
        <v>0</v>
      </c>
      <c r="I113" s="281">
        <v>0</v>
      </c>
      <c r="J113" s="281">
        <v>0</v>
      </c>
      <c r="K113" s="281">
        <v>0</v>
      </c>
      <c r="L113" s="281">
        <v>0</v>
      </c>
      <c r="M113" s="281">
        <v>0</v>
      </c>
      <c r="O113" s="181"/>
      <c r="P113" s="181"/>
      <c r="Q113" s="181"/>
      <c r="R113" s="181"/>
      <c r="S113" s="181"/>
      <c r="T113" s="181"/>
      <c r="U113" s="181"/>
    </row>
    <row r="114" spans="1:21" ht="16.5" hidden="1" customHeight="1" thickTop="1" thickBot="1">
      <c r="A114" s="139"/>
      <c r="B114" s="1146"/>
      <c r="C114" s="280" t="s">
        <v>10</v>
      </c>
      <c r="D114" s="282">
        <v>0</v>
      </c>
      <c r="E114" s="282">
        <v>0</v>
      </c>
      <c r="F114" s="282">
        <v>0</v>
      </c>
      <c r="G114" s="282">
        <v>0</v>
      </c>
      <c r="H114" s="282">
        <v>0</v>
      </c>
      <c r="I114" s="282">
        <v>0</v>
      </c>
      <c r="J114" s="282">
        <v>0</v>
      </c>
      <c r="K114" s="282">
        <v>0</v>
      </c>
      <c r="L114" s="282">
        <v>0</v>
      </c>
      <c r="M114" s="282">
        <v>0</v>
      </c>
      <c r="O114" s="181"/>
      <c r="P114" s="181"/>
      <c r="Q114" s="181"/>
      <c r="R114" s="181"/>
      <c r="S114" s="181"/>
      <c r="T114" s="181"/>
      <c r="U114" s="181"/>
    </row>
    <row r="115" spans="1:21" ht="16.5" hidden="1" customHeight="1" thickTop="1" thickBot="1">
      <c r="A115" s="139"/>
      <c r="B115" s="1146"/>
      <c r="C115" s="280" t="s">
        <v>11</v>
      </c>
      <c r="D115" s="282">
        <v>0</v>
      </c>
      <c r="E115" s="282">
        <v>0</v>
      </c>
      <c r="F115" s="282">
        <v>0</v>
      </c>
      <c r="G115" s="282">
        <v>0</v>
      </c>
      <c r="H115" s="282">
        <v>0</v>
      </c>
      <c r="I115" s="282">
        <v>0</v>
      </c>
      <c r="J115" s="282">
        <v>0</v>
      </c>
      <c r="K115" s="282">
        <v>0</v>
      </c>
      <c r="L115" s="282">
        <v>0</v>
      </c>
      <c r="M115" s="282">
        <v>0</v>
      </c>
      <c r="O115" s="181"/>
      <c r="P115" s="181"/>
      <c r="Q115" s="181"/>
      <c r="R115" s="181"/>
      <c r="S115" s="181"/>
      <c r="T115" s="181"/>
      <c r="U115" s="181"/>
    </row>
    <row r="116" spans="1:21" ht="16.5" hidden="1" customHeight="1" thickTop="1" thickBot="1">
      <c r="A116" s="139"/>
      <c r="B116" s="1146"/>
      <c r="C116" s="283" t="s">
        <v>13</v>
      </c>
      <c r="D116" s="282">
        <v>0</v>
      </c>
      <c r="E116" s="282">
        <v>0</v>
      </c>
      <c r="F116" s="282">
        <v>0</v>
      </c>
      <c r="G116" s="282">
        <v>0</v>
      </c>
      <c r="H116" s="282">
        <v>0</v>
      </c>
      <c r="I116" s="282">
        <v>0</v>
      </c>
      <c r="J116" s="282">
        <v>0</v>
      </c>
      <c r="K116" s="282">
        <v>0</v>
      </c>
      <c r="L116" s="282">
        <v>0</v>
      </c>
      <c r="M116" s="282">
        <v>0</v>
      </c>
      <c r="O116" s="181"/>
      <c r="P116" s="181"/>
      <c r="Q116" s="181"/>
      <c r="R116" s="181"/>
      <c r="S116" s="181"/>
      <c r="T116" s="181"/>
      <c r="U116" s="181"/>
    </row>
    <row r="117" spans="1:21" ht="16.5" hidden="1" customHeight="1" thickTop="1" thickBot="1">
      <c r="A117" s="139"/>
      <c r="B117" s="1146"/>
      <c r="C117" s="280" t="s">
        <v>94</v>
      </c>
      <c r="D117" s="282">
        <v>0</v>
      </c>
      <c r="E117" s="282">
        <v>0</v>
      </c>
      <c r="F117" s="282">
        <v>0</v>
      </c>
      <c r="G117" s="282">
        <v>0</v>
      </c>
      <c r="H117" s="282">
        <v>0</v>
      </c>
      <c r="I117" s="282">
        <v>0</v>
      </c>
      <c r="J117" s="282">
        <v>0</v>
      </c>
      <c r="K117" s="282">
        <v>0</v>
      </c>
      <c r="L117" s="282">
        <v>0</v>
      </c>
      <c r="M117" s="282">
        <v>0</v>
      </c>
      <c r="O117" s="181"/>
      <c r="P117" s="181"/>
      <c r="Q117" s="181"/>
      <c r="R117" s="181"/>
      <c r="S117" s="181"/>
      <c r="T117" s="181"/>
      <c r="U117" s="181"/>
    </row>
    <row r="118" spans="1:21" ht="16.5" hidden="1" customHeight="1" thickTop="1" thickBot="1">
      <c r="A118" s="139"/>
      <c r="B118" s="1147"/>
      <c r="C118" s="284" t="s">
        <v>26</v>
      </c>
      <c r="D118" s="285">
        <f t="shared" ref="D118:M118" si="9">SUM(D112:D117)</f>
        <v>0</v>
      </c>
      <c r="E118" s="285">
        <f t="shared" si="9"/>
        <v>0</v>
      </c>
      <c r="F118" s="285">
        <f t="shared" si="9"/>
        <v>0</v>
      </c>
      <c r="G118" s="285">
        <f t="shared" si="9"/>
        <v>0</v>
      </c>
      <c r="H118" s="285">
        <f t="shared" si="9"/>
        <v>0</v>
      </c>
      <c r="I118" s="285">
        <f t="shared" si="9"/>
        <v>0</v>
      </c>
      <c r="J118" s="285">
        <f t="shared" si="9"/>
        <v>0</v>
      </c>
      <c r="K118" s="285">
        <f t="shared" si="9"/>
        <v>0</v>
      </c>
      <c r="L118" s="285">
        <f t="shared" si="9"/>
        <v>0</v>
      </c>
      <c r="M118" s="285">
        <f t="shared" si="9"/>
        <v>0</v>
      </c>
      <c r="O118" s="181"/>
      <c r="P118" s="181"/>
      <c r="Q118" s="181"/>
      <c r="R118" s="181"/>
      <c r="S118" s="181"/>
      <c r="T118" s="181"/>
      <c r="U118" s="181"/>
    </row>
    <row r="119" spans="1:21" ht="3" hidden="1" customHeight="1" thickTop="1" thickBot="1">
      <c r="A119" s="254"/>
      <c r="B119" s="287"/>
      <c r="C119" s="288"/>
      <c r="D119" s="277"/>
      <c r="E119" s="277"/>
      <c r="F119" s="277"/>
      <c r="G119" s="277"/>
      <c r="H119" s="277"/>
      <c r="I119" s="277"/>
      <c r="J119" s="277"/>
      <c r="K119" s="277"/>
      <c r="L119" s="277"/>
      <c r="M119" s="277"/>
    </row>
    <row r="120" spans="1:21" ht="16.5" hidden="1" customHeight="1" thickTop="1" thickBot="1">
      <c r="A120" s="139"/>
      <c r="B120" s="1145" t="e">
        <f>L13</f>
        <v>#REF!</v>
      </c>
      <c r="C120" s="280" t="s">
        <v>9</v>
      </c>
      <c r="D120" s="281">
        <f>D87+D95+D104+D112</f>
        <v>0</v>
      </c>
      <c r="E120" s="281">
        <f t="shared" ref="E120:M120" si="10">E87+E95+E104+E112</f>
        <v>0</v>
      </c>
      <c r="F120" s="281">
        <f t="shared" si="10"/>
        <v>0</v>
      </c>
      <c r="G120" s="281" t="e">
        <f t="shared" si="10"/>
        <v>#REF!</v>
      </c>
      <c r="H120" s="281" t="e">
        <f t="shared" si="10"/>
        <v>#REF!</v>
      </c>
      <c r="I120" s="281">
        <f t="shared" si="10"/>
        <v>0</v>
      </c>
      <c r="J120" s="281">
        <f t="shared" si="10"/>
        <v>0</v>
      </c>
      <c r="K120" s="281" t="e">
        <f t="shared" si="10"/>
        <v>#REF!</v>
      </c>
      <c r="L120" s="281">
        <f t="shared" si="10"/>
        <v>0</v>
      </c>
      <c r="M120" s="281" t="e">
        <f t="shared" si="10"/>
        <v>#REF!</v>
      </c>
      <c r="N120" s="303" t="e">
        <f t="shared" ref="N120:N125" si="11">SUM(D120:M120)</f>
        <v>#REF!</v>
      </c>
      <c r="O120" s="304" t="e">
        <f>N120/1.18</f>
        <v>#REF!</v>
      </c>
      <c r="P120" s="181"/>
      <c r="Q120" s="181"/>
      <c r="R120" s="181"/>
      <c r="S120" s="181"/>
      <c r="T120" s="181"/>
      <c r="U120" s="181"/>
    </row>
    <row r="121" spans="1:21" ht="16.5" hidden="1" customHeight="1" thickTop="1" thickBot="1">
      <c r="A121" s="139"/>
      <c r="B121" s="1146"/>
      <c r="C121" s="280" t="s">
        <v>12</v>
      </c>
      <c r="D121" s="281">
        <f t="shared" ref="D121:M125" si="12">D88+D96+D105+D113</f>
        <v>0</v>
      </c>
      <c r="E121" s="281">
        <f t="shared" si="12"/>
        <v>0</v>
      </c>
      <c r="F121" s="281">
        <f t="shared" si="12"/>
        <v>0</v>
      </c>
      <c r="G121" s="281">
        <f t="shared" si="12"/>
        <v>0</v>
      </c>
      <c r="H121" s="281">
        <f t="shared" si="12"/>
        <v>0</v>
      </c>
      <c r="I121" s="281">
        <f t="shared" si="12"/>
        <v>0</v>
      </c>
      <c r="J121" s="281">
        <f t="shared" si="12"/>
        <v>0</v>
      </c>
      <c r="K121" s="281">
        <f t="shared" si="12"/>
        <v>0</v>
      </c>
      <c r="L121" s="281">
        <f t="shared" si="12"/>
        <v>0</v>
      </c>
      <c r="M121" s="281">
        <f t="shared" si="12"/>
        <v>0</v>
      </c>
      <c r="N121" s="303">
        <f t="shared" si="11"/>
        <v>0</v>
      </c>
      <c r="O121" s="181"/>
      <c r="P121" s="181"/>
      <c r="Q121" s="181"/>
      <c r="R121" s="181"/>
      <c r="S121" s="181"/>
      <c r="T121" s="181"/>
      <c r="U121" s="181"/>
    </row>
    <row r="122" spans="1:21" ht="16.5" hidden="1" customHeight="1" thickTop="1" thickBot="1">
      <c r="A122" s="139"/>
      <c r="B122" s="1146"/>
      <c r="C122" s="280" t="s">
        <v>10</v>
      </c>
      <c r="D122" s="281">
        <f t="shared" si="12"/>
        <v>0</v>
      </c>
      <c r="E122" s="281">
        <f t="shared" si="12"/>
        <v>0</v>
      </c>
      <c r="F122" s="281">
        <f t="shared" si="12"/>
        <v>0</v>
      </c>
      <c r="G122" s="281">
        <f t="shared" si="12"/>
        <v>0</v>
      </c>
      <c r="H122" s="281">
        <f t="shared" si="12"/>
        <v>0</v>
      </c>
      <c r="I122" s="281">
        <f t="shared" si="12"/>
        <v>0</v>
      </c>
      <c r="J122" s="281">
        <f t="shared" si="12"/>
        <v>0</v>
      </c>
      <c r="K122" s="281">
        <f t="shared" si="12"/>
        <v>0</v>
      </c>
      <c r="L122" s="281">
        <f t="shared" si="12"/>
        <v>0</v>
      </c>
      <c r="M122" s="281">
        <f t="shared" si="12"/>
        <v>0</v>
      </c>
      <c r="N122" s="303">
        <f t="shared" si="11"/>
        <v>0</v>
      </c>
      <c r="O122" s="181"/>
      <c r="P122" s="181"/>
      <c r="Q122" s="181"/>
      <c r="R122" s="181"/>
      <c r="S122" s="181"/>
      <c r="T122" s="181"/>
      <c r="U122" s="181"/>
    </row>
    <row r="123" spans="1:21" ht="16.5" hidden="1" customHeight="1" thickTop="1" thickBot="1">
      <c r="A123" s="139"/>
      <c r="B123" s="1146"/>
      <c r="C123" s="280" t="s">
        <v>11</v>
      </c>
      <c r="D123" s="281">
        <f t="shared" si="12"/>
        <v>0</v>
      </c>
      <c r="E123" s="281">
        <f t="shared" si="12"/>
        <v>0</v>
      </c>
      <c r="F123" s="281">
        <f t="shared" si="12"/>
        <v>0</v>
      </c>
      <c r="G123" s="281" t="e">
        <f t="shared" si="12"/>
        <v>#REF!</v>
      </c>
      <c r="H123" s="281" t="e">
        <f t="shared" si="12"/>
        <v>#REF!</v>
      </c>
      <c r="I123" s="281">
        <f t="shared" si="12"/>
        <v>0</v>
      </c>
      <c r="J123" s="281">
        <f t="shared" si="12"/>
        <v>0</v>
      </c>
      <c r="K123" s="281" t="e">
        <f t="shared" si="12"/>
        <v>#REF!</v>
      </c>
      <c r="L123" s="281">
        <f t="shared" si="12"/>
        <v>0</v>
      </c>
      <c r="M123" s="281" t="e">
        <f t="shared" si="12"/>
        <v>#REF!</v>
      </c>
      <c r="N123" s="303" t="e">
        <f t="shared" si="11"/>
        <v>#REF!</v>
      </c>
      <c r="O123" s="181"/>
      <c r="P123" s="181"/>
      <c r="Q123" s="181"/>
      <c r="R123" s="181"/>
      <c r="S123" s="181"/>
      <c r="T123" s="181"/>
      <c r="U123" s="181"/>
    </row>
    <row r="124" spans="1:21" ht="16.5" hidden="1" customHeight="1" thickTop="1" thickBot="1">
      <c r="A124" s="139"/>
      <c r="B124" s="1146"/>
      <c r="C124" s="283" t="s">
        <v>13</v>
      </c>
      <c r="D124" s="281">
        <f t="shared" si="12"/>
        <v>0</v>
      </c>
      <c r="E124" s="281">
        <f t="shared" si="12"/>
        <v>0</v>
      </c>
      <c r="F124" s="281">
        <f t="shared" si="12"/>
        <v>0</v>
      </c>
      <c r="G124" s="281">
        <f t="shared" si="12"/>
        <v>0</v>
      </c>
      <c r="H124" s="281">
        <f t="shared" si="12"/>
        <v>0</v>
      </c>
      <c r="I124" s="281">
        <f t="shared" si="12"/>
        <v>0</v>
      </c>
      <c r="J124" s="281">
        <f t="shared" si="12"/>
        <v>0</v>
      </c>
      <c r="K124" s="281">
        <f t="shared" si="12"/>
        <v>0</v>
      </c>
      <c r="L124" s="281">
        <f t="shared" si="12"/>
        <v>0</v>
      </c>
      <c r="M124" s="281">
        <f t="shared" si="12"/>
        <v>0</v>
      </c>
      <c r="N124" s="303">
        <f t="shared" si="11"/>
        <v>0</v>
      </c>
      <c r="O124" s="181"/>
      <c r="P124" s="181"/>
      <c r="Q124" s="181"/>
      <c r="R124" s="181"/>
      <c r="S124" s="181"/>
      <c r="T124" s="181"/>
      <c r="U124" s="181"/>
    </row>
    <row r="125" spans="1:21" ht="16.5" hidden="1" customHeight="1" thickTop="1" thickBot="1">
      <c r="A125" s="139"/>
      <c r="B125" s="1146"/>
      <c r="C125" s="280" t="s">
        <v>94</v>
      </c>
      <c r="D125" s="281">
        <f t="shared" si="12"/>
        <v>0</v>
      </c>
      <c r="E125" s="281">
        <f t="shared" si="12"/>
        <v>0</v>
      </c>
      <c r="F125" s="281">
        <f t="shared" si="12"/>
        <v>0</v>
      </c>
      <c r="G125" s="281">
        <f t="shared" si="12"/>
        <v>0</v>
      </c>
      <c r="H125" s="281">
        <f t="shared" si="12"/>
        <v>0</v>
      </c>
      <c r="I125" s="281">
        <f t="shared" si="12"/>
        <v>0</v>
      </c>
      <c r="J125" s="281">
        <f t="shared" si="12"/>
        <v>0</v>
      </c>
      <c r="K125" s="281">
        <f t="shared" si="12"/>
        <v>0</v>
      </c>
      <c r="L125" s="281">
        <f t="shared" si="12"/>
        <v>0</v>
      </c>
      <c r="M125" s="281">
        <f t="shared" si="12"/>
        <v>0</v>
      </c>
      <c r="N125" s="303">
        <f t="shared" si="11"/>
        <v>0</v>
      </c>
      <c r="O125" s="181"/>
      <c r="P125" s="181"/>
      <c r="Q125" s="181"/>
      <c r="R125" s="181"/>
      <c r="S125" s="181"/>
      <c r="T125" s="181"/>
      <c r="U125" s="181"/>
    </row>
    <row r="126" spans="1:21" ht="16.5" hidden="1" customHeight="1" thickTop="1" thickBot="1">
      <c r="A126" s="139"/>
      <c r="B126" s="1147"/>
      <c r="C126" s="284" t="s">
        <v>26</v>
      </c>
      <c r="D126" s="285">
        <f t="shared" ref="D126:M126" si="13">SUM(D120:D125)</f>
        <v>0</v>
      </c>
      <c r="E126" s="285">
        <f t="shared" si="13"/>
        <v>0</v>
      </c>
      <c r="F126" s="285">
        <f t="shared" si="13"/>
        <v>0</v>
      </c>
      <c r="G126" s="285" t="e">
        <f t="shared" si="13"/>
        <v>#REF!</v>
      </c>
      <c r="H126" s="285" t="e">
        <f t="shared" si="13"/>
        <v>#REF!</v>
      </c>
      <c r="I126" s="285">
        <f t="shared" si="13"/>
        <v>0</v>
      </c>
      <c r="J126" s="285">
        <f t="shared" si="13"/>
        <v>0</v>
      </c>
      <c r="K126" s="285" t="e">
        <f t="shared" si="13"/>
        <v>#REF!</v>
      </c>
      <c r="L126" s="285">
        <f t="shared" si="13"/>
        <v>0</v>
      </c>
      <c r="M126" s="285" t="e">
        <f t="shared" si="13"/>
        <v>#REF!</v>
      </c>
      <c r="O126" s="181"/>
      <c r="P126" s="181"/>
      <c r="Q126" s="181"/>
      <c r="R126" s="181"/>
      <c r="S126" s="181"/>
      <c r="T126" s="181"/>
      <c r="U126" s="181"/>
    </row>
    <row r="127" spans="1:21">
      <c r="D127" s="384" t="e">
        <f>D22/17.51</f>
        <v>#REF!</v>
      </c>
      <c r="F127" s="384" t="e">
        <f>F22/8.97</f>
        <v>#REF!</v>
      </c>
    </row>
    <row r="129" spans="4:4">
      <c r="D129" s="384" t="e">
        <f>D22+F22+H22</f>
        <v>#REF!</v>
      </c>
    </row>
    <row r="130" spans="4:4">
      <c r="D130" s="384" t="e">
        <f>D129*32.5</f>
        <v>#REF!</v>
      </c>
    </row>
    <row r="131" spans="4:4">
      <c r="D131" s="384" t="e">
        <f>D130*1.15*0.18</f>
        <v>#REF!</v>
      </c>
    </row>
  </sheetData>
  <mergeCells count="167">
    <mergeCell ref="B87:B93"/>
    <mergeCell ref="B83:C83"/>
    <mergeCell ref="D83:E83"/>
    <mergeCell ref="F83:G83"/>
    <mergeCell ref="H81:I81"/>
    <mergeCell ref="J81:K81"/>
    <mergeCell ref="L81:M81"/>
    <mergeCell ref="B82:C82"/>
    <mergeCell ref="B81:C81"/>
    <mergeCell ref="D81:E81"/>
    <mergeCell ref="F81:G81"/>
    <mergeCell ref="H83:I83"/>
    <mergeCell ref="J83:K83"/>
    <mergeCell ref="L83:M83"/>
    <mergeCell ref="J77:K77"/>
    <mergeCell ref="L77:M77"/>
    <mergeCell ref="B79:C79"/>
    <mergeCell ref="D77:E77"/>
    <mergeCell ref="F77:G77"/>
    <mergeCell ref="H77:I77"/>
    <mergeCell ref="B77:C77"/>
    <mergeCell ref="B78:C78"/>
    <mergeCell ref="J69:K69"/>
    <mergeCell ref="L69:M69"/>
    <mergeCell ref="D69:E69"/>
    <mergeCell ref="F69:G69"/>
    <mergeCell ref="H69:I69"/>
    <mergeCell ref="D78:E78"/>
    <mergeCell ref="H78:I78"/>
    <mergeCell ref="L49:M49"/>
    <mergeCell ref="H52:I52"/>
    <mergeCell ref="J52:K52"/>
    <mergeCell ref="L52:M52"/>
    <mergeCell ref="D52:E52"/>
    <mergeCell ref="F52:G52"/>
    <mergeCell ref="H49:I49"/>
    <mergeCell ref="J73:K73"/>
    <mergeCell ref="L73:M73"/>
    <mergeCell ref="J64:K64"/>
    <mergeCell ref="J59:K59"/>
    <mergeCell ref="J68:K68"/>
    <mergeCell ref="H62:I62"/>
    <mergeCell ref="H59:I59"/>
    <mergeCell ref="J62:K62"/>
    <mergeCell ref="L62:M62"/>
    <mergeCell ref="L59:M59"/>
    <mergeCell ref="F59:G59"/>
    <mergeCell ref="D62:E62"/>
    <mergeCell ref="L54:M54"/>
    <mergeCell ref="H54:I54"/>
    <mergeCell ref="L58:M58"/>
    <mergeCell ref="H58:I58"/>
    <mergeCell ref="D58:E58"/>
    <mergeCell ref="H44:I44"/>
    <mergeCell ref="H68:I68"/>
    <mergeCell ref="F62:G62"/>
    <mergeCell ref="D49:E49"/>
    <mergeCell ref="F49:G49"/>
    <mergeCell ref="D54:E54"/>
    <mergeCell ref="F54:G54"/>
    <mergeCell ref="D29:E29"/>
    <mergeCell ref="F29:G29"/>
    <mergeCell ref="H29:I29"/>
    <mergeCell ref="D32:E32"/>
    <mergeCell ref="F32:G32"/>
    <mergeCell ref="D42:E42"/>
    <mergeCell ref="F42:G42"/>
    <mergeCell ref="D39:E39"/>
    <mergeCell ref="F39:G39"/>
    <mergeCell ref="L48:M48"/>
    <mergeCell ref="F48:G48"/>
    <mergeCell ref="H48:I48"/>
    <mergeCell ref="D44:E44"/>
    <mergeCell ref="L44:M44"/>
    <mergeCell ref="B13:C15"/>
    <mergeCell ref="B38:C38"/>
    <mergeCell ref="B39:C39"/>
    <mergeCell ref="B40:C40"/>
    <mergeCell ref="B31:C31"/>
    <mergeCell ref="B32:C32"/>
    <mergeCell ref="B33:C33"/>
    <mergeCell ref="F44:G44"/>
    <mergeCell ref="D13:E13"/>
    <mergeCell ref="B42:C42"/>
    <mergeCell ref="B41:C41"/>
    <mergeCell ref="B43:C43"/>
    <mergeCell ref="L13:M13"/>
    <mergeCell ref="H28:I28"/>
    <mergeCell ref="H13:I13"/>
    <mergeCell ref="F13:G13"/>
    <mergeCell ref="D28:E28"/>
    <mergeCell ref="L28:M28"/>
    <mergeCell ref="F28:G28"/>
    <mergeCell ref="B112:B118"/>
    <mergeCell ref="B120:B126"/>
    <mergeCell ref="L64:M64"/>
    <mergeCell ref="F64:G64"/>
    <mergeCell ref="D68:E68"/>
    <mergeCell ref="L68:M68"/>
    <mergeCell ref="F68:G68"/>
    <mergeCell ref="H64:I64"/>
    <mergeCell ref="D64:E64"/>
    <mergeCell ref="B95:B101"/>
    <mergeCell ref="B104:B110"/>
    <mergeCell ref="B68:C68"/>
    <mergeCell ref="B72:C72"/>
    <mergeCell ref="B69:C69"/>
    <mergeCell ref="B70:C70"/>
    <mergeCell ref="B71:C71"/>
    <mergeCell ref="B80:C80"/>
    <mergeCell ref="F78:G78"/>
    <mergeCell ref="J78:K78"/>
    <mergeCell ref="L78:M78"/>
    <mergeCell ref="B73:C73"/>
    <mergeCell ref="D73:E73"/>
    <mergeCell ref="F73:G73"/>
    <mergeCell ref="H73:I73"/>
    <mergeCell ref="L39:M39"/>
    <mergeCell ref="H42:I42"/>
    <mergeCell ref="J42:K42"/>
    <mergeCell ref="L42:M42"/>
    <mergeCell ref="H39:I39"/>
    <mergeCell ref="J39:K39"/>
    <mergeCell ref="L38:M38"/>
    <mergeCell ref="H34:I34"/>
    <mergeCell ref="J29:K29"/>
    <mergeCell ref="L29:M29"/>
    <mergeCell ref="H32:I32"/>
    <mergeCell ref="J32:K32"/>
    <mergeCell ref="L32:M32"/>
    <mergeCell ref="L34:M34"/>
    <mergeCell ref="H38:I38"/>
    <mergeCell ref="J13:K13"/>
    <mergeCell ref="J28:K28"/>
    <mergeCell ref="J34:K34"/>
    <mergeCell ref="J38:K38"/>
    <mergeCell ref="J44:K44"/>
    <mergeCell ref="J48:K48"/>
    <mergeCell ref="J49:K49"/>
    <mergeCell ref="J54:K54"/>
    <mergeCell ref="J58:K58"/>
    <mergeCell ref="B60:C60"/>
    <mergeCell ref="B64:C64"/>
    <mergeCell ref="B63:C63"/>
    <mergeCell ref="B61:C61"/>
    <mergeCell ref="B62:C62"/>
    <mergeCell ref="B50:C50"/>
    <mergeCell ref="B54:C54"/>
    <mergeCell ref="B53:C53"/>
    <mergeCell ref="B58:C58"/>
    <mergeCell ref="B51:C51"/>
    <mergeCell ref="B52:C52"/>
    <mergeCell ref="B28:C28"/>
    <mergeCell ref="B29:C29"/>
    <mergeCell ref="B30:C30"/>
    <mergeCell ref="B34:C34"/>
    <mergeCell ref="B44:C44"/>
    <mergeCell ref="B48:C48"/>
    <mergeCell ref="B49:C49"/>
    <mergeCell ref="F58:G58"/>
    <mergeCell ref="B59:C59"/>
    <mergeCell ref="D38:E38"/>
    <mergeCell ref="D34:E34"/>
    <mergeCell ref="F38:G38"/>
    <mergeCell ref="F34:G34"/>
    <mergeCell ref="D59:E59"/>
    <mergeCell ref="D48:E48"/>
  </mergeCells>
  <phoneticPr fontId="14" type="noConversion"/>
  <pageMargins left="0.19685039370078741" right="0.19685039370078741" top="0.19685039370078741" bottom="0" header="0.51181102362204722" footer="0.51181102362204722"/>
  <pageSetup scale="6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1"/>
  <sheetViews>
    <sheetView showGridLines="0" topLeftCell="A10" workbookViewId="0">
      <selection activeCell="I30" sqref="I30"/>
    </sheetView>
  </sheetViews>
  <sheetFormatPr defaultColWidth="8.7109375" defaultRowHeight="12.75"/>
  <cols>
    <col min="11" max="11" width="9.42578125" customWidth="1"/>
    <col min="12" max="12" width="10.42578125" customWidth="1"/>
    <col min="13" max="13" width="9.42578125" customWidth="1"/>
  </cols>
  <sheetData>
    <row r="1" spans="1:15" ht="12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1: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ht="30">
      <c r="A15" s="6"/>
      <c r="B15" s="6"/>
      <c r="C15" s="6"/>
      <c r="D15" s="6"/>
      <c r="E15" s="19" t="s">
        <v>716</v>
      </c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ht="9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6" ht="18">
      <c r="A17" s="6"/>
      <c r="B17" s="6"/>
      <c r="C17" s="6"/>
      <c r="D17" s="6"/>
      <c r="E17" s="6"/>
      <c r="F17" s="18" t="s">
        <v>95</v>
      </c>
      <c r="G17" s="6"/>
      <c r="H17" s="6"/>
      <c r="I17" s="18" t="s">
        <v>648</v>
      </c>
      <c r="J17" s="6"/>
      <c r="K17" s="6"/>
      <c r="L17" s="6"/>
      <c r="M17" s="6"/>
      <c r="N17" s="6"/>
      <c r="O17" s="6"/>
    </row>
    <row r="18" spans="1:16" ht="3.75" customHeight="1">
      <c r="A18" s="6"/>
      <c r="B18" s="6"/>
      <c r="C18" s="6"/>
      <c r="D18" s="6"/>
      <c r="E18" s="6"/>
      <c r="F18" s="6"/>
      <c r="G18" s="6"/>
      <c r="H18" s="6"/>
      <c r="I18" s="18" t="s">
        <v>105</v>
      </c>
      <c r="J18" s="6"/>
      <c r="K18" s="6"/>
      <c r="L18" s="6"/>
      <c r="M18" s="6"/>
      <c r="N18" s="6"/>
      <c r="O18" s="6"/>
    </row>
    <row r="19" spans="1:16" ht="18">
      <c r="A19" s="6"/>
      <c r="B19" s="6"/>
      <c r="C19" s="6"/>
      <c r="D19" s="6"/>
      <c r="E19" s="6"/>
      <c r="F19" s="7" t="s">
        <v>96</v>
      </c>
      <c r="G19" s="6"/>
      <c r="H19" s="6"/>
      <c r="I19" s="18" t="s">
        <v>648</v>
      </c>
      <c r="J19" s="6"/>
      <c r="K19" s="6"/>
      <c r="L19" s="6"/>
      <c r="M19" s="6"/>
      <c r="N19" s="6"/>
      <c r="O19" s="6"/>
    </row>
    <row r="20" spans="1:16" ht="3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</row>
    <row r="21" spans="1:16" ht="15.75">
      <c r="A21" s="6"/>
      <c r="B21" s="6"/>
      <c r="C21" s="6"/>
      <c r="D21" s="6"/>
      <c r="E21" s="6"/>
      <c r="F21" s="7" t="s">
        <v>97</v>
      </c>
      <c r="G21" s="6"/>
      <c r="H21" s="6"/>
      <c r="I21" s="7" t="s">
        <v>423</v>
      </c>
      <c r="J21" s="6"/>
      <c r="K21" s="6"/>
      <c r="L21" s="6"/>
      <c r="M21" s="6"/>
      <c r="N21" s="6"/>
      <c r="O21" s="6"/>
    </row>
    <row r="22" spans="1:16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</row>
    <row r="23" spans="1:16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</row>
    <row r="24" spans="1:16">
      <c r="A24" s="6"/>
      <c r="B24" s="6"/>
      <c r="C24" s="6"/>
      <c r="D24" s="6"/>
      <c r="E24" s="6"/>
      <c r="F24" s="11" t="s">
        <v>98</v>
      </c>
      <c r="G24" s="6"/>
      <c r="H24" s="6"/>
      <c r="I24" s="6"/>
      <c r="J24" s="6"/>
      <c r="K24" s="510"/>
      <c r="L24" s="510"/>
      <c r="M24" s="510"/>
      <c r="N24" s="510"/>
      <c r="O24" s="6"/>
      <c r="P24" s="510"/>
    </row>
    <row r="25" spans="1:16">
      <c r="A25" s="6"/>
      <c r="B25" s="6"/>
      <c r="C25" s="6"/>
      <c r="D25" s="6"/>
      <c r="E25" s="6"/>
      <c r="F25" s="6"/>
      <c r="G25" s="6"/>
      <c r="H25" s="6"/>
      <c r="I25" s="6"/>
      <c r="J25" s="11"/>
      <c r="K25" s="403"/>
      <c r="L25" s="403"/>
      <c r="M25" s="403"/>
      <c r="N25" s="403"/>
      <c r="O25" s="6"/>
    </row>
    <row r="26" spans="1:16">
      <c r="A26" s="6"/>
      <c r="B26" s="6"/>
      <c r="C26" s="6"/>
      <c r="D26" s="6"/>
      <c r="E26" s="6"/>
      <c r="F26" s="6"/>
      <c r="G26" s="6"/>
      <c r="H26" s="6"/>
      <c r="I26" s="6"/>
      <c r="J26" s="11"/>
      <c r="K26" s="510"/>
      <c r="L26" s="510"/>
      <c r="M26" s="510"/>
      <c r="N26" s="510"/>
      <c r="O26" s="6"/>
    </row>
    <row r="27" spans="1:16" ht="15.75">
      <c r="A27" s="6"/>
      <c r="B27" s="6"/>
      <c r="C27" s="6"/>
      <c r="D27" s="6"/>
      <c r="E27" s="6"/>
      <c r="F27" s="20" t="s">
        <v>99</v>
      </c>
      <c r="G27" s="7"/>
      <c r="H27" s="6"/>
      <c r="I27" s="21">
        <v>89</v>
      </c>
      <c r="J27" s="509"/>
      <c r="K27" s="509"/>
      <c r="L27" s="509"/>
      <c r="M27" s="509"/>
      <c r="N27" s="509"/>
      <c r="O27" s="6"/>
    </row>
    <row r="28" spans="1:16" ht="2.25" customHeight="1">
      <c r="A28" s="6"/>
      <c r="B28" s="6"/>
      <c r="C28" s="6"/>
      <c r="D28" s="6"/>
      <c r="E28" s="6"/>
      <c r="F28" s="17"/>
      <c r="G28" s="7"/>
      <c r="H28" s="6"/>
      <c r="I28" s="22"/>
      <c r="J28" s="6"/>
      <c r="K28" s="6"/>
      <c r="L28" s="6"/>
      <c r="M28" s="6"/>
      <c r="N28" s="6"/>
      <c r="O28" s="6"/>
    </row>
    <row r="29" spans="1:16" ht="15.75">
      <c r="A29" s="6"/>
      <c r="B29" s="6"/>
      <c r="C29" s="6"/>
      <c r="D29" s="6"/>
      <c r="E29" s="6"/>
      <c r="F29" s="20" t="s">
        <v>100</v>
      </c>
      <c r="G29" s="7"/>
      <c r="H29" s="6"/>
      <c r="I29" s="21">
        <v>80</v>
      </c>
      <c r="J29" s="509"/>
      <c r="K29" s="509"/>
      <c r="L29" s="509"/>
      <c r="M29" s="509"/>
      <c r="N29" s="509"/>
      <c r="O29" s="6"/>
    </row>
    <row r="30" spans="1:16" ht="3" customHeight="1">
      <c r="A30" s="6"/>
      <c r="B30" s="6"/>
      <c r="C30" s="6"/>
      <c r="D30" s="6"/>
      <c r="E30" s="6"/>
      <c r="F30" s="17"/>
      <c r="G30" s="6"/>
      <c r="H30" s="6"/>
      <c r="I30" s="8"/>
      <c r="J30" s="6"/>
      <c r="K30" s="6"/>
      <c r="L30" s="6"/>
      <c r="M30" s="6"/>
      <c r="N30" s="6"/>
      <c r="O30" s="6"/>
    </row>
    <row r="31" spans="1:16" ht="15">
      <c r="A31" s="6"/>
      <c r="B31" s="6"/>
      <c r="C31" s="6"/>
      <c r="D31" s="6"/>
      <c r="E31" s="6"/>
      <c r="F31" s="20" t="s">
        <v>101</v>
      </c>
      <c r="G31" s="6"/>
      <c r="H31" s="6"/>
      <c r="I31" s="21"/>
      <c r="J31" s="6"/>
      <c r="K31" s="6"/>
      <c r="L31" s="6"/>
      <c r="M31" s="6"/>
      <c r="N31" s="6"/>
      <c r="O31" s="6"/>
    </row>
    <row r="32" spans="1:16" ht="15">
      <c r="A32" s="6"/>
      <c r="B32" s="6"/>
      <c r="C32" s="6"/>
      <c r="D32" s="6"/>
      <c r="E32" s="6"/>
      <c r="F32" s="20"/>
      <c r="G32" s="6"/>
      <c r="H32" s="6"/>
      <c r="I32" s="21"/>
      <c r="J32" s="6"/>
      <c r="K32" s="6"/>
      <c r="L32" s="6"/>
      <c r="M32" s="6"/>
      <c r="N32" s="6"/>
      <c r="O32" s="6"/>
    </row>
    <row r="33" spans="1:52" ht="15">
      <c r="A33" s="6"/>
      <c r="B33" s="6"/>
      <c r="C33" s="6"/>
      <c r="D33" s="6"/>
      <c r="E33" s="6"/>
      <c r="F33" s="20"/>
      <c r="G33" s="6"/>
      <c r="H33" s="6"/>
      <c r="J33" s="511"/>
      <c r="K33" s="511"/>
      <c r="L33" s="511"/>
      <c r="M33" s="511"/>
      <c r="N33" s="511"/>
      <c r="O33" s="6"/>
    </row>
    <row r="34" spans="1:52" ht="15">
      <c r="A34" s="6"/>
      <c r="B34" s="6"/>
      <c r="C34" s="6"/>
      <c r="D34" s="6"/>
      <c r="E34" s="6"/>
      <c r="F34" s="20"/>
      <c r="G34" s="6"/>
      <c r="H34" s="367"/>
      <c r="J34" s="511"/>
      <c r="K34" s="511"/>
      <c r="L34" s="511"/>
      <c r="M34" s="511"/>
      <c r="N34" s="511"/>
      <c r="O34" s="8"/>
    </row>
    <row r="35" spans="1:52" ht="15">
      <c r="A35" s="6"/>
      <c r="B35" s="6"/>
      <c r="C35" s="11" t="s">
        <v>517</v>
      </c>
      <c r="D35" s="6"/>
      <c r="E35" s="6"/>
      <c r="F35" s="20"/>
      <c r="G35" s="6"/>
      <c r="H35" s="369"/>
      <c r="J35" s="511"/>
      <c r="K35" s="511"/>
      <c r="L35" s="511"/>
      <c r="M35" s="511"/>
      <c r="N35" s="511"/>
      <c r="O35" s="8"/>
    </row>
    <row r="36" spans="1:52" ht="3.75" customHeight="1">
      <c r="A36" s="6"/>
      <c r="B36" s="6"/>
      <c r="C36" s="6"/>
      <c r="D36" s="6"/>
      <c r="E36" s="6"/>
      <c r="F36" s="6"/>
      <c r="G36" s="6"/>
      <c r="H36" s="8"/>
      <c r="I36" s="8"/>
      <c r="J36" s="8"/>
      <c r="K36" s="8"/>
      <c r="L36" s="8"/>
      <c r="M36" s="8"/>
      <c r="N36" s="8"/>
      <c r="O36" s="8"/>
    </row>
    <row r="37" spans="1:52" ht="3.75" customHeight="1">
      <c r="A37" s="6"/>
      <c r="B37" s="6"/>
      <c r="C37" s="6"/>
      <c r="D37" s="6"/>
      <c r="E37" s="6"/>
      <c r="F37" s="6"/>
      <c r="G37" s="6"/>
      <c r="H37" s="369"/>
      <c r="I37" s="23"/>
      <c r="J37" s="368"/>
      <c r="K37" s="368"/>
      <c r="L37" s="26"/>
      <c r="M37" s="26"/>
      <c r="N37" s="26"/>
      <c r="O37" s="8"/>
      <c r="AE37" s="4"/>
      <c r="AI37" s="4"/>
      <c r="AO37" s="1"/>
      <c r="AZ37" s="2"/>
    </row>
    <row r="38" spans="1:52">
      <c r="A38" s="6"/>
      <c r="B38" s="6"/>
      <c r="C38" s="6" t="s">
        <v>515</v>
      </c>
      <c r="D38" s="6"/>
      <c r="E38" s="6"/>
      <c r="F38" s="6"/>
      <c r="G38" s="6"/>
      <c r="H38" s="367"/>
      <c r="I38" s="25"/>
      <c r="J38" s="368"/>
      <c r="K38" s="26"/>
      <c r="L38" s="26"/>
      <c r="M38" s="26"/>
      <c r="N38" s="25"/>
      <c r="O38" s="8"/>
      <c r="AE38" s="4"/>
      <c r="AI38" s="4"/>
      <c r="AO38" s="1"/>
      <c r="AZ38" s="2"/>
    </row>
    <row r="39" spans="1:52">
      <c r="A39" s="6"/>
      <c r="B39" s="6"/>
      <c r="C39" s="6" t="s">
        <v>516</v>
      </c>
      <c r="D39" s="6"/>
      <c r="E39" s="24"/>
      <c r="F39" s="6"/>
      <c r="G39" s="6"/>
      <c r="H39" s="368"/>
      <c r="I39" s="368"/>
      <c r="J39" s="368"/>
      <c r="K39" s="1156"/>
      <c r="L39" s="1156"/>
      <c r="M39" s="1156"/>
      <c r="N39" s="26"/>
      <c r="O39" s="8"/>
      <c r="AE39" s="4"/>
      <c r="AI39" s="4"/>
      <c r="AN39" s="1"/>
      <c r="AO39" s="1"/>
      <c r="AP39" s="1"/>
      <c r="AZ39" s="1"/>
    </row>
    <row r="40" spans="1:52">
      <c r="C40" s="6" t="s">
        <v>518</v>
      </c>
    </row>
    <row r="41" spans="1:52">
      <c r="C41" s="6"/>
    </row>
  </sheetData>
  <mergeCells count="1">
    <mergeCell ref="K39:M39"/>
  </mergeCells>
  <phoneticPr fontId="14" type="noConversion"/>
  <pageMargins left="0.39370078740157483" right="0.19685039370078741" top="0.59055118110236227" bottom="0.98425196850393704" header="0.51181102362204722" footer="0.51181102362204722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K132"/>
  <sheetViews>
    <sheetView topLeftCell="A72" zoomScale="75" workbookViewId="0">
      <selection activeCell="M132" sqref="M132"/>
    </sheetView>
  </sheetViews>
  <sheetFormatPr defaultColWidth="9.28515625" defaultRowHeight="12.75" outlineLevelRow="2"/>
  <cols>
    <col min="1" max="2" width="1.7109375" style="673" customWidth="1"/>
    <col min="3" max="3" width="46.42578125" style="673" customWidth="1"/>
    <col min="4" max="4" width="0.42578125" style="673" customWidth="1"/>
    <col min="5" max="5" width="23.42578125" style="673" customWidth="1"/>
    <col min="6" max="6" width="10" style="673" customWidth="1"/>
    <col min="7" max="7" width="11.42578125" style="673" customWidth="1"/>
    <col min="8" max="8" width="9.42578125" style="673" customWidth="1"/>
    <col min="9" max="9" width="13" style="673" customWidth="1"/>
    <col min="10" max="10" width="11" style="673" customWidth="1"/>
    <col min="11" max="11" width="12.28515625" style="673" customWidth="1"/>
    <col min="12" max="12" width="0.42578125" style="673" customWidth="1"/>
    <col min="13" max="13" width="15.7109375" style="673" customWidth="1"/>
    <col min="14" max="14" width="0.42578125" style="673" customWidth="1"/>
    <col min="15" max="15" width="12.28515625" style="673" customWidth="1"/>
    <col min="16" max="16" width="0.42578125" style="673" customWidth="1"/>
    <col min="17" max="17" width="12.42578125" style="673" customWidth="1"/>
    <col min="18" max="18" width="0.42578125" style="673" customWidth="1"/>
    <col min="19" max="19" width="12.42578125" style="673" customWidth="1"/>
    <col min="20" max="20" width="0.42578125" style="673" customWidth="1"/>
    <col min="21" max="21" width="9.42578125" style="673" customWidth="1"/>
    <col min="22" max="22" width="0.42578125" style="673" customWidth="1"/>
    <col min="23" max="23" width="11" style="673" customWidth="1"/>
    <col min="24" max="24" width="0.42578125" style="673" customWidth="1"/>
    <col min="25" max="25" width="17.42578125" style="673" customWidth="1"/>
    <col min="26" max="26" width="0.7109375" style="673" customWidth="1"/>
    <col min="27" max="27" width="19" style="673" customWidth="1"/>
    <col min="28" max="28" width="0.7109375" style="673" customWidth="1"/>
    <col min="29" max="29" width="10.42578125" style="673" customWidth="1"/>
    <col min="30" max="30" width="0.7109375" style="673" customWidth="1"/>
    <col min="31" max="31" width="9" style="673" customWidth="1"/>
    <col min="32" max="32" width="1.28515625" style="673" customWidth="1"/>
    <col min="33" max="16384" width="9.28515625" style="674"/>
  </cols>
  <sheetData>
    <row r="1" spans="1:63" ht="13.5" thickBot="1">
      <c r="A1" s="645"/>
      <c r="B1" s="645"/>
      <c r="C1" s="645"/>
      <c r="D1" s="645"/>
      <c r="E1" s="645"/>
      <c r="F1" s="645"/>
      <c r="H1" s="851" t="s">
        <v>638</v>
      </c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</row>
    <row r="2" spans="1:63" ht="13.5" thickBot="1">
      <c r="A2" s="645"/>
      <c r="B2" s="645"/>
      <c r="C2" s="645"/>
      <c r="D2" s="645"/>
      <c r="E2" s="645"/>
      <c r="F2" s="645"/>
      <c r="G2" s="673" t="s">
        <v>689</v>
      </c>
      <c r="H2" s="852">
        <f>Title!I27</f>
        <v>89</v>
      </c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</row>
    <row r="3" spans="1:63" ht="13.5" thickBot="1">
      <c r="A3" s="645"/>
      <c r="B3" s="645"/>
      <c r="C3" s="645"/>
      <c r="D3" s="645"/>
      <c r="E3" s="645"/>
      <c r="F3" s="645"/>
      <c r="G3" s="645" t="s">
        <v>690</v>
      </c>
      <c r="H3" s="852">
        <f>Title!I29</f>
        <v>80</v>
      </c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</row>
    <row r="4" spans="1:63" ht="13.5" thickBot="1">
      <c r="A4" s="645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  <c r="X4" s="645"/>
      <c r="Y4" s="645"/>
      <c r="Z4" s="645"/>
      <c r="AA4" s="645"/>
      <c r="AB4" s="645"/>
      <c r="AC4" s="645"/>
      <c r="AD4" s="645"/>
      <c r="AE4" s="645"/>
      <c r="AF4" s="645"/>
    </row>
    <row r="5" spans="1:63" ht="13.5" thickBot="1">
      <c r="A5" s="645"/>
      <c r="B5" s="645"/>
      <c r="C5" s="645"/>
      <c r="D5" s="645"/>
      <c r="E5" s="1065" t="s">
        <v>1025</v>
      </c>
      <c r="F5" s="1067">
        <v>0.1</v>
      </c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5"/>
      <c r="AF5" s="645"/>
    </row>
    <row r="6" spans="1:63" ht="18.75" thickBot="1">
      <c r="A6" s="645"/>
      <c r="B6" s="645"/>
      <c r="C6" s="853" t="s">
        <v>717</v>
      </c>
      <c r="D6" s="645"/>
      <c r="E6" s="1065" t="s">
        <v>1026</v>
      </c>
      <c r="F6" s="1067">
        <v>0.1</v>
      </c>
      <c r="G6" s="645"/>
      <c r="H6" s="645"/>
      <c r="J6" s="645"/>
      <c r="K6" s="851"/>
      <c r="L6" s="645"/>
      <c r="M6" s="854"/>
      <c r="N6" s="645"/>
      <c r="O6" s="855"/>
      <c r="P6" s="645"/>
      <c r="Q6" s="645"/>
      <c r="R6" s="645"/>
      <c r="S6" s="645"/>
      <c r="T6" s="645"/>
      <c r="U6" s="645"/>
      <c r="V6" s="645"/>
      <c r="W6" s="645"/>
      <c r="X6" s="645"/>
      <c r="Y6" s="645"/>
      <c r="Z6" s="645"/>
      <c r="AA6" s="645"/>
      <c r="AB6" s="645"/>
      <c r="AC6" s="645"/>
      <c r="AD6" s="645"/>
      <c r="AE6" s="645"/>
      <c r="AF6" s="645"/>
    </row>
    <row r="7" spans="1:63" ht="21.75" customHeight="1" thickBot="1">
      <c r="A7" s="645"/>
      <c r="B7" s="645"/>
      <c r="C7" s="645"/>
      <c r="D7" s="645"/>
      <c r="E7" s="645"/>
      <c r="F7" s="645"/>
      <c r="G7" s="645"/>
      <c r="H7" s="645"/>
      <c r="I7" s="645"/>
      <c r="J7" s="645"/>
      <c r="K7" s="645"/>
      <c r="L7" s="645"/>
      <c r="M7" s="854"/>
      <c r="N7" s="645"/>
      <c r="O7" s="645"/>
      <c r="P7" s="645"/>
      <c r="Q7" s="645"/>
      <c r="R7" s="645"/>
      <c r="S7" s="645"/>
      <c r="T7" s="645"/>
      <c r="U7" s="645"/>
      <c r="V7" s="645"/>
      <c r="W7" s="645"/>
      <c r="X7" s="645"/>
      <c r="Y7" s="645"/>
      <c r="Z7" s="645"/>
      <c r="AA7" s="645"/>
      <c r="AB7" s="645"/>
      <c r="AC7" s="645"/>
      <c r="AD7" s="645"/>
      <c r="AE7" s="645"/>
      <c r="AF7" s="645"/>
    </row>
    <row r="8" spans="1:63" ht="13.5" thickBot="1">
      <c r="A8" s="645"/>
      <c r="B8" s="645"/>
      <c r="C8" s="856"/>
      <c r="D8" s="645"/>
      <c r="E8" s="1157" t="s">
        <v>646</v>
      </c>
      <c r="F8" s="1158"/>
      <c r="G8" s="1159"/>
      <c r="H8" s="645"/>
      <c r="I8" s="645"/>
      <c r="J8" s="645"/>
      <c r="K8" s="645"/>
      <c r="L8" s="645"/>
      <c r="M8" s="645"/>
      <c r="N8" s="645"/>
      <c r="O8" s="645"/>
      <c r="P8" s="645"/>
      <c r="Q8" s="645"/>
      <c r="R8" s="645"/>
      <c r="S8" s="645"/>
      <c r="T8" s="645"/>
      <c r="U8" s="645"/>
      <c r="V8" s="645"/>
      <c r="W8" s="645"/>
      <c r="X8" s="645"/>
      <c r="Y8" s="645"/>
      <c r="Z8" s="645"/>
      <c r="AA8" s="855"/>
      <c r="AB8" s="645"/>
      <c r="AC8" s="645"/>
      <c r="AD8" s="645"/>
      <c r="AE8" s="645"/>
      <c r="AF8" s="645"/>
    </row>
    <row r="9" spans="1:63" ht="6" customHeight="1">
      <c r="A9" s="645"/>
      <c r="B9" s="645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645"/>
      <c r="S9" s="645"/>
      <c r="T9" s="645"/>
      <c r="U9" s="645"/>
      <c r="V9" s="645"/>
      <c r="W9" s="645"/>
      <c r="X9" s="645"/>
      <c r="Y9" s="645"/>
      <c r="Z9" s="645"/>
      <c r="AA9" s="645"/>
      <c r="AB9" s="645"/>
      <c r="AC9" s="645"/>
      <c r="AD9" s="645"/>
      <c r="AE9" s="645"/>
      <c r="AF9" s="645"/>
      <c r="AH9" s="857"/>
      <c r="AI9" s="857"/>
      <c r="AJ9" s="857"/>
      <c r="AK9" s="857"/>
      <c r="AL9" s="857"/>
      <c r="AM9" s="857"/>
      <c r="AN9" s="857"/>
      <c r="AO9" s="857"/>
      <c r="AP9" s="857"/>
      <c r="AQ9" s="857"/>
      <c r="AR9" s="857"/>
      <c r="AS9" s="857"/>
      <c r="AT9" s="857"/>
      <c r="AU9" s="857"/>
      <c r="AV9" s="857"/>
      <c r="AW9" s="857"/>
      <c r="AX9" s="857"/>
      <c r="AY9" s="857"/>
      <c r="AZ9" s="857"/>
      <c r="BA9" s="857"/>
      <c r="BB9" s="857"/>
      <c r="BC9" s="857"/>
      <c r="BD9" s="857"/>
      <c r="BE9" s="857"/>
      <c r="BF9" s="857"/>
      <c r="BG9" s="857"/>
      <c r="BH9" s="857"/>
      <c r="BI9" s="857"/>
      <c r="BJ9" s="857"/>
      <c r="BK9" s="857"/>
    </row>
    <row r="10" spans="1:63" ht="13.5" thickBot="1">
      <c r="A10" s="645"/>
      <c r="B10" s="645"/>
      <c r="C10" s="858"/>
      <c r="D10" s="645"/>
      <c r="E10" s="859"/>
      <c r="F10" s="645"/>
      <c r="G10" s="645"/>
      <c r="H10" s="645"/>
      <c r="I10" s="645"/>
      <c r="J10" s="645"/>
      <c r="K10" s="645"/>
      <c r="L10" s="645"/>
      <c r="M10" s="645"/>
      <c r="N10" s="645"/>
      <c r="O10" s="645"/>
      <c r="P10" s="645"/>
      <c r="Q10" s="645"/>
      <c r="R10" s="645"/>
      <c r="S10" s="645"/>
      <c r="T10" s="645"/>
      <c r="U10" s="645"/>
      <c r="V10" s="645"/>
      <c r="W10" s="645"/>
      <c r="X10" s="645"/>
      <c r="Y10" s="645"/>
      <c r="Z10" s="645"/>
      <c r="AA10" s="645"/>
      <c r="AB10" s="645"/>
      <c r="AC10" s="645"/>
      <c r="AD10" s="645"/>
      <c r="AE10" s="645"/>
      <c r="AF10" s="645"/>
      <c r="AH10" s="857"/>
      <c r="AI10" s="857"/>
      <c r="AJ10" s="857"/>
      <c r="AK10" s="857"/>
      <c r="AL10" s="857"/>
      <c r="AM10" s="857"/>
      <c r="AN10" s="857"/>
      <c r="AO10" s="857"/>
      <c r="AP10" s="857"/>
      <c r="AQ10" s="857"/>
      <c r="AR10" s="857"/>
      <c r="AS10" s="857"/>
      <c r="AT10" s="857"/>
      <c r="AU10" s="857"/>
      <c r="AV10" s="857"/>
      <c r="AW10" s="857"/>
      <c r="AX10" s="857"/>
      <c r="AY10" s="857"/>
      <c r="AZ10" s="857"/>
      <c r="BA10" s="857"/>
      <c r="BB10" s="857"/>
      <c r="BC10" s="857"/>
      <c r="BD10" s="857"/>
      <c r="BE10" s="857"/>
      <c r="BF10" s="857"/>
      <c r="BG10" s="857"/>
      <c r="BH10" s="857"/>
      <c r="BI10" s="857"/>
      <c r="BJ10" s="857"/>
      <c r="BK10" s="857"/>
    </row>
    <row r="11" spans="1:63" ht="7.5" customHeight="1" thickTop="1">
      <c r="A11" s="645"/>
      <c r="B11" s="860"/>
      <c r="C11" s="861"/>
      <c r="D11" s="861"/>
      <c r="E11" s="861"/>
      <c r="F11" s="861"/>
      <c r="G11" s="861"/>
      <c r="H11" s="861"/>
      <c r="I11" s="861"/>
      <c r="J11" s="861"/>
      <c r="K11" s="861"/>
      <c r="L11" s="861"/>
      <c r="M11" s="861"/>
      <c r="N11" s="861"/>
      <c r="O11" s="861"/>
      <c r="P11" s="861"/>
      <c r="Q11" s="861"/>
      <c r="R11" s="861"/>
      <c r="S11" s="861"/>
      <c r="T11" s="861"/>
      <c r="U11" s="861"/>
      <c r="V11" s="861"/>
      <c r="W11" s="861"/>
      <c r="X11" s="861"/>
      <c r="Y11" s="861"/>
      <c r="Z11" s="861"/>
      <c r="AA11" s="861"/>
      <c r="AB11" s="861"/>
      <c r="AC11" s="861"/>
      <c r="AD11" s="861"/>
      <c r="AE11" s="861"/>
      <c r="AF11" s="862"/>
      <c r="AH11" s="857"/>
      <c r="AI11" s="857"/>
      <c r="AJ11" s="857"/>
      <c r="AK11" s="857"/>
      <c r="AL11" s="857"/>
      <c r="AM11" s="857"/>
      <c r="AN11" s="857"/>
      <c r="AO11" s="857"/>
      <c r="AP11" s="857"/>
      <c r="AQ11" s="857"/>
      <c r="AR11" s="857"/>
      <c r="AS11" s="857"/>
      <c r="AT11" s="857"/>
      <c r="AU11" s="857"/>
      <c r="AV11" s="857"/>
      <c r="AW11" s="857"/>
      <c r="AX11" s="857"/>
      <c r="AY11" s="857"/>
      <c r="AZ11" s="857"/>
      <c r="BA11" s="857"/>
      <c r="BB11" s="857"/>
      <c r="BC11" s="857"/>
      <c r="BD11" s="857"/>
      <c r="BE11" s="857"/>
      <c r="BF11" s="857"/>
      <c r="BG11" s="857"/>
      <c r="BH11" s="857"/>
      <c r="BI11" s="857"/>
      <c r="BJ11" s="857"/>
      <c r="BK11" s="857"/>
    </row>
    <row r="12" spans="1:63" ht="3.75" hidden="1" customHeight="1" outlineLevel="1">
      <c r="A12" s="645"/>
      <c r="B12" s="863"/>
      <c r="C12" s="664"/>
      <c r="D12" s="669"/>
      <c r="E12" s="864"/>
      <c r="F12" s="669"/>
      <c r="G12" s="865"/>
      <c r="H12" s="669"/>
      <c r="I12" s="866"/>
      <c r="J12" s="669"/>
      <c r="K12" s="867"/>
      <c r="L12" s="669"/>
      <c r="M12" s="868"/>
      <c r="N12" s="669"/>
      <c r="O12" s="869"/>
      <c r="P12" s="669"/>
      <c r="Q12" s="865"/>
      <c r="R12" s="669"/>
      <c r="S12" s="869"/>
      <c r="T12" s="669"/>
      <c r="U12" s="868"/>
      <c r="V12" s="669"/>
      <c r="W12" s="870"/>
      <c r="X12" s="669"/>
      <c r="Y12" s="869"/>
      <c r="Z12" s="869"/>
      <c r="AA12" s="871"/>
      <c r="AB12" s="872"/>
      <c r="AC12" s="872"/>
      <c r="AD12" s="872"/>
      <c r="AE12" s="872"/>
      <c r="AF12" s="873"/>
      <c r="AH12" s="857"/>
      <c r="AI12" s="857"/>
      <c r="AJ12" s="857"/>
      <c r="AK12" s="857"/>
      <c r="AL12" s="857"/>
      <c r="AM12" s="857"/>
      <c r="AN12" s="857"/>
      <c r="AO12" s="857"/>
      <c r="AP12" s="857"/>
      <c r="AQ12" s="857"/>
      <c r="AR12" s="857"/>
      <c r="AS12" s="857"/>
      <c r="AT12" s="857"/>
      <c r="AU12" s="857"/>
      <c r="AV12" s="857"/>
      <c r="AW12" s="857"/>
      <c r="AX12" s="857"/>
      <c r="AY12" s="857"/>
      <c r="AZ12" s="857"/>
      <c r="BA12" s="857"/>
      <c r="BB12" s="857"/>
      <c r="BC12" s="857"/>
      <c r="BD12" s="857"/>
      <c r="BE12" s="857"/>
      <c r="BF12" s="857"/>
      <c r="BG12" s="857"/>
      <c r="BH12" s="857"/>
      <c r="BI12" s="857"/>
      <c r="BJ12" s="857"/>
      <c r="BK12" s="857"/>
    </row>
    <row r="13" spans="1:63" ht="22.5" hidden="1" customHeight="1" outlineLevel="1">
      <c r="A13" s="645"/>
      <c r="B13" s="863"/>
      <c r="C13" s="874"/>
      <c r="D13" s="669"/>
      <c r="E13" s="875"/>
      <c r="F13" s="669"/>
      <c r="G13" s="875"/>
      <c r="H13" s="669"/>
      <c r="I13" s="875"/>
      <c r="J13" s="669"/>
      <c r="K13" s="875"/>
      <c r="L13" s="669"/>
      <c r="M13" s="875"/>
      <c r="N13" s="669"/>
      <c r="O13" s="875"/>
      <c r="P13" s="669"/>
      <c r="Q13" s="875"/>
      <c r="R13" s="669"/>
      <c r="S13" s="875"/>
      <c r="T13" s="669"/>
      <c r="U13" s="13"/>
      <c r="V13" s="669"/>
      <c r="W13" s="875"/>
      <c r="X13" s="669"/>
      <c r="Y13" s="875"/>
      <c r="Z13" s="876"/>
      <c r="AA13" s="875"/>
      <c r="AB13" s="876"/>
      <c r="AC13" s="875"/>
      <c r="AD13" s="877"/>
      <c r="AE13" s="875"/>
      <c r="AF13" s="873"/>
      <c r="AH13" s="857"/>
      <c r="AI13" s="857"/>
      <c r="AJ13" s="857"/>
      <c r="AK13" s="857"/>
      <c r="AL13" s="857"/>
      <c r="AM13" s="857"/>
      <c r="AN13" s="857"/>
      <c r="AO13" s="857"/>
      <c r="AP13" s="857"/>
      <c r="AQ13" s="857"/>
      <c r="AR13" s="857"/>
      <c r="AS13" s="857"/>
      <c r="AT13" s="857"/>
      <c r="AU13" s="857"/>
      <c r="AV13" s="857"/>
      <c r="AW13" s="857"/>
      <c r="AX13" s="857"/>
      <c r="AY13" s="857"/>
      <c r="AZ13" s="857"/>
      <c r="BA13" s="857"/>
      <c r="BB13" s="857"/>
      <c r="BC13" s="857"/>
      <c r="BD13" s="857"/>
      <c r="BE13" s="857"/>
      <c r="BF13" s="857"/>
      <c r="BG13" s="857"/>
      <c r="BH13" s="857"/>
      <c r="BI13" s="857"/>
      <c r="BJ13" s="857"/>
      <c r="BK13" s="857"/>
    </row>
    <row r="14" spans="1:63" ht="4.5" hidden="1" customHeight="1" outlineLevel="1" thickBot="1">
      <c r="A14" s="645"/>
      <c r="B14" s="863"/>
      <c r="C14" s="878"/>
      <c r="D14" s="669"/>
      <c r="E14" s="876"/>
      <c r="F14" s="669"/>
      <c r="G14" s="876"/>
      <c r="H14" s="669"/>
      <c r="I14" s="669"/>
      <c r="J14" s="669"/>
      <c r="K14" s="669"/>
      <c r="L14" s="669"/>
      <c r="M14" s="669"/>
      <c r="N14" s="669"/>
      <c r="O14" s="87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873"/>
      <c r="AH14" s="857"/>
      <c r="AI14" s="857"/>
      <c r="AJ14" s="857"/>
      <c r="AK14" s="857"/>
      <c r="AL14" s="857"/>
      <c r="AM14" s="857"/>
      <c r="AN14" s="857"/>
      <c r="AO14" s="857"/>
      <c r="AP14" s="857"/>
      <c r="AQ14" s="857"/>
      <c r="AR14" s="857"/>
      <c r="AS14" s="857"/>
      <c r="AT14" s="857"/>
      <c r="AU14" s="857"/>
      <c r="AV14" s="857"/>
      <c r="AW14" s="857"/>
      <c r="AX14" s="857"/>
      <c r="AY14" s="857"/>
      <c r="AZ14" s="857"/>
      <c r="BA14" s="857"/>
      <c r="BB14" s="857"/>
      <c r="BC14" s="857"/>
      <c r="BD14" s="857"/>
      <c r="BE14" s="857"/>
      <c r="BF14" s="857"/>
      <c r="BG14" s="857"/>
      <c r="BH14" s="857"/>
      <c r="BI14" s="857"/>
      <c r="BJ14" s="857"/>
      <c r="BK14" s="857"/>
    </row>
    <row r="15" spans="1:63" ht="14.25" hidden="1" outlineLevel="1" thickTop="1" thickBot="1">
      <c r="A15" s="645"/>
      <c r="B15" s="863"/>
      <c r="C15" s="880"/>
      <c r="D15" s="669"/>
      <c r="E15" s="881"/>
      <c r="F15" s="669"/>
      <c r="G15" s="882"/>
      <c r="H15" s="669"/>
      <c r="I15" s="883"/>
      <c r="J15" s="669"/>
      <c r="K15" s="884"/>
      <c r="L15" s="669"/>
      <c r="M15" s="881"/>
      <c r="N15" s="669"/>
      <c r="O15" s="885"/>
      <c r="P15" s="886"/>
      <c r="Q15" s="886"/>
      <c r="R15" s="669"/>
      <c r="S15" s="885"/>
      <c r="T15" s="669"/>
      <c r="U15" s="881"/>
      <c r="V15" s="669"/>
      <c r="W15" s="887"/>
      <c r="X15" s="669"/>
      <c r="Y15" s="885"/>
      <c r="Z15" s="888"/>
      <c r="AA15" s="889"/>
      <c r="AB15" s="877"/>
      <c r="AC15" s="887"/>
      <c r="AD15" s="877"/>
      <c r="AE15" s="885"/>
      <c r="AF15" s="873"/>
      <c r="AH15" s="857"/>
      <c r="AI15" s="857"/>
      <c r="AJ15" s="857"/>
      <c r="AK15" s="857"/>
      <c r="AL15" s="857"/>
      <c r="AM15" s="857"/>
      <c r="AN15" s="857"/>
      <c r="AO15" s="857"/>
      <c r="AP15" s="857"/>
      <c r="AQ15" s="857"/>
      <c r="AR15" s="857"/>
      <c r="AS15" s="857"/>
      <c r="AT15" s="857"/>
      <c r="AU15" s="857"/>
      <c r="AV15" s="857"/>
      <c r="AW15" s="857"/>
      <c r="AX15" s="857"/>
      <c r="AY15" s="857"/>
      <c r="AZ15" s="857"/>
      <c r="BA15" s="857"/>
      <c r="BB15" s="857"/>
      <c r="BC15" s="857"/>
      <c r="BD15" s="857"/>
      <c r="BE15" s="857"/>
      <c r="BF15" s="857"/>
      <c r="BG15" s="857"/>
      <c r="BH15" s="857"/>
      <c r="BI15" s="857"/>
      <c r="BJ15" s="857"/>
      <c r="BK15" s="857"/>
    </row>
    <row r="16" spans="1:63" ht="2.25" hidden="1" customHeight="1" outlineLevel="1">
      <c r="A16" s="645"/>
      <c r="B16" s="863"/>
      <c r="C16" s="880"/>
      <c r="D16" s="669"/>
      <c r="E16" s="890"/>
      <c r="F16" s="669"/>
      <c r="G16" s="886"/>
      <c r="H16" s="669"/>
      <c r="I16" s="891"/>
      <c r="J16" s="669"/>
      <c r="K16" s="884"/>
      <c r="L16" s="669"/>
      <c r="M16" s="892"/>
      <c r="N16" s="669"/>
      <c r="O16" s="888"/>
      <c r="P16" s="669"/>
      <c r="Q16" s="886"/>
      <c r="R16" s="669"/>
      <c r="S16" s="888"/>
      <c r="T16" s="669"/>
      <c r="U16" s="892"/>
      <c r="V16" s="669"/>
      <c r="W16" s="893"/>
      <c r="X16" s="669"/>
      <c r="Y16" s="888"/>
      <c r="Z16" s="888"/>
      <c r="AA16" s="894"/>
      <c r="AB16" s="877"/>
      <c r="AC16" s="877"/>
      <c r="AD16" s="877"/>
      <c r="AE16" s="877"/>
      <c r="AF16" s="873"/>
      <c r="AH16" s="857"/>
      <c r="AI16" s="857"/>
      <c r="AJ16" s="857"/>
      <c r="AK16" s="857"/>
      <c r="AL16" s="857"/>
      <c r="AM16" s="857"/>
      <c r="AN16" s="857"/>
      <c r="AO16" s="857"/>
      <c r="AP16" s="857"/>
      <c r="AQ16" s="857"/>
      <c r="AR16" s="857"/>
      <c r="AS16" s="857"/>
      <c r="AT16" s="857"/>
      <c r="AU16" s="857"/>
      <c r="AV16" s="857"/>
      <c r="AW16" s="857"/>
      <c r="AX16" s="857"/>
      <c r="AY16" s="857"/>
      <c r="AZ16" s="857"/>
      <c r="BA16" s="857"/>
      <c r="BB16" s="857"/>
      <c r="BC16" s="857"/>
      <c r="BD16" s="857"/>
      <c r="BE16" s="857"/>
      <c r="BF16" s="857"/>
      <c r="BG16" s="857"/>
      <c r="BH16" s="857"/>
      <c r="BI16" s="857"/>
      <c r="BJ16" s="857"/>
      <c r="BK16" s="857"/>
    </row>
    <row r="17" spans="1:63" ht="22.5" hidden="1" customHeight="1" outlineLevel="1" thickBot="1">
      <c r="A17" s="645"/>
      <c r="B17" s="863"/>
      <c r="C17" s="874"/>
      <c r="D17" s="669"/>
      <c r="E17" s="875"/>
      <c r="F17" s="669"/>
      <c r="G17" s="875"/>
      <c r="H17" s="669"/>
      <c r="I17" s="875"/>
      <c r="J17" s="669"/>
      <c r="K17" s="875"/>
      <c r="L17" s="669"/>
      <c r="M17" s="875"/>
      <c r="N17" s="669"/>
      <c r="O17" s="875"/>
      <c r="P17" s="669"/>
      <c r="Q17" s="875"/>
      <c r="R17" s="669"/>
      <c r="S17" s="875"/>
      <c r="T17" s="669"/>
      <c r="U17" s="13"/>
      <c r="V17" s="669"/>
      <c r="W17" s="875"/>
      <c r="X17" s="669"/>
      <c r="Y17" s="875"/>
      <c r="Z17" s="876"/>
      <c r="AA17" s="875"/>
      <c r="AB17" s="876"/>
      <c r="AC17" s="875"/>
      <c r="AD17" s="877"/>
      <c r="AE17" s="875"/>
      <c r="AF17" s="873"/>
      <c r="AH17" s="857"/>
      <c r="AI17" s="857"/>
      <c r="AJ17" s="857"/>
      <c r="AK17" s="857"/>
      <c r="AL17" s="857"/>
      <c r="AM17" s="857"/>
      <c r="AN17" s="857"/>
      <c r="AO17" s="857"/>
      <c r="AP17" s="857"/>
      <c r="AQ17" s="857"/>
      <c r="AR17" s="857"/>
      <c r="AS17" s="857"/>
      <c r="AT17" s="857"/>
      <c r="AU17" s="857"/>
      <c r="AV17" s="857"/>
      <c r="AW17" s="857"/>
      <c r="AX17" s="857"/>
      <c r="AY17" s="857"/>
      <c r="AZ17" s="857"/>
      <c r="BA17" s="857"/>
      <c r="BB17" s="857"/>
      <c r="BC17" s="857"/>
      <c r="BD17" s="857"/>
      <c r="BE17" s="857"/>
      <c r="BF17" s="857"/>
      <c r="BG17" s="857"/>
      <c r="BH17" s="857"/>
      <c r="BI17" s="857"/>
      <c r="BJ17" s="857"/>
      <c r="BK17" s="857"/>
    </row>
    <row r="18" spans="1:63" ht="22.5" hidden="1" customHeight="1" outlineLevel="1" thickTop="1" thickBot="1">
      <c r="A18" s="645"/>
      <c r="B18" s="863"/>
      <c r="C18" s="880"/>
      <c r="D18" s="669"/>
      <c r="E18" s="881"/>
      <c r="F18" s="669"/>
      <c r="G18" s="882"/>
      <c r="H18" s="669"/>
      <c r="I18" s="883"/>
      <c r="J18" s="669"/>
      <c r="K18" s="884"/>
      <c r="L18" s="669"/>
      <c r="M18" s="881"/>
      <c r="N18" s="669"/>
      <c r="O18" s="885"/>
      <c r="P18" s="886"/>
      <c r="Q18" s="886"/>
      <c r="R18" s="669"/>
      <c r="S18" s="885"/>
      <c r="T18" s="669"/>
      <c r="U18" s="881"/>
      <c r="V18" s="669"/>
      <c r="W18" s="887"/>
      <c r="X18" s="669"/>
      <c r="Y18" s="885"/>
      <c r="Z18" s="888"/>
      <c r="AA18" s="889"/>
      <c r="AB18" s="877"/>
      <c r="AC18" s="887">
        <f>W18</f>
        <v>0</v>
      </c>
      <c r="AD18" s="877"/>
      <c r="AE18" s="885" t="e">
        <f>Y18/AC18/M18</f>
        <v>#DIV/0!</v>
      </c>
      <c r="AF18" s="873"/>
      <c r="AH18" s="857"/>
      <c r="AI18" s="857"/>
      <c r="AJ18" s="857"/>
      <c r="AK18" s="857"/>
      <c r="AL18" s="857"/>
      <c r="AM18" s="857"/>
      <c r="AN18" s="857"/>
      <c r="AO18" s="857"/>
      <c r="AP18" s="857"/>
      <c r="AQ18" s="857"/>
      <c r="AR18" s="857"/>
      <c r="AS18" s="857"/>
      <c r="AT18" s="857"/>
      <c r="AU18" s="857"/>
      <c r="AV18" s="857"/>
      <c r="AW18" s="857"/>
      <c r="AX18" s="857"/>
      <c r="AY18" s="857"/>
      <c r="AZ18" s="857"/>
      <c r="BA18" s="857"/>
      <c r="BB18" s="857"/>
      <c r="BC18" s="857"/>
      <c r="BD18" s="857"/>
      <c r="BE18" s="857"/>
      <c r="BF18" s="857"/>
      <c r="BG18" s="857"/>
      <c r="BH18" s="857"/>
      <c r="BI18" s="857"/>
      <c r="BJ18" s="857"/>
      <c r="BK18" s="857"/>
    </row>
    <row r="19" spans="1:63" ht="3.75" hidden="1" customHeight="1" outlineLevel="1" thickTop="1">
      <c r="A19" s="645"/>
      <c r="B19" s="863"/>
      <c r="C19" s="880"/>
      <c r="D19" s="669"/>
      <c r="E19" s="890"/>
      <c r="F19" s="669"/>
      <c r="G19" s="886"/>
      <c r="H19" s="669"/>
      <c r="I19" s="891"/>
      <c r="J19" s="669"/>
      <c r="K19" s="884"/>
      <c r="L19" s="669"/>
      <c r="M19" s="892"/>
      <c r="N19" s="669"/>
      <c r="O19" s="888"/>
      <c r="P19" s="669"/>
      <c r="Q19" s="886"/>
      <c r="R19" s="669"/>
      <c r="S19" s="888"/>
      <c r="T19" s="669"/>
      <c r="U19" s="892"/>
      <c r="V19" s="669"/>
      <c r="W19" s="893"/>
      <c r="X19" s="669"/>
      <c r="Y19" s="888"/>
      <c r="Z19" s="888"/>
      <c r="AA19" s="894"/>
      <c r="AB19" s="877"/>
      <c r="AC19" s="877"/>
      <c r="AD19" s="877"/>
      <c r="AE19" s="877"/>
      <c r="AF19" s="873"/>
      <c r="AH19" s="857"/>
      <c r="AI19" s="857"/>
      <c r="AJ19" s="857"/>
      <c r="AK19" s="857"/>
      <c r="AL19" s="857"/>
      <c r="AM19" s="857"/>
      <c r="AN19" s="857"/>
      <c r="AO19" s="857"/>
      <c r="AP19" s="857"/>
      <c r="AQ19" s="857"/>
      <c r="AR19" s="857"/>
      <c r="AS19" s="857"/>
      <c r="AT19" s="857"/>
      <c r="AU19" s="857"/>
      <c r="AV19" s="857"/>
      <c r="AW19" s="857"/>
      <c r="AX19" s="857"/>
      <c r="AY19" s="857"/>
      <c r="AZ19" s="857"/>
      <c r="BA19" s="857"/>
      <c r="BB19" s="857"/>
      <c r="BC19" s="857"/>
      <c r="BD19" s="857"/>
      <c r="BE19" s="857"/>
      <c r="BF19" s="857"/>
      <c r="BG19" s="857"/>
      <c r="BH19" s="857"/>
      <c r="BI19" s="857"/>
      <c r="BJ19" s="857"/>
      <c r="BK19" s="857"/>
    </row>
    <row r="20" spans="1:63" ht="22.5" hidden="1" customHeight="1" outlineLevel="1">
      <c r="A20" s="645"/>
      <c r="B20" s="863"/>
      <c r="C20" s="414" t="s">
        <v>639</v>
      </c>
      <c r="D20" s="408"/>
      <c r="E20" s="415" t="s">
        <v>425</v>
      </c>
      <c r="F20" s="408"/>
      <c r="G20" s="415" t="s">
        <v>640</v>
      </c>
      <c r="H20" s="408"/>
      <c r="I20" s="415" t="s">
        <v>425</v>
      </c>
      <c r="J20" s="408"/>
      <c r="K20" s="415" t="s">
        <v>335</v>
      </c>
      <c r="L20" s="408"/>
      <c r="M20" s="415" t="s">
        <v>641</v>
      </c>
      <c r="N20" s="408"/>
      <c r="O20" s="415" t="s">
        <v>265</v>
      </c>
      <c r="P20" s="408"/>
      <c r="Q20" s="415" t="s">
        <v>175</v>
      </c>
      <c r="R20" s="408"/>
      <c r="S20" s="415" t="s">
        <v>265</v>
      </c>
      <c r="T20" s="408"/>
      <c r="U20" s="415" t="s">
        <v>429</v>
      </c>
      <c r="V20" s="408"/>
      <c r="W20" s="415" t="s">
        <v>430</v>
      </c>
      <c r="X20" s="408"/>
      <c r="Y20" s="415" t="s">
        <v>44</v>
      </c>
      <c r="Z20" s="416"/>
      <c r="AA20" s="415" t="s">
        <v>642</v>
      </c>
      <c r="AB20" s="416"/>
      <c r="AC20" s="415" t="s">
        <v>431</v>
      </c>
      <c r="AD20" s="413"/>
      <c r="AE20" s="415" t="s">
        <v>45</v>
      </c>
      <c r="AF20" s="873"/>
      <c r="AH20" s="857"/>
      <c r="AI20" s="857"/>
      <c r="AJ20" s="857"/>
      <c r="AK20" s="857"/>
      <c r="AL20" s="857"/>
      <c r="AM20" s="857"/>
      <c r="AN20" s="857"/>
      <c r="AO20" s="857"/>
      <c r="AP20" s="857"/>
      <c r="AQ20" s="857"/>
      <c r="AR20" s="857"/>
      <c r="AS20" s="857"/>
      <c r="AT20" s="857"/>
      <c r="AU20" s="857"/>
      <c r="AV20" s="857"/>
      <c r="AW20" s="857"/>
      <c r="AX20" s="857"/>
      <c r="AY20" s="857"/>
      <c r="AZ20" s="857"/>
      <c r="BA20" s="857"/>
      <c r="BB20" s="857"/>
      <c r="BC20" s="857"/>
      <c r="BD20" s="857"/>
      <c r="BE20" s="857"/>
      <c r="BF20" s="857"/>
      <c r="BG20" s="857"/>
      <c r="BH20" s="857"/>
      <c r="BI20" s="857"/>
      <c r="BJ20" s="857"/>
      <c r="BK20" s="857"/>
    </row>
    <row r="21" spans="1:63" ht="4.5" hidden="1" customHeight="1" outlineLevel="1" thickBot="1">
      <c r="A21" s="645"/>
      <c r="B21" s="863"/>
      <c r="C21" s="417"/>
      <c r="D21" s="408"/>
      <c r="E21" s="416"/>
      <c r="F21" s="408"/>
      <c r="G21" s="416"/>
      <c r="H21" s="408"/>
      <c r="I21" s="408"/>
      <c r="J21" s="408"/>
      <c r="K21" s="408"/>
      <c r="L21" s="408"/>
      <c r="M21" s="408"/>
      <c r="N21" s="408"/>
      <c r="O21" s="41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873"/>
      <c r="AH21" s="857"/>
      <c r="AI21" s="857"/>
      <c r="AJ21" s="857"/>
      <c r="AK21" s="857"/>
      <c r="AL21" s="857"/>
      <c r="AM21" s="857"/>
      <c r="AN21" s="857"/>
      <c r="AO21" s="857"/>
      <c r="AP21" s="857"/>
      <c r="AQ21" s="857"/>
      <c r="AR21" s="857"/>
      <c r="AS21" s="857"/>
      <c r="AT21" s="857"/>
      <c r="AU21" s="857"/>
      <c r="AV21" s="857"/>
      <c r="AW21" s="857"/>
      <c r="AX21" s="857"/>
      <c r="AY21" s="857"/>
      <c r="AZ21" s="857"/>
      <c r="BA21" s="857"/>
      <c r="BB21" s="857"/>
      <c r="BC21" s="857"/>
      <c r="BD21" s="857"/>
      <c r="BE21" s="857"/>
      <c r="BF21" s="857"/>
      <c r="BG21" s="857"/>
      <c r="BH21" s="857"/>
      <c r="BI21" s="857"/>
      <c r="BJ21" s="857"/>
      <c r="BK21" s="857"/>
    </row>
    <row r="22" spans="1:63" ht="14.25" hidden="1" outlineLevel="1" thickTop="1" thickBot="1">
      <c r="A22" s="645"/>
      <c r="B22" s="863"/>
      <c r="C22" s="407" t="s">
        <v>310</v>
      </c>
      <c r="D22" s="408"/>
      <c r="E22" s="419">
        <v>21.369599999999998</v>
      </c>
      <c r="F22" s="408"/>
      <c r="G22" s="420"/>
      <c r="H22" s="408"/>
      <c r="I22" s="421"/>
      <c r="J22" s="408"/>
      <c r="K22" s="410">
        <v>1</v>
      </c>
      <c r="L22" s="408"/>
      <c r="M22" s="419">
        <f>E22/K22</f>
        <v>21.369599999999998</v>
      </c>
      <c r="N22" s="408">
        <v>5.14</v>
      </c>
      <c r="O22" s="422">
        <v>5.29</v>
      </c>
      <c r="P22" s="409"/>
      <c r="Q22" s="409">
        <v>0</v>
      </c>
      <c r="R22" s="408"/>
      <c r="S22" s="422">
        <v>5.29</v>
      </c>
      <c r="T22" s="408"/>
      <c r="U22" s="419">
        <f>M22*S22</f>
        <v>113.04518399999999</v>
      </c>
      <c r="V22" s="408"/>
      <c r="W22" s="423">
        <v>32</v>
      </c>
      <c r="X22" s="408"/>
      <c r="Y22" s="422">
        <f>U22*W22</f>
        <v>3617.4458879999997</v>
      </c>
      <c r="Z22" s="411"/>
      <c r="AA22" s="895" t="e">
        <f>Y22/Y18</f>
        <v>#DIV/0!</v>
      </c>
      <c r="AB22" s="413"/>
      <c r="AC22" s="423">
        <f>W22</f>
        <v>32</v>
      </c>
      <c r="AD22" s="413"/>
      <c r="AE22" s="422">
        <f>Y22/AC22/M22</f>
        <v>5.29</v>
      </c>
      <c r="AF22" s="873"/>
      <c r="AH22" s="857"/>
      <c r="AI22" s="857"/>
      <c r="AJ22" s="857"/>
      <c r="AK22" s="857"/>
      <c r="AL22" s="857"/>
      <c r="AM22" s="857"/>
      <c r="AN22" s="857"/>
      <c r="AO22" s="857"/>
      <c r="AP22" s="857"/>
      <c r="AQ22" s="857"/>
      <c r="AR22" s="857"/>
      <c r="AS22" s="857"/>
      <c r="AT22" s="857"/>
      <c r="AU22" s="857"/>
      <c r="AV22" s="857"/>
      <c r="AW22" s="857"/>
      <c r="AX22" s="857"/>
      <c r="AY22" s="857"/>
      <c r="AZ22" s="857"/>
      <c r="BA22" s="857"/>
      <c r="BB22" s="857"/>
      <c r="BC22" s="857"/>
      <c r="BD22" s="857"/>
      <c r="BE22" s="857"/>
      <c r="BF22" s="857"/>
      <c r="BG22" s="857"/>
      <c r="BH22" s="857"/>
      <c r="BI22" s="857"/>
      <c r="BJ22" s="857"/>
      <c r="BK22" s="857"/>
    </row>
    <row r="23" spans="1:63" ht="22.5" hidden="1" customHeight="1" outlineLevel="1">
      <c r="A23" s="645"/>
      <c r="B23" s="863"/>
      <c r="C23" s="414" t="s">
        <v>643</v>
      </c>
      <c r="D23" s="408"/>
      <c r="E23" s="415" t="s">
        <v>425</v>
      </c>
      <c r="F23" s="408"/>
      <c r="G23" s="415" t="s">
        <v>640</v>
      </c>
      <c r="H23" s="408"/>
      <c r="I23" s="415" t="s">
        <v>425</v>
      </c>
      <c r="J23" s="408"/>
      <c r="K23" s="415" t="s">
        <v>336</v>
      </c>
      <c r="L23" s="408"/>
      <c r="M23" s="415" t="s">
        <v>641</v>
      </c>
      <c r="N23" s="408"/>
      <c r="O23" s="415" t="s">
        <v>265</v>
      </c>
      <c r="P23" s="408"/>
      <c r="Q23" s="415" t="s">
        <v>175</v>
      </c>
      <c r="R23" s="408"/>
      <c r="S23" s="415" t="s">
        <v>265</v>
      </c>
      <c r="T23" s="408"/>
      <c r="U23" s="415" t="s">
        <v>429</v>
      </c>
      <c r="V23" s="408"/>
      <c r="W23" s="415" t="s">
        <v>430</v>
      </c>
      <c r="X23" s="408"/>
      <c r="Y23" s="415" t="s">
        <v>44</v>
      </c>
      <c r="Z23" s="416"/>
      <c r="AA23" s="415" t="s">
        <v>176</v>
      </c>
      <c r="AB23" s="416"/>
      <c r="AC23" s="415" t="s">
        <v>431</v>
      </c>
      <c r="AD23" s="413"/>
      <c r="AE23" s="415" t="s">
        <v>45</v>
      </c>
      <c r="AF23" s="873"/>
      <c r="AH23" s="857"/>
      <c r="AI23" s="857"/>
      <c r="AJ23" s="857"/>
      <c r="AK23" s="857"/>
      <c r="AL23" s="857"/>
      <c r="AM23" s="857"/>
      <c r="AN23" s="857"/>
      <c r="AO23" s="857"/>
      <c r="AP23" s="857"/>
      <c r="AQ23" s="857"/>
      <c r="AR23" s="857"/>
      <c r="AS23" s="857"/>
      <c r="AT23" s="857"/>
      <c r="AU23" s="857"/>
      <c r="AV23" s="857"/>
      <c r="AW23" s="857"/>
      <c r="AX23" s="857"/>
      <c r="AY23" s="857"/>
      <c r="AZ23" s="857"/>
      <c r="BA23" s="857"/>
      <c r="BB23" s="857"/>
      <c r="BC23" s="857"/>
      <c r="BD23" s="857"/>
      <c r="BE23" s="857"/>
      <c r="BF23" s="857"/>
      <c r="BG23" s="857"/>
      <c r="BH23" s="857"/>
      <c r="BI23" s="857"/>
      <c r="BJ23" s="857"/>
      <c r="BK23" s="857"/>
    </row>
    <row r="24" spans="1:63" ht="4.5" hidden="1" customHeight="1" outlineLevel="1" thickBot="1">
      <c r="A24" s="645"/>
      <c r="B24" s="863"/>
      <c r="C24" s="878"/>
      <c r="D24" s="669"/>
      <c r="E24" s="876"/>
      <c r="F24" s="669"/>
      <c r="G24" s="876"/>
      <c r="H24" s="669"/>
      <c r="I24" s="669"/>
      <c r="J24" s="669"/>
      <c r="K24" s="669"/>
      <c r="L24" s="669"/>
      <c r="M24" s="669"/>
      <c r="N24" s="669"/>
      <c r="O24" s="879"/>
      <c r="P24" s="669"/>
      <c r="Q24" s="669"/>
      <c r="R24" s="669"/>
      <c r="S24" s="669"/>
      <c r="T24" s="669"/>
      <c r="U24" s="669"/>
      <c r="V24" s="669"/>
      <c r="W24" s="669"/>
      <c r="X24" s="669"/>
      <c r="Y24" s="669"/>
      <c r="Z24" s="669"/>
      <c r="AA24" s="669"/>
      <c r="AB24" s="669"/>
      <c r="AC24" s="669"/>
      <c r="AD24" s="669"/>
      <c r="AE24" s="669"/>
      <c r="AF24" s="873"/>
      <c r="AH24" s="857"/>
      <c r="AI24" s="857"/>
      <c r="AJ24" s="857"/>
      <c r="AK24" s="857"/>
      <c r="AL24" s="857"/>
      <c r="AM24" s="857"/>
      <c r="AN24" s="857"/>
      <c r="AO24" s="857"/>
      <c r="AP24" s="857"/>
      <c r="AQ24" s="857"/>
      <c r="AR24" s="857"/>
      <c r="AS24" s="857"/>
      <c r="AT24" s="857"/>
      <c r="AU24" s="857"/>
      <c r="AV24" s="857"/>
      <c r="AW24" s="857"/>
      <c r="AX24" s="857"/>
      <c r="AY24" s="857"/>
      <c r="AZ24" s="857"/>
      <c r="BA24" s="857"/>
      <c r="BB24" s="857"/>
      <c r="BC24" s="857"/>
      <c r="BD24" s="857"/>
      <c r="BE24" s="857"/>
      <c r="BF24" s="857"/>
      <c r="BG24" s="857"/>
      <c r="BH24" s="857"/>
      <c r="BI24" s="857"/>
      <c r="BJ24" s="857"/>
      <c r="BK24" s="857"/>
    </row>
    <row r="25" spans="1:63" ht="14.25" hidden="1" outlineLevel="1" thickTop="1" thickBot="1">
      <c r="A25" s="645"/>
      <c r="B25" s="863"/>
      <c r="C25" s="407" t="s">
        <v>333</v>
      </c>
      <c r="D25" s="408"/>
      <c r="E25" s="419">
        <v>19.079999999999998</v>
      </c>
      <c r="F25" s="408"/>
      <c r="G25" s="420"/>
      <c r="H25" s="408"/>
      <c r="I25" s="421"/>
      <c r="J25" s="408"/>
      <c r="K25" s="410">
        <v>1</v>
      </c>
      <c r="L25" s="408"/>
      <c r="M25" s="419">
        <f>E25/K25</f>
        <v>19.079999999999998</v>
      </c>
      <c r="N25" s="408"/>
      <c r="O25" s="422">
        <f>U25/M25</f>
        <v>5.0599999999999996</v>
      </c>
      <c r="P25" s="409"/>
      <c r="Q25" s="409">
        <v>0</v>
      </c>
      <c r="R25" s="408"/>
      <c r="S25" s="422">
        <v>5.0599999999999996</v>
      </c>
      <c r="T25" s="408"/>
      <c r="U25" s="419">
        <f>M25*S25</f>
        <v>96.544799999999981</v>
      </c>
      <c r="V25" s="408"/>
      <c r="W25" s="423">
        <v>35.5</v>
      </c>
      <c r="X25" s="408"/>
      <c r="Y25" s="422">
        <f>U25*W25</f>
        <v>3427.3403999999991</v>
      </c>
      <c r="Z25" s="411"/>
      <c r="AA25" s="895" t="e">
        <f>Y25/Y18</f>
        <v>#DIV/0!</v>
      </c>
      <c r="AB25" s="413"/>
      <c r="AC25" s="423">
        <f>W25</f>
        <v>35.5</v>
      </c>
      <c r="AD25" s="413"/>
      <c r="AE25" s="422">
        <f>Y25/AC25/M25</f>
        <v>5.0599999999999996</v>
      </c>
      <c r="AF25" s="873"/>
      <c r="AH25" s="857"/>
      <c r="AI25" s="857"/>
      <c r="AJ25" s="857"/>
      <c r="AK25" s="857"/>
      <c r="AL25" s="857"/>
      <c r="AM25" s="857"/>
      <c r="AN25" s="857"/>
      <c r="AO25" s="857"/>
      <c r="AP25" s="857"/>
      <c r="AQ25" s="857"/>
      <c r="AR25" s="857"/>
      <c r="AS25" s="857"/>
      <c r="AT25" s="857"/>
      <c r="AU25" s="857"/>
      <c r="AV25" s="857"/>
      <c r="AW25" s="857"/>
      <c r="AX25" s="857"/>
      <c r="AY25" s="857"/>
      <c r="AZ25" s="857"/>
      <c r="BA25" s="857"/>
      <c r="BB25" s="857"/>
      <c r="BC25" s="857"/>
      <c r="BD25" s="857"/>
      <c r="BE25" s="857"/>
      <c r="BF25" s="857"/>
      <c r="BG25" s="857"/>
      <c r="BH25" s="857"/>
      <c r="BI25" s="857"/>
      <c r="BJ25" s="857"/>
      <c r="BK25" s="857"/>
    </row>
    <row r="26" spans="1:63" ht="22.5" hidden="1" customHeight="1" outlineLevel="1">
      <c r="A26" s="645"/>
      <c r="B26" s="863"/>
      <c r="C26" s="414" t="s">
        <v>433</v>
      </c>
      <c r="D26" s="408"/>
      <c r="E26" s="415" t="s">
        <v>425</v>
      </c>
      <c r="F26" s="408"/>
      <c r="G26" s="415" t="s">
        <v>640</v>
      </c>
      <c r="H26" s="408"/>
      <c r="I26" s="415" t="s">
        <v>425</v>
      </c>
      <c r="J26" s="408"/>
      <c r="K26" s="415" t="s">
        <v>336</v>
      </c>
      <c r="L26" s="408"/>
      <c r="M26" s="415" t="s">
        <v>641</v>
      </c>
      <c r="N26" s="408"/>
      <c r="O26" s="415" t="s">
        <v>265</v>
      </c>
      <c r="P26" s="408"/>
      <c r="Q26" s="415" t="s">
        <v>175</v>
      </c>
      <c r="R26" s="408"/>
      <c r="S26" s="415" t="s">
        <v>265</v>
      </c>
      <c r="T26" s="408"/>
      <c r="U26" s="415" t="s">
        <v>429</v>
      </c>
      <c r="V26" s="408"/>
      <c r="W26" s="415" t="s">
        <v>430</v>
      </c>
      <c r="X26" s="408"/>
      <c r="Y26" s="415" t="s">
        <v>44</v>
      </c>
      <c r="Z26" s="416"/>
      <c r="AA26" s="415" t="s">
        <v>176</v>
      </c>
      <c r="AB26" s="416"/>
      <c r="AC26" s="415" t="s">
        <v>431</v>
      </c>
      <c r="AD26" s="413"/>
      <c r="AE26" s="415" t="s">
        <v>45</v>
      </c>
      <c r="AF26" s="873"/>
      <c r="AH26" s="857"/>
      <c r="AI26" s="857"/>
      <c r="AJ26" s="857"/>
      <c r="AK26" s="857"/>
      <c r="AL26" s="857"/>
      <c r="AM26" s="857"/>
      <c r="AN26" s="857"/>
      <c r="AO26" s="857"/>
      <c r="AP26" s="857"/>
      <c r="AQ26" s="857"/>
      <c r="AR26" s="857"/>
      <c r="AS26" s="857"/>
      <c r="AT26" s="857"/>
      <c r="AU26" s="857"/>
      <c r="AV26" s="857"/>
      <c r="AW26" s="857"/>
      <c r="AX26" s="857"/>
      <c r="AY26" s="857"/>
      <c r="AZ26" s="857"/>
      <c r="BA26" s="857"/>
      <c r="BB26" s="857"/>
      <c r="BC26" s="857"/>
      <c r="BD26" s="857"/>
      <c r="BE26" s="857"/>
      <c r="BF26" s="857"/>
      <c r="BG26" s="857"/>
      <c r="BH26" s="857"/>
      <c r="BI26" s="857"/>
      <c r="BJ26" s="857"/>
      <c r="BK26" s="857"/>
    </row>
    <row r="27" spans="1:63" ht="4.5" hidden="1" customHeight="1" outlineLevel="1" thickBot="1">
      <c r="A27" s="645"/>
      <c r="B27" s="863"/>
      <c r="C27" s="417"/>
      <c r="D27" s="408"/>
      <c r="E27" s="416"/>
      <c r="F27" s="408"/>
      <c r="G27" s="416"/>
      <c r="H27" s="408"/>
      <c r="I27" s="408"/>
      <c r="J27" s="408"/>
      <c r="K27" s="408"/>
      <c r="L27" s="408"/>
      <c r="M27" s="408"/>
      <c r="N27" s="408"/>
      <c r="O27" s="418"/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  <c r="AA27" s="408"/>
      <c r="AB27" s="408"/>
      <c r="AC27" s="408"/>
      <c r="AD27" s="408"/>
      <c r="AE27" s="408"/>
      <c r="AF27" s="873"/>
      <c r="AH27" s="857"/>
      <c r="AI27" s="857"/>
      <c r="AJ27" s="857"/>
      <c r="AK27" s="857"/>
      <c r="AL27" s="857"/>
      <c r="AM27" s="857"/>
      <c r="AN27" s="857"/>
      <c r="AO27" s="857"/>
      <c r="AP27" s="857"/>
      <c r="AQ27" s="857"/>
      <c r="AR27" s="857"/>
      <c r="AS27" s="857"/>
      <c r="AT27" s="857"/>
      <c r="AU27" s="857"/>
      <c r="AV27" s="857"/>
      <c r="AW27" s="857"/>
      <c r="AX27" s="857"/>
      <c r="AY27" s="857"/>
      <c r="AZ27" s="857"/>
      <c r="BA27" s="857"/>
      <c r="BB27" s="857"/>
      <c r="BC27" s="857"/>
      <c r="BD27" s="857"/>
      <c r="BE27" s="857"/>
      <c r="BF27" s="857"/>
      <c r="BG27" s="857"/>
      <c r="BH27" s="857"/>
      <c r="BI27" s="857"/>
      <c r="BJ27" s="857"/>
      <c r="BK27" s="857"/>
    </row>
    <row r="28" spans="1:63" ht="14.25" hidden="1" outlineLevel="1" thickTop="1" thickBot="1">
      <c r="A28" s="645"/>
      <c r="B28" s="863"/>
      <c r="C28" s="407" t="s">
        <v>334</v>
      </c>
      <c r="D28" s="408"/>
      <c r="E28" s="419">
        <f>E25*1.12</f>
        <v>21.369599999999998</v>
      </c>
      <c r="F28" s="408"/>
      <c r="G28" s="420"/>
      <c r="H28" s="408"/>
      <c r="I28" s="421"/>
      <c r="J28" s="408">
        <v>1</v>
      </c>
      <c r="K28" s="410">
        <v>1</v>
      </c>
      <c r="L28" s="408"/>
      <c r="M28" s="419">
        <f>E28/K28</f>
        <v>21.369599999999998</v>
      </c>
      <c r="N28" s="408"/>
      <c r="O28" s="422">
        <f>U28/M28</f>
        <v>5.2</v>
      </c>
      <c r="P28" s="409"/>
      <c r="Q28" s="409">
        <v>0</v>
      </c>
      <c r="R28" s="408"/>
      <c r="S28" s="422">
        <v>5.2</v>
      </c>
      <c r="T28" s="408"/>
      <c r="U28" s="419">
        <f>M28*S28</f>
        <v>111.12191999999999</v>
      </c>
      <c r="V28" s="408"/>
      <c r="W28" s="423">
        <v>35.5</v>
      </c>
      <c r="X28" s="408"/>
      <c r="Y28" s="422">
        <f>U28*W28</f>
        <v>3944.8281599999996</v>
      </c>
      <c r="Z28" s="411"/>
      <c r="AA28" s="895">
        <f>Y28/Y22</f>
        <v>1.0905009451795842</v>
      </c>
      <c r="AB28" s="413"/>
      <c r="AC28" s="423">
        <f>W28</f>
        <v>35.5</v>
      </c>
      <c r="AD28" s="413"/>
      <c r="AE28" s="422">
        <f>Y28/AC28/M28</f>
        <v>5.2</v>
      </c>
      <c r="AF28" s="873"/>
      <c r="AH28" s="857"/>
      <c r="AI28" s="857"/>
      <c r="AJ28" s="857"/>
      <c r="AK28" s="857"/>
      <c r="AL28" s="857"/>
      <c r="AM28" s="857"/>
      <c r="AN28" s="857"/>
      <c r="AO28" s="857"/>
      <c r="AP28" s="857"/>
      <c r="AQ28" s="857"/>
      <c r="AR28" s="857"/>
      <c r="AS28" s="857"/>
      <c r="AT28" s="857"/>
      <c r="AU28" s="857"/>
      <c r="AV28" s="857"/>
      <c r="AW28" s="857"/>
      <c r="AX28" s="857"/>
      <c r="AY28" s="857"/>
      <c r="AZ28" s="857"/>
      <c r="BA28" s="857"/>
      <c r="BB28" s="857"/>
      <c r="BC28" s="857"/>
      <c r="BD28" s="857"/>
      <c r="BE28" s="857"/>
      <c r="BF28" s="857"/>
      <c r="BG28" s="857"/>
      <c r="BH28" s="857"/>
      <c r="BI28" s="857"/>
      <c r="BJ28" s="857"/>
      <c r="BK28" s="857"/>
    </row>
    <row r="29" spans="1:63" ht="22.5" hidden="1" customHeight="1" outlineLevel="1" thickBot="1">
      <c r="A29" s="645"/>
      <c r="B29" s="863"/>
      <c r="C29" s="414" t="s">
        <v>644</v>
      </c>
      <c r="D29" s="408"/>
      <c r="E29" s="415" t="s">
        <v>425</v>
      </c>
      <c r="F29" s="408"/>
      <c r="G29" s="415" t="s">
        <v>640</v>
      </c>
      <c r="H29" s="408"/>
      <c r="I29" s="415" t="s">
        <v>425</v>
      </c>
      <c r="J29" s="408"/>
      <c r="K29" s="415" t="s">
        <v>337</v>
      </c>
      <c r="L29" s="408"/>
      <c r="M29" s="415" t="s">
        <v>641</v>
      </c>
      <c r="N29" s="408"/>
      <c r="O29" s="415" t="s">
        <v>265</v>
      </c>
      <c r="P29" s="408"/>
      <c r="Q29" s="415" t="s">
        <v>175</v>
      </c>
      <c r="R29" s="408"/>
      <c r="S29" s="415" t="s">
        <v>265</v>
      </c>
      <c r="T29" s="408"/>
      <c r="U29" s="415" t="s">
        <v>429</v>
      </c>
      <c r="V29" s="408"/>
      <c r="W29" s="415" t="s">
        <v>430</v>
      </c>
      <c r="X29" s="408"/>
      <c r="Y29" s="415" t="s">
        <v>44</v>
      </c>
      <c r="Z29" s="416"/>
      <c r="AA29" s="415" t="s">
        <v>176</v>
      </c>
      <c r="AB29" s="416"/>
      <c r="AC29" s="415" t="s">
        <v>431</v>
      </c>
      <c r="AD29" s="413"/>
      <c r="AE29" s="415" t="s">
        <v>45</v>
      </c>
      <c r="AF29" s="873"/>
      <c r="AH29" s="857"/>
      <c r="AI29" s="857"/>
      <c r="AJ29" s="857"/>
      <c r="AK29" s="857"/>
      <c r="AL29" s="857"/>
      <c r="AM29" s="857"/>
      <c r="AN29" s="857"/>
      <c r="AO29" s="857"/>
      <c r="AP29" s="857"/>
      <c r="AQ29" s="857"/>
      <c r="AR29" s="857"/>
      <c r="AS29" s="857"/>
      <c r="AT29" s="857"/>
      <c r="AU29" s="857"/>
      <c r="AV29" s="857"/>
      <c r="AW29" s="857"/>
      <c r="AX29" s="857"/>
      <c r="AY29" s="857"/>
      <c r="AZ29" s="857"/>
      <c r="BA29" s="857"/>
      <c r="BB29" s="857"/>
      <c r="BC29" s="857"/>
      <c r="BD29" s="857"/>
      <c r="BE29" s="857"/>
      <c r="BF29" s="857"/>
      <c r="BG29" s="857"/>
      <c r="BH29" s="857"/>
      <c r="BI29" s="857"/>
      <c r="BJ29" s="857"/>
      <c r="BK29" s="857"/>
    </row>
    <row r="30" spans="1:63" ht="4.5" hidden="1" customHeight="1" outlineLevel="1" thickTop="1" thickBot="1">
      <c r="A30" s="645"/>
      <c r="B30" s="863"/>
      <c r="C30" s="417"/>
      <c r="D30" s="408"/>
      <c r="E30" s="416"/>
      <c r="F30" s="408"/>
      <c r="G30" s="416"/>
      <c r="H30" s="408"/>
      <c r="I30" s="408"/>
      <c r="J30" s="408"/>
      <c r="K30" s="408"/>
      <c r="L30" s="408"/>
      <c r="M30" s="408"/>
      <c r="N30" s="408"/>
      <c r="O30" s="418"/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  <c r="AA30" s="408"/>
      <c r="AB30" s="408"/>
      <c r="AC30" s="408"/>
      <c r="AD30" s="408"/>
      <c r="AE30" s="408"/>
      <c r="AF30" s="873"/>
      <c r="AH30" s="857"/>
      <c r="AI30" s="857"/>
      <c r="AJ30" s="857"/>
      <c r="AK30" s="857"/>
      <c r="AL30" s="857"/>
      <c r="AM30" s="857"/>
      <c r="AN30" s="857"/>
      <c r="AO30" s="857"/>
      <c r="AP30" s="857"/>
      <c r="AQ30" s="857"/>
      <c r="AR30" s="857"/>
      <c r="AS30" s="857"/>
      <c r="AT30" s="857"/>
      <c r="AU30" s="857"/>
      <c r="AV30" s="857"/>
      <c r="AW30" s="857"/>
      <c r="AX30" s="857"/>
      <c r="AY30" s="857"/>
      <c r="AZ30" s="857"/>
      <c r="BA30" s="857"/>
      <c r="BB30" s="857"/>
      <c r="BC30" s="857"/>
      <c r="BD30" s="857"/>
      <c r="BE30" s="857"/>
      <c r="BF30" s="857"/>
      <c r="BG30" s="857"/>
      <c r="BH30" s="857"/>
      <c r="BI30" s="857"/>
      <c r="BJ30" s="857"/>
      <c r="BK30" s="857"/>
    </row>
    <row r="31" spans="1:63" ht="14.25" hidden="1" outlineLevel="1" thickTop="1" thickBot="1">
      <c r="A31" s="645"/>
      <c r="B31" s="863"/>
      <c r="C31" s="407" t="s">
        <v>440</v>
      </c>
      <c r="D31" s="408"/>
      <c r="E31" s="419">
        <v>19.3</v>
      </c>
      <c r="F31" s="408"/>
      <c r="G31" s="420"/>
      <c r="H31" s="408"/>
      <c r="I31" s="421"/>
      <c r="J31" s="408"/>
      <c r="K31" s="410">
        <v>1</v>
      </c>
      <c r="L31" s="408"/>
      <c r="M31" s="419">
        <v>22.232000000000003</v>
      </c>
      <c r="N31" s="408"/>
      <c r="O31" s="422">
        <v>5.2</v>
      </c>
      <c r="P31" s="409"/>
      <c r="Q31" s="409">
        <v>0</v>
      </c>
      <c r="R31" s="408"/>
      <c r="S31" s="422">
        <v>5.2</v>
      </c>
      <c r="T31" s="408"/>
      <c r="U31" s="419">
        <v>115.60640000000002</v>
      </c>
      <c r="V31" s="408"/>
      <c r="W31" s="423">
        <v>36.5</v>
      </c>
      <c r="X31" s="408"/>
      <c r="Y31" s="422">
        <f>U31*W31</f>
        <v>4219.633600000001</v>
      </c>
      <c r="Z31" s="411"/>
      <c r="AA31" s="895">
        <v>1.0705935955661767</v>
      </c>
      <c r="AB31" s="413"/>
      <c r="AC31" s="423">
        <f>W31</f>
        <v>36.5</v>
      </c>
      <c r="AD31" s="413"/>
      <c r="AE31" s="422">
        <f>Y31/AC31/M31</f>
        <v>5.2</v>
      </c>
      <c r="AF31" s="873"/>
      <c r="AH31" s="857"/>
      <c r="AI31" s="857"/>
      <c r="AJ31" s="857"/>
      <c r="AK31" s="857"/>
      <c r="AL31" s="857"/>
      <c r="AM31" s="857"/>
      <c r="AN31" s="857"/>
      <c r="AO31" s="857"/>
      <c r="AP31" s="857"/>
      <c r="AQ31" s="857"/>
      <c r="AR31" s="857"/>
      <c r="AS31" s="857"/>
      <c r="AT31" s="857"/>
      <c r="AU31" s="857"/>
      <c r="AV31" s="857"/>
      <c r="AW31" s="857"/>
      <c r="AX31" s="857"/>
      <c r="AY31" s="857"/>
      <c r="AZ31" s="857"/>
      <c r="BA31" s="857"/>
      <c r="BB31" s="857"/>
      <c r="BC31" s="857"/>
      <c r="BD31" s="857"/>
      <c r="BE31" s="857"/>
      <c r="BF31" s="857"/>
      <c r="BG31" s="857"/>
      <c r="BH31" s="857"/>
      <c r="BI31" s="857"/>
      <c r="BJ31" s="857"/>
      <c r="BK31" s="857"/>
    </row>
    <row r="32" spans="1:63" ht="22.5" hidden="1" customHeight="1" outlineLevel="1" thickBot="1">
      <c r="A32" s="645"/>
      <c r="B32" s="863"/>
      <c r="C32" s="414" t="s">
        <v>645</v>
      </c>
      <c r="D32" s="408"/>
      <c r="E32" s="415" t="s">
        <v>425</v>
      </c>
      <c r="F32" s="408"/>
      <c r="G32" s="415" t="s">
        <v>640</v>
      </c>
      <c r="H32" s="408"/>
      <c r="I32" s="415" t="s">
        <v>425</v>
      </c>
      <c r="J32" s="408"/>
      <c r="K32" s="415" t="s">
        <v>337</v>
      </c>
      <c r="L32" s="408"/>
      <c r="M32" s="415" t="s">
        <v>641</v>
      </c>
      <c r="N32" s="408"/>
      <c r="O32" s="415" t="s">
        <v>265</v>
      </c>
      <c r="P32" s="408"/>
      <c r="Q32" s="415" t="s">
        <v>175</v>
      </c>
      <c r="R32" s="408"/>
      <c r="S32" s="415" t="s">
        <v>265</v>
      </c>
      <c r="T32" s="408"/>
      <c r="U32" s="415" t="s">
        <v>429</v>
      </c>
      <c r="V32" s="408"/>
      <c r="W32" s="415" t="s">
        <v>430</v>
      </c>
      <c r="X32" s="408"/>
      <c r="Y32" s="415" t="s">
        <v>44</v>
      </c>
      <c r="Z32" s="416"/>
      <c r="AA32" s="415" t="s">
        <v>176</v>
      </c>
      <c r="AB32" s="416"/>
      <c r="AC32" s="415" t="s">
        <v>431</v>
      </c>
      <c r="AD32" s="413"/>
      <c r="AE32" s="415" t="s">
        <v>45</v>
      </c>
      <c r="AF32" s="873"/>
      <c r="AH32" s="857"/>
      <c r="AI32" s="857"/>
      <c r="AJ32" s="857"/>
      <c r="AK32" s="857"/>
      <c r="AL32" s="857"/>
      <c r="AM32" s="857"/>
      <c r="AN32" s="857"/>
      <c r="AO32" s="857"/>
      <c r="AP32" s="857"/>
      <c r="AQ32" s="857"/>
      <c r="AR32" s="857"/>
      <c r="AS32" s="857"/>
      <c r="AT32" s="857"/>
      <c r="AU32" s="857"/>
      <c r="AV32" s="857"/>
      <c r="AW32" s="857"/>
      <c r="AX32" s="857"/>
      <c r="AY32" s="857"/>
      <c r="AZ32" s="857"/>
      <c r="BA32" s="857"/>
      <c r="BB32" s="857"/>
      <c r="BC32" s="857"/>
      <c r="BD32" s="857"/>
      <c r="BE32" s="857"/>
      <c r="BF32" s="857"/>
      <c r="BG32" s="857"/>
      <c r="BH32" s="857"/>
      <c r="BI32" s="857"/>
      <c r="BJ32" s="857"/>
      <c r="BK32" s="857"/>
    </row>
    <row r="33" spans="1:63" ht="4.5" hidden="1" customHeight="1" outlineLevel="1" thickBot="1">
      <c r="A33" s="645"/>
      <c r="B33" s="863"/>
      <c r="C33" s="417"/>
      <c r="D33" s="408"/>
      <c r="E33" s="416"/>
      <c r="F33" s="408"/>
      <c r="G33" s="416"/>
      <c r="H33" s="408"/>
      <c r="I33" s="408"/>
      <c r="J33" s="408"/>
      <c r="K33" s="408"/>
      <c r="L33" s="408"/>
      <c r="M33" s="408"/>
      <c r="N33" s="408"/>
      <c r="O33" s="418"/>
      <c r="P33" s="408"/>
      <c r="Q33" s="408"/>
      <c r="R33" s="408"/>
      <c r="S33" s="408"/>
      <c r="T33" s="408"/>
      <c r="U33" s="408"/>
      <c r="V33" s="408"/>
      <c r="W33" s="408"/>
      <c r="X33" s="408"/>
      <c r="Y33" s="408"/>
      <c r="Z33" s="408"/>
      <c r="AA33" s="408"/>
      <c r="AB33" s="408"/>
      <c r="AC33" s="408"/>
      <c r="AD33" s="408"/>
      <c r="AE33" s="408"/>
      <c r="AF33" s="873"/>
      <c r="AH33" s="857"/>
      <c r="AI33" s="857"/>
      <c r="AJ33" s="857"/>
      <c r="AK33" s="857"/>
      <c r="AL33" s="857"/>
      <c r="AM33" s="857"/>
      <c r="AN33" s="857"/>
      <c r="AO33" s="857"/>
      <c r="AP33" s="857"/>
      <c r="AQ33" s="857"/>
      <c r="AR33" s="857"/>
      <c r="AS33" s="857"/>
      <c r="AT33" s="857"/>
      <c r="AU33" s="857"/>
      <c r="AV33" s="857"/>
      <c r="AW33" s="857"/>
      <c r="AX33" s="857"/>
      <c r="AY33" s="857"/>
      <c r="AZ33" s="857"/>
      <c r="BA33" s="857"/>
      <c r="BB33" s="857"/>
      <c r="BC33" s="857"/>
      <c r="BD33" s="857"/>
      <c r="BE33" s="857"/>
      <c r="BF33" s="857"/>
      <c r="BG33" s="857"/>
      <c r="BH33" s="857"/>
      <c r="BI33" s="857"/>
      <c r="BJ33" s="857"/>
      <c r="BK33" s="857"/>
    </row>
    <row r="34" spans="1:63" ht="14.25" hidden="1" outlineLevel="1" thickTop="1" thickBot="1">
      <c r="A34" s="645"/>
      <c r="B34" s="863"/>
      <c r="C34" s="407" t="s">
        <v>442</v>
      </c>
      <c r="D34" s="408"/>
      <c r="E34" s="419">
        <f>E31*1.12</f>
        <v>21.616000000000003</v>
      </c>
      <c r="F34" s="408"/>
      <c r="G34" s="420"/>
      <c r="H34" s="408"/>
      <c r="I34" s="421"/>
      <c r="J34" s="408"/>
      <c r="K34" s="410">
        <v>1</v>
      </c>
      <c r="L34" s="408"/>
      <c r="M34" s="419">
        <f>E34/K34</f>
        <v>21.616000000000003</v>
      </c>
      <c r="N34" s="408"/>
      <c r="O34" s="422">
        <f>U34/M34</f>
        <v>5.2</v>
      </c>
      <c r="P34" s="409"/>
      <c r="Q34" s="409">
        <v>0</v>
      </c>
      <c r="R34" s="408"/>
      <c r="S34" s="422">
        <v>5.2</v>
      </c>
      <c r="T34" s="408"/>
      <c r="U34" s="419">
        <f>M34*S34</f>
        <v>112.40320000000003</v>
      </c>
      <c r="V34" s="408"/>
      <c r="W34" s="423">
        <v>36.5</v>
      </c>
      <c r="X34" s="408"/>
      <c r="Y34" s="422">
        <f>U34*W34</f>
        <v>4102.7168000000011</v>
      </c>
      <c r="Z34" s="411"/>
      <c r="AA34" s="895">
        <f>Y34/Y28</f>
        <v>1.0400242123601149</v>
      </c>
      <c r="AB34" s="413"/>
      <c r="AC34" s="423">
        <f>W34</f>
        <v>36.5</v>
      </c>
      <c r="AD34" s="413"/>
      <c r="AE34" s="422">
        <f>Y34/AC34/M34</f>
        <v>5.2</v>
      </c>
      <c r="AF34" s="873"/>
      <c r="AH34" s="857"/>
      <c r="AI34" s="857"/>
      <c r="AJ34" s="857"/>
      <c r="AK34" s="857"/>
      <c r="AL34" s="857"/>
      <c r="AM34" s="857"/>
      <c r="AN34" s="857"/>
      <c r="AO34" s="857"/>
      <c r="AP34" s="857"/>
      <c r="AQ34" s="857"/>
      <c r="AR34" s="857"/>
      <c r="AS34" s="857"/>
      <c r="AT34" s="857"/>
      <c r="AU34" s="857"/>
      <c r="AV34" s="857"/>
      <c r="AW34" s="857"/>
      <c r="AX34" s="857"/>
      <c r="AY34" s="857"/>
      <c r="AZ34" s="857"/>
      <c r="BA34" s="857"/>
      <c r="BB34" s="857"/>
      <c r="BC34" s="857"/>
      <c r="BD34" s="857"/>
      <c r="BE34" s="857"/>
      <c r="BF34" s="857"/>
      <c r="BG34" s="857"/>
      <c r="BH34" s="857"/>
      <c r="BI34" s="857"/>
      <c r="BJ34" s="857"/>
      <c r="BK34" s="857"/>
    </row>
    <row r="35" spans="1:63" ht="6" customHeight="1" collapsed="1" thickBot="1">
      <c r="A35" s="645"/>
      <c r="B35" s="896"/>
      <c r="C35" s="897"/>
      <c r="D35" s="898"/>
      <c r="E35" s="899"/>
      <c r="F35" s="898"/>
      <c r="G35" s="898"/>
      <c r="H35" s="898"/>
      <c r="I35" s="898"/>
      <c r="J35" s="898"/>
      <c r="K35" s="898"/>
      <c r="L35" s="898"/>
      <c r="M35" s="898"/>
      <c r="N35" s="898"/>
      <c r="O35" s="898"/>
      <c r="P35" s="898"/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  <c r="AC35" s="898"/>
      <c r="AD35" s="898"/>
      <c r="AE35" s="898"/>
      <c r="AF35" s="900"/>
      <c r="AH35" s="857"/>
      <c r="AI35" s="857"/>
      <c r="AJ35" s="857"/>
      <c r="AK35" s="857"/>
      <c r="AL35" s="857"/>
      <c r="AM35" s="857"/>
      <c r="AN35" s="857"/>
      <c r="AO35" s="857"/>
      <c r="AP35" s="857"/>
      <c r="AQ35" s="857"/>
      <c r="AR35" s="857"/>
      <c r="AS35" s="857"/>
      <c r="AT35" s="857"/>
      <c r="AU35" s="857"/>
      <c r="AV35" s="857"/>
      <c r="AW35" s="857"/>
      <c r="AX35" s="857"/>
      <c r="AY35" s="857"/>
      <c r="AZ35" s="857"/>
      <c r="BA35" s="857"/>
      <c r="BB35" s="857"/>
      <c r="BC35" s="857"/>
      <c r="BD35" s="857"/>
      <c r="BE35" s="857"/>
      <c r="BF35" s="857"/>
      <c r="BG35" s="857"/>
      <c r="BH35" s="857"/>
      <c r="BI35" s="857"/>
      <c r="BJ35" s="857"/>
      <c r="BK35" s="857"/>
    </row>
    <row r="36" spans="1:63" ht="14.25" thickTop="1" thickBot="1">
      <c r="A36" s="645"/>
      <c r="B36" s="645"/>
      <c r="C36" s="858"/>
      <c r="D36" s="645"/>
      <c r="E36" s="1064">
        <v>4.2</v>
      </c>
      <c r="F36" s="645"/>
      <c r="G36" s="645"/>
      <c r="H36" s="645"/>
      <c r="I36" s="645"/>
      <c r="J36" s="645"/>
      <c r="K36" s="645"/>
      <c r="L36" s="645"/>
      <c r="M36" s="645"/>
      <c r="N36" s="645"/>
      <c r="O36" s="645"/>
      <c r="P36" s="645"/>
      <c r="Q36" s="1064">
        <v>4.2</v>
      </c>
      <c r="R36" s="645"/>
      <c r="S36" s="645"/>
      <c r="T36" s="645"/>
      <c r="U36" s="645"/>
      <c r="V36" s="645"/>
      <c r="W36" s="645"/>
      <c r="X36" s="645"/>
      <c r="Y36" s="855"/>
      <c r="Z36" s="645"/>
      <c r="AA36" s="645"/>
      <c r="AB36" s="645"/>
      <c r="AC36" s="645"/>
      <c r="AD36" s="645"/>
      <c r="AE36" s="645"/>
      <c r="AF36" s="645"/>
      <c r="AH36" s="857"/>
      <c r="AI36" s="857"/>
      <c r="AJ36" s="857"/>
      <c r="AK36" s="857"/>
      <c r="AL36" s="857"/>
      <c r="AM36" s="857"/>
      <c r="AN36" s="857"/>
      <c r="AO36" s="857"/>
      <c r="AP36" s="857"/>
      <c r="AQ36" s="857"/>
      <c r="AR36" s="857"/>
      <c r="AS36" s="857"/>
      <c r="AT36" s="857"/>
      <c r="AU36" s="857"/>
      <c r="AV36" s="857"/>
      <c r="AW36" s="857"/>
      <c r="AX36" s="857"/>
      <c r="AY36" s="857"/>
      <c r="AZ36" s="857"/>
      <c r="BA36" s="857"/>
      <c r="BB36" s="857"/>
      <c r="BC36" s="857"/>
      <c r="BD36" s="857"/>
      <c r="BE36" s="857"/>
      <c r="BF36" s="857"/>
      <c r="BG36" s="857"/>
      <c r="BH36" s="857"/>
      <c r="BI36" s="857"/>
      <c r="BJ36" s="857"/>
      <c r="BK36" s="857"/>
    </row>
    <row r="37" spans="1:63" ht="13.5" thickBot="1">
      <c r="A37" s="645"/>
      <c r="B37" s="645"/>
      <c r="C37" s="644"/>
      <c r="D37" s="645"/>
      <c r="E37" s="1160"/>
      <c r="F37" s="1161"/>
      <c r="G37" s="1160" t="s">
        <v>692</v>
      </c>
      <c r="H37" s="1161"/>
      <c r="I37" s="1160" t="s">
        <v>693</v>
      </c>
      <c r="J37" s="1161"/>
      <c r="K37" s="1160" t="s">
        <v>720</v>
      </c>
      <c r="L37" s="1165"/>
      <c r="M37" s="1161"/>
      <c r="N37" s="645"/>
      <c r="O37" s="645"/>
      <c r="P37" s="645"/>
      <c r="Q37" s="1160" t="s">
        <v>721</v>
      </c>
      <c r="R37" s="1165"/>
      <c r="S37" s="1161"/>
      <c r="T37" s="6"/>
      <c r="U37" s="6"/>
      <c r="V37" s="645"/>
      <c r="W37" s="645"/>
      <c r="X37" s="645"/>
      <c r="Y37" s="645"/>
      <c r="Z37" s="645"/>
      <c r="AA37" s="645"/>
      <c r="AB37" s="645"/>
      <c r="AC37" s="645"/>
      <c r="AD37" s="645"/>
      <c r="AE37" s="645"/>
      <c r="AF37" s="645"/>
      <c r="AH37" s="857"/>
      <c r="AI37" s="857"/>
      <c r="AJ37" s="857"/>
      <c r="AK37" s="857"/>
      <c r="AL37" s="857"/>
      <c r="AM37" s="857"/>
      <c r="AN37" s="857"/>
      <c r="AO37" s="857"/>
      <c r="AP37" s="857"/>
      <c r="AQ37" s="857"/>
      <c r="AR37" s="857"/>
      <c r="AS37" s="857"/>
      <c r="AT37" s="857"/>
      <c r="AU37" s="857"/>
      <c r="AV37" s="857"/>
      <c r="AW37" s="857"/>
      <c r="AX37" s="857"/>
      <c r="AY37" s="857"/>
      <c r="AZ37" s="857"/>
      <c r="BA37" s="857"/>
      <c r="BB37" s="857"/>
      <c r="BC37" s="857"/>
      <c r="BD37" s="857"/>
      <c r="BE37" s="857"/>
      <c r="BF37" s="857"/>
      <c r="BG37" s="857"/>
      <c r="BH37" s="857"/>
      <c r="BI37" s="857"/>
      <c r="BJ37" s="857"/>
      <c r="BK37" s="857"/>
    </row>
    <row r="38" spans="1:63" ht="16.5" thickBot="1">
      <c r="A38" s="645"/>
      <c r="B38" s="645"/>
      <c r="C38" s="646" t="s">
        <v>718</v>
      </c>
      <c r="D38" s="645"/>
      <c r="E38" s="901">
        <v>6.1</v>
      </c>
      <c r="F38" s="901">
        <f>E38</f>
        <v>6.1</v>
      </c>
      <c r="G38" s="902">
        <v>3.95</v>
      </c>
      <c r="H38" s="902">
        <f>G38</f>
        <v>3.95</v>
      </c>
      <c r="I38" s="902">
        <v>4.07</v>
      </c>
      <c r="J38" s="902">
        <f>I38</f>
        <v>4.07</v>
      </c>
      <c r="K38" s="802">
        <f>E36+E36*$F$5</f>
        <v>4.62</v>
      </c>
      <c r="L38" s="6"/>
      <c r="M38" s="903">
        <f>K38-K38*$I$2</f>
        <v>4.62</v>
      </c>
      <c r="N38" s="6"/>
      <c r="O38" s="6"/>
      <c r="P38" s="6"/>
      <c r="Q38" s="802">
        <f>Q36*(1+$F$6)</f>
        <v>4.620000000000001</v>
      </c>
      <c r="R38" s="6"/>
      <c r="S38" s="903">
        <f>M38</f>
        <v>4.62</v>
      </c>
      <c r="T38" s="645"/>
      <c r="U38" s="645"/>
      <c r="V38" s="645"/>
      <c r="W38" s="645"/>
      <c r="X38" s="645"/>
      <c r="Y38" s="645"/>
      <c r="Z38" s="645"/>
      <c r="AA38" s="645"/>
      <c r="AB38" s="645"/>
      <c r="AC38" s="645"/>
      <c r="AD38" s="645"/>
      <c r="AE38" s="645"/>
      <c r="AF38" s="645"/>
      <c r="AH38" s="857"/>
      <c r="AI38" s="857"/>
      <c r="AJ38" s="857"/>
      <c r="AK38" s="857"/>
      <c r="AL38" s="857"/>
      <c r="AM38" s="857"/>
      <c r="AN38" s="857"/>
      <c r="AO38" s="857"/>
      <c r="AP38" s="857"/>
      <c r="AQ38" s="857"/>
      <c r="AR38" s="857"/>
      <c r="AS38" s="857"/>
      <c r="AT38" s="857"/>
      <c r="AU38" s="857"/>
      <c r="AV38" s="857"/>
      <c r="AW38" s="857"/>
      <c r="AX38" s="857"/>
      <c r="AY38" s="857"/>
      <c r="AZ38" s="857"/>
      <c r="BA38" s="857"/>
      <c r="BB38" s="857"/>
      <c r="BC38" s="857"/>
      <c r="BD38" s="857"/>
      <c r="BE38" s="857"/>
      <c r="BF38" s="857"/>
      <c r="BG38" s="857"/>
      <c r="BH38" s="857"/>
      <c r="BI38" s="857"/>
      <c r="BJ38" s="857"/>
      <c r="BK38" s="857"/>
    </row>
    <row r="39" spans="1:63" ht="16.5" thickBot="1">
      <c r="A39" s="645"/>
      <c r="B39" s="645"/>
      <c r="C39" s="646" t="s">
        <v>719</v>
      </c>
      <c r="D39" s="645"/>
      <c r="E39" s="924">
        <v>90.543185955023191</v>
      </c>
      <c r="F39" s="904">
        <f>E39*$H$2</f>
        <v>8058.3435499970637</v>
      </c>
      <c r="G39" s="925">
        <v>84.293489474417967</v>
      </c>
      <c r="H39" s="905">
        <f>G39*$H$2</f>
        <v>7502.1205632231995</v>
      </c>
      <c r="I39" s="925">
        <v>109.30543951074552</v>
      </c>
      <c r="J39" s="905">
        <f>I39*$H$2</f>
        <v>9728.1841164563502</v>
      </c>
      <c r="K39" s="926">
        <v>25.749249249249278</v>
      </c>
      <c r="L39" s="906"/>
      <c r="M39" s="907">
        <f>H2</f>
        <v>89</v>
      </c>
      <c r="N39" s="6"/>
      <c r="O39" s="6"/>
      <c r="P39" s="6"/>
      <c r="Q39" s="926">
        <v>25.749249249249278</v>
      </c>
      <c r="R39" s="6"/>
      <c r="S39" s="907">
        <f>Q39*$H$2</f>
        <v>2291.6831831831855</v>
      </c>
      <c r="T39" s="645"/>
      <c r="U39" s="645"/>
      <c r="V39" s="645"/>
      <c r="W39" s="645"/>
      <c r="X39" s="645"/>
      <c r="Y39" s="645"/>
      <c r="Z39" s="645"/>
      <c r="AA39" s="645"/>
      <c r="AB39" s="645"/>
      <c r="AC39" s="645"/>
      <c r="AD39" s="645"/>
      <c r="AE39" s="645"/>
      <c r="AF39" s="645"/>
      <c r="AH39" s="857"/>
      <c r="AI39" s="857"/>
      <c r="AJ39" s="857"/>
      <c r="AK39" s="857"/>
      <c r="AL39" s="857"/>
      <c r="AM39" s="857"/>
      <c r="AN39" s="857"/>
      <c r="AO39" s="857"/>
      <c r="AP39" s="857"/>
      <c r="AQ39" s="857"/>
      <c r="AR39" s="857"/>
      <c r="AS39" s="857"/>
      <c r="AT39" s="857"/>
      <c r="AU39" s="857"/>
      <c r="AV39" s="857"/>
      <c r="AW39" s="857"/>
      <c r="AX39" s="857"/>
      <c r="AY39" s="857"/>
      <c r="AZ39" s="857"/>
      <c r="BA39" s="857"/>
      <c r="BB39" s="857"/>
      <c r="BC39" s="857"/>
      <c r="BD39" s="857"/>
      <c r="BE39" s="857"/>
      <c r="BF39" s="857"/>
      <c r="BG39" s="857"/>
      <c r="BH39" s="857"/>
      <c r="BI39" s="857"/>
      <c r="BJ39" s="857"/>
      <c r="BK39" s="857"/>
    </row>
    <row r="40" spans="1:63" s="908" customFormat="1" ht="13.5" thickBot="1">
      <c r="A40" s="645"/>
      <c r="B40" s="645"/>
      <c r="C40" s="645"/>
      <c r="D40" s="645"/>
      <c r="E40" s="645"/>
      <c r="F40" s="645"/>
      <c r="G40" s="645"/>
      <c r="H40" s="645"/>
      <c r="I40" s="645"/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45"/>
      <c r="U40" s="645"/>
      <c r="V40" s="645"/>
      <c r="W40" s="645"/>
      <c r="X40" s="645"/>
      <c r="Y40" s="645"/>
      <c r="Z40" s="645"/>
      <c r="AA40" s="645"/>
      <c r="AB40" s="645"/>
      <c r="AC40" s="645"/>
      <c r="AD40" s="645"/>
      <c r="AE40" s="645"/>
      <c r="AF40" s="645"/>
    </row>
    <row r="41" spans="1:63" s="4" customFormat="1" ht="13.5" thickBot="1">
      <c r="A41" s="6"/>
      <c r="B41" s="6"/>
      <c r="C41" s="647"/>
      <c r="D41" s="6"/>
      <c r="E41" s="1162" t="s">
        <v>647</v>
      </c>
      <c r="F41" s="1163"/>
      <c r="G41" s="1164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63" s="4" customFormat="1" ht="6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</row>
    <row r="43" spans="1:63" s="4" customFormat="1" ht="13.5" thickBot="1">
      <c r="A43" s="6"/>
      <c r="B43" s="6"/>
      <c r="C43" s="648"/>
      <c r="D43" s="6"/>
      <c r="E43" s="649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</row>
    <row r="44" spans="1:63" s="4" customFormat="1" ht="7.5" customHeight="1" thickTop="1">
      <c r="A44" s="6"/>
      <c r="B44" s="909"/>
      <c r="C44" s="910"/>
      <c r="D44" s="910"/>
      <c r="E44" s="910"/>
      <c r="F44" s="910"/>
      <c r="G44" s="910"/>
      <c r="H44" s="910"/>
      <c r="I44" s="910"/>
      <c r="J44" s="910"/>
      <c r="K44" s="910"/>
      <c r="L44" s="910"/>
      <c r="M44" s="910"/>
      <c r="N44" s="910"/>
      <c r="O44" s="910"/>
      <c r="P44" s="910"/>
      <c r="Q44" s="910"/>
      <c r="R44" s="910"/>
      <c r="S44" s="910"/>
      <c r="T44" s="910"/>
      <c r="U44" s="910"/>
      <c r="V44" s="910"/>
      <c r="W44" s="910"/>
      <c r="X44" s="910"/>
      <c r="Y44" s="910"/>
      <c r="Z44" s="910"/>
      <c r="AA44" s="910"/>
      <c r="AB44" s="910"/>
      <c r="AC44" s="910"/>
      <c r="AD44" s="910"/>
      <c r="AE44" s="910"/>
      <c r="AF44" s="9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</row>
    <row r="45" spans="1:63" s="4" customFormat="1" ht="3.75" hidden="1" customHeight="1" outlineLevel="1" thickBot="1">
      <c r="A45" s="6"/>
      <c r="B45" s="12"/>
      <c r="C45" s="650"/>
      <c r="D45" s="8"/>
      <c r="E45" s="651"/>
      <c r="F45" s="8"/>
      <c r="G45" s="652"/>
      <c r="H45" s="8"/>
      <c r="I45" s="653"/>
      <c r="J45" s="8"/>
      <c r="K45" s="654"/>
      <c r="L45" s="8"/>
      <c r="M45" s="655"/>
      <c r="N45" s="8"/>
      <c r="O45" s="656"/>
      <c r="P45" s="8"/>
      <c r="Q45" s="652"/>
      <c r="R45" s="8"/>
      <c r="S45" s="656"/>
      <c r="T45" s="8"/>
      <c r="U45" s="655"/>
      <c r="V45" s="8"/>
      <c r="W45" s="657"/>
      <c r="X45" s="8"/>
      <c r="Y45" s="656"/>
      <c r="Z45" s="656"/>
      <c r="AA45" s="658"/>
      <c r="AB45" s="659"/>
      <c r="AC45" s="659"/>
      <c r="AD45" s="659"/>
      <c r="AE45" s="659"/>
      <c r="AF45" s="9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</row>
    <row r="46" spans="1:63" s="4" customFormat="1" ht="22.5" hidden="1" customHeight="1" outlineLevel="1" thickTop="1" thickBot="1">
      <c r="A46" s="6"/>
      <c r="B46" s="12"/>
      <c r="C46" s="874"/>
      <c r="D46" s="8"/>
      <c r="E46" s="13"/>
      <c r="F46" s="8"/>
      <c r="G46" s="13"/>
      <c r="H46" s="8"/>
      <c r="I46" s="13"/>
      <c r="J46" s="8"/>
      <c r="K46" s="13"/>
      <c r="L46" s="8"/>
      <c r="M46" s="13"/>
      <c r="N46" s="8"/>
      <c r="O46" s="13"/>
      <c r="P46" s="8"/>
      <c r="Q46" s="13"/>
      <c r="R46" s="8"/>
      <c r="S46" s="13"/>
      <c r="T46" s="8"/>
      <c r="U46" s="13"/>
      <c r="V46" s="669"/>
      <c r="W46" s="875"/>
      <c r="X46" s="8"/>
      <c r="Y46" s="13"/>
      <c r="Z46" s="14"/>
      <c r="AA46" s="13"/>
      <c r="AB46" s="14"/>
      <c r="AC46" s="13"/>
      <c r="AD46" s="30"/>
      <c r="AE46" s="13"/>
      <c r="AF46" s="9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1:63" s="4" customFormat="1" ht="4.5" hidden="1" customHeight="1" outlineLevel="1" thickTop="1">
      <c r="A47" s="6"/>
      <c r="B47" s="12"/>
      <c r="C47" s="878"/>
      <c r="D47" s="8"/>
      <c r="E47" s="14"/>
      <c r="F47" s="8"/>
      <c r="G47" s="14"/>
      <c r="H47" s="8"/>
      <c r="I47" s="8"/>
      <c r="J47" s="8"/>
      <c r="K47" s="8"/>
      <c r="L47" s="8"/>
      <c r="M47" s="8"/>
      <c r="N47" s="8"/>
      <c r="O47" s="152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9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</row>
    <row r="48" spans="1:63" s="4" customFormat="1" ht="14.25" hidden="1" outlineLevel="1" thickTop="1" thickBot="1">
      <c r="A48" s="6"/>
      <c r="B48" s="12"/>
      <c r="C48" s="880"/>
      <c r="D48" s="8"/>
      <c r="E48" s="424"/>
      <c r="F48" s="8"/>
      <c r="G48" s="153"/>
      <c r="H48" s="8"/>
      <c r="I48" s="154"/>
      <c r="J48" s="8"/>
      <c r="K48" s="29"/>
      <c r="L48" s="8"/>
      <c r="M48" s="424"/>
      <c r="N48" s="8"/>
      <c r="O48" s="15"/>
      <c r="P48" s="28"/>
      <c r="Q48" s="28"/>
      <c r="R48" s="8"/>
      <c r="S48" s="15"/>
      <c r="T48" s="8"/>
      <c r="U48" s="424"/>
      <c r="V48" s="8"/>
      <c r="W48" s="16"/>
      <c r="X48" s="8"/>
      <c r="Y48" s="15"/>
      <c r="Z48" s="35"/>
      <c r="AA48" s="889"/>
      <c r="AB48" s="30"/>
      <c r="AC48" s="16"/>
      <c r="AD48" s="30"/>
      <c r="AE48" s="15"/>
      <c r="AF48" s="9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</row>
    <row r="49" spans="1:63" s="4" customFormat="1" ht="2.25" hidden="1" customHeight="1" outlineLevel="1" thickBot="1">
      <c r="A49" s="6"/>
      <c r="B49" s="12"/>
      <c r="C49" s="880"/>
      <c r="D49" s="8"/>
      <c r="E49" s="31"/>
      <c r="F49" s="8"/>
      <c r="G49" s="28"/>
      <c r="H49" s="8"/>
      <c r="I49" s="32"/>
      <c r="J49" s="8"/>
      <c r="K49" s="29"/>
      <c r="L49" s="8"/>
      <c r="M49" s="33"/>
      <c r="N49" s="8"/>
      <c r="O49" s="35"/>
      <c r="P49" s="8"/>
      <c r="Q49" s="28"/>
      <c r="R49" s="8"/>
      <c r="S49" s="35"/>
      <c r="T49" s="8"/>
      <c r="U49" s="33"/>
      <c r="V49" s="8"/>
      <c r="W49" s="34"/>
      <c r="X49" s="8"/>
      <c r="Y49" s="35"/>
      <c r="Z49" s="35"/>
      <c r="AA49" s="155"/>
      <c r="AB49" s="30"/>
      <c r="AC49" s="30"/>
      <c r="AD49" s="30"/>
      <c r="AE49" s="30"/>
      <c r="AF49" s="9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</row>
    <row r="50" spans="1:63" s="4" customFormat="1" ht="22.5" hidden="1" customHeight="1" outlineLevel="1" thickTop="1" thickBot="1">
      <c r="A50" s="6"/>
      <c r="B50" s="12"/>
      <c r="C50" s="874"/>
      <c r="D50" s="8"/>
      <c r="E50" s="13"/>
      <c r="F50" s="8"/>
      <c r="G50" s="13"/>
      <c r="H50" s="8"/>
      <c r="I50" s="13"/>
      <c r="J50" s="8"/>
      <c r="K50" s="13"/>
      <c r="L50" s="8"/>
      <c r="M50" s="13"/>
      <c r="N50" s="8"/>
      <c r="O50" s="13"/>
      <c r="P50" s="8"/>
      <c r="Q50" s="13"/>
      <c r="R50" s="8"/>
      <c r="S50" s="13"/>
      <c r="T50" s="8"/>
      <c r="U50" s="13"/>
      <c r="V50" s="669"/>
      <c r="W50" s="875"/>
      <c r="X50" s="8"/>
      <c r="Y50" s="13"/>
      <c r="Z50" s="14"/>
      <c r="AA50" s="13"/>
      <c r="AB50" s="14"/>
      <c r="AC50" s="13"/>
      <c r="AD50" s="30"/>
      <c r="AE50" s="13"/>
      <c r="AF50" s="9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</row>
    <row r="51" spans="1:63" s="4" customFormat="1" ht="22.5" hidden="1" customHeight="1" outlineLevel="1" thickTop="1" thickBot="1">
      <c r="A51" s="6"/>
      <c r="B51" s="12"/>
      <c r="C51" s="880"/>
      <c r="D51" s="8"/>
      <c r="E51" s="424"/>
      <c r="F51" s="8"/>
      <c r="G51" s="153"/>
      <c r="H51" s="8"/>
      <c r="I51" s="154"/>
      <c r="J51" s="8"/>
      <c r="K51" s="29"/>
      <c r="L51" s="8"/>
      <c r="M51" s="424"/>
      <c r="N51" s="8"/>
      <c r="O51" s="15"/>
      <c r="P51" s="28"/>
      <c r="Q51" s="28"/>
      <c r="R51" s="8"/>
      <c r="S51" s="15"/>
      <c r="T51" s="8"/>
      <c r="U51" s="424"/>
      <c r="V51" s="8"/>
      <c r="W51" s="16"/>
      <c r="X51" s="8"/>
      <c r="Y51" s="15"/>
      <c r="Z51" s="35"/>
      <c r="AA51" s="889"/>
      <c r="AB51" s="30"/>
      <c r="AC51" s="16"/>
      <c r="AD51" s="30"/>
      <c r="AE51" s="15"/>
      <c r="AF51" s="9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</row>
    <row r="52" spans="1:63" s="4" customFormat="1" ht="3.75" hidden="1" customHeight="1" outlineLevel="1" thickTop="1">
      <c r="A52" s="6"/>
      <c r="B52" s="12"/>
      <c r="C52" s="880"/>
      <c r="D52" s="8"/>
      <c r="E52" s="31"/>
      <c r="F52" s="8"/>
      <c r="G52" s="28"/>
      <c r="H52" s="8"/>
      <c r="I52" s="32"/>
      <c r="J52" s="8"/>
      <c r="K52" s="29"/>
      <c r="L52" s="8"/>
      <c r="M52" s="33"/>
      <c r="N52" s="8"/>
      <c r="O52" s="35"/>
      <c r="P52" s="8"/>
      <c r="Q52" s="28"/>
      <c r="R52" s="8"/>
      <c r="S52" s="35"/>
      <c r="T52" s="8"/>
      <c r="U52" s="33"/>
      <c r="V52" s="8"/>
      <c r="W52" s="34"/>
      <c r="X52" s="8"/>
      <c r="Y52" s="35"/>
      <c r="Z52" s="35"/>
      <c r="AA52" s="155"/>
      <c r="AB52" s="30"/>
      <c r="AC52" s="30"/>
      <c r="AD52" s="30"/>
      <c r="AE52" s="30"/>
      <c r="AF52" s="9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</row>
    <row r="53" spans="1:63" s="4" customFormat="1" ht="22.5" hidden="1" customHeight="1" outlineLevel="1" thickBot="1">
      <c r="A53" s="6"/>
      <c r="B53" s="12"/>
      <c r="C53" s="414" t="s">
        <v>639</v>
      </c>
      <c r="D53" s="8"/>
      <c r="E53" s="13" t="s">
        <v>425</v>
      </c>
      <c r="F53" s="8"/>
      <c r="G53" s="13" t="s">
        <v>640</v>
      </c>
      <c r="H53" s="8"/>
      <c r="I53" s="13" t="s">
        <v>425</v>
      </c>
      <c r="J53" s="8"/>
      <c r="K53" s="13" t="s">
        <v>263</v>
      </c>
      <c r="L53" s="8"/>
      <c r="M53" s="13" t="s">
        <v>641</v>
      </c>
      <c r="N53" s="8"/>
      <c r="O53" s="13" t="s">
        <v>265</v>
      </c>
      <c r="P53" s="8"/>
      <c r="Q53" s="13" t="s">
        <v>175</v>
      </c>
      <c r="R53" s="8"/>
      <c r="S53" s="13" t="s">
        <v>265</v>
      </c>
      <c r="T53" s="8"/>
      <c r="U53" s="13" t="s">
        <v>429</v>
      </c>
      <c r="V53" s="8"/>
      <c r="W53" s="13" t="s">
        <v>430</v>
      </c>
      <c r="X53" s="8"/>
      <c r="Y53" s="13" t="s">
        <v>44</v>
      </c>
      <c r="Z53" s="14"/>
      <c r="AA53" s="13" t="s">
        <v>176</v>
      </c>
      <c r="AB53" s="14"/>
      <c r="AC53" s="13" t="s">
        <v>431</v>
      </c>
      <c r="AD53" s="30"/>
      <c r="AE53" s="13" t="s">
        <v>45</v>
      </c>
      <c r="AF53" s="9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</row>
    <row r="54" spans="1:63" s="4" customFormat="1" ht="4.5" hidden="1" customHeight="1" outlineLevel="1" thickTop="1" thickBot="1">
      <c r="A54" s="6"/>
      <c r="B54" s="12"/>
      <c r="C54" s="417"/>
      <c r="D54" s="8"/>
      <c r="E54" s="14"/>
      <c r="F54" s="8"/>
      <c r="G54" s="14"/>
      <c r="H54" s="8"/>
      <c r="I54" s="8"/>
      <c r="J54" s="8"/>
      <c r="K54" s="8"/>
      <c r="L54" s="8"/>
      <c r="M54" s="8"/>
      <c r="N54" s="8"/>
      <c r="O54" s="152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9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</row>
    <row r="55" spans="1:63" s="4" customFormat="1" ht="14.25" hidden="1" outlineLevel="1" thickTop="1" thickBot="1">
      <c r="A55" s="6"/>
      <c r="B55" s="12"/>
      <c r="C55" s="407" t="s">
        <v>310</v>
      </c>
      <c r="D55" s="8"/>
      <c r="E55" s="419">
        <f>16.2120194882638*1.09</f>
        <v>17.671101242207541</v>
      </c>
      <c r="F55" s="8"/>
      <c r="G55" s="153"/>
      <c r="H55" s="8"/>
      <c r="I55" s="154"/>
      <c r="J55" s="8"/>
      <c r="K55" s="29">
        <v>1</v>
      </c>
      <c r="L55" s="8"/>
      <c r="M55" s="419">
        <f>E55/K55</f>
        <v>17.671101242207541</v>
      </c>
      <c r="N55" s="8"/>
      <c r="O55" s="15">
        <f>U55/M55</f>
        <v>3.8500000000000005</v>
      </c>
      <c r="P55" s="28"/>
      <c r="Q55" s="28">
        <v>0</v>
      </c>
      <c r="R55" s="8"/>
      <c r="S55" s="15">
        <v>3.85</v>
      </c>
      <c r="T55" s="8"/>
      <c r="U55" s="424">
        <f>M55*S55</f>
        <v>68.03373978249904</v>
      </c>
      <c r="V55" s="8"/>
      <c r="W55" s="16">
        <f>W22</f>
        <v>32</v>
      </c>
      <c r="X55" s="8"/>
      <c r="Y55" s="15">
        <f>U55*W55</f>
        <v>2177.0796730399693</v>
      </c>
      <c r="Z55" s="35"/>
      <c r="AA55" s="895" t="e">
        <f>Y55/Y49</f>
        <v>#DIV/0!</v>
      </c>
      <c r="AB55" s="30"/>
      <c r="AC55" s="16">
        <f>W55</f>
        <v>32</v>
      </c>
      <c r="AD55" s="30"/>
      <c r="AE55" s="15">
        <f>Y55/AC55/M55</f>
        <v>3.8500000000000005</v>
      </c>
      <c r="AF55" s="9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</row>
    <row r="56" spans="1:63" s="4" customFormat="1" ht="22.5" hidden="1" customHeight="1" outlineLevel="1" thickBot="1">
      <c r="A56" s="6"/>
      <c r="B56" s="12"/>
      <c r="C56" s="414" t="s">
        <v>643</v>
      </c>
      <c r="D56" s="8"/>
      <c r="E56" s="13" t="s">
        <v>425</v>
      </c>
      <c r="F56" s="8"/>
      <c r="G56" s="13" t="s">
        <v>640</v>
      </c>
      <c r="H56" s="8"/>
      <c r="I56" s="13" t="s">
        <v>425</v>
      </c>
      <c r="J56" s="8"/>
      <c r="K56" s="13" t="s">
        <v>263</v>
      </c>
      <c r="L56" s="8"/>
      <c r="M56" s="13" t="s">
        <v>641</v>
      </c>
      <c r="N56" s="8"/>
      <c r="O56" s="13" t="s">
        <v>265</v>
      </c>
      <c r="P56" s="8"/>
      <c r="Q56" s="13" t="s">
        <v>175</v>
      </c>
      <c r="R56" s="8"/>
      <c r="S56" s="13" t="s">
        <v>265</v>
      </c>
      <c r="T56" s="8"/>
      <c r="U56" s="13" t="s">
        <v>429</v>
      </c>
      <c r="V56" s="8"/>
      <c r="W56" s="13" t="s">
        <v>430</v>
      </c>
      <c r="X56" s="8"/>
      <c r="Y56" s="13" t="s">
        <v>44</v>
      </c>
      <c r="Z56" s="14"/>
      <c r="AA56" s="13" t="s">
        <v>176</v>
      </c>
      <c r="AB56" s="14"/>
      <c r="AC56" s="13" t="s">
        <v>431</v>
      </c>
      <c r="AD56" s="30"/>
      <c r="AE56" s="13" t="s">
        <v>45</v>
      </c>
      <c r="AF56" s="9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</row>
    <row r="57" spans="1:63" s="4" customFormat="1" ht="6" hidden="1" customHeight="1" outlineLevel="1" thickTop="1" thickBot="1">
      <c r="A57" s="6"/>
      <c r="B57" s="12"/>
      <c r="C57" s="878"/>
      <c r="D57" s="8"/>
      <c r="E57" s="14"/>
      <c r="F57" s="8"/>
      <c r="G57" s="14"/>
      <c r="H57" s="8"/>
      <c r="I57" s="8"/>
      <c r="J57" s="8"/>
      <c r="K57" s="8"/>
      <c r="L57" s="8"/>
      <c r="M57" s="8"/>
      <c r="N57" s="8"/>
      <c r="O57" s="152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9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</row>
    <row r="58" spans="1:63" s="4" customFormat="1" ht="14.25" hidden="1" outlineLevel="1" thickTop="1" thickBot="1">
      <c r="A58" s="6"/>
      <c r="B58" s="12"/>
      <c r="C58" s="407" t="s">
        <v>333</v>
      </c>
      <c r="D58" s="8"/>
      <c r="E58" s="419">
        <f>9.96762938823986*1.09</f>
        <v>10.864716033181448</v>
      </c>
      <c r="F58" s="8"/>
      <c r="G58" s="153"/>
      <c r="H58" s="8"/>
      <c r="I58" s="154"/>
      <c r="J58" s="8"/>
      <c r="K58" s="29">
        <v>1</v>
      </c>
      <c r="L58" s="8"/>
      <c r="M58" s="419">
        <f>E58/K58</f>
        <v>10.864716033181448</v>
      </c>
      <c r="N58" s="8"/>
      <c r="O58" s="15">
        <f>U58/M58</f>
        <v>3.4200000000000004</v>
      </c>
      <c r="P58" s="28"/>
      <c r="Q58" s="28">
        <v>0</v>
      </c>
      <c r="R58" s="8"/>
      <c r="S58" s="15">
        <v>3.42</v>
      </c>
      <c r="T58" s="8"/>
      <c r="U58" s="424">
        <f>M58*S58</f>
        <v>37.157328833480555</v>
      </c>
      <c r="V58" s="8"/>
      <c r="W58" s="16">
        <f>W28</f>
        <v>35.5</v>
      </c>
      <c r="X58" s="8"/>
      <c r="Y58" s="15">
        <f>U58*W58</f>
        <v>1319.0851735885597</v>
      </c>
      <c r="Z58" s="35"/>
      <c r="AA58" s="895" t="e">
        <f>Y58/Y52</f>
        <v>#DIV/0!</v>
      </c>
      <c r="AB58" s="30"/>
      <c r="AC58" s="423">
        <f>W58</f>
        <v>35.5</v>
      </c>
      <c r="AD58" s="30"/>
      <c r="AE58" s="15">
        <f>Y58/AC58/M58</f>
        <v>3.4200000000000004</v>
      </c>
      <c r="AF58" s="9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</row>
    <row r="59" spans="1:63" s="4" customFormat="1" ht="22.5" hidden="1" customHeight="1" outlineLevel="1">
      <c r="A59" s="6"/>
      <c r="B59" s="12"/>
      <c r="C59" s="414" t="s">
        <v>433</v>
      </c>
      <c r="D59" s="8"/>
      <c r="E59" s="13" t="s">
        <v>425</v>
      </c>
      <c r="F59" s="8"/>
      <c r="G59" s="13" t="s">
        <v>640</v>
      </c>
      <c r="H59" s="8"/>
      <c r="I59" s="13" t="s">
        <v>425</v>
      </c>
      <c r="J59" s="8"/>
      <c r="K59" s="13" t="s">
        <v>264</v>
      </c>
      <c r="L59" s="8"/>
      <c r="M59" s="13" t="s">
        <v>641</v>
      </c>
      <c r="N59" s="8"/>
      <c r="O59" s="13" t="s">
        <v>265</v>
      </c>
      <c r="P59" s="8"/>
      <c r="Q59" s="13" t="s">
        <v>175</v>
      </c>
      <c r="R59" s="8"/>
      <c r="S59" s="13" t="s">
        <v>265</v>
      </c>
      <c r="T59" s="8"/>
      <c r="U59" s="13" t="s">
        <v>429</v>
      </c>
      <c r="V59" s="8"/>
      <c r="W59" s="13" t="s">
        <v>430</v>
      </c>
      <c r="X59" s="8"/>
      <c r="Y59" s="13" t="s">
        <v>44</v>
      </c>
      <c r="Z59" s="14"/>
      <c r="AA59" s="13" t="s">
        <v>176</v>
      </c>
      <c r="AB59" s="14"/>
      <c r="AC59" s="13" t="s">
        <v>431</v>
      </c>
      <c r="AD59" s="30"/>
      <c r="AE59" s="13" t="s">
        <v>45</v>
      </c>
      <c r="AF59" s="9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</row>
    <row r="60" spans="1:63" s="4" customFormat="1" ht="4.5" hidden="1" customHeight="1" outlineLevel="1" thickBot="1">
      <c r="A60" s="6"/>
      <c r="B60" s="12"/>
      <c r="C60" s="417"/>
      <c r="D60" s="8"/>
      <c r="E60" s="14"/>
      <c r="F60" s="8"/>
      <c r="G60" s="14"/>
      <c r="H60" s="8"/>
      <c r="I60" s="8"/>
      <c r="J60" s="8"/>
      <c r="K60" s="8"/>
      <c r="L60" s="8"/>
      <c r="M60" s="14"/>
      <c r="N60" s="8"/>
      <c r="O60" s="152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9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</row>
    <row r="61" spans="1:63" s="4" customFormat="1" ht="14.25" hidden="1" outlineLevel="1" thickTop="1" thickBot="1">
      <c r="A61" s="6"/>
      <c r="B61" s="12"/>
      <c r="C61" s="407" t="s">
        <v>334</v>
      </c>
      <c r="D61" s="8"/>
      <c r="E61" s="419">
        <f>16.2120194882638*1.09</f>
        <v>17.671101242207541</v>
      </c>
      <c r="F61" s="8"/>
      <c r="G61" s="153"/>
      <c r="H61" s="8"/>
      <c r="I61" s="154"/>
      <c r="J61" s="8"/>
      <c r="K61" s="29">
        <v>1</v>
      </c>
      <c r="L61" s="8"/>
      <c r="M61" s="419">
        <f>E61/K61</f>
        <v>17.671101242207541</v>
      </c>
      <c r="N61" s="8"/>
      <c r="O61" s="15">
        <f>U61/M61</f>
        <v>3.6</v>
      </c>
      <c r="P61" s="28"/>
      <c r="Q61" s="28">
        <v>0</v>
      </c>
      <c r="R61" s="8"/>
      <c r="S61" s="15">
        <v>3.6</v>
      </c>
      <c r="T61" s="8"/>
      <c r="U61" s="424">
        <f>M61*S61</f>
        <v>63.615964471947152</v>
      </c>
      <c r="V61" s="8"/>
      <c r="W61" s="16">
        <f>W28</f>
        <v>35.5</v>
      </c>
      <c r="X61" s="8"/>
      <c r="Y61" s="15">
        <f>U61*W61</f>
        <v>2258.3667387541241</v>
      </c>
      <c r="Z61" s="35"/>
      <c r="AA61" s="895">
        <f>Y61/Y55</f>
        <v>1.0373376623376624</v>
      </c>
      <c r="AB61" s="30"/>
      <c r="AC61" s="16">
        <f>W61</f>
        <v>35.5</v>
      </c>
      <c r="AD61" s="30"/>
      <c r="AE61" s="15">
        <f>Y61/AC61/M61</f>
        <v>3.6000000000000005</v>
      </c>
      <c r="AF61" s="9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</row>
    <row r="62" spans="1:63" s="4" customFormat="1" ht="22.5" hidden="1" customHeight="1" outlineLevel="1" thickBot="1">
      <c r="A62" s="6"/>
      <c r="B62" s="12"/>
      <c r="C62" s="414" t="s">
        <v>644</v>
      </c>
      <c r="D62" s="8"/>
      <c r="E62" s="13" t="s">
        <v>425</v>
      </c>
      <c r="F62" s="8"/>
      <c r="G62" s="13" t="s">
        <v>640</v>
      </c>
      <c r="H62" s="8"/>
      <c r="I62" s="13" t="s">
        <v>425</v>
      </c>
      <c r="J62" s="8"/>
      <c r="K62" s="13" t="s">
        <v>264</v>
      </c>
      <c r="L62" s="8"/>
      <c r="M62" s="13" t="s">
        <v>641</v>
      </c>
      <c r="N62" s="8"/>
      <c r="O62" s="13" t="s">
        <v>265</v>
      </c>
      <c r="P62" s="8"/>
      <c r="Q62" s="13" t="s">
        <v>175</v>
      </c>
      <c r="R62" s="8"/>
      <c r="S62" s="13" t="s">
        <v>265</v>
      </c>
      <c r="T62" s="8"/>
      <c r="U62" s="13" t="s">
        <v>429</v>
      </c>
      <c r="V62" s="8"/>
      <c r="W62" s="13" t="s">
        <v>430</v>
      </c>
      <c r="X62" s="8"/>
      <c r="Y62" s="13" t="s">
        <v>44</v>
      </c>
      <c r="Z62" s="14"/>
      <c r="AA62" s="13" t="s">
        <v>176</v>
      </c>
      <c r="AB62" s="14"/>
      <c r="AC62" s="13" t="s">
        <v>431</v>
      </c>
      <c r="AD62" s="30"/>
      <c r="AE62" s="13" t="s">
        <v>45</v>
      </c>
      <c r="AF62" s="9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</row>
    <row r="63" spans="1:63" s="4" customFormat="1" ht="6" hidden="1" customHeight="1" outlineLevel="1" thickBot="1">
      <c r="A63" s="6"/>
      <c r="B63" s="12"/>
      <c r="C63" s="417"/>
      <c r="D63" s="8"/>
      <c r="E63" s="14"/>
      <c r="F63" s="8"/>
      <c r="G63" s="14"/>
      <c r="H63" s="8"/>
      <c r="I63" s="8"/>
      <c r="J63" s="8"/>
      <c r="K63" s="8"/>
      <c r="L63" s="8"/>
      <c r="M63" s="14"/>
      <c r="N63" s="8"/>
      <c r="O63" s="152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9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</row>
    <row r="64" spans="1:63" s="4" customFormat="1" ht="14.25" hidden="1" outlineLevel="1" thickTop="1" thickBot="1">
      <c r="A64" s="6"/>
      <c r="B64" s="12"/>
      <c r="C64" s="407" t="s">
        <v>440</v>
      </c>
      <c r="D64" s="8"/>
      <c r="E64" s="419">
        <v>10.9</v>
      </c>
      <c r="F64" s="8"/>
      <c r="G64" s="153"/>
      <c r="H64" s="8"/>
      <c r="I64" s="154"/>
      <c r="J64" s="8"/>
      <c r="K64" s="29">
        <v>1</v>
      </c>
      <c r="L64" s="8"/>
      <c r="M64" s="419">
        <f>E64/K64</f>
        <v>10.9</v>
      </c>
      <c r="N64" s="8"/>
      <c r="O64" s="15">
        <f>U64/M64</f>
        <v>3.6</v>
      </c>
      <c r="P64" s="28"/>
      <c r="Q64" s="28">
        <v>0</v>
      </c>
      <c r="R64" s="8"/>
      <c r="S64" s="15">
        <v>3.6</v>
      </c>
      <c r="T64" s="8"/>
      <c r="U64" s="424">
        <f>M64*S64</f>
        <v>39.24</v>
      </c>
      <c r="V64" s="8"/>
      <c r="W64" s="16">
        <f>W34</f>
        <v>36.5</v>
      </c>
      <c r="X64" s="8"/>
      <c r="Y64" s="15">
        <f>U64*W64</f>
        <v>1432.26</v>
      </c>
      <c r="Z64" s="35"/>
      <c r="AA64" s="895">
        <f>Y64/Y58</f>
        <v>1.0857979671650384</v>
      </c>
      <c r="AB64" s="30"/>
      <c r="AC64" s="423">
        <f>W64</f>
        <v>36.5</v>
      </c>
      <c r="AD64" s="30"/>
      <c r="AE64" s="15">
        <f>Y64/AC64/M64</f>
        <v>3.6</v>
      </c>
      <c r="AF64" s="9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</row>
    <row r="65" spans="1:63" s="4" customFormat="1" ht="22.5" hidden="1" customHeight="1" outlineLevel="1">
      <c r="A65" s="6"/>
      <c r="B65" s="12"/>
      <c r="C65" s="414" t="s">
        <v>645</v>
      </c>
      <c r="D65" s="8"/>
      <c r="E65" s="13" t="s">
        <v>425</v>
      </c>
      <c r="F65" s="8"/>
      <c r="G65" s="13" t="s">
        <v>640</v>
      </c>
      <c r="H65" s="8"/>
      <c r="I65" s="13" t="s">
        <v>425</v>
      </c>
      <c r="J65" s="8"/>
      <c r="K65" s="13" t="s">
        <v>264</v>
      </c>
      <c r="L65" s="8"/>
      <c r="M65" s="13" t="s">
        <v>641</v>
      </c>
      <c r="N65" s="8"/>
      <c r="O65" s="13" t="s">
        <v>265</v>
      </c>
      <c r="P65" s="8"/>
      <c r="Q65" s="13" t="s">
        <v>175</v>
      </c>
      <c r="R65" s="8"/>
      <c r="S65" s="13" t="s">
        <v>265</v>
      </c>
      <c r="T65" s="8"/>
      <c r="U65" s="13" t="s">
        <v>429</v>
      </c>
      <c r="V65" s="8"/>
      <c r="W65" s="13" t="s">
        <v>430</v>
      </c>
      <c r="X65" s="8"/>
      <c r="Y65" s="13" t="s">
        <v>44</v>
      </c>
      <c r="Z65" s="14"/>
      <c r="AA65" s="13" t="s">
        <v>176</v>
      </c>
      <c r="AB65" s="14"/>
      <c r="AC65" s="13" t="s">
        <v>431</v>
      </c>
      <c r="AD65" s="30"/>
      <c r="AE65" s="13" t="s">
        <v>45</v>
      </c>
      <c r="AF65" s="9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</row>
    <row r="66" spans="1:63" s="4" customFormat="1" ht="4.5" hidden="1" customHeight="1" outlineLevel="1" thickBot="1">
      <c r="A66" s="6"/>
      <c r="B66" s="12"/>
      <c r="C66" s="417"/>
      <c r="D66" s="8"/>
      <c r="E66" s="14"/>
      <c r="F66" s="8"/>
      <c r="G66" s="14"/>
      <c r="H66" s="8"/>
      <c r="I66" s="8"/>
      <c r="J66" s="8"/>
      <c r="K66" s="8"/>
      <c r="L66" s="8"/>
      <c r="M66" s="14"/>
      <c r="N66" s="8"/>
      <c r="O66" s="152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9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</row>
    <row r="67" spans="1:63" s="4" customFormat="1" ht="14.25" hidden="1" outlineLevel="1" thickTop="1" thickBot="1">
      <c r="A67" s="6"/>
      <c r="B67" s="12"/>
      <c r="C67" s="407" t="s">
        <v>442</v>
      </c>
      <c r="D67" s="8"/>
      <c r="E67" s="419">
        <v>17.899999999999999</v>
      </c>
      <c r="F67" s="8"/>
      <c r="G67" s="153"/>
      <c r="H67" s="8"/>
      <c r="I67" s="154"/>
      <c r="J67" s="8"/>
      <c r="K67" s="29">
        <v>1</v>
      </c>
      <c r="L67" s="8"/>
      <c r="M67" s="419">
        <f>E67/K67</f>
        <v>17.899999999999999</v>
      </c>
      <c r="N67" s="8"/>
      <c r="O67" s="15">
        <f>U67/M67</f>
        <v>3.6</v>
      </c>
      <c r="P67" s="28"/>
      <c r="Q67" s="28">
        <v>0</v>
      </c>
      <c r="R67" s="8"/>
      <c r="S67" s="15">
        <v>3.6</v>
      </c>
      <c r="T67" s="8"/>
      <c r="U67" s="424">
        <f>M67*S67</f>
        <v>64.44</v>
      </c>
      <c r="V67" s="8"/>
      <c r="W67" s="16">
        <f>W34</f>
        <v>36.5</v>
      </c>
      <c r="X67" s="8"/>
      <c r="Y67" s="15">
        <f>U67*W67</f>
        <v>2352.06</v>
      </c>
      <c r="Z67" s="35"/>
      <c r="AA67" s="895">
        <f>Y67/Y61</f>
        <v>1.0414871772764258</v>
      </c>
      <c r="AB67" s="30"/>
      <c r="AC67" s="423">
        <f>W67</f>
        <v>36.5</v>
      </c>
      <c r="AD67" s="30"/>
      <c r="AE67" s="15">
        <f>Y67/AC67/M67</f>
        <v>3.6</v>
      </c>
      <c r="AF67" s="9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</row>
    <row r="68" spans="1:63" s="4" customFormat="1" ht="6" customHeight="1" collapsed="1" thickBot="1">
      <c r="A68" s="6"/>
      <c r="B68" s="912"/>
      <c r="C68" s="913"/>
      <c r="D68" s="914"/>
      <c r="E68" s="915"/>
      <c r="F68" s="914"/>
      <c r="G68" s="914"/>
      <c r="H68" s="914"/>
      <c r="I68" s="914"/>
      <c r="J68" s="914"/>
      <c r="K68" s="914"/>
      <c r="L68" s="914"/>
      <c r="M68" s="914"/>
      <c r="N68" s="914"/>
      <c r="O68" s="914"/>
      <c r="P68" s="914"/>
      <c r="Q68" s="914"/>
      <c r="R68" s="914"/>
      <c r="S68" s="914"/>
      <c r="T68" s="914"/>
      <c r="U68" s="914"/>
      <c r="V68" s="914"/>
      <c r="W68" s="914"/>
      <c r="X68" s="914"/>
      <c r="Y68" s="914"/>
      <c r="Z68" s="914"/>
      <c r="AA68" s="914"/>
      <c r="AB68" s="914"/>
      <c r="AC68" s="914"/>
      <c r="AD68" s="914"/>
      <c r="AE68" s="914"/>
      <c r="AF68" s="916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</row>
    <row r="69" spans="1:63" s="4" customFormat="1" ht="14.25" thickTop="1" thickBot="1">
      <c r="A69" s="6"/>
      <c r="B69" s="6"/>
      <c r="C69" s="648"/>
      <c r="D69" s="6"/>
      <c r="E69" s="649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156"/>
      <c r="Z69" s="6"/>
      <c r="AA69" s="6"/>
      <c r="AB69" s="6"/>
      <c r="AC69" s="6"/>
      <c r="AD69" s="6"/>
      <c r="AE69" s="6"/>
      <c r="AF69" s="6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</row>
    <row r="70" spans="1:63" s="4" customFormat="1" ht="13.5" thickBot="1">
      <c r="A70" s="6"/>
      <c r="B70" s="6"/>
      <c r="C70" s="5"/>
      <c r="D70" s="6"/>
      <c r="E70" s="1160"/>
      <c r="F70" s="1161"/>
      <c r="G70" s="1160" t="s">
        <v>692</v>
      </c>
      <c r="H70" s="1161"/>
      <c r="I70" s="1160" t="s">
        <v>693</v>
      </c>
      <c r="J70" s="1161"/>
      <c r="K70" s="1160" t="s">
        <v>720</v>
      </c>
      <c r="L70" s="1165"/>
      <c r="M70" s="1161"/>
      <c r="N70" s="645"/>
      <c r="O70" s="645"/>
      <c r="P70" s="645"/>
      <c r="Q70" s="1160" t="s">
        <v>721</v>
      </c>
      <c r="R70" s="1165"/>
      <c r="S70" s="1161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</row>
    <row r="71" spans="1:63" s="4" customFormat="1" ht="16.5" thickBot="1">
      <c r="A71" s="6"/>
      <c r="B71" s="6"/>
      <c r="C71" s="27" t="s">
        <v>718</v>
      </c>
      <c r="D71" s="6"/>
      <c r="E71" s="901">
        <v>4.3</v>
      </c>
      <c r="F71" s="901">
        <f>E71</f>
        <v>4.3</v>
      </c>
      <c r="G71" s="902">
        <v>3.42</v>
      </c>
      <c r="H71" s="902">
        <f>G71</f>
        <v>3.42</v>
      </c>
      <c r="I71" s="902">
        <f>G71</f>
        <v>3.42</v>
      </c>
      <c r="J71" s="902">
        <f>I71</f>
        <v>3.42</v>
      </c>
      <c r="K71" s="802">
        <v>4</v>
      </c>
      <c r="L71" s="6"/>
      <c r="M71" s="903">
        <f>K71-K71*$I$2</f>
        <v>4</v>
      </c>
      <c r="N71" s="6"/>
      <c r="O71" s="6"/>
      <c r="P71" s="6"/>
      <c r="Q71" s="802">
        <f>K71</f>
        <v>4</v>
      </c>
      <c r="R71" s="6"/>
      <c r="S71" s="903">
        <f>M71</f>
        <v>4</v>
      </c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</row>
    <row r="72" spans="1:63" ht="16.5" thickBot="1">
      <c r="A72" s="645"/>
      <c r="B72" s="645"/>
      <c r="C72" s="646" t="s">
        <v>719</v>
      </c>
      <c r="D72" s="645"/>
      <c r="E72" s="924">
        <v>41.040043108609744</v>
      </c>
      <c r="F72" s="904">
        <f>E72*$H$2</f>
        <v>3652.5638366662674</v>
      </c>
      <c r="G72" s="925">
        <v>43.909215460051918</v>
      </c>
      <c r="H72" s="905">
        <f>G72*$H$2</f>
        <v>3907.9201759446205</v>
      </c>
      <c r="I72" s="925">
        <v>53.035574171853341</v>
      </c>
      <c r="J72" s="905">
        <f>I72*$H$2</f>
        <v>4720.1661012949471</v>
      </c>
      <c r="K72" s="926">
        <f>K39*1.3</f>
        <v>33.474024024024061</v>
      </c>
      <c r="L72" s="906"/>
      <c r="M72" s="907">
        <f>K72*$H$2</f>
        <v>2979.1881381381413</v>
      </c>
      <c r="N72" s="6"/>
      <c r="O72" s="6"/>
      <c r="P72" s="6"/>
      <c r="Q72" s="926">
        <f>K72</f>
        <v>33.474024024024061</v>
      </c>
      <c r="R72" s="6"/>
      <c r="S72" s="907">
        <f>Q72*$H$2</f>
        <v>2979.1881381381413</v>
      </c>
      <c r="T72" s="645"/>
      <c r="U72" s="645"/>
      <c r="V72" s="645"/>
      <c r="W72" s="645"/>
      <c r="X72" s="645"/>
      <c r="Y72" s="645"/>
      <c r="Z72" s="645"/>
      <c r="AA72" s="645"/>
      <c r="AB72" s="645"/>
      <c r="AC72" s="645"/>
      <c r="AD72" s="645"/>
      <c r="AE72" s="645"/>
      <c r="AF72" s="645"/>
      <c r="AH72" s="857"/>
      <c r="AI72" s="857"/>
      <c r="AJ72" s="857"/>
      <c r="AK72" s="857"/>
      <c r="AL72" s="857"/>
      <c r="AM72" s="857"/>
      <c r="AN72" s="857"/>
      <c r="AO72" s="857"/>
      <c r="AP72" s="857"/>
      <c r="AQ72" s="857"/>
      <c r="AR72" s="857"/>
      <c r="AS72" s="857"/>
      <c r="AT72" s="857"/>
      <c r="AU72" s="857"/>
      <c r="AV72" s="857"/>
      <c r="AW72" s="857"/>
      <c r="AX72" s="857"/>
      <c r="AY72" s="857"/>
      <c r="AZ72" s="857"/>
      <c r="BA72" s="857"/>
      <c r="BB72" s="857"/>
      <c r="BC72" s="857"/>
      <c r="BD72" s="857"/>
      <c r="BE72" s="857"/>
      <c r="BF72" s="857"/>
      <c r="BG72" s="857"/>
      <c r="BH72" s="857"/>
      <c r="BI72" s="857"/>
      <c r="BJ72" s="857"/>
      <c r="BK72" s="857"/>
    </row>
    <row r="73" spans="1:63" s="4" customFormat="1" ht="16.5" thickBot="1">
      <c r="A73" s="6"/>
      <c r="B73" s="6"/>
      <c r="C73" s="917"/>
      <c r="D73" s="918"/>
      <c r="E73" s="919"/>
      <c r="F73" s="918"/>
      <c r="G73" s="918"/>
      <c r="H73" s="918"/>
      <c r="I73" s="918"/>
      <c r="J73" s="918"/>
      <c r="K73" s="918"/>
      <c r="L73" s="918"/>
      <c r="M73" s="918"/>
      <c r="N73" s="918"/>
      <c r="O73" s="918"/>
      <c r="P73" s="918"/>
      <c r="Q73" s="918"/>
      <c r="R73" s="918"/>
      <c r="S73" s="918"/>
      <c r="T73" s="918"/>
      <c r="U73" s="918"/>
      <c r="V73" s="918"/>
      <c r="W73" s="918"/>
      <c r="X73" s="918"/>
      <c r="Y73" s="918"/>
      <c r="Z73" s="918"/>
      <c r="AA73" s="918"/>
      <c r="AB73" s="918"/>
      <c r="AC73" s="918"/>
      <c r="AD73" s="918"/>
      <c r="AE73" s="918"/>
      <c r="AF73" s="918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</row>
    <row r="74" spans="1:63" s="4" customFormat="1" ht="13.5" thickBo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</row>
    <row r="75" spans="1:63" s="4" customFormat="1" ht="13.5" thickBot="1">
      <c r="A75" s="6"/>
      <c r="B75" s="6"/>
      <c r="C75" s="647"/>
      <c r="D75" s="6"/>
      <c r="E75" s="1162" t="s">
        <v>266</v>
      </c>
      <c r="F75" s="1163"/>
      <c r="G75" s="1164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</row>
    <row r="76" spans="1:63" s="4" customFormat="1" ht="6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</row>
    <row r="77" spans="1:63" s="4" customFormat="1" ht="13.5" thickBot="1">
      <c r="A77" s="6"/>
      <c r="B77" s="6"/>
      <c r="C77" s="648"/>
      <c r="D77" s="6"/>
      <c r="E77" s="649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</row>
    <row r="78" spans="1:63" s="4" customFormat="1" ht="7.5" customHeight="1" thickTop="1">
      <c r="A78" s="6"/>
      <c r="B78" s="909"/>
      <c r="C78" s="910"/>
      <c r="D78" s="910"/>
      <c r="E78" s="910"/>
      <c r="F78" s="910"/>
      <c r="G78" s="910"/>
      <c r="H78" s="910"/>
      <c r="I78" s="910"/>
      <c r="J78" s="910"/>
      <c r="K78" s="910"/>
      <c r="L78" s="910"/>
      <c r="M78" s="910"/>
      <c r="N78" s="910"/>
      <c r="O78" s="910"/>
      <c r="P78" s="910"/>
      <c r="Q78" s="910"/>
      <c r="R78" s="910"/>
      <c r="S78" s="910"/>
      <c r="T78" s="910"/>
      <c r="U78" s="910"/>
      <c r="V78" s="910"/>
      <c r="W78" s="910"/>
      <c r="X78" s="910"/>
      <c r="Y78" s="910"/>
      <c r="Z78" s="910"/>
      <c r="AA78" s="910"/>
      <c r="AB78" s="910"/>
      <c r="AC78" s="910"/>
      <c r="AD78" s="910"/>
      <c r="AE78" s="910"/>
      <c r="AF78" s="911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</row>
    <row r="79" spans="1:63" s="4" customFormat="1" ht="3.75" hidden="1" customHeight="1" outlineLevel="2" thickTop="1">
      <c r="A79" s="6"/>
      <c r="B79" s="12"/>
      <c r="C79" s="650"/>
      <c r="D79" s="8"/>
      <c r="E79" s="651"/>
      <c r="F79" s="8"/>
      <c r="G79" s="652"/>
      <c r="H79" s="8"/>
      <c r="I79" s="653"/>
      <c r="J79" s="8"/>
      <c r="K79" s="654"/>
      <c r="L79" s="8"/>
      <c r="M79" s="655"/>
      <c r="N79" s="8"/>
      <c r="O79" s="656"/>
      <c r="P79" s="8"/>
      <c r="Q79" s="652"/>
      <c r="R79" s="8"/>
      <c r="S79" s="656"/>
      <c r="T79" s="8"/>
      <c r="U79" s="655"/>
      <c r="V79" s="8"/>
      <c r="W79" s="657"/>
      <c r="X79" s="8"/>
      <c r="Y79" s="656"/>
      <c r="Z79" s="656"/>
      <c r="AA79" s="658"/>
      <c r="AB79" s="659"/>
      <c r="AC79" s="659"/>
      <c r="AD79" s="659"/>
      <c r="AE79" s="659"/>
      <c r="AF79" s="9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</row>
    <row r="80" spans="1:63" s="4" customFormat="1" ht="22.5" hidden="1" customHeight="1" outlineLevel="2" thickBot="1">
      <c r="A80" s="6"/>
      <c r="B80" s="12"/>
      <c r="C80" s="414" t="s">
        <v>639</v>
      </c>
      <c r="D80" s="8"/>
      <c r="E80" s="13" t="s">
        <v>425</v>
      </c>
      <c r="F80" s="8"/>
      <c r="G80" s="13" t="s">
        <v>640</v>
      </c>
      <c r="H80" s="8"/>
      <c r="I80" s="13" t="s">
        <v>425</v>
      </c>
      <c r="J80" s="8"/>
      <c r="K80" s="13" t="s">
        <v>263</v>
      </c>
      <c r="L80" s="8"/>
      <c r="M80" s="13" t="s">
        <v>641</v>
      </c>
      <c r="N80" s="8"/>
      <c r="O80" s="13" t="s">
        <v>265</v>
      </c>
      <c r="P80" s="8"/>
      <c r="Q80" s="13" t="s">
        <v>175</v>
      </c>
      <c r="R80" s="8"/>
      <c r="S80" s="13" t="s">
        <v>265</v>
      </c>
      <c r="T80" s="8"/>
      <c r="U80" s="13" t="s">
        <v>429</v>
      </c>
      <c r="V80" s="8"/>
      <c r="W80" s="13" t="s">
        <v>430</v>
      </c>
      <c r="X80" s="8"/>
      <c r="Y80" s="13" t="s">
        <v>44</v>
      </c>
      <c r="Z80" s="14"/>
      <c r="AA80" s="415" t="s">
        <v>642</v>
      </c>
      <c r="AB80" s="14"/>
      <c r="AC80" s="13" t="s">
        <v>431</v>
      </c>
      <c r="AD80" s="30"/>
      <c r="AE80" s="13" t="s">
        <v>45</v>
      </c>
      <c r="AF80" s="9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</row>
    <row r="81" spans="1:63" s="4" customFormat="1" ht="4.5" hidden="1" customHeight="1" outlineLevel="2" thickTop="1" thickBot="1">
      <c r="A81" s="6"/>
      <c r="B81" s="12"/>
      <c r="C81" s="417"/>
      <c r="D81" s="8"/>
      <c r="E81" s="14"/>
      <c r="F81" s="8"/>
      <c r="G81" s="14"/>
      <c r="H81" s="8"/>
      <c r="I81" s="8"/>
      <c r="J81" s="8"/>
      <c r="K81" s="8"/>
      <c r="L81" s="8"/>
      <c r="M81" s="8"/>
      <c r="N81" s="8"/>
      <c r="O81" s="152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408"/>
      <c r="AB81" s="8"/>
      <c r="AC81" s="8"/>
      <c r="AD81" s="8"/>
      <c r="AE81" s="8"/>
      <c r="AF81" s="9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</row>
    <row r="82" spans="1:63" s="4" customFormat="1" ht="14.25" hidden="1" outlineLevel="2" thickTop="1" thickBot="1">
      <c r="A82" s="6"/>
      <c r="B82" s="12"/>
      <c r="C82" s="407" t="s">
        <v>310</v>
      </c>
      <c r="D82" s="8"/>
      <c r="E82" s="419">
        <v>9.6</v>
      </c>
      <c r="F82" s="8"/>
      <c r="G82" s="153"/>
      <c r="H82" s="8"/>
      <c r="I82" s="154"/>
      <c r="J82" s="8"/>
      <c r="K82" s="29">
        <v>1</v>
      </c>
      <c r="L82" s="8"/>
      <c r="M82" s="424">
        <f>E82/K82</f>
        <v>9.6</v>
      </c>
      <c r="N82" s="8"/>
      <c r="O82" s="15">
        <f>U82/M82</f>
        <v>3.67</v>
      </c>
      <c r="P82" s="28"/>
      <c r="Q82" s="28">
        <v>0</v>
      </c>
      <c r="R82" s="8"/>
      <c r="S82" s="15">
        <v>3.67</v>
      </c>
      <c r="T82" s="8"/>
      <c r="U82" s="424">
        <f>M82*S82</f>
        <v>35.231999999999999</v>
      </c>
      <c r="V82" s="8"/>
      <c r="W82" s="16">
        <f>W55</f>
        <v>32</v>
      </c>
      <c r="X82" s="8"/>
      <c r="Y82" s="15">
        <f>U82*W82</f>
        <v>1127.424</v>
      </c>
      <c r="Z82" s="35"/>
      <c r="AA82" s="895" t="e">
        <f>Y82/Y78</f>
        <v>#DIV/0!</v>
      </c>
      <c r="AB82" s="30"/>
      <c r="AC82" s="423">
        <f>W82</f>
        <v>32</v>
      </c>
      <c r="AD82" s="30"/>
      <c r="AE82" s="15">
        <f>Y82/AC82/M82</f>
        <v>3.67</v>
      </c>
      <c r="AF82" s="9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</row>
    <row r="83" spans="1:63" s="4" customFormat="1" ht="2.25" hidden="1" customHeight="1" outlineLevel="2" thickBot="1">
      <c r="A83" s="6"/>
      <c r="B83" s="12"/>
      <c r="C83" s="407"/>
      <c r="D83" s="8"/>
      <c r="E83" s="31"/>
      <c r="F83" s="8"/>
      <c r="G83" s="28"/>
      <c r="H83" s="8"/>
      <c r="I83" s="32"/>
      <c r="J83" s="8"/>
      <c r="K83" s="29"/>
      <c r="L83" s="8"/>
      <c r="M83" s="33"/>
      <c r="N83" s="8"/>
      <c r="O83" s="35"/>
      <c r="P83" s="8"/>
      <c r="Q83" s="28"/>
      <c r="R83" s="8"/>
      <c r="S83" s="35"/>
      <c r="T83" s="8"/>
      <c r="U83" s="33"/>
      <c r="V83" s="8"/>
      <c r="W83" s="34"/>
      <c r="X83" s="8"/>
      <c r="Y83" s="35"/>
      <c r="Z83" s="35"/>
      <c r="AA83" s="412"/>
      <c r="AB83" s="30"/>
      <c r="AC83" s="30"/>
      <c r="AD83" s="30"/>
      <c r="AE83" s="30"/>
      <c r="AF83" s="9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</row>
    <row r="84" spans="1:63" s="4" customFormat="1" ht="22.5" hidden="1" customHeight="1" outlineLevel="2" thickTop="1" thickBot="1">
      <c r="A84" s="6"/>
      <c r="B84" s="12"/>
      <c r="C84" s="414" t="s">
        <v>643</v>
      </c>
      <c r="D84" s="8"/>
      <c r="E84" s="13" t="s">
        <v>425</v>
      </c>
      <c r="F84" s="8"/>
      <c r="G84" s="13" t="s">
        <v>640</v>
      </c>
      <c r="H84" s="8"/>
      <c r="I84" s="13" t="s">
        <v>425</v>
      </c>
      <c r="J84" s="8"/>
      <c r="K84" s="13" t="s">
        <v>263</v>
      </c>
      <c r="L84" s="8"/>
      <c r="M84" s="13" t="s">
        <v>641</v>
      </c>
      <c r="N84" s="8"/>
      <c r="O84" s="13" t="s">
        <v>265</v>
      </c>
      <c r="P84" s="8"/>
      <c r="Q84" s="13" t="s">
        <v>175</v>
      </c>
      <c r="R84" s="8"/>
      <c r="S84" s="13" t="s">
        <v>265</v>
      </c>
      <c r="T84" s="8"/>
      <c r="U84" s="13" t="s">
        <v>429</v>
      </c>
      <c r="V84" s="8"/>
      <c r="W84" s="13" t="s">
        <v>430</v>
      </c>
      <c r="X84" s="8"/>
      <c r="Y84" s="13" t="s">
        <v>44</v>
      </c>
      <c r="Z84" s="14"/>
      <c r="AA84" s="415" t="s">
        <v>176</v>
      </c>
      <c r="AB84" s="14"/>
      <c r="AC84" s="13" t="s">
        <v>431</v>
      </c>
      <c r="AD84" s="30"/>
      <c r="AE84" s="13" t="s">
        <v>45</v>
      </c>
      <c r="AF84" s="9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</row>
    <row r="85" spans="1:63" s="4" customFormat="1" ht="22.5" hidden="1" customHeight="1" outlineLevel="2" thickTop="1" thickBot="1">
      <c r="A85" s="6"/>
      <c r="B85" s="12"/>
      <c r="C85" s="407" t="s">
        <v>333</v>
      </c>
      <c r="D85" s="8"/>
      <c r="E85" s="419">
        <v>9.6</v>
      </c>
      <c r="F85" s="8"/>
      <c r="G85" s="153"/>
      <c r="H85" s="8"/>
      <c r="I85" s="154"/>
      <c r="J85" s="8"/>
      <c r="K85" s="29">
        <v>1</v>
      </c>
      <c r="L85" s="8"/>
      <c r="M85" s="424">
        <f>E85/K85</f>
        <v>9.6</v>
      </c>
      <c r="N85" s="8"/>
      <c r="O85" s="15">
        <f>U85/M85</f>
        <v>3.51</v>
      </c>
      <c r="P85" s="28"/>
      <c r="Q85" s="28">
        <v>0</v>
      </c>
      <c r="R85" s="8"/>
      <c r="S85" s="15">
        <v>3.51</v>
      </c>
      <c r="T85" s="8"/>
      <c r="U85" s="424">
        <f>M85*S85</f>
        <v>33.695999999999998</v>
      </c>
      <c r="V85" s="8"/>
      <c r="W85" s="16">
        <f>W28</f>
        <v>35.5</v>
      </c>
      <c r="X85" s="8"/>
      <c r="Y85" s="15">
        <f>U85*W85</f>
        <v>1196.2079999999999</v>
      </c>
      <c r="Z85" s="35"/>
      <c r="AA85" s="895" t="e">
        <f>Y85/Y79</f>
        <v>#DIV/0!</v>
      </c>
      <c r="AB85" s="30"/>
      <c r="AC85" s="16">
        <f>W85</f>
        <v>35.5</v>
      </c>
      <c r="AD85" s="30"/>
      <c r="AE85" s="15">
        <f>Y85/AC85/M85</f>
        <v>3.51</v>
      </c>
      <c r="AF85" s="9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</row>
    <row r="86" spans="1:63" s="4" customFormat="1" ht="3.75" hidden="1" customHeight="1" outlineLevel="2" thickTop="1" thickBot="1">
      <c r="A86" s="6"/>
      <c r="B86" s="12"/>
      <c r="C86" s="407"/>
      <c r="D86" s="8"/>
      <c r="E86" s="31"/>
      <c r="F86" s="8"/>
      <c r="G86" s="28"/>
      <c r="H86" s="8"/>
      <c r="I86" s="32"/>
      <c r="J86" s="8"/>
      <c r="K86" s="29"/>
      <c r="L86" s="8"/>
      <c r="M86" s="33"/>
      <c r="N86" s="8"/>
      <c r="O86" s="35"/>
      <c r="P86" s="8"/>
      <c r="Q86" s="28"/>
      <c r="R86" s="8"/>
      <c r="S86" s="35"/>
      <c r="T86" s="8"/>
      <c r="U86" s="33"/>
      <c r="V86" s="8"/>
      <c r="W86" s="34"/>
      <c r="X86" s="8"/>
      <c r="Y86" s="35"/>
      <c r="Z86" s="35"/>
      <c r="AA86" s="412"/>
      <c r="AB86" s="30"/>
      <c r="AC86" s="30"/>
      <c r="AD86" s="30"/>
      <c r="AE86" s="30"/>
      <c r="AF86" s="9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</row>
    <row r="87" spans="1:63" s="4" customFormat="1" ht="22.5" hidden="1" customHeight="1" outlineLevel="2" thickTop="1">
      <c r="A87" s="6"/>
      <c r="B87" s="12"/>
      <c r="C87" s="414" t="s">
        <v>433</v>
      </c>
      <c r="D87" s="8"/>
      <c r="E87" s="13" t="s">
        <v>425</v>
      </c>
      <c r="F87" s="8"/>
      <c r="G87" s="13" t="s">
        <v>640</v>
      </c>
      <c r="H87" s="8"/>
      <c r="I87" s="13" t="s">
        <v>425</v>
      </c>
      <c r="J87" s="8"/>
      <c r="K87" s="13" t="s">
        <v>264</v>
      </c>
      <c r="L87" s="8"/>
      <c r="M87" s="13" t="s">
        <v>641</v>
      </c>
      <c r="N87" s="8"/>
      <c r="O87" s="13" t="s">
        <v>265</v>
      </c>
      <c r="P87" s="8"/>
      <c r="Q87" s="13" t="s">
        <v>175</v>
      </c>
      <c r="R87" s="8"/>
      <c r="S87" s="13" t="s">
        <v>265</v>
      </c>
      <c r="T87" s="8"/>
      <c r="U87" s="13" t="s">
        <v>429</v>
      </c>
      <c r="V87" s="8"/>
      <c r="W87" s="13" t="s">
        <v>430</v>
      </c>
      <c r="X87" s="8"/>
      <c r="Y87" s="13" t="s">
        <v>44</v>
      </c>
      <c r="Z87" s="14"/>
      <c r="AA87" s="415" t="s">
        <v>176</v>
      </c>
      <c r="AB87" s="14"/>
      <c r="AC87" s="13" t="s">
        <v>431</v>
      </c>
      <c r="AD87" s="30"/>
      <c r="AE87" s="13" t="s">
        <v>45</v>
      </c>
      <c r="AF87" s="9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</row>
    <row r="88" spans="1:63" s="4" customFormat="1" ht="4.5" hidden="1" customHeight="1" outlineLevel="2">
      <c r="A88" s="6"/>
      <c r="B88" s="12"/>
      <c r="C88" s="417"/>
      <c r="D88" s="8"/>
      <c r="E88" s="14"/>
      <c r="F88" s="8"/>
      <c r="G88" s="14"/>
      <c r="H88" s="8"/>
      <c r="I88" s="8"/>
      <c r="J88" s="8"/>
      <c r="K88" s="8"/>
      <c r="L88" s="8"/>
      <c r="M88" s="8"/>
      <c r="N88" s="8"/>
      <c r="O88" s="152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408"/>
      <c r="AB88" s="8"/>
      <c r="AC88" s="8"/>
      <c r="AD88" s="8"/>
      <c r="AE88" s="8"/>
      <c r="AF88" s="9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</row>
    <row r="89" spans="1:63" s="4" customFormat="1" ht="14.25" hidden="1" outlineLevel="2" thickTop="1" thickBot="1">
      <c r="A89" s="6"/>
      <c r="B89" s="12"/>
      <c r="C89" s="407" t="s">
        <v>334</v>
      </c>
      <c r="D89" s="8"/>
      <c r="E89" s="419">
        <v>9.6</v>
      </c>
      <c r="F89" s="8"/>
      <c r="G89" s="153"/>
      <c r="H89" s="8"/>
      <c r="I89" s="154"/>
      <c r="J89" s="8"/>
      <c r="K89" s="29">
        <v>1</v>
      </c>
      <c r="L89" s="8"/>
      <c r="M89" s="424">
        <f>E89/K89</f>
        <v>9.6</v>
      </c>
      <c r="N89" s="8"/>
      <c r="O89" s="15">
        <f>U89/M89</f>
        <v>3.51</v>
      </c>
      <c r="P89" s="28"/>
      <c r="Q89" s="28">
        <v>0</v>
      </c>
      <c r="R89" s="8"/>
      <c r="S89" s="15">
        <f>S85</f>
        <v>3.51</v>
      </c>
      <c r="T89" s="8"/>
      <c r="U89" s="424">
        <f>M89*S89</f>
        <v>33.695999999999998</v>
      </c>
      <c r="V89" s="8"/>
      <c r="W89" s="16">
        <f>W58</f>
        <v>35.5</v>
      </c>
      <c r="X89" s="8"/>
      <c r="Y89" s="15">
        <f>U89*W89</f>
        <v>1196.2079999999999</v>
      </c>
      <c r="Z89" s="35"/>
      <c r="AA89" s="895">
        <f>Y89/Y82</f>
        <v>1.0610098773841961</v>
      </c>
      <c r="AB89" s="30"/>
      <c r="AC89" s="16">
        <f>W89</f>
        <v>35.5</v>
      </c>
      <c r="AD89" s="30"/>
      <c r="AE89" s="15">
        <f>Y89/AC89/M89</f>
        <v>3.51</v>
      </c>
      <c r="AF89" s="9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</row>
    <row r="90" spans="1:63" s="4" customFormat="1" ht="22.5" hidden="1" customHeight="1" outlineLevel="2" thickBot="1">
      <c r="A90" s="6"/>
      <c r="B90" s="12"/>
      <c r="C90" s="414" t="s">
        <v>644</v>
      </c>
      <c r="D90" s="8"/>
      <c r="E90" s="13" t="s">
        <v>425</v>
      </c>
      <c r="F90" s="8"/>
      <c r="G90" s="13" t="s">
        <v>640</v>
      </c>
      <c r="H90" s="8"/>
      <c r="I90" s="13" t="s">
        <v>425</v>
      </c>
      <c r="J90" s="8"/>
      <c r="K90" s="13" t="s">
        <v>264</v>
      </c>
      <c r="L90" s="8"/>
      <c r="M90" s="13" t="s">
        <v>641</v>
      </c>
      <c r="N90" s="8"/>
      <c r="O90" s="13" t="s">
        <v>265</v>
      </c>
      <c r="P90" s="8"/>
      <c r="Q90" s="13" t="s">
        <v>175</v>
      </c>
      <c r="R90" s="8"/>
      <c r="S90" s="13" t="s">
        <v>265</v>
      </c>
      <c r="T90" s="8"/>
      <c r="U90" s="13" t="s">
        <v>429</v>
      </c>
      <c r="V90" s="8"/>
      <c r="W90" s="13" t="s">
        <v>430</v>
      </c>
      <c r="X90" s="8"/>
      <c r="Y90" s="13" t="s">
        <v>44</v>
      </c>
      <c r="Z90" s="14"/>
      <c r="AA90" s="415" t="s">
        <v>176</v>
      </c>
      <c r="AB90" s="14"/>
      <c r="AC90" s="13" t="s">
        <v>431</v>
      </c>
      <c r="AD90" s="30"/>
      <c r="AE90" s="13" t="s">
        <v>45</v>
      </c>
      <c r="AF90" s="9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</row>
    <row r="91" spans="1:63" s="4" customFormat="1" ht="22.5" hidden="1" customHeight="1" outlineLevel="2">
      <c r="A91" s="6"/>
      <c r="B91" s="12"/>
      <c r="C91" s="407" t="s">
        <v>440</v>
      </c>
      <c r="D91" s="8"/>
      <c r="E91" s="419">
        <v>9.6</v>
      </c>
      <c r="F91" s="8"/>
      <c r="G91" s="153"/>
      <c r="H91" s="8"/>
      <c r="I91" s="154"/>
      <c r="J91" s="8"/>
      <c r="K91" s="29">
        <v>1</v>
      </c>
      <c r="L91" s="8"/>
      <c r="M91" s="424">
        <f>E91/K91</f>
        <v>9.6</v>
      </c>
      <c r="N91" s="8"/>
      <c r="O91" s="15">
        <f>U91/M91</f>
        <v>3.51</v>
      </c>
      <c r="P91" s="28"/>
      <c r="Q91" s="28">
        <v>0</v>
      </c>
      <c r="R91" s="8"/>
      <c r="S91" s="15">
        <v>3.51</v>
      </c>
      <c r="T91" s="8"/>
      <c r="U91" s="424">
        <f>M91*S91</f>
        <v>33.695999999999998</v>
      </c>
      <c r="V91" s="8"/>
      <c r="W91" s="16">
        <f>W34</f>
        <v>36.5</v>
      </c>
      <c r="X91" s="8"/>
      <c r="Y91" s="15">
        <f>U91*W91</f>
        <v>1229.904</v>
      </c>
      <c r="Z91" s="35"/>
      <c r="AA91" s="895">
        <f>Y91/Y85</f>
        <v>1.0281690140845072</v>
      </c>
      <c r="AB91" s="30"/>
      <c r="AC91" s="423">
        <f>W91</f>
        <v>36.5</v>
      </c>
      <c r="AD91" s="30"/>
      <c r="AE91" s="15">
        <f>Y91/AC91/M91</f>
        <v>3.51</v>
      </c>
      <c r="AF91" s="9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</row>
    <row r="92" spans="1:63" s="4" customFormat="1" ht="3.75" hidden="1" customHeight="1" outlineLevel="2" thickBot="1">
      <c r="A92" s="6"/>
      <c r="B92" s="12"/>
      <c r="C92" s="664"/>
      <c r="D92" s="8"/>
      <c r="E92" s="651"/>
      <c r="F92" s="8"/>
      <c r="G92" s="652"/>
      <c r="H92" s="8"/>
      <c r="I92" s="653"/>
      <c r="J92" s="8"/>
      <c r="K92" s="654"/>
      <c r="L92" s="8"/>
      <c r="M92" s="655"/>
      <c r="N92" s="8"/>
      <c r="O92" s="656"/>
      <c r="P92" s="8"/>
      <c r="Q92" s="652"/>
      <c r="R92" s="8"/>
      <c r="S92" s="656"/>
      <c r="T92" s="8"/>
      <c r="U92" s="655"/>
      <c r="V92" s="8"/>
      <c r="W92" s="657"/>
      <c r="X92" s="8"/>
      <c r="Y92" s="656"/>
      <c r="Z92" s="656"/>
      <c r="AA92" s="658"/>
      <c r="AB92" s="659"/>
      <c r="AC92" s="659"/>
      <c r="AD92" s="659"/>
      <c r="AE92" s="659"/>
      <c r="AF92" s="9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</row>
    <row r="93" spans="1:63" s="4" customFormat="1" ht="22.5" hidden="1" customHeight="1" outlineLevel="2" thickBot="1">
      <c r="A93" s="6"/>
      <c r="B93" s="12"/>
      <c r="C93" s="414" t="s">
        <v>645</v>
      </c>
      <c r="D93" s="8"/>
      <c r="E93" s="13" t="s">
        <v>425</v>
      </c>
      <c r="F93" s="8"/>
      <c r="G93" s="13" t="s">
        <v>640</v>
      </c>
      <c r="H93" s="8"/>
      <c r="I93" s="13" t="s">
        <v>425</v>
      </c>
      <c r="J93" s="8"/>
      <c r="K93" s="13" t="s">
        <v>264</v>
      </c>
      <c r="L93" s="8"/>
      <c r="M93" s="13" t="s">
        <v>641</v>
      </c>
      <c r="N93" s="8"/>
      <c r="O93" s="13" t="s">
        <v>265</v>
      </c>
      <c r="P93" s="8"/>
      <c r="Q93" s="13" t="s">
        <v>175</v>
      </c>
      <c r="R93" s="8"/>
      <c r="S93" s="13" t="s">
        <v>265</v>
      </c>
      <c r="T93" s="8"/>
      <c r="U93" s="13" t="s">
        <v>429</v>
      </c>
      <c r="V93" s="8"/>
      <c r="W93" s="13" t="s">
        <v>430</v>
      </c>
      <c r="X93" s="8"/>
      <c r="Y93" s="13" t="s">
        <v>44</v>
      </c>
      <c r="Z93" s="14"/>
      <c r="AA93" s="415" t="s">
        <v>176</v>
      </c>
      <c r="AB93" s="14"/>
      <c r="AC93" s="13" t="s">
        <v>431</v>
      </c>
      <c r="AD93" s="30"/>
      <c r="AE93" s="13" t="s">
        <v>45</v>
      </c>
      <c r="AF93" s="9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</row>
    <row r="94" spans="1:63" s="4" customFormat="1" ht="4.5" hidden="1" customHeight="1" outlineLevel="2">
      <c r="A94" s="6"/>
      <c r="B94" s="12"/>
      <c r="C94" s="417"/>
      <c r="D94" s="8"/>
      <c r="E94" s="14"/>
      <c r="F94" s="8"/>
      <c r="G94" s="14"/>
      <c r="H94" s="8"/>
      <c r="I94" s="8"/>
      <c r="J94" s="8"/>
      <c r="K94" s="8"/>
      <c r="L94" s="8"/>
      <c r="M94" s="8"/>
      <c r="N94" s="8"/>
      <c r="O94" s="152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408"/>
      <c r="AB94" s="8"/>
      <c r="AC94" s="8"/>
      <c r="AD94" s="8"/>
      <c r="AE94" s="8"/>
      <c r="AF94" s="9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</row>
    <row r="95" spans="1:63" s="4" customFormat="1" ht="14.25" hidden="1" outlineLevel="2" thickTop="1" thickBot="1">
      <c r="A95" s="6"/>
      <c r="B95" s="12"/>
      <c r="C95" s="407" t="s">
        <v>442</v>
      </c>
      <c r="D95" s="8"/>
      <c r="E95" s="419">
        <v>9.6</v>
      </c>
      <c r="F95" s="8"/>
      <c r="G95" s="153"/>
      <c r="H95" s="8"/>
      <c r="I95" s="154"/>
      <c r="J95" s="8"/>
      <c r="K95" s="29">
        <v>1</v>
      </c>
      <c r="L95" s="8"/>
      <c r="M95" s="424">
        <f>E95/K95</f>
        <v>9.6</v>
      </c>
      <c r="N95" s="8"/>
      <c r="O95" s="15">
        <f>U95/M95</f>
        <v>3.51</v>
      </c>
      <c r="P95" s="28"/>
      <c r="Q95" s="28">
        <v>0</v>
      </c>
      <c r="R95" s="8"/>
      <c r="S95" s="15">
        <f>S91</f>
        <v>3.51</v>
      </c>
      <c r="T95" s="8"/>
      <c r="U95" s="424">
        <f>M95*S95</f>
        <v>33.695999999999998</v>
      </c>
      <c r="V95" s="8"/>
      <c r="W95" s="16">
        <f>W64</f>
        <v>36.5</v>
      </c>
      <c r="X95" s="8"/>
      <c r="Y95" s="15">
        <f>U95*W95</f>
        <v>1229.904</v>
      </c>
      <c r="Z95" s="35"/>
      <c r="AA95" s="895">
        <f>Y95/Y89</f>
        <v>1.0281690140845072</v>
      </c>
      <c r="AB95" s="30"/>
      <c r="AC95" s="423">
        <f>W95</f>
        <v>36.5</v>
      </c>
      <c r="AD95" s="30"/>
      <c r="AE95" s="15">
        <f>Y95/AC95/M95</f>
        <v>3.51</v>
      </c>
      <c r="AF95" s="9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</row>
    <row r="96" spans="1:63" s="4" customFormat="1" ht="6" customHeight="1" collapsed="1" thickBot="1">
      <c r="A96" s="6"/>
      <c r="B96" s="912"/>
      <c r="C96" s="913"/>
      <c r="D96" s="914"/>
      <c r="E96" s="915"/>
      <c r="F96" s="914"/>
      <c r="G96" s="914"/>
      <c r="H96" s="914"/>
      <c r="I96" s="914"/>
      <c r="J96" s="914"/>
      <c r="K96" s="914"/>
      <c r="L96" s="914"/>
      <c r="M96" s="914"/>
      <c r="N96" s="914"/>
      <c r="O96" s="914"/>
      <c r="P96" s="914"/>
      <c r="Q96" s="914"/>
      <c r="R96" s="914"/>
      <c r="S96" s="914"/>
      <c r="T96" s="914"/>
      <c r="U96" s="914"/>
      <c r="V96" s="914"/>
      <c r="W96" s="914"/>
      <c r="X96" s="914"/>
      <c r="Y96" s="914"/>
      <c r="Z96" s="914"/>
      <c r="AA96" s="914"/>
      <c r="AB96" s="914"/>
      <c r="AC96" s="914"/>
      <c r="AD96" s="914"/>
      <c r="AE96" s="914"/>
      <c r="AF96" s="916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</row>
    <row r="97" spans="1:63" s="4" customFormat="1" ht="14.25" thickTop="1" thickBot="1">
      <c r="A97" s="6"/>
      <c r="B97" s="6"/>
      <c r="C97" s="648"/>
      <c r="D97" s="6"/>
      <c r="E97" s="649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156"/>
      <c r="Z97" s="6"/>
      <c r="AA97" s="6"/>
      <c r="AB97" s="6"/>
      <c r="AC97" s="6"/>
      <c r="AD97" s="6"/>
      <c r="AE97" s="6"/>
      <c r="AF97" s="6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</row>
    <row r="98" spans="1:63" s="4" customFormat="1" ht="13.5" thickBot="1">
      <c r="A98" s="6"/>
      <c r="B98" s="6"/>
      <c r="C98" s="5"/>
      <c r="D98" s="6"/>
      <c r="E98" s="1160"/>
      <c r="F98" s="1161"/>
      <c r="G98" s="1160" t="s">
        <v>692</v>
      </c>
      <c r="H98" s="1161"/>
      <c r="I98" s="1160" t="s">
        <v>693</v>
      </c>
      <c r="J98" s="1161"/>
      <c r="K98" s="1160" t="s">
        <v>720</v>
      </c>
      <c r="L98" s="1165"/>
      <c r="M98" s="1161"/>
      <c r="N98" s="645"/>
      <c r="O98" s="645"/>
      <c r="P98" s="645"/>
      <c r="Q98" s="1160" t="s">
        <v>721</v>
      </c>
      <c r="R98" s="1165"/>
      <c r="S98" s="1161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</row>
    <row r="99" spans="1:63" s="4" customFormat="1" ht="16.5" thickBot="1">
      <c r="A99" s="6"/>
      <c r="B99" s="6"/>
      <c r="C99" s="27" t="s">
        <v>718</v>
      </c>
      <c r="D99" s="6"/>
      <c r="E99" s="901">
        <v>4.2</v>
      </c>
      <c r="F99" s="901">
        <f>E99</f>
        <v>4.2</v>
      </c>
      <c r="G99" s="902">
        <v>4.33</v>
      </c>
      <c r="H99" s="902">
        <f>G99</f>
        <v>4.33</v>
      </c>
      <c r="I99" s="902">
        <v>3.93</v>
      </c>
      <c r="J99" s="902">
        <f>I99</f>
        <v>3.93</v>
      </c>
      <c r="K99" s="802">
        <v>4</v>
      </c>
      <c r="L99" s="6"/>
      <c r="M99" s="903">
        <f>K99-K99*$I$2</f>
        <v>4</v>
      </c>
      <c r="N99" s="6"/>
      <c r="O99" s="6"/>
      <c r="P99" s="6"/>
      <c r="Q99" s="802">
        <f>K99</f>
        <v>4</v>
      </c>
      <c r="R99" s="6"/>
      <c r="S99" s="903">
        <f>M99</f>
        <v>4</v>
      </c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</row>
    <row r="100" spans="1:63" ht="16.5" thickBot="1">
      <c r="A100" s="645"/>
      <c r="B100" s="645"/>
      <c r="C100" s="646" t="s">
        <v>719</v>
      </c>
      <c r="D100" s="645"/>
      <c r="E100" s="924">
        <v>26.927202637018826</v>
      </c>
      <c r="F100" s="904">
        <f>E100*$H$2</f>
        <v>2396.5210346946756</v>
      </c>
      <c r="G100" s="925">
        <v>41.089476359938992</v>
      </c>
      <c r="H100" s="905">
        <f>G100*$H$2</f>
        <v>3656.9633960345705</v>
      </c>
      <c r="I100" s="925">
        <v>42.934979681150359</v>
      </c>
      <c r="J100" s="905">
        <f>I100*$H$2</f>
        <v>3821.2131916223821</v>
      </c>
      <c r="K100" s="926">
        <v>42.765874730021601</v>
      </c>
      <c r="L100" s="906"/>
      <c r="M100" s="907">
        <f>K100*$H$2</f>
        <v>3806.1628509719226</v>
      </c>
      <c r="N100" s="6"/>
      <c r="O100" s="6"/>
      <c r="P100" s="6"/>
      <c r="Q100" s="926">
        <f>K100*1.1</f>
        <v>47.042462203023767</v>
      </c>
      <c r="R100" s="6"/>
      <c r="S100" s="907">
        <f>Q100*$H$2</f>
        <v>4186.7791360691153</v>
      </c>
      <c r="T100" s="645"/>
      <c r="U100" s="645"/>
      <c r="V100" s="645"/>
      <c r="W100" s="645"/>
      <c r="X100" s="645"/>
      <c r="Y100" s="645"/>
      <c r="Z100" s="645"/>
      <c r="AA100" s="645"/>
      <c r="AB100" s="645"/>
      <c r="AC100" s="645"/>
      <c r="AD100" s="645"/>
      <c r="AE100" s="645"/>
      <c r="AF100" s="645"/>
      <c r="AH100" s="857"/>
      <c r="AI100" s="857"/>
      <c r="AJ100" s="857"/>
      <c r="AK100" s="857"/>
      <c r="AL100" s="857"/>
      <c r="AM100" s="857"/>
      <c r="AN100" s="857"/>
      <c r="AO100" s="857"/>
      <c r="AP100" s="857"/>
      <c r="AQ100" s="857"/>
      <c r="AR100" s="857"/>
      <c r="AS100" s="857"/>
      <c r="AT100" s="857"/>
      <c r="AU100" s="857"/>
      <c r="AV100" s="857"/>
      <c r="AW100" s="857"/>
      <c r="AX100" s="857"/>
      <c r="AY100" s="857"/>
      <c r="AZ100" s="857"/>
      <c r="BA100" s="857"/>
      <c r="BB100" s="857"/>
      <c r="BC100" s="857"/>
      <c r="BD100" s="857"/>
      <c r="BE100" s="857"/>
      <c r="BF100" s="857"/>
      <c r="BG100" s="857"/>
      <c r="BH100" s="857"/>
      <c r="BI100" s="857"/>
      <c r="BJ100" s="857"/>
      <c r="BK100" s="857"/>
    </row>
    <row r="101" spans="1:63" s="4" customFormat="1" ht="16.5" thickBot="1">
      <c r="A101" s="6"/>
      <c r="B101" s="6"/>
      <c r="C101" s="917"/>
      <c r="D101" s="918"/>
      <c r="E101" s="919"/>
      <c r="F101" s="918"/>
      <c r="G101" s="918"/>
      <c r="H101" s="918"/>
      <c r="I101" s="918"/>
      <c r="J101" s="918"/>
      <c r="K101" s="918"/>
      <c r="L101" s="918"/>
      <c r="M101" s="918"/>
      <c r="N101" s="918"/>
      <c r="O101" s="918"/>
      <c r="P101" s="918"/>
      <c r="Q101" s="918"/>
      <c r="R101" s="918"/>
      <c r="S101" s="918"/>
      <c r="T101" s="918"/>
      <c r="U101" s="918"/>
      <c r="V101" s="918"/>
      <c r="W101" s="918"/>
      <c r="X101" s="918"/>
      <c r="Y101" s="918"/>
      <c r="Z101" s="918"/>
      <c r="AA101" s="918"/>
      <c r="AB101" s="918"/>
      <c r="AC101" s="918"/>
      <c r="AD101" s="918"/>
      <c r="AE101" s="918"/>
      <c r="AF101" s="918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</row>
    <row r="102" spans="1:63" s="4" customFormat="1" ht="13.5" thickBo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</row>
    <row r="103" spans="1:63" s="4" customFormat="1" ht="13.5" thickBot="1">
      <c r="A103" s="6"/>
      <c r="B103" s="6"/>
      <c r="C103" s="647" t="s">
        <v>43</v>
      </c>
      <c r="D103" s="6"/>
      <c r="E103" s="1166"/>
      <c r="F103" s="1167"/>
      <c r="G103" s="1168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</row>
    <row r="104" spans="1:63" s="4" customFormat="1" ht="6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</row>
    <row r="105" spans="1:63" s="4" customFormat="1" ht="13.5" thickBot="1">
      <c r="A105" s="6"/>
      <c r="B105" s="6"/>
      <c r="C105" s="648"/>
      <c r="D105" s="6"/>
      <c r="E105" s="649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</row>
    <row r="106" spans="1:63" s="4" customFormat="1" ht="7.5" customHeight="1" thickTop="1">
      <c r="A106" s="6"/>
      <c r="B106" s="909"/>
      <c r="C106" s="910"/>
      <c r="D106" s="910"/>
      <c r="E106" s="910"/>
      <c r="F106" s="910"/>
      <c r="G106" s="910"/>
      <c r="H106" s="910"/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10"/>
      <c r="T106" s="910"/>
      <c r="U106" s="910"/>
      <c r="V106" s="910"/>
      <c r="W106" s="910"/>
      <c r="X106" s="910"/>
      <c r="Y106" s="910"/>
      <c r="Z106" s="910"/>
      <c r="AA106" s="910"/>
      <c r="AB106" s="910"/>
      <c r="AC106" s="910"/>
      <c r="AD106" s="910"/>
      <c r="AE106" s="910"/>
      <c r="AF106" s="911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</row>
    <row r="107" spans="1:63" s="4" customFormat="1" ht="3.75" hidden="1" customHeight="1" outlineLevel="1">
      <c r="A107" s="6"/>
      <c r="B107" s="12"/>
      <c r="C107" s="650"/>
      <c r="D107" s="8"/>
      <c r="E107" s="651"/>
      <c r="F107" s="8"/>
      <c r="G107" s="652"/>
      <c r="H107" s="8"/>
      <c r="I107" s="653"/>
      <c r="J107" s="8"/>
      <c r="K107" s="654"/>
      <c r="L107" s="8"/>
      <c r="M107" s="655"/>
      <c r="N107" s="8"/>
      <c r="O107" s="656"/>
      <c r="P107" s="8"/>
      <c r="Q107" s="652"/>
      <c r="R107" s="8"/>
      <c r="S107" s="656"/>
      <c r="T107" s="8"/>
      <c r="U107" s="655"/>
      <c r="V107" s="8"/>
      <c r="W107" s="657"/>
      <c r="X107" s="8"/>
      <c r="Y107" s="656"/>
      <c r="Z107" s="656"/>
      <c r="AA107" s="658"/>
      <c r="AB107" s="659"/>
      <c r="AC107" s="659"/>
      <c r="AD107" s="659"/>
      <c r="AE107" s="659"/>
      <c r="AF107" s="9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</row>
    <row r="108" spans="1:63" s="4" customFormat="1" ht="22.5" hidden="1" customHeight="1" outlineLevel="1">
      <c r="A108" s="6"/>
      <c r="B108" s="12"/>
      <c r="C108" s="660" t="s">
        <v>424</v>
      </c>
      <c r="D108" s="8"/>
      <c r="E108" s="661" t="s">
        <v>425</v>
      </c>
      <c r="F108" s="8"/>
      <c r="G108" s="661" t="s">
        <v>426</v>
      </c>
      <c r="H108" s="8"/>
      <c r="I108" s="661" t="s">
        <v>425</v>
      </c>
      <c r="J108" s="8"/>
      <c r="K108" s="661" t="s">
        <v>427</v>
      </c>
      <c r="L108" s="8"/>
      <c r="M108" s="661" t="s">
        <v>428</v>
      </c>
      <c r="N108" s="8"/>
      <c r="O108" s="661" t="s">
        <v>265</v>
      </c>
      <c r="P108" s="8"/>
      <c r="Q108" s="661" t="s">
        <v>175</v>
      </c>
      <c r="R108" s="8"/>
      <c r="S108" s="661" t="s">
        <v>265</v>
      </c>
      <c r="T108" s="8"/>
      <c r="U108" s="661" t="s">
        <v>429</v>
      </c>
      <c r="V108" s="8"/>
      <c r="W108" s="661" t="s">
        <v>430</v>
      </c>
      <c r="X108" s="8"/>
      <c r="Y108" s="661" t="s">
        <v>44</v>
      </c>
      <c r="Z108" s="662"/>
      <c r="AA108" s="661" t="s">
        <v>176</v>
      </c>
      <c r="AB108" s="662"/>
      <c r="AC108" s="661" t="s">
        <v>431</v>
      </c>
      <c r="AD108" s="659"/>
      <c r="AE108" s="661" t="s">
        <v>45</v>
      </c>
      <c r="AF108" s="9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</row>
    <row r="109" spans="1:63" s="4" customFormat="1" ht="4.5" hidden="1" customHeight="1" outlineLevel="1">
      <c r="A109" s="6"/>
      <c r="B109" s="12"/>
      <c r="C109" s="663"/>
      <c r="D109" s="8"/>
      <c r="E109" s="662"/>
      <c r="F109" s="8"/>
      <c r="G109" s="662"/>
      <c r="H109" s="8"/>
      <c r="I109" s="8"/>
      <c r="J109" s="8"/>
      <c r="K109" s="8"/>
      <c r="L109" s="8"/>
      <c r="M109" s="662"/>
      <c r="N109" s="8"/>
      <c r="O109" s="152"/>
      <c r="P109" s="8"/>
      <c r="Q109" s="8"/>
      <c r="R109" s="8"/>
      <c r="S109" s="8"/>
      <c r="T109" s="8"/>
      <c r="U109" s="662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9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</row>
    <row r="110" spans="1:63" s="4" customFormat="1" ht="14.25" hidden="1" outlineLevel="1" thickTop="1" thickBot="1">
      <c r="A110" s="6"/>
      <c r="B110" s="12"/>
      <c r="C110" s="664" t="s">
        <v>310</v>
      </c>
      <c r="D110" s="8"/>
      <c r="E110" s="419">
        <v>17</v>
      </c>
      <c r="F110" s="8"/>
      <c r="G110" s="665"/>
      <c r="H110" s="8"/>
      <c r="I110" s="666"/>
      <c r="J110" s="8"/>
      <c r="K110" s="654">
        <v>1</v>
      </c>
      <c r="L110" s="8"/>
      <c r="M110" s="419">
        <f>E110/K110</f>
        <v>17</v>
      </c>
      <c r="N110" s="8"/>
      <c r="O110" s="667">
        <f>U110/M110</f>
        <v>5.29</v>
      </c>
      <c r="P110" s="652"/>
      <c r="Q110" s="652">
        <v>0</v>
      </c>
      <c r="R110" s="8"/>
      <c r="S110" s="667">
        <v>5.29</v>
      </c>
      <c r="T110" s="8"/>
      <c r="U110" s="419">
        <f>M110*S110</f>
        <v>89.93</v>
      </c>
      <c r="V110" s="8"/>
      <c r="W110" s="668">
        <f>W82</f>
        <v>32</v>
      </c>
      <c r="X110" s="8"/>
      <c r="Y110" s="667">
        <f>U110*W110</f>
        <v>2877.76</v>
      </c>
      <c r="Z110" s="656"/>
      <c r="AA110" s="920" t="e">
        <f>Y110/#REF!</f>
        <v>#REF!</v>
      </c>
      <c r="AB110" s="659"/>
      <c r="AC110" s="668">
        <f>W110</f>
        <v>32</v>
      </c>
      <c r="AD110" s="659"/>
      <c r="AE110" s="667">
        <f>Y110/AC110/M110</f>
        <v>5.29</v>
      </c>
      <c r="AF110" s="9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</row>
    <row r="111" spans="1:63" s="4" customFormat="1" ht="2.25" hidden="1" customHeight="1" outlineLevel="1">
      <c r="A111" s="6"/>
      <c r="B111" s="12"/>
      <c r="C111" s="664"/>
      <c r="D111" s="8"/>
      <c r="E111" s="651"/>
      <c r="F111" s="8"/>
      <c r="G111" s="652"/>
      <c r="H111" s="8"/>
      <c r="I111" s="653"/>
      <c r="J111" s="8"/>
      <c r="K111" s="654"/>
      <c r="L111" s="8"/>
      <c r="M111" s="651"/>
      <c r="N111" s="8"/>
      <c r="O111" s="656"/>
      <c r="P111" s="8"/>
      <c r="Q111" s="652"/>
      <c r="R111" s="8"/>
      <c r="S111" s="656"/>
      <c r="T111" s="8"/>
      <c r="U111" s="651"/>
      <c r="V111" s="8"/>
      <c r="W111" s="657"/>
      <c r="X111" s="8"/>
      <c r="Y111" s="656"/>
      <c r="Z111" s="656"/>
      <c r="AA111" s="658"/>
      <c r="AB111" s="659"/>
      <c r="AC111" s="659"/>
      <c r="AD111" s="659"/>
      <c r="AE111" s="659"/>
      <c r="AF111" s="9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</row>
    <row r="112" spans="1:63" s="4" customFormat="1" ht="22.5" hidden="1" customHeight="1" outlineLevel="1">
      <c r="A112" s="6"/>
      <c r="B112" s="12"/>
      <c r="C112" s="660" t="s">
        <v>432</v>
      </c>
      <c r="D112" s="8"/>
      <c r="E112" s="661" t="s">
        <v>425</v>
      </c>
      <c r="F112" s="8"/>
      <c r="G112" s="661" t="s">
        <v>426</v>
      </c>
      <c r="H112" s="8"/>
      <c r="I112" s="661" t="s">
        <v>425</v>
      </c>
      <c r="J112" s="8"/>
      <c r="K112" s="661" t="s">
        <v>427</v>
      </c>
      <c r="L112" s="8"/>
      <c r="M112" s="661" t="s">
        <v>428</v>
      </c>
      <c r="N112" s="8"/>
      <c r="O112" s="661" t="s">
        <v>265</v>
      </c>
      <c r="P112" s="8"/>
      <c r="Q112" s="661" t="s">
        <v>175</v>
      </c>
      <c r="R112" s="8"/>
      <c r="S112" s="661" t="s">
        <v>265</v>
      </c>
      <c r="T112" s="8"/>
      <c r="U112" s="661" t="s">
        <v>429</v>
      </c>
      <c r="V112" s="8"/>
      <c r="W112" s="661" t="s">
        <v>430</v>
      </c>
      <c r="X112" s="8"/>
      <c r="Y112" s="661" t="s">
        <v>44</v>
      </c>
      <c r="Z112" s="662"/>
      <c r="AA112" s="661" t="s">
        <v>176</v>
      </c>
      <c r="AB112" s="662"/>
      <c r="AC112" s="661" t="s">
        <v>431</v>
      </c>
      <c r="AD112" s="659"/>
      <c r="AE112" s="661" t="s">
        <v>45</v>
      </c>
      <c r="AF112" s="9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</row>
    <row r="113" spans="1:63" s="4" customFormat="1" ht="22.5" hidden="1" customHeight="1" outlineLevel="1">
      <c r="A113" s="6"/>
      <c r="B113" s="12"/>
      <c r="C113" s="664" t="s">
        <v>333</v>
      </c>
      <c r="D113" s="8"/>
      <c r="E113" s="419">
        <v>17</v>
      </c>
      <c r="F113" s="8"/>
      <c r="G113" s="665"/>
      <c r="H113" s="8"/>
      <c r="I113" s="666"/>
      <c r="J113" s="8"/>
      <c r="K113" s="654">
        <v>1</v>
      </c>
      <c r="L113" s="8"/>
      <c r="M113" s="419">
        <f>E113/K113</f>
        <v>17</v>
      </c>
      <c r="N113" s="8"/>
      <c r="O113" s="667">
        <f>U113/M113</f>
        <v>5.16</v>
      </c>
      <c r="P113" s="652"/>
      <c r="Q113" s="652">
        <v>0</v>
      </c>
      <c r="R113" s="8"/>
      <c r="S113" s="667">
        <v>5.16</v>
      </c>
      <c r="T113" s="8"/>
      <c r="U113" s="419">
        <f>M113*S113</f>
        <v>87.72</v>
      </c>
      <c r="V113" s="8"/>
      <c r="W113" s="668">
        <f>W85</f>
        <v>35.5</v>
      </c>
      <c r="X113" s="8"/>
      <c r="Y113" s="667">
        <f>U113*W113</f>
        <v>3114.06</v>
      </c>
      <c r="Z113" s="656"/>
      <c r="AA113" s="920">
        <f>Y113/Y110</f>
        <v>1.0821124763705103</v>
      </c>
      <c r="AB113" s="659"/>
      <c r="AC113" s="668">
        <f>W113</f>
        <v>35.5</v>
      </c>
      <c r="AD113" s="659"/>
      <c r="AE113" s="667">
        <f>Y113/AC113/M113</f>
        <v>5.16</v>
      </c>
      <c r="AF113" s="9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</row>
    <row r="114" spans="1:63" s="4" customFormat="1" ht="3.75" hidden="1" customHeight="1" outlineLevel="1">
      <c r="A114" s="6"/>
      <c r="B114" s="12"/>
      <c r="C114" s="664"/>
      <c r="D114" s="8"/>
      <c r="E114" s="651"/>
      <c r="F114" s="8"/>
      <c r="G114" s="652"/>
      <c r="H114" s="8"/>
      <c r="I114" s="653"/>
      <c r="J114" s="8"/>
      <c r="K114" s="654"/>
      <c r="L114" s="8"/>
      <c r="M114" s="651"/>
      <c r="N114" s="8"/>
      <c r="O114" s="656"/>
      <c r="P114" s="8"/>
      <c r="Q114" s="652"/>
      <c r="R114" s="8"/>
      <c r="S114" s="656"/>
      <c r="T114" s="8"/>
      <c r="U114" s="651"/>
      <c r="V114" s="8"/>
      <c r="W114" s="657"/>
      <c r="X114" s="8"/>
      <c r="Y114" s="656"/>
      <c r="Z114" s="656"/>
      <c r="AA114" s="658"/>
      <c r="AB114" s="659"/>
      <c r="AC114" s="659"/>
      <c r="AD114" s="659"/>
      <c r="AE114" s="659"/>
      <c r="AF114" s="9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</row>
    <row r="115" spans="1:63" s="4" customFormat="1" ht="22.5" hidden="1" customHeight="1" outlineLevel="1">
      <c r="A115" s="6"/>
      <c r="B115" s="12"/>
      <c r="C115" s="660" t="s">
        <v>433</v>
      </c>
      <c r="D115" s="8"/>
      <c r="E115" s="661" t="s">
        <v>425</v>
      </c>
      <c r="F115" s="8"/>
      <c r="G115" s="661" t="s">
        <v>426</v>
      </c>
      <c r="H115" s="8"/>
      <c r="I115" s="661" t="s">
        <v>425</v>
      </c>
      <c r="J115" s="8"/>
      <c r="K115" s="661" t="s">
        <v>434</v>
      </c>
      <c r="L115" s="8"/>
      <c r="M115" s="661" t="s">
        <v>435</v>
      </c>
      <c r="N115" s="8"/>
      <c r="O115" s="661" t="s">
        <v>436</v>
      </c>
      <c r="P115" s="8"/>
      <c r="Q115" s="661" t="s">
        <v>175</v>
      </c>
      <c r="R115" s="8"/>
      <c r="S115" s="661" t="s">
        <v>436</v>
      </c>
      <c r="T115" s="8"/>
      <c r="U115" s="661" t="s">
        <v>429</v>
      </c>
      <c r="V115" s="8"/>
      <c r="W115" s="661" t="s">
        <v>430</v>
      </c>
      <c r="X115" s="8"/>
      <c r="Y115" s="661" t="s">
        <v>44</v>
      </c>
      <c r="Z115" s="662"/>
      <c r="AA115" s="661" t="s">
        <v>176</v>
      </c>
      <c r="AB115" s="662"/>
      <c r="AC115" s="661" t="s">
        <v>431</v>
      </c>
      <c r="AD115" s="659"/>
      <c r="AE115" s="661" t="s">
        <v>45</v>
      </c>
      <c r="AF115" s="9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</row>
    <row r="116" spans="1:63" s="4" customFormat="1" ht="4.5" hidden="1" customHeight="1" outlineLevel="1">
      <c r="A116" s="6"/>
      <c r="B116" s="12"/>
      <c r="C116" s="663"/>
      <c r="D116" s="8"/>
      <c r="E116" s="662"/>
      <c r="F116" s="8"/>
      <c r="G116" s="662"/>
      <c r="H116" s="8"/>
      <c r="I116" s="8"/>
      <c r="J116" s="8"/>
      <c r="K116" s="8"/>
      <c r="L116" s="8"/>
      <c r="M116" s="662"/>
      <c r="N116" s="8"/>
      <c r="O116" s="152"/>
      <c r="P116" s="8"/>
      <c r="Q116" s="8"/>
      <c r="R116" s="8"/>
      <c r="S116" s="8"/>
      <c r="T116" s="8"/>
      <c r="U116" s="662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9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</row>
    <row r="117" spans="1:63" s="4" customFormat="1" ht="14.25" hidden="1" outlineLevel="1" thickTop="1" thickBot="1">
      <c r="A117" s="6"/>
      <c r="B117" s="12"/>
      <c r="C117" s="664" t="s">
        <v>334</v>
      </c>
      <c r="D117" s="8"/>
      <c r="E117" s="419">
        <v>17</v>
      </c>
      <c r="F117" s="8"/>
      <c r="G117" s="665"/>
      <c r="H117" s="8"/>
      <c r="I117" s="666"/>
      <c r="J117" s="8"/>
      <c r="K117" s="654">
        <v>1</v>
      </c>
      <c r="L117" s="8"/>
      <c r="M117" s="419">
        <f>E117/K117</f>
        <v>17</v>
      </c>
      <c r="N117" s="8"/>
      <c r="O117" s="667">
        <f>U117/M117</f>
        <v>5.16</v>
      </c>
      <c r="P117" s="652"/>
      <c r="Q117" s="652">
        <v>0</v>
      </c>
      <c r="R117" s="8"/>
      <c r="S117" s="667">
        <v>5.16</v>
      </c>
      <c r="T117" s="8"/>
      <c r="U117" s="419">
        <f>M117*S117</f>
        <v>87.72</v>
      </c>
      <c r="V117" s="8"/>
      <c r="W117" s="668">
        <f>W89</f>
        <v>35.5</v>
      </c>
      <c r="X117" s="8"/>
      <c r="Y117" s="667">
        <f>U117*W117</f>
        <v>3114.06</v>
      </c>
      <c r="Z117" s="656"/>
      <c r="AA117" s="920">
        <f>Y117/Y113</f>
        <v>1</v>
      </c>
      <c r="AB117" s="659"/>
      <c r="AC117" s="668">
        <f>W117</f>
        <v>35.5</v>
      </c>
      <c r="AD117" s="659"/>
      <c r="AE117" s="667">
        <f>Y117/AC117/M117</f>
        <v>5.16</v>
      </c>
      <c r="AF117" s="9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</row>
    <row r="118" spans="1:63" s="4" customFormat="1" ht="22.5" hidden="1" customHeight="1" outlineLevel="1">
      <c r="A118" s="6"/>
      <c r="B118" s="12"/>
      <c r="C118" s="660" t="s">
        <v>437</v>
      </c>
      <c r="D118" s="8"/>
      <c r="E118" s="661" t="s">
        <v>425</v>
      </c>
      <c r="F118" s="8"/>
      <c r="G118" s="661" t="s">
        <v>426</v>
      </c>
      <c r="H118" s="8"/>
      <c r="I118" s="661" t="s">
        <v>425</v>
      </c>
      <c r="J118" s="8"/>
      <c r="K118" s="661" t="s">
        <v>434</v>
      </c>
      <c r="L118" s="8"/>
      <c r="M118" s="661" t="s">
        <v>438</v>
      </c>
      <c r="N118" s="669"/>
      <c r="O118" s="670" t="s">
        <v>439</v>
      </c>
      <c r="P118" s="669"/>
      <c r="Q118" s="670" t="s">
        <v>175</v>
      </c>
      <c r="R118" s="669"/>
      <c r="S118" s="670" t="s">
        <v>439</v>
      </c>
      <c r="T118" s="8"/>
      <c r="U118" s="661" t="s">
        <v>429</v>
      </c>
      <c r="V118" s="8"/>
      <c r="W118" s="661" t="s">
        <v>430</v>
      </c>
      <c r="X118" s="8"/>
      <c r="Y118" s="661" t="s">
        <v>44</v>
      </c>
      <c r="Z118" s="662"/>
      <c r="AA118" s="661" t="s">
        <v>176</v>
      </c>
      <c r="AB118" s="662"/>
      <c r="AC118" s="661" t="s">
        <v>431</v>
      </c>
      <c r="AD118" s="659"/>
      <c r="AE118" s="661" t="s">
        <v>45</v>
      </c>
      <c r="AF118" s="9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</row>
    <row r="119" spans="1:63" s="4" customFormat="1" ht="4.5" hidden="1" customHeight="1" outlineLevel="1">
      <c r="A119" s="6"/>
      <c r="B119" s="12"/>
      <c r="C119" s="663"/>
      <c r="D119" s="8"/>
      <c r="E119" s="662"/>
      <c r="F119" s="8"/>
      <c r="G119" s="662"/>
      <c r="H119" s="8"/>
      <c r="I119" s="8"/>
      <c r="J119" s="8"/>
      <c r="K119" s="8"/>
      <c r="L119" s="8"/>
      <c r="M119" s="662"/>
      <c r="N119" s="8"/>
      <c r="O119" s="152"/>
      <c r="P119" s="8"/>
      <c r="Q119" s="8"/>
      <c r="R119" s="8"/>
      <c r="S119" s="8"/>
      <c r="T119" s="8"/>
      <c r="U119" s="662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9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</row>
    <row r="120" spans="1:63" s="4" customFormat="1" ht="14.25" hidden="1" outlineLevel="1" thickTop="1" thickBot="1">
      <c r="A120" s="6"/>
      <c r="B120" s="12"/>
      <c r="C120" s="664" t="s">
        <v>440</v>
      </c>
      <c r="D120" s="8"/>
      <c r="E120" s="419">
        <v>17</v>
      </c>
      <c r="F120" s="8"/>
      <c r="G120" s="665"/>
      <c r="H120" s="8"/>
      <c r="I120" s="666"/>
      <c r="J120" s="8"/>
      <c r="K120" s="654">
        <v>1</v>
      </c>
      <c r="L120" s="8"/>
      <c r="M120" s="419">
        <f>E120/K120</f>
        <v>17</v>
      </c>
      <c r="N120" s="8"/>
      <c r="O120" s="667">
        <f>U120/M120</f>
        <v>5.16</v>
      </c>
      <c r="P120" s="652"/>
      <c r="Q120" s="652">
        <v>0</v>
      </c>
      <c r="R120" s="8"/>
      <c r="S120" s="667">
        <v>5.16</v>
      </c>
      <c r="T120" s="8"/>
      <c r="U120" s="419">
        <f>M120*S120</f>
        <v>87.72</v>
      </c>
      <c r="V120" s="8"/>
      <c r="W120" s="668">
        <f>W31</f>
        <v>36.5</v>
      </c>
      <c r="X120" s="8"/>
      <c r="Y120" s="667">
        <f>U120*W120</f>
        <v>3201.7799999999997</v>
      </c>
      <c r="Z120" s="656"/>
      <c r="AA120" s="920">
        <f>Y120/Y117</f>
        <v>1.028169014084507</v>
      </c>
      <c r="AB120" s="659"/>
      <c r="AC120" s="668">
        <f>W120</f>
        <v>36.5</v>
      </c>
      <c r="AD120" s="659"/>
      <c r="AE120" s="667">
        <f>Y120/AC120/M120</f>
        <v>5.16</v>
      </c>
      <c r="AF120" s="9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</row>
    <row r="121" spans="1:63" s="4" customFormat="1" ht="22.5" hidden="1" customHeight="1" outlineLevel="1">
      <c r="A121" s="6"/>
      <c r="B121" s="12"/>
      <c r="C121" s="660" t="s">
        <v>441</v>
      </c>
      <c r="D121" s="8"/>
      <c r="E121" s="661" t="s">
        <v>425</v>
      </c>
      <c r="F121" s="8"/>
      <c r="G121" s="661" t="s">
        <v>426</v>
      </c>
      <c r="H121" s="8"/>
      <c r="I121" s="661" t="s">
        <v>425</v>
      </c>
      <c r="J121" s="8"/>
      <c r="K121" s="661" t="s">
        <v>434</v>
      </c>
      <c r="L121" s="8"/>
      <c r="M121" s="661" t="s">
        <v>438</v>
      </c>
      <c r="N121" s="669"/>
      <c r="O121" s="670" t="s">
        <v>439</v>
      </c>
      <c r="P121" s="669"/>
      <c r="Q121" s="670" t="s">
        <v>175</v>
      </c>
      <c r="R121" s="669"/>
      <c r="S121" s="670" t="s">
        <v>439</v>
      </c>
      <c r="T121" s="8"/>
      <c r="U121" s="661" t="s">
        <v>429</v>
      </c>
      <c r="V121" s="8"/>
      <c r="W121" s="661" t="s">
        <v>430</v>
      </c>
      <c r="X121" s="8"/>
      <c r="Y121" s="661" t="s">
        <v>44</v>
      </c>
      <c r="Z121" s="662"/>
      <c r="AA121" s="661" t="s">
        <v>176</v>
      </c>
      <c r="AB121" s="662"/>
      <c r="AC121" s="661" t="s">
        <v>431</v>
      </c>
      <c r="AD121" s="659"/>
      <c r="AE121" s="661" t="s">
        <v>45</v>
      </c>
      <c r="AF121" s="9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</row>
    <row r="122" spans="1:63" s="4" customFormat="1" ht="4.5" hidden="1" customHeight="1" outlineLevel="1">
      <c r="A122" s="6"/>
      <c r="B122" s="12"/>
      <c r="C122" s="663"/>
      <c r="D122" s="8"/>
      <c r="E122" s="662"/>
      <c r="F122" s="8"/>
      <c r="G122" s="662"/>
      <c r="H122" s="8"/>
      <c r="I122" s="8"/>
      <c r="J122" s="8"/>
      <c r="K122" s="8"/>
      <c r="L122" s="8"/>
      <c r="M122" s="662"/>
      <c r="N122" s="8"/>
      <c r="O122" s="152"/>
      <c r="P122" s="8"/>
      <c r="Q122" s="8"/>
      <c r="R122" s="8"/>
      <c r="S122" s="8"/>
      <c r="T122" s="8"/>
      <c r="U122" s="662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9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</row>
    <row r="123" spans="1:63" s="4" customFormat="1" ht="14.25" hidden="1" outlineLevel="1" thickTop="1" thickBot="1">
      <c r="A123" s="6"/>
      <c r="B123" s="12"/>
      <c r="C123" s="664" t="s">
        <v>442</v>
      </c>
      <c r="D123" s="8"/>
      <c r="E123" s="419">
        <v>17</v>
      </c>
      <c r="F123" s="8"/>
      <c r="G123" s="665"/>
      <c r="H123" s="8"/>
      <c r="I123" s="666"/>
      <c r="J123" s="8"/>
      <c r="K123" s="654">
        <v>1</v>
      </c>
      <c r="L123" s="8"/>
      <c r="M123" s="419">
        <f>E123/K123</f>
        <v>17</v>
      </c>
      <c r="N123" s="8"/>
      <c r="O123" s="667">
        <f>U123/M123</f>
        <v>5.16</v>
      </c>
      <c r="P123" s="652"/>
      <c r="Q123" s="652">
        <v>0</v>
      </c>
      <c r="R123" s="8"/>
      <c r="S123" s="667">
        <v>5.16</v>
      </c>
      <c r="T123" s="8"/>
      <c r="U123" s="419">
        <f>M123*S123</f>
        <v>87.72</v>
      </c>
      <c r="V123" s="8"/>
      <c r="W123" s="668">
        <f>W34</f>
        <v>36.5</v>
      </c>
      <c r="X123" s="8"/>
      <c r="Y123" s="667">
        <f>U123*W123</f>
        <v>3201.7799999999997</v>
      </c>
      <c r="Z123" s="656"/>
      <c r="AA123" s="920">
        <f>Y123/Y120</f>
        <v>1</v>
      </c>
      <c r="AB123" s="659"/>
      <c r="AC123" s="668">
        <f>W123</f>
        <v>36.5</v>
      </c>
      <c r="AD123" s="659"/>
      <c r="AE123" s="667">
        <f>Y123/AC123/M123</f>
        <v>5.16</v>
      </c>
      <c r="AF123" s="9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</row>
    <row r="124" spans="1:63" s="4" customFormat="1" ht="6" customHeight="1" collapsed="1" thickBot="1">
      <c r="A124" s="6"/>
      <c r="B124" s="912"/>
      <c r="C124" s="913"/>
      <c r="D124" s="914"/>
      <c r="E124" s="915"/>
      <c r="F124" s="914"/>
      <c r="G124" s="914"/>
      <c r="H124" s="914"/>
      <c r="I124" s="914"/>
      <c r="J124" s="914"/>
      <c r="K124" s="914"/>
      <c r="L124" s="914"/>
      <c r="M124" s="914"/>
      <c r="N124" s="914"/>
      <c r="O124" s="914"/>
      <c r="P124" s="914"/>
      <c r="Q124" s="914"/>
      <c r="R124" s="914"/>
      <c r="S124" s="914"/>
      <c r="T124" s="914"/>
      <c r="U124" s="914"/>
      <c r="V124" s="914"/>
      <c r="W124" s="914"/>
      <c r="X124" s="914"/>
      <c r="Y124" s="914"/>
      <c r="Z124" s="914"/>
      <c r="AA124" s="914"/>
      <c r="AB124" s="914"/>
      <c r="AC124" s="914"/>
      <c r="AD124" s="914"/>
      <c r="AE124" s="914"/>
      <c r="AF124" s="916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</row>
    <row r="125" spans="1:63" s="4" customFormat="1" ht="14.25" thickTop="1" thickBot="1">
      <c r="A125" s="6"/>
      <c r="B125" s="6"/>
      <c r="C125" s="648"/>
      <c r="D125" s="6"/>
      <c r="E125" s="649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156"/>
      <c r="Z125" s="6"/>
      <c r="AA125" s="6"/>
      <c r="AB125" s="6"/>
      <c r="AC125" s="6"/>
      <c r="AD125" s="6"/>
      <c r="AE125" s="6"/>
      <c r="AF125" s="6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</row>
    <row r="126" spans="1:63" s="4" customFormat="1" ht="13.5" thickBot="1">
      <c r="A126" s="6"/>
      <c r="B126" s="6"/>
      <c r="C126" s="648"/>
      <c r="D126" s="6"/>
      <c r="E126" s="1160"/>
      <c r="F126" s="1161"/>
      <c r="G126" s="1160" t="s">
        <v>692</v>
      </c>
      <c r="H126" s="1161"/>
      <c r="I126" s="1160" t="s">
        <v>693</v>
      </c>
      <c r="J126" s="1161"/>
      <c r="K126" s="1160" t="s">
        <v>720</v>
      </c>
      <c r="L126" s="1165"/>
      <c r="M126" s="1161"/>
      <c r="N126" s="645"/>
      <c r="O126" s="645"/>
      <c r="P126" s="645"/>
      <c r="Q126" s="1160" t="s">
        <v>721</v>
      </c>
      <c r="R126" s="1165"/>
      <c r="S126" s="1161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</row>
    <row r="127" spans="1:63" s="4" customFormat="1" ht="16.5" thickBot="1">
      <c r="A127" s="6"/>
      <c r="B127" s="6"/>
      <c r="C127" s="671" t="s">
        <v>718</v>
      </c>
      <c r="D127" s="6"/>
      <c r="E127" s="654"/>
      <c r="F127" s="901">
        <f>E127</f>
        <v>0</v>
      </c>
      <c r="G127" s="902">
        <v>3.93</v>
      </c>
      <c r="H127" s="902">
        <f>G127</f>
        <v>3.93</v>
      </c>
      <c r="I127" s="921">
        <v>3.98</v>
      </c>
      <c r="J127" s="921">
        <f>I127</f>
        <v>3.98</v>
      </c>
      <c r="K127" s="922">
        <v>4</v>
      </c>
      <c r="L127" s="8"/>
      <c r="M127" s="923">
        <f>K127-K127*$I$2</f>
        <v>4</v>
      </c>
      <c r="N127" s="6"/>
      <c r="O127" s="6"/>
      <c r="P127" s="6"/>
      <c r="Q127" s="922">
        <f>K127</f>
        <v>4</v>
      </c>
      <c r="R127" s="6"/>
      <c r="S127" s="923">
        <f>M127</f>
        <v>4</v>
      </c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</row>
    <row r="128" spans="1:63" ht="16.5" thickBot="1">
      <c r="A128" s="645"/>
      <c r="B128" s="645"/>
      <c r="C128" s="646" t="s">
        <v>719</v>
      </c>
      <c r="D128" s="645"/>
      <c r="E128" s="924"/>
      <c r="F128" s="904">
        <f>E128*$H$2</f>
        <v>0</v>
      </c>
      <c r="G128" s="925"/>
      <c r="H128" s="905">
        <f>G128*$H$2</f>
        <v>0</v>
      </c>
      <c r="I128" s="925">
        <v>65.371428571428567</v>
      </c>
      <c r="J128" s="905">
        <f>I128*$H$2</f>
        <v>5818.057142857142</v>
      </c>
      <c r="K128" s="926">
        <v>64.498958767180341</v>
      </c>
      <c r="L128" s="906"/>
      <c r="M128" s="907">
        <f>K128*$H$2</f>
        <v>5740.4073302790503</v>
      </c>
      <c r="N128" s="6"/>
      <c r="O128" s="6"/>
      <c r="P128" s="6"/>
      <c r="Q128" s="926">
        <f>K128</f>
        <v>64.498958767180341</v>
      </c>
      <c r="R128" s="6"/>
      <c r="S128" s="907">
        <f>Q128*$H$2</f>
        <v>5740.4073302790503</v>
      </c>
      <c r="T128" s="645"/>
      <c r="U128" s="645"/>
      <c r="V128" s="645"/>
      <c r="W128" s="645"/>
      <c r="X128" s="645"/>
      <c r="Y128" s="645"/>
      <c r="Z128" s="645"/>
      <c r="AA128" s="645"/>
      <c r="AB128" s="645"/>
      <c r="AC128" s="645"/>
      <c r="AD128" s="645"/>
      <c r="AE128" s="645"/>
      <c r="AF128" s="645"/>
      <c r="AH128" s="857"/>
      <c r="AI128" s="857"/>
      <c r="AJ128" s="857"/>
      <c r="AK128" s="857"/>
      <c r="AL128" s="857"/>
      <c r="AM128" s="857"/>
      <c r="AN128" s="857"/>
      <c r="AO128" s="857"/>
      <c r="AP128" s="857"/>
      <c r="AQ128" s="857"/>
      <c r="AR128" s="857"/>
      <c r="AS128" s="857"/>
      <c r="AT128" s="857"/>
      <c r="AU128" s="857"/>
      <c r="AV128" s="857"/>
      <c r="AW128" s="857"/>
      <c r="AX128" s="857"/>
      <c r="AY128" s="857"/>
      <c r="AZ128" s="857"/>
      <c r="BA128" s="857"/>
      <c r="BB128" s="857"/>
      <c r="BC128" s="857"/>
      <c r="BD128" s="857"/>
      <c r="BE128" s="857"/>
      <c r="BF128" s="857"/>
      <c r="BG128" s="857"/>
      <c r="BH128" s="857"/>
      <c r="BI128" s="857"/>
      <c r="BJ128" s="857"/>
      <c r="BK128" s="857"/>
    </row>
    <row r="129" spans="1:63" ht="17.25" customHeight="1"/>
    <row r="131" spans="1:63" s="4" customFormat="1" ht="13.5" thickBot="1">
      <c r="A131" s="6"/>
      <c r="B131" s="6"/>
      <c r="C131" s="648"/>
      <c r="D131" s="6"/>
      <c r="E131" s="649"/>
      <c r="F131" s="6"/>
      <c r="G131" s="406"/>
      <c r="H131" s="645"/>
      <c r="I131" s="645"/>
      <c r="J131" s="645"/>
      <c r="K131" s="645"/>
      <c r="L131" s="645"/>
      <c r="M131" s="273" t="s">
        <v>720</v>
      </c>
      <c r="N131" s="645"/>
      <c r="O131" s="645"/>
      <c r="P131" s="645"/>
      <c r="Q131" s="645"/>
      <c r="R131" s="645"/>
      <c r="S131" s="273" t="s">
        <v>721</v>
      </c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</row>
    <row r="132" spans="1:63" s="4" customFormat="1" ht="16.5" thickBot="1">
      <c r="A132" s="6"/>
      <c r="B132" s="6"/>
      <c r="C132" s="671" t="s">
        <v>443</v>
      </c>
      <c r="D132" s="6"/>
      <c r="E132" s="654"/>
      <c r="F132" s="6"/>
      <c r="G132" s="406"/>
      <c r="H132" s="6"/>
      <c r="I132" s="6"/>
      <c r="J132" s="6"/>
      <c r="K132" s="654"/>
      <c r="L132" s="6"/>
      <c r="M132" s="903">
        <v>1.17</v>
      </c>
      <c r="N132" s="6"/>
      <c r="O132" s="6"/>
      <c r="P132" s="6"/>
      <c r="Q132" s="672"/>
      <c r="R132" s="6"/>
      <c r="S132" s="903">
        <f>M132</f>
        <v>1.17</v>
      </c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</row>
  </sheetData>
  <sheetProtection password="CC01" sheet="1" objects="1" scenarios="1"/>
  <autoFilter ref="K1:K5"/>
  <dataConsolidate/>
  <mergeCells count="24">
    <mergeCell ref="I98:J98"/>
    <mergeCell ref="K98:M98"/>
    <mergeCell ref="Q98:S98"/>
    <mergeCell ref="E103:G103"/>
    <mergeCell ref="E126:F126"/>
    <mergeCell ref="G126:H126"/>
    <mergeCell ref="I126:J126"/>
    <mergeCell ref="K126:M126"/>
    <mergeCell ref="Q126:S126"/>
    <mergeCell ref="I37:J37"/>
    <mergeCell ref="K37:M37"/>
    <mergeCell ref="Q37:S37"/>
    <mergeCell ref="E41:G41"/>
    <mergeCell ref="E70:F70"/>
    <mergeCell ref="G70:H70"/>
    <mergeCell ref="I70:J70"/>
    <mergeCell ref="K70:M70"/>
    <mergeCell ref="Q70:S70"/>
    <mergeCell ref="E8:G8"/>
    <mergeCell ref="E37:F37"/>
    <mergeCell ref="G37:H37"/>
    <mergeCell ref="E75:G75"/>
    <mergeCell ref="E98:F98"/>
    <mergeCell ref="G98:H98"/>
  </mergeCells>
  <pageMargins left="0.19685039370078741" right="0" top="0.98425196850393704" bottom="0.98425196850393704" header="0.51181102362204722" footer="0.51181102362204722"/>
  <pageSetup paperSize="9" scale="60" orientation="landscape" r:id="rId1"/>
  <headerFooter alignWithMargins="0">
    <oddFooter>&amp;LAlexander Davidyan&amp;CСтраница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CI376"/>
  <sheetViews>
    <sheetView view="pageBreakPreview" zoomScale="85" zoomScaleNormal="85" zoomScaleSheetLayoutView="85" workbookViewId="0">
      <pane xSplit="10" ySplit="15" topLeftCell="K16" activePane="bottomRight" state="frozen"/>
      <selection pane="topRight" activeCell="J1" sqref="J1"/>
      <selection pane="bottomLeft" activeCell="A15" sqref="A15"/>
      <selection pane="bottomRight" activeCell="P18" sqref="P18"/>
    </sheetView>
  </sheetViews>
  <sheetFormatPr defaultColWidth="9.28515625" defaultRowHeight="12.75" outlineLevelRow="1" outlineLevelCol="1"/>
  <cols>
    <col min="1" max="1" width="1.42578125" style="91" customWidth="1"/>
    <col min="2" max="2" width="7" style="91" bestFit="1" customWidth="1"/>
    <col min="3" max="3" width="20.42578125" style="91" bestFit="1" customWidth="1"/>
    <col min="4" max="4" width="27.42578125" style="91" customWidth="1"/>
    <col min="5" max="5" width="19.28515625" style="91" customWidth="1"/>
    <col min="6" max="7" width="14.42578125" style="91" customWidth="1"/>
    <col min="8" max="8" width="8.28515625" style="91" customWidth="1"/>
    <col min="9" max="9" width="10" style="91" customWidth="1"/>
    <col min="10" max="10" width="10.7109375" style="91" customWidth="1" outlineLevel="1"/>
    <col min="11" max="11" width="15.28515625" style="91" customWidth="1" outlineLevel="1"/>
    <col min="12" max="14" width="15.42578125" style="91" customWidth="1" outlineLevel="1"/>
    <col min="15" max="15" width="16.28515625" style="91" customWidth="1" outlineLevel="1"/>
    <col min="16" max="19" width="15.42578125" style="91" customWidth="1" outlineLevel="1"/>
    <col min="20" max="20" width="8" style="91" customWidth="1" outlineLevel="1"/>
    <col min="21" max="21" width="14" style="91" customWidth="1" outlineLevel="1"/>
    <col min="22" max="23" width="13" style="91" customWidth="1" outlineLevel="1"/>
    <col min="24" max="24" width="12.42578125" style="91" customWidth="1" outlineLevel="1"/>
    <col min="25" max="25" width="9.7109375" style="91" customWidth="1" outlineLevel="1"/>
    <col min="26" max="26" width="13.7109375" style="91" customWidth="1" outlineLevel="1"/>
    <col min="27" max="28" width="13.42578125" style="91" customWidth="1" outlineLevel="1"/>
    <col min="29" max="29" width="11.7109375" style="91" customWidth="1" outlineLevel="1"/>
    <col min="30" max="30" width="10.28515625" style="91" customWidth="1" outlineLevel="1"/>
    <col min="31" max="31" width="15.42578125" style="91" customWidth="1" outlineLevel="1"/>
    <col min="32" max="33" width="14.42578125" style="91" customWidth="1" outlineLevel="1"/>
    <col min="34" max="34" width="12" style="91" customWidth="1" outlineLevel="1"/>
    <col min="35" max="35" width="11.28515625" style="91" customWidth="1" outlineLevel="1"/>
    <col min="36" max="38" width="15.42578125" style="91" customWidth="1" outlineLevel="1"/>
    <col min="39" max="39" width="11.42578125" style="91" customWidth="1" outlineLevel="1"/>
    <col min="40" max="40" width="8.42578125" style="91" customWidth="1" outlineLevel="1"/>
    <col min="41" max="43" width="15.42578125" style="91" customWidth="1" outlineLevel="1"/>
    <col min="44" max="44" width="12.42578125" style="91" customWidth="1" outlineLevel="1"/>
    <col min="45" max="45" width="7.7109375" style="91" customWidth="1" outlineLevel="1"/>
    <col min="46" max="48" width="15.42578125" style="91" customWidth="1" outlineLevel="1"/>
    <col min="49" max="49" width="13.28515625" style="91" customWidth="1" outlineLevel="1"/>
    <col min="50" max="50" width="9.42578125" style="91" customWidth="1" outlineLevel="1"/>
    <col min="51" max="51" width="15.42578125" style="91" customWidth="1" outlineLevel="1"/>
    <col min="52" max="53" width="12.42578125" style="91" customWidth="1" outlineLevel="1"/>
    <col min="54" max="54" width="12.7109375" style="91" customWidth="1" outlineLevel="1"/>
    <col min="55" max="55" width="8.42578125" style="91" customWidth="1" outlineLevel="1"/>
    <col min="56" max="59" width="15.42578125" style="91" customWidth="1" outlineLevel="1"/>
    <col min="60" max="60" width="18.42578125" style="91" customWidth="1" outlineLevel="1"/>
    <col min="61" max="63" width="16.42578125" style="91" customWidth="1" outlineLevel="1"/>
    <col min="64" max="64" width="18.28515625" style="91" customWidth="1" outlineLevel="1"/>
    <col min="65" max="67" width="17.42578125" style="91" customWidth="1" outlineLevel="1"/>
    <col min="68" max="68" width="17.42578125" style="91" customWidth="1"/>
    <col min="69" max="69" width="18.42578125" style="91" customWidth="1"/>
    <col min="70" max="70" width="15.42578125" style="323" bestFit="1" customWidth="1"/>
    <col min="71" max="71" width="16.42578125" style="91" customWidth="1"/>
    <col min="72" max="72" width="9.28515625" style="91"/>
    <col min="73" max="73" width="38.42578125" style="91" customWidth="1"/>
    <col min="74" max="74" width="9.28515625" style="91"/>
    <col min="75" max="75" width="17.7109375" style="91" customWidth="1"/>
    <col min="76" max="76" width="23.42578125" style="323" bestFit="1" customWidth="1"/>
    <col min="77" max="81" width="9.28515625" style="91"/>
    <col min="82" max="82" width="9.28515625" style="398"/>
    <col min="83" max="87" width="9.28515625" style="91"/>
    <col min="88" max="88" width="13.42578125" style="91" bestFit="1" customWidth="1"/>
    <col min="89" max="16384" width="9.28515625" style="91"/>
  </cols>
  <sheetData>
    <row r="1" spans="1:87" ht="13.5" thickBo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S1" s="90"/>
    </row>
    <row r="2" spans="1:87" s="140" customFormat="1" ht="18.75" thickBot="1">
      <c r="A2" s="139"/>
      <c r="B2" s="139"/>
      <c r="C2" s="139" t="s">
        <v>76</v>
      </c>
      <c r="D2" s="75" t="s">
        <v>165</v>
      </c>
      <c r="E2" s="75"/>
      <c r="F2" s="75"/>
      <c r="G2" s="75"/>
      <c r="H2" s="75"/>
      <c r="I2" s="75"/>
      <c r="K2" s="139"/>
      <c r="L2" s="139"/>
      <c r="M2" s="139"/>
      <c r="N2" s="139"/>
      <c r="O2" s="1216" t="s">
        <v>722</v>
      </c>
      <c r="P2" s="1217"/>
      <c r="Q2" s="1218"/>
      <c r="R2" s="1219" t="s">
        <v>723</v>
      </c>
      <c r="S2" s="1220"/>
      <c r="T2" s="1221"/>
      <c r="U2" s="1219">
        <v>2021</v>
      </c>
      <c r="V2" s="1220"/>
      <c r="W2" s="1221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75"/>
      <c r="BI2" s="75"/>
      <c r="BJ2" s="75"/>
      <c r="BK2" s="75"/>
      <c r="BL2" s="75"/>
      <c r="BM2" s="77"/>
      <c r="BN2" s="77"/>
      <c r="BO2" s="77"/>
      <c r="BP2" s="75"/>
      <c r="BQ2" s="77"/>
      <c r="BR2" s="362"/>
      <c r="BS2" s="75"/>
      <c r="BX2" s="362"/>
      <c r="CD2" s="739"/>
    </row>
    <row r="3" spans="1:87" s="140" customFormat="1" ht="26.25" thickBot="1">
      <c r="A3" s="139"/>
      <c r="B3" s="139"/>
      <c r="C3" s="139"/>
      <c r="D3" s="139"/>
      <c r="E3" s="139"/>
      <c r="F3" s="139"/>
      <c r="G3" s="1213" t="s">
        <v>722</v>
      </c>
      <c r="H3" s="1214"/>
      <c r="I3" s="1215"/>
      <c r="J3" s="1213" t="s">
        <v>723</v>
      </c>
      <c r="K3" s="1214"/>
      <c r="L3" s="1215"/>
      <c r="M3" s="139"/>
      <c r="N3" s="139"/>
      <c r="O3" s="1066" t="s">
        <v>706</v>
      </c>
      <c r="P3" s="1066" t="s">
        <v>700</v>
      </c>
      <c r="Q3" s="1066" t="s">
        <v>701</v>
      </c>
      <c r="R3" s="1066" t="s">
        <v>706</v>
      </c>
      <c r="S3" s="1066" t="s">
        <v>700</v>
      </c>
      <c r="T3" s="1066" t="s">
        <v>701</v>
      </c>
      <c r="U3" s="1066" t="s">
        <v>706</v>
      </c>
      <c r="V3" s="1066" t="s">
        <v>700</v>
      </c>
      <c r="W3" s="1066" t="s">
        <v>701</v>
      </c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362"/>
      <c r="BS3" s="139"/>
      <c r="BX3" s="362"/>
      <c r="CD3" s="739"/>
    </row>
    <row r="4" spans="1:87" s="140" customFormat="1" ht="13.5" customHeight="1" thickBot="1">
      <c r="A4" s="139"/>
      <c r="B4" s="139"/>
      <c r="C4" s="142" t="s">
        <v>0</v>
      </c>
      <c r="D4" s="143">
        <f>Title!I27</f>
        <v>89</v>
      </c>
      <c r="E4" s="139"/>
      <c r="F4" s="143" t="s">
        <v>702</v>
      </c>
      <c r="G4" s="1042">
        <v>1</v>
      </c>
      <c r="H4" s="1042">
        <v>1</v>
      </c>
      <c r="I4" s="1043">
        <f>H4*$D$8</f>
        <v>80</v>
      </c>
      <c r="J4" s="1042">
        <f>G4</f>
        <v>1</v>
      </c>
      <c r="K4" s="1042">
        <v>1</v>
      </c>
      <c r="L4" s="1043">
        <f>K4*$D$8</f>
        <v>80</v>
      </c>
      <c r="M4" s="139"/>
      <c r="N4" s="143" t="s">
        <v>702</v>
      </c>
      <c r="O4" s="1044">
        <f>AR116</f>
        <v>0</v>
      </c>
      <c r="P4" s="1045">
        <f>AQ117</f>
        <v>0</v>
      </c>
      <c r="Q4" s="1045">
        <f>AQ116</f>
        <v>0</v>
      </c>
      <c r="R4" s="1044">
        <f>AW116</f>
        <v>0</v>
      </c>
      <c r="S4" s="1045">
        <f>AV117</f>
        <v>0</v>
      </c>
      <c r="T4" s="1045">
        <f>AV116</f>
        <v>0</v>
      </c>
      <c r="U4" s="1044">
        <f>O4+R4</f>
        <v>0</v>
      </c>
      <c r="V4" s="1045">
        <f t="shared" ref="V4:W4" si="0">P4+S4</f>
        <v>0</v>
      </c>
      <c r="W4" s="1045">
        <f t="shared" si="0"/>
        <v>0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362"/>
      <c r="BS4" s="139"/>
      <c r="BX4" s="362"/>
      <c r="CD4" s="739"/>
    </row>
    <row r="5" spans="1:87" s="140" customFormat="1" ht="4.5" customHeight="1" thickBot="1">
      <c r="A5" s="139"/>
      <c r="B5" s="139"/>
      <c r="C5" s="144"/>
      <c r="D5" s="145"/>
      <c r="E5" s="139"/>
      <c r="F5" s="145"/>
      <c r="G5" s="1046"/>
      <c r="H5" s="1046"/>
      <c r="I5" s="1047"/>
      <c r="J5" s="1046"/>
      <c r="K5" s="1046"/>
      <c r="L5" s="1047"/>
      <c r="M5" s="139"/>
      <c r="N5" s="145"/>
      <c r="O5" s="1046"/>
      <c r="P5" s="1048"/>
      <c r="Q5" s="1048"/>
      <c r="R5" s="1046"/>
      <c r="S5" s="1046"/>
      <c r="T5" s="1047"/>
      <c r="U5" s="1046"/>
      <c r="V5" s="1046"/>
      <c r="W5" s="1047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362"/>
      <c r="BS5" s="139"/>
      <c r="BX5" s="362"/>
      <c r="CD5" s="739"/>
    </row>
    <row r="6" spans="1:87" s="140" customFormat="1" ht="12.75" customHeight="1" thickBot="1">
      <c r="A6" s="139"/>
      <c r="B6" s="139"/>
      <c r="C6" s="142" t="s">
        <v>267</v>
      </c>
      <c r="D6" s="143">
        <f>D4/D8</f>
        <v>1.1125</v>
      </c>
      <c r="E6" s="139"/>
      <c r="F6" s="143" t="s">
        <v>703</v>
      </c>
      <c r="G6" s="1042">
        <v>5.4092692692692674</v>
      </c>
      <c r="H6" s="1042">
        <v>27.55169669669673</v>
      </c>
      <c r="I6" s="1043">
        <f>H6*$D$8</f>
        <v>2204.1357357357383</v>
      </c>
      <c r="J6" s="1042">
        <f>G6</f>
        <v>5.4092692692692674</v>
      </c>
      <c r="K6" s="1042">
        <f>H6</f>
        <v>27.55169669669673</v>
      </c>
      <c r="L6" s="1043">
        <f>K6*$D$8</f>
        <v>2204.1357357357383</v>
      </c>
      <c r="M6" s="381"/>
      <c r="N6" s="143" t="s">
        <v>703</v>
      </c>
      <c r="O6" s="1042">
        <f>N116+BB116</f>
        <v>34675.437229437237</v>
      </c>
      <c r="P6" s="1049">
        <f>M117+BA117</f>
        <v>6009.9000000000005</v>
      </c>
      <c r="Q6" s="1049">
        <f>M116+BA116</f>
        <v>6009.9000000000005</v>
      </c>
      <c r="R6" s="1042">
        <f>S116+BG116</f>
        <v>15488.545454545456</v>
      </c>
      <c r="S6" s="1049">
        <f>R117+BF117</f>
        <v>2607.1</v>
      </c>
      <c r="T6" s="1049">
        <f>R116+BF116</f>
        <v>2607.1</v>
      </c>
      <c r="U6" s="1042">
        <f>O6+R6</f>
        <v>50163.982683982693</v>
      </c>
      <c r="V6" s="1049">
        <f t="shared" ref="V6:W6" si="1">P6+S6</f>
        <v>8617</v>
      </c>
      <c r="W6" s="1049">
        <f t="shared" si="1"/>
        <v>8617</v>
      </c>
      <c r="X6" s="381"/>
      <c r="Y6" s="139"/>
      <c r="Z6" s="139"/>
      <c r="AA6" s="139"/>
      <c r="AB6" s="139"/>
      <c r="AC6" s="381"/>
      <c r="AD6" s="139"/>
      <c r="AE6" s="139"/>
      <c r="AF6" s="139"/>
      <c r="AG6" s="139"/>
      <c r="AH6" s="381"/>
      <c r="AI6" s="139"/>
      <c r="AJ6" s="139"/>
      <c r="AK6" s="139"/>
      <c r="AL6" s="139"/>
      <c r="AM6" s="381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362"/>
      <c r="BS6" s="364"/>
      <c r="BX6" s="362"/>
      <c r="CD6" s="739"/>
    </row>
    <row r="7" spans="1:87" s="140" customFormat="1" ht="3.4" customHeight="1" thickBot="1">
      <c r="A7" s="139"/>
      <c r="B7" s="139"/>
      <c r="C7" s="144"/>
      <c r="D7" s="139"/>
      <c r="E7" s="139"/>
      <c r="F7" s="139"/>
      <c r="G7" s="938"/>
      <c r="H7" s="938"/>
      <c r="I7" s="1050"/>
      <c r="J7" s="938"/>
      <c r="K7" s="938"/>
      <c r="L7" s="1050"/>
      <c r="M7" s="139"/>
      <c r="N7" s="139"/>
      <c r="O7" s="938"/>
      <c r="P7" s="1051"/>
      <c r="Q7" s="1051"/>
      <c r="R7" s="938"/>
      <c r="S7" s="938"/>
      <c r="T7" s="1050"/>
      <c r="U7" s="938"/>
      <c r="V7" s="938"/>
      <c r="W7" s="1050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362"/>
      <c r="BS7" s="139"/>
      <c r="BX7" s="362"/>
      <c r="CD7" s="739"/>
    </row>
    <row r="8" spans="1:87" s="140" customFormat="1" ht="15.75" thickBot="1">
      <c r="A8" s="139"/>
      <c r="B8" s="139"/>
      <c r="C8" s="142" t="s">
        <v>0</v>
      </c>
      <c r="D8" s="143">
        <v>80</v>
      </c>
      <c r="E8" s="139"/>
      <c r="F8" s="143" t="s">
        <v>704</v>
      </c>
      <c r="G8" s="1042">
        <v>1</v>
      </c>
      <c r="H8" s="1042">
        <v>1</v>
      </c>
      <c r="I8" s="1043">
        <f>H8*$D$8</f>
        <v>80</v>
      </c>
      <c r="J8" s="1042">
        <v>1</v>
      </c>
      <c r="K8" s="1042">
        <v>1</v>
      </c>
      <c r="L8" s="1043">
        <f>K8*$D$8</f>
        <v>80</v>
      </c>
      <c r="M8" s="386">
        <v>1.05</v>
      </c>
      <c r="N8" s="143" t="s">
        <v>704</v>
      </c>
      <c r="O8" s="1042">
        <f>X116</f>
        <v>0</v>
      </c>
      <c r="P8" s="1049">
        <f>W117</f>
        <v>0</v>
      </c>
      <c r="Q8" s="1049">
        <f>W116</f>
        <v>0</v>
      </c>
      <c r="R8" s="1042">
        <f>AC116</f>
        <v>0</v>
      </c>
      <c r="S8" s="1049">
        <f>AB117</f>
        <v>0</v>
      </c>
      <c r="T8" s="1049">
        <f>AB116</f>
        <v>0</v>
      </c>
      <c r="U8" s="1042">
        <f>O8+R8</f>
        <v>0</v>
      </c>
      <c r="V8" s="1049">
        <f t="shared" ref="V8:W8" si="2">P8+S8</f>
        <v>0</v>
      </c>
      <c r="W8" s="1049">
        <f t="shared" si="2"/>
        <v>0</v>
      </c>
      <c r="X8" s="146"/>
      <c r="Y8" s="139"/>
      <c r="Z8" s="139"/>
      <c r="AA8" s="139"/>
      <c r="AB8" s="139"/>
      <c r="AC8" s="146"/>
      <c r="AD8" s="139"/>
      <c r="AE8" s="139"/>
      <c r="AF8" s="139"/>
      <c r="AG8" s="139"/>
      <c r="AH8" s="146"/>
      <c r="AI8" s="139"/>
      <c r="AJ8" s="139"/>
      <c r="AK8" s="139"/>
      <c r="AL8" s="139"/>
      <c r="AM8" s="146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362"/>
      <c r="BS8" s="365"/>
      <c r="BX8" s="362"/>
      <c r="CD8" s="739"/>
    </row>
    <row r="9" spans="1:87" s="362" customFormat="1" ht="3.4" customHeight="1" thickBot="1">
      <c r="A9" s="361"/>
      <c r="B9" s="361"/>
      <c r="C9" s="361"/>
      <c r="D9" s="361"/>
      <c r="E9" s="361"/>
      <c r="F9" s="1052"/>
      <c r="G9" s="1053"/>
      <c r="H9" s="1053"/>
      <c r="I9" s="1054"/>
      <c r="J9" s="1053"/>
      <c r="K9" s="1053"/>
      <c r="L9" s="1054"/>
      <c r="M9" s="386">
        <v>1.07</v>
      </c>
      <c r="N9" s="1052"/>
      <c r="O9" s="1053"/>
      <c r="P9" s="1055"/>
      <c r="Q9" s="1055"/>
      <c r="R9" s="1053"/>
      <c r="S9" s="1053"/>
      <c r="T9" s="1054"/>
      <c r="U9" s="1053"/>
      <c r="V9" s="1053"/>
      <c r="W9" s="1054"/>
      <c r="X9" s="361"/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1"/>
      <c r="AL9" s="361"/>
      <c r="AM9" s="361"/>
      <c r="AN9" s="361"/>
      <c r="AO9" s="361"/>
      <c r="AP9" s="361"/>
      <c r="AQ9" s="361"/>
      <c r="AR9" s="361"/>
      <c r="AS9" s="361"/>
      <c r="AT9" s="361"/>
      <c r="AU9" s="361"/>
      <c r="AV9" s="361"/>
      <c r="AW9" s="361"/>
      <c r="AX9" s="361"/>
      <c r="AY9" s="361"/>
      <c r="AZ9" s="361"/>
      <c r="BA9" s="361"/>
      <c r="BB9" s="361"/>
      <c r="BC9" s="361"/>
      <c r="BD9" s="361"/>
      <c r="BE9" s="361"/>
      <c r="BF9" s="361"/>
      <c r="BG9" s="361"/>
      <c r="BH9" s="361"/>
      <c r="BI9" s="361"/>
      <c r="BJ9" s="361"/>
      <c r="BK9" s="361"/>
      <c r="BL9" s="361"/>
      <c r="BM9" s="361"/>
      <c r="BN9" s="361"/>
      <c r="BO9" s="361"/>
      <c r="BP9" s="361"/>
      <c r="BQ9" s="361"/>
      <c r="BS9" s="361"/>
      <c r="CD9" s="739"/>
    </row>
    <row r="10" spans="1:87" s="140" customFormat="1" ht="14.65" customHeight="1" thickBot="1">
      <c r="A10" s="139"/>
      <c r="B10" s="139"/>
      <c r="C10" s="139"/>
      <c r="D10" s="139"/>
      <c r="E10" s="139"/>
      <c r="F10" s="143" t="s">
        <v>705</v>
      </c>
      <c r="G10" s="1042">
        <v>1</v>
      </c>
      <c r="H10" s="1042">
        <v>1</v>
      </c>
      <c r="I10" s="1043">
        <f>H10*$D$8</f>
        <v>80</v>
      </c>
      <c r="J10" s="1042">
        <v>1</v>
      </c>
      <c r="K10" s="1042">
        <v>1</v>
      </c>
      <c r="L10" s="1043">
        <f>K10*$D$8</f>
        <v>80</v>
      </c>
      <c r="M10" s="386"/>
      <c r="N10" s="143" t="s">
        <v>705</v>
      </c>
      <c r="O10" s="1042">
        <f>AH116</f>
        <v>0</v>
      </c>
      <c r="P10" s="1049">
        <f>AG117</f>
        <v>0</v>
      </c>
      <c r="Q10" s="1049">
        <f>AG116</f>
        <v>0</v>
      </c>
      <c r="R10" s="1042">
        <f>AM116</f>
        <v>0</v>
      </c>
      <c r="S10" s="1049">
        <f>AL117</f>
        <v>0</v>
      </c>
      <c r="T10" s="1049">
        <f>AV116</f>
        <v>0</v>
      </c>
      <c r="U10" s="1042">
        <f>O10+R10</f>
        <v>0</v>
      </c>
      <c r="V10" s="1049">
        <f t="shared" ref="V10:W10" si="3">P10+S10</f>
        <v>0</v>
      </c>
      <c r="W10" s="1049">
        <f t="shared" si="3"/>
        <v>0</v>
      </c>
      <c r="X10" s="366"/>
      <c r="Y10" s="139"/>
      <c r="Z10" s="139"/>
      <c r="AA10" s="139"/>
      <c r="AB10" s="139"/>
      <c r="AC10" s="366"/>
      <c r="AD10" s="139"/>
      <c r="AE10" s="139"/>
      <c r="AF10" s="139"/>
      <c r="AG10" s="139"/>
      <c r="AH10" s="366"/>
      <c r="AI10" s="139"/>
      <c r="AJ10" s="139"/>
      <c r="AK10" s="139"/>
      <c r="AL10" s="139"/>
      <c r="AM10" s="366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362"/>
      <c r="BS10" s="139"/>
      <c r="BX10" s="362"/>
      <c r="CD10" s="739"/>
    </row>
    <row r="11" spans="1:87" s="140" customFormat="1" ht="13.5" thickBot="1">
      <c r="A11" s="139"/>
      <c r="B11" s="139"/>
      <c r="C11" s="139"/>
      <c r="D11" s="139"/>
      <c r="E11" s="139"/>
      <c r="F11" s="139"/>
      <c r="G11" s="139"/>
      <c r="H11" s="139"/>
      <c r="I11" s="139"/>
      <c r="J11" s="588"/>
      <c r="K11" s="364"/>
      <c r="L11" s="938"/>
      <c r="M11" s="938"/>
      <c r="N11" s="366"/>
      <c r="O11" s="139"/>
      <c r="P11" s="139"/>
      <c r="Q11" s="139"/>
      <c r="R11" s="139"/>
      <c r="S11" s="139"/>
      <c r="T11" s="139"/>
      <c r="U11" s="139"/>
      <c r="V11" s="139"/>
      <c r="W11" s="139"/>
      <c r="X11" s="366"/>
      <c r="Y11" s="139"/>
      <c r="Z11" s="139"/>
      <c r="AA11" s="139"/>
      <c r="AB11" s="139"/>
      <c r="AC11" s="366"/>
      <c r="AD11" s="139"/>
      <c r="AE11" s="139"/>
      <c r="AF11" s="139"/>
      <c r="AG11" s="139"/>
      <c r="AH11" s="366"/>
      <c r="AI11" s="139"/>
      <c r="AJ11" s="139"/>
      <c r="AK11" s="139"/>
      <c r="AL11" s="139"/>
      <c r="AM11" s="366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362"/>
      <c r="BS11" s="139"/>
      <c r="BX11" s="362"/>
      <c r="CD11" s="739"/>
    </row>
    <row r="12" spans="1:87" s="140" customFormat="1" ht="14.25" thickTop="1" thickBot="1">
      <c r="A12" s="139"/>
      <c r="B12" s="139"/>
      <c r="C12" s="675" t="s">
        <v>166</v>
      </c>
      <c r="D12" s="676"/>
      <c r="E12" s="676"/>
      <c r="F12" s="676"/>
      <c r="G12" s="676"/>
      <c r="H12" s="676"/>
      <c r="I12" s="676"/>
      <c r="J12" s="1189" t="s">
        <v>646</v>
      </c>
      <c r="K12" s="1190"/>
      <c r="L12" s="1190"/>
      <c r="M12" s="1190"/>
      <c r="N12" s="1190"/>
      <c r="O12" s="1190"/>
      <c r="P12" s="1190"/>
      <c r="Q12" s="1190"/>
      <c r="R12" s="1190"/>
      <c r="S12" s="1191"/>
      <c r="T12" s="1189" t="s">
        <v>647</v>
      </c>
      <c r="U12" s="1190"/>
      <c r="V12" s="1190"/>
      <c r="W12" s="1192"/>
      <c r="X12" s="1190"/>
      <c r="Y12" s="1190"/>
      <c r="Z12" s="1190"/>
      <c r="AA12" s="1190"/>
      <c r="AB12" s="1192"/>
      <c r="AC12" s="1191"/>
      <c r="AD12" s="1189" t="s">
        <v>266</v>
      </c>
      <c r="AE12" s="1190"/>
      <c r="AF12" s="1190"/>
      <c r="AG12" s="1192"/>
      <c r="AH12" s="1190"/>
      <c r="AI12" s="1190"/>
      <c r="AJ12" s="1190"/>
      <c r="AK12" s="1190"/>
      <c r="AL12" s="1192"/>
      <c r="AM12" s="1191"/>
      <c r="AN12" s="1189"/>
      <c r="AO12" s="1190"/>
      <c r="AP12" s="1190"/>
      <c r="AQ12" s="1192"/>
      <c r="AR12" s="1190"/>
      <c r="AS12" s="1190"/>
      <c r="AT12" s="1190"/>
      <c r="AU12" s="1193"/>
      <c r="AV12" s="1194"/>
      <c r="AW12" s="1195"/>
      <c r="AX12" s="1189"/>
      <c r="AY12" s="1190"/>
      <c r="AZ12" s="1190"/>
      <c r="BA12" s="1192"/>
      <c r="BB12" s="1190"/>
      <c r="BC12" s="1190"/>
      <c r="BD12" s="1190"/>
      <c r="BE12" s="1193"/>
      <c r="BF12" s="1194"/>
      <c r="BG12" s="1193"/>
      <c r="BH12" s="147"/>
      <c r="BI12" s="147"/>
      <c r="BJ12" s="1002"/>
      <c r="BK12" s="1002"/>
      <c r="BL12" s="147"/>
      <c r="BM12" s="147"/>
      <c r="BN12" s="1008"/>
      <c r="BO12" s="1008"/>
      <c r="BP12" s="148"/>
      <c r="BQ12" s="149"/>
      <c r="BR12" s="362"/>
      <c r="BS12" s="147"/>
      <c r="BU12" s="147"/>
      <c r="BX12" s="362"/>
      <c r="CD12" s="739"/>
    </row>
    <row r="13" spans="1:87" s="140" customFormat="1" ht="13.5" customHeight="1" thickTop="1" thickBot="1">
      <c r="A13" s="73"/>
      <c r="B13" s="73"/>
      <c r="C13" s="1196" t="s">
        <v>77</v>
      </c>
      <c r="D13" s="1225" t="s">
        <v>78</v>
      </c>
      <c r="E13" s="1225" t="s">
        <v>727</v>
      </c>
      <c r="F13" s="1225" t="s">
        <v>163</v>
      </c>
      <c r="G13" s="1179" t="s">
        <v>653</v>
      </c>
      <c r="H13" s="1179" t="s">
        <v>416</v>
      </c>
      <c r="I13" s="1222" t="s">
        <v>421</v>
      </c>
      <c r="J13" s="1199">
        <f>'Mark Up Validation'!M38</f>
        <v>4.62</v>
      </c>
      <c r="K13" s="1200"/>
      <c r="L13" s="1200"/>
      <c r="M13" s="1200"/>
      <c r="N13" s="1201"/>
      <c r="O13" s="1199">
        <f>'Mark Up Validation'!S38</f>
        <v>4.62</v>
      </c>
      <c r="P13" s="1200"/>
      <c r="Q13" s="1200"/>
      <c r="R13" s="1200"/>
      <c r="S13" s="1201"/>
      <c r="T13" s="1199">
        <f>'Mark Up Validation'!M71</f>
        <v>4</v>
      </c>
      <c r="U13" s="1200"/>
      <c r="V13" s="1200"/>
      <c r="W13" s="1202"/>
      <c r="X13" s="1201"/>
      <c r="Y13" s="1199">
        <f>'Mark Up Validation'!S71</f>
        <v>4</v>
      </c>
      <c r="Z13" s="1200"/>
      <c r="AA13" s="1200"/>
      <c r="AB13" s="1202"/>
      <c r="AC13" s="1201"/>
      <c r="AD13" s="1199">
        <f>'Mark Up Validation'!M99</f>
        <v>4</v>
      </c>
      <c r="AE13" s="1200"/>
      <c r="AF13" s="1200"/>
      <c r="AG13" s="1202"/>
      <c r="AH13" s="1201"/>
      <c r="AI13" s="1199">
        <f>'Mark Up Validation'!S99</f>
        <v>4</v>
      </c>
      <c r="AJ13" s="1200"/>
      <c r="AK13" s="1200"/>
      <c r="AL13" s="1202"/>
      <c r="AM13" s="1201"/>
      <c r="AN13" s="1199">
        <f>'Mark Up Validation'!M127</f>
        <v>4</v>
      </c>
      <c r="AO13" s="1200"/>
      <c r="AP13" s="1193"/>
      <c r="AQ13" s="1194"/>
      <c r="AR13" s="1195"/>
      <c r="AS13" s="1199">
        <f>'Mark Up Validation'!S127</f>
        <v>4</v>
      </c>
      <c r="AT13" s="1200"/>
      <c r="AU13" s="1193"/>
      <c r="AV13" s="1194"/>
      <c r="AW13" s="1203"/>
      <c r="AX13" s="1204">
        <v>1</v>
      </c>
      <c r="AY13" s="1193"/>
      <c r="AZ13" s="1193"/>
      <c r="BA13" s="1194"/>
      <c r="BB13" s="1203"/>
      <c r="BC13" s="1204">
        <v>1</v>
      </c>
      <c r="BD13" s="1193"/>
      <c r="BE13" s="1193"/>
      <c r="BF13" s="1194"/>
      <c r="BG13" s="1195"/>
      <c r="BH13" s="1174" t="s">
        <v>696</v>
      </c>
      <c r="BI13" s="1175"/>
      <c r="BJ13" s="1003"/>
      <c r="BK13" s="1003"/>
      <c r="BL13" s="1174" t="s">
        <v>697</v>
      </c>
      <c r="BM13" s="1176"/>
      <c r="BN13" s="1009"/>
      <c r="BO13" s="1009"/>
      <c r="BP13" s="1177" t="s">
        <v>698</v>
      </c>
      <c r="BQ13" s="1178"/>
      <c r="BR13" s="362"/>
      <c r="BS13" s="1179" t="s">
        <v>79</v>
      </c>
      <c r="BU13" s="1179" t="s">
        <v>419</v>
      </c>
      <c r="BX13" s="362"/>
      <c r="CD13" s="739"/>
    </row>
    <row r="14" spans="1:87" s="140" customFormat="1" ht="14.25" customHeight="1" thickTop="1" thickBot="1">
      <c r="A14" s="73"/>
      <c r="B14" s="73"/>
      <c r="C14" s="1197"/>
      <c r="D14" s="1226"/>
      <c r="E14" s="1226"/>
      <c r="F14" s="1226"/>
      <c r="G14" s="1180"/>
      <c r="H14" s="1180"/>
      <c r="I14" s="1223"/>
      <c r="J14" s="1182" t="s">
        <v>694</v>
      </c>
      <c r="K14" s="1183"/>
      <c r="L14" s="1183"/>
      <c r="M14" s="1183"/>
      <c r="N14" s="1184"/>
      <c r="O14" s="1182" t="s">
        <v>695</v>
      </c>
      <c r="P14" s="1183"/>
      <c r="Q14" s="1183"/>
      <c r="R14" s="1183"/>
      <c r="S14" s="1184"/>
      <c r="T14" s="1182" t="s">
        <v>694</v>
      </c>
      <c r="U14" s="1183"/>
      <c r="V14" s="1183"/>
      <c r="W14" s="1185"/>
      <c r="X14" s="1184"/>
      <c r="Y14" s="1182" t="s">
        <v>695</v>
      </c>
      <c r="Z14" s="1183"/>
      <c r="AA14" s="1183"/>
      <c r="AB14" s="1185"/>
      <c r="AC14" s="1184"/>
      <c r="AD14" s="1182" t="s">
        <v>694</v>
      </c>
      <c r="AE14" s="1183"/>
      <c r="AF14" s="1183"/>
      <c r="AG14" s="1185"/>
      <c r="AH14" s="1184"/>
      <c r="AI14" s="1182" t="s">
        <v>695</v>
      </c>
      <c r="AJ14" s="1183"/>
      <c r="AK14" s="1183"/>
      <c r="AL14" s="1185"/>
      <c r="AM14" s="1184"/>
      <c r="AN14" s="1182" t="s">
        <v>694</v>
      </c>
      <c r="AO14" s="1183"/>
      <c r="AP14" s="1183"/>
      <c r="AQ14" s="1185"/>
      <c r="AR14" s="1184"/>
      <c r="AS14" s="1182" t="s">
        <v>695</v>
      </c>
      <c r="AT14" s="1183"/>
      <c r="AU14" s="1183"/>
      <c r="AV14" s="1185"/>
      <c r="AW14" s="1184"/>
      <c r="AX14" s="1182" t="s">
        <v>694</v>
      </c>
      <c r="AY14" s="1183"/>
      <c r="AZ14" s="1183"/>
      <c r="BA14" s="1185"/>
      <c r="BB14" s="1184"/>
      <c r="BC14" s="1182" t="s">
        <v>695</v>
      </c>
      <c r="BD14" s="1183"/>
      <c r="BE14" s="1183"/>
      <c r="BF14" s="1185"/>
      <c r="BG14" s="1184"/>
      <c r="BH14" s="1186" t="s">
        <v>445</v>
      </c>
      <c r="BI14" s="1186" t="s">
        <v>612</v>
      </c>
      <c r="BJ14" s="1186" t="s">
        <v>699</v>
      </c>
      <c r="BK14" s="1186" t="s">
        <v>615</v>
      </c>
      <c r="BL14" s="1186" t="s">
        <v>445</v>
      </c>
      <c r="BM14" s="1186" t="s">
        <v>612</v>
      </c>
      <c r="BN14" s="1186" t="s">
        <v>699</v>
      </c>
      <c r="BO14" s="1186" t="s">
        <v>615</v>
      </c>
      <c r="BP14" s="1187" t="s">
        <v>445</v>
      </c>
      <c r="BQ14" s="1169" t="s">
        <v>613</v>
      </c>
      <c r="BR14" s="362"/>
      <c r="BS14" s="1180"/>
      <c r="BU14" s="1180"/>
      <c r="BX14" s="362"/>
      <c r="CD14" s="739"/>
    </row>
    <row r="15" spans="1:87" s="140" customFormat="1" ht="38.25" customHeight="1" thickTop="1" thickBot="1">
      <c r="A15" s="73"/>
      <c r="B15" s="73"/>
      <c r="C15" s="1198"/>
      <c r="D15" s="1227"/>
      <c r="E15" s="1227"/>
      <c r="F15" s="1227"/>
      <c r="G15" s="1181"/>
      <c r="H15" s="1181"/>
      <c r="I15" s="1224"/>
      <c r="J15" s="150" t="s">
        <v>415</v>
      </c>
      <c r="K15" s="150" t="s">
        <v>417</v>
      </c>
      <c r="L15" s="1094" t="s">
        <v>614</v>
      </c>
      <c r="M15" s="1095" t="s">
        <v>699</v>
      </c>
      <c r="N15" s="150" t="s">
        <v>615</v>
      </c>
      <c r="O15" s="150" t="s">
        <v>415</v>
      </c>
      <c r="P15" s="150" t="s">
        <v>417</v>
      </c>
      <c r="Q15" s="1094" t="s">
        <v>614</v>
      </c>
      <c r="R15" s="1095" t="s">
        <v>699</v>
      </c>
      <c r="S15" s="150" t="s">
        <v>615</v>
      </c>
      <c r="T15" s="150" t="s">
        <v>415</v>
      </c>
      <c r="U15" s="150" t="s">
        <v>417</v>
      </c>
      <c r="V15" s="1094" t="s">
        <v>614</v>
      </c>
      <c r="W15" s="1096" t="s">
        <v>699</v>
      </c>
      <c r="X15" s="150" t="s">
        <v>615</v>
      </c>
      <c r="Y15" s="150" t="s">
        <v>415</v>
      </c>
      <c r="Z15" s="150" t="s">
        <v>417</v>
      </c>
      <c r="AA15" s="1094" t="s">
        <v>614</v>
      </c>
      <c r="AB15" s="1096" t="s">
        <v>699</v>
      </c>
      <c r="AC15" s="150" t="s">
        <v>615</v>
      </c>
      <c r="AD15" s="150" t="s">
        <v>415</v>
      </c>
      <c r="AE15" s="150" t="s">
        <v>417</v>
      </c>
      <c r="AF15" s="1094" t="s">
        <v>614</v>
      </c>
      <c r="AG15" s="1096" t="s">
        <v>699</v>
      </c>
      <c r="AH15" s="150" t="s">
        <v>615</v>
      </c>
      <c r="AI15" s="150" t="s">
        <v>415</v>
      </c>
      <c r="AJ15" s="150" t="s">
        <v>417</v>
      </c>
      <c r="AK15" s="1094" t="s">
        <v>614</v>
      </c>
      <c r="AL15" s="1096" t="s">
        <v>699</v>
      </c>
      <c r="AM15" s="150" t="s">
        <v>615</v>
      </c>
      <c r="AN15" s="150" t="s">
        <v>415</v>
      </c>
      <c r="AO15" s="150" t="s">
        <v>417</v>
      </c>
      <c r="AP15" s="1094" t="s">
        <v>614</v>
      </c>
      <c r="AQ15" s="1096" t="s">
        <v>699</v>
      </c>
      <c r="AR15" s="150" t="s">
        <v>615</v>
      </c>
      <c r="AS15" s="150" t="s">
        <v>415</v>
      </c>
      <c r="AT15" s="150" t="s">
        <v>417</v>
      </c>
      <c r="AU15" s="1094" t="s">
        <v>614</v>
      </c>
      <c r="AV15" s="1096" t="s">
        <v>699</v>
      </c>
      <c r="AW15" s="150" t="s">
        <v>615</v>
      </c>
      <c r="AX15" s="150" t="s">
        <v>415</v>
      </c>
      <c r="AY15" s="150" t="s">
        <v>417</v>
      </c>
      <c r="AZ15" s="1094" t="s">
        <v>614</v>
      </c>
      <c r="BA15" s="1096" t="s">
        <v>699</v>
      </c>
      <c r="BB15" s="150" t="s">
        <v>615</v>
      </c>
      <c r="BC15" s="150" t="s">
        <v>415</v>
      </c>
      <c r="BD15" s="150" t="s">
        <v>417</v>
      </c>
      <c r="BE15" s="1094" t="s">
        <v>614</v>
      </c>
      <c r="BF15" s="1096" t="s">
        <v>699</v>
      </c>
      <c r="BG15" s="150" t="s">
        <v>615</v>
      </c>
      <c r="BH15" s="1181"/>
      <c r="BI15" s="1181"/>
      <c r="BJ15" s="1181"/>
      <c r="BK15" s="1181"/>
      <c r="BL15" s="1181"/>
      <c r="BM15" s="1181"/>
      <c r="BN15" s="1181"/>
      <c r="BO15" s="1181"/>
      <c r="BP15" s="1188"/>
      <c r="BQ15" s="1170"/>
      <c r="BR15" s="362"/>
      <c r="BS15" s="1181"/>
      <c r="BU15" s="1181"/>
      <c r="BW15" s="140" t="s">
        <v>447</v>
      </c>
      <c r="BX15" s="362" t="s">
        <v>448</v>
      </c>
      <c r="CD15" s="739" t="s">
        <v>525</v>
      </c>
    </row>
    <row r="16" spans="1:87" ht="14.25" thickTop="1" thickBot="1">
      <c r="A16" s="57"/>
      <c r="B16" s="92">
        <v>1</v>
      </c>
      <c r="C16" s="1012"/>
      <c r="D16" s="1013" t="s">
        <v>451</v>
      </c>
      <c r="E16" s="1014" t="s">
        <v>1024</v>
      </c>
      <c r="F16" s="1013" t="s">
        <v>1024</v>
      </c>
      <c r="G16" s="1012"/>
      <c r="H16" s="1032">
        <f>1/(1-I16)</f>
        <v>1.6666666666666667</v>
      </c>
      <c r="I16" s="1105">
        <v>0.4</v>
      </c>
      <c r="J16" s="1015">
        <f>IF(K16=0,1,K16/(K16/($J$13*(1/H16))))</f>
        <v>2.7719999999999998</v>
      </c>
      <c r="K16" s="1016">
        <f>(L16*$D$4)*0.9</f>
        <v>2369929.9140000003</v>
      </c>
      <c r="L16" s="1087">
        <f>53794.8*0.55</f>
        <v>29587.140000000003</v>
      </c>
      <c r="M16" s="1088">
        <f>3396*0.55</f>
        <v>1867.8000000000002</v>
      </c>
      <c r="N16" s="1019">
        <f>L16/($J$13*(100%-I16))</f>
        <v>10673.571428571431</v>
      </c>
      <c r="O16" s="1015">
        <f t="shared" ref="O16:O47" si="4">IF(P16=0,1,P16/(P16/($O$13*(1/H16))))</f>
        <v>2.7719999999999998</v>
      </c>
      <c r="P16" s="1016">
        <f>(Q16*$D$4)*0.9</f>
        <v>1939033.5660000003</v>
      </c>
      <c r="Q16" s="1087">
        <f>53794.8*0.45</f>
        <v>24207.660000000003</v>
      </c>
      <c r="R16" s="1088">
        <f>3396*0.45</f>
        <v>1528.2</v>
      </c>
      <c r="S16" s="1020">
        <f t="shared" ref="S16:S47" si="5">Q16/($O$13*(100%-I16))</f>
        <v>8732.9220779220796</v>
      </c>
      <c r="T16" s="1015">
        <f t="shared" ref="T16:T47" si="6">IF(U16=0,1,U16/(U16/($T$13*(1/H16))))</f>
        <v>1</v>
      </c>
      <c r="U16" s="1016">
        <f>V16*$D$8</f>
        <v>0</v>
      </c>
      <c r="V16" s="1087"/>
      <c r="W16" s="1088"/>
      <c r="X16" s="1019">
        <f t="shared" ref="X16:X47" si="7">V16/($T$13*(100%-I16))</f>
        <v>0</v>
      </c>
      <c r="Y16" s="1015">
        <f t="shared" ref="Y16:Y47" si="8">IF(Z16=0,1,Z16/(Z16/($Y$13*(1/H16))))</f>
        <v>1</v>
      </c>
      <c r="Z16" s="1016">
        <f>AA16*$D$8</f>
        <v>0</v>
      </c>
      <c r="AA16" s="1087"/>
      <c r="AB16" s="1088"/>
      <c r="AC16" s="1021">
        <f t="shared" ref="AC16:AC47" si="9">AA16/($Y$13*(100%-I16))</f>
        <v>0</v>
      </c>
      <c r="AD16" s="1015">
        <f t="shared" ref="AD16:AD47" si="10">IF(AE16=0,1,AE16/(AE16/($AD$13*(1/H16))))</f>
        <v>1</v>
      </c>
      <c r="AE16" s="1016">
        <f>AF16*$D$8</f>
        <v>0</v>
      </c>
      <c r="AF16" s="1087"/>
      <c r="AG16" s="1088"/>
      <c r="AH16" s="1019">
        <f t="shared" ref="AH16:AH47" si="11">AF16/($AD$13*(100%-I16))</f>
        <v>0</v>
      </c>
      <c r="AI16" s="1015">
        <f t="shared" ref="AI16:AI47" si="12">IF(AJ16=0,1,AJ16/(AJ16/($AI$13*(1/H16))))</f>
        <v>1</v>
      </c>
      <c r="AJ16" s="1016">
        <f>AK16*$D$8</f>
        <v>0</v>
      </c>
      <c r="AK16" s="1087"/>
      <c r="AL16" s="1088"/>
      <c r="AM16" s="1022">
        <f t="shared" ref="AM16:AM47" si="13">AK16/($AI$13*(100%-I16))</f>
        <v>0</v>
      </c>
      <c r="AN16" s="1015">
        <f t="shared" ref="AN16:AN47" si="14">IF(AO16=0,1,AO16/(AO16/($AN$13*(1/H16))))</f>
        <v>1</v>
      </c>
      <c r="AO16" s="1016">
        <f>AP16*$D$8</f>
        <v>0</v>
      </c>
      <c r="AP16" s="1087"/>
      <c r="AQ16" s="1087"/>
      <c r="AR16" s="1019">
        <f t="shared" ref="AR16:AR47" si="15">AP16/($AN$13*(100%-I16))</f>
        <v>0</v>
      </c>
      <c r="AS16" s="1015">
        <f t="shared" ref="AS16:AS47" si="16">IF(AT16=0,1,AT16/(AT16/($AS$13*(1/H16))))</f>
        <v>1</v>
      </c>
      <c r="AT16" s="1016">
        <f>AU16*$D$8</f>
        <v>0</v>
      </c>
      <c r="AU16" s="1087"/>
      <c r="AV16" s="1088"/>
      <c r="AW16" s="1021">
        <f t="shared" ref="AW16:AW47" si="17">AU16/($AS$13*(100%-I16))</f>
        <v>0</v>
      </c>
      <c r="AX16" s="1015">
        <f t="shared" ref="AX16:AX47" si="18">IF(AY16=0,1,AY16/(AY16/($AX$13*(1/H16))))</f>
        <v>1</v>
      </c>
      <c r="AY16" s="1016">
        <f>AZ16*$D$8</f>
        <v>0</v>
      </c>
      <c r="AZ16" s="1087"/>
      <c r="BA16" s="1087"/>
      <c r="BB16" s="1022">
        <f t="shared" ref="BB16:BB47" si="19">AZ16/($AX$13*(100%-I16))</f>
        <v>0</v>
      </c>
      <c r="BC16" s="1015">
        <f t="shared" ref="BC16:BC47" si="20">IF(BD16=0,1,BD16/(BD16/($BC$13*(1/H16))))</f>
        <v>1</v>
      </c>
      <c r="BD16" s="1016">
        <f>BE16*$D$8</f>
        <v>0</v>
      </c>
      <c r="BE16" s="1087"/>
      <c r="BF16" s="1088"/>
      <c r="BG16" s="1021">
        <f t="shared" ref="BG16:BG47" si="21">BE16/($BC$13*(100%-I16))</f>
        <v>0</v>
      </c>
      <c r="BH16" s="1023">
        <f t="shared" ref="BH16:BH47" si="22">K16+U16+AE16+AO16++AY16</f>
        <v>2369929.9140000003</v>
      </c>
      <c r="BI16" s="1024">
        <f t="shared" ref="BI16:BI47" si="23">L16+V16+AF16+AP16+AZ16</f>
        <v>29587.140000000003</v>
      </c>
      <c r="BJ16" s="1025">
        <f t="shared" ref="BJ16:BJ47" si="24">M16+W16+AG16+AQ16+BA16</f>
        <v>1867.8000000000002</v>
      </c>
      <c r="BK16" s="1022">
        <f t="shared" ref="BK16:BK79" si="25">N16+X16+AH16+AR16+BB16</f>
        <v>10673.571428571431</v>
      </c>
      <c r="BL16" s="1026">
        <f t="shared" ref="BL16:BL47" si="26">P16+Z16+AJ16+AT16+BD16</f>
        <v>1939033.5660000003</v>
      </c>
      <c r="BM16" s="1024">
        <f t="shared" ref="BM16:BM47" si="27">Q16+AA16+AK16+AU16+BE16</f>
        <v>24207.660000000003</v>
      </c>
      <c r="BN16" s="1027"/>
      <c r="BO16" s="1028"/>
      <c r="BP16" s="95">
        <f>SUM(BH16,BL16)</f>
        <v>4308963.4800000004</v>
      </c>
      <c r="BQ16" s="842">
        <f>BI16+BM16</f>
        <v>53794.8</v>
      </c>
      <c r="BS16" s="94">
        <f t="shared" ref="BS16:BS47" si="28">I16</f>
        <v>0.4</v>
      </c>
      <c r="BU16" s="632">
        <f t="shared" ref="BU16:BU47" si="29">BP16/H16</f>
        <v>2585378.088</v>
      </c>
      <c r="BV16" s="398"/>
      <c r="BW16" s="405"/>
      <c r="CI16" s="96"/>
    </row>
    <row r="17" spans="1:87" s="750" customFormat="1" ht="14.25" thickTop="1" thickBot="1">
      <c r="B17" s="751">
        <f>IF(D17&gt;0,B16+1,0)</f>
        <v>2</v>
      </c>
      <c r="C17" s="1029"/>
      <c r="D17" s="1031" t="s">
        <v>1031</v>
      </c>
      <c r="E17" s="1031" t="s">
        <v>729</v>
      </c>
      <c r="F17" s="1031" t="s">
        <v>738</v>
      </c>
      <c r="G17" s="1029"/>
      <c r="H17" s="1032">
        <f t="shared" ref="H17:H80" si="30">1/(1-I17)</f>
        <v>2.2222222222222223</v>
      </c>
      <c r="I17" s="1105">
        <v>0.55000000000000004</v>
      </c>
      <c r="J17" s="1034">
        <f t="shared" ref="J17:J80" si="31">IF(K17=0,1,K17/(K17/($J$13*(1/H17))))</f>
        <v>2.0789999999999997</v>
      </c>
      <c r="K17" s="1016">
        <f>(L17*$D$4)</f>
        <v>2277034.7399999998</v>
      </c>
      <c r="L17" s="1087">
        <v>25584.66</v>
      </c>
      <c r="M17" s="1088">
        <v>1917</v>
      </c>
      <c r="N17" s="1037">
        <f>L17/($J$13*(100%-I17))</f>
        <v>12306.233766233769</v>
      </c>
      <c r="O17" s="1034">
        <f t="shared" si="4"/>
        <v>1</v>
      </c>
      <c r="P17" s="1016">
        <f>(Q17*$D$4)*0.9</f>
        <v>0</v>
      </c>
      <c r="Q17" s="1089"/>
      <c r="R17" s="1088"/>
      <c r="S17" s="1020">
        <f t="shared" si="5"/>
        <v>0</v>
      </c>
      <c r="T17" s="1034">
        <f t="shared" si="6"/>
        <v>1</v>
      </c>
      <c r="U17" s="1035">
        <f t="shared" ref="U17:U73" si="32">V17*$D$8</f>
        <v>0</v>
      </c>
      <c r="V17" s="1089"/>
      <c r="W17" s="1088"/>
      <c r="X17" s="1037">
        <f t="shared" si="7"/>
        <v>0</v>
      </c>
      <c r="Y17" s="1034">
        <f t="shared" si="8"/>
        <v>1</v>
      </c>
      <c r="Z17" s="1035">
        <f t="shared" ref="Z17:Z80" si="33">AA17*$D$8</f>
        <v>0</v>
      </c>
      <c r="AA17" s="1089"/>
      <c r="AB17" s="1088"/>
      <c r="AC17" s="1021">
        <f t="shared" si="9"/>
        <v>0</v>
      </c>
      <c r="AD17" s="1034">
        <f t="shared" si="10"/>
        <v>1</v>
      </c>
      <c r="AE17" s="1035">
        <f t="shared" ref="AE17:AE81" si="34">AF17*$D$8</f>
        <v>0</v>
      </c>
      <c r="AF17" s="1089"/>
      <c r="AG17" s="1088"/>
      <c r="AH17" s="1037">
        <f t="shared" si="11"/>
        <v>0</v>
      </c>
      <c r="AI17" s="1034">
        <f t="shared" si="12"/>
        <v>1</v>
      </c>
      <c r="AJ17" s="1035">
        <f t="shared" ref="AJ17:AJ80" si="35">AK17*$D$8</f>
        <v>0</v>
      </c>
      <c r="AK17" s="1089"/>
      <c r="AL17" s="1088"/>
      <c r="AM17" s="1021">
        <f t="shared" si="13"/>
        <v>0</v>
      </c>
      <c r="AN17" s="1034">
        <f t="shared" si="14"/>
        <v>1</v>
      </c>
      <c r="AO17" s="1035">
        <f t="shared" ref="AO17:AO73" si="36">AP17*$D$8</f>
        <v>0</v>
      </c>
      <c r="AP17" s="1089"/>
      <c r="AQ17" s="1088"/>
      <c r="AR17" s="1037">
        <f t="shared" si="15"/>
        <v>0</v>
      </c>
      <c r="AS17" s="1034">
        <f t="shared" si="16"/>
        <v>1</v>
      </c>
      <c r="AT17" s="1035">
        <f t="shared" ref="AT17:AT80" si="37">AU17*$D$8</f>
        <v>0</v>
      </c>
      <c r="AU17" s="1089"/>
      <c r="AV17" s="1088"/>
      <c r="AW17" s="1021">
        <f t="shared" si="17"/>
        <v>0</v>
      </c>
      <c r="AX17" s="1034">
        <f t="shared" si="18"/>
        <v>1</v>
      </c>
      <c r="AY17" s="1035">
        <f t="shared" ref="AY17:AY73" si="38">AZ17*$D$8</f>
        <v>0</v>
      </c>
      <c r="AZ17" s="1089"/>
      <c r="BA17" s="1089"/>
      <c r="BB17" s="1021">
        <f t="shared" si="19"/>
        <v>0</v>
      </c>
      <c r="BC17" s="1034">
        <f t="shared" si="20"/>
        <v>1</v>
      </c>
      <c r="BD17" s="1035">
        <f t="shared" ref="BD17:BD80" si="39">BE17*$D$8</f>
        <v>0</v>
      </c>
      <c r="BE17" s="1091"/>
      <c r="BF17" s="1088"/>
      <c r="BG17" s="1021">
        <f t="shared" si="21"/>
        <v>0</v>
      </c>
      <c r="BH17" s="1039">
        <f t="shared" si="22"/>
        <v>2277034.7399999998</v>
      </c>
      <c r="BI17" s="1038">
        <f t="shared" si="23"/>
        <v>25584.66</v>
      </c>
      <c r="BJ17" s="1027">
        <f t="shared" si="24"/>
        <v>1917</v>
      </c>
      <c r="BK17" s="1021">
        <f t="shared" si="25"/>
        <v>12306.233766233769</v>
      </c>
      <c r="BL17" s="1040">
        <f t="shared" si="26"/>
        <v>0</v>
      </c>
      <c r="BM17" s="1038">
        <f t="shared" si="27"/>
        <v>0</v>
      </c>
      <c r="BN17" s="1027"/>
      <c r="BO17" s="1041"/>
      <c r="BP17" s="95">
        <f>SUM(BH17,BL17)</f>
        <v>2277034.7399999998</v>
      </c>
      <c r="BQ17" s="842">
        <f>BI17+BM17</f>
        <v>25584.66</v>
      </c>
      <c r="BR17" s="323"/>
      <c r="BS17" s="757">
        <f t="shared" si="28"/>
        <v>0.55000000000000004</v>
      </c>
      <c r="BU17" s="754">
        <f t="shared" si="29"/>
        <v>1024665.6329999998</v>
      </c>
      <c r="BV17" s="758"/>
      <c r="BW17" s="759"/>
      <c r="BX17" s="756"/>
      <c r="CD17" s="758"/>
      <c r="CI17" s="760"/>
    </row>
    <row r="18" spans="1:87" s="750" customFormat="1" ht="14.25" thickTop="1" thickBot="1">
      <c r="B18" s="751">
        <f t="shared" ref="B18:B81" si="40">IF(D18&gt;0,B17+1,0)</f>
        <v>3</v>
      </c>
      <c r="C18" s="1029"/>
      <c r="D18" s="1031" t="s">
        <v>352</v>
      </c>
      <c r="E18" s="1031" t="s">
        <v>1024</v>
      </c>
      <c r="F18" s="1031" t="s">
        <v>1024</v>
      </c>
      <c r="G18" s="1029"/>
      <c r="H18" s="1032">
        <f t="shared" si="30"/>
        <v>2</v>
      </c>
      <c r="I18" s="1105">
        <v>0.5</v>
      </c>
      <c r="J18" s="1034">
        <f t="shared" si="31"/>
        <v>2.31</v>
      </c>
      <c r="K18" s="1035">
        <f>(L18*$D$4)*0.9</f>
        <v>1091273.1885000002</v>
      </c>
      <c r="L18" s="1087">
        <f>24770.7*0.55</f>
        <v>13623.885000000002</v>
      </c>
      <c r="M18" s="1088">
        <f>1662*0.55</f>
        <v>914.1</v>
      </c>
      <c r="N18" s="1037">
        <f t="shared" ref="N18:N47" si="41">L18/($J$13*(100%-I18))</f>
        <v>5897.7857142857147</v>
      </c>
      <c r="O18" s="1034">
        <f t="shared" si="4"/>
        <v>2.31</v>
      </c>
      <c r="P18" s="1035">
        <f>(Q18*$D$4)*0.9</f>
        <v>892859.88150000002</v>
      </c>
      <c r="Q18" s="1089">
        <f>24770.7*0.45</f>
        <v>11146.815000000001</v>
      </c>
      <c r="R18" s="1088">
        <f>1662*0.45</f>
        <v>747.9</v>
      </c>
      <c r="S18" s="1020">
        <f t="shared" si="5"/>
        <v>4825.4610389610389</v>
      </c>
      <c r="T18" s="1034">
        <f t="shared" si="6"/>
        <v>1</v>
      </c>
      <c r="U18" s="1035">
        <f t="shared" si="32"/>
        <v>0</v>
      </c>
      <c r="V18" s="1089"/>
      <c r="W18" s="1088"/>
      <c r="X18" s="1037">
        <f t="shared" si="7"/>
        <v>0</v>
      </c>
      <c r="Y18" s="1034">
        <f t="shared" si="8"/>
        <v>1</v>
      </c>
      <c r="Z18" s="1035">
        <f t="shared" si="33"/>
        <v>0</v>
      </c>
      <c r="AA18" s="1089"/>
      <c r="AB18" s="1088"/>
      <c r="AC18" s="1021">
        <f t="shared" si="9"/>
        <v>0</v>
      </c>
      <c r="AD18" s="1034">
        <f t="shared" si="10"/>
        <v>1</v>
      </c>
      <c r="AE18" s="1035">
        <f t="shared" si="34"/>
        <v>0</v>
      </c>
      <c r="AF18" s="1089"/>
      <c r="AG18" s="1088"/>
      <c r="AH18" s="1037">
        <f t="shared" si="11"/>
        <v>0</v>
      </c>
      <c r="AI18" s="1034">
        <f t="shared" si="12"/>
        <v>1</v>
      </c>
      <c r="AJ18" s="1035">
        <f t="shared" si="35"/>
        <v>0</v>
      </c>
      <c r="AK18" s="1089"/>
      <c r="AL18" s="1088"/>
      <c r="AM18" s="1021">
        <f t="shared" si="13"/>
        <v>0</v>
      </c>
      <c r="AN18" s="1034">
        <f t="shared" si="14"/>
        <v>1</v>
      </c>
      <c r="AO18" s="1035">
        <f t="shared" si="36"/>
        <v>0</v>
      </c>
      <c r="AP18" s="1089"/>
      <c r="AQ18" s="1088"/>
      <c r="AR18" s="1037">
        <f t="shared" si="15"/>
        <v>0</v>
      </c>
      <c r="AS18" s="1034">
        <f t="shared" si="16"/>
        <v>1</v>
      </c>
      <c r="AT18" s="1035">
        <f t="shared" si="37"/>
        <v>0</v>
      </c>
      <c r="AU18" s="1091"/>
      <c r="AV18" s="1088"/>
      <c r="AW18" s="1021">
        <f t="shared" si="17"/>
        <v>0</v>
      </c>
      <c r="AX18" s="1034">
        <f t="shared" si="18"/>
        <v>1</v>
      </c>
      <c r="AY18" s="1035">
        <f t="shared" si="38"/>
        <v>0</v>
      </c>
      <c r="AZ18" s="1089"/>
      <c r="BA18" s="1089"/>
      <c r="BB18" s="1021">
        <f t="shared" si="19"/>
        <v>0</v>
      </c>
      <c r="BC18" s="1034">
        <f t="shared" si="20"/>
        <v>1</v>
      </c>
      <c r="BD18" s="1035">
        <f t="shared" si="39"/>
        <v>0</v>
      </c>
      <c r="BE18" s="1091"/>
      <c r="BF18" s="1088"/>
      <c r="BG18" s="1021">
        <f t="shared" si="21"/>
        <v>0</v>
      </c>
      <c r="BH18" s="1039">
        <f t="shared" si="22"/>
        <v>1091273.1885000002</v>
      </c>
      <c r="BI18" s="1038">
        <f t="shared" si="23"/>
        <v>13623.885000000002</v>
      </c>
      <c r="BJ18" s="1027">
        <f t="shared" si="24"/>
        <v>914.1</v>
      </c>
      <c r="BK18" s="1021">
        <f t="shared" si="25"/>
        <v>5897.7857142857147</v>
      </c>
      <c r="BL18" s="1040">
        <f t="shared" si="26"/>
        <v>892859.88150000002</v>
      </c>
      <c r="BM18" s="1038">
        <f t="shared" si="27"/>
        <v>11146.815000000001</v>
      </c>
      <c r="BN18" s="1027"/>
      <c r="BO18" s="1041"/>
      <c r="BP18" s="95">
        <f>SUM(BH18,BL18)</f>
        <v>1984133.0700000003</v>
      </c>
      <c r="BQ18" s="842">
        <f>BI18+BM18</f>
        <v>24770.700000000004</v>
      </c>
      <c r="BR18" s="323"/>
      <c r="BS18" s="757">
        <f t="shared" si="28"/>
        <v>0.5</v>
      </c>
      <c r="BU18" s="754">
        <f t="shared" si="29"/>
        <v>992066.53500000015</v>
      </c>
      <c r="BV18" s="758"/>
      <c r="BW18" s="759"/>
      <c r="BX18" s="756"/>
      <c r="CD18" s="758"/>
      <c r="CI18" s="760"/>
    </row>
    <row r="19" spans="1:87" ht="14.25" thickTop="1" thickBot="1">
      <c r="A19" s="57"/>
      <c r="B19" s="751">
        <f t="shared" si="40"/>
        <v>4</v>
      </c>
      <c r="C19" s="1029"/>
      <c r="D19" s="1031" t="s">
        <v>1007</v>
      </c>
      <c r="E19" s="1031" t="s">
        <v>729</v>
      </c>
      <c r="F19" s="1031" t="s">
        <v>735</v>
      </c>
      <c r="G19" s="1029"/>
      <c r="H19" s="1032">
        <f t="shared" si="30"/>
        <v>2.1276595744680851</v>
      </c>
      <c r="I19" s="1105">
        <v>0.53</v>
      </c>
      <c r="J19" s="1034">
        <f t="shared" si="31"/>
        <v>2.1714000000000002</v>
      </c>
      <c r="K19" s="1035">
        <f>L19*$D$4</f>
        <v>374186.08199999999</v>
      </c>
      <c r="L19" s="1087">
        <v>4204.3379999999997</v>
      </c>
      <c r="M19" s="1088">
        <v>306</v>
      </c>
      <c r="N19" s="1037">
        <f t="shared" si="41"/>
        <v>1936.2337662337663</v>
      </c>
      <c r="O19" s="1034">
        <f t="shared" si="4"/>
        <v>1</v>
      </c>
      <c r="P19" s="1035">
        <f t="shared" ref="P19:P47" si="42">Q19*$D$8</f>
        <v>0</v>
      </c>
      <c r="Q19" s="1089"/>
      <c r="R19" s="1088"/>
      <c r="S19" s="1020">
        <f t="shared" si="5"/>
        <v>0</v>
      </c>
      <c r="T19" s="1034">
        <f t="shared" si="6"/>
        <v>1</v>
      </c>
      <c r="U19" s="1035">
        <f t="shared" si="32"/>
        <v>0</v>
      </c>
      <c r="V19" s="1089"/>
      <c r="W19" s="1088"/>
      <c r="X19" s="1037">
        <f t="shared" si="7"/>
        <v>0</v>
      </c>
      <c r="Y19" s="1034">
        <f t="shared" si="8"/>
        <v>1</v>
      </c>
      <c r="Z19" s="1035">
        <f t="shared" si="33"/>
        <v>0</v>
      </c>
      <c r="AA19" s="1089"/>
      <c r="AB19" s="1088"/>
      <c r="AC19" s="1021">
        <f t="shared" si="9"/>
        <v>0</v>
      </c>
      <c r="AD19" s="1034">
        <f t="shared" si="10"/>
        <v>1</v>
      </c>
      <c r="AE19" s="1035">
        <f t="shared" si="34"/>
        <v>0</v>
      </c>
      <c r="AF19" s="1089"/>
      <c r="AG19" s="1088"/>
      <c r="AH19" s="1037">
        <f t="shared" si="11"/>
        <v>0</v>
      </c>
      <c r="AI19" s="1034">
        <f t="shared" si="12"/>
        <v>1</v>
      </c>
      <c r="AJ19" s="1035">
        <f t="shared" si="35"/>
        <v>0</v>
      </c>
      <c r="AK19" s="1089"/>
      <c r="AL19" s="1088"/>
      <c r="AM19" s="1021">
        <f t="shared" si="13"/>
        <v>0</v>
      </c>
      <c r="AN19" s="1034">
        <f t="shared" si="14"/>
        <v>1</v>
      </c>
      <c r="AO19" s="1035">
        <f t="shared" si="36"/>
        <v>0</v>
      </c>
      <c r="AP19" s="1089"/>
      <c r="AQ19" s="1088"/>
      <c r="AR19" s="1037">
        <f t="shared" si="15"/>
        <v>0</v>
      </c>
      <c r="AS19" s="1034">
        <f t="shared" si="16"/>
        <v>1</v>
      </c>
      <c r="AT19" s="1035">
        <f t="shared" si="37"/>
        <v>0</v>
      </c>
      <c r="AU19" s="1089"/>
      <c r="AV19" s="1088"/>
      <c r="AW19" s="1021">
        <f t="shared" si="17"/>
        <v>0</v>
      </c>
      <c r="AX19" s="1034">
        <f t="shared" si="18"/>
        <v>1</v>
      </c>
      <c r="AY19" s="1035">
        <f t="shared" si="38"/>
        <v>0</v>
      </c>
      <c r="AZ19" s="1089"/>
      <c r="BA19" s="1089"/>
      <c r="BB19" s="1021">
        <f t="shared" si="19"/>
        <v>0</v>
      </c>
      <c r="BC19" s="1034">
        <f t="shared" si="20"/>
        <v>1</v>
      </c>
      <c r="BD19" s="1035">
        <f t="shared" si="39"/>
        <v>0</v>
      </c>
      <c r="BE19" s="1091"/>
      <c r="BF19" s="1088"/>
      <c r="BG19" s="1021">
        <f t="shared" si="21"/>
        <v>0</v>
      </c>
      <c r="BH19" s="1039">
        <f t="shared" si="22"/>
        <v>374186.08199999999</v>
      </c>
      <c r="BI19" s="1038">
        <f t="shared" si="23"/>
        <v>4204.3379999999997</v>
      </c>
      <c r="BJ19" s="1027">
        <f t="shared" si="24"/>
        <v>306</v>
      </c>
      <c r="BK19" s="1021">
        <f t="shared" si="25"/>
        <v>1936.2337662337663</v>
      </c>
      <c r="BL19" s="1040">
        <f t="shared" si="26"/>
        <v>0</v>
      </c>
      <c r="BM19" s="1038">
        <f t="shared" si="27"/>
        <v>0</v>
      </c>
      <c r="BN19" s="1027"/>
      <c r="BO19" s="1041"/>
      <c r="BP19" s="95">
        <f>SUM(BH19,BL19)</f>
        <v>374186.08199999999</v>
      </c>
      <c r="BQ19" s="842">
        <f>BI19+BM19</f>
        <v>4204.3379999999997</v>
      </c>
      <c r="BS19" s="94">
        <f t="shared" si="28"/>
        <v>0.53</v>
      </c>
      <c r="BU19" s="632">
        <f t="shared" si="29"/>
        <v>175867.45853999999</v>
      </c>
      <c r="BV19" s="398"/>
      <c r="BW19" s="405"/>
      <c r="CI19" s="96"/>
    </row>
    <row r="20" spans="1:87" s="334" customFormat="1" ht="14.25" thickTop="1" thickBot="1">
      <c r="B20" s="751">
        <f t="shared" si="40"/>
        <v>5</v>
      </c>
      <c r="C20" s="1029"/>
      <c r="D20" s="1031" t="s">
        <v>1032</v>
      </c>
      <c r="E20" s="1031" t="s">
        <v>729</v>
      </c>
      <c r="F20" s="1031" t="s">
        <v>124</v>
      </c>
      <c r="G20" s="1029"/>
      <c r="H20" s="1032">
        <f t="shared" si="30"/>
        <v>2.2222222222222223</v>
      </c>
      <c r="I20" s="1105">
        <v>0.55000000000000004</v>
      </c>
      <c r="J20" s="1034">
        <f t="shared" si="31"/>
        <v>2.0789999999999997</v>
      </c>
      <c r="K20" s="1035">
        <f>L20*$D$4</f>
        <v>119284.92</v>
      </c>
      <c r="L20" s="1087">
        <v>1340.28</v>
      </c>
      <c r="M20" s="1088">
        <v>112</v>
      </c>
      <c r="N20" s="1037">
        <f>L20/($J$13*(100%-I20))</f>
        <v>644.67532467532476</v>
      </c>
      <c r="O20" s="1034">
        <f t="shared" si="4"/>
        <v>1</v>
      </c>
      <c r="P20" s="1035">
        <f t="shared" si="42"/>
        <v>0</v>
      </c>
      <c r="Q20" s="1089"/>
      <c r="R20" s="1088"/>
      <c r="S20" s="1020">
        <f t="shared" si="5"/>
        <v>0</v>
      </c>
      <c r="T20" s="1034">
        <f t="shared" si="6"/>
        <v>1</v>
      </c>
      <c r="U20" s="1035">
        <f t="shared" si="32"/>
        <v>0</v>
      </c>
      <c r="V20" s="1089"/>
      <c r="W20" s="1088"/>
      <c r="X20" s="1037">
        <f>V20/($T$13*(100%-I20))</f>
        <v>0</v>
      </c>
      <c r="Y20" s="1034">
        <f t="shared" si="8"/>
        <v>1</v>
      </c>
      <c r="Z20" s="1035">
        <f t="shared" si="33"/>
        <v>0</v>
      </c>
      <c r="AA20" s="1089"/>
      <c r="AB20" s="1088"/>
      <c r="AC20" s="1021">
        <f t="shared" si="9"/>
        <v>0</v>
      </c>
      <c r="AD20" s="1034">
        <f t="shared" si="10"/>
        <v>1</v>
      </c>
      <c r="AE20" s="1035">
        <f t="shared" si="34"/>
        <v>0</v>
      </c>
      <c r="AF20" s="1089"/>
      <c r="AG20" s="1088"/>
      <c r="AH20" s="1037">
        <f t="shared" si="11"/>
        <v>0</v>
      </c>
      <c r="AI20" s="1034">
        <f t="shared" si="12"/>
        <v>1</v>
      </c>
      <c r="AJ20" s="1035">
        <f t="shared" si="35"/>
        <v>0</v>
      </c>
      <c r="AK20" s="1089"/>
      <c r="AL20" s="1088"/>
      <c r="AM20" s="1021">
        <f t="shared" si="13"/>
        <v>0</v>
      </c>
      <c r="AN20" s="1034">
        <f t="shared" si="14"/>
        <v>1</v>
      </c>
      <c r="AO20" s="1035">
        <f t="shared" si="36"/>
        <v>0</v>
      </c>
      <c r="AP20" s="1089"/>
      <c r="AQ20" s="1088"/>
      <c r="AR20" s="1037">
        <f t="shared" si="15"/>
        <v>0</v>
      </c>
      <c r="AS20" s="1034">
        <f t="shared" si="16"/>
        <v>1</v>
      </c>
      <c r="AT20" s="1035">
        <f t="shared" si="37"/>
        <v>0</v>
      </c>
      <c r="AU20" s="1091"/>
      <c r="AV20" s="1088"/>
      <c r="AW20" s="1021">
        <f t="shared" si="17"/>
        <v>0</v>
      </c>
      <c r="AX20" s="1034">
        <f t="shared" si="18"/>
        <v>1</v>
      </c>
      <c r="AY20" s="1035">
        <f t="shared" si="38"/>
        <v>0</v>
      </c>
      <c r="AZ20" s="1089"/>
      <c r="BA20" s="1089"/>
      <c r="BB20" s="1021">
        <f t="shared" si="19"/>
        <v>0</v>
      </c>
      <c r="BC20" s="1034">
        <f t="shared" si="20"/>
        <v>1</v>
      </c>
      <c r="BD20" s="1035">
        <f t="shared" si="39"/>
        <v>0</v>
      </c>
      <c r="BE20" s="1091"/>
      <c r="BF20" s="1088"/>
      <c r="BG20" s="1021">
        <f t="shared" si="21"/>
        <v>0</v>
      </c>
      <c r="BH20" s="1039">
        <f t="shared" si="22"/>
        <v>119284.92</v>
      </c>
      <c r="BI20" s="1038">
        <f t="shared" si="23"/>
        <v>1340.28</v>
      </c>
      <c r="BJ20" s="1027">
        <f t="shared" si="24"/>
        <v>112</v>
      </c>
      <c r="BK20" s="1021">
        <f t="shared" si="25"/>
        <v>644.67532467532476</v>
      </c>
      <c r="BL20" s="1040">
        <f t="shared" si="26"/>
        <v>0</v>
      </c>
      <c r="BM20" s="1038">
        <f t="shared" si="27"/>
        <v>0</v>
      </c>
      <c r="BN20" s="1027"/>
      <c r="BO20" s="1041"/>
      <c r="BP20" s="95">
        <f t="shared" ref="BP20:BP83" si="43">SUM(BH20,BL20)</f>
        <v>119284.92</v>
      </c>
      <c r="BQ20" s="842">
        <f t="shared" ref="BQ20:BQ83" si="44">BI20+BM20</f>
        <v>1340.28</v>
      </c>
      <c r="BR20" s="793"/>
      <c r="BS20" s="94">
        <f t="shared" si="28"/>
        <v>0.55000000000000004</v>
      </c>
      <c r="BU20" s="632">
        <f t="shared" si="29"/>
        <v>53678.214</v>
      </c>
      <c r="BV20" s="793"/>
      <c r="BW20" s="737"/>
      <c r="BX20" s="793"/>
      <c r="CD20" s="693"/>
    </row>
    <row r="21" spans="1:87" ht="14.25" thickTop="1" thickBot="1">
      <c r="A21" s="57"/>
      <c r="B21" s="751">
        <f t="shared" si="40"/>
        <v>6</v>
      </c>
      <c r="C21" s="1029"/>
      <c r="D21" s="1031" t="s">
        <v>1054</v>
      </c>
      <c r="E21" s="1030" t="s">
        <v>731</v>
      </c>
      <c r="F21" s="1031" t="s">
        <v>124</v>
      </c>
      <c r="G21" s="1029"/>
      <c r="H21" s="1032">
        <f t="shared" si="30"/>
        <v>2.2222222222222223</v>
      </c>
      <c r="I21" s="1105">
        <v>0.55000000000000004</v>
      </c>
      <c r="J21" s="1034">
        <f t="shared" si="31"/>
        <v>2.0789999999999997</v>
      </c>
      <c r="K21" s="1035">
        <f t="shared" ref="K21:K73" si="45">L21*$D$8</f>
        <v>123470.99999999999</v>
      </c>
      <c r="L21" s="1087">
        <v>1543.3874999999998</v>
      </c>
      <c r="M21" s="1088">
        <v>127</v>
      </c>
      <c r="N21" s="1090">
        <f>(L21/($J$13*(100%-I21)))*0</f>
        <v>0</v>
      </c>
      <c r="O21" s="1034">
        <f t="shared" si="4"/>
        <v>1</v>
      </c>
      <c r="P21" s="1035">
        <f t="shared" si="42"/>
        <v>0</v>
      </c>
      <c r="Q21" s="1089"/>
      <c r="R21" s="1088"/>
      <c r="S21" s="1020">
        <f t="shared" si="5"/>
        <v>0</v>
      </c>
      <c r="T21" s="1034">
        <f t="shared" si="6"/>
        <v>1</v>
      </c>
      <c r="U21" s="1035">
        <f t="shared" si="32"/>
        <v>0</v>
      </c>
      <c r="V21" s="1089"/>
      <c r="W21" s="1088"/>
      <c r="X21" s="1037">
        <f t="shared" si="7"/>
        <v>0</v>
      </c>
      <c r="Y21" s="1034">
        <f t="shared" si="8"/>
        <v>1</v>
      </c>
      <c r="Z21" s="1035">
        <f t="shared" si="33"/>
        <v>0</v>
      </c>
      <c r="AA21" s="1089"/>
      <c r="AB21" s="1088"/>
      <c r="AC21" s="1021">
        <f t="shared" si="9"/>
        <v>0</v>
      </c>
      <c r="AD21" s="1034">
        <f t="shared" si="10"/>
        <v>1</v>
      </c>
      <c r="AE21" s="1035">
        <f t="shared" si="34"/>
        <v>0</v>
      </c>
      <c r="AF21" s="1089"/>
      <c r="AG21" s="1088"/>
      <c r="AH21" s="1037">
        <f t="shared" si="11"/>
        <v>0</v>
      </c>
      <c r="AI21" s="1034">
        <f t="shared" si="12"/>
        <v>1</v>
      </c>
      <c r="AJ21" s="1035">
        <f t="shared" si="35"/>
        <v>0</v>
      </c>
      <c r="AK21" s="1089"/>
      <c r="AL21" s="1088"/>
      <c r="AM21" s="1021">
        <f t="shared" si="13"/>
        <v>0</v>
      </c>
      <c r="AN21" s="1034">
        <f t="shared" si="14"/>
        <v>1</v>
      </c>
      <c r="AO21" s="1035">
        <f t="shared" si="36"/>
        <v>0</v>
      </c>
      <c r="AP21" s="1089"/>
      <c r="AQ21" s="1088"/>
      <c r="AR21" s="1037">
        <f t="shared" si="15"/>
        <v>0</v>
      </c>
      <c r="AS21" s="1034">
        <f t="shared" si="16"/>
        <v>1</v>
      </c>
      <c r="AT21" s="1035">
        <f t="shared" si="37"/>
        <v>0</v>
      </c>
      <c r="AU21" s="1089"/>
      <c r="AV21" s="1088"/>
      <c r="AW21" s="1021">
        <f t="shared" si="17"/>
        <v>0</v>
      </c>
      <c r="AX21" s="1034">
        <f t="shared" si="18"/>
        <v>1</v>
      </c>
      <c r="AY21" s="1035">
        <f t="shared" si="38"/>
        <v>0</v>
      </c>
      <c r="AZ21" s="1089"/>
      <c r="BA21" s="1089"/>
      <c r="BB21" s="1021">
        <f t="shared" si="19"/>
        <v>0</v>
      </c>
      <c r="BC21" s="1034">
        <f t="shared" si="20"/>
        <v>1</v>
      </c>
      <c r="BD21" s="1035">
        <f t="shared" si="39"/>
        <v>0</v>
      </c>
      <c r="BE21" s="1091"/>
      <c r="BF21" s="1088"/>
      <c r="BG21" s="1021">
        <f t="shared" si="21"/>
        <v>0</v>
      </c>
      <c r="BH21" s="1039">
        <f t="shared" si="22"/>
        <v>123470.99999999999</v>
      </c>
      <c r="BI21" s="1038">
        <f t="shared" si="23"/>
        <v>1543.3874999999998</v>
      </c>
      <c r="BJ21" s="1027">
        <f t="shared" si="24"/>
        <v>127</v>
      </c>
      <c r="BK21" s="1021">
        <f t="shared" si="25"/>
        <v>0</v>
      </c>
      <c r="BL21" s="1040">
        <f t="shared" si="26"/>
        <v>0</v>
      </c>
      <c r="BM21" s="1038">
        <f t="shared" si="27"/>
        <v>0</v>
      </c>
      <c r="BN21" s="1027"/>
      <c r="BO21" s="1041"/>
      <c r="BP21" s="95">
        <f t="shared" si="43"/>
        <v>123470.99999999999</v>
      </c>
      <c r="BQ21" s="842">
        <f t="shared" si="44"/>
        <v>1543.3874999999998</v>
      </c>
      <c r="BS21" s="94">
        <f t="shared" si="28"/>
        <v>0.55000000000000004</v>
      </c>
      <c r="BU21" s="632">
        <f t="shared" si="29"/>
        <v>55561.94999999999</v>
      </c>
      <c r="BV21" s="398"/>
      <c r="BW21" s="405"/>
      <c r="CI21" s="96"/>
    </row>
    <row r="22" spans="1:87" ht="14.25" outlineLevel="1" thickTop="1" thickBot="1">
      <c r="A22" s="57"/>
      <c r="B22" s="751">
        <f t="shared" si="40"/>
        <v>7</v>
      </c>
      <c r="C22" s="1029"/>
      <c r="D22" s="1013" t="s">
        <v>1055</v>
      </c>
      <c r="E22" s="1014" t="s">
        <v>731</v>
      </c>
      <c r="F22" s="1031" t="s">
        <v>740</v>
      </c>
      <c r="G22" s="1029"/>
      <c r="H22" s="1032">
        <f t="shared" si="30"/>
        <v>2.5</v>
      </c>
      <c r="I22" s="1105">
        <v>0.6</v>
      </c>
      <c r="J22" s="1034">
        <f t="shared" si="31"/>
        <v>1.8480000000000003</v>
      </c>
      <c r="K22" s="1035">
        <f t="shared" si="45"/>
        <v>182920</v>
      </c>
      <c r="L22" s="1087">
        <v>2286.5</v>
      </c>
      <c r="M22" s="1088">
        <v>212</v>
      </c>
      <c r="N22" s="1037">
        <v>0</v>
      </c>
      <c r="O22" s="1034">
        <f t="shared" si="4"/>
        <v>1</v>
      </c>
      <c r="P22" s="1035">
        <f t="shared" si="42"/>
        <v>0</v>
      </c>
      <c r="Q22" s="1089"/>
      <c r="R22" s="1088"/>
      <c r="S22" s="1020">
        <f t="shared" si="5"/>
        <v>0</v>
      </c>
      <c r="T22" s="1034">
        <f t="shared" si="6"/>
        <v>1</v>
      </c>
      <c r="U22" s="1035">
        <f t="shared" si="32"/>
        <v>0</v>
      </c>
      <c r="V22" s="1089"/>
      <c r="W22" s="1088"/>
      <c r="X22" s="1037">
        <f t="shared" si="7"/>
        <v>0</v>
      </c>
      <c r="Y22" s="1034">
        <f t="shared" si="8"/>
        <v>1</v>
      </c>
      <c r="Z22" s="1035">
        <f t="shared" si="33"/>
        <v>0</v>
      </c>
      <c r="AA22" s="1089"/>
      <c r="AB22" s="1088"/>
      <c r="AC22" s="1021">
        <f t="shared" si="9"/>
        <v>0</v>
      </c>
      <c r="AD22" s="1034">
        <f t="shared" si="10"/>
        <v>1</v>
      </c>
      <c r="AE22" s="1035">
        <f t="shared" si="34"/>
        <v>0</v>
      </c>
      <c r="AF22" s="1089"/>
      <c r="AG22" s="1088"/>
      <c r="AH22" s="1037">
        <f t="shared" si="11"/>
        <v>0</v>
      </c>
      <c r="AI22" s="1034">
        <f t="shared" si="12"/>
        <v>1</v>
      </c>
      <c r="AJ22" s="1035">
        <f t="shared" si="35"/>
        <v>0</v>
      </c>
      <c r="AK22" s="1089"/>
      <c r="AL22" s="1088"/>
      <c r="AM22" s="1021">
        <f t="shared" si="13"/>
        <v>0</v>
      </c>
      <c r="AN22" s="1034">
        <f t="shared" si="14"/>
        <v>1</v>
      </c>
      <c r="AO22" s="1035">
        <f t="shared" si="36"/>
        <v>0</v>
      </c>
      <c r="AP22" s="1089"/>
      <c r="AQ22" s="1088"/>
      <c r="AR22" s="1037">
        <f t="shared" si="15"/>
        <v>0</v>
      </c>
      <c r="AS22" s="1034">
        <f t="shared" si="16"/>
        <v>1</v>
      </c>
      <c r="AT22" s="1035">
        <f t="shared" si="37"/>
        <v>0</v>
      </c>
      <c r="AU22" s="1091"/>
      <c r="AV22" s="1088"/>
      <c r="AW22" s="1021">
        <f t="shared" si="17"/>
        <v>0</v>
      </c>
      <c r="AX22" s="1034">
        <f t="shared" si="18"/>
        <v>1</v>
      </c>
      <c r="AY22" s="1035">
        <f t="shared" si="38"/>
        <v>0</v>
      </c>
      <c r="AZ22" s="1089"/>
      <c r="BA22" s="1089"/>
      <c r="BB22" s="1021">
        <f t="shared" si="19"/>
        <v>0</v>
      </c>
      <c r="BC22" s="1034">
        <f t="shared" si="20"/>
        <v>1</v>
      </c>
      <c r="BD22" s="1035">
        <f t="shared" si="39"/>
        <v>0</v>
      </c>
      <c r="BE22" s="1091"/>
      <c r="BF22" s="1088"/>
      <c r="BG22" s="1021">
        <f t="shared" si="21"/>
        <v>0</v>
      </c>
      <c r="BH22" s="1039">
        <f t="shared" si="22"/>
        <v>182920</v>
      </c>
      <c r="BI22" s="1038">
        <f t="shared" si="23"/>
        <v>2286.5</v>
      </c>
      <c r="BJ22" s="1027">
        <f t="shared" si="24"/>
        <v>212</v>
      </c>
      <c r="BK22" s="1021">
        <f t="shared" si="25"/>
        <v>0</v>
      </c>
      <c r="BL22" s="1040">
        <f t="shared" si="26"/>
        <v>0</v>
      </c>
      <c r="BM22" s="1038">
        <f t="shared" si="27"/>
        <v>0</v>
      </c>
      <c r="BN22" s="1027"/>
      <c r="BO22" s="1041"/>
      <c r="BP22" s="95">
        <f t="shared" si="43"/>
        <v>182920</v>
      </c>
      <c r="BQ22" s="842">
        <f t="shared" si="44"/>
        <v>2286.5</v>
      </c>
      <c r="BS22" s="94">
        <f t="shared" si="28"/>
        <v>0.6</v>
      </c>
      <c r="BU22" s="632">
        <f t="shared" si="29"/>
        <v>73168</v>
      </c>
      <c r="BV22" s="398"/>
      <c r="BW22" s="405"/>
      <c r="CI22" s="96"/>
    </row>
    <row r="23" spans="1:87" ht="14.25" outlineLevel="1" thickTop="1" thickBot="1">
      <c r="A23" s="57"/>
      <c r="B23" s="751">
        <f t="shared" si="40"/>
        <v>8</v>
      </c>
      <c r="C23" s="1029"/>
      <c r="D23" s="1031" t="s">
        <v>663</v>
      </c>
      <c r="E23" s="1014" t="s">
        <v>731</v>
      </c>
      <c r="F23" s="1031" t="s">
        <v>124</v>
      </c>
      <c r="G23" s="1029"/>
      <c r="H23" s="1032">
        <f t="shared" si="30"/>
        <v>2.2222222222222223</v>
      </c>
      <c r="I23" s="1105">
        <v>0.55000000000000004</v>
      </c>
      <c r="J23" s="1034">
        <f t="shared" si="31"/>
        <v>2.0789999999999997</v>
      </c>
      <c r="K23" s="1035">
        <f t="shared" si="45"/>
        <v>205784.99999999997</v>
      </c>
      <c r="L23" s="1087">
        <v>2572.3124999999995</v>
      </c>
      <c r="M23" s="1088">
        <v>214</v>
      </c>
      <c r="N23" s="1037">
        <f t="shared" si="41"/>
        <v>1237.2835497835497</v>
      </c>
      <c r="O23" s="1034">
        <f t="shared" si="4"/>
        <v>1</v>
      </c>
      <c r="P23" s="1035">
        <f t="shared" si="42"/>
        <v>0</v>
      </c>
      <c r="Q23" s="1089"/>
      <c r="R23" s="1088"/>
      <c r="S23" s="1020">
        <f t="shared" si="5"/>
        <v>0</v>
      </c>
      <c r="T23" s="1034">
        <f t="shared" si="6"/>
        <v>1</v>
      </c>
      <c r="U23" s="1035">
        <f t="shared" si="32"/>
        <v>0</v>
      </c>
      <c r="V23" s="1089"/>
      <c r="W23" s="1088"/>
      <c r="X23" s="1037">
        <f t="shared" si="7"/>
        <v>0</v>
      </c>
      <c r="Y23" s="1034">
        <f t="shared" si="8"/>
        <v>1</v>
      </c>
      <c r="Z23" s="1035">
        <f t="shared" si="33"/>
        <v>0</v>
      </c>
      <c r="AA23" s="1089"/>
      <c r="AB23" s="1088"/>
      <c r="AC23" s="1021">
        <f t="shared" si="9"/>
        <v>0</v>
      </c>
      <c r="AD23" s="1034">
        <f t="shared" si="10"/>
        <v>1</v>
      </c>
      <c r="AE23" s="1035">
        <f t="shared" si="34"/>
        <v>0</v>
      </c>
      <c r="AF23" s="1089"/>
      <c r="AG23" s="1088"/>
      <c r="AH23" s="1037">
        <f t="shared" si="11"/>
        <v>0</v>
      </c>
      <c r="AI23" s="1034">
        <f t="shared" si="12"/>
        <v>1</v>
      </c>
      <c r="AJ23" s="1035">
        <f t="shared" si="35"/>
        <v>0</v>
      </c>
      <c r="AK23" s="1089"/>
      <c r="AL23" s="1088"/>
      <c r="AM23" s="1021">
        <f t="shared" si="13"/>
        <v>0</v>
      </c>
      <c r="AN23" s="1034">
        <f t="shared" si="14"/>
        <v>1</v>
      </c>
      <c r="AO23" s="1035">
        <f t="shared" si="36"/>
        <v>0</v>
      </c>
      <c r="AP23" s="1089"/>
      <c r="AQ23" s="1088"/>
      <c r="AR23" s="1037">
        <f t="shared" si="15"/>
        <v>0</v>
      </c>
      <c r="AS23" s="1034">
        <f t="shared" si="16"/>
        <v>1</v>
      </c>
      <c r="AT23" s="1035">
        <f t="shared" si="37"/>
        <v>0</v>
      </c>
      <c r="AU23" s="1089"/>
      <c r="AV23" s="1088"/>
      <c r="AW23" s="1021">
        <f t="shared" si="17"/>
        <v>0</v>
      </c>
      <c r="AX23" s="1034">
        <f t="shared" si="18"/>
        <v>1</v>
      </c>
      <c r="AY23" s="1035">
        <f t="shared" si="38"/>
        <v>0</v>
      </c>
      <c r="AZ23" s="1089"/>
      <c r="BA23" s="1089"/>
      <c r="BB23" s="1021">
        <f t="shared" si="19"/>
        <v>0</v>
      </c>
      <c r="BC23" s="1034">
        <f t="shared" si="20"/>
        <v>1</v>
      </c>
      <c r="BD23" s="1035">
        <f t="shared" si="39"/>
        <v>0</v>
      </c>
      <c r="BE23" s="1091"/>
      <c r="BF23" s="1088"/>
      <c r="BG23" s="1021">
        <f t="shared" si="21"/>
        <v>0</v>
      </c>
      <c r="BH23" s="1039">
        <f t="shared" si="22"/>
        <v>205784.99999999997</v>
      </c>
      <c r="BI23" s="1038">
        <f t="shared" si="23"/>
        <v>2572.3124999999995</v>
      </c>
      <c r="BJ23" s="1027">
        <f t="shared" si="24"/>
        <v>214</v>
      </c>
      <c r="BK23" s="1021">
        <f t="shared" si="25"/>
        <v>1237.2835497835497</v>
      </c>
      <c r="BL23" s="1040">
        <f t="shared" si="26"/>
        <v>0</v>
      </c>
      <c r="BM23" s="1038">
        <f t="shared" si="27"/>
        <v>0</v>
      </c>
      <c r="BN23" s="1027"/>
      <c r="BO23" s="1041"/>
      <c r="BP23" s="95">
        <f t="shared" si="43"/>
        <v>205784.99999999997</v>
      </c>
      <c r="BQ23" s="842">
        <f t="shared" si="44"/>
        <v>2572.3124999999995</v>
      </c>
      <c r="BS23" s="94">
        <f t="shared" si="28"/>
        <v>0.55000000000000004</v>
      </c>
      <c r="BU23" s="632">
        <f t="shared" si="29"/>
        <v>92603.249999999985</v>
      </c>
      <c r="BV23" s="398"/>
      <c r="BW23" s="405"/>
      <c r="CI23" s="96"/>
    </row>
    <row r="24" spans="1:87" s="795" customFormat="1" ht="14.25" outlineLevel="1" thickTop="1" thickBot="1">
      <c r="A24" s="794"/>
      <c r="B24" s="751">
        <f t="shared" si="40"/>
        <v>9</v>
      </c>
      <c r="C24" s="1029"/>
      <c r="D24" s="1031" t="s">
        <v>586</v>
      </c>
      <c r="E24" s="1031" t="s">
        <v>731</v>
      </c>
      <c r="F24" s="1031" t="s">
        <v>738</v>
      </c>
      <c r="G24" s="1029"/>
      <c r="H24" s="1032">
        <f t="shared" si="30"/>
        <v>2.5</v>
      </c>
      <c r="I24" s="1105">
        <v>0.6</v>
      </c>
      <c r="J24" s="1034">
        <f t="shared" si="31"/>
        <v>1.8480000000000001</v>
      </c>
      <c r="K24" s="1035">
        <f t="shared" si="45"/>
        <v>292672</v>
      </c>
      <c r="L24" s="1087">
        <v>3658.4</v>
      </c>
      <c r="M24" s="1088">
        <v>340</v>
      </c>
      <c r="N24" s="1037">
        <f t="shared" si="41"/>
        <v>1979.6536796536795</v>
      </c>
      <c r="O24" s="1034">
        <f t="shared" si="4"/>
        <v>1</v>
      </c>
      <c r="P24" s="1035">
        <f>Q24*$D$8</f>
        <v>0</v>
      </c>
      <c r="Q24" s="1089"/>
      <c r="R24" s="1088"/>
      <c r="S24" s="1020">
        <f t="shared" si="5"/>
        <v>0</v>
      </c>
      <c r="T24" s="1034">
        <f t="shared" si="6"/>
        <v>1</v>
      </c>
      <c r="U24" s="1035">
        <f t="shared" si="32"/>
        <v>0</v>
      </c>
      <c r="V24" s="1089"/>
      <c r="W24" s="1088"/>
      <c r="X24" s="1037">
        <f t="shared" si="7"/>
        <v>0</v>
      </c>
      <c r="Y24" s="1034">
        <f t="shared" si="8"/>
        <v>1</v>
      </c>
      <c r="Z24" s="1035">
        <f t="shared" si="33"/>
        <v>0</v>
      </c>
      <c r="AA24" s="1089"/>
      <c r="AB24" s="1088"/>
      <c r="AC24" s="1021">
        <f t="shared" si="9"/>
        <v>0</v>
      </c>
      <c r="AD24" s="1034">
        <f t="shared" si="10"/>
        <v>1</v>
      </c>
      <c r="AE24" s="1035">
        <f t="shared" si="34"/>
        <v>0</v>
      </c>
      <c r="AF24" s="1089"/>
      <c r="AG24" s="1088"/>
      <c r="AH24" s="1037">
        <f t="shared" si="11"/>
        <v>0</v>
      </c>
      <c r="AI24" s="1034">
        <f t="shared" si="12"/>
        <v>1</v>
      </c>
      <c r="AJ24" s="1035">
        <f t="shared" si="35"/>
        <v>0</v>
      </c>
      <c r="AK24" s="1089"/>
      <c r="AL24" s="1088"/>
      <c r="AM24" s="1021">
        <f t="shared" si="13"/>
        <v>0</v>
      </c>
      <c r="AN24" s="1034">
        <f t="shared" si="14"/>
        <v>1</v>
      </c>
      <c r="AO24" s="1035">
        <f t="shared" si="36"/>
        <v>0</v>
      </c>
      <c r="AP24" s="1089"/>
      <c r="AQ24" s="1088"/>
      <c r="AR24" s="1037">
        <f t="shared" si="15"/>
        <v>0</v>
      </c>
      <c r="AS24" s="1034">
        <f t="shared" si="16"/>
        <v>1</v>
      </c>
      <c r="AT24" s="1035">
        <f t="shared" si="37"/>
        <v>0</v>
      </c>
      <c r="AU24" s="1091"/>
      <c r="AV24" s="1088"/>
      <c r="AW24" s="1021">
        <f t="shared" si="17"/>
        <v>0</v>
      </c>
      <c r="AX24" s="1034">
        <f t="shared" si="18"/>
        <v>1</v>
      </c>
      <c r="AY24" s="1035">
        <f t="shared" si="38"/>
        <v>0</v>
      </c>
      <c r="AZ24" s="1089"/>
      <c r="BA24" s="1089"/>
      <c r="BB24" s="1021">
        <f t="shared" si="19"/>
        <v>0</v>
      </c>
      <c r="BC24" s="1034">
        <f t="shared" si="20"/>
        <v>1</v>
      </c>
      <c r="BD24" s="1035">
        <f t="shared" si="39"/>
        <v>0</v>
      </c>
      <c r="BE24" s="1091"/>
      <c r="BF24" s="1088"/>
      <c r="BG24" s="1021">
        <f t="shared" si="21"/>
        <v>0</v>
      </c>
      <c r="BH24" s="1039">
        <f t="shared" si="22"/>
        <v>292672</v>
      </c>
      <c r="BI24" s="1038">
        <f t="shared" si="23"/>
        <v>3658.4</v>
      </c>
      <c r="BJ24" s="1027">
        <f t="shared" si="24"/>
        <v>340</v>
      </c>
      <c r="BK24" s="1021">
        <f t="shared" si="25"/>
        <v>1979.6536796536795</v>
      </c>
      <c r="BL24" s="1040">
        <f t="shared" si="26"/>
        <v>0</v>
      </c>
      <c r="BM24" s="1038">
        <f t="shared" si="27"/>
        <v>0</v>
      </c>
      <c r="BN24" s="1027"/>
      <c r="BO24" s="1041"/>
      <c r="BP24" s="95">
        <f t="shared" si="43"/>
        <v>292672</v>
      </c>
      <c r="BQ24" s="842">
        <f t="shared" si="44"/>
        <v>3658.4</v>
      </c>
      <c r="BR24" s="323"/>
      <c r="BS24" s="94">
        <f t="shared" si="28"/>
        <v>0.6</v>
      </c>
      <c r="BU24" s="632">
        <f t="shared" si="29"/>
        <v>117068.8</v>
      </c>
      <c r="BV24" s="398"/>
      <c r="BW24" s="737"/>
      <c r="BX24" s="323"/>
      <c r="CD24" s="398"/>
      <c r="CI24" s="796"/>
    </row>
    <row r="25" spans="1:87" ht="14.25" outlineLevel="1" thickTop="1" thickBot="1">
      <c r="A25" s="57"/>
      <c r="B25" s="751">
        <f t="shared" si="40"/>
        <v>10</v>
      </c>
      <c r="C25" s="1029"/>
      <c r="D25" s="1031" t="s">
        <v>973</v>
      </c>
      <c r="E25" s="1031" t="s">
        <v>731</v>
      </c>
      <c r="F25" s="1031" t="s">
        <v>124</v>
      </c>
      <c r="G25" s="1029"/>
      <c r="H25" s="1032">
        <f t="shared" si="30"/>
        <v>4</v>
      </c>
      <c r="I25" s="1105">
        <v>0.75</v>
      </c>
      <c r="J25" s="1034">
        <f t="shared" si="31"/>
        <v>1</v>
      </c>
      <c r="K25" s="1035">
        <f t="shared" si="45"/>
        <v>0</v>
      </c>
      <c r="L25" s="1087"/>
      <c r="M25" s="1088"/>
      <c r="N25" s="1037">
        <f t="shared" si="41"/>
        <v>0</v>
      </c>
      <c r="O25" s="1034">
        <f t="shared" si="4"/>
        <v>1.155</v>
      </c>
      <c r="P25" s="1035">
        <f t="shared" si="42"/>
        <v>178347</v>
      </c>
      <c r="Q25" s="1089">
        <v>2229.3375000000001</v>
      </c>
      <c r="R25" s="1088">
        <v>331</v>
      </c>
      <c r="S25" s="1020">
        <f t="shared" si="5"/>
        <v>1930.1623376623377</v>
      </c>
      <c r="T25" s="1034">
        <f t="shared" si="6"/>
        <v>1</v>
      </c>
      <c r="U25" s="1035">
        <f t="shared" si="32"/>
        <v>0</v>
      </c>
      <c r="V25" s="1089"/>
      <c r="W25" s="1088"/>
      <c r="X25" s="1037">
        <f t="shared" si="7"/>
        <v>0</v>
      </c>
      <c r="Y25" s="1034">
        <f t="shared" si="8"/>
        <v>1</v>
      </c>
      <c r="Z25" s="1035">
        <f t="shared" si="33"/>
        <v>0</v>
      </c>
      <c r="AA25" s="1089"/>
      <c r="AB25" s="1088"/>
      <c r="AC25" s="1021">
        <f t="shared" si="9"/>
        <v>0</v>
      </c>
      <c r="AD25" s="1034">
        <f t="shared" si="10"/>
        <v>1</v>
      </c>
      <c r="AE25" s="1035">
        <f t="shared" si="34"/>
        <v>0</v>
      </c>
      <c r="AF25" s="1089"/>
      <c r="AG25" s="1088"/>
      <c r="AH25" s="1037">
        <f t="shared" si="11"/>
        <v>0</v>
      </c>
      <c r="AI25" s="1034">
        <f t="shared" si="12"/>
        <v>1</v>
      </c>
      <c r="AJ25" s="1035">
        <f t="shared" si="35"/>
        <v>0</v>
      </c>
      <c r="AK25" s="1089"/>
      <c r="AL25" s="1088"/>
      <c r="AM25" s="1021">
        <f t="shared" si="13"/>
        <v>0</v>
      </c>
      <c r="AN25" s="1034">
        <f t="shared" si="14"/>
        <v>1</v>
      </c>
      <c r="AO25" s="1035">
        <f t="shared" si="36"/>
        <v>0</v>
      </c>
      <c r="AP25" s="1089"/>
      <c r="AQ25" s="1088"/>
      <c r="AR25" s="1037">
        <f t="shared" si="15"/>
        <v>0</v>
      </c>
      <c r="AS25" s="1034">
        <f t="shared" si="16"/>
        <v>1</v>
      </c>
      <c r="AT25" s="1035">
        <f t="shared" si="37"/>
        <v>0</v>
      </c>
      <c r="AU25" s="1089"/>
      <c r="AV25" s="1088"/>
      <c r="AW25" s="1021">
        <f t="shared" si="17"/>
        <v>0</v>
      </c>
      <c r="AX25" s="1034">
        <f t="shared" si="18"/>
        <v>1</v>
      </c>
      <c r="AY25" s="1035">
        <f t="shared" si="38"/>
        <v>0</v>
      </c>
      <c r="AZ25" s="1089"/>
      <c r="BA25" s="1089"/>
      <c r="BB25" s="1021">
        <f t="shared" si="19"/>
        <v>0</v>
      </c>
      <c r="BC25" s="1034">
        <f t="shared" si="20"/>
        <v>1</v>
      </c>
      <c r="BD25" s="1035">
        <f t="shared" si="39"/>
        <v>0</v>
      </c>
      <c r="BE25" s="1091"/>
      <c r="BF25" s="1088"/>
      <c r="BG25" s="1021">
        <f t="shared" si="21"/>
        <v>0</v>
      </c>
      <c r="BH25" s="1039">
        <f t="shared" si="22"/>
        <v>0</v>
      </c>
      <c r="BI25" s="1038">
        <f t="shared" si="23"/>
        <v>0</v>
      </c>
      <c r="BJ25" s="1027">
        <f t="shared" si="24"/>
        <v>0</v>
      </c>
      <c r="BK25" s="1021">
        <f t="shared" si="25"/>
        <v>0</v>
      </c>
      <c r="BL25" s="1040">
        <f t="shared" si="26"/>
        <v>178347</v>
      </c>
      <c r="BM25" s="1038">
        <f t="shared" si="27"/>
        <v>2229.3375000000001</v>
      </c>
      <c r="BN25" s="1027"/>
      <c r="BO25" s="1041"/>
      <c r="BP25" s="95">
        <f t="shared" si="43"/>
        <v>178347</v>
      </c>
      <c r="BQ25" s="842">
        <f t="shared" si="44"/>
        <v>2229.3375000000001</v>
      </c>
      <c r="BS25" s="94">
        <f t="shared" si="28"/>
        <v>0.75</v>
      </c>
      <c r="BU25" s="632">
        <f t="shared" si="29"/>
        <v>44586.75</v>
      </c>
      <c r="BV25" s="398"/>
      <c r="BW25" s="405"/>
      <c r="CI25" s="96"/>
    </row>
    <row r="26" spans="1:87" s="795" customFormat="1" ht="14.25" outlineLevel="1" thickTop="1" thickBot="1">
      <c r="A26" s="794"/>
      <c r="B26" s="751">
        <f t="shared" si="40"/>
        <v>0</v>
      </c>
      <c r="C26" s="1029"/>
      <c r="D26" s="1031"/>
      <c r="E26" s="1030"/>
      <c r="F26" s="1031"/>
      <c r="G26" s="1029"/>
      <c r="H26" s="1032">
        <f t="shared" si="30"/>
        <v>1</v>
      </c>
      <c r="I26" s="1105"/>
      <c r="J26" s="1034">
        <f t="shared" si="31"/>
        <v>1</v>
      </c>
      <c r="K26" s="1035">
        <f t="shared" si="45"/>
        <v>0</v>
      </c>
      <c r="L26" s="1089"/>
      <c r="M26" s="1088"/>
      <c r="N26" s="1037">
        <v>0</v>
      </c>
      <c r="O26" s="1034">
        <f t="shared" si="4"/>
        <v>1</v>
      </c>
      <c r="P26" s="1035">
        <f t="shared" si="42"/>
        <v>0</v>
      </c>
      <c r="Q26" s="1089"/>
      <c r="R26" s="1088"/>
      <c r="S26" s="1020">
        <v>0</v>
      </c>
      <c r="T26" s="1034">
        <f t="shared" si="6"/>
        <v>1</v>
      </c>
      <c r="U26" s="1035">
        <f t="shared" si="32"/>
        <v>0</v>
      </c>
      <c r="V26" s="1089"/>
      <c r="W26" s="1088"/>
      <c r="X26" s="1037">
        <f t="shared" si="7"/>
        <v>0</v>
      </c>
      <c r="Y26" s="1034">
        <f t="shared" si="8"/>
        <v>1</v>
      </c>
      <c r="Z26" s="1035">
        <f t="shared" si="33"/>
        <v>0</v>
      </c>
      <c r="AA26" s="1089"/>
      <c r="AB26" s="1088"/>
      <c r="AC26" s="1021">
        <f t="shared" si="9"/>
        <v>0</v>
      </c>
      <c r="AD26" s="1034">
        <f t="shared" si="10"/>
        <v>1</v>
      </c>
      <c r="AE26" s="1035">
        <f t="shared" si="34"/>
        <v>0</v>
      </c>
      <c r="AF26" s="1089"/>
      <c r="AG26" s="1088"/>
      <c r="AH26" s="1037">
        <f t="shared" si="11"/>
        <v>0</v>
      </c>
      <c r="AI26" s="1034">
        <f t="shared" si="12"/>
        <v>1</v>
      </c>
      <c r="AJ26" s="1035">
        <f t="shared" si="35"/>
        <v>0</v>
      </c>
      <c r="AK26" s="1089"/>
      <c r="AL26" s="1088"/>
      <c r="AM26" s="1021">
        <f t="shared" si="13"/>
        <v>0</v>
      </c>
      <c r="AN26" s="1034">
        <f t="shared" si="14"/>
        <v>1</v>
      </c>
      <c r="AO26" s="1035">
        <f t="shared" si="36"/>
        <v>0</v>
      </c>
      <c r="AP26" s="1089"/>
      <c r="AQ26" s="1088"/>
      <c r="AR26" s="1037">
        <f t="shared" si="15"/>
        <v>0</v>
      </c>
      <c r="AS26" s="1034">
        <f t="shared" si="16"/>
        <v>1</v>
      </c>
      <c r="AT26" s="1035">
        <f t="shared" si="37"/>
        <v>0</v>
      </c>
      <c r="AU26" s="1091"/>
      <c r="AV26" s="1088"/>
      <c r="AW26" s="1021">
        <f t="shared" si="17"/>
        <v>0</v>
      </c>
      <c r="AX26" s="1034">
        <f t="shared" si="18"/>
        <v>1</v>
      </c>
      <c r="AY26" s="1035">
        <f t="shared" si="38"/>
        <v>0</v>
      </c>
      <c r="AZ26" s="1089"/>
      <c r="BA26" s="1089"/>
      <c r="BB26" s="1021">
        <f t="shared" si="19"/>
        <v>0</v>
      </c>
      <c r="BC26" s="1034">
        <f t="shared" si="20"/>
        <v>1</v>
      </c>
      <c r="BD26" s="1035">
        <f t="shared" si="39"/>
        <v>0</v>
      </c>
      <c r="BE26" s="1091"/>
      <c r="BF26" s="1088"/>
      <c r="BG26" s="1021">
        <f t="shared" si="21"/>
        <v>0</v>
      </c>
      <c r="BH26" s="1039">
        <f t="shared" si="22"/>
        <v>0</v>
      </c>
      <c r="BI26" s="1038">
        <f t="shared" si="23"/>
        <v>0</v>
      </c>
      <c r="BJ26" s="1027">
        <f t="shared" si="24"/>
        <v>0</v>
      </c>
      <c r="BK26" s="1021">
        <f t="shared" si="25"/>
        <v>0</v>
      </c>
      <c r="BL26" s="1040">
        <f t="shared" si="26"/>
        <v>0</v>
      </c>
      <c r="BM26" s="1038">
        <f t="shared" si="27"/>
        <v>0</v>
      </c>
      <c r="BN26" s="1027"/>
      <c r="BO26" s="1041"/>
      <c r="BP26" s="972">
        <f t="shared" si="43"/>
        <v>0</v>
      </c>
      <c r="BQ26" s="973">
        <f t="shared" si="44"/>
        <v>0</v>
      </c>
      <c r="BR26" s="323"/>
      <c r="BS26" s="94">
        <f t="shared" si="28"/>
        <v>0</v>
      </c>
      <c r="BU26" s="632">
        <f t="shared" si="29"/>
        <v>0</v>
      </c>
      <c r="BV26" s="398"/>
      <c r="BW26" s="737"/>
      <c r="BX26" s="323"/>
      <c r="CD26" s="398"/>
      <c r="CI26" s="796"/>
    </row>
    <row r="27" spans="1:87" ht="14.25" outlineLevel="1" thickTop="1" thickBot="1">
      <c r="A27" s="57"/>
      <c r="B27" s="751">
        <f t="shared" si="40"/>
        <v>0</v>
      </c>
      <c r="C27" s="1029"/>
      <c r="D27" s="1031"/>
      <c r="E27" s="1030"/>
      <c r="F27" s="1031"/>
      <c r="G27" s="1029"/>
      <c r="H27" s="1032">
        <f t="shared" si="30"/>
        <v>1</v>
      </c>
      <c r="I27" s="1105"/>
      <c r="J27" s="1034">
        <f t="shared" si="31"/>
        <v>1</v>
      </c>
      <c r="K27" s="1035">
        <f t="shared" si="45"/>
        <v>0</v>
      </c>
      <c r="L27" s="1089"/>
      <c r="M27" s="1088"/>
      <c r="N27" s="1037">
        <f t="shared" si="41"/>
        <v>0</v>
      </c>
      <c r="O27" s="1034">
        <f t="shared" si="4"/>
        <v>1</v>
      </c>
      <c r="P27" s="1035">
        <f t="shared" si="42"/>
        <v>0</v>
      </c>
      <c r="Q27" s="1089"/>
      <c r="R27" s="1088"/>
      <c r="S27" s="1020">
        <f t="shared" si="5"/>
        <v>0</v>
      </c>
      <c r="T27" s="1034">
        <f t="shared" si="6"/>
        <v>1</v>
      </c>
      <c r="U27" s="1035">
        <f t="shared" si="32"/>
        <v>0</v>
      </c>
      <c r="V27" s="1089"/>
      <c r="W27" s="1088"/>
      <c r="X27" s="1037">
        <f t="shared" si="7"/>
        <v>0</v>
      </c>
      <c r="Y27" s="1034">
        <f t="shared" si="8"/>
        <v>1</v>
      </c>
      <c r="Z27" s="1035">
        <f t="shared" si="33"/>
        <v>0</v>
      </c>
      <c r="AA27" s="1089"/>
      <c r="AB27" s="1088"/>
      <c r="AC27" s="1021">
        <f t="shared" si="9"/>
        <v>0</v>
      </c>
      <c r="AD27" s="1034">
        <f t="shared" si="10"/>
        <v>1</v>
      </c>
      <c r="AE27" s="1035">
        <f t="shared" si="34"/>
        <v>0</v>
      </c>
      <c r="AF27" s="1089"/>
      <c r="AG27" s="1088"/>
      <c r="AH27" s="1037">
        <f t="shared" si="11"/>
        <v>0</v>
      </c>
      <c r="AI27" s="1034">
        <f t="shared" si="12"/>
        <v>1</v>
      </c>
      <c r="AJ27" s="1035">
        <f t="shared" si="35"/>
        <v>0</v>
      </c>
      <c r="AK27" s="1089"/>
      <c r="AL27" s="1088"/>
      <c r="AM27" s="1021">
        <f t="shared" si="13"/>
        <v>0</v>
      </c>
      <c r="AN27" s="1034">
        <f t="shared" si="14"/>
        <v>1</v>
      </c>
      <c r="AO27" s="1035">
        <f t="shared" si="36"/>
        <v>0</v>
      </c>
      <c r="AP27" s="1089"/>
      <c r="AQ27" s="1088"/>
      <c r="AR27" s="1037">
        <f t="shared" si="15"/>
        <v>0</v>
      </c>
      <c r="AS27" s="1034">
        <f t="shared" si="16"/>
        <v>1</v>
      </c>
      <c r="AT27" s="1035">
        <f t="shared" si="37"/>
        <v>0</v>
      </c>
      <c r="AU27" s="1089"/>
      <c r="AV27" s="1088"/>
      <c r="AW27" s="1021">
        <f t="shared" si="17"/>
        <v>0</v>
      </c>
      <c r="AX27" s="1034">
        <f t="shared" si="18"/>
        <v>1</v>
      </c>
      <c r="AY27" s="1035">
        <f t="shared" si="38"/>
        <v>0</v>
      </c>
      <c r="AZ27" s="1089"/>
      <c r="BA27" s="1089"/>
      <c r="BB27" s="1021">
        <f t="shared" si="19"/>
        <v>0</v>
      </c>
      <c r="BC27" s="1034">
        <f t="shared" si="20"/>
        <v>1</v>
      </c>
      <c r="BD27" s="1035">
        <f t="shared" si="39"/>
        <v>0</v>
      </c>
      <c r="BE27" s="1091"/>
      <c r="BF27" s="1088"/>
      <c r="BG27" s="1021">
        <f t="shared" si="21"/>
        <v>0</v>
      </c>
      <c r="BH27" s="1039">
        <f t="shared" si="22"/>
        <v>0</v>
      </c>
      <c r="BI27" s="1038">
        <f t="shared" si="23"/>
        <v>0</v>
      </c>
      <c r="BJ27" s="1027">
        <f t="shared" si="24"/>
        <v>0</v>
      </c>
      <c r="BK27" s="1021">
        <f t="shared" si="25"/>
        <v>0</v>
      </c>
      <c r="BL27" s="1040">
        <f t="shared" si="26"/>
        <v>0</v>
      </c>
      <c r="BM27" s="1038">
        <f t="shared" si="27"/>
        <v>0</v>
      </c>
      <c r="BN27" s="1027"/>
      <c r="BO27" s="1041"/>
      <c r="BP27" s="95">
        <f t="shared" si="43"/>
        <v>0</v>
      </c>
      <c r="BQ27" s="842">
        <f t="shared" si="44"/>
        <v>0</v>
      </c>
      <c r="BS27" s="94">
        <f t="shared" si="28"/>
        <v>0</v>
      </c>
      <c r="BU27" s="632">
        <f t="shared" si="29"/>
        <v>0</v>
      </c>
      <c r="BV27" s="398"/>
      <c r="BW27" s="405"/>
      <c r="CI27" s="96"/>
    </row>
    <row r="28" spans="1:87" ht="14.25" outlineLevel="1" thickTop="1" thickBot="1">
      <c r="A28" s="57"/>
      <c r="B28" s="751">
        <f t="shared" si="40"/>
        <v>0</v>
      </c>
      <c r="C28" s="1029"/>
      <c r="D28" s="1031"/>
      <c r="E28" s="1031"/>
      <c r="F28" s="1031"/>
      <c r="G28" s="1029"/>
      <c r="H28" s="1032">
        <f t="shared" si="30"/>
        <v>1</v>
      </c>
      <c r="I28" s="1105"/>
      <c r="J28" s="1034">
        <f t="shared" si="31"/>
        <v>1</v>
      </c>
      <c r="K28" s="1035">
        <f t="shared" si="45"/>
        <v>0</v>
      </c>
      <c r="L28" s="1089"/>
      <c r="M28" s="1088"/>
      <c r="N28" s="1037">
        <f t="shared" si="41"/>
        <v>0</v>
      </c>
      <c r="O28" s="1034">
        <f t="shared" si="4"/>
        <v>1</v>
      </c>
      <c r="P28" s="1035">
        <f t="shared" si="42"/>
        <v>0</v>
      </c>
      <c r="Q28" s="1089"/>
      <c r="R28" s="1088"/>
      <c r="S28" s="1020">
        <f t="shared" si="5"/>
        <v>0</v>
      </c>
      <c r="T28" s="1034">
        <f t="shared" si="6"/>
        <v>1</v>
      </c>
      <c r="U28" s="1035">
        <f t="shared" si="32"/>
        <v>0</v>
      </c>
      <c r="V28" s="1089"/>
      <c r="W28" s="1088"/>
      <c r="X28" s="1037">
        <f t="shared" si="7"/>
        <v>0</v>
      </c>
      <c r="Y28" s="1034">
        <f t="shared" si="8"/>
        <v>1</v>
      </c>
      <c r="Z28" s="1035">
        <f t="shared" si="33"/>
        <v>0</v>
      </c>
      <c r="AA28" s="1089"/>
      <c r="AB28" s="1088"/>
      <c r="AC28" s="1021">
        <f t="shared" si="9"/>
        <v>0</v>
      </c>
      <c r="AD28" s="1034">
        <f t="shared" si="10"/>
        <v>1</v>
      </c>
      <c r="AE28" s="1035">
        <f t="shared" si="34"/>
        <v>0</v>
      </c>
      <c r="AF28" s="1089"/>
      <c r="AG28" s="1088"/>
      <c r="AH28" s="1037">
        <f t="shared" si="11"/>
        <v>0</v>
      </c>
      <c r="AI28" s="1034">
        <f t="shared" si="12"/>
        <v>1</v>
      </c>
      <c r="AJ28" s="1035">
        <f t="shared" si="35"/>
        <v>0</v>
      </c>
      <c r="AK28" s="1089"/>
      <c r="AL28" s="1088"/>
      <c r="AM28" s="1021">
        <f t="shared" si="13"/>
        <v>0</v>
      </c>
      <c r="AN28" s="1034">
        <f t="shared" si="14"/>
        <v>1</v>
      </c>
      <c r="AO28" s="1035">
        <f t="shared" si="36"/>
        <v>0</v>
      </c>
      <c r="AP28" s="1089"/>
      <c r="AQ28" s="1088"/>
      <c r="AR28" s="1037">
        <f t="shared" si="15"/>
        <v>0</v>
      </c>
      <c r="AS28" s="1034">
        <f t="shared" si="16"/>
        <v>1</v>
      </c>
      <c r="AT28" s="1035">
        <f t="shared" si="37"/>
        <v>0</v>
      </c>
      <c r="AU28" s="1091"/>
      <c r="AV28" s="1088"/>
      <c r="AW28" s="1021">
        <f t="shared" si="17"/>
        <v>0</v>
      </c>
      <c r="AX28" s="1034">
        <f t="shared" si="18"/>
        <v>1</v>
      </c>
      <c r="AY28" s="1035">
        <f t="shared" si="38"/>
        <v>0</v>
      </c>
      <c r="AZ28" s="1089"/>
      <c r="BA28" s="1089"/>
      <c r="BB28" s="1021">
        <f t="shared" si="19"/>
        <v>0</v>
      </c>
      <c r="BC28" s="1034">
        <f t="shared" si="20"/>
        <v>1</v>
      </c>
      <c r="BD28" s="1035">
        <f t="shared" si="39"/>
        <v>0</v>
      </c>
      <c r="BE28" s="1091"/>
      <c r="BF28" s="1088"/>
      <c r="BG28" s="1021">
        <f t="shared" si="21"/>
        <v>0</v>
      </c>
      <c r="BH28" s="1039">
        <f t="shared" si="22"/>
        <v>0</v>
      </c>
      <c r="BI28" s="1038">
        <f t="shared" si="23"/>
        <v>0</v>
      </c>
      <c r="BJ28" s="1027">
        <f t="shared" si="24"/>
        <v>0</v>
      </c>
      <c r="BK28" s="1021">
        <f t="shared" si="25"/>
        <v>0</v>
      </c>
      <c r="BL28" s="1040">
        <f t="shared" si="26"/>
        <v>0</v>
      </c>
      <c r="BM28" s="1038">
        <f t="shared" si="27"/>
        <v>0</v>
      </c>
      <c r="BN28" s="1027"/>
      <c r="BO28" s="1041"/>
      <c r="BP28" s="95">
        <f t="shared" si="43"/>
        <v>0</v>
      </c>
      <c r="BQ28" s="842">
        <f t="shared" si="44"/>
        <v>0</v>
      </c>
      <c r="BS28" s="94">
        <f t="shared" si="28"/>
        <v>0</v>
      </c>
      <c r="BU28" s="632">
        <f t="shared" si="29"/>
        <v>0</v>
      </c>
      <c r="BV28" s="398"/>
      <c r="BW28" s="405"/>
      <c r="CI28" s="96"/>
    </row>
    <row r="29" spans="1:87" ht="14.25" outlineLevel="1" thickTop="1" thickBot="1">
      <c r="A29" s="57"/>
      <c r="B29" s="751">
        <f t="shared" si="40"/>
        <v>0</v>
      </c>
      <c r="C29" s="1029"/>
      <c r="D29" s="1031"/>
      <c r="E29" s="1031"/>
      <c r="F29" s="1031"/>
      <c r="G29" s="1029"/>
      <c r="H29" s="1032">
        <f t="shared" si="30"/>
        <v>1</v>
      </c>
      <c r="I29" s="1032"/>
      <c r="J29" s="1034">
        <f t="shared" si="31"/>
        <v>1</v>
      </c>
      <c r="K29" s="1035">
        <f t="shared" si="45"/>
        <v>0</v>
      </c>
      <c r="L29" s="1089"/>
      <c r="M29" s="1088"/>
      <c r="N29" s="1037">
        <f t="shared" si="41"/>
        <v>0</v>
      </c>
      <c r="O29" s="1034">
        <f t="shared" si="4"/>
        <v>1</v>
      </c>
      <c r="P29" s="1035">
        <f t="shared" si="42"/>
        <v>0</v>
      </c>
      <c r="Q29" s="1089"/>
      <c r="R29" s="1088"/>
      <c r="S29" s="1020">
        <f t="shared" si="5"/>
        <v>0</v>
      </c>
      <c r="T29" s="1034">
        <f t="shared" si="6"/>
        <v>1</v>
      </c>
      <c r="U29" s="1035">
        <f t="shared" si="32"/>
        <v>0</v>
      </c>
      <c r="V29" s="1089"/>
      <c r="W29" s="1088"/>
      <c r="X29" s="1037">
        <f t="shared" si="7"/>
        <v>0</v>
      </c>
      <c r="Y29" s="1034">
        <f t="shared" si="8"/>
        <v>1</v>
      </c>
      <c r="Z29" s="1035">
        <f t="shared" si="33"/>
        <v>0</v>
      </c>
      <c r="AA29" s="1089"/>
      <c r="AB29" s="1088"/>
      <c r="AC29" s="1021">
        <f t="shared" si="9"/>
        <v>0</v>
      </c>
      <c r="AD29" s="1034">
        <f t="shared" si="10"/>
        <v>1</v>
      </c>
      <c r="AE29" s="1035">
        <f t="shared" si="34"/>
        <v>0</v>
      </c>
      <c r="AF29" s="1089"/>
      <c r="AG29" s="1088"/>
      <c r="AH29" s="1037">
        <f t="shared" si="11"/>
        <v>0</v>
      </c>
      <c r="AI29" s="1034">
        <f t="shared" si="12"/>
        <v>1</v>
      </c>
      <c r="AJ29" s="1035">
        <f t="shared" si="35"/>
        <v>0</v>
      </c>
      <c r="AK29" s="1089"/>
      <c r="AL29" s="1088"/>
      <c r="AM29" s="1021">
        <f t="shared" si="13"/>
        <v>0</v>
      </c>
      <c r="AN29" s="1034">
        <f t="shared" si="14"/>
        <v>1</v>
      </c>
      <c r="AO29" s="1035">
        <f t="shared" si="36"/>
        <v>0</v>
      </c>
      <c r="AP29" s="1089"/>
      <c r="AQ29" s="1088"/>
      <c r="AR29" s="1037">
        <f t="shared" si="15"/>
        <v>0</v>
      </c>
      <c r="AS29" s="1034">
        <f t="shared" si="16"/>
        <v>1</v>
      </c>
      <c r="AT29" s="1035">
        <f t="shared" si="37"/>
        <v>0</v>
      </c>
      <c r="AU29" s="1089"/>
      <c r="AV29" s="1088"/>
      <c r="AW29" s="1021">
        <f t="shared" si="17"/>
        <v>0</v>
      </c>
      <c r="AX29" s="1034">
        <f t="shared" si="18"/>
        <v>1</v>
      </c>
      <c r="AY29" s="1035">
        <f t="shared" si="38"/>
        <v>0</v>
      </c>
      <c r="AZ29" s="1089"/>
      <c r="BA29" s="1089"/>
      <c r="BB29" s="1021">
        <f t="shared" si="19"/>
        <v>0</v>
      </c>
      <c r="BC29" s="1034">
        <f t="shared" si="20"/>
        <v>1</v>
      </c>
      <c r="BD29" s="1035">
        <f t="shared" si="39"/>
        <v>0</v>
      </c>
      <c r="BE29" s="1091"/>
      <c r="BF29" s="1088"/>
      <c r="BG29" s="1021">
        <f t="shared" si="21"/>
        <v>0</v>
      </c>
      <c r="BH29" s="1039">
        <f t="shared" si="22"/>
        <v>0</v>
      </c>
      <c r="BI29" s="1038">
        <f t="shared" si="23"/>
        <v>0</v>
      </c>
      <c r="BJ29" s="1027">
        <f t="shared" si="24"/>
        <v>0</v>
      </c>
      <c r="BK29" s="1021">
        <f t="shared" si="25"/>
        <v>0</v>
      </c>
      <c r="BL29" s="1040">
        <f t="shared" si="26"/>
        <v>0</v>
      </c>
      <c r="BM29" s="1038">
        <f t="shared" si="27"/>
        <v>0</v>
      </c>
      <c r="BN29" s="1027"/>
      <c r="BO29" s="1041"/>
      <c r="BP29" s="95">
        <f t="shared" si="43"/>
        <v>0</v>
      </c>
      <c r="BQ29" s="842">
        <f t="shared" si="44"/>
        <v>0</v>
      </c>
      <c r="BS29" s="94">
        <f t="shared" si="28"/>
        <v>0</v>
      </c>
      <c r="BU29" s="632">
        <f t="shared" si="29"/>
        <v>0</v>
      </c>
      <c r="BV29" s="398"/>
      <c r="BW29" s="405"/>
      <c r="CI29" s="96"/>
    </row>
    <row r="30" spans="1:87" ht="14.25" outlineLevel="1" thickTop="1" thickBot="1">
      <c r="A30" s="57"/>
      <c r="B30" s="751">
        <f t="shared" si="40"/>
        <v>0</v>
      </c>
      <c r="C30" s="1029"/>
      <c r="D30" s="1031"/>
      <c r="E30" s="1031"/>
      <c r="F30" s="1031"/>
      <c r="G30" s="1029"/>
      <c r="H30" s="1032">
        <f t="shared" si="30"/>
        <v>1</v>
      </c>
      <c r="I30" s="1105"/>
      <c r="J30" s="1034">
        <f t="shared" si="31"/>
        <v>1</v>
      </c>
      <c r="K30" s="1035">
        <f t="shared" si="45"/>
        <v>0</v>
      </c>
      <c r="L30" s="1089"/>
      <c r="M30" s="1088"/>
      <c r="N30" s="1037">
        <f t="shared" si="41"/>
        <v>0</v>
      </c>
      <c r="O30" s="1034">
        <f t="shared" si="4"/>
        <v>1</v>
      </c>
      <c r="P30" s="1035">
        <f t="shared" si="42"/>
        <v>0</v>
      </c>
      <c r="Q30" s="1089"/>
      <c r="R30" s="1088"/>
      <c r="S30" s="1020">
        <f t="shared" si="5"/>
        <v>0</v>
      </c>
      <c r="T30" s="1034">
        <f t="shared" si="6"/>
        <v>1</v>
      </c>
      <c r="U30" s="1035">
        <f t="shared" si="32"/>
        <v>0</v>
      </c>
      <c r="V30" s="1089"/>
      <c r="W30" s="1088"/>
      <c r="X30" s="1037">
        <f t="shared" si="7"/>
        <v>0</v>
      </c>
      <c r="Y30" s="1034">
        <f t="shared" si="8"/>
        <v>1</v>
      </c>
      <c r="Z30" s="1035">
        <f t="shared" si="33"/>
        <v>0</v>
      </c>
      <c r="AA30" s="1089"/>
      <c r="AB30" s="1088"/>
      <c r="AC30" s="1021">
        <f t="shared" si="9"/>
        <v>0</v>
      </c>
      <c r="AD30" s="1034">
        <f t="shared" si="10"/>
        <v>1</v>
      </c>
      <c r="AE30" s="1035">
        <f t="shared" si="34"/>
        <v>0</v>
      </c>
      <c r="AF30" s="1089"/>
      <c r="AG30" s="1088"/>
      <c r="AH30" s="1037">
        <f t="shared" si="11"/>
        <v>0</v>
      </c>
      <c r="AI30" s="1034">
        <f t="shared" si="12"/>
        <v>1</v>
      </c>
      <c r="AJ30" s="1035">
        <f t="shared" si="35"/>
        <v>0</v>
      </c>
      <c r="AK30" s="1089"/>
      <c r="AL30" s="1088"/>
      <c r="AM30" s="1021">
        <f t="shared" si="13"/>
        <v>0</v>
      </c>
      <c r="AN30" s="1034">
        <f t="shared" si="14"/>
        <v>1</v>
      </c>
      <c r="AO30" s="1035">
        <f t="shared" si="36"/>
        <v>0</v>
      </c>
      <c r="AP30" s="1089"/>
      <c r="AQ30" s="1088"/>
      <c r="AR30" s="1037">
        <f t="shared" si="15"/>
        <v>0</v>
      </c>
      <c r="AS30" s="1034">
        <f t="shared" si="16"/>
        <v>1</v>
      </c>
      <c r="AT30" s="1035">
        <f t="shared" si="37"/>
        <v>0</v>
      </c>
      <c r="AU30" s="1091"/>
      <c r="AV30" s="1088"/>
      <c r="AW30" s="1021">
        <f t="shared" si="17"/>
        <v>0</v>
      </c>
      <c r="AX30" s="1034">
        <f t="shared" si="18"/>
        <v>1</v>
      </c>
      <c r="AY30" s="1035">
        <f t="shared" si="38"/>
        <v>0</v>
      </c>
      <c r="AZ30" s="1089"/>
      <c r="BA30" s="1089"/>
      <c r="BB30" s="1021">
        <f t="shared" si="19"/>
        <v>0</v>
      </c>
      <c r="BC30" s="1034">
        <f t="shared" si="20"/>
        <v>1</v>
      </c>
      <c r="BD30" s="1035">
        <f t="shared" si="39"/>
        <v>0</v>
      </c>
      <c r="BE30" s="1091"/>
      <c r="BF30" s="1088"/>
      <c r="BG30" s="1021">
        <f t="shared" si="21"/>
        <v>0</v>
      </c>
      <c r="BH30" s="1039">
        <f t="shared" si="22"/>
        <v>0</v>
      </c>
      <c r="BI30" s="1038">
        <f t="shared" si="23"/>
        <v>0</v>
      </c>
      <c r="BJ30" s="1027">
        <f t="shared" si="24"/>
        <v>0</v>
      </c>
      <c r="BK30" s="1021">
        <f t="shared" si="25"/>
        <v>0</v>
      </c>
      <c r="BL30" s="1040">
        <f t="shared" si="26"/>
        <v>0</v>
      </c>
      <c r="BM30" s="1038">
        <f t="shared" si="27"/>
        <v>0</v>
      </c>
      <c r="BN30" s="1027"/>
      <c r="BO30" s="1041"/>
      <c r="BP30" s="95">
        <f t="shared" si="43"/>
        <v>0</v>
      </c>
      <c r="BQ30" s="842">
        <f t="shared" si="44"/>
        <v>0</v>
      </c>
      <c r="BS30" s="94">
        <f t="shared" si="28"/>
        <v>0</v>
      </c>
      <c r="BU30" s="632">
        <f t="shared" si="29"/>
        <v>0</v>
      </c>
      <c r="BV30" s="398"/>
      <c r="BW30" s="405"/>
      <c r="CI30" s="96"/>
    </row>
    <row r="31" spans="1:87" ht="14.25" outlineLevel="1" thickTop="1" thickBot="1">
      <c r="A31" s="57"/>
      <c r="B31" s="751">
        <f t="shared" si="40"/>
        <v>0</v>
      </c>
      <c r="C31" s="1029"/>
      <c r="D31" s="1031"/>
      <c r="E31" s="1030"/>
      <c r="F31" s="1031"/>
      <c r="G31" s="1029"/>
      <c r="H31" s="1032">
        <f t="shared" si="30"/>
        <v>1</v>
      </c>
      <c r="I31" s="1105"/>
      <c r="J31" s="1034">
        <f t="shared" si="31"/>
        <v>1</v>
      </c>
      <c r="K31" s="1035">
        <f t="shared" si="45"/>
        <v>0</v>
      </c>
      <c r="L31" s="1089"/>
      <c r="M31" s="1088"/>
      <c r="N31" s="1037">
        <f t="shared" si="41"/>
        <v>0</v>
      </c>
      <c r="O31" s="1034">
        <f t="shared" si="4"/>
        <v>1</v>
      </c>
      <c r="P31" s="1035">
        <f t="shared" si="42"/>
        <v>0</v>
      </c>
      <c r="Q31" s="1089"/>
      <c r="R31" s="1088"/>
      <c r="S31" s="1020">
        <f t="shared" si="5"/>
        <v>0</v>
      </c>
      <c r="T31" s="1034">
        <f t="shared" si="6"/>
        <v>1</v>
      </c>
      <c r="U31" s="1035">
        <f t="shared" si="32"/>
        <v>0</v>
      </c>
      <c r="V31" s="1089"/>
      <c r="W31" s="1088"/>
      <c r="X31" s="1037">
        <f t="shared" si="7"/>
        <v>0</v>
      </c>
      <c r="Y31" s="1034">
        <f t="shared" si="8"/>
        <v>1</v>
      </c>
      <c r="Z31" s="1035">
        <f t="shared" si="33"/>
        <v>0</v>
      </c>
      <c r="AA31" s="1089"/>
      <c r="AB31" s="1088"/>
      <c r="AC31" s="1021">
        <f t="shared" si="9"/>
        <v>0</v>
      </c>
      <c r="AD31" s="1034">
        <f t="shared" si="10"/>
        <v>1</v>
      </c>
      <c r="AE31" s="1035">
        <f t="shared" si="34"/>
        <v>0</v>
      </c>
      <c r="AF31" s="1089"/>
      <c r="AG31" s="1088"/>
      <c r="AH31" s="1037">
        <f t="shared" si="11"/>
        <v>0</v>
      </c>
      <c r="AI31" s="1034">
        <f t="shared" si="12"/>
        <v>1</v>
      </c>
      <c r="AJ31" s="1035">
        <f t="shared" si="35"/>
        <v>0</v>
      </c>
      <c r="AK31" s="1089"/>
      <c r="AL31" s="1088"/>
      <c r="AM31" s="1021">
        <f t="shared" si="13"/>
        <v>0</v>
      </c>
      <c r="AN31" s="1034">
        <f t="shared" si="14"/>
        <v>1</v>
      </c>
      <c r="AO31" s="1035">
        <f t="shared" si="36"/>
        <v>0</v>
      </c>
      <c r="AP31" s="1089"/>
      <c r="AQ31" s="1088"/>
      <c r="AR31" s="1037">
        <f t="shared" si="15"/>
        <v>0</v>
      </c>
      <c r="AS31" s="1034">
        <f t="shared" si="16"/>
        <v>1</v>
      </c>
      <c r="AT31" s="1035">
        <f t="shared" si="37"/>
        <v>0</v>
      </c>
      <c r="AU31" s="1089"/>
      <c r="AV31" s="1088"/>
      <c r="AW31" s="1021">
        <f t="shared" si="17"/>
        <v>0</v>
      </c>
      <c r="AX31" s="1034">
        <f t="shared" si="18"/>
        <v>1</v>
      </c>
      <c r="AY31" s="1035">
        <f t="shared" si="38"/>
        <v>0</v>
      </c>
      <c r="AZ31" s="1089"/>
      <c r="BA31" s="1089"/>
      <c r="BB31" s="1021">
        <f t="shared" si="19"/>
        <v>0</v>
      </c>
      <c r="BC31" s="1034">
        <f t="shared" si="20"/>
        <v>1</v>
      </c>
      <c r="BD31" s="1035">
        <f t="shared" si="39"/>
        <v>0</v>
      </c>
      <c r="BE31" s="1091"/>
      <c r="BF31" s="1088"/>
      <c r="BG31" s="1021">
        <f t="shared" si="21"/>
        <v>0</v>
      </c>
      <c r="BH31" s="1039">
        <f t="shared" si="22"/>
        <v>0</v>
      </c>
      <c r="BI31" s="1038">
        <f t="shared" si="23"/>
        <v>0</v>
      </c>
      <c r="BJ31" s="1027">
        <f t="shared" si="24"/>
        <v>0</v>
      </c>
      <c r="BK31" s="1021">
        <f t="shared" si="25"/>
        <v>0</v>
      </c>
      <c r="BL31" s="1040">
        <f t="shared" si="26"/>
        <v>0</v>
      </c>
      <c r="BM31" s="1038">
        <f t="shared" si="27"/>
        <v>0</v>
      </c>
      <c r="BN31" s="1027"/>
      <c r="BO31" s="1041"/>
      <c r="BP31" s="95">
        <f t="shared" si="43"/>
        <v>0</v>
      </c>
      <c r="BQ31" s="842">
        <f t="shared" si="44"/>
        <v>0</v>
      </c>
      <c r="BS31" s="94">
        <f t="shared" si="28"/>
        <v>0</v>
      </c>
      <c r="BU31" s="632">
        <f t="shared" si="29"/>
        <v>0</v>
      </c>
      <c r="BV31" s="398"/>
      <c r="BW31" s="405"/>
      <c r="CI31" s="96"/>
    </row>
    <row r="32" spans="1:87" ht="14.25" outlineLevel="1" thickTop="1" thickBot="1">
      <c r="A32" s="57"/>
      <c r="B32" s="751">
        <f t="shared" si="40"/>
        <v>0</v>
      </c>
      <c r="C32" s="1029"/>
      <c r="D32" s="1031"/>
      <c r="E32" s="1030"/>
      <c r="F32" s="1031"/>
      <c r="G32" s="1029"/>
      <c r="H32" s="1032">
        <f t="shared" si="30"/>
        <v>1</v>
      </c>
      <c r="I32" s="1105"/>
      <c r="J32" s="1034">
        <f t="shared" si="31"/>
        <v>1</v>
      </c>
      <c r="K32" s="1035">
        <f t="shared" si="45"/>
        <v>0</v>
      </c>
      <c r="L32" s="1089"/>
      <c r="M32" s="1088"/>
      <c r="N32" s="1037">
        <f t="shared" si="41"/>
        <v>0</v>
      </c>
      <c r="O32" s="1034">
        <f t="shared" si="4"/>
        <v>1</v>
      </c>
      <c r="P32" s="1035">
        <f t="shared" si="42"/>
        <v>0</v>
      </c>
      <c r="Q32" s="1089"/>
      <c r="R32" s="1088"/>
      <c r="S32" s="1020">
        <f t="shared" si="5"/>
        <v>0</v>
      </c>
      <c r="T32" s="1034">
        <f t="shared" si="6"/>
        <v>1</v>
      </c>
      <c r="U32" s="1035">
        <f t="shared" si="32"/>
        <v>0</v>
      </c>
      <c r="V32" s="1089"/>
      <c r="W32" s="1088"/>
      <c r="X32" s="1037">
        <f t="shared" si="7"/>
        <v>0</v>
      </c>
      <c r="Y32" s="1034">
        <f t="shared" si="8"/>
        <v>1</v>
      </c>
      <c r="Z32" s="1035">
        <f t="shared" si="33"/>
        <v>0</v>
      </c>
      <c r="AA32" s="1089"/>
      <c r="AB32" s="1088"/>
      <c r="AC32" s="1021">
        <f t="shared" si="9"/>
        <v>0</v>
      </c>
      <c r="AD32" s="1034">
        <f t="shared" si="10"/>
        <v>1</v>
      </c>
      <c r="AE32" s="1035">
        <f t="shared" si="34"/>
        <v>0</v>
      </c>
      <c r="AF32" s="1089"/>
      <c r="AG32" s="1088"/>
      <c r="AH32" s="1037">
        <f t="shared" si="11"/>
        <v>0</v>
      </c>
      <c r="AI32" s="1034">
        <f t="shared" si="12"/>
        <v>1</v>
      </c>
      <c r="AJ32" s="1035">
        <f t="shared" si="35"/>
        <v>0</v>
      </c>
      <c r="AK32" s="1089"/>
      <c r="AL32" s="1088"/>
      <c r="AM32" s="1021">
        <f t="shared" si="13"/>
        <v>0</v>
      </c>
      <c r="AN32" s="1034">
        <f t="shared" si="14"/>
        <v>1</v>
      </c>
      <c r="AO32" s="1035">
        <f t="shared" si="36"/>
        <v>0</v>
      </c>
      <c r="AP32" s="1089"/>
      <c r="AQ32" s="1088"/>
      <c r="AR32" s="1037">
        <f t="shared" si="15"/>
        <v>0</v>
      </c>
      <c r="AS32" s="1034">
        <f t="shared" si="16"/>
        <v>1</v>
      </c>
      <c r="AT32" s="1035">
        <f t="shared" si="37"/>
        <v>0</v>
      </c>
      <c r="AU32" s="1091"/>
      <c r="AV32" s="1088"/>
      <c r="AW32" s="1021">
        <f t="shared" si="17"/>
        <v>0</v>
      </c>
      <c r="AX32" s="1034">
        <f t="shared" si="18"/>
        <v>1</v>
      </c>
      <c r="AY32" s="1035">
        <f t="shared" si="38"/>
        <v>0</v>
      </c>
      <c r="AZ32" s="1089"/>
      <c r="BA32" s="1089"/>
      <c r="BB32" s="1021">
        <f t="shared" si="19"/>
        <v>0</v>
      </c>
      <c r="BC32" s="1034">
        <f t="shared" si="20"/>
        <v>1</v>
      </c>
      <c r="BD32" s="1035">
        <f t="shared" si="39"/>
        <v>0</v>
      </c>
      <c r="BE32" s="1091"/>
      <c r="BF32" s="1088"/>
      <c r="BG32" s="1021">
        <f t="shared" si="21"/>
        <v>0</v>
      </c>
      <c r="BH32" s="1039">
        <f t="shared" si="22"/>
        <v>0</v>
      </c>
      <c r="BI32" s="1038">
        <f t="shared" si="23"/>
        <v>0</v>
      </c>
      <c r="BJ32" s="1027">
        <f t="shared" si="24"/>
        <v>0</v>
      </c>
      <c r="BK32" s="1021">
        <f t="shared" si="25"/>
        <v>0</v>
      </c>
      <c r="BL32" s="1040">
        <f t="shared" si="26"/>
        <v>0</v>
      </c>
      <c r="BM32" s="1038">
        <f t="shared" si="27"/>
        <v>0</v>
      </c>
      <c r="BN32" s="1027"/>
      <c r="BO32" s="1041"/>
      <c r="BP32" s="95">
        <f t="shared" si="43"/>
        <v>0</v>
      </c>
      <c r="BQ32" s="842">
        <f t="shared" si="44"/>
        <v>0</v>
      </c>
      <c r="BS32" s="94">
        <f t="shared" si="28"/>
        <v>0</v>
      </c>
      <c r="BU32" s="632">
        <f t="shared" si="29"/>
        <v>0</v>
      </c>
      <c r="BV32" s="398"/>
      <c r="BW32" s="405"/>
      <c r="CI32" s="96"/>
    </row>
    <row r="33" spans="1:87" ht="14.25" outlineLevel="1" thickTop="1" thickBot="1">
      <c r="A33" s="57"/>
      <c r="B33" s="751">
        <f t="shared" si="40"/>
        <v>0</v>
      </c>
      <c r="C33" s="1029"/>
      <c r="D33" s="1031"/>
      <c r="E33" s="1030"/>
      <c r="F33" s="1031"/>
      <c r="G33" s="1029"/>
      <c r="H33" s="1032">
        <f t="shared" si="30"/>
        <v>1</v>
      </c>
      <c r="I33" s="1105"/>
      <c r="J33" s="1034">
        <f t="shared" si="31"/>
        <v>1</v>
      </c>
      <c r="K33" s="1035">
        <f t="shared" si="45"/>
        <v>0</v>
      </c>
      <c r="L33" s="1089"/>
      <c r="M33" s="1088"/>
      <c r="N33" s="1037">
        <f t="shared" si="41"/>
        <v>0</v>
      </c>
      <c r="O33" s="1034">
        <f t="shared" si="4"/>
        <v>1</v>
      </c>
      <c r="P33" s="1035">
        <f t="shared" si="42"/>
        <v>0</v>
      </c>
      <c r="Q33" s="1089"/>
      <c r="R33" s="1088"/>
      <c r="S33" s="1020">
        <f t="shared" si="5"/>
        <v>0</v>
      </c>
      <c r="T33" s="1034">
        <f t="shared" si="6"/>
        <v>1</v>
      </c>
      <c r="U33" s="1035">
        <f t="shared" si="32"/>
        <v>0</v>
      </c>
      <c r="V33" s="1089"/>
      <c r="W33" s="1088"/>
      <c r="X33" s="1037">
        <f t="shared" si="7"/>
        <v>0</v>
      </c>
      <c r="Y33" s="1034">
        <f t="shared" si="8"/>
        <v>1</v>
      </c>
      <c r="Z33" s="1035">
        <f t="shared" si="33"/>
        <v>0</v>
      </c>
      <c r="AA33" s="1089"/>
      <c r="AB33" s="1088"/>
      <c r="AC33" s="1021">
        <f t="shared" si="9"/>
        <v>0</v>
      </c>
      <c r="AD33" s="1034">
        <f t="shared" si="10"/>
        <v>1</v>
      </c>
      <c r="AE33" s="1035">
        <f t="shared" si="34"/>
        <v>0</v>
      </c>
      <c r="AF33" s="1089"/>
      <c r="AG33" s="1088"/>
      <c r="AH33" s="1037">
        <f t="shared" si="11"/>
        <v>0</v>
      </c>
      <c r="AI33" s="1034">
        <f t="shared" si="12"/>
        <v>1</v>
      </c>
      <c r="AJ33" s="1035">
        <f t="shared" si="35"/>
        <v>0</v>
      </c>
      <c r="AK33" s="1089"/>
      <c r="AL33" s="1088"/>
      <c r="AM33" s="1021">
        <f t="shared" si="13"/>
        <v>0</v>
      </c>
      <c r="AN33" s="1034">
        <f t="shared" si="14"/>
        <v>1</v>
      </c>
      <c r="AO33" s="1035">
        <f t="shared" si="36"/>
        <v>0</v>
      </c>
      <c r="AP33" s="1089"/>
      <c r="AQ33" s="1088"/>
      <c r="AR33" s="1037">
        <f t="shared" si="15"/>
        <v>0</v>
      </c>
      <c r="AS33" s="1034">
        <f t="shared" si="16"/>
        <v>1</v>
      </c>
      <c r="AT33" s="1035">
        <f t="shared" si="37"/>
        <v>0</v>
      </c>
      <c r="AU33" s="1089"/>
      <c r="AV33" s="1088"/>
      <c r="AW33" s="1021">
        <f t="shared" si="17"/>
        <v>0</v>
      </c>
      <c r="AX33" s="1034">
        <f t="shared" si="18"/>
        <v>1</v>
      </c>
      <c r="AY33" s="1035">
        <f t="shared" si="38"/>
        <v>0</v>
      </c>
      <c r="AZ33" s="1089"/>
      <c r="BA33" s="1089"/>
      <c r="BB33" s="1021">
        <f t="shared" si="19"/>
        <v>0</v>
      </c>
      <c r="BC33" s="1034">
        <f t="shared" si="20"/>
        <v>1</v>
      </c>
      <c r="BD33" s="1035">
        <f t="shared" si="39"/>
        <v>0</v>
      </c>
      <c r="BE33" s="1091"/>
      <c r="BF33" s="1088"/>
      <c r="BG33" s="1021">
        <f t="shared" si="21"/>
        <v>0</v>
      </c>
      <c r="BH33" s="1039">
        <f t="shared" si="22"/>
        <v>0</v>
      </c>
      <c r="BI33" s="1038">
        <f t="shared" si="23"/>
        <v>0</v>
      </c>
      <c r="BJ33" s="1027">
        <f t="shared" si="24"/>
        <v>0</v>
      </c>
      <c r="BK33" s="1021">
        <f t="shared" si="25"/>
        <v>0</v>
      </c>
      <c r="BL33" s="1040">
        <f t="shared" si="26"/>
        <v>0</v>
      </c>
      <c r="BM33" s="1038">
        <f t="shared" si="27"/>
        <v>0</v>
      </c>
      <c r="BN33" s="1027"/>
      <c r="BO33" s="1041"/>
      <c r="BP33" s="95">
        <f t="shared" si="43"/>
        <v>0</v>
      </c>
      <c r="BQ33" s="842">
        <f t="shared" si="44"/>
        <v>0</v>
      </c>
      <c r="BS33" s="94">
        <f t="shared" si="28"/>
        <v>0</v>
      </c>
      <c r="BU33" s="632">
        <f t="shared" si="29"/>
        <v>0</v>
      </c>
      <c r="BV33" s="398"/>
      <c r="BW33" s="405"/>
      <c r="CI33" s="96"/>
    </row>
    <row r="34" spans="1:87" ht="14.25" outlineLevel="1" thickTop="1" thickBot="1">
      <c r="A34" s="57"/>
      <c r="B34" s="751">
        <f t="shared" si="40"/>
        <v>0</v>
      </c>
      <c r="C34" s="1029"/>
      <c r="D34" s="1031"/>
      <c r="E34" s="1030"/>
      <c r="F34" s="1031"/>
      <c r="G34" s="1029"/>
      <c r="H34" s="1032">
        <f t="shared" si="30"/>
        <v>1</v>
      </c>
      <c r="I34" s="1105"/>
      <c r="J34" s="1034">
        <f t="shared" si="31"/>
        <v>1</v>
      </c>
      <c r="K34" s="1035">
        <f t="shared" si="45"/>
        <v>0</v>
      </c>
      <c r="L34" s="1089"/>
      <c r="M34" s="1088"/>
      <c r="N34" s="1037">
        <f t="shared" si="41"/>
        <v>0</v>
      </c>
      <c r="O34" s="1034">
        <f t="shared" si="4"/>
        <v>1</v>
      </c>
      <c r="P34" s="1035">
        <f t="shared" si="42"/>
        <v>0</v>
      </c>
      <c r="Q34" s="1089"/>
      <c r="R34" s="1088"/>
      <c r="S34" s="1020">
        <f t="shared" si="5"/>
        <v>0</v>
      </c>
      <c r="T34" s="1034">
        <f t="shared" si="6"/>
        <v>1</v>
      </c>
      <c r="U34" s="1035">
        <f t="shared" si="32"/>
        <v>0</v>
      </c>
      <c r="V34" s="1089"/>
      <c r="W34" s="1088"/>
      <c r="X34" s="1037">
        <f t="shared" si="7"/>
        <v>0</v>
      </c>
      <c r="Y34" s="1034">
        <f t="shared" si="8"/>
        <v>1</v>
      </c>
      <c r="Z34" s="1035">
        <f t="shared" si="33"/>
        <v>0</v>
      </c>
      <c r="AA34" s="1089"/>
      <c r="AB34" s="1088"/>
      <c r="AC34" s="1021">
        <f t="shared" si="9"/>
        <v>0</v>
      </c>
      <c r="AD34" s="1034">
        <f t="shared" si="10"/>
        <v>1</v>
      </c>
      <c r="AE34" s="1035">
        <f t="shared" si="34"/>
        <v>0</v>
      </c>
      <c r="AF34" s="1089"/>
      <c r="AG34" s="1088"/>
      <c r="AH34" s="1037">
        <f t="shared" si="11"/>
        <v>0</v>
      </c>
      <c r="AI34" s="1034">
        <f t="shared" si="12"/>
        <v>1</v>
      </c>
      <c r="AJ34" s="1035">
        <f t="shared" si="35"/>
        <v>0</v>
      </c>
      <c r="AK34" s="1089"/>
      <c r="AL34" s="1088"/>
      <c r="AM34" s="1021">
        <f t="shared" si="13"/>
        <v>0</v>
      </c>
      <c r="AN34" s="1034">
        <f t="shared" si="14"/>
        <v>1</v>
      </c>
      <c r="AO34" s="1035">
        <f t="shared" si="36"/>
        <v>0</v>
      </c>
      <c r="AP34" s="1089"/>
      <c r="AQ34" s="1088"/>
      <c r="AR34" s="1037">
        <f t="shared" si="15"/>
        <v>0</v>
      </c>
      <c r="AS34" s="1034">
        <f t="shared" si="16"/>
        <v>1</v>
      </c>
      <c r="AT34" s="1035">
        <f t="shared" si="37"/>
        <v>0</v>
      </c>
      <c r="AU34" s="1091"/>
      <c r="AV34" s="1088"/>
      <c r="AW34" s="1021">
        <f t="shared" si="17"/>
        <v>0</v>
      </c>
      <c r="AX34" s="1034">
        <f t="shared" si="18"/>
        <v>1</v>
      </c>
      <c r="AY34" s="1035">
        <f t="shared" si="38"/>
        <v>0</v>
      </c>
      <c r="AZ34" s="1089"/>
      <c r="BA34" s="1089"/>
      <c r="BB34" s="1021">
        <f t="shared" si="19"/>
        <v>0</v>
      </c>
      <c r="BC34" s="1034">
        <f t="shared" si="20"/>
        <v>1</v>
      </c>
      <c r="BD34" s="1035">
        <f t="shared" si="39"/>
        <v>0</v>
      </c>
      <c r="BE34" s="1091"/>
      <c r="BF34" s="1088"/>
      <c r="BG34" s="1021">
        <f t="shared" si="21"/>
        <v>0</v>
      </c>
      <c r="BH34" s="1039">
        <f t="shared" si="22"/>
        <v>0</v>
      </c>
      <c r="BI34" s="1038">
        <f t="shared" si="23"/>
        <v>0</v>
      </c>
      <c r="BJ34" s="1027">
        <f t="shared" si="24"/>
        <v>0</v>
      </c>
      <c r="BK34" s="1021">
        <f t="shared" si="25"/>
        <v>0</v>
      </c>
      <c r="BL34" s="1040">
        <f t="shared" si="26"/>
        <v>0</v>
      </c>
      <c r="BM34" s="1038">
        <f t="shared" si="27"/>
        <v>0</v>
      </c>
      <c r="BN34" s="1027"/>
      <c r="BO34" s="1041"/>
      <c r="BP34" s="95">
        <f t="shared" si="43"/>
        <v>0</v>
      </c>
      <c r="BQ34" s="842">
        <f t="shared" si="44"/>
        <v>0</v>
      </c>
      <c r="BS34" s="94">
        <f t="shared" si="28"/>
        <v>0</v>
      </c>
      <c r="BU34" s="632">
        <f t="shared" si="29"/>
        <v>0</v>
      </c>
      <c r="BV34" s="398"/>
      <c r="BW34" s="405"/>
      <c r="CI34" s="96"/>
    </row>
    <row r="35" spans="1:87" ht="14.25" outlineLevel="1" thickTop="1" thickBot="1">
      <c r="A35" s="57"/>
      <c r="B35" s="751">
        <f t="shared" si="40"/>
        <v>0</v>
      </c>
      <c r="C35" s="1029"/>
      <c r="D35" s="1031"/>
      <c r="E35" s="1030"/>
      <c r="F35" s="1031"/>
      <c r="G35" s="1029"/>
      <c r="H35" s="1032">
        <f t="shared" si="30"/>
        <v>1</v>
      </c>
      <c r="I35" s="1105"/>
      <c r="J35" s="1034">
        <f t="shared" si="31"/>
        <v>1</v>
      </c>
      <c r="K35" s="1035">
        <f t="shared" si="45"/>
        <v>0</v>
      </c>
      <c r="L35" s="1089"/>
      <c r="M35" s="1088"/>
      <c r="N35" s="1037">
        <f t="shared" si="41"/>
        <v>0</v>
      </c>
      <c r="O35" s="1034">
        <f t="shared" si="4"/>
        <v>1</v>
      </c>
      <c r="P35" s="1035">
        <f t="shared" si="42"/>
        <v>0</v>
      </c>
      <c r="Q35" s="1089"/>
      <c r="R35" s="1088"/>
      <c r="S35" s="1020">
        <f t="shared" si="5"/>
        <v>0</v>
      </c>
      <c r="T35" s="1034">
        <f t="shared" si="6"/>
        <v>1</v>
      </c>
      <c r="U35" s="1035">
        <f t="shared" si="32"/>
        <v>0</v>
      </c>
      <c r="V35" s="1089"/>
      <c r="W35" s="1088"/>
      <c r="X35" s="1037">
        <f t="shared" si="7"/>
        <v>0</v>
      </c>
      <c r="Y35" s="1034">
        <f t="shared" si="8"/>
        <v>1</v>
      </c>
      <c r="Z35" s="1035">
        <f t="shared" si="33"/>
        <v>0</v>
      </c>
      <c r="AA35" s="1089"/>
      <c r="AB35" s="1088"/>
      <c r="AC35" s="1021">
        <f t="shared" si="9"/>
        <v>0</v>
      </c>
      <c r="AD35" s="1034">
        <f t="shared" si="10"/>
        <v>1</v>
      </c>
      <c r="AE35" s="1035">
        <f t="shared" si="34"/>
        <v>0</v>
      </c>
      <c r="AF35" s="1089"/>
      <c r="AG35" s="1088"/>
      <c r="AH35" s="1037">
        <f t="shared" si="11"/>
        <v>0</v>
      </c>
      <c r="AI35" s="1034">
        <f t="shared" si="12"/>
        <v>1</v>
      </c>
      <c r="AJ35" s="1035">
        <f t="shared" si="35"/>
        <v>0</v>
      </c>
      <c r="AK35" s="1089"/>
      <c r="AL35" s="1088"/>
      <c r="AM35" s="1021">
        <f t="shared" si="13"/>
        <v>0</v>
      </c>
      <c r="AN35" s="1034">
        <f t="shared" si="14"/>
        <v>1</v>
      </c>
      <c r="AO35" s="1035">
        <f t="shared" si="36"/>
        <v>0</v>
      </c>
      <c r="AP35" s="1089"/>
      <c r="AQ35" s="1088"/>
      <c r="AR35" s="1037">
        <f t="shared" si="15"/>
        <v>0</v>
      </c>
      <c r="AS35" s="1034">
        <f t="shared" si="16"/>
        <v>1</v>
      </c>
      <c r="AT35" s="1035">
        <f t="shared" si="37"/>
        <v>0</v>
      </c>
      <c r="AU35" s="1089"/>
      <c r="AV35" s="1088"/>
      <c r="AW35" s="1021">
        <f t="shared" si="17"/>
        <v>0</v>
      </c>
      <c r="AX35" s="1034">
        <f t="shared" si="18"/>
        <v>1</v>
      </c>
      <c r="AY35" s="1035">
        <f t="shared" si="38"/>
        <v>0</v>
      </c>
      <c r="AZ35" s="1089"/>
      <c r="BA35" s="1089"/>
      <c r="BB35" s="1021">
        <f t="shared" si="19"/>
        <v>0</v>
      </c>
      <c r="BC35" s="1034">
        <f t="shared" si="20"/>
        <v>1</v>
      </c>
      <c r="BD35" s="1035">
        <f t="shared" si="39"/>
        <v>0</v>
      </c>
      <c r="BE35" s="1091"/>
      <c r="BF35" s="1088"/>
      <c r="BG35" s="1021">
        <f t="shared" si="21"/>
        <v>0</v>
      </c>
      <c r="BH35" s="1039">
        <f t="shared" si="22"/>
        <v>0</v>
      </c>
      <c r="BI35" s="1038">
        <f t="shared" si="23"/>
        <v>0</v>
      </c>
      <c r="BJ35" s="1027">
        <f t="shared" si="24"/>
        <v>0</v>
      </c>
      <c r="BK35" s="1021">
        <f t="shared" si="25"/>
        <v>0</v>
      </c>
      <c r="BL35" s="1040">
        <f t="shared" si="26"/>
        <v>0</v>
      </c>
      <c r="BM35" s="1038">
        <f t="shared" si="27"/>
        <v>0</v>
      </c>
      <c r="BN35" s="1027"/>
      <c r="BO35" s="1041"/>
      <c r="BP35" s="95">
        <f t="shared" si="43"/>
        <v>0</v>
      </c>
      <c r="BQ35" s="842">
        <f t="shared" si="44"/>
        <v>0</v>
      </c>
      <c r="BS35" s="94">
        <f t="shared" si="28"/>
        <v>0</v>
      </c>
      <c r="BU35" s="632">
        <f t="shared" si="29"/>
        <v>0</v>
      </c>
      <c r="BV35" s="398"/>
      <c r="BW35" s="405"/>
      <c r="CI35" s="96"/>
    </row>
    <row r="36" spans="1:87" ht="14.25" outlineLevel="1" thickTop="1" thickBot="1">
      <c r="A36" s="57"/>
      <c r="B36" s="751">
        <f t="shared" si="40"/>
        <v>0</v>
      </c>
      <c r="C36" s="1029"/>
      <c r="D36" s="1031"/>
      <c r="E36" s="1030"/>
      <c r="F36" s="1031"/>
      <c r="G36" s="1029"/>
      <c r="H36" s="1032">
        <f t="shared" si="30"/>
        <v>1</v>
      </c>
      <c r="I36" s="1105"/>
      <c r="J36" s="1034">
        <f t="shared" si="31"/>
        <v>1</v>
      </c>
      <c r="K36" s="1035">
        <f t="shared" si="45"/>
        <v>0</v>
      </c>
      <c r="L36" s="1089"/>
      <c r="M36" s="1088"/>
      <c r="N36" s="1037">
        <f t="shared" si="41"/>
        <v>0</v>
      </c>
      <c r="O36" s="1034">
        <f t="shared" si="4"/>
        <v>1</v>
      </c>
      <c r="P36" s="1035">
        <f t="shared" si="42"/>
        <v>0</v>
      </c>
      <c r="Q36" s="1089"/>
      <c r="R36" s="1088"/>
      <c r="S36" s="1020">
        <f t="shared" si="5"/>
        <v>0</v>
      </c>
      <c r="T36" s="1034">
        <f t="shared" si="6"/>
        <v>1</v>
      </c>
      <c r="U36" s="1035">
        <f t="shared" si="32"/>
        <v>0</v>
      </c>
      <c r="V36" s="1089"/>
      <c r="W36" s="1088"/>
      <c r="X36" s="1037">
        <f t="shared" si="7"/>
        <v>0</v>
      </c>
      <c r="Y36" s="1034">
        <f t="shared" si="8"/>
        <v>1</v>
      </c>
      <c r="Z36" s="1035">
        <f t="shared" si="33"/>
        <v>0</v>
      </c>
      <c r="AA36" s="1089"/>
      <c r="AB36" s="1088"/>
      <c r="AC36" s="1021">
        <f t="shared" si="9"/>
        <v>0</v>
      </c>
      <c r="AD36" s="1034">
        <f t="shared" si="10"/>
        <v>1</v>
      </c>
      <c r="AE36" s="1035">
        <f t="shared" si="34"/>
        <v>0</v>
      </c>
      <c r="AF36" s="1089"/>
      <c r="AG36" s="1088"/>
      <c r="AH36" s="1037">
        <f t="shared" si="11"/>
        <v>0</v>
      </c>
      <c r="AI36" s="1034">
        <f t="shared" si="12"/>
        <v>1</v>
      </c>
      <c r="AJ36" s="1035">
        <f t="shared" si="35"/>
        <v>0</v>
      </c>
      <c r="AK36" s="1089"/>
      <c r="AL36" s="1088"/>
      <c r="AM36" s="1021">
        <f t="shared" si="13"/>
        <v>0</v>
      </c>
      <c r="AN36" s="1034">
        <f t="shared" si="14"/>
        <v>1</v>
      </c>
      <c r="AO36" s="1035">
        <f t="shared" si="36"/>
        <v>0</v>
      </c>
      <c r="AP36" s="1089"/>
      <c r="AQ36" s="1088"/>
      <c r="AR36" s="1037">
        <f t="shared" si="15"/>
        <v>0</v>
      </c>
      <c r="AS36" s="1034">
        <f t="shared" si="16"/>
        <v>1</v>
      </c>
      <c r="AT36" s="1035">
        <f t="shared" si="37"/>
        <v>0</v>
      </c>
      <c r="AU36" s="1091"/>
      <c r="AV36" s="1088"/>
      <c r="AW36" s="1021">
        <f t="shared" si="17"/>
        <v>0</v>
      </c>
      <c r="AX36" s="1034">
        <f t="shared" si="18"/>
        <v>1</v>
      </c>
      <c r="AY36" s="1035">
        <f t="shared" si="38"/>
        <v>0</v>
      </c>
      <c r="AZ36" s="1089"/>
      <c r="BA36" s="1089"/>
      <c r="BB36" s="1021">
        <f t="shared" si="19"/>
        <v>0</v>
      </c>
      <c r="BC36" s="1034">
        <f t="shared" si="20"/>
        <v>1</v>
      </c>
      <c r="BD36" s="1035">
        <f t="shared" si="39"/>
        <v>0</v>
      </c>
      <c r="BE36" s="1091"/>
      <c r="BF36" s="1088"/>
      <c r="BG36" s="1021">
        <f t="shared" si="21"/>
        <v>0</v>
      </c>
      <c r="BH36" s="1039">
        <f t="shared" si="22"/>
        <v>0</v>
      </c>
      <c r="BI36" s="1038">
        <f t="shared" si="23"/>
        <v>0</v>
      </c>
      <c r="BJ36" s="1027">
        <f t="shared" si="24"/>
        <v>0</v>
      </c>
      <c r="BK36" s="1021">
        <f t="shared" si="25"/>
        <v>0</v>
      </c>
      <c r="BL36" s="1040">
        <f t="shared" si="26"/>
        <v>0</v>
      </c>
      <c r="BM36" s="1038">
        <f t="shared" si="27"/>
        <v>0</v>
      </c>
      <c r="BN36" s="1027"/>
      <c r="BO36" s="1041"/>
      <c r="BP36" s="95">
        <f t="shared" si="43"/>
        <v>0</v>
      </c>
      <c r="BQ36" s="842">
        <f t="shared" si="44"/>
        <v>0</v>
      </c>
      <c r="BS36" s="94">
        <f t="shared" si="28"/>
        <v>0</v>
      </c>
      <c r="BU36" s="632">
        <f t="shared" si="29"/>
        <v>0</v>
      </c>
      <c r="BV36" s="398"/>
      <c r="BW36" s="405"/>
      <c r="CI36" s="96"/>
    </row>
    <row r="37" spans="1:87" ht="14.25" outlineLevel="1" thickTop="1" thickBot="1">
      <c r="A37" s="57"/>
      <c r="B37" s="751">
        <f t="shared" si="40"/>
        <v>0</v>
      </c>
      <c r="C37" s="1029"/>
      <c r="D37" s="1031"/>
      <c r="E37" s="1030"/>
      <c r="F37" s="1031"/>
      <c r="G37" s="1029"/>
      <c r="H37" s="1032">
        <f t="shared" si="30"/>
        <v>1</v>
      </c>
      <c r="I37" s="1105"/>
      <c r="J37" s="1034">
        <f t="shared" si="31"/>
        <v>1</v>
      </c>
      <c r="K37" s="1035">
        <f t="shared" si="45"/>
        <v>0</v>
      </c>
      <c r="L37" s="1089"/>
      <c r="M37" s="1088"/>
      <c r="N37" s="1037">
        <f t="shared" si="41"/>
        <v>0</v>
      </c>
      <c r="O37" s="1034">
        <f t="shared" si="4"/>
        <v>1</v>
      </c>
      <c r="P37" s="1035">
        <f t="shared" si="42"/>
        <v>0</v>
      </c>
      <c r="Q37" s="1089"/>
      <c r="R37" s="1088"/>
      <c r="S37" s="1020">
        <f t="shared" si="5"/>
        <v>0</v>
      </c>
      <c r="T37" s="1034">
        <f t="shared" si="6"/>
        <v>1</v>
      </c>
      <c r="U37" s="1035">
        <f t="shared" si="32"/>
        <v>0</v>
      </c>
      <c r="V37" s="1089"/>
      <c r="W37" s="1088"/>
      <c r="X37" s="1037">
        <f t="shared" si="7"/>
        <v>0</v>
      </c>
      <c r="Y37" s="1034">
        <f t="shared" si="8"/>
        <v>1</v>
      </c>
      <c r="Z37" s="1035">
        <f t="shared" si="33"/>
        <v>0</v>
      </c>
      <c r="AA37" s="1089"/>
      <c r="AB37" s="1088"/>
      <c r="AC37" s="1021">
        <f t="shared" si="9"/>
        <v>0</v>
      </c>
      <c r="AD37" s="1034">
        <f t="shared" si="10"/>
        <v>1</v>
      </c>
      <c r="AE37" s="1035">
        <f t="shared" si="34"/>
        <v>0</v>
      </c>
      <c r="AF37" s="1089"/>
      <c r="AG37" s="1088"/>
      <c r="AH37" s="1037">
        <f t="shared" si="11"/>
        <v>0</v>
      </c>
      <c r="AI37" s="1034">
        <f t="shared" si="12"/>
        <v>1</v>
      </c>
      <c r="AJ37" s="1035">
        <f t="shared" si="35"/>
        <v>0</v>
      </c>
      <c r="AK37" s="1089"/>
      <c r="AL37" s="1088"/>
      <c r="AM37" s="1021">
        <f t="shared" si="13"/>
        <v>0</v>
      </c>
      <c r="AN37" s="1034">
        <f t="shared" si="14"/>
        <v>1</v>
      </c>
      <c r="AO37" s="1035">
        <f t="shared" si="36"/>
        <v>0</v>
      </c>
      <c r="AP37" s="1089"/>
      <c r="AQ37" s="1088"/>
      <c r="AR37" s="1037">
        <f t="shared" si="15"/>
        <v>0</v>
      </c>
      <c r="AS37" s="1034">
        <f t="shared" si="16"/>
        <v>1</v>
      </c>
      <c r="AT37" s="1035">
        <f t="shared" si="37"/>
        <v>0</v>
      </c>
      <c r="AU37" s="1089"/>
      <c r="AV37" s="1088"/>
      <c r="AW37" s="1021">
        <f t="shared" si="17"/>
        <v>0</v>
      </c>
      <c r="AX37" s="1034">
        <f t="shared" si="18"/>
        <v>1</v>
      </c>
      <c r="AY37" s="1035">
        <f t="shared" si="38"/>
        <v>0</v>
      </c>
      <c r="AZ37" s="1089"/>
      <c r="BA37" s="1089"/>
      <c r="BB37" s="1021">
        <f t="shared" si="19"/>
        <v>0</v>
      </c>
      <c r="BC37" s="1034">
        <f t="shared" si="20"/>
        <v>1</v>
      </c>
      <c r="BD37" s="1035">
        <f t="shared" si="39"/>
        <v>0</v>
      </c>
      <c r="BE37" s="1091"/>
      <c r="BF37" s="1088"/>
      <c r="BG37" s="1021">
        <f t="shared" si="21"/>
        <v>0</v>
      </c>
      <c r="BH37" s="1039">
        <f t="shared" si="22"/>
        <v>0</v>
      </c>
      <c r="BI37" s="1038">
        <f t="shared" si="23"/>
        <v>0</v>
      </c>
      <c r="BJ37" s="1027">
        <f t="shared" si="24"/>
        <v>0</v>
      </c>
      <c r="BK37" s="1021">
        <f t="shared" si="25"/>
        <v>0</v>
      </c>
      <c r="BL37" s="1040">
        <f t="shared" si="26"/>
        <v>0</v>
      </c>
      <c r="BM37" s="1038">
        <f t="shared" si="27"/>
        <v>0</v>
      </c>
      <c r="BN37" s="1027"/>
      <c r="BO37" s="1041"/>
      <c r="BP37" s="95">
        <f t="shared" si="43"/>
        <v>0</v>
      </c>
      <c r="BQ37" s="842">
        <f t="shared" si="44"/>
        <v>0</v>
      </c>
      <c r="BS37" s="94">
        <f t="shared" si="28"/>
        <v>0</v>
      </c>
      <c r="BU37" s="632">
        <f t="shared" si="29"/>
        <v>0</v>
      </c>
      <c r="BV37" s="398"/>
      <c r="BW37" s="405"/>
      <c r="CI37" s="96"/>
    </row>
    <row r="38" spans="1:87" ht="14.25" outlineLevel="1" thickTop="1" thickBot="1">
      <c r="A38" s="57"/>
      <c r="B38" s="751">
        <f t="shared" si="40"/>
        <v>0</v>
      </c>
      <c r="C38" s="1029"/>
      <c r="D38" s="1031"/>
      <c r="E38" s="1030"/>
      <c r="F38" s="1031"/>
      <c r="G38" s="1029"/>
      <c r="H38" s="1032">
        <f t="shared" si="30"/>
        <v>1</v>
      </c>
      <c r="I38" s="1105"/>
      <c r="J38" s="1034">
        <f t="shared" si="31"/>
        <v>1</v>
      </c>
      <c r="K38" s="1035">
        <f t="shared" si="45"/>
        <v>0</v>
      </c>
      <c r="L38" s="1089"/>
      <c r="M38" s="1088"/>
      <c r="N38" s="1037">
        <f t="shared" si="41"/>
        <v>0</v>
      </c>
      <c r="O38" s="1034">
        <f t="shared" si="4"/>
        <v>1</v>
      </c>
      <c r="P38" s="1035">
        <f t="shared" si="42"/>
        <v>0</v>
      </c>
      <c r="Q38" s="1089"/>
      <c r="R38" s="1088"/>
      <c r="S38" s="1020">
        <f t="shared" si="5"/>
        <v>0</v>
      </c>
      <c r="T38" s="1034">
        <f t="shared" si="6"/>
        <v>1</v>
      </c>
      <c r="U38" s="1035">
        <f t="shared" si="32"/>
        <v>0</v>
      </c>
      <c r="V38" s="1089"/>
      <c r="W38" s="1088"/>
      <c r="X38" s="1037">
        <f t="shared" si="7"/>
        <v>0</v>
      </c>
      <c r="Y38" s="1034">
        <f t="shared" si="8"/>
        <v>1</v>
      </c>
      <c r="Z38" s="1035">
        <f t="shared" si="33"/>
        <v>0</v>
      </c>
      <c r="AA38" s="1089"/>
      <c r="AB38" s="1088"/>
      <c r="AC38" s="1021">
        <f t="shared" si="9"/>
        <v>0</v>
      </c>
      <c r="AD38" s="1034">
        <f t="shared" si="10"/>
        <v>1</v>
      </c>
      <c r="AE38" s="1035">
        <f t="shared" si="34"/>
        <v>0</v>
      </c>
      <c r="AF38" s="1089"/>
      <c r="AG38" s="1088"/>
      <c r="AH38" s="1037">
        <f t="shared" si="11"/>
        <v>0</v>
      </c>
      <c r="AI38" s="1034">
        <f t="shared" si="12"/>
        <v>1</v>
      </c>
      <c r="AJ38" s="1035">
        <f t="shared" si="35"/>
        <v>0</v>
      </c>
      <c r="AK38" s="1089"/>
      <c r="AL38" s="1088"/>
      <c r="AM38" s="1021">
        <f t="shared" si="13"/>
        <v>0</v>
      </c>
      <c r="AN38" s="1034">
        <f t="shared" si="14"/>
        <v>1</v>
      </c>
      <c r="AO38" s="1035">
        <f t="shared" si="36"/>
        <v>0</v>
      </c>
      <c r="AP38" s="1089"/>
      <c r="AQ38" s="1088"/>
      <c r="AR38" s="1037">
        <f t="shared" si="15"/>
        <v>0</v>
      </c>
      <c r="AS38" s="1034">
        <f t="shared" si="16"/>
        <v>1</v>
      </c>
      <c r="AT38" s="1035">
        <f t="shared" si="37"/>
        <v>0</v>
      </c>
      <c r="AU38" s="1091"/>
      <c r="AV38" s="1088"/>
      <c r="AW38" s="1021">
        <f t="shared" si="17"/>
        <v>0</v>
      </c>
      <c r="AX38" s="1034">
        <f t="shared" si="18"/>
        <v>1</v>
      </c>
      <c r="AY38" s="1035">
        <f t="shared" si="38"/>
        <v>0</v>
      </c>
      <c r="AZ38" s="1089"/>
      <c r="BA38" s="1089"/>
      <c r="BB38" s="1021">
        <f t="shared" si="19"/>
        <v>0</v>
      </c>
      <c r="BC38" s="1034">
        <f t="shared" si="20"/>
        <v>1</v>
      </c>
      <c r="BD38" s="1035">
        <f t="shared" si="39"/>
        <v>0</v>
      </c>
      <c r="BE38" s="1091"/>
      <c r="BF38" s="1088"/>
      <c r="BG38" s="1021">
        <f t="shared" si="21"/>
        <v>0</v>
      </c>
      <c r="BH38" s="1039">
        <f t="shared" si="22"/>
        <v>0</v>
      </c>
      <c r="BI38" s="1038">
        <f t="shared" si="23"/>
        <v>0</v>
      </c>
      <c r="BJ38" s="1027">
        <f t="shared" si="24"/>
        <v>0</v>
      </c>
      <c r="BK38" s="1021">
        <f t="shared" si="25"/>
        <v>0</v>
      </c>
      <c r="BL38" s="1040">
        <f t="shared" si="26"/>
        <v>0</v>
      </c>
      <c r="BM38" s="1038">
        <f t="shared" si="27"/>
        <v>0</v>
      </c>
      <c r="BN38" s="1027"/>
      <c r="BO38" s="1041"/>
      <c r="BP38" s="95">
        <f t="shared" si="43"/>
        <v>0</v>
      </c>
      <c r="BQ38" s="842">
        <f t="shared" si="44"/>
        <v>0</v>
      </c>
      <c r="BS38" s="94">
        <f t="shared" si="28"/>
        <v>0</v>
      </c>
      <c r="BU38" s="632">
        <f t="shared" si="29"/>
        <v>0</v>
      </c>
      <c r="BV38" s="398"/>
      <c r="BW38" s="405"/>
      <c r="CI38" s="96"/>
    </row>
    <row r="39" spans="1:87" ht="13.5" customHeight="1" outlineLevel="1" thickTop="1" thickBot="1">
      <c r="A39" s="57"/>
      <c r="B39" s="751">
        <f t="shared" si="40"/>
        <v>0</v>
      </c>
      <c r="C39" s="1029"/>
      <c r="D39" s="1031"/>
      <c r="E39" s="1030"/>
      <c r="F39" s="1031"/>
      <c r="G39" s="1029"/>
      <c r="H39" s="1032">
        <f t="shared" si="30"/>
        <v>1</v>
      </c>
      <c r="I39" s="1105"/>
      <c r="J39" s="1034">
        <f t="shared" si="31"/>
        <v>1</v>
      </c>
      <c r="K39" s="1035">
        <f t="shared" si="45"/>
        <v>0</v>
      </c>
      <c r="L39" s="1089"/>
      <c r="M39" s="1088"/>
      <c r="N39" s="1037">
        <f t="shared" si="41"/>
        <v>0</v>
      </c>
      <c r="O39" s="1034">
        <f t="shared" si="4"/>
        <v>1</v>
      </c>
      <c r="P39" s="1035">
        <f t="shared" si="42"/>
        <v>0</v>
      </c>
      <c r="Q39" s="1089"/>
      <c r="R39" s="1088"/>
      <c r="S39" s="1020">
        <f t="shared" si="5"/>
        <v>0</v>
      </c>
      <c r="T39" s="1034">
        <f t="shared" si="6"/>
        <v>1</v>
      </c>
      <c r="U39" s="1035">
        <f t="shared" si="32"/>
        <v>0</v>
      </c>
      <c r="V39" s="1089"/>
      <c r="W39" s="1088"/>
      <c r="X39" s="1037">
        <f t="shared" si="7"/>
        <v>0</v>
      </c>
      <c r="Y39" s="1034">
        <f t="shared" si="8"/>
        <v>1</v>
      </c>
      <c r="Z39" s="1035">
        <f t="shared" si="33"/>
        <v>0</v>
      </c>
      <c r="AA39" s="1089"/>
      <c r="AB39" s="1088"/>
      <c r="AC39" s="1021">
        <f t="shared" si="9"/>
        <v>0</v>
      </c>
      <c r="AD39" s="1034">
        <f t="shared" si="10"/>
        <v>1</v>
      </c>
      <c r="AE39" s="1035">
        <f t="shared" si="34"/>
        <v>0</v>
      </c>
      <c r="AF39" s="1089"/>
      <c r="AG39" s="1088"/>
      <c r="AH39" s="1037">
        <f t="shared" si="11"/>
        <v>0</v>
      </c>
      <c r="AI39" s="1034">
        <f t="shared" si="12"/>
        <v>1</v>
      </c>
      <c r="AJ39" s="1035">
        <f t="shared" si="35"/>
        <v>0</v>
      </c>
      <c r="AK39" s="1089"/>
      <c r="AL39" s="1088"/>
      <c r="AM39" s="1021">
        <f t="shared" si="13"/>
        <v>0</v>
      </c>
      <c r="AN39" s="1034">
        <f t="shared" si="14"/>
        <v>1</v>
      </c>
      <c r="AO39" s="1035">
        <f t="shared" si="36"/>
        <v>0</v>
      </c>
      <c r="AP39" s="1089"/>
      <c r="AQ39" s="1088"/>
      <c r="AR39" s="1037">
        <f t="shared" si="15"/>
        <v>0</v>
      </c>
      <c r="AS39" s="1034">
        <f t="shared" si="16"/>
        <v>1</v>
      </c>
      <c r="AT39" s="1035">
        <f t="shared" si="37"/>
        <v>0</v>
      </c>
      <c r="AU39" s="1089"/>
      <c r="AV39" s="1088"/>
      <c r="AW39" s="1021">
        <f t="shared" si="17"/>
        <v>0</v>
      </c>
      <c r="AX39" s="1034">
        <f t="shared" si="18"/>
        <v>1</v>
      </c>
      <c r="AY39" s="1035">
        <f t="shared" si="38"/>
        <v>0</v>
      </c>
      <c r="AZ39" s="1089"/>
      <c r="BA39" s="1089"/>
      <c r="BB39" s="1021">
        <f t="shared" si="19"/>
        <v>0</v>
      </c>
      <c r="BC39" s="1034">
        <f t="shared" si="20"/>
        <v>1</v>
      </c>
      <c r="BD39" s="1035">
        <f t="shared" si="39"/>
        <v>0</v>
      </c>
      <c r="BE39" s="1091"/>
      <c r="BF39" s="1088"/>
      <c r="BG39" s="1021">
        <f t="shared" si="21"/>
        <v>0</v>
      </c>
      <c r="BH39" s="1039">
        <f t="shared" si="22"/>
        <v>0</v>
      </c>
      <c r="BI39" s="1038">
        <f t="shared" si="23"/>
        <v>0</v>
      </c>
      <c r="BJ39" s="1027">
        <f t="shared" si="24"/>
        <v>0</v>
      </c>
      <c r="BK39" s="1021">
        <f t="shared" si="25"/>
        <v>0</v>
      </c>
      <c r="BL39" s="1040">
        <f t="shared" si="26"/>
        <v>0</v>
      </c>
      <c r="BM39" s="1038">
        <f t="shared" si="27"/>
        <v>0</v>
      </c>
      <c r="BN39" s="1027"/>
      <c r="BO39" s="1041"/>
      <c r="BP39" s="95">
        <f t="shared" si="43"/>
        <v>0</v>
      </c>
      <c r="BQ39" s="842">
        <f t="shared" si="44"/>
        <v>0</v>
      </c>
      <c r="BS39" s="94">
        <f t="shared" si="28"/>
        <v>0</v>
      </c>
      <c r="BU39" s="632">
        <f t="shared" si="29"/>
        <v>0</v>
      </c>
      <c r="BV39" s="398"/>
      <c r="BW39" s="405"/>
      <c r="CI39" s="96"/>
    </row>
    <row r="40" spans="1:87" ht="14.25" outlineLevel="1" thickTop="1" thickBot="1">
      <c r="A40" s="57"/>
      <c r="B40" s="751">
        <f t="shared" si="40"/>
        <v>0</v>
      </c>
      <c r="C40" s="1029"/>
      <c r="D40" s="1031"/>
      <c r="E40" s="1030"/>
      <c r="F40" s="1031"/>
      <c r="G40" s="1029"/>
      <c r="H40" s="1032">
        <f t="shared" si="30"/>
        <v>1</v>
      </c>
      <c r="I40" s="1105"/>
      <c r="J40" s="1034">
        <f t="shared" si="31"/>
        <v>1</v>
      </c>
      <c r="K40" s="1035">
        <f t="shared" si="45"/>
        <v>0</v>
      </c>
      <c r="L40" s="1089"/>
      <c r="M40" s="1088"/>
      <c r="N40" s="1037">
        <f t="shared" si="41"/>
        <v>0</v>
      </c>
      <c r="O40" s="1034">
        <f t="shared" si="4"/>
        <v>1</v>
      </c>
      <c r="P40" s="1035">
        <f t="shared" si="42"/>
        <v>0</v>
      </c>
      <c r="Q40" s="1089"/>
      <c r="R40" s="1088"/>
      <c r="S40" s="1020">
        <f t="shared" si="5"/>
        <v>0</v>
      </c>
      <c r="T40" s="1034">
        <f t="shared" si="6"/>
        <v>1</v>
      </c>
      <c r="U40" s="1035">
        <f t="shared" si="32"/>
        <v>0</v>
      </c>
      <c r="V40" s="1089"/>
      <c r="W40" s="1088"/>
      <c r="X40" s="1037">
        <f t="shared" si="7"/>
        <v>0</v>
      </c>
      <c r="Y40" s="1034">
        <f t="shared" si="8"/>
        <v>1</v>
      </c>
      <c r="Z40" s="1035">
        <f t="shared" si="33"/>
        <v>0</v>
      </c>
      <c r="AA40" s="1089"/>
      <c r="AB40" s="1088"/>
      <c r="AC40" s="1021">
        <f t="shared" si="9"/>
        <v>0</v>
      </c>
      <c r="AD40" s="1034">
        <f t="shared" si="10"/>
        <v>1</v>
      </c>
      <c r="AE40" s="1035">
        <f t="shared" si="34"/>
        <v>0</v>
      </c>
      <c r="AF40" s="1089"/>
      <c r="AG40" s="1088"/>
      <c r="AH40" s="1037">
        <f t="shared" si="11"/>
        <v>0</v>
      </c>
      <c r="AI40" s="1034">
        <f t="shared" si="12"/>
        <v>1</v>
      </c>
      <c r="AJ40" s="1035">
        <f t="shared" si="35"/>
        <v>0</v>
      </c>
      <c r="AK40" s="1089"/>
      <c r="AL40" s="1088"/>
      <c r="AM40" s="1021">
        <f t="shared" si="13"/>
        <v>0</v>
      </c>
      <c r="AN40" s="1034">
        <f t="shared" si="14"/>
        <v>1</v>
      </c>
      <c r="AO40" s="1035">
        <f t="shared" si="36"/>
        <v>0</v>
      </c>
      <c r="AP40" s="1089"/>
      <c r="AQ40" s="1088"/>
      <c r="AR40" s="1037">
        <f t="shared" si="15"/>
        <v>0</v>
      </c>
      <c r="AS40" s="1034">
        <f t="shared" si="16"/>
        <v>1</v>
      </c>
      <c r="AT40" s="1035">
        <f t="shared" si="37"/>
        <v>0</v>
      </c>
      <c r="AU40" s="1091"/>
      <c r="AV40" s="1088"/>
      <c r="AW40" s="1021">
        <f t="shared" si="17"/>
        <v>0</v>
      </c>
      <c r="AX40" s="1034">
        <f t="shared" si="18"/>
        <v>1</v>
      </c>
      <c r="AY40" s="1035">
        <f t="shared" si="38"/>
        <v>0</v>
      </c>
      <c r="AZ40" s="1089"/>
      <c r="BA40" s="1089"/>
      <c r="BB40" s="1021">
        <f t="shared" si="19"/>
        <v>0</v>
      </c>
      <c r="BC40" s="1034">
        <f t="shared" si="20"/>
        <v>1</v>
      </c>
      <c r="BD40" s="1035">
        <f t="shared" si="39"/>
        <v>0</v>
      </c>
      <c r="BE40" s="1091"/>
      <c r="BF40" s="1088"/>
      <c r="BG40" s="1021">
        <f t="shared" si="21"/>
        <v>0</v>
      </c>
      <c r="BH40" s="1039">
        <f t="shared" si="22"/>
        <v>0</v>
      </c>
      <c r="BI40" s="1038">
        <f t="shared" si="23"/>
        <v>0</v>
      </c>
      <c r="BJ40" s="1027">
        <f t="shared" si="24"/>
        <v>0</v>
      </c>
      <c r="BK40" s="1021">
        <f t="shared" si="25"/>
        <v>0</v>
      </c>
      <c r="BL40" s="1040">
        <f t="shared" si="26"/>
        <v>0</v>
      </c>
      <c r="BM40" s="1038">
        <f t="shared" si="27"/>
        <v>0</v>
      </c>
      <c r="BN40" s="1027"/>
      <c r="BO40" s="1041"/>
      <c r="BP40" s="95">
        <f t="shared" si="43"/>
        <v>0</v>
      </c>
      <c r="BQ40" s="842">
        <f t="shared" si="44"/>
        <v>0</v>
      </c>
      <c r="BS40" s="94">
        <f t="shared" si="28"/>
        <v>0</v>
      </c>
      <c r="BU40" s="632">
        <f t="shared" si="29"/>
        <v>0</v>
      </c>
      <c r="BV40" s="398"/>
      <c r="BW40" s="405"/>
      <c r="CI40" s="96"/>
    </row>
    <row r="41" spans="1:87" ht="14.25" outlineLevel="1" thickTop="1" thickBot="1">
      <c r="A41" s="57"/>
      <c r="B41" s="751">
        <f t="shared" si="40"/>
        <v>0</v>
      </c>
      <c r="C41" s="1029"/>
      <c r="D41" s="1031"/>
      <c r="E41" s="1030"/>
      <c r="F41" s="1031"/>
      <c r="G41" s="1029"/>
      <c r="H41" s="1032">
        <f t="shared" si="30"/>
        <v>1</v>
      </c>
      <c r="I41" s="1105"/>
      <c r="J41" s="1034">
        <f t="shared" si="31"/>
        <v>1</v>
      </c>
      <c r="K41" s="1035">
        <f t="shared" si="45"/>
        <v>0</v>
      </c>
      <c r="L41" s="1089"/>
      <c r="M41" s="1088"/>
      <c r="N41" s="1037">
        <f t="shared" si="41"/>
        <v>0</v>
      </c>
      <c r="O41" s="1034">
        <f t="shared" si="4"/>
        <v>1</v>
      </c>
      <c r="P41" s="1035">
        <f t="shared" si="42"/>
        <v>0</v>
      </c>
      <c r="Q41" s="1089"/>
      <c r="R41" s="1088"/>
      <c r="S41" s="1020">
        <f t="shared" si="5"/>
        <v>0</v>
      </c>
      <c r="T41" s="1034">
        <f t="shared" si="6"/>
        <v>1</v>
      </c>
      <c r="U41" s="1035">
        <f t="shared" si="32"/>
        <v>0</v>
      </c>
      <c r="V41" s="1089"/>
      <c r="W41" s="1088"/>
      <c r="X41" s="1037">
        <f t="shared" si="7"/>
        <v>0</v>
      </c>
      <c r="Y41" s="1034">
        <f t="shared" si="8"/>
        <v>1</v>
      </c>
      <c r="Z41" s="1035">
        <f t="shared" si="33"/>
        <v>0</v>
      </c>
      <c r="AA41" s="1089"/>
      <c r="AB41" s="1088"/>
      <c r="AC41" s="1021">
        <f t="shared" si="9"/>
        <v>0</v>
      </c>
      <c r="AD41" s="1034">
        <f t="shared" si="10"/>
        <v>1</v>
      </c>
      <c r="AE41" s="1035">
        <f t="shared" si="34"/>
        <v>0</v>
      </c>
      <c r="AF41" s="1089"/>
      <c r="AG41" s="1088"/>
      <c r="AH41" s="1037">
        <f t="shared" si="11"/>
        <v>0</v>
      </c>
      <c r="AI41" s="1034">
        <f t="shared" si="12"/>
        <v>1</v>
      </c>
      <c r="AJ41" s="1035">
        <f t="shared" si="35"/>
        <v>0</v>
      </c>
      <c r="AK41" s="1089"/>
      <c r="AL41" s="1088"/>
      <c r="AM41" s="1021">
        <f t="shared" si="13"/>
        <v>0</v>
      </c>
      <c r="AN41" s="1034">
        <f t="shared" si="14"/>
        <v>1</v>
      </c>
      <c r="AO41" s="1035">
        <f t="shared" si="36"/>
        <v>0</v>
      </c>
      <c r="AP41" s="1089"/>
      <c r="AQ41" s="1088"/>
      <c r="AR41" s="1037">
        <f t="shared" si="15"/>
        <v>0</v>
      </c>
      <c r="AS41" s="1034">
        <f t="shared" si="16"/>
        <v>1</v>
      </c>
      <c r="AT41" s="1035">
        <f t="shared" si="37"/>
        <v>0</v>
      </c>
      <c r="AU41" s="1089"/>
      <c r="AV41" s="1088"/>
      <c r="AW41" s="1021">
        <f t="shared" si="17"/>
        <v>0</v>
      </c>
      <c r="AX41" s="1034">
        <f t="shared" si="18"/>
        <v>1</v>
      </c>
      <c r="AY41" s="1035">
        <f t="shared" si="38"/>
        <v>0</v>
      </c>
      <c r="AZ41" s="1089"/>
      <c r="BA41" s="1089"/>
      <c r="BB41" s="1021">
        <f t="shared" si="19"/>
        <v>0</v>
      </c>
      <c r="BC41" s="1034">
        <f t="shared" si="20"/>
        <v>1</v>
      </c>
      <c r="BD41" s="1035">
        <f t="shared" si="39"/>
        <v>0</v>
      </c>
      <c r="BE41" s="1091"/>
      <c r="BF41" s="1088"/>
      <c r="BG41" s="1021">
        <f t="shared" si="21"/>
        <v>0</v>
      </c>
      <c r="BH41" s="1039">
        <f t="shared" si="22"/>
        <v>0</v>
      </c>
      <c r="BI41" s="1038">
        <f t="shared" si="23"/>
        <v>0</v>
      </c>
      <c r="BJ41" s="1027">
        <f t="shared" si="24"/>
        <v>0</v>
      </c>
      <c r="BK41" s="1021">
        <f t="shared" si="25"/>
        <v>0</v>
      </c>
      <c r="BL41" s="1040">
        <f t="shared" si="26"/>
        <v>0</v>
      </c>
      <c r="BM41" s="1038">
        <f t="shared" si="27"/>
        <v>0</v>
      </c>
      <c r="BN41" s="1027"/>
      <c r="BO41" s="1041"/>
      <c r="BP41" s="95">
        <f t="shared" si="43"/>
        <v>0</v>
      </c>
      <c r="BQ41" s="842">
        <f t="shared" si="44"/>
        <v>0</v>
      </c>
      <c r="BS41" s="94">
        <f t="shared" si="28"/>
        <v>0</v>
      </c>
      <c r="BU41" s="632">
        <f t="shared" si="29"/>
        <v>0</v>
      </c>
      <c r="BV41" s="398"/>
      <c r="BW41" s="405"/>
      <c r="CI41" s="96"/>
    </row>
    <row r="42" spans="1:87" ht="14.25" outlineLevel="1" thickTop="1" thickBot="1">
      <c r="A42" s="57"/>
      <c r="B42" s="751">
        <f t="shared" si="40"/>
        <v>0</v>
      </c>
      <c r="C42" s="1029"/>
      <c r="D42" s="1031"/>
      <c r="E42" s="1030"/>
      <c r="F42" s="1031"/>
      <c r="G42" s="1029"/>
      <c r="H42" s="1032">
        <f t="shared" si="30"/>
        <v>1</v>
      </c>
      <c r="I42" s="1105"/>
      <c r="J42" s="1034">
        <f t="shared" si="31"/>
        <v>1</v>
      </c>
      <c r="K42" s="1035">
        <f t="shared" si="45"/>
        <v>0</v>
      </c>
      <c r="L42" s="1089"/>
      <c r="M42" s="1088"/>
      <c r="N42" s="1037">
        <f t="shared" si="41"/>
        <v>0</v>
      </c>
      <c r="O42" s="1034">
        <f t="shared" si="4"/>
        <v>1</v>
      </c>
      <c r="P42" s="1035">
        <f t="shared" si="42"/>
        <v>0</v>
      </c>
      <c r="Q42" s="1089"/>
      <c r="R42" s="1088"/>
      <c r="S42" s="1020">
        <f t="shared" si="5"/>
        <v>0</v>
      </c>
      <c r="T42" s="1034">
        <f t="shared" si="6"/>
        <v>1</v>
      </c>
      <c r="U42" s="1035">
        <f t="shared" si="32"/>
        <v>0</v>
      </c>
      <c r="V42" s="1089"/>
      <c r="W42" s="1088"/>
      <c r="X42" s="1037">
        <f t="shared" si="7"/>
        <v>0</v>
      </c>
      <c r="Y42" s="1034">
        <f t="shared" si="8"/>
        <v>1</v>
      </c>
      <c r="Z42" s="1035">
        <f t="shared" si="33"/>
        <v>0</v>
      </c>
      <c r="AA42" s="1089"/>
      <c r="AB42" s="1088"/>
      <c r="AC42" s="1021">
        <f t="shared" si="9"/>
        <v>0</v>
      </c>
      <c r="AD42" s="1034">
        <f t="shared" si="10"/>
        <v>1</v>
      </c>
      <c r="AE42" s="1035">
        <f t="shared" si="34"/>
        <v>0</v>
      </c>
      <c r="AF42" s="1089"/>
      <c r="AG42" s="1088"/>
      <c r="AH42" s="1037">
        <f t="shared" si="11"/>
        <v>0</v>
      </c>
      <c r="AI42" s="1034">
        <f t="shared" si="12"/>
        <v>1</v>
      </c>
      <c r="AJ42" s="1035">
        <f t="shared" si="35"/>
        <v>0</v>
      </c>
      <c r="AK42" s="1089"/>
      <c r="AL42" s="1088"/>
      <c r="AM42" s="1021">
        <f t="shared" si="13"/>
        <v>0</v>
      </c>
      <c r="AN42" s="1034">
        <f t="shared" si="14"/>
        <v>1</v>
      </c>
      <c r="AO42" s="1035">
        <f t="shared" si="36"/>
        <v>0</v>
      </c>
      <c r="AP42" s="1089"/>
      <c r="AQ42" s="1088"/>
      <c r="AR42" s="1037">
        <f t="shared" si="15"/>
        <v>0</v>
      </c>
      <c r="AS42" s="1034">
        <f t="shared" si="16"/>
        <v>1</v>
      </c>
      <c r="AT42" s="1035">
        <f t="shared" si="37"/>
        <v>0</v>
      </c>
      <c r="AU42" s="1091"/>
      <c r="AV42" s="1088"/>
      <c r="AW42" s="1021">
        <f t="shared" si="17"/>
        <v>0</v>
      </c>
      <c r="AX42" s="1034">
        <f t="shared" si="18"/>
        <v>1</v>
      </c>
      <c r="AY42" s="1035">
        <f t="shared" si="38"/>
        <v>0</v>
      </c>
      <c r="AZ42" s="1089"/>
      <c r="BA42" s="1089"/>
      <c r="BB42" s="1021">
        <f t="shared" si="19"/>
        <v>0</v>
      </c>
      <c r="BC42" s="1034">
        <f t="shared" si="20"/>
        <v>1</v>
      </c>
      <c r="BD42" s="1035">
        <f t="shared" si="39"/>
        <v>0</v>
      </c>
      <c r="BE42" s="1091"/>
      <c r="BF42" s="1088"/>
      <c r="BG42" s="1021">
        <f t="shared" si="21"/>
        <v>0</v>
      </c>
      <c r="BH42" s="1039">
        <f t="shared" si="22"/>
        <v>0</v>
      </c>
      <c r="BI42" s="1038">
        <f t="shared" si="23"/>
        <v>0</v>
      </c>
      <c r="BJ42" s="1027">
        <f t="shared" si="24"/>
        <v>0</v>
      </c>
      <c r="BK42" s="1021">
        <f t="shared" si="25"/>
        <v>0</v>
      </c>
      <c r="BL42" s="1040">
        <f t="shared" si="26"/>
        <v>0</v>
      </c>
      <c r="BM42" s="1038">
        <f t="shared" si="27"/>
        <v>0</v>
      </c>
      <c r="BN42" s="1027"/>
      <c r="BO42" s="1041"/>
      <c r="BP42" s="95">
        <f t="shared" si="43"/>
        <v>0</v>
      </c>
      <c r="BQ42" s="842">
        <f t="shared" si="44"/>
        <v>0</v>
      </c>
      <c r="BS42" s="94">
        <f t="shared" si="28"/>
        <v>0</v>
      </c>
      <c r="BU42" s="632">
        <f t="shared" si="29"/>
        <v>0</v>
      </c>
      <c r="BV42" s="398"/>
      <c r="BW42" s="405"/>
      <c r="CI42" s="96"/>
    </row>
    <row r="43" spans="1:87" ht="14.25" outlineLevel="1" thickTop="1" thickBot="1">
      <c r="A43" s="57"/>
      <c r="B43" s="751">
        <f t="shared" si="40"/>
        <v>0</v>
      </c>
      <c r="C43" s="1029"/>
      <c r="D43" s="1031"/>
      <c r="E43" s="1030"/>
      <c r="F43" s="1031"/>
      <c r="G43" s="1029"/>
      <c r="H43" s="1032">
        <f t="shared" si="30"/>
        <v>1</v>
      </c>
      <c r="I43" s="1105"/>
      <c r="J43" s="1034">
        <f t="shared" si="31"/>
        <v>1</v>
      </c>
      <c r="K43" s="1035">
        <f t="shared" si="45"/>
        <v>0</v>
      </c>
      <c r="L43" s="1089"/>
      <c r="M43" s="1088"/>
      <c r="N43" s="1037">
        <f t="shared" si="41"/>
        <v>0</v>
      </c>
      <c r="O43" s="1034">
        <f t="shared" si="4"/>
        <v>1</v>
      </c>
      <c r="P43" s="1035">
        <f t="shared" si="42"/>
        <v>0</v>
      </c>
      <c r="Q43" s="1089"/>
      <c r="R43" s="1088"/>
      <c r="S43" s="1020">
        <f t="shared" si="5"/>
        <v>0</v>
      </c>
      <c r="T43" s="1034">
        <f t="shared" si="6"/>
        <v>1</v>
      </c>
      <c r="U43" s="1035">
        <f t="shared" si="32"/>
        <v>0</v>
      </c>
      <c r="V43" s="1089"/>
      <c r="W43" s="1088"/>
      <c r="X43" s="1037">
        <f t="shared" si="7"/>
        <v>0</v>
      </c>
      <c r="Y43" s="1034">
        <f t="shared" si="8"/>
        <v>1</v>
      </c>
      <c r="Z43" s="1035">
        <f t="shared" si="33"/>
        <v>0</v>
      </c>
      <c r="AA43" s="1089"/>
      <c r="AB43" s="1088"/>
      <c r="AC43" s="1021">
        <f t="shared" si="9"/>
        <v>0</v>
      </c>
      <c r="AD43" s="1034">
        <f t="shared" si="10"/>
        <v>1</v>
      </c>
      <c r="AE43" s="1035">
        <f t="shared" si="34"/>
        <v>0</v>
      </c>
      <c r="AF43" s="1089"/>
      <c r="AG43" s="1088"/>
      <c r="AH43" s="1037">
        <f t="shared" si="11"/>
        <v>0</v>
      </c>
      <c r="AI43" s="1034">
        <f t="shared" si="12"/>
        <v>1</v>
      </c>
      <c r="AJ43" s="1035">
        <f t="shared" si="35"/>
        <v>0</v>
      </c>
      <c r="AK43" s="1089"/>
      <c r="AL43" s="1088"/>
      <c r="AM43" s="1021">
        <f t="shared" si="13"/>
        <v>0</v>
      </c>
      <c r="AN43" s="1034">
        <f t="shared" si="14"/>
        <v>1</v>
      </c>
      <c r="AO43" s="1035">
        <f t="shared" si="36"/>
        <v>0</v>
      </c>
      <c r="AP43" s="1089"/>
      <c r="AQ43" s="1088"/>
      <c r="AR43" s="1037">
        <f t="shared" si="15"/>
        <v>0</v>
      </c>
      <c r="AS43" s="1034">
        <f t="shared" si="16"/>
        <v>1</v>
      </c>
      <c r="AT43" s="1035">
        <f t="shared" si="37"/>
        <v>0</v>
      </c>
      <c r="AU43" s="1089"/>
      <c r="AV43" s="1088"/>
      <c r="AW43" s="1021">
        <f t="shared" si="17"/>
        <v>0</v>
      </c>
      <c r="AX43" s="1034">
        <f t="shared" si="18"/>
        <v>1</v>
      </c>
      <c r="AY43" s="1035">
        <f t="shared" si="38"/>
        <v>0</v>
      </c>
      <c r="AZ43" s="1089"/>
      <c r="BA43" s="1089"/>
      <c r="BB43" s="1021">
        <f t="shared" si="19"/>
        <v>0</v>
      </c>
      <c r="BC43" s="1034">
        <f t="shared" si="20"/>
        <v>1</v>
      </c>
      <c r="BD43" s="1035">
        <f t="shared" si="39"/>
        <v>0</v>
      </c>
      <c r="BE43" s="1091"/>
      <c r="BF43" s="1088"/>
      <c r="BG43" s="1021">
        <f t="shared" si="21"/>
        <v>0</v>
      </c>
      <c r="BH43" s="1039">
        <f t="shared" si="22"/>
        <v>0</v>
      </c>
      <c r="BI43" s="1038">
        <f t="shared" si="23"/>
        <v>0</v>
      </c>
      <c r="BJ43" s="1027">
        <f t="shared" si="24"/>
        <v>0</v>
      </c>
      <c r="BK43" s="1021">
        <f t="shared" si="25"/>
        <v>0</v>
      </c>
      <c r="BL43" s="1040">
        <f t="shared" si="26"/>
        <v>0</v>
      </c>
      <c r="BM43" s="1038">
        <f t="shared" si="27"/>
        <v>0</v>
      </c>
      <c r="BN43" s="1027"/>
      <c r="BO43" s="1041"/>
      <c r="BP43" s="95">
        <f t="shared" si="43"/>
        <v>0</v>
      </c>
      <c r="BQ43" s="842">
        <f t="shared" si="44"/>
        <v>0</v>
      </c>
      <c r="BS43" s="94">
        <f t="shared" si="28"/>
        <v>0</v>
      </c>
      <c r="BU43" s="632">
        <f t="shared" si="29"/>
        <v>0</v>
      </c>
      <c r="BV43" s="398"/>
      <c r="BW43" s="405"/>
      <c r="CI43" s="96"/>
    </row>
    <row r="44" spans="1:87" ht="14.25" outlineLevel="1" thickTop="1" thickBot="1">
      <c r="A44" s="57"/>
      <c r="B44" s="751">
        <f t="shared" si="40"/>
        <v>0</v>
      </c>
      <c r="C44" s="1029"/>
      <c r="D44" s="1031"/>
      <c r="E44" s="1030"/>
      <c r="F44" s="1031"/>
      <c r="G44" s="1029"/>
      <c r="H44" s="1032">
        <f t="shared" si="30"/>
        <v>1</v>
      </c>
      <c r="I44" s="1105"/>
      <c r="J44" s="1034">
        <f t="shared" si="31"/>
        <v>1</v>
      </c>
      <c r="K44" s="1035">
        <f t="shared" si="45"/>
        <v>0</v>
      </c>
      <c r="L44" s="1089"/>
      <c r="M44" s="1088"/>
      <c r="N44" s="1037">
        <f t="shared" si="41"/>
        <v>0</v>
      </c>
      <c r="O44" s="1034">
        <f t="shared" si="4"/>
        <v>1</v>
      </c>
      <c r="P44" s="1035">
        <f t="shared" si="42"/>
        <v>0</v>
      </c>
      <c r="Q44" s="1089"/>
      <c r="R44" s="1088"/>
      <c r="S44" s="1020">
        <f t="shared" si="5"/>
        <v>0</v>
      </c>
      <c r="T44" s="1034">
        <f t="shared" si="6"/>
        <v>1</v>
      </c>
      <c r="U44" s="1035">
        <f t="shared" si="32"/>
        <v>0</v>
      </c>
      <c r="V44" s="1089"/>
      <c r="W44" s="1088"/>
      <c r="X44" s="1037">
        <f t="shared" si="7"/>
        <v>0</v>
      </c>
      <c r="Y44" s="1034">
        <f t="shared" si="8"/>
        <v>1</v>
      </c>
      <c r="Z44" s="1035">
        <f t="shared" si="33"/>
        <v>0</v>
      </c>
      <c r="AA44" s="1089"/>
      <c r="AB44" s="1088"/>
      <c r="AC44" s="1021">
        <f t="shared" si="9"/>
        <v>0</v>
      </c>
      <c r="AD44" s="1034">
        <f t="shared" si="10"/>
        <v>1</v>
      </c>
      <c r="AE44" s="1035">
        <f t="shared" si="34"/>
        <v>0</v>
      </c>
      <c r="AF44" s="1089"/>
      <c r="AG44" s="1088"/>
      <c r="AH44" s="1037">
        <f t="shared" si="11"/>
        <v>0</v>
      </c>
      <c r="AI44" s="1034">
        <f t="shared" si="12"/>
        <v>1</v>
      </c>
      <c r="AJ44" s="1035">
        <f t="shared" si="35"/>
        <v>0</v>
      </c>
      <c r="AK44" s="1089"/>
      <c r="AL44" s="1088"/>
      <c r="AM44" s="1021">
        <f t="shared" si="13"/>
        <v>0</v>
      </c>
      <c r="AN44" s="1034">
        <f t="shared" si="14"/>
        <v>1</v>
      </c>
      <c r="AO44" s="1035">
        <f t="shared" si="36"/>
        <v>0</v>
      </c>
      <c r="AP44" s="1089"/>
      <c r="AQ44" s="1088"/>
      <c r="AR44" s="1037">
        <f t="shared" si="15"/>
        <v>0</v>
      </c>
      <c r="AS44" s="1034">
        <f t="shared" si="16"/>
        <v>1</v>
      </c>
      <c r="AT44" s="1035">
        <f t="shared" si="37"/>
        <v>0</v>
      </c>
      <c r="AU44" s="1091"/>
      <c r="AV44" s="1088"/>
      <c r="AW44" s="1021">
        <f t="shared" si="17"/>
        <v>0</v>
      </c>
      <c r="AX44" s="1034">
        <f t="shared" si="18"/>
        <v>1</v>
      </c>
      <c r="AY44" s="1035">
        <f t="shared" si="38"/>
        <v>0</v>
      </c>
      <c r="AZ44" s="1089"/>
      <c r="BA44" s="1089"/>
      <c r="BB44" s="1021">
        <f t="shared" si="19"/>
        <v>0</v>
      </c>
      <c r="BC44" s="1034">
        <f t="shared" si="20"/>
        <v>1</v>
      </c>
      <c r="BD44" s="1035">
        <f t="shared" si="39"/>
        <v>0</v>
      </c>
      <c r="BE44" s="1091"/>
      <c r="BF44" s="1088"/>
      <c r="BG44" s="1021">
        <f t="shared" si="21"/>
        <v>0</v>
      </c>
      <c r="BH44" s="1039">
        <f t="shared" si="22"/>
        <v>0</v>
      </c>
      <c r="BI44" s="1038">
        <f t="shared" si="23"/>
        <v>0</v>
      </c>
      <c r="BJ44" s="1027">
        <f t="shared" si="24"/>
        <v>0</v>
      </c>
      <c r="BK44" s="1021">
        <f t="shared" si="25"/>
        <v>0</v>
      </c>
      <c r="BL44" s="1040">
        <f t="shared" si="26"/>
        <v>0</v>
      </c>
      <c r="BM44" s="1038">
        <f t="shared" si="27"/>
        <v>0</v>
      </c>
      <c r="BN44" s="1027"/>
      <c r="BO44" s="1041"/>
      <c r="BP44" s="95">
        <f t="shared" si="43"/>
        <v>0</v>
      </c>
      <c r="BQ44" s="842">
        <f t="shared" si="44"/>
        <v>0</v>
      </c>
      <c r="BS44" s="94">
        <f t="shared" si="28"/>
        <v>0</v>
      </c>
      <c r="BU44" s="632">
        <f t="shared" si="29"/>
        <v>0</v>
      </c>
      <c r="BV44" s="398"/>
      <c r="BW44" s="405"/>
      <c r="CI44" s="96"/>
    </row>
    <row r="45" spans="1:87" ht="14.25" outlineLevel="1" thickTop="1" thickBot="1">
      <c r="A45" s="57"/>
      <c r="B45" s="751">
        <f t="shared" si="40"/>
        <v>0</v>
      </c>
      <c r="C45" s="1029"/>
      <c r="D45" s="1031"/>
      <c r="E45" s="1030"/>
      <c r="F45" s="1031"/>
      <c r="G45" s="1029"/>
      <c r="H45" s="1032">
        <f t="shared" si="30"/>
        <v>1</v>
      </c>
      <c r="I45" s="1105"/>
      <c r="J45" s="1034">
        <f t="shared" si="31"/>
        <v>1</v>
      </c>
      <c r="K45" s="1035">
        <f t="shared" si="45"/>
        <v>0</v>
      </c>
      <c r="L45" s="1089"/>
      <c r="M45" s="1088"/>
      <c r="N45" s="1037">
        <f t="shared" si="41"/>
        <v>0</v>
      </c>
      <c r="O45" s="1034">
        <f t="shared" si="4"/>
        <v>1</v>
      </c>
      <c r="P45" s="1035">
        <f t="shared" si="42"/>
        <v>0</v>
      </c>
      <c r="Q45" s="1089"/>
      <c r="R45" s="1088"/>
      <c r="S45" s="1020">
        <f t="shared" si="5"/>
        <v>0</v>
      </c>
      <c r="T45" s="1034">
        <f t="shared" si="6"/>
        <v>1</v>
      </c>
      <c r="U45" s="1035">
        <f t="shared" si="32"/>
        <v>0</v>
      </c>
      <c r="V45" s="1089"/>
      <c r="W45" s="1088"/>
      <c r="X45" s="1037">
        <f t="shared" si="7"/>
        <v>0</v>
      </c>
      <c r="Y45" s="1034">
        <f t="shared" si="8"/>
        <v>1</v>
      </c>
      <c r="Z45" s="1035">
        <f t="shared" si="33"/>
        <v>0</v>
      </c>
      <c r="AA45" s="1089"/>
      <c r="AB45" s="1088"/>
      <c r="AC45" s="1021">
        <f t="shared" si="9"/>
        <v>0</v>
      </c>
      <c r="AD45" s="1034">
        <f t="shared" si="10"/>
        <v>1</v>
      </c>
      <c r="AE45" s="1035">
        <f t="shared" si="34"/>
        <v>0</v>
      </c>
      <c r="AF45" s="1089"/>
      <c r="AG45" s="1088"/>
      <c r="AH45" s="1037">
        <f t="shared" si="11"/>
        <v>0</v>
      </c>
      <c r="AI45" s="1034">
        <f t="shared" si="12"/>
        <v>1</v>
      </c>
      <c r="AJ45" s="1035">
        <f t="shared" si="35"/>
        <v>0</v>
      </c>
      <c r="AK45" s="1089"/>
      <c r="AL45" s="1088"/>
      <c r="AM45" s="1021">
        <f t="shared" si="13"/>
        <v>0</v>
      </c>
      <c r="AN45" s="1034">
        <f t="shared" si="14"/>
        <v>1</v>
      </c>
      <c r="AO45" s="1035">
        <f t="shared" si="36"/>
        <v>0</v>
      </c>
      <c r="AP45" s="1089"/>
      <c r="AQ45" s="1088"/>
      <c r="AR45" s="1037">
        <f t="shared" si="15"/>
        <v>0</v>
      </c>
      <c r="AS45" s="1034">
        <f t="shared" si="16"/>
        <v>1</v>
      </c>
      <c r="AT45" s="1035">
        <f t="shared" si="37"/>
        <v>0</v>
      </c>
      <c r="AU45" s="1089"/>
      <c r="AV45" s="1088"/>
      <c r="AW45" s="1021">
        <f t="shared" si="17"/>
        <v>0</v>
      </c>
      <c r="AX45" s="1034">
        <f t="shared" si="18"/>
        <v>1</v>
      </c>
      <c r="AY45" s="1035">
        <f t="shared" si="38"/>
        <v>0</v>
      </c>
      <c r="AZ45" s="1089"/>
      <c r="BA45" s="1089"/>
      <c r="BB45" s="1021">
        <f t="shared" si="19"/>
        <v>0</v>
      </c>
      <c r="BC45" s="1034">
        <f t="shared" si="20"/>
        <v>1</v>
      </c>
      <c r="BD45" s="1035">
        <f t="shared" si="39"/>
        <v>0</v>
      </c>
      <c r="BE45" s="1091"/>
      <c r="BF45" s="1088"/>
      <c r="BG45" s="1021">
        <f t="shared" si="21"/>
        <v>0</v>
      </c>
      <c r="BH45" s="1039">
        <f t="shared" si="22"/>
        <v>0</v>
      </c>
      <c r="BI45" s="1038">
        <f t="shared" si="23"/>
        <v>0</v>
      </c>
      <c r="BJ45" s="1027">
        <f t="shared" si="24"/>
        <v>0</v>
      </c>
      <c r="BK45" s="1021">
        <f t="shared" si="25"/>
        <v>0</v>
      </c>
      <c r="BL45" s="1040">
        <f t="shared" si="26"/>
        <v>0</v>
      </c>
      <c r="BM45" s="1038">
        <f t="shared" si="27"/>
        <v>0</v>
      </c>
      <c r="BN45" s="1027"/>
      <c r="BO45" s="1041"/>
      <c r="BP45" s="95">
        <f t="shared" si="43"/>
        <v>0</v>
      </c>
      <c r="BQ45" s="842">
        <f t="shared" si="44"/>
        <v>0</v>
      </c>
      <c r="BS45" s="94">
        <f t="shared" si="28"/>
        <v>0</v>
      </c>
      <c r="BU45" s="632">
        <f t="shared" si="29"/>
        <v>0</v>
      </c>
      <c r="BV45" s="398"/>
      <c r="BW45" s="405"/>
      <c r="CI45" s="96"/>
    </row>
    <row r="46" spans="1:87" s="458" customFormat="1" ht="14.25" outlineLevel="1" thickTop="1" thickBot="1">
      <c r="A46" s="453"/>
      <c r="B46" s="751">
        <f t="shared" si="40"/>
        <v>0</v>
      </c>
      <c r="C46" s="1029"/>
      <c r="D46" s="1031"/>
      <c r="E46" s="1030"/>
      <c r="F46" s="1031"/>
      <c r="G46" s="1029"/>
      <c r="H46" s="1032">
        <f t="shared" si="30"/>
        <v>1</v>
      </c>
      <c r="I46" s="1105"/>
      <c r="J46" s="1034">
        <f t="shared" si="31"/>
        <v>1</v>
      </c>
      <c r="K46" s="1035">
        <f t="shared" si="45"/>
        <v>0</v>
      </c>
      <c r="L46" s="1089"/>
      <c r="M46" s="1088"/>
      <c r="N46" s="1037">
        <f t="shared" si="41"/>
        <v>0</v>
      </c>
      <c r="O46" s="1034">
        <f t="shared" si="4"/>
        <v>1</v>
      </c>
      <c r="P46" s="1035">
        <f t="shared" si="42"/>
        <v>0</v>
      </c>
      <c r="Q46" s="1089"/>
      <c r="R46" s="1088"/>
      <c r="S46" s="1020">
        <f t="shared" si="5"/>
        <v>0</v>
      </c>
      <c r="T46" s="1034">
        <f t="shared" si="6"/>
        <v>1</v>
      </c>
      <c r="U46" s="1035">
        <f t="shared" si="32"/>
        <v>0</v>
      </c>
      <c r="V46" s="1089"/>
      <c r="W46" s="1088"/>
      <c r="X46" s="1037">
        <f t="shared" si="7"/>
        <v>0</v>
      </c>
      <c r="Y46" s="1034">
        <f t="shared" si="8"/>
        <v>1</v>
      </c>
      <c r="Z46" s="1035">
        <f t="shared" si="33"/>
        <v>0</v>
      </c>
      <c r="AA46" s="1089"/>
      <c r="AB46" s="1088"/>
      <c r="AC46" s="1021">
        <f t="shared" si="9"/>
        <v>0</v>
      </c>
      <c r="AD46" s="1034">
        <f t="shared" si="10"/>
        <v>1</v>
      </c>
      <c r="AE46" s="1035">
        <f t="shared" si="34"/>
        <v>0</v>
      </c>
      <c r="AF46" s="1089"/>
      <c r="AG46" s="1088"/>
      <c r="AH46" s="1037">
        <f t="shared" si="11"/>
        <v>0</v>
      </c>
      <c r="AI46" s="1034">
        <f t="shared" si="12"/>
        <v>1</v>
      </c>
      <c r="AJ46" s="1035">
        <f t="shared" si="35"/>
        <v>0</v>
      </c>
      <c r="AK46" s="1089"/>
      <c r="AL46" s="1088"/>
      <c r="AM46" s="1021">
        <f t="shared" si="13"/>
        <v>0</v>
      </c>
      <c r="AN46" s="1034">
        <f t="shared" si="14"/>
        <v>1</v>
      </c>
      <c r="AO46" s="1035">
        <f t="shared" si="36"/>
        <v>0</v>
      </c>
      <c r="AP46" s="1089"/>
      <c r="AQ46" s="1088"/>
      <c r="AR46" s="1037">
        <f t="shared" si="15"/>
        <v>0</v>
      </c>
      <c r="AS46" s="1034">
        <f t="shared" si="16"/>
        <v>1</v>
      </c>
      <c r="AT46" s="1035">
        <f t="shared" si="37"/>
        <v>0</v>
      </c>
      <c r="AU46" s="1091"/>
      <c r="AV46" s="1088"/>
      <c r="AW46" s="1021">
        <f t="shared" si="17"/>
        <v>0</v>
      </c>
      <c r="AX46" s="1034">
        <f t="shared" si="18"/>
        <v>1</v>
      </c>
      <c r="AY46" s="1035">
        <f t="shared" si="38"/>
        <v>0</v>
      </c>
      <c r="AZ46" s="1089"/>
      <c r="BA46" s="1089"/>
      <c r="BB46" s="1021">
        <f t="shared" si="19"/>
        <v>0</v>
      </c>
      <c r="BC46" s="1034">
        <f t="shared" si="20"/>
        <v>1</v>
      </c>
      <c r="BD46" s="1035">
        <f t="shared" si="39"/>
        <v>0</v>
      </c>
      <c r="BE46" s="1091"/>
      <c r="BF46" s="1088"/>
      <c r="BG46" s="1021">
        <f t="shared" si="21"/>
        <v>0</v>
      </c>
      <c r="BH46" s="1039">
        <f t="shared" si="22"/>
        <v>0</v>
      </c>
      <c r="BI46" s="1038">
        <f t="shared" si="23"/>
        <v>0</v>
      </c>
      <c r="BJ46" s="1027">
        <f t="shared" si="24"/>
        <v>0</v>
      </c>
      <c r="BK46" s="1021">
        <f t="shared" si="25"/>
        <v>0</v>
      </c>
      <c r="BL46" s="1040">
        <f t="shared" si="26"/>
        <v>0</v>
      </c>
      <c r="BM46" s="1038">
        <f t="shared" si="27"/>
        <v>0</v>
      </c>
      <c r="BN46" s="1027"/>
      <c r="BO46" s="1041"/>
      <c r="BP46" s="95">
        <f t="shared" si="43"/>
        <v>0</v>
      </c>
      <c r="BQ46" s="842">
        <f t="shared" si="44"/>
        <v>0</v>
      </c>
      <c r="BR46" s="323"/>
      <c r="BS46" s="94">
        <f t="shared" si="28"/>
        <v>0</v>
      </c>
      <c r="BU46" s="632">
        <f t="shared" si="29"/>
        <v>0</v>
      </c>
      <c r="BV46" s="459"/>
      <c r="BW46" s="405"/>
      <c r="BX46" s="323"/>
      <c r="CD46" s="459"/>
      <c r="CI46" s="460"/>
    </row>
    <row r="47" spans="1:87" ht="14.25" outlineLevel="1" thickTop="1" thickBot="1">
      <c r="A47" s="57"/>
      <c r="B47" s="751">
        <f t="shared" si="40"/>
        <v>0</v>
      </c>
      <c r="C47" s="1029"/>
      <c r="D47" s="1031"/>
      <c r="E47" s="1030"/>
      <c r="F47" s="1031"/>
      <c r="G47" s="1029"/>
      <c r="H47" s="1032">
        <f t="shared" si="30"/>
        <v>1</v>
      </c>
      <c r="I47" s="1105"/>
      <c r="J47" s="1034">
        <f t="shared" si="31"/>
        <v>1</v>
      </c>
      <c r="K47" s="1035">
        <f t="shared" si="45"/>
        <v>0</v>
      </c>
      <c r="L47" s="1089"/>
      <c r="M47" s="1088"/>
      <c r="N47" s="1037">
        <f t="shared" si="41"/>
        <v>0</v>
      </c>
      <c r="O47" s="1034">
        <f t="shared" si="4"/>
        <v>1</v>
      </c>
      <c r="P47" s="1035">
        <f t="shared" si="42"/>
        <v>0</v>
      </c>
      <c r="Q47" s="1089"/>
      <c r="R47" s="1088"/>
      <c r="S47" s="1020">
        <f t="shared" si="5"/>
        <v>0</v>
      </c>
      <c r="T47" s="1034">
        <f t="shared" si="6"/>
        <v>1</v>
      </c>
      <c r="U47" s="1035">
        <f t="shared" si="32"/>
        <v>0</v>
      </c>
      <c r="V47" s="1089"/>
      <c r="W47" s="1088"/>
      <c r="X47" s="1037">
        <f t="shared" si="7"/>
        <v>0</v>
      </c>
      <c r="Y47" s="1034">
        <f t="shared" si="8"/>
        <v>1</v>
      </c>
      <c r="Z47" s="1035">
        <f t="shared" si="33"/>
        <v>0</v>
      </c>
      <c r="AA47" s="1089"/>
      <c r="AB47" s="1088"/>
      <c r="AC47" s="1021">
        <f t="shared" si="9"/>
        <v>0</v>
      </c>
      <c r="AD47" s="1034">
        <f t="shared" si="10"/>
        <v>1</v>
      </c>
      <c r="AE47" s="1035">
        <f t="shared" si="34"/>
        <v>0</v>
      </c>
      <c r="AF47" s="1089"/>
      <c r="AG47" s="1088"/>
      <c r="AH47" s="1037">
        <f t="shared" si="11"/>
        <v>0</v>
      </c>
      <c r="AI47" s="1034">
        <f t="shared" si="12"/>
        <v>1</v>
      </c>
      <c r="AJ47" s="1035">
        <f t="shared" si="35"/>
        <v>0</v>
      </c>
      <c r="AK47" s="1089"/>
      <c r="AL47" s="1088"/>
      <c r="AM47" s="1021">
        <f t="shared" si="13"/>
        <v>0</v>
      </c>
      <c r="AN47" s="1034">
        <f t="shared" si="14"/>
        <v>1</v>
      </c>
      <c r="AO47" s="1035">
        <f t="shared" si="36"/>
        <v>0</v>
      </c>
      <c r="AP47" s="1089"/>
      <c r="AQ47" s="1088"/>
      <c r="AR47" s="1037">
        <f t="shared" si="15"/>
        <v>0</v>
      </c>
      <c r="AS47" s="1034">
        <f t="shared" si="16"/>
        <v>1</v>
      </c>
      <c r="AT47" s="1035">
        <f t="shared" si="37"/>
        <v>0</v>
      </c>
      <c r="AU47" s="1089"/>
      <c r="AV47" s="1088"/>
      <c r="AW47" s="1021">
        <f t="shared" si="17"/>
        <v>0</v>
      </c>
      <c r="AX47" s="1034">
        <f t="shared" si="18"/>
        <v>1</v>
      </c>
      <c r="AY47" s="1035">
        <f t="shared" si="38"/>
        <v>0</v>
      </c>
      <c r="AZ47" s="1089"/>
      <c r="BA47" s="1089"/>
      <c r="BB47" s="1021">
        <f t="shared" si="19"/>
        <v>0</v>
      </c>
      <c r="BC47" s="1034">
        <f t="shared" si="20"/>
        <v>1</v>
      </c>
      <c r="BD47" s="1035">
        <f t="shared" si="39"/>
        <v>0</v>
      </c>
      <c r="BE47" s="1091"/>
      <c r="BF47" s="1088"/>
      <c r="BG47" s="1021">
        <f t="shared" si="21"/>
        <v>0</v>
      </c>
      <c r="BH47" s="1039">
        <f t="shared" si="22"/>
        <v>0</v>
      </c>
      <c r="BI47" s="1038">
        <f t="shared" si="23"/>
        <v>0</v>
      </c>
      <c r="BJ47" s="1027">
        <f t="shared" si="24"/>
        <v>0</v>
      </c>
      <c r="BK47" s="1021">
        <f t="shared" si="25"/>
        <v>0</v>
      </c>
      <c r="BL47" s="1040">
        <f t="shared" si="26"/>
        <v>0</v>
      </c>
      <c r="BM47" s="1038">
        <f t="shared" si="27"/>
        <v>0</v>
      </c>
      <c r="BN47" s="1027"/>
      <c r="BO47" s="1041"/>
      <c r="BP47" s="95">
        <f t="shared" si="43"/>
        <v>0</v>
      </c>
      <c r="BQ47" s="842">
        <f t="shared" si="44"/>
        <v>0</v>
      </c>
      <c r="BS47" s="94">
        <f t="shared" si="28"/>
        <v>0</v>
      </c>
      <c r="BU47" s="632">
        <f t="shared" si="29"/>
        <v>0</v>
      </c>
      <c r="BV47" s="398"/>
      <c r="BW47" s="405"/>
      <c r="CI47" s="96"/>
    </row>
    <row r="48" spans="1:87" ht="14.25" outlineLevel="1" thickTop="1" thickBot="1">
      <c r="A48" s="57"/>
      <c r="B48" s="751">
        <f t="shared" si="40"/>
        <v>0</v>
      </c>
      <c r="C48" s="1029"/>
      <c r="D48" s="1031"/>
      <c r="E48" s="1030"/>
      <c r="F48" s="1031"/>
      <c r="G48" s="1029"/>
      <c r="H48" s="1032">
        <f t="shared" si="30"/>
        <v>1</v>
      </c>
      <c r="I48" s="1105"/>
      <c r="J48" s="1034">
        <f t="shared" si="31"/>
        <v>1</v>
      </c>
      <c r="K48" s="1035">
        <f t="shared" si="45"/>
        <v>0</v>
      </c>
      <c r="L48" s="1089"/>
      <c r="M48" s="1088"/>
      <c r="N48" s="1037">
        <f t="shared" ref="N48:N79" si="46">L48/($J$13*(100%-I48))</f>
        <v>0</v>
      </c>
      <c r="O48" s="1034">
        <f t="shared" ref="O48:O81" si="47">IF(P48=0,1,P48/(P48/($O$13*(1/H48))))</f>
        <v>1</v>
      </c>
      <c r="P48" s="1035">
        <f t="shared" ref="P48:P79" si="48">Q48*$D$8</f>
        <v>0</v>
      </c>
      <c r="Q48" s="1089"/>
      <c r="R48" s="1088"/>
      <c r="S48" s="1020">
        <f t="shared" ref="S48:S79" si="49">Q48/($O$13*(100%-I48))</f>
        <v>0</v>
      </c>
      <c r="T48" s="1034">
        <f t="shared" ref="T48:T79" si="50">IF(U48=0,1,U48/(U48/($T$13*(1/H48))))</f>
        <v>1</v>
      </c>
      <c r="U48" s="1035">
        <f t="shared" si="32"/>
        <v>0</v>
      </c>
      <c r="V48" s="1089"/>
      <c r="W48" s="1088"/>
      <c r="X48" s="1037">
        <f t="shared" ref="X48:X79" si="51">V48/($T$13*(100%-I48))</f>
        <v>0</v>
      </c>
      <c r="Y48" s="1034">
        <f t="shared" ref="Y48:Y79" si="52">IF(Z48=0,1,Z48/(Z48/($Y$13*(1/H48))))</f>
        <v>1</v>
      </c>
      <c r="Z48" s="1035">
        <f t="shared" si="33"/>
        <v>0</v>
      </c>
      <c r="AA48" s="1089"/>
      <c r="AB48" s="1088"/>
      <c r="AC48" s="1021">
        <f t="shared" ref="AC48:AC79" si="53">AA48/($Y$13*(100%-I48))</f>
        <v>0</v>
      </c>
      <c r="AD48" s="1034">
        <f t="shared" ref="AD48:AD79" si="54">IF(AE48=0,1,AE48/(AE48/($AD$13*(1/H48))))</f>
        <v>1</v>
      </c>
      <c r="AE48" s="1035">
        <f t="shared" si="34"/>
        <v>0</v>
      </c>
      <c r="AF48" s="1089"/>
      <c r="AG48" s="1088"/>
      <c r="AH48" s="1037">
        <f t="shared" ref="AH48:AH79" si="55">AF48/($AD$13*(100%-I48))</f>
        <v>0</v>
      </c>
      <c r="AI48" s="1034">
        <f t="shared" ref="AI48:AI79" si="56">IF(AJ48=0,1,AJ48/(AJ48/($AI$13*(1/H48))))</f>
        <v>1</v>
      </c>
      <c r="AJ48" s="1035">
        <f t="shared" si="35"/>
        <v>0</v>
      </c>
      <c r="AK48" s="1089"/>
      <c r="AL48" s="1088"/>
      <c r="AM48" s="1021">
        <f t="shared" ref="AM48:AM79" si="57">AK48/($AI$13*(100%-I48))</f>
        <v>0</v>
      </c>
      <c r="AN48" s="1034">
        <f t="shared" ref="AN48:AN79" si="58">IF(AO48=0,1,AO48/(AO48/($AN$13*(1/H48))))</f>
        <v>1</v>
      </c>
      <c r="AO48" s="1035">
        <f t="shared" si="36"/>
        <v>0</v>
      </c>
      <c r="AP48" s="1089"/>
      <c r="AQ48" s="1088"/>
      <c r="AR48" s="1037">
        <f t="shared" ref="AR48:AR79" si="59">AP48/($AN$13*(100%-I48))</f>
        <v>0</v>
      </c>
      <c r="AS48" s="1034">
        <f t="shared" ref="AS48:AS79" si="60">IF(AT48=0,1,AT48/(AT48/($AS$13*(1/H48))))</f>
        <v>1</v>
      </c>
      <c r="AT48" s="1035">
        <f t="shared" si="37"/>
        <v>0</v>
      </c>
      <c r="AU48" s="1091"/>
      <c r="AV48" s="1088"/>
      <c r="AW48" s="1021">
        <f t="shared" ref="AW48:AW79" si="61">AU48/($AS$13*(100%-I48))</f>
        <v>0</v>
      </c>
      <c r="AX48" s="1034">
        <f t="shared" ref="AX48:AX79" si="62">IF(AY48=0,1,AY48/(AY48/($AX$13*(1/H48))))</f>
        <v>1</v>
      </c>
      <c r="AY48" s="1035">
        <f t="shared" si="38"/>
        <v>0</v>
      </c>
      <c r="AZ48" s="1089"/>
      <c r="BA48" s="1089"/>
      <c r="BB48" s="1021">
        <f t="shared" ref="BB48:BB79" si="63">AZ48/($AX$13*(100%-I48))</f>
        <v>0</v>
      </c>
      <c r="BC48" s="1034">
        <f t="shared" ref="BC48:BC79" si="64">IF(BD48=0,1,BD48/(BD48/($BC$13*(1/H48))))</f>
        <v>1</v>
      </c>
      <c r="BD48" s="1035">
        <f t="shared" si="39"/>
        <v>0</v>
      </c>
      <c r="BE48" s="1091"/>
      <c r="BF48" s="1088"/>
      <c r="BG48" s="1021">
        <f t="shared" ref="BG48:BG79" si="65">BE48/($BC$13*(100%-I48))</f>
        <v>0</v>
      </c>
      <c r="BH48" s="1039">
        <f t="shared" ref="BH48:BH79" si="66">K48+U48+AE48+AO48++AY48</f>
        <v>0</v>
      </c>
      <c r="BI48" s="1038">
        <f t="shared" ref="BI48:BI79" si="67">L48+V48+AF48+AP48+AZ48</f>
        <v>0</v>
      </c>
      <c r="BJ48" s="1027">
        <f t="shared" ref="BJ48:BJ79" si="68">M48+W48+AG48+AQ48+BA48</f>
        <v>0</v>
      </c>
      <c r="BK48" s="1021">
        <f t="shared" si="25"/>
        <v>0</v>
      </c>
      <c r="BL48" s="1040">
        <f t="shared" ref="BL48:BL79" si="69">P48+Z48+AJ48+AT48+BD48</f>
        <v>0</v>
      </c>
      <c r="BM48" s="1038">
        <f t="shared" ref="BM48:BM79" si="70">Q48+AA48+AK48+AU48+BE48</f>
        <v>0</v>
      </c>
      <c r="BN48" s="1027"/>
      <c r="BO48" s="1041"/>
      <c r="BP48" s="95">
        <f t="shared" si="43"/>
        <v>0</v>
      </c>
      <c r="BQ48" s="842">
        <f t="shared" si="44"/>
        <v>0</v>
      </c>
      <c r="BS48" s="94">
        <f t="shared" ref="BS48:BS79" si="71">I48</f>
        <v>0</v>
      </c>
      <c r="BU48" s="632">
        <f t="shared" ref="BU48:BU79" si="72">BP48/H48</f>
        <v>0</v>
      </c>
      <c r="BV48" s="398"/>
      <c r="BW48" s="405"/>
      <c r="CI48" s="96"/>
    </row>
    <row r="49" spans="1:87" ht="14.25" outlineLevel="1" thickTop="1" thickBot="1">
      <c r="A49" s="57"/>
      <c r="B49" s="751">
        <f t="shared" si="40"/>
        <v>0</v>
      </c>
      <c r="C49" s="1029"/>
      <c r="D49" s="1031"/>
      <c r="E49" s="1030"/>
      <c r="F49" s="1031"/>
      <c r="G49" s="1029"/>
      <c r="H49" s="1032">
        <f t="shared" si="30"/>
        <v>1</v>
      </c>
      <c r="I49" s="1105"/>
      <c r="J49" s="1034">
        <f t="shared" si="31"/>
        <v>1</v>
      </c>
      <c r="K49" s="1035">
        <f t="shared" si="45"/>
        <v>0</v>
      </c>
      <c r="L49" s="1089"/>
      <c r="M49" s="1088"/>
      <c r="N49" s="1037">
        <f t="shared" si="46"/>
        <v>0</v>
      </c>
      <c r="O49" s="1034">
        <f t="shared" si="47"/>
        <v>1</v>
      </c>
      <c r="P49" s="1035">
        <f t="shared" si="48"/>
        <v>0</v>
      </c>
      <c r="Q49" s="1089"/>
      <c r="R49" s="1088"/>
      <c r="S49" s="1020">
        <f t="shared" si="49"/>
        <v>0</v>
      </c>
      <c r="T49" s="1034">
        <f t="shared" si="50"/>
        <v>1</v>
      </c>
      <c r="U49" s="1035">
        <f t="shared" si="32"/>
        <v>0</v>
      </c>
      <c r="V49" s="1089"/>
      <c r="W49" s="1088"/>
      <c r="X49" s="1037">
        <f t="shared" si="51"/>
        <v>0</v>
      </c>
      <c r="Y49" s="1034">
        <f t="shared" si="52"/>
        <v>1</v>
      </c>
      <c r="Z49" s="1035">
        <f t="shared" si="33"/>
        <v>0</v>
      </c>
      <c r="AA49" s="1089"/>
      <c r="AB49" s="1088"/>
      <c r="AC49" s="1021">
        <f t="shared" si="53"/>
        <v>0</v>
      </c>
      <c r="AD49" s="1034">
        <f t="shared" si="54"/>
        <v>1</v>
      </c>
      <c r="AE49" s="1035">
        <f t="shared" si="34"/>
        <v>0</v>
      </c>
      <c r="AF49" s="1089"/>
      <c r="AG49" s="1088"/>
      <c r="AH49" s="1037">
        <f t="shared" si="55"/>
        <v>0</v>
      </c>
      <c r="AI49" s="1034">
        <f t="shared" si="56"/>
        <v>1</v>
      </c>
      <c r="AJ49" s="1035">
        <f t="shared" si="35"/>
        <v>0</v>
      </c>
      <c r="AK49" s="1089"/>
      <c r="AL49" s="1088"/>
      <c r="AM49" s="1021">
        <f t="shared" si="57"/>
        <v>0</v>
      </c>
      <c r="AN49" s="1034">
        <f t="shared" si="58"/>
        <v>1</v>
      </c>
      <c r="AO49" s="1035">
        <f t="shared" si="36"/>
        <v>0</v>
      </c>
      <c r="AP49" s="1089"/>
      <c r="AQ49" s="1088"/>
      <c r="AR49" s="1037">
        <f t="shared" si="59"/>
        <v>0</v>
      </c>
      <c r="AS49" s="1034">
        <f t="shared" si="60"/>
        <v>1</v>
      </c>
      <c r="AT49" s="1035">
        <f t="shared" si="37"/>
        <v>0</v>
      </c>
      <c r="AU49" s="1089"/>
      <c r="AV49" s="1088"/>
      <c r="AW49" s="1021">
        <f t="shared" si="61"/>
        <v>0</v>
      </c>
      <c r="AX49" s="1034">
        <f t="shared" si="62"/>
        <v>1</v>
      </c>
      <c r="AY49" s="1035">
        <f t="shared" si="38"/>
        <v>0</v>
      </c>
      <c r="AZ49" s="1089"/>
      <c r="BA49" s="1089"/>
      <c r="BB49" s="1021">
        <f t="shared" si="63"/>
        <v>0</v>
      </c>
      <c r="BC49" s="1034">
        <f t="shared" si="64"/>
        <v>1</v>
      </c>
      <c r="BD49" s="1035">
        <f t="shared" si="39"/>
        <v>0</v>
      </c>
      <c r="BE49" s="1091"/>
      <c r="BF49" s="1088"/>
      <c r="BG49" s="1021">
        <f t="shared" si="65"/>
        <v>0</v>
      </c>
      <c r="BH49" s="1039">
        <f t="shared" si="66"/>
        <v>0</v>
      </c>
      <c r="BI49" s="1038">
        <f t="shared" si="67"/>
        <v>0</v>
      </c>
      <c r="BJ49" s="1027">
        <f t="shared" si="68"/>
        <v>0</v>
      </c>
      <c r="BK49" s="1021">
        <f t="shared" si="25"/>
        <v>0</v>
      </c>
      <c r="BL49" s="1040">
        <f t="shared" si="69"/>
        <v>0</v>
      </c>
      <c r="BM49" s="1038">
        <f t="shared" si="70"/>
        <v>0</v>
      </c>
      <c r="BN49" s="1027"/>
      <c r="BO49" s="1041"/>
      <c r="BP49" s="95">
        <f t="shared" si="43"/>
        <v>0</v>
      </c>
      <c r="BQ49" s="842">
        <f t="shared" si="44"/>
        <v>0</v>
      </c>
      <c r="BS49" s="94">
        <f t="shared" si="71"/>
        <v>0</v>
      </c>
      <c r="BU49" s="632">
        <f t="shared" si="72"/>
        <v>0</v>
      </c>
      <c r="BV49" s="398"/>
      <c r="BW49" s="405"/>
      <c r="CI49" s="96"/>
    </row>
    <row r="50" spans="1:87" ht="14.25" outlineLevel="1" thickTop="1" thickBot="1">
      <c r="A50" s="57"/>
      <c r="B50" s="751">
        <f t="shared" si="40"/>
        <v>0</v>
      </c>
      <c r="C50" s="1029"/>
      <c r="D50" s="1031"/>
      <c r="E50" s="1030"/>
      <c r="F50" s="1031"/>
      <c r="G50" s="1029"/>
      <c r="H50" s="1032">
        <f t="shared" si="30"/>
        <v>1</v>
      </c>
      <c r="I50" s="1105"/>
      <c r="J50" s="1034">
        <f t="shared" si="31"/>
        <v>1</v>
      </c>
      <c r="K50" s="1035">
        <f t="shared" si="45"/>
        <v>0</v>
      </c>
      <c r="L50" s="1089"/>
      <c r="M50" s="1088"/>
      <c r="N50" s="1037">
        <f t="shared" si="46"/>
        <v>0</v>
      </c>
      <c r="O50" s="1034">
        <f t="shared" si="47"/>
        <v>1</v>
      </c>
      <c r="P50" s="1035">
        <f t="shared" si="48"/>
        <v>0</v>
      </c>
      <c r="Q50" s="1089"/>
      <c r="R50" s="1088"/>
      <c r="S50" s="1020">
        <f t="shared" si="49"/>
        <v>0</v>
      </c>
      <c r="T50" s="1034">
        <f t="shared" si="50"/>
        <v>1</v>
      </c>
      <c r="U50" s="1035">
        <f t="shared" si="32"/>
        <v>0</v>
      </c>
      <c r="V50" s="1089"/>
      <c r="W50" s="1088"/>
      <c r="X50" s="1037">
        <f t="shared" si="51"/>
        <v>0</v>
      </c>
      <c r="Y50" s="1034">
        <f t="shared" si="52"/>
        <v>1</v>
      </c>
      <c r="Z50" s="1035">
        <f t="shared" si="33"/>
        <v>0</v>
      </c>
      <c r="AA50" s="1089"/>
      <c r="AB50" s="1088"/>
      <c r="AC50" s="1021">
        <f t="shared" si="53"/>
        <v>0</v>
      </c>
      <c r="AD50" s="1034">
        <f t="shared" si="54"/>
        <v>1</v>
      </c>
      <c r="AE50" s="1035">
        <f t="shared" si="34"/>
        <v>0</v>
      </c>
      <c r="AF50" s="1089"/>
      <c r="AG50" s="1088"/>
      <c r="AH50" s="1037">
        <f t="shared" si="55"/>
        <v>0</v>
      </c>
      <c r="AI50" s="1034">
        <f t="shared" si="56"/>
        <v>1</v>
      </c>
      <c r="AJ50" s="1035">
        <f t="shared" si="35"/>
        <v>0</v>
      </c>
      <c r="AK50" s="1089"/>
      <c r="AL50" s="1088"/>
      <c r="AM50" s="1021">
        <f t="shared" si="57"/>
        <v>0</v>
      </c>
      <c r="AN50" s="1034">
        <f t="shared" si="58"/>
        <v>1</v>
      </c>
      <c r="AO50" s="1035">
        <f t="shared" si="36"/>
        <v>0</v>
      </c>
      <c r="AP50" s="1089"/>
      <c r="AQ50" s="1088"/>
      <c r="AR50" s="1037">
        <f t="shared" si="59"/>
        <v>0</v>
      </c>
      <c r="AS50" s="1034">
        <f t="shared" si="60"/>
        <v>1</v>
      </c>
      <c r="AT50" s="1035">
        <f t="shared" si="37"/>
        <v>0</v>
      </c>
      <c r="AU50" s="1091"/>
      <c r="AV50" s="1088"/>
      <c r="AW50" s="1021">
        <f t="shared" si="61"/>
        <v>0</v>
      </c>
      <c r="AX50" s="1034">
        <f t="shared" si="62"/>
        <v>1</v>
      </c>
      <c r="AY50" s="1035">
        <f t="shared" si="38"/>
        <v>0</v>
      </c>
      <c r="AZ50" s="1089"/>
      <c r="BA50" s="1089"/>
      <c r="BB50" s="1021">
        <f t="shared" si="63"/>
        <v>0</v>
      </c>
      <c r="BC50" s="1034">
        <f t="shared" si="64"/>
        <v>1</v>
      </c>
      <c r="BD50" s="1035">
        <f t="shared" si="39"/>
        <v>0</v>
      </c>
      <c r="BE50" s="1091"/>
      <c r="BF50" s="1088"/>
      <c r="BG50" s="1021">
        <f t="shared" si="65"/>
        <v>0</v>
      </c>
      <c r="BH50" s="1039">
        <f t="shared" si="66"/>
        <v>0</v>
      </c>
      <c r="BI50" s="1038">
        <f t="shared" si="67"/>
        <v>0</v>
      </c>
      <c r="BJ50" s="1027">
        <f t="shared" si="68"/>
        <v>0</v>
      </c>
      <c r="BK50" s="1021">
        <f t="shared" si="25"/>
        <v>0</v>
      </c>
      <c r="BL50" s="1040">
        <f t="shared" si="69"/>
        <v>0</v>
      </c>
      <c r="BM50" s="1038">
        <f t="shared" si="70"/>
        <v>0</v>
      </c>
      <c r="BN50" s="1027"/>
      <c r="BO50" s="1041"/>
      <c r="BP50" s="95">
        <f t="shared" si="43"/>
        <v>0</v>
      </c>
      <c r="BQ50" s="842">
        <f t="shared" si="44"/>
        <v>0</v>
      </c>
      <c r="BS50" s="94">
        <f t="shared" si="71"/>
        <v>0</v>
      </c>
      <c r="BU50" s="632">
        <f t="shared" si="72"/>
        <v>0</v>
      </c>
      <c r="BV50" s="398"/>
      <c r="BW50" s="405"/>
      <c r="CI50" s="96"/>
    </row>
    <row r="51" spans="1:87" s="795" customFormat="1" ht="14.25" outlineLevel="1" thickTop="1" thickBot="1">
      <c r="A51" s="794"/>
      <c r="B51" s="751">
        <f t="shared" si="40"/>
        <v>0</v>
      </c>
      <c r="C51" s="1029"/>
      <c r="D51" s="1031"/>
      <c r="E51" s="1030"/>
      <c r="F51" s="1031"/>
      <c r="G51" s="1029"/>
      <c r="H51" s="1032">
        <f t="shared" si="30"/>
        <v>1</v>
      </c>
      <c r="I51" s="1105"/>
      <c r="J51" s="1034">
        <f t="shared" si="31"/>
        <v>1</v>
      </c>
      <c r="K51" s="1035">
        <f t="shared" si="45"/>
        <v>0</v>
      </c>
      <c r="L51" s="1089"/>
      <c r="M51" s="1088"/>
      <c r="N51" s="1037">
        <f t="shared" si="46"/>
        <v>0</v>
      </c>
      <c r="O51" s="1034">
        <f t="shared" si="47"/>
        <v>1</v>
      </c>
      <c r="P51" s="1035">
        <f t="shared" si="48"/>
        <v>0</v>
      </c>
      <c r="Q51" s="1089"/>
      <c r="R51" s="1088"/>
      <c r="S51" s="1020">
        <f t="shared" si="49"/>
        <v>0</v>
      </c>
      <c r="T51" s="1034">
        <f t="shared" si="50"/>
        <v>1</v>
      </c>
      <c r="U51" s="1035">
        <f t="shared" si="32"/>
        <v>0</v>
      </c>
      <c r="V51" s="1089"/>
      <c r="W51" s="1088"/>
      <c r="X51" s="1037">
        <f t="shared" si="51"/>
        <v>0</v>
      </c>
      <c r="Y51" s="1034">
        <f t="shared" si="52"/>
        <v>1</v>
      </c>
      <c r="Z51" s="1035">
        <f t="shared" si="33"/>
        <v>0</v>
      </c>
      <c r="AA51" s="1089"/>
      <c r="AB51" s="1088"/>
      <c r="AC51" s="1021">
        <f t="shared" si="53"/>
        <v>0</v>
      </c>
      <c r="AD51" s="1034">
        <f t="shared" si="54"/>
        <v>1</v>
      </c>
      <c r="AE51" s="1035">
        <f t="shared" si="34"/>
        <v>0</v>
      </c>
      <c r="AF51" s="1089"/>
      <c r="AG51" s="1088"/>
      <c r="AH51" s="1037">
        <f t="shared" si="55"/>
        <v>0</v>
      </c>
      <c r="AI51" s="1034">
        <f t="shared" si="56"/>
        <v>1</v>
      </c>
      <c r="AJ51" s="1035">
        <f t="shared" si="35"/>
        <v>0</v>
      </c>
      <c r="AK51" s="1089"/>
      <c r="AL51" s="1088"/>
      <c r="AM51" s="1021">
        <f t="shared" si="57"/>
        <v>0</v>
      </c>
      <c r="AN51" s="1034">
        <f t="shared" si="58"/>
        <v>1</v>
      </c>
      <c r="AO51" s="1035">
        <f t="shared" si="36"/>
        <v>0</v>
      </c>
      <c r="AP51" s="1089"/>
      <c r="AQ51" s="1088"/>
      <c r="AR51" s="1037">
        <f t="shared" si="59"/>
        <v>0</v>
      </c>
      <c r="AS51" s="1034">
        <f t="shared" si="60"/>
        <v>1</v>
      </c>
      <c r="AT51" s="1035">
        <f t="shared" si="37"/>
        <v>0</v>
      </c>
      <c r="AU51" s="1089"/>
      <c r="AV51" s="1088"/>
      <c r="AW51" s="1021">
        <f t="shared" si="61"/>
        <v>0</v>
      </c>
      <c r="AX51" s="1034">
        <f t="shared" si="62"/>
        <v>1</v>
      </c>
      <c r="AY51" s="1035">
        <f t="shared" si="38"/>
        <v>0</v>
      </c>
      <c r="AZ51" s="1089"/>
      <c r="BA51" s="1089"/>
      <c r="BB51" s="1021">
        <f t="shared" si="63"/>
        <v>0</v>
      </c>
      <c r="BC51" s="1034">
        <f t="shared" si="64"/>
        <v>1</v>
      </c>
      <c r="BD51" s="1035">
        <f t="shared" si="39"/>
        <v>0</v>
      </c>
      <c r="BE51" s="1091"/>
      <c r="BF51" s="1088"/>
      <c r="BG51" s="1021">
        <f t="shared" si="65"/>
        <v>0</v>
      </c>
      <c r="BH51" s="1039">
        <f t="shared" si="66"/>
        <v>0</v>
      </c>
      <c r="BI51" s="1038">
        <f t="shared" si="67"/>
        <v>0</v>
      </c>
      <c r="BJ51" s="1027">
        <f t="shared" si="68"/>
        <v>0</v>
      </c>
      <c r="BK51" s="1021">
        <f t="shared" si="25"/>
        <v>0</v>
      </c>
      <c r="BL51" s="1040">
        <f t="shared" si="69"/>
        <v>0</v>
      </c>
      <c r="BM51" s="1038">
        <f t="shared" si="70"/>
        <v>0</v>
      </c>
      <c r="BN51" s="1027"/>
      <c r="BO51" s="1041"/>
      <c r="BP51" s="95">
        <f t="shared" si="43"/>
        <v>0</v>
      </c>
      <c r="BQ51" s="842">
        <f t="shared" si="44"/>
        <v>0</v>
      </c>
      <c r="BR51" s="323"/>
      <c r="BS51" s="94">
        <f t="shared" si="71"/>
        <v>0</v>
      </c>
      <c r="BU51" s="632">
        <f t="shared" si="72"/>
        <v>0</v>
      </c>
      <c r="BV51" s="398"/>
      <c r="BW51" s="737"/>
      <c r="BX51" s="323"/>
      <c r="CD51" s="398"/>
      <c r="CI51" s="796"/>
    </row>
    <row r="52" spans="1:87" s="795" customFormat="1" ht="14.25" outlineLevel="1" thickTop="1" thickBot="1">
      <c r="A52" s="794"/>
      <c r="B52" s="751">
        <f t="shared" si="40"/>
        <v>0</v>
      </c>
      <c r="C52" s="1029"/>
      <c r="D52" s="1031"/>
      <c r="E52" s="1030"/>
      <c r="F52" s="1031"/>
      <c r="G52" s="1029"/>
      <c r="H52" s="1032">
        <f t="shared" si="30"/>
        <v>1</v>
      </c>
      <c r="I52" s="1105"/>
      <c r="J52" s="1034">
        <f t="shared" si="31"/>
        <v>1</v>
      </c>
      <c r="K52" s="1035">
        <f t="shared" si="45"/>
        <v>0</v>
      </c>
      <c r="L52" s="1089"/>
      <c r="M52" s="1088"/>
      <c r="N52" s="1037">
        <f t="shared" si="46"/>
        <v>0</v>
      </c>
      <c r="O52" s="1034">
        <f t="shared" si="47"/>
        <v>1</v>
      </c>
      <c r="P52" s="1035">
        <f t="shared" si="48"/>
        <v>0</v>
      </c>
      <c r="Q52" s="1089"/>
      <c r="R52" s="1088"/>
      <c r="S52" s="1020">
        <f t="shared" si="49"/>
        <v>0</v>
      </c>
      <c r="T52" s="1034">
        <f t="shared" si="50"/>
        <v>1</v>
      </c>
      <c r="U52" s="1035">
        <f t="shared" si="32"/>
        <v>0</v>
      </c>
      <c r="V52" s="1089"/>
      <c r="W52" s="1088"/>
      <c r="X52" s="1037">
        <f t="shared" si="51"/>
        <v>0</v>
      </c>
      <c r="Y52" s="1034">
        <f t="shared" si="52"/>
        <v>1</v>
      </c>
      <c r="Z52" s="1035">
        <f t="shared" si="33"/>
        <v>0</v>
      </c>
      <c r="AA52" s="1089"/>
      <c r="AB52" s="1088"/>
      <c r="AC52" s="1021">
        <f t="shared" si="53"/>
        <v>0</v>
      </c>
      <c r="AD52" s="1034">
        <f t="shared" si="54"/>
        <v>1</v>
      </c>
      <c r="AE52" s="1035">
        <f t="shared" si="34"/>
        <v>0</v>
      </c>
      <c r="AF52" s="1089"/>
      <c r="AG52" s="1088"/>
      <c r="AH52" s="1037">
        <f t="shared" si="55"/>
        <v>0</v>
      </c>
      <c r="AI52" s="1034">
        <f t="shared" si="56"/>
        <v>1</v>
      </c>
      <c r="AJ52" s="1035">
        <f t="shared" si="35"/>
        <v>0</v>
      </c>
      <c r="AK52" s="1089"/>
      <c r="AL52" s="1088"/>
      <c r="AM52" s="1021">
        <f t="shared" si="57"/>
        <v>0</v>
      </c>
      <c r="AN52" s="1034">
        <f t="shared" si="58"/>
        <v>1</v>
      </c>
      <c r="AO52" s="1035">
        <f t="shared" si="36"/>
        <v>0</v>
      </c>
      <c r="AP52" s="1089"/>
      <c r="AQ52" s="1088"/>
      <c r="AR52" s="1037">
        <f t="shared" si="59"/>
        <v>0</v>
      </c>
      <c r="AS52" s="1034">
        <f t="shared" si="60"/>
        <v>1</v>
      </c>
      <c r="AT52" s="1035">
        <f t="shared" si="37"/>
        <v>0</v>
      </c>
      <c r="AU52" s="1091"/>
      <c r="AV52" s="1088"/>
      <c r="AW52" s="1021">
        <f t="shared" si="61"/>
        <v>0</v>
      </c>
      <c r="AX52" s="1034">
        <f t="shared" si="62"/>
        <v>1</v>
      </c>
      <c r="AY52" s="1035">
        <f t="shared" si="38"/>
        <v>0</v>
      </c>
      <c r="AZ52" s="1089"/>
      <c r="BA52" s="1089"/>
      <c r="BB52" s="1021">
        <f t="shared" si="63"/>
        <v>0</v>
      </c>
      <c r="BC52" s="1034">
        <f t="shared" si="64"/>
        <v>1</v>
      </c>
      <c r="BD52" s="1035">
        <f t="shared" si="39"/>
        <v>0</v>
      </c>
      <c r="BE52" s="1091"/>
      <c r="BF52" s="1088"/>
      <c r="BG52" s="1021">
        <f t="shared" si="65"/>
        <v>0</v>
      </c>
      <c r="BH52" s="1039">
        <f t="shared" si="66"/>
        <v>0</v>
      </c>
      <c r="BI52" s="1038">
        <f t="shared" si="67"/>
        <v>0</v>
      </c>
      <c r="BJ52" s="1027">
        <f t="shared" si="68"/>
        <v>0</v>
      </c>
      <c r="BK52" s="1021">
        <f t="shared" si="25"/>
        <v>0</v>
      </c>
      <c r="BL52" s="1040">
        <f t="shared" si="69"/>
        <v>0</v>
      </c>
      <c r="BM52" s="1038">
        <f t="shared" si="70"/>
        <v>0</v>
      </c>
      <c r="BN52" s="1027"/>
      <c r="BO52" s="1041"/>
      <c r="BP52" s="95">
        <f t="shared" si="43"/>
        <v>0</v>
      </c>
      <c r="BQ52" s="842">
        <f t="shared" si="44"/>
        <v>0</v>
      </c>
      <c r="BR52" s="323"/>
      <c r="BS52" s="94">
        <f t="shared" si="71"/>
        <v>0</v>
      </c>
      <c r="BU52" s="632">
        <f t="shared" si="72"/>
        <v>0</v>
      </c>
      <c r="BV52" s="398"/>
      <c r="BW52" s="737"/>
      <c r="BX52" s="323"/>
      <c r="CD52" s="398"/>
      <c r="CI52" s="796"/>
    </row>
    <row r="53" spans="1:87" ht="14.25" outlineLevel="1" thickTop="1" thickBot="1">
      <c r="A53" s="57"/>
      <c r="B53" s="751">
        <f t="shared" si="40"/>
        <v>0</v>
      </c>
      <c r="C53" s="1029"/>
      <c r="D53" s="1031"/>
      <c r="E53" s="1030"/>
      <c r="F53" s="1031"/>
      <c r="G53" s="1029"/>
      <c r="H53" s="1032">
        <f t="shared" si="30"/>
        <v>1</v>
      </c>
      <c r="I53" s="1105"/>
      <c r="J53" s="1034">
        <f t="shared" si="31"/>
        <v>1</v>
      </c>
      <c r="K53" s="1035">
        <f t="shared" si="45"/>
        <v>0</v>
      </c>
      <c r="L53" s="1089"/>
      <c r="M53" s="1088"/>
      <c r="N53" s="1037">
        <f t="shared" si="46"/>
        <v>0</v>
      </c>
      <c r="O53" s="1034">
        <f t="shared" si="47"/>
        <v>1</v>
      </c>
      <c r="P53" s="1035">
        <f t="shared" si="48"/>
        <v>0</v>
      </c>
      <c r="Q53" s="1089"/>
      <c r="R53" s="1088"/>
      <c r="S53" s="1020">
        <f t="shared" si="49"/>
        <v>0</v>
      </c>
      <c r="T53" s="1034">
        <f t="shared" si="50"/>
        <v>1</v>
      </c>
      <c r="U53" s="1035">
        <f t="shared" si="32"/>
        <v>0</v>
      </c>
      <c r="V53" s="1089"/>
      <c r="W53" s="1088"/>
      <c r="X53" s="1037">
        <f t="shared" si="51"/>
        <v>0</v>
      </c>
      <c r="Y53" s="1034">
        <f t="shared" si="52"/>
        <v>1</v>
      </c>
      <c r="Z53" s="1035">
        <f t="shared" si="33"/>
        <v>0</v>
      </c>
      <c r="AA53" s="1089"/>
      <c r="AB53" s="1088"/>
      <c r="AC53" s="1021">
        <f t="shared" si="53"/>
        <v>0</v>
      </c>
      <c r="AD53" s="1034">
        <f t="shared" si="54"/>
        <v>1</v>
      </c>
      <c r="AE53" s="1035">
        <f t="shared" si="34"/>
        <v>0</v>
      </c>
      <c r="AF53" s="1089"/>
      <c r="AG53" s="1088"/>
      <c r="AH53" s="1037">
        <f t="shared" si="55"/>
        <v>0</v>
      </c>
      <c r="AI53" s="1034">
        <f t="shared" si="56"/>
        <v>1</v>
      </c>
      <c r="AJ53" s="1035">
        <f t="shared" si="35"/>
        <v>0</v>
      </c>
      <c r="AK53" s="1089"/>
      <c r="AL53" s="1088"/>
      <c r="AM53" s="1021">
        <f t="shared" si="57"/>
        <v>0</v>
      </c>
      <c r="AN53" s="1034">
        <f t="shared" si="58"/>
        <v>1</v>
      </c>
      <c r="AO53" s="1035">
        <f t="shared" si="36"/>
        <v>0</v>
      </c>
      <c r="AP53" s="1089"/>
      <c r="AQ53" s="1088"/>
      <c r="AR53" s="1037">
        <f t="shared" si="59"/>
        <v>0</v>
      </c>
      <c r="AS53" s="1034">
        <f t="shared" si="60"/>
        <v>1</v>
      </c>
      <c r="AT53" s="1035">
        <f t="shared" si="37"/>
        <v>0</v>
      </c>
      <c r="AU53" s="1089"/>
      <c r="AV53" s="1088"/>
      <c r="AW53" s="1021">
        <f t="shared" si="61"/>
        <v>0</v>
      </c>
      <c r="AX53" s="1034">
        <f t="shared" si="62"/>
        <v>1</v>
      </c>
      <c r="AY53" s="1035">
        <f t="shared" si="38"/>
        <v>0</v>
      </c>
      <c r="AZ53" s="1089"/>
      <c r="BA53" s="1089"/>
      <c r="BB53" s="1021">
        <f t="shared" si="63"/>
        <v>0</v>
      </c>
      <c r="BC53" s="1034">
        <f t="shared" si="64"/>
        <v>1</v>
      </c>
      <c r="BD53" s="1035">
        <f t="shared" si="39"/>
        <v>0</v>
      </c>
      <c r="BE53" s="1091"/>
      <c r="BF53" s="1088"/>
      <c r="BG53" s="1021">
        <f t="shared" si="65"/>
        <v>0</v>
      </c>
      <c r="BH53" s="1039">
        <f t="shared" si="66"/>
        <v>0</v>
      </c>
      <c r="BI53" s="1038">
        <f t="shared" si="67"/>
        <v>0</v>
      </c>
      <c r="BJ53" s="1027">
        <f t="shared" si="68"/>
        <v>0</v>
      </c>
      <c r="BK53" s="1021">
        <f t="shared" si="25"/>
        <v>0</v>
      </c>
      <c r="BL53" s="1040">
        <f t="shared" si="69"/>
        <v>0</v>
      </c>
      <c r="BM53" s="1038">
        <f t="shared" si="70"/>
        <v>0</v>
      </c>
      <c r="BN53" s="1027"/>
      <c r="BO53" s="1041"/>
      <c r="BP53" s="95">
        <f t="shared" si="43"/>
        <v>0</v>
      </c>
      <c r="BQ53" s="842">
        <f t="shared" si="44"/>
        <v>0</v>
      </c>
      <c r="BS53" s="94">
        <f t="shared" si="71"/>
        <v>0</v>
      </c>
      <c r="BU53" s="632">
        <f t="shared" si="72"/>
        <v>0</v>
      </c>
      <c r="BV53" s="398"/>
      <c r="BW53" s="405"/>
      <c r="CI53" s="96"/>
    </row>
    <row r="54" spans="1:87" s="762" customFormat="1" ht="14.25" outlineLevel="1" thickTop="1" thickBot="1">
      <c r="A54" s="761"/>
      <c r="B54" s="751">
        <f t="shared" si="40"/>
        <v>0</v>
      </c>
      <c r="C54" s="1029"/>
      <c r="D54" s="1031"/>
      <c r="E54" s="1030"/>
      <c r="F54" s="1031"/>
      <c r="G54" s="1029"/>
      <c r="H54" s="1032">
        <f t="shared" si="30"/>
        <v>1</v>
      </c>
      <c r="I54" s="1105"/>
      <c r="J54" s="1034">
        <f t="shared" si="31"/>
        <v>1</v>
      </c>
      <c r="K54" s="1035">
        <f t="shared" si="45"/>
        <v>0</v>
      </c>
      <c r="L54" s="1089"/>
      <c r="M54" s="1088"/>
      <c r="N54" s="1037">
        <f t="shared" si="46"/>
        <v>0</v>
      </c>
      <c r="O54" s="1034">
        <f t="shared" si="47"/>
        <v>1</v>
      </c>
      <c r="P54" s="1035">
        <f t="shared" si="48"/>
        <v>0</v>
      </c>
      <c r="Q54" s="1089"/>
      <c r="R54" s="1088"/>
      <c r="S54" s="1020">
        <f t="shared" si="49"/>
        <v>0</v>
      </c>
      <c r="T54" s="1034">
        <f t="shared" si="50"/>
        <v>1</v>
      </c>
      <c r="U54" s="1035">
        <f t="shared" si="32"/>
        <v>0</v>
      </c>
      <c r="V54" s="1089"/>
      <c r="W54" s="1088"/>
      <c r="X54" s="1037">
        <f t="shared" si="51"/>
        <v>0</v>
      </c>
      <c r="Y54" s="1034">
        <f t="shared" si="52"/>
        <v>1</v>
      </c>
      <c r="Z54" s="1035">
        <f t="shared" si="33"/>
        <v>0</v>
      </c>
      <c r="AA54" s="1089"/>
      <c r="AB54" s="1088"/>
      <c r="AC54" s="1021">
        <f t="shared" si="53"/>
        <v>0</v>
      </c>
      <c r="AD54" s="1034">
        <f t="shared" si="54"/>
        <v>1</v>
      </c>
      <c r="AE54" s="1035">
        <f t="shared" si="34"/>
        <v>0</v>
      </c>
      <c r="AF54" s="1089"/>
      <c r="AG54" s="1088"/>
      <c r="AH54" s="1037">
        <f t="shared" si="55"/>
        <v>0</v>
      </c>
      <c r="AI54" s="1034">
        <f t="shared" si="56"/>
        <v>1</v>
      </c>
      <c r="AJ54" s="1035">
        <f t="shared" si="35"/>
        <v>0</v>
      </c>
      <c r="AK54" s="1089"/>
      <c r="AL54" s="1088"/>
      <c r="AM54" s="1021">
        <f t="shared" si="57"/>
        <v>0</v>
      </c>
      <c r="AN54" s="1034">
        <f t="shared" si="58"/>
        <v>1</v>
      </c>
      <c r="AO54" s="1035">
        <f t="shared" si="36"/>
        <v>0</v>
      </c>
      <c r="AP54" s="1089"/>
      <c r="AQ54" s="1088"/>
      <c r="AR54" s="1037">
        <f t="shared" si="59"/>
        <v>0</v>
      </c>
      <c r="AS54" s="1034">
        <f t="shared" si="60"/>
        <v>1</v>
      </c>
      <c r="AT54" s="1035">
        <f t="shared" si="37"/>
        <v>0</v>
      </c>
      <c r="AU54" s="1091"/>
      <c r="AV54" s="1088"/>
      <c r="AW54" s="1021">
        <f t="shared" si="61"/>
        <v>0</v>
      </c>
      <c r="AX54" s="1034">
        <f t="shared" si="62"/>
        <v>1</v>
      </c>
      <c r="AY54" s="1035">
        <f t="shared" si="38"/>
        <v>0</v>
      </c>
      <c r="AZ54" s="1089"/>
      <c r="BA54" s="1089"/>
      <c r="BB54" s="1021">
        <f t="shared" si="63"/>
        <v>0</v>
      </c>
      <c r="BC54" s="1034">
        <f t="shared" si="64"/>
        <v>1</v>
      </c>
      <c r="BD54" s="1035">
        <f t="shared" si="39"/>
        <v>0</v>
      </c>
      <c r="BE54" s="1091"/>
      <c r="BF54" s="1088"/>
      <c r="BG54" s="1021">
        <f t="shared" si="65"/>
        <v>0</v>
      </c>
      <c r="BH54" s="1039">
        <f t="shared" si="66"/>
        <v>0</v>
      </c>
      <c r="BI54" s="1038">
        <f t="shared" si="67"/>
        <v>0</v>
      </c>
      <c r="BJ54" s="1027">
        <f t="shared" si="68"/>
        <v>0</v>
      </c>
      <c r="BK54" s="1021">
        <f t="shared" si="25"/>
        <v>0</v>
      </c>
      <c r="BL54" s="1040">
        <f t="shared" si="69"/>
        <v>0</v>
      </c>
      <c r="BM54" s="1038">
        <f t="shared" si="70"/>
        <v>0</v>
      </c>
      <c r="BN54" s="1027"/>
      <c r="BO54" s="1041"/>
      <c r="BP54" s="95">
        <f t="shared" si="43"/>
        <v>0</v>
      </c>
      <c r="BQ54" s="842">
        <f t="shared" si="44"/>
        <v>0</v>
      </c>
      <c r="BR54" s="323"/>
      <c r="BS54" s="757">
        <f t="shared" si="71"/>
        <v>0</v>
      </c>
      <c r="BU54" s="754">
        <f t="shared" si="72"/>
        <v>0</v>
      </c>
      <c r="BV54" s="758"/>
      <c r="BW54" s="763"/>
      <c r="BX54" s="756"/>
      <c r="CD54" s="758"/>
      <c r="CI54" s="764"/>
    </row>
    <row r="55" spans="1:87" s="795" customFormat="1" ht="14.25" outlineLevel="1" thickTop="1" thickBot="1">
      <c r="A55" s="794"/>
      <c r="B55" s="751">
        <f t="shared" si="40"/>
        <v>0</v>
      </c>
      <c r="C55" s="1029"/>
      <c r="D55" s="1031"/>
      <c r="E55" s="1030"/>
      <c r="F55" s="1031"/>
      <c r="G55" s="1029"/>
      <c r="H55" s="1032">
        <f t="shared" si="30"/>
        <v>1</v>
      </c>
      <c r="I55" s="1105"/>
      <c r="J55" s="1034">
        <f t="shared" si="31"/>
        <v>1</v>
      </c>
      <c r="K55" s="1035">
        <f t="shared" si="45"/>
        <v>0</v>
      </c>
      <c r="L55" s="1089"/>
      <c r="M55" s="1088"/>
      <c r="N55" s="1037">
        <f t="shared" si="46"/>
        <v>0</v>
      </c>
      <c r="O55" s="1034">
        <f t="shared" si="47"/>
        <v>1</v>
      </c>
      <c r="P55" s="1035">
        <f t="shared" si="48"/>
        <v>0</v>
      </c>
      <c r="Q55" s="1089"/>
      <c r="R55" s="1088"/>
      <c r="S55" s="1020">
        <f t="shared" si="49"/>
        <v>0</v>
      </c>
      <c r="T55" s="1034">
        <f t="shared" si="50"/>
        <v>1</v>
      </c>
      <c r="U55" s="1035">
        <f t="shared" si="32"/>
        <v>0</v>
      </c>
      <c r="V55" s="1089"/>
      <c r="W55" s="1088"/>
      <c r="X55" s="1037">
        <f t="shared" si="51"/>
        <v>0</v>
      </c>
      <c r="Y55" s="1034">
        <f t="shared" si="52"/>
        <v>1</v>
      </c>
      <c r="Z55" s="1035">
        <f t="shared" si="33"/>
        <v>0</v>
      </c>
      <c r="AA55" s="1089"/>
      <c r="AB55" s="1088"/>
      <c r="AC55" s="1021">
        <f t="shared" si="53"/>
        <v>0</v>
      </c>
      <c r="AD55" s="1034">
        <f t="shared" si="54"/>
        <v>1</v>
      </c>
      <c r="AE55" s="1035">
        <f t="shared" si="34"/>
        <v>0</v>
      </c>
      <c r="AF55" s="1089"/>
      <c r="AG55" s="1088"/>
      <c r="AH55" s="1037">
        <f t="shared" si="55"/>
        <v>0</v>
      </c>
      <c r="AI55" s="1034">
        <f t="shared" si="56"/>
        <v>1</v>
      </c>
      <c r="AJ55" s="1035">
        <f t="shared" si="35"/>
        <v>0</v>
      </c>
      <c r="AK55" s="1089"/>
      <c r="AL55" s="1088"/>
      <c r="AM55" s="1021">
        <f t="shared" si="57"/>
        <v>0</v>
      </c>
      <c r="AN55" s="1034">
        <f t="shared" si="58"/>
        <v>1</v>
      </c>
      <c r="AO55" s="1035">
        <f t="shared" si="36"/>
        <v>0</v>
      </c>
      <c r="AP55" s="1089"/>
      <c r="AQ55" s="1088"/>
      <c r="AR55" s="1037">
        <f t="shared" si="59"/>
        <v>0</v>
      </c>
      <c r="AS55" s="1034">
        <f t="shared" si="60"/>
        <v>1</v>
      </c>
      <c r="AT55" s="1035">
        <f t="shared" si="37"/>
        <v>0</v>
      </c>
      <c r="AU55" s="1089"/>
      <c r="AV55" s="1088"/>
      <c r="AW55" s="1021">
        <f t="shared" si="61"/>
        <v>0</v>
      </c>
      <c r="AX55" s="1034">
        <f t="shared" si="62"/>
        <v>1</v>
      </c>
      <c r="AY55" s="1035">
        <f t="shared" si="38"/>
        <v>0</v>
      </c>
      <c r="AZ55" s="1089"/>
      <c r="BA55" s="1089"/>
      <c r="BB55" s="1021">
        <f t="shared" si="63"/>
        <v>0</v>
      </c>
      <c r="BC55" s="1034">
        <f t="shared" si="64"/>
        <v>1</v>
      </c>
      <c r="BD55" s="1035">
        <f t="shared" si="39"/>
        <v>0</v>
      </c>
      <c r="BE55" s="1091"/>
      <c r="BF55" s="1088"/>
      <c r="BG55" s="1021">
        <f t="shared" si="65"/>
        <v>0</v>
      </c>
      <c r="BH55" s="1039">
        <f t="shared" si="66"/>
        <v>0</v>
      </c>
      <c r="BI55" s="1038">
        <f t="shared" si="67"/>
        <v>0</v>
      </c>
      <c r="BJ55" s="1027">
        <f t="shared" si="68"/>
        <v>0</v>
      </c>
      <c r="BK55" s="1021">
        <f t="shared" si="25"/>
        <v>0</v>
      </c>
      <c r="BL55" s="1040">
        <f t="shared" si="69"/>
        <v>0</v>
      </c>
      <c r="BM55" s="1038">
        <f t="shared" si="70"/>
        <v>0</v>
      </c>
      <c r="BN55" s="1027"/>
      <c r="BO55" s="1041"/>
      <c r="BP55" s="95">
        <f t="shared" si="43"/>
        <v>0</v>
      </c>
      <c r="BQ55" s="842">
        <f t="shared" si="44"/>
        <v>0</v>
      </c>
      <c r="BR55" s="323"/>
      <c r="BS55" s="94">
        <f t="shared" si="71"/>
        <v>0</v>
      </c>
      <c r="BU55" s="632">
        <f t="shared" si="72"/>
        <v>0</v>
      </c>
      <c r="BV55" s="398"/>
      <c r="BW55" s="737"/>
      <c r="BX55" s="323"/>
      <c r="CD55" s="398"/>
      <c r="CI55" s="796"/>
    </row>
    <row r="56" spans="1:87" s="795" customFormat="1" ht="14.25" outlineLevel="1" thickTop="1" thickBot="1">
      <c r="A56" s="794"/>
      <c r="B56" s="751">
        <f t="shared" si="40"/>
        <v>0</v>
      </c>
      <c r="C56" s="1029"/>
      <c r="D56" s="1031"/>
      <c r="E56" s="1030"/>
      <c r="F56" s="1031"/>
      <c r="G56" s="1029"/>
      <c r="H56" s="1032">
        <f t="shared" si="30"/>
        <v>1</v>
      </c>
      <c r="I56" s="1105"/>
      <c r="J56" s="1034">
        <f t="shared" si="31"/>
        <v>1</v>
      </c>
      <c r="K56" s="1035">
        <f t="shared" si="45"/>
        <v>0</v>
      </c>
      <c r="L56" s="1089"/>
      <c r="M56" s="1088"/>
      <c r="N56" s="1037">
        <f t="shared" si="46"/>
        <v>0</v>
      </c>
      <c r="O56" s="1034">
        <f t="shared" si="47"/>
        <v>1</v>
      </c>
      <c r="P56" s="1035">
        <f t="shared" si="48"/>
        <v>0</v>
      </c>
      <c r="Q56" s="1089"/>
      <c r="R56" s="1088"/>
      <c r="S56" s="1020">
        <f t="shared" si="49"/>
        <v>0</v>
      </c>
      <c r="T56" s="1034">
        <f t="shared" si="50"/>
        <v>1</v>
      </c>
      <c r="U56" s="1035">
        <f t="shared" si="32"/>
        <v>0</v>
      </c>
      <c r="V56" s="1089"/>
      <c r="W56" s="1088"/>
      <c r="X56" s="1037">
        <f t="shared" si="51"/>
        <v>0</v>
      </c>
      <c r="Y56" s="1034">
        <f t="shared" si="52"/>
        <v>1</v>
      </c>
      <c r="Z56" s="1035">
        <f t="shared" si="33"/>
        <v>0</v>
      </c>
      <c r="AA56" s="1089"/>
      <c r="AB56" s="1088"/>
      <c r="AC56" s="1021">
        <f t="shared" si="53"/>
        <v>0</v>
      </c>
      <c r="AD56" s="1034">
        <f t="shared" si="54"/>
        <v>1</v>
      </c>
      <c r="AE56" s="1035">
        <f t="shared" si="34"/>
        <v>0</v>
      </c>
      <c r="AF56" s="1089"/>
      <c r="AG56" s="1088"/>
      <c r="AH56" s="1037">
        <f t="shared" si="55"/>
        <v>0</v>
      </c>
      <c r="AI56" s="1034">
        <f t="shared" si="56"/>
        <v>1</v>
      </c>
      <c r="AJ56" s="1035">
        <f t="shared" si="35"/>
        <v>0</v>
      </c>
      <c r="AK56" s="1089"/>
      <c r="AL56" s="1088"/>
      <c r="AM56" s="1021">
        <f t="shared" si="57"/>
        <v>0</v>
      </c>
      <c r="AN56" s="1034">
        <f t="shared" si="58"/>
        <v>1</v>
      </c>
      <c r="AO56" s="1035">
        <f t="shared" si="36"/>
        <v>0</v>
      </c>
      <c r="AP56" s="1089"/>
      <c r="AQ56" s="1088"/>
      <c r="AR56" s="1037">
        <f t="shared" si="59"/>
        <v>0</v>
      </c>
      <c r="AS56" s="1034">
        <f t="shared" si="60"/>
        <v>1</v>
      </c>
      <c r="AT56" s="1035">
        <f t="shared" si="37"/>
        <v>0</v>
      </c>
      <c r="AU56" s="1091"/>
      <c r="AV56" s="1088"/>
      <c r="AW56" s="1021">
        <f t="shared" si="61"/>
        <v>0</v>
      </c>
      <c r="AX56" s="1034">
        <f t="shared" si="62"/>
        <v>1</v>
      </c>
      <c r="AY56" s="1035">
        <f t="shared" si="38"/>
        <v>0</v>
      </c>
      <c r="AZ56" s="1089"/>
      <c r="BA56" s="1089"/>
      <c r="BB56" s="1021">
        <f t="shared" si="63"/>
        <v>0</v>
      </c>
      <c r="BC56" s="1034">
        <f t="shared" si="64"/>
        <v>1</v>
      </c>
      <c r="BD56" s="1035">
        <f t="shared" si="39"/>
        <v>0</v>
      </c>
      <c r="BE56" s="1091"/>
      <c r="BF56" s="1088"/>
      <c r="BG56" s="1021">
        <f t="shared" si="65"/>
        <v>0</v>
      </c>
      <c r="BH56" s="1039">
        <f t="shared" si="66"/>
        <v>0</v>
      </c>
      <c r="BI56" s="1038">
        <f t="shared" si="67"/>
        <v>0</v>
      </c>
      <c r="BJ56" s="1027">
        <f t="shared" si="68"/>
        <v>0</v>
      </c>
      <c r="BK56" s="1021">
        <f t="shared" si="25"/>
        <v>0</v>
      </c>
      <c r="BL56" s="1040">
        <f t="shared" si="69"/>
        <v>0</v>
      </c>
      <c r="BM56" s="1038">
        <f t="shared" si="70"/>
        <v>0</v>
      </c>
      <c r="BN56" s="1027"/>
      <c r="BO56" s="1041"/>
      <c r="BP56" s="95">
        <f t="shared" si="43"/>
        <v>0</v>
      </c>
      <c r="BQ56" s="842">
        <f t="shared" si="44"/>
        <v>0</v>
      </c>
      <c r="BR56" s="323"/>
      <c r="BS56" s="94">
        <f t="shared" si="71"/>
        <v>0</v>
      </c>
      <c r="BU56" s="632">
        <f t="shared" si="72"/>
        <v>0</v>
      </c>
      <c r="BV56" s="398"/>
      <c r="BW56" s="737"/>
      <c r="BX56" s="323"/>
      <c r="CD56" s="398"/>
      <c r="CI56" s="796"/>
    </row>
    <row r="57" spans="1:87" s="795" customFormat="1" ht="14.25" outlineLevel="1" thickTop="1" thickBot="1">
      <c r="A57" s="794"/>
      <c r="B57" s="751">
        <f t="shared" si="40"/>
        <v>0</v>
      </c>
      <c r="C57" s="1029"/>
      <c r="D57" s="1031"/>
      <c r="E57" s="1030"/>
      <c r="F57" s="1031"/>
      <c r="G57" s="1029"/>
      <c r="H57" s="1032">
        <f t="shared" si="30"/>
        <v>1</v>
      </c>
      <c r="I57" s="1105"/>
      <c r="J57" s="1034">
        <f t="shared" si="31"/>
        <v>1</v>
      </c>
      <c r="K57" s="1035">
        <f t="shared" si="45"/>
        <v>0</v>
      </c>
      <c r="L57" s="1089"/>
      <c r="M57" s="1088"/>
      <c r="N57" s="1037">
        <f t="shared" si="46"/>
        <v>0</v>
      </c>
      <c r="O57" s="1034">
        <f t="shared" si="47"/>
        <v>1</v>
      </c>
      <c r="P57" s="1035">
        <f t="shared" si="48"/>
        <v>0</v>
      </c>
      <c r="Q57" s="1089"/>
      <c r="R57" s="1088"/>
      <c r="S57" s="1020">
        <f t="shared" si="49"/>
        <v>0</v>
      </c>
      <c r="T57" s="1034">
        <f t="shared" si="50"/>
        <v>1</v>
      </c>
      <c r="U57" s="1035">
        <f t="shared" si="32"/>
        <v>0</v>
      </c>
      <c r="V57" s="1089"/>
      <c r="W57" s="1088"/>
      <c r="X57" s="1037">
        <f t="shared" si="51"/>
        <v>0</v>
      </c>
      <c r="Y57" s="1034">
        <f t="shared" si="52"/>
        <v>1</v>
      </c>
      <c r="Z57" s="1035">
        <f t="shared" si="33"/>
        <v>0</v>
      </c>
      <c r="AA57" s="1089"/>
      <c r="AB57" s="1088"/>
      <c r="AC57" s="1021">
        <f t="shared" si="53"/>
        <v>0</v>
      </c>
      <c r="AD57" s="1034">
        <f t="shared" si="54"/>
        <v>1</v>
      </c>
      <c r="AE57" s="1035">
        <f t="shared" si="34"/>
        <v>0</v>
      </c>
      <c r="AF57" s="1089"/>
      <c r="AG57" s="1088"/>
      <c r="AH57" s="1037">
        <f t="shared" si="55"/>
        <v>0</v>
      </c>
      <c r="AI57" s="1034">
        <f t="shared" si="56"/>
        <v>1</v>
      </c>
      <c r="AJ57" s="1035">
        <f t="shared" si="35"/>
        <v>0</v>
      </c>
      <c r="AK57" s="1089"/>
      <c r="AL57" s="1088"/>
      <c r="AM57" s="1021">
        <f t="shared" si="57"/>
        <v>0</v>
      </c>
      <c r="AN57" s="1034">
        <f t="shared" si="58"/>
        <v>1</v>
      </c>
      <c r="AO57" s="1035">
        <f t="shared" si="36"/>
        <v>0</v>
      </c>
      <c r="AP57" s="1089"/>
      <c r="AQ57" s="1088"/>
      <c r="AR57" s="1037">
        <f t="shared" si="59"/>
        <v>0</v>
      </c>
      <c r="AS57" s="1034">
        <f t="shared" si="60"/>
        <v>1</v>
      </c>
      <c r="AT57" s="1035">
        <f t="shared" si="37"/>
        <v>0</v>
      </c>
      <c r="AU57" s="1089"/>
      <c r="AV57" s="1088"/>
      <c r="AW57" s="1021">
        <f t="shared" si="61"/>
        <v>0</v>
      </c>
      <c r="AX57" s="1034">
        <f t="shared" si="62"/>
        <v>1</v>
      </c>
      <c r="AY57" s="1035">
        <f t="shared" si="38"/>
        <v>0</v>
      </c>
      <c r="AZ57" s="1089"/>
      <c r="BA57" s="1089"/>
      <c r="BB57" s="1021">
        <f t="shared" si="63"/>
        <v>0</v>
      </c>
      <c r="BC57" s="1034">
        <f t="shared" si="64"/>
        <v>1</v>
      </c>
      <c r="BD57" s="1035">
        <f t="shared" si="39"/>
        <v>0</v>
      </c>
      <c r="BE57" s="1091"/>
      <c r="BF57" s="1088"/>
      <c r="BG57" s="1021">
        <f t="shared" si="65"/>
        <v>0</v>
      </c>
      <c r="BH57" s="1039">
        <f t="shared" si="66"/>
        <v>0</v>
      </c>
      <c r="BI57" s="1038">
        <f t="shared" si="67"/>
        <v>0</v>
      </c>
      <c r="BJ57" s="1027">
        <f t="shared" si="68"/>
        <v>0</v>
      </c>
      <c r="BK57" s="1021">
        <f t="shared" si="25"/>
        <v>0</v>
      </c>
      <c r="BL57" s="1040">
        <f t="shared" si="69"/>
        <v>0</v>
      </c>
      <c r="BM57" s="1038">
        <f t="shared" si="70"/>
        <v>0</v>
      </c>
      <c r="BN57" s="1027"/>
      <c r="BO57" s="1041"/>
      <c r="BP57" s="95">
        <f t="shared" si="43"/>
        <v>0</v>
      </c>
      <c r="BQ57" s="842">
        <f t="shared" si="44"/>
        <v>0</v>
      </c>
      <c r="BR57" s="323"/>
      <c r="BS57" s="94">
        <f t="shared" si="71"/>
        <v>0</v>
      </c>
      <c r="BU57" s="632">
        <f t="shared" si="72"/>
        <v>0</v>
      </c>
      <c r="BV57" s="398"/>
      <c r="BW57" s="737"/>
      <c r="BX57" s="323"/>
      <c r="CD57" s="398"/>
      <c r="CI57" s="796"/>
    </row>
    <row r="58" spans="1:87" s="795" customFormat="1" ht="14.25" outlineLevel="1" thickTop="1" thickBot="1">
      <c r="A58" s="794"/>
      <c r="B58" s="751">
        <f t="shared" si="40"/>
        <v>0</v>
      </c>
      <c r="C58" s="1029"/>
      <c r="D58" s="1031"/>
      <c r="E58" s="1030"/>
      <c r="F58" s="1031"/>
      <c r="G58" s="1029"/>
      <c r="H58" s="1032">
        <f t="shared" si="30"/>
        <v>1</v>
      </c>
      <c r="I58" s="1105"/>
      <c r="J58" s="1034">
        <f t="shared" si="31"/>
        <v>1</v>
      </c>
      <c r="K58" s="1035">
        <f t="shared" si="45"/>
        <v>0</v>
      </c>
      <c r="L58" s="1089"/>
      <c r="M58" s="1088"/>
      <c r="N58" s="1037">
        <f t="shared" si="46"/>
        <v>0</v>
      </c>
      <c r="O58" s="1034">
        <f t="shared" si="47"/>
        <v>1</v>
      </c>
      <c r="P58" s="1035">
        <f t="shared" si="48"/>
        <v>0</v>
      </c>
      <c r="Q58" s="1089"/>
      <c r="R58" s="1088"/>
      <c r="S58" s="1020">
        <f t="shared" si="49"/>
        <v>0</v>
      </c>
      <c r="T58" s="1034">
        <f t="shared" si="50"/>
        <v>1</v>
      </c>
      <c r="U58" s="1035">
        <f t="shared" si="32"/>
        <v>0</v>
      </c>
      <c r="V58" s="1089"/>
      <c r="W58" s="1088"/>
      <c r="X58" s="1037">
        <f t="shared" si="51"/>
        <v>0</v>
      </c>
      <c r="Y58" s="1034">
        <f t="shared" si="52"/>
        <v>1</v>
      </c>
      <c r="Z58" s="1035">
        <f t="shared" si="33"/>
        <v>0</v>
      </c>
      <c r="AA58" s="1089"/>
      <c r="AB58" s="1088"/>
      <c r="AC58" s="1021">
        <f t="shared" si="53"/>
        <v>0</v>
      </c>
      <c r="AD58" s="1034">
        <f t="shared" si="54"/>
        <v>1</v>
      </c>
      <c r="AE58" s="1035">
        <f t="shared" si="34"/>
        <v>0</v>
      </c>
      <c r="AF58" s="1089"/>
      <c r="AG58" s="1088"/>
      <c r="AH58" s="1037">
        <f t="shared" si="55"/>
        <v>0</v>
      </c>
      <c r="AI58" s="1034">
        <f t="shared" si="56"/>
        <v>1</v>
      </c>
      <c r="AJ58" s="1035">
        <f t="shared" si="35"/>
        <v>0</v>
      </c>
      <c r="AK58" s="1089"/>
      <c r="AL58" s="1088"/>
      <c r="AM58" s="1021">
        <f t="shared" si="57"/>
        <v>0</v>
      </c>
      <c r="AN58" s="1034">
        <f t="shared" si="58"/>
        <v>1</v>
      </c>
      <c r="AO58" s="1035">
        <f t="shared" si="36"/>
        <v>0</v>
      </c>
      <c r="AP58" s="1089"/>
      <c r="AQ58" s="1088"/>
      <c r="AR58" s="1037">
        <f t="shared" si="59"/>
        <v>0</v>
      </c>
      <c r="AS58" s="1034">
        <f t="shared" si="60"/>
        <v>1</v>
      </c>
      <c r="AT58" s="1035">
        <f t="shared" si="37"/>
        <v>0</v>
      </c>
      <c r="AU58" s="1091"/>
      <c r="AV58" s="1088"/>
      <c r="AW58" s="1021">
        <f t="shared" si="61"/>
        <v>0</v>
      </c>
      <c r="AX58" s="1034">
        <f t="shared" si="62"/>
        <v>1</v>
      </c>
      <c r="AY58" s="1035">
        <f t="shared" si="38"/>
        <v>0</v>
      </c>
      <c r="AZ58" s="1089"/>
      <c r="BA58" s="1089"/>
      <c r="BB58" s="1021">
        <f t="shared" si="63"/>
        <v>0</v>
      </c>
      <c r="BC58" s="1034">
        <f t="shared" si="64"/>
        <v>1</v>
      </c>
      <c r="BD58" s="1035">
        <f t="shared" si="39"/>
        <v>0</v>
      </c>
      <c r="BE58" s="1091"/>
      <c r="BF58" s="1088"/>
      <c r="BG58" s="1021">
        <f t="shared" si="65"/>
        <v>0</v>
      </c>
      <c r="BH58" s="1039">
        <f t="shared" si="66"/>
        <v>0</v>
      </c>
      <c r="BI58" s="1038">
        <f t="shared" si="67"/>
        <v>0</v>
      </c>
      <c r="BJ58" s="1027">
        <f t="shared" si="68"/>
        <v>0</v>
      </c>
      <c r="BK58" s="1021">
        <f t="shared" si="25"/>
        <v>0</v>
      </c>
      <c r="BL58" s="1040">
        <f t="shared" si="69"/>
        <v>0</v>
      </c>
      <c r="BM58" s="1038">
        <f t="shared" si="70"/>
        <v>0</v>
      </c>
      <c r="BN58" s="1027"/>
      <c r="BO58" s="1041"/>
      <c r="BP58" s="95">
        <f t="shared" si="43"/>
        <v>0</v>
      </c>
      <c r="BQ58" s="842">
        <f t="shared" si="44"/>
        <v>0</v>
      </c>
      <c r="BR58" s="323"/>
      <c r="BS58" s="94">
        <f t="shared" si="71"/>
        <v>0</v>
      </c>
      <c r="BU58" s="632">
        <f t="shared" si="72"/>
        <v>0</v>
      </c>
      <c r="BV58" s="398"/>
      <c r="BW58" s="737"/>
      <c r="BX58" s="323"/>
      <c r="CD58" s="398"/>
      <c r="CI58" s="796"/>
    </row>
    <row r="59" spans="1:87" s="795" customFormat="1" ht="14.25" outlineLevel="1" thickTop="1" thickBot="1">
      <c r="A59" s="794"/>
      <c r="B59" s="751">
        <f t="shared" si="40"/>
        <v>0</v>
      </c>
      <c r="C59" s="1029"/>
      <c r="D59" s="1031"/>
      <c r="E59" s="1030"/>
      <c r="F59" s="1031"/>
      <c r="G59" s="1029"/>
      <c r="H59" s="1032">
        <f t="shared" si="30"/>
        <v>1</v>
      </c>
      <c r="I59" s="1105"/>
      <c r="J59" s="1034">
        <f t="shared" si="31"/>
        <v>1</v>
      </c>
      <c r="K59" s="1035">
        <f t="shared" si="45"/>
        <v>0</v>
      </c>
      <c r="L59" s="1089"/>
      <c r="M59" s="1088"/>
      <c r="N59" s="1037">
        <f t="shared" si="46"/>
        <v>0</v>
      </c>
      <c r="O59" s="1034">
        <f t="shared" si="47"/>
        <v>1</v>
      </c>
      <c r="P59" s="1035">
        <f t="shared" si="48"/>
        <v>0</v>
      </c>
      <c r="Q59" s="1089"/>
      <c r="R59" s="1088"/>
      <c r="S59" s="1020">
        <f t="shared" si="49"/>
        <v>0</v>
      </c>
      <c r="T59" s="1034">
        <f t="shared" si="50"/>
        <v>1</v>
      </c>
      <c r="U59" s="1035">
        <f t="shared" si="32"/>
        <v>0</v>
      </c>
      <c r="V59" s="1089"/>
      <c r="W59" s="1088"/>
      <c r="X59" s="1037">
        <f t="shared" si="51"/>
        <v>0</v>
      </c>
      <c r="Y59" s="1034">
        <f t="shared" si="52"/>
        <v>1</v>
      </c>
      <c r="Z59" s="1035">
        <f t="shared" si="33"/>
        <v>0</v>
      </c>
      <c r="AA59" s="1089"/>
      <c r="AB59" s="1088"/>
      <c r="AC59" s="1021">
        <f t="shared" si="53"/>
        <v>0</v>
      </c>
      <c r="AD59" s="1034">
        <f t="shared" si="54"/>
        <v>1</v>
      </c>
      <c r="AE59" s="1035">
        <f t="shared" si="34"/>
        <v>0</v>
      </c>
      <c r="AF59" s="1089"/>
      <c r="AG59" s="1088"/>
      <c r="AH59" s="1037">
        <f t="shared" si="55"/>
        <v>0</v>
      </c>
      <c r="AI59" s="1034">
        <f t="shared" si="56"/>
        <v>1</v>
      </c>
      <c r="AJ59" s="1035">
        <f t="shared" si="35"/>
        <v>0</v>
      </c>
      <c r="AK59" s="1089"/>
      <c r="AL59" s="1088"/>
      <c r="AM59" s="1021">
        <f t="shared" si="57"/>
        <v>0</v>
      </c>
      <c r="AN59" s="1034">
        <f t="shared" si="58"/>
        <v>1</v>
      </c>
      <c r="AO59" s="1035">
        <f t="shared" si="36"/>
        <v>0</v>
      </c>
      <c r="AP59" s="1089"/>
      <c r="AQ59" s="1088"/>
      <c r="AR59" s="1037">
        <f t="shared" si="59"/>
        <v>0</v>
      </c>
      <c r="AS59" s="1034">
        <f t="shared" si="60"/>
        <v>1</v>
      </c>
      <c r="AT59" s="1035">
        <f t="shared" si="37"/>
        <v>0</v>
      </c>
      <c r="AU59" s="1089"/>
      <c r="AV59" s="1088"/>
      <c r="AW59" s="1021">
        <f t="shared" si="61"/>
        <v>0</v>
      </c>
      <c r="AX59" s="1034">
        <f t="shared" si="62"/>
        <v>1</v>
      </c>
      <c r="AY59" s="1035">
        <f t="shared" si="38"/>
        <v>0</v>
      </c>
      <c r="AZ59" s="1089"/>
      <c r="BA59" s="1089"/>
      <c r="BB59" s="1021">
        <f t="shared" si="63"/>
        <v>0</v>
      </c>
      <c r="BC59" s="1034">
        <f t="shared" si="64"/>
        <v>1</v>
      </c>
      <c r="BD59" s="1035">
        <f t="shared" si="39"/>
        <v>0</v>
      </c>
      <c r="BE59" s="1091"/>
      <c r="BF59" s="1088"/>
      <c r="BG59" s="1021">
        <f t="shared" si="65"/>
        <v>0</v>
      </c>
      <c r="BH59" s="1039">
        <f t="shared" si="66"/>
        <v>0</v>
      </c>
      <c r="BI59" s="1038">
        <f t="shared" si="67"/>
        <v>0</v>
      </c>
      <c r="BJ59" s="1027">
        <f t="shared" si="68"/>
        <v>0</v>
      </c>
      <c r="BK59" s="1021">
        <f t="shared" si="25"/>
        <v>0</v>
      </c>
      <c r="BL59" s="1040">
        <f t="shared" si="69"/>
        <v>0</v>
      </c>
      <c r="BM59" s="1038">
        <f t="shared" si="70"/>
        <v>0</v>
      </c>
      <c r="BN59" s="1027"/>
      <c r="BO59" s="1041"/>
      <c r="BP59" s="95">
        <f t="shared" si="43"/>
        <v>0</v>
      </c>
      <c r="BQ59" s="842">
        <f t="shared" si="44"/>
        <v>0</v>
      </c>
      <c r="BR59" s="323"/>
      <c r="BS59" s="94">
        <f t="shared" si="71"/>
        <v>0</v>
      </c>
      <c r="BU59" s="632">
        <f t="shared" si="72"/>
        <v>0</v>
      </c>
      <c r="BV59" s="398"/>
      <c r="BW59" s="737"/>
      <c r="BX59" s="323"/>
      <c r="CD59" s="398"/>
      <c r="CI59" s="796"/>
    </row>
    <row r="60" spans="1:87" s="795" customFormat="1" ht="14.25" outlineLevel="1" thickTop="1" thickBot="1">
      <c r="A60" s="794"/>
      <c r="B60" s="751">
        <f t="shared" si="40"/>
        <v>0</v>
      </c>
      <c r="C60" s="1029"/>
      <c r="D60" s="1031"/>
      <c r="E60" s="1030"/>
      <c r="F60" s="1031"/>
      <c r="G60" s="1029"/>
      <c r="H60" s="1032">
        <f t="shared" si="30"/>
        <v>1</v>
      </c>
      <c r="I60" s="1105"/>
      <c r="J60" s="1034">
        <f t="shared" si="31"/>
        <v>1</v>
      </c>
      <c r="K60" s="1035">
        <f t="shared" si="45"/>
        <v>0</v>
      </c>
      <c r="L60" s="1089"/>
      <c r="M60" s="1088"/>
      <c r="N60" s="1037">
        <f t="shared" si="46"/>
        <v>0</v>
      </c>
      <c r="O60" s="1034">
        <f t="shared" si="47"/>
        <v>1</v>
      </c>
      <c r="P60" s="1035">
        <f t="shared" si="48"/>
        <v>0</v>
      </c>
      <c r="Q60" s="1089"/>
      <c r="R60" s="1088"/>
      <c r="S60" s="1020">
        <f t="shared" si="49"/>
        <v>0</v>
      </c>
      <c r="T60" s="1034">
        <f t="shared" si="50"/>
        <v>1</v>
      </c>
      <c r="U60" s="1035">
        <f t="shared" si="32"/>
        <v>0</v>
      </c>
      <c r="V60" s="1089"/>
      <c r="W60" s="1088"/>
      <c r="X60" s="1037">
        <f t="shared" si="51"/>
        <v>0</v>
      </c>
      <c r="Y60" s="1034">
        <f t="shared" si="52"/>
        <v>1</v>
      </c>
      <c r="Z60" s="1035">
        <f t="shared" si="33"/>
        <v>0</v>
      </c>
      <c r="AA60" s="1089"/>
      <c r="AB60" s="1088"/>
      <c r="AC60" s="1021">
        <f t="shared" si="53"/>
        <v>0</v>
      </c>
      <c r="AD60" s="1034">
        <f t="shared" si="54"/>
        <v>1</v>
      </c>
      <c r="AE60" s="1035">
        <f t="shared" si="34"/>
        <v>0</v>
      </c>
      <c r="AF60" s="1089"/>
      <c r="AG60" s="1088"/>
      <c r="AH60" s="1037">
        <f t="shared" si="55"/>
        <v>0</v>
      </c>
      <c r="AI60" s="1034">
        <f t="shared" si="56"/>
        <v>1</v>
      </c>
      <c r="AJ60" s="1035">
        <f t="shared" si="35"/>
        <v>0</v>
      </c>
      <c r="AK60" s="1089"/>
      <c r="AL60" s="1088"/>
      <c r="AM60" s="1021">
        <f t="shared" si="57"/>
        <v>0</v>
      </c>
      <c r="AN60" s="1034">
        <f t="shared" si="58"/>
        <v>1</v>
      </c>
      <c r="AO60" s="1035">
        <f t="shared" si="36"/>
        <v>0</v>
      </c>
      <c r="AP60" s="1089"/>
      <c r="AQ60" s="1088"/>
      <c r="AR60" s="1037">
        <f t="shared" si="59"/>
        <v>0</v>
      </c>
      <c r="AS60" s="1034">
        <f t="shared" si="60"/>
        <v>1</v>
      </c>
      <c r="AT60" s="1035">
        <f t="shared" si="37"/>
        <v>0</v>
      </c>
      <c r="AU60" s="1091"/>
      <c r="AV60" s="1088"/>
      <c r="AW60" s="1021">
        <f t="shared" si="61"/>
        <v>0</v>
      </c>
      <c r="AX60" s="1034">
        <f t="shared" si="62"/>
        <v>1</v>
      </c>
      <c r="AY60" s="1035">
        <f t="shared" si="38"/>
        <v>0</v>
      </c>
      <c r="AZ60" s="1089"/>
      <c r="BA60" s="1089"/>
      <c r="BB60" s="1021">
        <f t="shared" si="63"/>
        <v>0</v>
      </c>
      <c r="BC60" s="1034">
        <f t="shared" si="64"/>
        <v>1</v>
      </c>
      <c r="BD60" s="1035">
        <f t="shared" si="39"/>
        <v>0</v>
      </c>
      <c r="BE60" s="1091"/>
      <c r="BF60" s="1088"/>
      <c r="BG60" s="1021">
        <f t="shared" si="65"/>
        <v>0</v>
      </c>
      <c r="BH60" s="1039">
        <f t="shared" si="66"/>
        <v>0</v>
      </c>
      <c r="BI60" s="1038">
        <f t="shared" si="67"/>
        <v>0</v>
      </c>
      <c r="BJ60" s="1027">
        <f t="shared" si="68"/>
        <v>0</v>
      </c>
      <c r="BK60" s="1021">
        <f t="shared" si="25"/>
        <v>0</v>
      </c>
      <c r="BL60" s="1040">
        <f t="shared" si="69"/>
        <v>0</v>
      </c>
      <c r="BM60" s="1038">
        <f t="shared" si="70"/>
        <v>0</v>
      </c>
      <c r="BN60" s="1027"/>
      <c r="BO60" s="1041"/>
      <c r="BP60" s="95">
        <f t="shared" si="43"/>
        <v>0</v>
      </c>
      <c r="BQ60" s="842">
        <f t="shared" si="44"/>
        <v>0</v>
      </c>
      <c r="BR60" s="323"/>
      <c r="BS60" s="94">
        <f t="shared" si="71"/>
        <v>0</v>
      </c>
      <c r="BU60" s="632">
        <f t="shared" si="72"/>
        <v>0</v>
      </c>
      <c r="BV60" s="398"/>
      <c r="BW60" s="737"/>
      <c r="BX60" s="323"/>
      <c r="CD60" s="398"/>
      <c r="CI60" s="796"/>
    </row>
    <row r="61" spans="1:87" s="795" customFormat="1" ht="14.25" outlineLevel="1" thickTop="1" thickBot="1">
      <c r="A61" s="794"/>
      <c r="B61" s="751">
        <f t="shared" si="40"/>
        <v>0</v>
      </c>
      <c r="C61" s="1029"/>
      <c r="D61" s="1031"/>
      <c r="E61" s="1030"/>
      <c r="F61" s="1031"/>
      <c r="G61" s="1029"/>
      <c r="H61" s="1032">
        <f t="shared" si="30"/>
        <v>1</v>
      </c>
      <c r="I61" s="1105"/>
      <c r="J61" s="1034">
        <f t="shared" si="31"/>
        <v>1</v>
      </c>
      <c r="K61" s="1035">
        <f t="shared" si="45"/>
        <v>0</v>
      </c>
      <c r="L61" s="1089"/>
      <c r="M61" s="1088"/>
      <c r="N61" s="1037">
        <f t="shared" si="46"/>
        <v>0</v>
      </c>
      <c r="O61" s="1034">
        <f t="shared" si="47"/>
        <v>1</v>
      </c>
      <c r="P61" s="1035">
        <f t="shared" si="48"/>
        <v>0</v>
      </c>
      <c r="Q61" s="1089"/>
      <c r="R61" s="1088"/>
      <c r="S61" s="1020">
        <f t="shared" si="49"/>
        <v>0</v>
      </c>
      <c r="T61" s="1034">
        <f t="shared" si="50"/>
        <v>1</v>
      </c>
      <c r="U61" s="1035">
        <f t="shared" si="32"/>
        <v>0</v>
      </c>
      <c r="V61" s="1089"/>
      <c r="W61" s="1088"/>
      <c r="X61" s="1037">
        <f t="shared" si="51"/>
        <v>0</v>
      </c>
      <c r="Y61" s="1034">
        <f t="shared" si="52"/>
        <v>1</v>
      </c>
      <c r="Z61" s="1035">
        <f t="shared" si="33"/>
        <v>0</v>
      </c>
      <c r="AA61" s="1089"/>
      <c r="AB61" s="1088"/>
      <c r="AC61" s="1021">
        <f t="shared" si="53"/>
        <v>0</v>
      </c>
      <c r="AD61" s="1034">
        <f t="shared" si="54"/>
        <v>1</v>
      </c>
      <c r="AE61" s="1035">
        <f t="shared" si="34"/>
        <v>0</v>
      </c>
      <c r="AF61" s="1089"/>
      <c r="AG61" s="1088"/>
      <c r="AH61" s="1037">
        <f t="shared" si="55"/>
        <v>0</v>
      </c>
      <c r="AI61" s="1034">
        <f t="shared" si="56"/>
        <v>1</v>
      </c>
      <c r="AJ61" s="1035">
        <f t="shared" si="35"/>
        <v>0</v>
      </c>
      <c r="AK61" s="1089"/>
      <c r="AL61" s="1088"/>
      <c r="AM61" s="1021">
        <f t="shared" si="57"/>
        <v>0</v>
      </c>
      <c r="AN61" s="1034">
        <f t="shared" si="58"/>
        <v>1</v>
      </c>
      <c r="AO61" s="1035">
        <f t="shared" si="36"/>
        <v>0</v>
      </c>
      <c r="AP61" s="1089"/>
      <c r="AQ61" s="1088"/>
      <c r="AR61" s="1037">
        <f t="shared" si="59"/>
        <v>0</v>
      </c>
      <c r="AS61" s="1034">
        <f t="shared" si="60"/>
        <v>1</v>
      </c>
      <c r="AT61" s="1035">
        <f t="shared" si="37"/>
        <v>0</v>
      </c>
      <c r="AU61" s="1089"/>
      <c r="AV61" s="1088"/>
      <c r="AW61" s="1021">
        <f t="shared" si="61"/>
        <v>0</v>
      </c>
      <c r="AX61" s="1034">
        <f t="shared" si="62"/>
        <v>1</v>
      </c>
      <c r="AY61" s="1035">
        <f t="shared" si="38"/>
        <v>0</v>
      </c>
      <c r="AZ61" s="1089"/>
      <c r="BA61" s="1089"/>
      <c r="BB61" s="1021">
        <f t="shared" si="63"/>
        <v>0</v>
      </c>
      <c r="BC61" s="1034">
        <f t="shared" si="64"/>
        <v>1</v>
      </c>
      <c r="BD61" s="1035">
        <f t="shared" si="39"/>
        <v>0</v>
      </c>
      <c r="BE61" s="1091"/>
      <c r="BF61" s="1088"/>
      <c r="BG61" s="1021">
        <f t="shared" si="65"/>
        <v>0</v>
      </c>
      <c r="BH61" s="1039">
        <f t="shared" si="66"/>
        <v>0</v>
      </c>
      <c r="BI61" s="1038">
        <f t="shared" si="67"/>
        <v>0</v>
      </c>
      <c r="BJ61" s="1027">
        <f t="shared" si="68"/>
        <v>0</v>
      </c>
      <c r="BK61" s="1021">
        <f t="shared" si="25"/>
        <v>0</v>
      </c>
      <c r="BL61" s="1040">
        <f t="shared" si="69"/>
        <v>0</v>
      </c>
      <c r="BM61" s="1038">
        <f t="shared" si="70"/>
        <v>0</v>
      </c>
      <c r="BN61" s="1027"/>
      <c r="BO61" s="1041"/>
      <c r="BP61" s="95">
        <f t="shared" si="43"/>
        <v>0</v>
      </c>
      <c r="BQ61" s="842">
        <f t="shared" si="44"/>
        <v>0</v>
      </c>
      <c r="BR61" s="323"/>
      <c r="BS61" s="94">
        <f t="shared" si="71"/>
        <v>0</v>
      </c>
      <c r="BU61" s="632">
        <f t="shared" si="72"/>
        <v>0</v>
      </c>
      <c r="BV61" s="398"/>
      <c r="BW61" s="737"/>
      <c r="BX61" s="323"/>
      <c r="CD61" s="398"/>
      <c r="CI61" s="796"/>
    </row>
    <row r="62" spans="1:87" s="795" customFormat="1" ht="14.25" outlineLevel="1" thickTop="1" thickBot="1">
      <c r="A62" s="794"/>
      <c r="B62" s="751">
        <f t="shared" si="40"/>
        <v>0</v>
      </c>
      <c r="C62" s="1029"/>
      <c r="D62" s="1031"/>
      <c r="E62" s="1030"/>
      <c r="F62" s="1031"/>
      <c r="G62" s="1029"/>
      <c r="H62" s="1032">
        <f t="shared" si="30"/>
        <v>1</v>
      </c>
      <c r="I62" s="1105"/>
      <c r="J62" s="1034">
        <f t="shared" si="31"/>
        <v>1</v>
      </c>
      <c r="K62" s="1035">
        <f t="shared" si="45"/>
        <v>0</v>
      </c>
      <c r="L62" s="1089"/>
      <c r="M62" s="1088"/>
      <c r="N62" s="1037">
        <f t="shared" si="46"/>
        <v>0</v>
      </c>
      <c r="O62" s="1034">
        <f t="shared" si="47"/>
        <v>1</v>
      </c>
      <c r="P62" s="1035">
        <f t="shared" si="48"/>
        <v>0</v>
      </c>
      <c r="Q62" s="1089"/>
      <c r="R62" s="1088"/>
      <c r="S62" s="1020">
        <f t="shared" si="49"/>
        <v>0</v>
      </c>
      <c r="T62" s="1034">
        <f t="shared" si="50"/>
        <v>1</v>
      </c>
      <c r="U62" s="1035">
        <f t="shared" si="32"/>
        <v>0</v>
      </c>
      <c r="V62" s="1089"/>
      <c r="W62" s="1088"/>
      <c r="X62" s="1037">
        <f t="shared" si="51"/>
        <v>0</v>
      </c>
      <c r="Y62" s="1034">
        <f t="shared" si="52"/>
        <v>1</v>
      </c>
      <c r="Z62" s="1035">
        <f t="shared" si="33"/>
        <v>0</v>
      </c>
      <c r="AA62" s="1089"/>
      <c r="AB62" s="1088"/>
      <c r="AC62" s="1021">
        <f t="shared" si="53"/>
        <v>0</v>
      </c>
      <c r="AD62" s="1034">
        <f t="shared" si="54"/>
        <v>1</v>
      </c>
      <c r="AE62" s="1035">
        <f t="shared" si="34"/>
        <v>0</v>
      </c>
      <c r="AF62" s="1089"/>
      <c r="AG62" s="1088"/>
      <c r="AH62" s="1037">
        <f t="shared" si="55"/>
        <v>0</v>
      </c>
      <c r="AI62" s="1034">
        <f t="shared" si="56"/>
        <v>1</v>
      </c>
      <c r="AJ62" s="1035">
        <f t="shared" si="35"/>
        <v>0</v>
      </c>
      <c r="AK62" s="1089"/>
      <c r="AL62" s="1088"/>
      <c r="AM62" s="1021">
        <f t="shared" si="57"/>
        <v>0</v>
      </c>
      <c r="AN62" s="1034">
        <f t="shared" si="58"/>
        <v>1</v>
      </c>
      <c r="AO62" s="1035">
        <f t="shared" si="36"/>
        <v>0</v>
      </c>
      <c r="AP62" s="1089"/>
      <c r="AQ62" s="1088"/>
      <c r="AR62" s="1037">
        <f t="shared" si="59"/>
        <v>0</v>
      </c>
      <c r="AS62" s="1034">
        <f t="shared" si="60"/>
        <v>1</v>
      </c>
      <c r="AT62" s="1035">
        <f t="shared" si="37"/>
        <v>0</v>
      </c>
      <c r="AU62" s="1091"/>
      <c r="AV62" s="1088"/>
      <c r="AW62" s="1021">
        <f t="shared" si="61"/>
        <v>0</v>
      </c>
      <c r="AX62" s="1034">
        <f t="shared" si="62"/>
        <v>1</v>
      </c>
      <c r="AY62" s="1035">
        <f t="shared" si="38"/>
        <v>0</v>
      </c>
      <c r="AZ62" s="1089"/>
      <c r="BA62" s="1089"/>
      <c r="BB62" s="1021">
        <f t="shared" si="63"/>
        <v>0</v>
      </c>
      <c r="BC62" s="1034">
        <f t="shared" si="64"/>
        <v>1</v>
      </c>
      <c r="BD62" s="1035">
        <f t="shared" si="39"/>
        <v>0</v>
      </c>
      <c r="BE62" s="1091"/>
      <c r="BF62" s="1088"/>
      <c r="BG62" s="1021">
        <f t="shared" si="65"/>
        <v>0</v>
      </c>
      <c r="BH62" s="1039">
        <f t="shared" si="66"/>
        <v>0</v>
      </c>
      <c r="BI62" s="1038">
        <f t="shared" si="67"/>
        <v>0</v>
      </c>
      <c r="BJ62" s="1027">
        <f t="shared" si="68"/>
        <v>0</v>
      </c>
      <c r="BK62" s="1021">
        <f t="shared" si="25"/>
        <v>0</v>
      </c>
      <c r="BL62" s="1040">
        <f t="shared" si="69"/>
        <v>0</v>
      </c>
      <c r="BM62" s="1038">
        <f t="shared" si="70"/>
        <v>0</v>
      </c>
      <c r="BN62" s="1027"/>
      <c r="BO62" s="1041"/>
      <c r="BP62" s="95">
        <f t="shared" si="43"/>
        <v>0</v>
      </c>
      <c r="BQ62" s="842">
        <f t="shared" si="44"/>
        <v>0</v>
      </c>
      <c r="BR62" s="323"/>
      <c r="BS62" s="94">
        <f t="shared" si="71"/>
        <v>0</v>
      </c>
      <c r="BU62" s="632">
        <f t="shared" si="72"/>
        <v>0</v>
      </c>
      <c r="BV62" s="398"/>
      <c r="BW62" s="737"/>
      <c r="BX62" s="323"/>
      <c r="CD62" s="398"/>
      <c r="CI62" s="796"/>
    </row>
    <row r="63" spans="1:87" s="750" customFormat="1" ht="14.25" outlineLevel="1" thickTop="1" thickBot="1">
      <c r="B63" s="751">
        <f t="shared" si="40"/>
        <v>0</v>
      </c>
      <c r="C63" s="1029"/>
      <c r="D63" s="1031"/>
      <c r="E63" s="1030"/>
      <c r="F63" s="1031"/>
      <c r="G63" s="1029"/>
      <c r="H63" s="1032">
        <f t="shared" si="30"/>
        <v>1</v>
      </c>
      <c r="I63" s="1105"/>
      <c r="J63" s="1034">
        <f t="shared" si="31"/>
        <v>1</v>
      </c>
      <c r="K63" s="1035">
        <f t="shared" si="45"/>
        <v>0</v>
      </c>
      <c r="L63" s="1089"/>
      <c r="M63" s="1088"/>
      <c r="N63" s="1037">
        <f t="shared" si="46"/>
        <v>0</v>
      </c>
      <c r="O63" s="1034">
        <f t="shared" si="47"/>
        <v>1</v>
      </c>
      <c r="P63" s="1035">
        <f t="shared" si="48"/>
        <v>0</v>
      </c>
      <c r="Q63" s="1089"/>
      <c r="R63" s="1088"/>
      <c r="S63" s="1020">
        <f t="shared" si="49"/>
        <v>0</v>
      </c>
      <c r="T63" s="1034">
        <f t="shared" si="50"/>
        <v>1</v>
      </c>
      <c r="U63" s="1035">
        <f t="shared" si="32"/>
        <v>0</v>
      </c>
      <c r="V63" s="1089"/>
      <c r="W63" s="1088"/>
      <c r="X63" s="1037">
        <f t="shared" si="51"/>
        <v>0</v>
      </c>
      <c r="Y63" s="1034">
        <f t="shared" si="52"/>
        <v>1</v>
      </c>
      <c r="Z63" s="1035">
        <f t="shared" si="33"/>
        <v>0</v>
      </c>
      <c r="AA63" s="1089"/>
      <c r="AB63" s="1088"/>
      <c r="AC63" s="1021">
        <f t="shared" si="53"/>
        <v>0</v>
      </c>
      <c r="AD63" s="1034">
        <f t="shared" si="54"/>
        <v>1</v>
      </c>
      <c r="AE63" s="1035">
        <f t="shared" si="34"/>
        <v>0</v>
      </c>
      <c r="AF63" s="1089"/>
      <c r="AG63" s="1088"/>
      <c r="AH63" s="1037">
        <f t="shared" si="55"/>
        <v>0</v>
      </c>
      <c r="AI63" s="1034">
        <f t="shared" si="56"/>
        <v>1</v>
      </c>
      <c r="AJ63" s="1035">
        <f t="shared" si="35"/>
        <v>0</v>
      </c>
      <c r="AK63" s="1089"/>
      <c r="AL63" s="1088"/>
      <c r="AM63" s="1021">
        <f t="shared" si="57"/>
        <v>0</v>
      </c>
      <c r="AN63" s="1034">
        <f t="shared" si="58"/>
        <v>1</v>
      </c>
      <c r="AO63" s="1035">
        <f t="shared" si="36"/>
        <v>0</v>
      </c>
      <c r="AP63" s="1089"/>
      <c r="AQ63" s="1088"/>
      <c r="AR63" s="1037">
        <f t="shared" si="59"/>
        <v>0</v>
      </c>
      <c r="AS63" s="1034">
        <f t="shared" si="60"/>
        <v>1</v>
      </c>
      <c r="AT63" s="1035">
        <f t="shared" si="37"/>
        <v>0</v>
      </c>
      <c r="AU63" s="1089"/>
      <c r="AV63" s="1088"/>
      <c r="AW63" s="1021">
        <f t="shared" si="61"/>
        <v>0</v>
      </c>
      <c r="AX63" s="1034">
        <f t="shared" si="62"/>
        <v>1</v>
      </c>
      <c r="AY63" s="1035">
        <f t="shared" si="38"/>
        <v>0</v>
      </c>
      <c r="AZ63" s="1089"/>
      <c r="BA63" s="1089"/>
      <c r="BB63" s="1021">
        <f t="shared" si="63"/>
        <v>0</v>
      </c>
      <c r="BC63" s="1034">
        <f t="shared" si="64"/>
        <v>1</v>
      </c>
      <c r="BD63" s="1035">
        <f t="shared" si="39"/>
        <v>0</v>
      </c>
      <c r="BE63" s="1091"/>
      <c r="BF63" s="1088"/>
      <c r="BG63" s="1021">
        <f t="shared" si="65"/>
        <v>0</v>
      </c>
      <c r="BH63" s="1039">
        <f t="shared" si="66"/>
        <v>0</v>
      </c>
      <c r="BI63" s="1038">
        <f t="shared" si="67"/>
        <v>0</v>
      </c>
      <c r="BJ63" s="1027">
        <f t="shared" si="68"/>
        <v>0</v>
      </c>
      <c r="BK63" s="1021">
        <f t="shared" si="25"/>
        <v>0</v>
      </c>
      <c r="BL63" s="1040">
        <f t="shared" si="69"/>
        <v>0</v>
      </c>
      <c r="BM63" s="1038">
        <f t="shared" si="70"/>
        <v>0</v>
      </c>
      <c r="BN63" s="1027"/>
      <c r="BO63" s="1041"/>
      <c r="BP63" s="95">
        <f t="shared" si="43"/>
        <v>0</v>
      </c>
      <c r="BQ63" s="842">
        <f t="shared" si="44"/>
        <v>0</v>
      </c>
      <c r="BR63" s="323"/>
      <c r="BS63" s="757">
        <f t="shared" si="71"/>
        <v>0</v>
      </c>
      <c r="BU63" s="754">
        <f t="shared" si="72"/>
        <v>0</v>
      </c>
      <c r="BV63" s="758"/>
      <c r="BW63" s="759"/>
      <c r="BX63" s="756"/>
      <c r="CD63" s="758"/>
      <c r="CI63" s="760"/>
    </row>
    <row r="64" spans="1:87" s="795" customFormat="1" ht="14.25" outlineLevel="1" thickTop="1" thickBot="1">
      <c r="A64" s="794"/>
      <c r="B64" s="751">
        <f t="shared" si="40"/>
        <v>0</v>
      </c>
      <c r="C64" s="1029"/>
      <c r="D64" s="1031"/>
      <c r="E64" s="1030"/>
      <c r="F64" s="1031"/>
      <c r="G64" s="1029"/>
      <c r="H64" s="1032">
        <f t="shared" si="30"/>
        <v>1</v>
      </c>
      <c r="I64" s="1105"/>
      <c r="J64" s="1034">
        <f t="shared" si="31"/>
        <v>1</v>
      </c>
      <c r="K64" s="1035">
        <f t="shared" si="45"/>
        <v>0</v>
      </c>
      <c r="L64" s="1089"/>
      <c r="M64" s="1088"/>
      <c r="N64" s="1037">
        <f t="shared" si="46"/>
        <v>0</v>
      </c>
      <c r="O64" s="1034">
        <f t="shared" si="47"/>
        <v>1</v>
      </c>
      <c r="P64" s="1035">
        <f t="shared" si="48"/>
        <v>0</v>
      </c>
      <c r="Q64" s="1089"/>
      <c r="R64" s="1088"/>
      <c r="S64" s="1020">
        <f t="shared" si="49"/>
        <v>0</v>
      </c>
      <c r="T64" s="1034">
        <f t="shared" si="50"/>
        <v>1</v>
      </c>
      <c r="U64" s="1035">
        <f t="shared" si="32"/>
        <v>0</v>
      </c>
      <c r="V64" s="1089"/>
      <c r="W64" s="1088"/>
      <c r="X64" s="1037">
        <f t="shared" si="51"/>
        <v>0</v>
      </c>
      <c r="Y64" s="1034">
        <f t="shared" si="52"/>
        <v>1</v>
      </c>
      <c r="Z64" s="1035">
        <f t="shared" si="33"/>
        <v>0</v>
      </c>
      <c r="AA64" s="1089"/>
      <c r="AB64" s="1088"/>
      <c r="AC64" s="1021">
        <f t="shared" si="53"/>
        <v>0</v>
      </c>
      <c r="AD64" s="1034">
        <f t="shared" si="54"/>
        <v>1</v>
      </c>
      <c r="AE64" s="1035">
        <f t="shared" si="34"/>
        <v>0</v>
      </c>
      <c r="AF64" s="1089"/>
      <c r="AG64" s="1088"/>
      <c r="AH64" s="1037">
        <f t="shared" si="55"/>
        <v>0</v>
      </c>
      <c r="AI64" s="1034">
        <f t="shared" si="56"/>
        <v>1</v>
      </c>
      <c r="AJ64" s="1035">
        <f t="shared" si="35"/>
        <v>0</v>
      </c>
      <c r="AK64" s="1089"/>
      <c r="AL64" s="1088"/>
      <c r="AM64" s="1021">
        <f t="shared" si="57"/>
        <v>0</v>
      </c>
      <c r="AN64" s="1034">
        <f t="shared" si="58"/>
        <v>1</v>
      </c>
      <c r="AO64" s="1035">
        <f t="shared" si="36"/>
        <v>0</v>
      </c>
      <c r="AP64" s="1089"/>
      <c r="AQ64" s="1088"/>
      <c r="AR64" s="1037">
        <f t="shared" si="59"/>
        <v>0</v>
      </c>
      <c r="AS64" s="1034">
        <f t="shared" si="60"/>
        <v>1</v>
      </c>
      <c r="AT64" s="1035">
        <f t="shared" si="37"/>
        <v>0</v>
      </c>
      <c r="AU64" s="1091"/>
      <c r="AV64" s="1088"/>
      <c r="AW64" s="1021">
        <f t="shared" si="61"/>
        <v>0</v>
      </c>
      <c r="AX64" s="1034">
        <f t="shared" si="62"/>
        <v>1</v>
      </c>
      <c r="AY64" s="1035">
        <f t="shared" si="38"/>
        <v>0</v>
      </c>
      <c r="AZ64" s="1089"/>
      <c r="BA64" s="1089"/>
      <c r="BB64" s="1021">
        <f t="shared" si="63"/>
        <v>0</v>
      </c>
      <c r="BC64" s="1034">
        <f t="shared" si="64"/>
        <v>1</v>
      </c>
      <c r="BD64" s="1035">
        <f t="shared" si="39"/>
        <v>0</v>
      </c>
      <c r="BE64" s="1091"/>
      <c r="BF64" s="1088"/>
      <c r="BG64" s="1021">
        <f t="shared" si="65"/>
        <v>0</v>
      </c>
      <c r="BH64" s="1039">
        <f t="shared" si="66"/>
        <v>0</v>
      </c>
      <c r="BI64" s="1038">
        <f t="shared" si="67"/>
        <v>0</v>
      </c>
      <c r="BJ64" s="1027">
        <f t="shared" si="68"/>
        <v>0</v>
      </c>
      <c r="BK64" s="1021">
        <f t="shared" si="25"/>
        <v>0</v>
      </c>
      <c r="BL64" s="1040">
        <f t="shared" si="69"/>
        <v>0</v>
      </c>
      <c r="BM64" s="1038">
        <f t="shared" si="70"/>
        <v>0</v>
      </c>
      <c r="BN64" s="1027"/>
      <c r="BO64" s="1041"/>
      <c r="BP64" s="95">
        <f t="shared" si="43"/>
        <v>0</v>
      </c>
      <c r="BQ64" s="842">
        <f t="shared" si="44"/>
        <v>0</v>
      </c>
      <c r="BR64" s="323"/>
      <c r="BS64" s="94">
        <f t="shared" si="71"/>
        <v>0</v>
      </c>
      <c r="BU64" s="632">
        <f t="shared" si="72"/>
        <v>0</v>
      </c>
      <c r="BV64" s="398"/>
      <c r="BW64" s="737"/>
      <c r="BX64" s="323"/>
      <c r="CD64" s="398"/>
      <c r="CI64" s="796"/>
    </row>
    <row r="65" spans="1:87" ht="14.25" outlineLevel="1" thickTop="1" thickBot="1">
      <c r="A65" s="57"/>
      <c r="B65" s="751">
        <f t="shared" si="40"/>
        <v>0</v>
      </c>
      <c r="C65" s="1029"/>
      <c r="D65" s="1031"/>
      <c r="E65" s="1030"/>
      <c r="F65" s="1031"/>
      <c r="G65" s="1029"/>
      <c r="H65" s="1032">
        <f t="shared" si="30"/>
        <v>1</v>
      </c>
      <c r="I65" s="1105"/>
      <c r="J65" s="1034">
        <f t="shared" si="31"/>
        <v>1</v>
      </c>
      <c r="K65" s="1035">
        <f t="shared" si="45"/>
        <v>0</v>
      </c>
      <c r="L65" s="1089"/>
      <c r="M65" s="1088"/>
      <c r="N65" s="1037">
        <f t="shared" si="46"/>
        <v>0</v>
      </c>
      <c r="O65" s="1034">
        <f t="shared" si="47"/>
        <v>1</v>
      </c>
      <c r="P65" s="1035">
        <f t="shared" si="48"/>
        <v>0</v>
      </c>
      <c r="Q65" s="1089"/>
      <c r="R65" s="1088"/>
      <c r="S65" s="1020">
        <f t="shared" si="49"/>
        <v>0</v>
      </c>
      <c r="T65" s="1034">
        <f t="shared" si="50"/>
        <v>1</v>
      </c>
      <c r="U65" s="1035">
        <f t="shared" si="32"/>
        <v>0</v>
      </c>
      <c r="V65" s="1089"/>
      <c r="W65" s="1088"/>
      <c r="X65" s="1037">
        <f t="shared" si="51"/>
        <v>0</v>
      </c>
      <c r="Y65" s="1034">
        <f t="shared" si="52"/>
        <v>1</v>
      </c>
      <c r="Z65" s="1035">
        <f t="shared" si="33"/>
        <v>0</v>
      </c>
      <c r="AA65" s="1089"/>
      <c r="AB65" s="1088"/>
      <c r="AC65" s="1021">
        <f t="shared" si="53"/>
        <v>0</v>
      </c>
      <c r="AD65" s="1034">
        <f t="shared" si="54"/>
        <v>1</v>
      </c>
      <c r="AE65" s="1035">
        <f t="shared" si="34"/>
        <v>0</v>
      </c>
      <c r="AF65" s="1089"/>
      <c r="AG65" s="1088"/>
      <c r="AH65" s="1037">
        <f t="shared" si="55"/>
        <v>0</v>
      </c>
      <c r="AI65" s="1034">
        <f t="shared" si="56"/>
        <v>1</v>
      </c>
      <c r="AJ65" s="1035">
        <f t="shared" si="35"/>
        <v>0</v>
      </c>
      <c r="AK65" s="1089"/>
      <c r="AL65" s="1088"/>
      <c r="AM65" s="1021">
        <f t="shared" si="57"/>
        <v>0</v>
      </c>
      <c r="AN65" s="1034">
        <f t="shared" si="58"/>
        <v>1</v>
      </c>
      <c r="AO65" s="1035">
        <f t="shared" si="36"/>
        <v>0</v>
      </c>
      <c r="AP65" s="1089"/>
      <c r="AQ65" s="1088"/>
      <c r="AR65" s="1037">
        <f t="shared" si="59"/>
        <v>0</v>
      </c>
      <c r="AS65" s="1034">
        <f t="shared" si="60"/>
        <v>1</v>
      </c>
      <c r="AT65" s="1035">
        <f t="shared" si="37"/>
        <v>0</v>
      </c>
      <c r="AU65" s="1089"/>
      <c r="AV65" s="1088"/>
      <c r="AW65" s="1021">
        <f t="shared" si="61"/>
        <v>0</v>
      </c>
      <c r="AX65" s="1034">
        <f t="shared" si="62"/>
        <v>1</v>
      </c>
      <c r="AY65" s="1035">
        <f t="shared" si="38"/>
        <v>0</v>
      </c>
      <c r="AZ65" s="1089"/>
      <c r="BA65" s="1089"/>
      <c r="BB65" s="1021">
        <f t="shared" si="63"/>
        <v>0</v>
      </c>
      <c r="BC65" s="1034">
        <f t="shared" si="64"/>
        <v>1</v>
      </c>
      <c r="BD65" s="1035">
        <f t="shared" si="39"/>
        <v>0</v>
      </c>
      <c r="BE65" s="1091"/>
      <c r="BF65" s="1088"/>
      <c r="BG65" s="1021">
        <f t="shared" si="65"/>
        <v>0</v>
      </c>
      <c r="BH65" s="1039">
        <f t="shared" si="66"/>
        <v>0</v>
      </c>
      <c r="BI65" s="1038">
        <f t="shared" si="67"/>
        <v>0</v>
      </c>
      <c r="BJ65" s="1027">
        <f t="shared" si="68"/>
        <v>0</v>
      </c>
      <c r="BK65" s="1021">
        <f t="shared" si="25"/>
        <v>0</v>
      </c>
      <c r="BL65" s="1040">
        <f t="shared" si="69"/>
        <v>0</v>
      </c>
      <c r="BM65" s="1038">
        <f t="shared" si="70"/>
        <v>0</v>
      </c>
      <c r="BN65" s="1027"/>
      <c r="BO65" s="1041"/>
      <c r="BP65" s="95">
        <f t="shared" si="43"/>
        <v>0</v>
      </c>
      <c r="BQ65" s="842">
        <f t="shared" si="44"/>
        <v>0</v>
      </c>
      <c r="BS65" s="94">
        <f t="shared" si="71"/>
        <v>0</v>
      </c>
      <c r="BU65" s="632">
        <f t="shared" si="72"/>
        <v>0</v>
      </c>
      <c r="BV65" s="398"/>
      <c r="BW65" s="405"/>
      <c r="CI65" s="96"/>
    </row>
    <row r="66" spans="1:87" ht="14.25" outlineLevel="1" thickTop="1" thickBot="1">
      <c r="A66" s="57"/>
      <c r="B66" s="751">
        <f t="shared" si="40"/>
        <v>0</v>
      </c>
      <c r="C66" s="1029"/>
      <c r="D66" s="1031"/>
      <c r="E66" s="1030"/>
      <c r="F66" s="1031"/>
      <c r="G66" s="1029"/>
      <c r="H66" s="1032">
        <f t="shared" si="30"/>
        <v>1</v>
      </c>
      <c r="I66" s="1105"/>
      <c r="J66" s="1034">
        <f t="shared" si="31"/>
        <v>1</v>
      </c>
      <c r="K66" s="1035">
        <f t="shared" si="45"/>
        <v>0</v>
      </c>
      <c r="L66" s="1089"/>
      <c r="M66" s="1088"/>
      <c r="N66" s="1037">
        <f t="shared" si="46"/>
        <v>0</v>
      </c>
      <c r="O66" s="1034">
        <f t="shared" si="47"/>
        <v>1</v>
      </c>
      <c r="P66" s="1035">
        <f t="shared" si="48"/>
        <v>0</v>
      </c>
      <c r="Q66" s="1089"/>
      <c r="R66" s="1088"/>
      <c r="S66" s="1020">
        <f t="shared" si="49"/>
        <v>0</v>
      </c>
      <c r="T66" s="1034">
        <f t="shared" si="50"/>
        <v>1</v>
      </c>
      <c r="U66" s="1035">
        <f t="shared" si="32"/>
        <v>0</v>
      </c>
      <c r="V66" s="1089"/>
      <c r="W66" s="1088"/>
      <c r="X66" s="1037">
        <f t="shared" si="51"/>
        <v>0</v>
      </c>
      <c r="Y66" s="1034">
        <f t="shared" si="52"/>
        <v>1</v>
      </c>
      <c r="Z66" s="1035">
        <f t="shared" si="33"/>
        <v>0</v>
      </c>
      <c r="AA66" s="1089"/>
      <c r="AB66" s="1088"/>
      <c r="AC66" s="1021">
        <f t="shared" si="53"/>
        <v>0</v>
      </c>
      <c r="AD66" s="1034">
        <f t="shared" si="54"/>
        <v>1</v>
      </c>
      <c r="AE66" s="1035">
        <f t="shared" si="34"/>
        <v>0</v>
      </c>
      <c r="AF66" s="1089"/>
      <c r="AG66" s="1088"/>
      <c r="AH66" s="1037">
        <f t="shared" si="55"/>
        <v>0</v>
      </c>
      <c r="AI66" s="1034">
        <f t="shared" si="56"/>
        <v>1</v>
      </c>
      <c r="AJ66" s="1035">
        <f t="shared" si="35"/>
        <v>0</v>
      </c>
      <c r="AK66" s="1089"/>
      <c r="AL66" s="1088"/>
      <c r="AM66" s="1021">
        <f t="shared" si="57"/>
        <v>0</v>
      </c>
      <c r="AN66" s="1034">
        <f t="shared" si="58"/>
        <v>1</v>
      </c>
      <c r="AO66" s="1035">
        <f t="shared" si="36"/>
        <v>0</v>
      </c>
      <c r="AP66" s="1089"/>
      <c r="AQ66" s="1088"/>
      <c r="AR66" s="1037">
        <f t="shared" si="59"/>
        <v>0</v>
      </c>
      <c r="AS66" s="1034">
        <f t="shared" si="60"/>
        <v>1</v>
      </c>
      <c r="AT66" s="1035">
        <f t="shared" si="37"/>
        <v>0</v>
      </c>
      <c r="AU66" s="1091"/>
      <c r="AV66" s="1088"/>
      <c r="AW66" s="1021">
        <f t="shared" si="61"/>
        <v>0</v>
      </c>
      <c r="AX66" s="1034">
        <f t="shared" si="62"/>
        <v>1</v>
      </c>
      <c r="AY66" s="1035">
        <f t="shared" si="38"/>
        <v>0</v>
      </c>
      <c r="AZ66" s="1089"/>
      <c r="BA66" s="1089"/>
      <c r="BB66" s="1021">
        <f t="shared" si="63"/>
        <v>0</v>
      </c>
      <c r="BC66" s="1034">
        <f t="shared" si="64"/>
        <v>1</v>
      </c>
      <c r="BD66" s="1035">
        <f t="shared" si="39"/>
        <v>0</v>
      </c>
      <c r="BE66" s="1091"/>
      <c r="BF66" s="1088"/>
      <c r="BG66" s="1021">
        <f t="shared" si="65"/>
        <v>0</v>
      </c>
      <c r="BH66" s="1039">
        <f t="shared" si="66"/>
        <v>0</v>
      </c>
      <c r="BI66" s="1038">
        <f t="shared" si="67"/>
        <v>0</v>
      </c>
      <c r="BJ66" s="1027">
        <f t="shared" si="68"/>
        <v>0</v>
      </c>
      <c r="BK66" s="1021">
        <f t="shared" si="25"/>
        <v>0</v>
      </c>
      <c r="BL66" s="1040">
        <f t="shared" si="69"/>
        <v>0</v>
      </c>
      <c r="BM66" s="1038">
        <f t="shared" si="70"/>
        <v>0</v>
      </c>
      <c r="BN66" s="1027"/>
      <c r="BO66" s="1041"/>
      <c r="BP66" s="95">
        <f t="shared" si="43"/>
        <v>0</v>
      </c>
      <c r="BQ66" s="842">
        <f t="shared" si="44"/>
        <v>0</v>
      </c>
      <c r="BS66" s="94">
        <f t="shared" si="71"/>
        <v>0</v>
      </c>
      <c r="BU66" s="632">
        <f t="shared" si="72"/>
        <v>0</v>
      </c>
      <c r="BV66" s="398"/>
      <c r="BW66" s="405"/>
      <c r="CI66" s="96"/>
    </row>
    <row r="67" spans="1:87" ht="14.25" outlineLevel="1" thickTop="1" thickBot="1">
      <c r="A67" s="57"/>
      <c r="B67" s="751">
        <f t="shared" si="40"/>
        <v>0</v>
      </c>
      <c r="C67" s="1029"/>
      <c r="D67" s="1031"/>
      <c r="E67" s="1030"/>
      <c r="F67" s="1031"/>
      <c r="G67" s="1029"/>
      <c r="H67" s="1032">
        <f t="shared" si="30"/>
        <v>1</v>
      </c>
      <c r="I67" s="1105"/>
      <c r="J67" s="1034">
        <f t="shared" si="31"/>
        <v>1</v>
      </c>
      <c r="K67" s="1035">
        <f t="shared" si="45"/>
        <v>0</v>
      </c>
      <c r="L67" s="1089"/>
      <c r="M67" s="1088"/>
      <c r="N67" s="1037">
        <f t="shared" si="46"/>
        <v>0</v>
      </c>
      <c r="O67" s="1034">
        <f t="shared" si="47"/>
        <v>1</v>
      </c>
      <c r="P67" s="1035">
        <f t="shared" si="48"/>
        <v>0</v>
      </c>
      <c r="Q67" s="1089"/>
      <c r="R67" s="1088"/>
      <c r="S67" s="1020">
        <f t="shared" si="49"/>
        <v>0</v>
      </c>
      <c r="T67" s="1034">
        <f t="shared" si="50"/>
        <v>1</v>
      </c>
      <c r="U67" s="1035">
        <f t="shared" si="32"/>
        <v>0</v>
      </c>
      <c r="V67" s="1089"/>
      <c r="W67" s="1088"/>
      <c r="X67" s="1037">
        <f t="shared" si="51"/>
        <v>0</v>
      </c>
      <c r="Y67" s="1034">
        <f t="shared" si="52"/>
        <v>1</v>
      </c>
      <c r="Z67" s="1035">
        <f t="shared" si="33"/>
        <v>0</v>
      </c>
      <c r="AA67" s="1089"/>
      <c r="AB67" s="1088"/>
      <c r="AC67" s="1021">
        <f t="shared" si="53"/>
        <v>0</v>
      </c>
      <c r="AD67" s="1034">
        <f t="shared" si="54"/>
        <v>1</v>
      </c>
      <c r="AE67" s="1035">
        <f t="shared" si="34"/>
        <v>0</v>
      </c>
      <c r="AF67" s="1089"/>
      <c r="AG67" s="1088"/>
      <c r="AH67" s="1037">
        <f t="shared" si="55"/>
        <v>0</v>
      </c>
      <c r="AI67" s="1034">
        <f t="shared" si="56"/>
        <v>1</v>
      </c>
      <c r="AJ67" s="1035">
        <f t="shared" si="35"/>
        <v>0</v>
      </c>
      <c r="AK67" s="1089"/>
      <c r="AL67" s="1088"/>
      <c r="AM67" s="1021">
        <f t="shared" si="57"/>
        <v>0</v>
      </c>
      <c r="AN67" s="1034">
        <f t="shared" si="58"/>
        <v>1</v>
      </c>
      <c r="AO67" s="1035">
        <f t="shared" si="36"/>
        <v>0</v>
      </c>
      <c r="AP67" s="1089"/>
      <c r="AQ67" s="1088"/>
      <c r="AR67" s="1037">
        <f t="shared" si="59"/>
        <v>0</v>
      </c>
      <c r="AS67" s="1034">
        <f t="shared" si="60"/>
        <v>1</v>
      </c>
      <c r="AT67" s="1035">
        <f t="shared" si="37"/>
        <v>0</v>
      </c>
      <c r="AU67" s="1089"/>
      <c r="AV67" s="1088"/>
      <c r="AW67" s="1021">
        <f t="shared" si="61"/>
        <v>0</v>
      </c>
      <c r="AX67" s="1034">
        <f t="shared" si="62"/>
        <v>1</v>
      </c>
      <c r="AY67" s="1035">
        <f t="shared" si="38"/>
        <v>0</v>
      </c>
      <c r="AZ67" s="1089"/>
      <c r="BA67" s="1089"/>
      <c r="BB67" s="1021">
        <f t="shared" si="63"/>
        <v>0</v>
      </c>
      <c r="BC67" s="1034">
        <f t="shared" si="64"/>
        <v>1</v>
      </c>
      <c r="BD67" s="1035">
        <f t="shared" si="39"/>
        <v>0</v>
      </c>
      <c r="BE67" s="1091"/>
      <c r="BF67" s="1088"/>
      <c r="BG67" s="1021">
        <f t="shared" si="65"/>
        <v>0</v>
      </c>
      <c r="BH67" s="1039">
        <f t="shared" si="66"/>
        <v>0</v>
      </c>
      <c r="BI67" s="1038">
        <f t="shared" si="67"/>
        <v>0</v>
      </c>
      <c r="BJ67" s="1027">
        <f t="shared" si="68"/>
        <v>0</v>
      </c>
      <c r="BK67" s="1021">
        <f t="shared" si="25"/>
        <v>0</v>
      </c>
      <c r="BL67" s="1040">
        <f t="shared" si="69"/>
        <v>0</v>
      </c>
      <c r="BM67" s="1038">
        <f t="shared" si="70"/>
        <v>0</v>
      </c>
      <c r="BN67" s="1027"/>
      <c r="BO67" s="1041"/>
      <c r="BP67" s="95">
        <f t="shared" si="43"/>
        <v>0</v>
      </c>
      <c r="BQ67" s="842">
        <f t="shared" si="44"/>
        <v>0</v>
      </c>
      <c r="BS67" s="94">
        <f t="shared" si="71"/>
        <v>0</v>
      </c>
      <c r="BU67" s="632">
        <f t="shared" si="72"/>
        <v>0</v>
      </c>
      <c r="BV67" s="398"/>
      <c r="BW67" s="405"/>
      <c r="CI67" s="96"/>
    </row>
    <row r="68" spans="1:87" ht="14.25" outlineLevel="1" thickTop="1" thickBot="1">
      <c r="A68" s="57"/>
      <c r="B68" s="751">
        <f t="shared" si="40"/>
        <v>0</v>
      </c>
      <c r="C68" s="1029"/>
      <c r="D68" s="1031"/>
      <c r="E68" s="1030"/>
      <c r="F68" s="1031"/>
      <c r="G68" s="1029"/>
      <c r="H68" s="1032">
        <f t="shared" si="30"/>
        <v>1</v>
      </c>
      <c r="I68" s="1105"/>
      <c r="J68" s="1034">
        <f t="shared" si="31"/>
        <v>1</v>
      </c>
      <c r="K68" s="1035">
        <f t="shared" si="45"/>
        <v>0</v>
      </c>
      <c r="L68" s="1089"/>
      <c r="M68" s="1088"/>
      <c r="N68" s="1037">
        <f t="shared" si="46"/>
        <v>0</v>
      </c>
      <c r="O68" s="1034">
        <f t="shared" si="47"/>
        <v>1</v>
      </c>
      <c r="P68" s="1035">
        <f t="shared" si="48"/>
        <v>0</v>
      </c>
      <c r="Q68" s="1089"/>
      <c r="R68" s="1088"/>
      <c r="S68" s="1020">
        <f t="shared" si="49"/>
        <v>0</v>
      </c>
      <c r="T68" s="1034">
        <f t="shared" si="50"/>
        <v>1</v>
      </c>
      <c r="U68" s="1035">
        <f t="shared" si="32"/>
        <v>0</v>
      </c>
      <c r="V68" s="1089"/>
      <c r="W68" s="1088"/>
      <c r="X68" s="1037">
        <f t="shared" si="51"/>
        <v>0</v>
      </c>
      <c r="Y68" s="1034">
        <f t="shared" si="52"/>
        <v>1</v>
      </c>
      <c r="Z68" s="1035">
        <f t="shared" si="33"/>
        <v>0</v>
      </c>
      <c r="AA68" s="1089"/>
      <c r="AB68" s="1088"/>
      <c r="AC68" s="1021">
        <f t="shared" si="53"/>
        <v>0</v>
      </c>
      <c r="AD68" s="1034">
        <f t="shared" si="54"/>
        <v>1</v>
      </c>
      <c r="AE68" s="1035">
        <f t="shared" si="34"/>
        <v>0</v>
      </c>
      <c r="AF68" s="1089"/>
      <c r="AG68" s="1088"/>
      <c r="AH68" s="1037">
        <f t="shared" si="55"/>
        <v>0</v>
      </c>
      <c r="AI68" s="1034">
        <f t="shared" si="56"/>
        <v>1</v>
      </c>
      <c r="AJ68" s="1035">
        <f t="shared" si="35"/>
        <v>0</v>
      </c>
      <c r="AK68" s="1089"/>
      <c r="AL68" s="1088"/>
      <c r="AM68" s="1021">
        <f t="shared" si="57"/>
        <v>0</v>
      </c>
      <c r="AN68" s="1034">
        <f t="shared" si="58"/>
        <v>1</v>
      </c>
      <c r="AO68" s="1035">
        <f t="shared" si="36"/>
        <v>0</v>
      </c>
      <c r="AP68" s="1089"/>
      <c r="AQ68" s="1088"/>
      <c r="AR68" s="1037">
        <f t="shared" si="59"/>
        <v>0</v>
      </c>
      <c r="AS68" s="1034">
        <f t="shared" si="60"/>
        <v>1</v>
      </c>
      <c r="AT68" s="1035">
        <f t="shared" si="37"/>
        <v>0</v>
      </c>
      <c r="AU68" s="1091"/>
      <c r="AV68" s="1088"/>
      <c r="AW68" s="1021">
        <f t="shared" si="61"/>
        <v>0</v>
      </c>
      <c r="AX68" s="1034">
        <f t="shared" si="62"/>
        <v>1</v>
      </c>
      <c r="AY68" s="1035">
        <f t="shared" si="38"/>
        <v>0</v>
      </c>
      <c r="AZ68" s="1089"/>
      <c r="BA68" s="1089"/>
      <c r="BB68" s="1021">
        <f t="shared" si="63"/>
        <v>0</v>
      </c>
      <c r="BC68" s="1034">
        <f t="shared" si="64"/>
        <v>1</v>
      </c>
      <c r="BD68" s="1035">
        <f t="shared" si="39"/>
        <v>0</v>
      </c>
      <c r="BE68" s="1091"/>
      <c r="BF68" s="1088"/>
      <c r="BG68" s="1021">
        <f t="shared" si="65"/>
        <v>0</v>
      </c>
      <c r="BH68" s="1039">
        <f t="shared" si="66"/>
        <v>0</v>
      </c>
      <c r="BI68" s="1038">
        <f t="shared" si="67"/>
        <v>0</v>
      </c>
      <c r="BJ68" s="1027">
        <f t="shared" si="68"/>
        <v>0</v>
      </c>
      <c r="BK68" s="1021">
        <f t="shared" si="25"/>
        <v>0</v>
      </c>
      <c r="BL68" s="1040">
        <f t="shared" si="69"/>
        <v>0</v>
      </c>
      <c r="BM68" s="1038">
        <f t="shared" si="70"/>
        <v>0</v>
      </c>
      <c r="BN68" s="1027"/>
      <c r="BO68" s="1041"/>
      <c r="BP68" s="95">
        <f t="shared" si="43"/>
        <v>0</v>
      </c>
      <c r="BQ68" s="842">
        <f t="shared" si="44"/>
        <v>0</v>
      </c>
      <c r="BS68" s="94">
        <f t="shared" si="71"/>
        <v>0</v>
      </c>
      <c r="BU68" s="632">
        <f t="shared" si="72"/>
        <v>0</v>
      </c>
      <c r="BV68" s="398"/>
      <c r="BW68" s="405"/>
      <c r="CI68" s="96"/>
    </row>
    <row r="69" spans="1:87" ht="14.25" outlineLevel="1" thickTop="1" thickBot="1">
      <c r="A69" s="57"/>
      <c r="B69" s="751">
        <f t="shared" si="40"/>
        <v>0</v>
      </c>
      <c r="C69" s="1029"/>
      <c r="D69" s="1031"/>
      <c r="E69" s="1030"/>
      <c r="F69" s="1031"/>
      <c r="G69" s="1029"/>
      <c r="H69" s="1032">
        <f t="shared" si="30"/>
        <v>1</v>
      </c>
      <c r="I69" s="1105"/>
      <c r="J69" s="1034">
        <f t="shared" si="31"/>
        <v>1</v>
      </c>
      <c r="K69" s="1035">
        <f t="shared" si="45"/>
        <v>0</v>
      </c>
      <c r="L69" s="1089"/>
      <c r="M69" s="1088"/>
      <c r="N69" s="1037">
        <f t="shared" si="46"/>
        <v>0</v>
      </c>
      <c r="O69" s="1034">
        <f t="shared" si="47"/>
        <v>1</v>
      </c>
      <c r="P69" s="1035">
        <f t="shared" si="48"/>
        <v>0</v>
      </c>
      <c r="Q69" s="1089"/>
      <c r="R69" s="1088"/>
      <c r="S69" s="1020">
        <f t="shared" si="49"/>
        <v>0</v>
      </c>
      <c r="T69" s="1034">
        <f t="shared" si="50"/>
        <v>1</v>
      </c>
      <c r="U69" s="1035">
        <f t="shared" si="32"/>
        <v>0</v>
      </c>
      <c r="V69" s="1089"/>
      <c r="W69" s="1088"/>
      <c r="X69" s="1037">
        <f t="shared" si="51"/>
        <v>0</v>
      </c>
      <c r="Y69" s="1034">
        <f t="shared" si="52"/>
        <v>1</v>
      </c>
      <c r="Z69" s="1035">
        <f t="shared" si="33"/>
        <v>0</v>
      </c>
      <c r="AA69" s="1089"/>
      <c r="AB69" s="1088"/>
      <c r="AC69" s="1021">
        <f t="shared" si="53"/>
        <v>0</v>
      </c>
      <c r="AD69" s="1034">
        <f t="shared" si="54"/>
        <v>1</v>
      </c>
      <c r="AE69" s="1035">
        <f t="shared" si="34"/>
        <v>0</v>
      </c>
      <c r="AF69" s="1089"/>
      <c r="AG69" s="1088"/>
      <c r="AH69" s="1037">
        <f t="shared" si="55"/>
        <v>0</v>
      </c>
      <c r="AI69" s="1034">
        <f t="shared" si="56"/>
        <v>1</v>
      </c>
      <c r="AJ69" s="1035">
        <f t="shared" si="35"/>
        <v>0</v>
      </c>
      <c r="AK69" s="1089"/>
      <c r="AL69" s="1088"/>
      <c r="AM69" s="1021">
        <f t="shared" si="57"/>
        <v>0</v>
      </c>
      <c r="AN69" s="1034">
        <f t="shared" si="58"/>
        <v>1</v>
      </c>
      <c r="AO69" s="1035">
        <f t="shared" si="36"/>
        <v>0</v>
      </c>
      <c r="AP69" s="1089"/>
      <c r="AQ69" s="1088"/>
      <c r="AR69" s="1037">
        <f t="shared" si="59"/>
        <v>0</v>
      </c>
      <c r="AS69" s="1034">
        <f t="shared" si="60"/>
        <v>1</v>
      </c>
      <c r="AT69" s="1035">
        <f t="shared" si="37"/>
        <v>0</v>
      </c>
      <c r="AU69" s="1089"/>
      <c r="AV69" s="1088"/>
      <c r="AW69" s="1021">
        <f t="shared" si="61"/>
        <v>0</v>
      </c>
      <c r="AX69" s="1034">
        <f t="shared" si="62"/>
        <v>1</v>
      </c>
      <c r="AY69" s="1035">
        <f t="shared" si="38"/>
        <v>0</v>
      </c>
      <c r="AZ69" s="1089"/>
      <c r="BA69" s="1089"/>
      <c r="BB69" s="1021">
        <f t="shared" si="63"/>
        <v>0</v>
      </c>
      <c r="BC69" s="1034">
        <f t="shared" si="64"/>
        <v>1</v>
      </c>
      <c r="BD69" s="1035">
        <f t="shared" si="39"/>
        <v>0</v>
      </c>
      <c r="BE69" s="1091"/>
      <c r="BF69" s="1088"/>
      <c r="BG69" s="1021">
        <f t="shared" si="65"/>
        <v>0</v>
      </c>
      <c r="BH69" s="1039">
        <f t="shared" si="66"/>
        <v>0</v>
      </c>
      <c r="BI69" s="1038">
        <f t="shared" si="67"/>
        <v>0</v>
      </c>
      <c r="BJ69" s="1027">
        <f t="shared" si="68"/>
        <v>0</v>
      </c>
      <c r="BK69" s="1021">
        <f t="shared" si="25"/>
        <v>0</v>
      </c>
      <c r="BL69" s="1040">
        <f t="shared" si="69"/>
        <v>0</v>
      </c>
      <c r="BM69" s="1038">
        <f t="shared" si="70"/>
        <v>0</v>
      </c>
      <c r="BN69" s="1027"/>
      <c r="BO69" s="1041"/>
      <c r="BP69" s="95">
        <f t="shared" si="43"/>
        <v>0</v>
      </c>
      <c r="BQ69" s="842">
        <f t="shared" si="44"/>
        <v>0</v>
      </c>
      <c r="BS69" s="94">
        <f t="shared" si="71"/>
        <v>0</v>
      </c>
      <c r="BU69" s="632">
        <f t="shared" si="72"/>
        <v>0</v>
      </c>
      <c r="BV69" s="398"/>
      <c r="BW69" s="405"/>
      <c r="CI69" s="96"/>
    </row>
    <row r="70" spans="1:87" s="696" customFormat="1" ht="14.25" outlineLevel="1" thickTop="1" thickBot="1">
      <c r="B70" s="751">
        <f t="shared" si="40"/>
        <v>0</v>
      </c>
      <c r="C70" s="1029"/>
      <c r="D70" s="1031"/>
      <c r="E70" s="1030"/>
      <c r="F70" s="1031"/>
      <c r="G70" s="1029"/>
      <c r="H70" s="1032">
        <f t="shared" si="30"/>
        <v>1</v>
      </c>
      <c r="I70" s="1105"/>
      <c r="J70" s="1034">
        <f t="shared" si="31"/>
        <v>1</v>
      </c>
      <c r="K70" s="1035">
        <f t="shared" si="45"/>
        <v>0</v>
      </c>
      <c r="L70" s="1089"/>
      <c r="M70" s="1088"/>
      <c r="N70" s="1037">
        <f t="shared" si="46"/>
        <v>0</v>
      </c>
      <c r="O70" s="1034">
        <f t="shared" si="47"/>
        <v>1</v>
      </c>
      <c r="P70" s="1035">
        <f t="shared" si="48"/>
        <v>0</v>
      </c>
      <c r="Q70" s="1089"/>
      <c r="R70" s="1088"/>
      <c r="S70" s="1020">
        <f t="shared" si="49"/>
        <v>0</v>
      </c>
      <c r="T70" s="1034">
        <f t="shared" si="50"/>
        <v>1</v>
      </c>
      <c r="U70" s="1035">
        <f t="shared" si="32"/>
        <v>0</v>
      </c>
      <c r="V70" s="1089"/>
      <c r="W70" s="1088"/>
      <c r="X70" s="1037">
        <f t="shared" si="51"/>
        <v>0</v>
      </c>
      <c r="Y70" s="1034">
        <f t="shared" si="52"/>
        <v>1</v>
      </c>
      <c r="Z70" s="1035">
        <f t="shared" si="33"/>
        <v>0</v>
      </c>
      <c r="AA70" s="1089"/>
      <c r="AB70" s="1088"/>
      <c r="AC70" s="1021">
        <f t="shared" si="53"/>
        <v>0</v>
      </c>
      <c r="AD70" s="1034">
        <f t="shared" si="54"/>
        <v>1</v>
      </c>
      <c r="AE70" s="1035">
        <f t="shared" si="34"/>
        <v>0</v>
      </c>
      <c r="AF70" s="1089"/>
      <c r="AG70" s="1088"/>
      <c r="AH70" s="1037">
        <f t="shared" si="55"/>
        <v>0</v>
      </c>
      <c r="AI70" s="1034">
        <f t="shared" si="56"/>
        <v>1</v>
      </c>
      <c r="AJ70" s="1035">
        <f t="shared" si="35"/>
        <v>0</v>
      </c>
      <c r="AK70" s="1089"/>
      <c r="AL70" s="1088"/>
      <c r="AM70" s="1021">
        <f t="shared" si="57"/>
        <v>0</v>
      </c>
      <c r="AN70" s="1034">
        <f t="shared" si="58"/>
        <v>1</v>
      </c>
      <c r="AO70" s="1035">
        <f t="shared" si="36"/>
        <v>0</v>
      </c>
      <c r="AP70" s="1089"/>
      <c r="AQ70" s="1088"/>
      <c r="AR70" s="1037">
        <f t="shared" si="59"/>
        <v>0</v>
      </c>
      <c r="AS70" s="1034">
        <f t="shared" si="60"/>
        <v>1</v>
      </c>
      <c r="AT70" s="1035">
        <f t="shared" si="37"/>
        <v>0</v>
      </c>
      <c r="AU70" s="1091"/>
      <c r="AV70" s="1088"/>
      <c r="AW70" s="1021">
        <f t="shared" si="61"/>
        <v>0</v>
      </c>
      <c r="AX70" s="1034">
        <f t="shared" si="62"/>
        <v>1</v>
      </c>
      <c r="AY70" s="1035">
        <f t="shared" si="38"/>
        <v>0</v>
      </c>
      <c r="AZ70" s="1089"/>
      <c r="BA70" s="1089"/>
      <c r="BB70" s="1021">
        <f t="shared" si="63"/>
        <v>0</v>
      </c>
      <c r="BC70" s="1034">
        <f t="shared" si="64"/>
        <v>1</v>
      </c>
      <c r="BD70" s="1035">
        <f t="shared" si="39"/>
        <v>0</v>
      </c>
      <c r="BE70" s="1091"/>
      <c r="BF70" s="1088"/>
      <c r="BG70" s="1021">
        <f t="shared" si="65"/>
        <v>0</v>
      </c>
      <c r="BH70" s="1039">
        <f t="shared" si="66"/>
        <v>0</v>
      </c>
      <c r="BI70" s="1038">
        <f t="shared" si="67"/>
        <v>0</v>
      </c>
      <c r="BJ70" s="1027">
        <f t="shared" si="68"/>
        <v>0</v>
      </c>
      <c r="BK70" s="1021">
        <f t="shared" si="25"/>
        <v>0</v>
      </c>
      <c r="BL70" s="1040">
        <f t="shared" si="69"/>
        <v>0</v>
      </c>
      <c r="BM70" s="1038">
        <f t="shared" si="70"/>
        <v>0</v>
      </c>
      <c r="BN70" s="1027"/>
      <c r="BO70" s="1041"/>
      <c r="BP70" s="95">
        <f t="shared" si="43"/>
        <v>0</v>
      </c>
      <c r="BQ70" s="842">
        <f t="shared" si="44"/>
        <v>0</v>
      </c>
      <c r="BR70" s="615"/>
      <c r="BS70" s="94">
        <f t="shared" si="71"/>
        <v>0</v>
      </c>
      <c r="BU70" s="632">
        <f t="shared" si="72"/>
        <v>0</v>
      </c>
      <c r="BV70" s="694"/>
      <c r="BW70" s="797"/>
      <c r="BX70" s="615"/>
      <c r="CD70" s="694"/>
      <c r="CI70" s="738"/>
    </row>
    <row r="71" spans="1:87" s="808" customFormat="1" ht="14.25" outlineLevel="1" thickTop="1" thickBot="1">
      <c r="B71" s="751">
        <f t="shared" si="40"/>
        <v>0</v>
      </c>
      <c r="C71" s="1029"/>
      <c r="D71" s="1031"/>
      <c r="E71" s="1030"/>
      <c r="F71" s="1031"/>
      <c r="G71" s="1029"/>
      <c r="H71" s="1032">
        <f t="shared" si="30"/>
        <v>1</v>
      </c>
      <c r="I71" s="1105"/>
      <c r="J71" s="1034">
        <f t="shared" si="31"/>
        <v>1</v>
      </c>
      <c r="K71" s="1035">
        <f t="shared" si="45"/>
        <v>0</v>
      </c>
      <c r="L71" s="1089"/>
      <c r="M71" s="1088"/>
      <c r="N71" s="1037">
        <f t="shared" si="46"/>
        <v>0</v>
      </c>
      <c r="O71" s="1034">
        <f t="shared" si="47"/>
        <v>1</v>
      </c>
      <c r="P71" s="1035">
        <f t="shared" si="48"/>
        <v>0</v>
      </c>
      <c r="Q71" s="1089"/>
      <c r="R71" s="1088"/>
      <c r="S71" s="1020">
        <f t="shared" si="49"/>
        <v>0</v>
      </c>
      <c r="T71" s="1034">
        <f t="shared" si="50"/>
        <v>1</v>
      </c>
      <c r="U71" s="1035">
        <f t="shared" si="32"/>
        <v>0</v>
      </c>
      <c r="V71" s="1089"/>
      <c r="W71" s="1088"/>
      <c r="X71" s="1037">
        <f t="shared" si="51"/>
        <v>0</v>
      </c>
      <c r="Y71" s="1034">
        <f t="shared" si="52"/>
        <v>1</v>
      </c>
      <c r="Z71" s="1035">
        <f t="shared" si="33"/>
        <v>0</v>
      </c>
      <c r="AA71" s="1089"/>
      <c r="AB71" s="1088"/>
      <c r="AC71" s="1021">
        <f t="shared" si="53"/>
        <v>0</v>
      </c>
      <c r="AD71" s="1034">
        <f t="shared" si="54"/>
        <v>1</v>
      </c>
      <c r="AE71" s="1035">
        <f t="shared" si="34"/>
        <v>0</v>
      </c>
      <c r="AF71" s="1089"/>
      <c r="AG71" s="1088"/>
      <c r="AH71" s="1037">
        <f t="shared" si="55"/>
        <v>0</v>
      </c>
      <c r="AI71" s="1034">
        <f t="shared" si="56"/>
        <v>1</v>
      </c>
      <c r="AJ71" s="1035">
        <f t="shared" si="35"/>
        <v>0</v>
      </c>
      <c r="AK71" s="1089"/>
      <c r="AL71" s="1088"/>
      <c r="AM71" s="1021">
        <f t="shared" si="57"/>
        <v>0</v>
      </c>
      <c r="AN71" s="1034">
        <f t="shared" si="58"/>
        <v>1</v>
      </c>
      <c r="AO71" s="1035">
        <f t="shared" si="36"/>
        <v>0</v>
      </c>
      <c r="AP71" s="1089"/>
      <c r="AQ71" s="1088"/>
      <c r="AR71" s="1037">
        <f t="shared" si="59"/>
        <v>0</v>
      </c>
      <c r="AS71" s="1034">
        <f t="shared" si="60"/>
        <v>1</v>
      </c>
      <c r="AT71" s="1035">
        <f t="shared" si="37"/>
        <v>0</v>
      </c>
      <c r="AU71" s="1089"/>
      <c r="AV71" s="1088"/>
      <c r="AW71" s="1021">
        <f t="shared" si="61"/>
        <v>0</v>
      </c>
      <c r="AX71" s="1034">
        <f t="shared" si="62"/>
        <v>1</v>
      </c>
      <c r="AY71" s="1035">
        <f t="shared" si="38"/>
        <v>0</v>
      </c>
      <c r="AZ71" s="1089"/>
      <c r="BA71" s="1089"/>
      <c r="BB71" s="1021">
        <f t="shared" si="63"/>
        <v>0</v>
      </c>
      <c r="BC71" s="1034">
        <f t="shared" si="64"/>
        <v>1</v>
      </c>
      <c r="BD71" s="1035">
        <f t="shared" si="39"/>
        <v>0</v>
      </c>
      <c r="BE71" s="1091"/>
      <c r="BF71" s="1088"/>
      <c r="BG71" s="1021">
        <f t="shared" si="65"/>
        <v>0</v>
      </c>
      <c r="BH71" s="1039">
        <f t="shared" si="66"/>
        <v>0</v>
      </c>
      <c r="BI71" s="1038">
        <f t="shared" si="67"/>
        <v>0</v>
      </c>
      <c r="BJ71" s="1027">
        <f t="shared" si="68"/>
        <v>0</v>
      </c>
      <c r="BK71" s="1021">
        <f t="shared" si="25"/>
        <v>0</v>
      </c>
      <c r="BL71" s="1040">
        <f>P71+Z71+AJ71+AT71+BD71</f>
        <v>0</v>
      </c>
      <c r="BM71" s="1038">
        <f t="shared" si="70"/>
        <v>0</v>
      </c>
      <c r="BN71" s="1027"/>
      <c r="BO71" s="1041"/>
      <c r="BP71" s="95">
        <f t="shared" si="43"/>
        <v>0</v>
      </c>
      <c r="BQ71" s="842">
        <f t="shared" si="44"/>
        <v>0</v>
      </c>
      <c r="BR71" s="810"/>
      <c r="BS71" s="811">
        <f t="shared" si="71"/>
        <v>0</v>
      </c>
      <c r="BU71" s="812">
        <f t="shared" si="72"/>
        <v>0</v>
      </c>
      <c r="BV71" s="813"/>
      <c r="BW71" s="814"/>
      <c r="BX71" s="810"/>
      <c r="CD71" s="815"/>
      <c r="CI71" s="816"/>
    </row>
    <row r="72" spans="1:87" s="696" customFormat="1" ht="14.25" outlineLevel="1" thickTop="1" thickBot="1">
      <c r="B72" s="751">
        <f t="shared" si="40"/>
        <v>0</v>
      </c>
      <c r="C72" s="1029"/>
      <c r="D72" s="1031"/>
      <c r="E72" s="1030"/>
      <c r="F72" s="1031"/>
      <c r="G72" s="1029"/>
      <c r="H72" s="1032">
        <f t="shared" si="30"/>
        <v>1</v>
      </c>
      <c r="I72" s="1105"/>
      <c r="J72" s="1034">
        <f t="shared" si="31"/>
        <v>1</v>
      </c>
      <c r="K72" s="1035">
        <f t="shared" si="45"/>
        <v>0</v>
      </c>
      <c r="L72" s="1089"/>
      <c r="M72" s="1088"/>
      <c r="N72" s="1037">
        <f t="shared" si="46"/>
        <v>0</v>
      </c>
      <c r="O72" s="1034">
        <f t="shared" si="47"/>
        <v>1</v>
      </c>
      <c r="P72" s="1035">
        <f t="shared" si="48"/>
        <v>0</v>
      </c>
      <c r="Q72" s="1089"/>
      <c r="R72" s="1088"/>
      <c r="S72" s="1020">
        <f t="shared" si="49"/>
        <v>0</v>
      </c>
      <c r="T72" s="1034">
        <f t="shared" si="50"/>
        <v>1</v>
      </c>
      <c r="U72" s="1035">
        <f t="shared" si="32"/>
        <v>0</v>
      </c>
      <c r="V72" s="1089"/>
      <c r="W72" s="1088"/>
      <c r="X72" s="1037">
        <f t="shared" si="51"/>
        <v>0</v>
      </c>
      <c r="Y72" s="1034">
        <f t="shared" si="52"/>
        <v>1</v>
      </c>
      <c r="Z72" s="1035">
        <f t="shared" si="33"/>
        <v>0</v>
      </c>
      <c r="AA72" s="1089"/>
      <c r="AB72" s="1088"/>
      <c r="AC72" s="1021">
        <f t="shared" si="53"/>
        <v>0</v>
      </c>
      <c r="AD72" s="1034">
        <f t="shared" si="54"/>
        <v>1</v>
      </c>
      <c r="AE72" s="1035">
        <f t="shared" si="34"/>
        <v>0</v>
      </c>
      <c r="AF72" s="1089"/>
      <c r="AG72" s="1088"/>
      <c r="AH72" s="1037">
        <f t="shared" si="55"/>
        <v>0</v>
      </c>
      <c r="AI72" s="1034">
        <f t="shared" si="56"/>
        <v>1</v>
      </c>
      <c r="AJ72" s="1035">
        <f t="shared" si="35"/>
        <v>0</v>
      </c>
      <c r="AK72" s="1089"/>
      <c r="AL72" s="1088"/>
      <c r="AM72" s="1021">
        <f t="shared" si="57"/>
        <v>0</v>
      </c>
      <c r="AN72" s="1034">
        <f t="shared" si="58"/>
        <v>1</v>
      </c>
      <c r="AO72" s="1035">
        <f t="shared" si="36"/>
        <v>0</v>
      </c>
      <c r="AP72" s="1089"/>
      <c r="AQ72" s="1088"/>
      <c r="AR72" s="1037">
        <f t="shared" si="59"/>
        <v>0</v>
      </c>
      <c r="AS72" s="1034">
        <f t="shared" si="60"/>
        <v>1</v>
      </c>
      <c r="AT72" s="1035">
        <f t="shared" si="37"/>
        <v>0</v>
      </c>
      <c r="AU72" s="1091"/>
      <c r="AV72" s="1088"/>
      <c r="AW72" s="1021">
        <f t="shared" si="61"/>
        <v>0</v>
      </c>
      <c r="AX72" s="1034">
        <f t="shared" si="62"/>
        <v>1</v>
      </c>
      <c r="AY72" s="1035">
        <f t="shared" si="38"/>
        <v>0</v>
      </c>
      <c r="AZ72" s="1089"/>
      <c r="BA72" s="1089"/>
      <c r="BB72" s="1021">
        <f t="shared" si="63"/>
        <v>0</v>
      </c>
      <c r="BC72" s="1034">
        <f t="shared" si="64"/>
        <v>1</v>
      </c>
      <c r="BD72" s="1035">
        <f t="shared" si="39"/>
        <v>0</v>
      </c>
      <c r="BE72" s="1091"/>
      <c r="BF72" s="1088"/>
      <c r="BG72" s="1021">
        <f t="shared" si="65"/>
        <v>0</v>
      </c>
      <c r="BH72" s="1039">
        <f t="shared" si="66"/>
        <v>0</v>
      </c>
      <c r="BI72" s="1038">
        <f t="shared" si="67"/>
        <v>0</v>
      </c>
      <c r="BJ72" s="1027">
        <f t="shared" si="68"/>
        <v>0</v>
      </c>
      <c r="BK72" s="1021">
        <f t="shared" si="25"/>
        <v>0</v>
      </c>
      <c r="BL72" s="1040">
        <f t="shared" si="69"/>
        <v>0</v>
      </c>
      <c r="BM72" s="1038">
        <f t="shared" si="70"/>
        <v>0</v>
      </c>
      <c r="BN72" s="1027"/>
      <c r="BO72" s="1041"/>
      <c r="BP72" s="95">
        <f t="shared" si="43"/>
        <v>0</v>
      </c>
      <c r="BQ72" s="842">
        <f t="shared" si="44"/>
        <v>0</v>
      </c>
      <c r="BR72" s="323"/>
      <c r="BS72" s="94">
        <f t="shared" si="71"/>
        <v>0</v>
      </c>
      <c r="BU72" s="632">
        <f t="shared" si="72"/>
        <v>0</v>
      </c>
      <c r="BV72" s="398"/>
      <c r="BW72" s="737"/>
      <c r="BX72" s="323"/>
      <c r="CD72" s="694"/>
      <c r="CI72" s="738"/>
    </row>
    <row r="73" spans="1:87" s="696" customFormat="1" ht="14.25" outlineLevel="1" thickTop="1" thickBot="1">
      <c r="B73" s="751">
        <f t="shared" si="40"/>
        <v>0</v>
      </c>
      <c r="C73" s="1029"/>
      <c r="D73" s="1031"/>
      <c r="E73" s="1030"/>
      <c r="F73" s="1031"/>
      <c r="G73" s="1029"/>
      <c r="H73" s="1032">
        <f t="shared" si="30"/>
        <v>1</v>
      </c>
      <c r="I73" s="1105"/>
      <c r="J73" s="1034">
        <f t="shared" si="31"/>
        <v>1</v>
      </c>
      <c r="K73" s="1035">
        <f t="shared" si="45"/>
        <v>0</v>
      </c>
      <c r="L73" s="1089"/>
      <c r="M73" s="1088"/>
      <c r="N73" s="1037">
        <f t="shared" si="46"/>
        <v>0</v>
      </c>
      <c r="O73" s="1034">
        <f t="shared" si="47"/>
        <v>1</v>
      </c>
      <c r="P73" s="1035">
        <f t="shared" si="48"/>
        <v>0</v>
      </c>
      <c r="Q73" s="1089"/>
      <c r="R73" s="1088"/>
      <c r="S73" s="1020">
        <f t="shared" si="49"/>
        <v>0</v>
      </c>
      <c r="T73" s="1034">
        <f t="shared" si="50"/>
        <v>1</v>
      </c>
      <c r="U73" s="1035">
        <f t="shared" si="32"/>
        <v>0</v>
      </c>
      <c r="V73" s="1089"/>
      <c r="W73" s="1088"/>
      <c r="X73" s="1037">
        <f t="shared" si="51"/>
        <v>0</v>
      </c>
      <c r="Y73" s="1034">
        <f t="shared" si="52"/>
        <v>1</v>
      </c>
      <c r="Z73" s="1035">
        <f t="shared" si="33"/>
        <v>0</v>
      </c>
      <c r="AA73" s="1089"/>
      <c r="AB73" s="1088"/>
      <c r="AC73" s="1021">
        <f t="shared" si="53"/>
        <v>0</v>
      </c>
      <c r="AD73" s="1034">
        <f t="shared" si="54"/>
        <v>1</v>
      </c>
      <c r="AE73" s="1035">
        <f t="shared" si="34"/>
        <v>0</v>
      </c>
      <c r="AF73" s="1089"/>
      <c r="AG73" s="1088"/>
      <c r="AH73" s="1037">
        <f t="shared" si="55"/>
        <v>0</v>
      </c>
      <c r="AI73" s="1034">
        <f t="shared" si="56"/>
        <v>1</v>
      </c>
      <c r="AJ73" s="1035">
        <f t="shared" si="35"/>
        <v>0</v>
      </c>
      <c r="AK73" s="1089"/>
      <c r="AL73" s="1088"/>
      <c r="AM73" s="1021">
        <f t="shared" si="57"/>
        <v>0</v>
      </c>
      <c r="AN73" s="1034">
        <f t="shared" si="58"/>
        <v>1</v>
      </c>
      <c r="AO73" s="1035">
        <f t="shared" si="36"/>
        <v>0</v>
      </c>
      <c r="AP73" s="1089"/>
      <c r="AQ73" s="1088"/>
      <c r="AR73" s="1037">
        <f t="shared" si="59"/>
        <v>0</v>
      </c>
      <c r="AS73" s="1034">
        <f t="shared" si="60"/>
        <v>1</v>
      </c>
      <c r="AT73" s="1035">
        <f t="shared" si="37"/>
        <v>0</v>
      </c>
      <c r="AU73" s="1089"/>
      <c r="AV73" s="1088"/>
      <c r="AW73" s="1021">
        <f t="shared" si="61"/>
        <v>0</v>
      </c>
      <c r="AX73" s="1034">
        <f t="shared" si="62"/>
        <v>1</v>
      </c>
      <c r="AY73" s="1035">
        <f t="shared" si="38"/>
        <v>0</v>
      </c>
      <c r="AZ73" s="1089"/>
      <c r="BA73" s="1089"/>
      <c r="BB73" s="1021">
        <f t="shared" si="63"/>
        <v>0</v>
      </c>
      <c r="BC73" s="1034">
        <f t="shared" si="64"/>
        <v>1</v>
      </c>
      <c r="BD73" s="1035">
        <f t="shared" si="39"/>
        <v>0</v>
      </c>
      <c r="BE73" s="1091"/>
      <c r="BF73" s="1088"/>
      <c r="BG73" s="1021">
        <f t="shared" si="65"/>
        <v>0</v>
      </c>
      <c r="BH73" s="1039">
        <f t="shared" si="66"/>
        <v>0</v>
      </c>
      <c r="BI73" s="1038">
        <f t="shared" si="67"/>
        <v>0</v>
      </c>
      <c r="BJ73" s="1027">
        <f t="shared" si="68"/>
        <v>0</v>
      </c>
      <c r="BK73" s="1021">
        <f t="shared" si="25"/>
        <v>0</v>
      </c>
      <c r="BL73" s="1040">
        <f t="shared" si="69"/>
        <v>0</v>
      </c>
      <c r="BM73" s="1038">
        <f t="shared" si="70"/>
        <v>0</v>
      </c>
      <c r="BN73" s="1027"/>
      <c r="BO73" s="1041"/>
      <c r="BP73" s="95">
        <f t="shared" si="43"/>
        <v>0</v>
      </c>
      <c r="BQ73" s="842">
        <f t="shared" si="44"/>
        <v>0</v>
      </c>
      <c r="BR73" s="323"/>
      <c r="BS73" s="94">
        <f t="shared" si="71"/>
        <v>0</v>
      </c>
      <c r="BU73" s="632">
        <f t="shared" si="72"/>
        <v>0</v>
      </c>
      <c r="BV73" s="398"/>
      <c r="BW73" s="737"/>
      <c r="BX73" s="323"/>
      <c r="CD73" s="694"/>
      <c r="CI73" s="738"/>
    </row>
    <row r="74" spans="1:87" s="696" customFormat="1" ht="14.25" outlineLevel="1" thickTop="1" thickBot="1">
      <c r="B74" s="751">
        <f t="shared" si="40"/>
        <v>0</v>
      </c>
      <c r="C74" s="1029"/>
      <c r="D74" s="1031"/>
      <c r="E74" s="1030"/>
      <c r="F74" s="1031"/>
      <c r="G74" s="1029"/>
      <c r="H74" s="1032">
        <f>1/(1-I74)</f>
        <v>1</v>
      </c>
      <c r="I74" s="1105"/>
      <c r="J74" s="1034">
        <f>IF(K74=0,1,K74/(K74/($J$13*(1/H74))))</f>
        <v>1</v>
      </c>
      <c r="K74" s="1035">
        <f>L74*$D$8</f>
        <v>0</v>
      </c>
      <c r="L74" s="1089"/>
      <c r="M74" s="1088"/>
      <c r="N74" s="1037">
        <f>L74/($J$13*(100%-I74))</f>
        <v>0</v>
      </c>
      <c r="O74" s="1034">
        <f>IF(P74=0,1,P74/(P74/($O$13*(1/H74))))</f>
        <v>1</v>
      </c>
      <c r="P74" s="1035">
        <f>Q74*$D$8</f>
        <v>0</v>
      </c>
      <c r="Q74" s="1089"/>
      <c r="R74" s="1088"/>
      <c r="S74" s="1020">
        <f>Q74/($O$13*(100%-I74))</f>
        <v>0</v>
      </c>
      <c r="T74" s="1034">
        <f>IF(U74=0,1,U74/(U74/($T$13*(1/H74))))</f>
        <v>1</v>
      </c>
      <c r="U74" s="1035">
        <f>V74*$D$8</f>
        <v>0</v>
      </c>
      <c r="V74" s="1089"/>
      <c r="W74" s="1088"/>
      <c r="X74" s="1037">
        <f>V74/($T$13*(100%-I74))</f>
        <v>0</v>
      </c>
      <c r="Y74" s="1034">
        <f>IF(Z74=0,1,Z74/(Z74/($Y$13*(1/H74))))</f>
        <v>1</v>
      </c>
      <c r="Z74" s="1035">
        <f>AA74*$D$8</f>
        <v>0</v>
      </c>
      <c r="AA74" s="1089"/>
      <c r="AB74" s="1088"/>
      <c r="AC74" s="1021">
        <f>AA74/($Y$13*(100%-I74))</f>
        <v>0</v>
      </c>
      <c r="AD74" s="1034">
        <f>IF(AE74=0,1,AE74/(AE74/($AD$13*(1/H74))))</f>
        <v>1</v>
      </c>
      <c r="AE74" s="1035">
        <f>AF74*$D$8</f>
        <v>0</v>
      </c>
      <c r="AF74" s="1089"/>
      <c r="AG74" s="1088"/>
      <c r="AH74" s="1037">
        <f>AF74/($AD$13*(100%-I74))</f>
        <v>0</v>
      </c>
      <c r="AI74" s="1034">
        <f>IF(AJ74=0,1,AJ74/(AJ74/($AI$13*(1/H74))))</f>
        <v>1</v>
      </c>
      <c r="AJ74" s="1035">
        <f>AK74*$D$8</f>
        <v>0</v>
      </c>
      <c r="AK74" s="1089"/>
      <c r="AL74" s="1088"/>
      <c r="AM74" s="1021">
        <f>AK74/($AI$13*(100%-I74))</f>
        <v>0</v>
      </c>
      <c r="AN74" s="1034">
        <f>IF(AO74=0,1,AO74/(AO74/($AN$13*(1/H74))))</f>
        <v>1</v>
      </c>
      <c r="AO74" s="1035">
        <f>AP74*$D$8</f>
        <v>0</v>
      </c>
      <c r="AP74" s="1089"/>
      <c r="AQ74" s="1088"/>
      <c r="AR74" s="1037">
        <f>AP74/($AN$13*(100%-I74))</f>
        <v>0</v>
      </c>
      <c r="AS74" s="1034">
        <f>IF(AT74=0,1,AT74/(AT74/($AS$13*(1/H74))))</f>
        <v>1</v>
      </c>
      <c r="AT74" s="1035">
        <f>AU74*$D$8</f>
        <v>0</v>
      </c>
      <c r="AU74" s="1091"/>
      <c r="AV74" s="1088"/>
      <c r="AW74" s="1021">
        <f>AU74/($AS$13*(100%-I74))</f>
        <v>0</v>
      </c>
      <c r="AX74" s="1034">
        <f>IF(AY74=0,1,AY74/(AY74/($AX$13*(1/H74))))</f>
        <v>1</v>
      </c>
      <c r="AY74" s="1035">
        <f>AZ74*$D$8</f>
        <v>0</v>
      </c>
      <c r="AZ74" s="1089"/>
      <c r="BA74" s="1089"/>
      <c r="BB74" s="1021">
        <f>AZ74/($AX$13*(100%-I74))</f>
        <v>0</v>
      </c>
      <c r="BC74" s="1034">
        <f>IF(BD74=0,1,BD74/(BD74/($BC$13*(1/H74))))</f>
        <v>1</v>
      </c>
      <c r="BD74" s="1035">
        <f>BE74*$D$8</f>
        <v>0</v>
      </c>
      <c r="BE74" s="1091"/>
      <c r="BF74" s="1088"/>
      <c r="BG74" s="1021">
        <f>BE74/($BC$13*(100%-I74))</f>
        <v>0</v>
      </c>
      <c r="BH74" s="1039">
        <f>K74+U74+AE74+AO74++AY74</f>
        <v>0</v>
      </c>
      <c r="BI74" s="1038">
        <f>L74+V74+AF74+AP74+AZ74</f>
        <v>0</v>
      </c>
      <c r="BJ74" s="1027">
        <f t="shared" si="68"/>
        <v>0</v>
      </c>
      <c r="BK74" s="1021">
        <f t="shared" si="25"/>
        <v>0</v>
      </c>
      <c r="BL74" s="1040">
        <f>P74+Z74+AJ74+AT74+BD74</f>
        <v>0</v>
      </c>
      <c r="BM74" s="1038">
        <f>Q74+AA74+AK74+AU74+BE74</f>
        <v>0</v>
      </c>
      <c r="BN74" s="1027"/>
      <c r="BO74" s="1041"/>
      <c r="BP74" s="95">
        <f t="shared" si="43"/>
        <v>0</v>
      </c>
      <c r="BQ74" s="842">
        <f t="shared" si="44"/>
        <v>0</v>
      </c>
      <c r="BR74" s="323"/>
      <c r="BS74" s="94">
        <f t="shared" si="71"/>
        <v>0</v>
      </c>
      <c r="BU74" s="632">
        <f t="shared" si="72"/>
        <v>0</v>
      </c>
      <c r="BV74" s="398"/>
      <c r="BW74" s="737"/>
      <c r="BX74" s="323"/>
      <c r="CD74" s="694"/>
      <c r="CI74" s="738"/>
    </row>
    <row r="75" spans="1:87" s="166" customFormat="1" ht="14.25" outlineLevel="1" thickTop="1" thickBot="1">
      <c r="A75" s="56"/>
      <c r="B75" s="751">
        <f t="shared" si="40"/>
        <v>0</v>
      </c>
      <c r="C75" s="1029"/>
      <c r="D75" s="1031"/>
      <c r="E75" s="1030"/>
      <c r="F75" s="1031"/>
      <c r="G75" s="1029"/>
      <c r="H75" s="1032">
        <f t="shared" si="30"/>
        <v>1</v>
      </c>
      <c r="I75" s="1105"/>
      <c r="J75" s="1034">
        <f t="shared" si="31"/>
        <v>1</v>
      </c>
      <c r="K75" s="1035">
        <f t="shared" ref="K75:K87" si="73">L75*$D$8</f>
        <v>0</v>
      </c>
      <c r="L75" s="1089"/>
      <c r="M75" s="1088"/>
      <c r="N75" s="1037">
        <f t="shared" si="46"/>
        <v>0</v>
      </c>
      <c r="O75" s="1034">
        <f t="shared" si="47"/>
        <v>1</v>
      </c>
      <c r="P75" s="1035">
        <f t="shared" si="48"/>
        <v>0</v>
      </c>
      <c r="Q75" s="1089"/>
      <c r="R75" s="1088"/>
      <c r="S75" s="1020">
        <f t="shared" si="49"/>
        <v>0</v>
      </c>
      <c r="T75" s="1034">
        <f t="shared" si="50"/>
        <v>1</v>
      </c>
      <c r="U75" s="1035"/>
      <c r="V75" s="1089"/>
      <c r="W75" s="1088"/>
      <c r="X75" s="1037">
        <f t="shared" si="51"/>
        <v>0</v>
      </c>
      <c r="Y75" s="1034">
        <f t="shared" si="52"/>
        <v>1</v>
      </c>
      <c r="Z75" s="1035">
        <f t="shared" si="33"/>
        <v>0</v>
      </c>
      <c r="AA75" s="1089"/>
      <c r="AB75" s="1088"/>
      <c r="AC75" s="1021">
        <f t="shared" si="53"/>
        <v>0</v>
      </c>
      <c r="AD75" s="1034">
        <f t="shared" si="54"/>
        <v>1</v>
      </c>
      <c r="AE75" s="1035">
        <f t="shared" si="34"/>
        <v>0</v>
      </c>
      <c r="AF75" s="1089"/>
      <c r="AG75" s="1088"/>
      <c r="AH75" s="1037">
        <f t="shared" si="55"/>
        <v>0</v>
      </c>
      <c r="AI75" s="1034">
        <f t="shared" si="56"/>
        <v>1</v>
      </c>
      <c r="AJ75" s="1035">
        <f t="shared" si="35"/>
        <v>0</v>
      </c>
      <c r="AK75" s="1089"/>
      <c r="AL75" s="1088"/>
      <c r="AM75" s="1021">
        <f t="shared" si="57"/>
        <v>0</v>
      </c>
      <c r="AN75" s="1034">
        <f t="shared" si="58"/>
        <v>1</v>
      </c>
      <c r="AO75" s="1035">
        <f t="shared" ref="AO75:AO80" si="74">AP75*$D$8</f>
        <v>0</v>
      </c>
      <c r="AP75" s="1089"/>
      <c r="AQ75" s="1088"/>
      <c r="AR75" s="1037">
        <f t="shared" si="59"/>
        <v>0</v>
      </c>
      <c r="AS75" s="1034">
        <f t="shared" si="60"/>
        <v>1</v>
      </c>
      <c r="AT75" s="1035">
        <f t="shared" si="37"/>
        <v>0</v>
      </c>
      <c r="AU75" s="1089"/>
      <c r="AV75" s="1088"/>
      <c r="AW75" s="1021">
        <f t="shared" si="61"/>
        <v>0</v>
      </c>
      <c r="AX75" s="1034">
        <f t="shared" si="62"/>
        <v>1</v>
      </c>
      <c r="AY75" s="1035">
        <f t="shared" ref="AY75:AY80" si="75">AZ75*$D$8</f>
        <v>0</v>
      </c>
      <c r="AZ75" s="1089"/>
      <c r="BA75" s="1089"/>
      <c r="BB75" s="1021">
        <f t="shared" si="63"/>
        <v>0</v>
      </c>
      <c r="BC75" s="1034">
        <f t="shared" si="64"/>
        <v>1</v>
      </c>
      <c r="BD75" s="1035">
        <f t="shared" si="39"/>
        <v>0</v>
      </c>
      <c r="BE75" s="1091"/>
      <c r="BF75" s="1088"/>
      <c r="BG75" s="1021">
        <f t="shared" si="65"/>
        <v>0</v>
      </c>
      <c r="BH75" s="1039">
        <f t="shared" si="66"/>
        <v>0</v>
      </c>
      <c r="BI75" s="1038">
        <f t="shared" si="67"/>
        <v>0</v>
      </c>
      <c r="BJ75" s="1027">
        <f t="shared" si="68"/>
        <v>0</v>
      </c>
      <c r="BK75" s="1021">
        <f t="shared" si="25"/>
        <v>0</v>
      </c>
      <c r="BL75" s="1040">
        <f t="shared" si="69"/>
        <v>0</v>
      </c>
      <c r="BM75" s="1038">
        <f t="shared" si="70"/>
        <v>0</v>
      </c>
      <c r="BN75" s="1027"/>
      <c r="BO75" s="1041"/>
      <c r="BP75" s="95">
        <f t="shared" si="43"/>
        <v>0</v>
      </c>
      <c r="BQ75" s="842">
        <f t="shared" si="44"/>
        <v>0</v>
      </c>
      <c r="BR75" s="323"/>
      <c r="BS75" s="94">
        <f t="shared" si="71"/>
        <v>0</v>
      </c>
      <c r="BU75" s="632">
        <f t="shared" si="72"/>
        <v>0</v>
      </c>
      <c r="BV75" s="398"/>
      <c r="BW75" s="405"/>
      <c r="BX75" s="323"/>
      <c r="CD75" s="694"/>
      <c r="CI75" s="320"/>
    </row>
    <row r="76" spans="1:87" s="166" customFormat="1" ht="14.25" outlineLevel="1" thickTop="1" thickBot="1">
      <c r="A76" s="56"/>
      <c r="B76" s="751">
        <f t="shared" si="40"/>
        <v>0</v>
      </c>
      <c r="C76" s="1029"/>
      <c r="D76" s="1031"/>
      <c r="E76" s="1030"/>
      <c r="F76" s="1031"/>
      <c r="G76" s="1029"/>
      <c r="H76" s="1032">
        <f t="shared" si="30"/>
        <v>1</v>
      </c>
      <c r="I76" s="1105"/>
      <c r="J76" s="1034">
        <f t="shared" si="31"/>
        <v>1</v>
      </c>
      <c r="K76" s="1035">
        <f t="shared" si="73"/>
        <v>0</v>
      </c>
      <c r="L76" s="1089"/>
      <c r="M76" s="1088"/>
      <c r="N76" s="1037">
        <f t="shared" si="46"/>
        <v>0</v>
      </c>
      <c r="O76" s="1034">
        <f t="shared" si="47"/>
        <v>1</v>
      </c>
      <c r="P76" s="1035">
        <f t="shared" si="48"/>
        <v>0</v>
      </c>
      <c r="Q76" s="1089"/>
      <c r="R76" s="1088"/>
      <c r="S76" s="1020">
        <f t="shared" si="49"/>
        <v>0</v>
      </c>
      <c r="T76" s="1034">
        <f t="shared" si="50"/>
        <v>1</v>
      </c>
      <c r="U76" s="1035"/>
      <c r="V76" s="1089"/>
      <c r="W76" s="1088"/>
      <c r="X76" s="1037">
        <f t="shared" si="51"/>
        <v>0</v>
      </c>
      <c r="Y76" s="1034">
        <f t="shared" si="52"/>
        <v>1</v>
      </c>
      <c r="Z76" s="1035">
        <f t="shared" si="33"/>
        <v>0</v>
      </c>
      <c r="AA76" s="1089"/>
      <c r="AB76" s="1088"/>
      <c r="AC76" s="1021">
        <f t="shared" si="53"/>
        <v>0</v>
      </c>
      <c r="AD76" s="1034">
        <f t="shared" si="54"/>
        <v>1</v>
      </c>
      <c r="AE76" s="1035">
        <f t="shared" si="34"/>
        <v>0</v>
      </c>
      <c r="AF76" s="1089"/>
      <c r="AG76" s="1088"/>
      <c r="AH76" s="1037">
        <f t="shared" si="55"/>
        <v>0</v>
      </c>
      <c r="AI76" s="1034">
        <f t="shared" si="56"/>
        <v>1</v>
      </c>
      <c r="AJ76" s="1035">
        <f t="shared" si="35"/>
        <v>0</v>
      </c>
      <c r="AK76" s="1089"/>
      <c r="AL76" s="1088"/>
      <c r="AM76" s="1021">
        <f t="shared" si="57"/>
        <v>0</v>
      </c>
      <c r="AN76" s="1034">
        <f t="shared" si="58"/>
        <v>1</v>
      </c>
      <c r="AO76" s="1035">
        <f t="shared" si="74"/>
        <v>0</v>
      </c>
      <c r="AP76" s="1089"/>
      <c r="AQ76" s="1088"/>
      <c r="AR76" s="1037">
        <f t="shared" si="59"/>
        <v>0</v>
      </c>
      <c r="AS76" s="1034">
        <f t="shared" si="60"/>
        <v>1</v>
      </c>
      <c r="AT76" s="1035">
        <f t="shared" si="37"/>
        <v>0</v>
      </c>
      <c r="AU76" s="1091"/>
      <c r="AV76" s="1088"/>
      <c r="AW76" s="1021">
        <f t="shared" si="61"/>
        <v>0</v>
      </c>
      <c r="AX76" s="1034">
        <f t="shared" si="62"/>
        <v>1</v>
      </c>
      <c r="AY76" s="1035">
        <f t="shared" si="75"/>
        <v>0</v>
      </c>
      <c r="AZ76" s="1089"/>
      <c r="BA76" s="1089"/>
      <c r="BB76" s="1021">
        <f t="shared" si="63"/>
        <v>0</v>
      </c>
      <c r="BC76" s="1034">
        <f t="shared" si="64"/>
        <v>1</v>
      </c>
      <c r="BD76" s="1035">
        <f t="shared" si="39"/>
        <v>0</v>
      </c>
      <c r="BE76" s="1091"/>
      <c r="BF76" s="1088"/>
      <c r="BG76" s="1021">
        <f t="shared" si="65"/>
        <v>0</v>
      </c>
      <c r="BH76" s="1039">
        <f t="shared" si="66"/>
        <v>0</v>
      </c>
      <c r="BI76" s="1038">
        <f t="shared" si="67"/>
        <v>0</v>
      </c>
      <c r="BJ76" s="1027">
        <f t="shared" si="68"/>
        <v>0</v>
      </c>
      <c r="BK76" s="1021">
        <f t="shared" si="25"/>
        <v>0</v>
      </c>
      <c r="BL76" s="1040">
        <f t="shared" si="69"/>
        <v>0</v>
      </c>
      <c r="BM76" s="1038">
        <f t="shared" si="70"/>
        <v>0</v>
      </c>
      <c r="BN76" s="1027"/>
      <c r="BO76" s="1041"/>
      <c r="BP76" s="95">
        <f t="shared" si="43"/>
        <v>0</v>
      </c>
      <c r="BQ76" s="842">
        <f t="shared" si="44"/>
        <v>0</v>
      </c>
      <c r="BR76" s="323"/>
      <c r="BS76" s="94">
        <f t="shared" si="71"/>
        <v>0</v>
      </c>
      <c r="BU76" s="632">
        <f t="shared" si="72"/>
        <v>0</v>
      </c>
      <c r="BV76" s="398"/>
      <c r="BW76" s="405"/>
      <c r="BX76" s="323"/>
      <c r="CD76" s="694"/>
      <c r="CI76" s="320"/>
    </row>
    <row r="77" spans="1:87" s="166" customFormat="1" ht="14.25" outlineLevel="1" thickTop="1" thickBot="1">
      <c r="A77" s="56">
        <v>1</v>
      </c>
      <c r="B77" s="751">
        <f t="shared" si="40"/>
        <v>0</v>
      </c>
      <c r="C77" s="1029"/>
      <c r="D77" s="1031"/>
      <c r="E77" s="1030"/>
      <c r="F77" s="1031"/>
      <c r="G77" s="1029"/>
      <c r="H77" s="1032">
        <f t="shared" si="30"/>
        <v>1</v>
      </c>
      <c r="I77" s="1105"/>
      <c r="J77" s="1034">
        <f t="shared" si="31"/>
        <v>1</v>
      </c>
      <c r="K77" s="1035">
        <f t="shared" si="73"/>
        <v>0</v>
      </c>
      <c r="L77" s="1089"/>
      <c r="M77" s="1088"/>
      <c r="N77" s="1037">
        <f t="shared" si="46"/>
        <v>0</v>
      </c>
      <c r="O77" s="1034">
        <f t="shared" si="47"/>
        <v>1</v>
      </c>
      <c r="P77" s="1035">
        <f t="shared" si="48"/>
        <v>0</v>
      </c>
      <c r="Q77" s="1089"/>
      <c r="R77" s="1088"/>
      <c r="S77" s="1020">
        <f t="shared" si="49"/>
        <v>0</v>
      </c>
      <c r="T77" s="1034">
        <f t="shared" si="50"/>
        <v>1</v>
      </c>
      <c r="U77" s="1035"/>
      <c r="V77" s="1089"/>
      <c r="W77" s="1088"/>
      <c r="X77" s="1037">
        <f t="shared" si="51"/>
        <v>0</v>
      </c>
      <c r="Y77" s="1034">
        <f t="shared" si="52"/>
        <v>1</v>
      </c>
      <c r="Z77" s="1035">
        <f t="shared" si="33"/>
        <v>0</v>
      </c>
      <c r="AA77" s="1089"/>
      <c r="AB77" s="1088"/>
      <c r="AC77" s="1021">
        <f t="shared" si="53"/>
        <v>0</v>
      </c>
      <c r="AD77" s="1034">
        <f t="shared" si="54"/>
        <v>1</v>
      </c>
      <c r="AE77" s="1035">
        <f t="shared" si="34"/>
        <v>0</v>
      </c>
      <c r="AF77" s="1089"/>
      <c r="AG77" s="1088"/>
      <c r="AH77" s="1037">
        <f t="shared" si="55"/>
        <v>0</v>
      </c>
      <c r="AI77" s="1034">
        <f t="shared" si="56"/>
        <v>1</v>
      </c>
      <c r="AJ77" s="1035">
        <f t="shared" si="35"/>
        <v>0</v>
      </c>
      <c r="AK77" s="1089"/>
      <c r="AL77" s="1088"/>
      <c r="AM77" s="1021">
        <f t="shared" si="57"/>
        <v>0</v>
      </c>
      <c r="AN77" s="1034">
        <f t="shared" si="58"/>
        <v>1</v>
      </c>
      <c r="AO77" s="1035">
        <f t="shared" si="74"/>
        <v>0</v>
      </c>
      <c r="AP77" s="1089"/>
      <c r="AQ77" s="1088"/>
      <c r="AR77" s="1037">
        <f t="shared" si="59"/>
        <v>0</v>
      </c>
      <c r="AS77" s="1034">
        <f t="shared" si="60"/>
        <v>1</v>
      </c>
      <c r="AT77" s="1035">
        <f t="shared" si="37"/>
        <v>0</v>
      </c>
      <c r="AU77" s="1089"/>
      <c r="AV77" s="1088"/>
      <c r="AW77" s="1021">
        <f t="shared" si="61"/>
        <v>0</v>
      </c>
      <c r="AX77" s="1034">
        <f t="shared" si="62"/>
        <v>1</v>
      </c>
      <c r="AY77" s="1035">
        <f t="shared" si="75"/>
        <v>0</v>
      </c>
      <c r="AZ77" s="1089"/>
      <c r="BA77" s="1089"/>
      <c r="BB77" s="1021">
        <f t="shared" si="63"/>
        <v>0</v>
      </c>
      <c r="BC77" s="1034">
        <f t="shared" si="64"/>
        <v>1</v>
      </c>
      <c r="BD77" s="1035">
        <f t="shared" si="39"/>
        <v>0</v>
      </c>
      <c r="BE77" s="1091"/>
      <c r="BF77" s="1088"/>
      <c r="BG77" s="1021">
        <f t="shared" si="65"/>
        <v>0</v>
      </c>
      <c r="BH77" s="1039">
        <f t="shared" si="66"/>
        <v>0</v>
      </c>
      <c r="BI77" s="1038">
        <f t="shared" si="67"/>
        <v>0</v>
      </c>
      <c r="BJ77" s="1027">
        <f t="shared" si="68"/>
        <v>0</v>
      </c>
      <c r="BK77" s="1021">
        <f t="shared" si="25"/>
        <v>0</v>
      </c>
      <c r="BL77" s="1040">
        <f t="shared" si="69"/>
        <v>0</v>
      </c>
      <c r="BM77" s="1038">
        <f t="shared" si="70"/>
        <v>0</v>
      </c>
      <c r="BN77" s="1027"/>
      <c r="BO77" s="1041"/>
      <c r="BP77" s="95">
        <f t="shared" si="43"/>
        <v>0</v>
      </c>
      <c r="BQ77" s="842">
        <f t="shared" si="44"/>
        <v>0</v>
      </c>
      <c r="BR77" s="323"/>
      <c r="BS77" s="94">
        <f t="shared" si="71"/>
        <v>0</v>
      </c>
      <c r="BU77" s="632">
        <f t="shared" si="72"/>
        <v>0</v>
      </c>
      <c r="BV77" s="398"/>
      <c r="BW77" s="405"/>
      <c r="BX77" s="323"/>
      <c r="CD77" s="694"/>
      <c r="CI77" s="320"/>
    </row>
    <row r="78" spans="1:87" s="166" customFormat="1" ht="14.25" outlineLevel="1" thickTop="1" thickBot="1">
      <c r="A78" s="56"/>
      <c r="B78" s="751">
        <f t="shared" si="40"/>
        <v>0</v>
      </c>
      <c r="C78" s="1029"/>
      <c r="D78" s="1031"/>
      <c r="E78" s="1030"/>
      <c r="F78" s="1031"/>
      <c r="G78" s="1029"/>
      <c r="H78" s="1032">
        <f t="shared" si="30"/>
        <v>1</v>
      </c>
      <c r="I78" s="1105"/>
      <c r="J78" s="1034">
        <f t="shared" si="31"/>
        <v>1</v>
      </c>
      <c r="K78" s="1035">
        <f t="shared" si="73"/>
        <v>0</v>
      </c>
      <c r="L78" s="1089"/>
      <c r="M78" s="1088"/>
      <c r="N78" s="1037">
        <f t="shared" si="46"/>
        <v>0</v>
      </c>
      <c r="O78" s="1034">
        <f t="shared" si="47"/>
        <v>1</v>
      </c>
      <c r="P78" s="1035">
        <f t="shared" si="48"/>
        <v>0</v>
      </c>
      <c r="Q78" s="1089"/>
      <c r="R78" s="1088"/>
      <c r="S78" s="1020">
        <f t="shared" si="49"/>
        <v>0</v>
      </c>
      <c r="T78" s="1034">
        <f t="shared" si="50"/>
        <v>1</v>
      </c>
      <c r="U78" s="1035"/>
      <c r="V78" s="1089"/>
      <c r="W78" s="1088"/>
      <c r="X78" s="1037">
        <f t="shared" si="51"/>
        <v>0</v>
      </c>
      <c r="Y78" s="1034">
        <f t="shared" si="52"/>
        <v>1</v>
      </c>
      <c r="Z78" s="1035">
        <f t="shared" si="33"/>
        <v>0</v>
      </c>
      <c r="AA78" s="1089"/>
      <c r="AB78" s="1088"/>
      <c r="AC78" s="1021">
        <f t="shared" si="53"/>
        <v>0</v>
      </c>
      <c r="AD78" s="1034">
        <f t="shared" si="54"/>
        <v>1</v>
      </c>
      <c r="AE78" s="1035">
        <f t="shared" si="34"/>
        <v>0</v>
      </c>
      <c r="AF78" s="1089"/>
      <c r="AG78" s="1088"/>
      <c r="AH78" s="1037">
        <f t="shared" si="55"/>
        <v>0</v>
      </c>
      <c r="AI78" s="1034">
        <f t="shared" si="56"/>
        <v>1</v>
      </c>
      <c r="AJ78" s="1035">
        <f t="shared" si="35"/>
        <v>0</v>
      </c>
      <c r="AK78" s="1089"/>
      <c r="AL78" s="1088"/>
      <c r="AM78" s="1021">
        <f t="shared" si="57"/>
        <v>0</v>
      </c>
      <c r="AN78" s="1034">
        <f t="shared" si="58"/>
        <v>1</v>
      </c>
      <c r="AO78" s="1035">
        <f t="shared" si="74"/>
        <v>0</v>
      </c>
      <c r="AP78" s="1089"/>
      <c r="AQ78" s="1088"/>
      <c r="AR78" s="1037">
        <f t="shared" si="59"/>
        <v>0</v>
      </c>
      <c r="AS78" s="1034">
        <f t="shared" si="60"/>
        <v>1</v>
      </c>
      <c r="AT78" s="1035">
        <f t="shared" si="37"/>
        <v>0</v>
      </c>
      <c r="AU78" s="1091"/>
      <c r="AV78" s="1088"/>
      <c r="AW78" s="1021">
        <f t="shared" si="61"/>
        <v>0</v>
      </c>
      <c r="AX78" s="1034">
        <f t="shared" si="62"/>
        <v>1</v>
      </c>
      <c r="AY78" s="1035">
        <f t="shared" si="75"/>
        <v>0</v>
      </c>
      <c r="AZ78" s="1089"/>
      <c r="BA78" s="1089"/>
      <c r="BB78" s="1021">
        <f t="shared" si="63"/>
        <v>0</v>
      </c>
      <c r="BC78" s="1034">
        <f t="shared" si="64"/>
        <v>1</v>
      </c>
      <c r="BD78" s="1035">
        <f t="shared" si="39"/>
        <v>0</v>
      </c>
      <c r="BE78" s="1091"/>
      <c r="BF78" s="1088"/>
      <c r="BG78" s="1021">
        <f t="shared" si="65"/>
        <v>0</v>
      </c>
      <c r="BH78" s="1039">
        <f t="shared" si="66"/>
        <v>0</v>
      </c>
      <c r="BI78" s="1038">
        <f t="shared" si="67"/>
        <v>0</v>
      </c>
      <c r="BJ78" s="1027">
        <f t="shared" si="68"/>
        <v>0</v>
      </c>
      <c r="BK78" s="1021">
        <f t="shared" si="25"/>
        <v>0</v>
      </c>
      <c r="BL78" s="1040">
        <f t="shared" si="69"/>
        <v>0</v>
      </c>
      <c r="BM78" s="1038">
        <f t="shared" si="70"/>
        <v>0</v>
      </c>
      <c r="BN78" s="1027"/>
      <c r="BO78" s="1041"/>
      <c r="BP78" s="95">
        <f t="shared" si="43"/>
        <v>0</v>
      </c>
      <c r="BQ78" s="842">
        <f t="shared" si="44"/>
        <v>0</v>
      </c>
      <c r="BR78" s="323"/>
      <c r="BS78" s="94">
        <f t="shared" si="71"/>
        <v>0</v>
      </c>
      <c r="BU78" s="632">
        <f t="shared" si="72"/>
        <v>0</v>
      </c>
      <c r="BV78" s="398"/>
      <c r="BW78" s="405"/>
      <c r="BX78" s="323"/>
      <c r="CD78" s="694"/>
      <c r="CI78" s="320"/>
    </row>
    <row r="79" spans="1:87" s="166" customFormat="1" ht="14.25" outlineLevel="1" thickTop="1" thickBot="1">
      <c r="A79" s="56"/>
      <c r="B79" s="751">
        <f t="shared" si="40"/>
        <v>0</v>
      </c>
      <c r="C79" s="1029"/>
      <c r="D79" s="1031"/>
      <c r="E79" s="1030"/>
      <c r="F79" s="1031"/>
      <c r="G79" s="1029"/>
      <c r="H79" s="1032">
        <f t="shared" si="30"/>
        <v>1</v>
      </c>
      <c r="I79" s="1105"/>
      <c r="J79" s="1034">
        <f t="shared" si="31"/>
        <v>1</v>
      </c>
      <c r="K79" s="1035">
        <f t="shared" si="73"/>
        <v>0</v>
      </c>
      <c r="L79" s="1089"/>
      <c r="M79" s="1088"/>
      <c r="N79" s="1037">
        <f t="shared" si="46"/>
        <v>0</v>
      </c>
      <c r="O79" s="1034">
        <f t="shared" si="47"/>
        <v>1</v>
      </c>
      <c r="P79" s="1035">
        <f t="shared" si="48"/>
        <v>0</v>
      </c>
      <c r="Q79" s="1089"/>
      <c r="R79" s="1088"/>
      <c r="S79" s="1020">
        <f t="shared" si="49"/>
        <v>0</v>
      </c>
      <c r="T79" s="1034">
        <f t="shared" si="50"/>
        <v>1</v>
      </c>
      <c r="U79" s="1035"/>
      <c r="V79" s="1089"/>
      <c r="W79" s="1088"/>
      <c r="X79" s="1037">
        <f t="shared" si="51"/>
        <v>0</v>
      </c>
      <c r="Y79" s="1034">
        <f t="shared" si="52"/>
        <v>1</v>
      </c>
      <c r="Z79" s="1035">
        <f t="shared" si="33"/>
        <v>0</v>
      </c>
      <c r="AA79" s="1089"/>
      <c r="AB79" s="1088"/>
      <c r="AC79" s="1021">
        <f t="shared" si="53"/>
        <v>0</v>
      </c>
      <c r="AD79" s="1034">
        <f t="shared" si="54"/>
        <v>1</v>
      </c>
      <c r="AE79" s="1035">
        <f t="shared" si="34"/>
        <v>0</v>
      </c>
      <c r="AF79" s="1089"/>
      <c r="AG79" s="1088"/>
      <c r="AH79" s="1037">
        <f t="shared" si="55"/>
        <v>0</v>
      </c>
      <c r="AI79" s="1034">
        <f t="shared" si="56"/>
        <v>1</v>
      </c>
      <c r="AJ79" s="1035">
        <f t="shared" si="35"/>
        <v>0</v>
      </c>
      <c r="AK79" s="1089"/>
      <c r="AL79" s="1088"/>
      <c r="AM79" s="1021">
        <f t="shared" si="57"/>
        <v>0</v>
      </c>
      <c r="AN79" s="1034">
        <f t="shared" si="58"/>
        <v>1</v>
      </c>
      <c r="AO79" s="1035">
        <f t="shared" si="74"/>
        <v>0</v>
      </c>
      <c r="AP79" s="1089"/>
      <c r="AQ79" s="1088"/>
      <c r="AR79" s="1037">
        <f t="shared" si="59"/>
        <v>0</v>
      </c>
      <c r="AS79" s="1034">
        <f t="shared" si="60"/>
        <v>1</v>
      </c>
      <c r="AT79" s="1035">
        <f t="shared" si="37"/>
        <v>0</v>
      </c>
      <c r="AU79" s="1089"/>
      <c r="AV79" s="1088"/>
      <c r="AW79" s="1021">
        <f t="shared" si="61"/>
        <v>0</v>
      </c>
      <c r="AX79" s="1034">
        <f t="shared" si="62"/>
        <v>1</v>
      </c>
      <c r="AY79" s="1035">
        <f t="shared" si="75"/>
        <v>0</v>
      </c>
      <c r="AZ79" s="1089"/>
      <c r="BA79" s="1089"/>
      <c r="BB79" s="1021">
        <f t="shared" si="63"/>
        <v>0</v>
      </c>
      <c r="BC79" s="1034">
        <f t="shared" si="64"/>
        <v>1</v>
      </c>
      <c r="BD79" s="1035">
        <f t="shared" si="39"/>
        <v>0</v>
      </c>
      <c r="BE79" s="1091"/>
      <c r="BF79" s="1088"/>
      <c r="BG79" s="1021">
        <f t="shared" si="65"/>
        <v>0</v>
      </c>
      <c r="BH79" s="1039">
        <f t="shared" si="66"/>
        <v>0</v>
      </c>
      <c r="BI79" s="1038">
        <f t="shared" si="67"/>
        <v>0</v>
      </c>
      <c r="BJ79" s="1027">
        <f t="shared" si="68"/>
        <v>0</v>
      </c>
      <c r="BK79" s="1021">
        <f t="shared" si="25"/>
        <v>0</v>
      </c>
      <c r="BL79" s="1040">
        <f t="shared" si="69"/>
        <v>0</v>
      </c>
      <c r="BM79" s="1038">
        <f t="shared" si="70"/>
        <v>0</v>
      </c>
      <c r="BN79" s="1027"/>
      <c r="BO79" s="1041"/>
      <c r="BP79" s="95">
        <f t="shared" si="43"/>
        <v>0</v>
      </c>
      <c r="BQ79" s="842">
        <f t="shared" si="44"/>
        <v>0</v>
      </c>
      <c r="BR79" s="323"/>
      <c r="BS79" s="94">
        <f t="shared" si="71"/>
        <v>0</v>
      </c>
      <c r="BU79" s="632">
        <f t="shared" si="72"/>
        <v>0</v>
      </c>
      <c r="BV79" s="398"/>
      <c r="BW79" s="405"/>
      <c r="BX79" s="323"/>
      <c r="CD79" s="694"/>
      <c r="CI79" s="320"/>
    </row>
    <row r="80" spans="1:87" s="324" customFormat="1" ht="14.25" outlineLevel="1" thickTop="1" thickBot="1">
      <c r="B80" s="751">
        <f t="shared" si="40"/>
        <v>0</v>
      </c>
      <c r="C80" s="1029"/>
      <c r="D80" s="1031"/>
      <c r="E80" s="1030"/>
      <c r="F80" s="1031"/>
      <c r="G80" s="1029"/>
      <c r="H80" s="1032">
        <f t="shared" si="30"/>
        <v>1</v>
      </c>
      <c r="I80" s="1105"/>
      <c r="J80" s="1034">
        <f t="shared" si="31"/>
        <v>1</v>
      </c>
      <c r="K80" s="1035">
        <f t="shared" si="73"/>
        <v>0</v>
      </c>
      <c r="L80" s="1089"/>
      <c r="M80" s="1088"/>
      <c r="N80" s="1037">
        <f t="shared" ref="N80:N111" si="76">L80/($J$13*(100%-I80))</f>
        <v>0</v>
      </c>
      <c r="O80" s="1034">
        <f t="shared" si="47"/>
        <v>1</v>
      </c>
      <c r="P80" s="1035">
        <f>Q80*$D$8</f>
        <v>0</v>
      </c>
      <c r="Q80" s="1089"/>
      <c r="R80" s="1088"/>
      <c r="S80" s="1020">
        <f t="shared" ref="S80:S111" si="77">Q80/($O$13*(100%-I80))</f>
        <v>0</v>
      </c>
      <c r="T80" s="1034">
        <f t="shared" ref="T80:T111" si="78">IF(U80=0,1,U80/(U80/($T$13*(1/H80))))</f>
        <v>1</v>
      </c>
      <c r="U80" s="1035"/>
      <c r="V80" s="1089"/>
      <c r="W80" s="1088"/>
      <c r="X80" s="1037">
        <f t="shared" ref="X80:X111" si="79">V80/($T$13*(100%-I80))</f>
        <v>0</v>
      </c>
      <c r="Y80" s="1034">
        <f t="shared" ref="Y80:Y111" si="80">IF(Z80=0,1,Z80/(Z80/($Y$13*(1/H80))))</f>
        <v>1</v>
      </c>
      <c r="Z80" s="1035">
        <f t="shared" si="33"/>
        <v>0</v>
      </c>
      <c r="AA80" s="1089"/>
      <c r="AB80" s="1088"/>
      <c r="AC80" s="1021">
        <f t="shared" ref="AC80:AC111" si="81">AA80/($Y$13*(100%-I80))</f>
        <v>0</v>
      </c>
      <c r="AD80" s="1034">
        <f t="shared" ref="AD80:AD111" si="82">IF(AE80=0,1,AE80/(AE80/($AD$13*(1/H80))))</f>
        <v>1</v>
      </c>
      <c r="AE80" s="1035">
        <f t="shared" si="34"/>
        <v>0</v>
      </c>
      <c r="AF80" s="1089"/>
      <c r="AG80" s="1088"/>
      <c r="AH80" s="1037">
        <f t="shared" ref="AH80:AH111" si="83">AF80/($AD$13*(100%-I80))</f>
        <v>0</v>
      </c>
      <c r="AI80" s="1034">
        <f t="shared" ref="AI80:AI111" si="84">IF(AJ80=0,1,AJ80/(AJ80/($AI$13*(1/H80))))</f>
        <v>1</v>
      </c>
      <c r="AJ80" s="1035">
        <f t="shared" si="35"/>
        <v>0</v>
      </c>
      <c r="AK80" s="1089"/>
      <c r="AL80" s="1088"/>
      <c r="AM80" s="1021">
        <f t="shared" ref="AM80:AM111" si="85">AK80/($AI$13*(100%-I80))</f>
        <v>0</v>
      </c>
      <c r="AN80" s="1034">
        <f t="shared" ref="AN80:AN111" si="86">IF(AO80=0,1,AO80/(AO80/($AN$13*(1/H80))))</f>
        <v>1</v>
      </c>
      <c r="AO80" s="1035">
        <f t="shared" si="74"/>
        <v>0</v>
      </c>
      <c r="AP80" s="1089"/>
      <c r="AQ80" s="1088"/>
      <c r="AR80" s="1037">
        <f t="shared" ref="AR80:AR111" si="87">AP80/($AN$13*(100%-I80))</f>
        <v>0</v>
      </c>
      <c r="AS80" s="1034">
        <f t="shared" ref="AS80:AS111" si="88">IF(AT80=0,1,AT80/(AT80/($AS$13*(1/H80))))</f>
        <v>1</v>
      </c>
      <c r="AT80" s="1035">
        <f t="shared" si="37"/>
        <v>0</v>
      </c>
      <c r="AU80" s="1091"/>
      <c r="AV80" s="1088"/>
      <c r="AW80" s="1021">
        <f t="shared" ref="AW80:AW111" si="89">AU80/($AS$13*(100%-I80))</f>
        <v>0</v>
      </c>
      <c r="AX80" s="1034">
        <f t="shared" ref="AX80:AX111" si="90">IF(AY80=0,1,AY80/(AY80/($AX$13*(1/H80))))</f>
        <v>1</v>
      </c>
      <c r="AY80" s="1035">
        <f t="shared" si="75"/>
        <v>0</v>
      </c>
      <c r="AZ80" s="1089"/>
      <c r="BA80" s="1089"/>
      <c r="BB80" s="1021">
        <f t="shared" ref="BB80:BB111" si="91">AZ80/($AX$13*(100%-I80))</f>
        <v>0</v>
      </c>
      <c r="BC80" s="1034">
        <f t="shared" ref="BC80:BC111" si="92">IF(BD80=0,1,BD80/(BD80/($BC$13*(1/H80))))</f>
        <v>1</v>
      </c>
      <c r="BD80" s="1035">
        <f t="shared" si="39"/>
        <v>0</v>
      </c>
      <c r="BE80" s="1091"/>
      <c r="BF80" s="1088"/>
      <c r="BG80" s="1021">
        <f t="shared" ref="BG80:BG111" si="93">BE80/($BC$13*(100%-I80))</f>
        <v>0</v>
      </c>
      <c r="BH80" s="1039">
        <f t="shared" ref="BH80:BH115" si="94">K80+U80+AE80+AO80++AY80</f>
        <v>0</v>
      </c>
      <c r="BI80" s="1038">
        <f t="shared" ref="BI80:BI115" si="95">L80+V80+AF80+AP80+AZ80</f>
        <v>0</v>
      </c>
      <c r="BJ80" s="1027">
        <f t="shared" ref="BJ80:BJ115" si="96">M80+W80+AG80+AQ80+BA80</f>
        <v>0</v>
      </c>
      <c r="BK80" s="1021">
        <f t="shared" ref="BK80:BK115" si="97">N80+X80+AH80+AR80+BB80</f>
        <v>0</v>
      </c>
      <c r="BL80" s="1040">
        <f t="shared" ref="BL80:BL115" si="98">P80+Z80+AJ80+AT80+BD80</f>
        <v>0</v>
      </c>
      <c r="BM80" s="1038">
        <f t="shared" ref="BM80:BM115" si="99">Q80+AA80+AK80+AU80+BE80</f>
        <v>0</v>
      </c>
      <c r="BN80" s="1027"/>
      <c r="BO80" s="1041"/>
      <c r="BP80" s="95">
        <f t="shared" si="43"/>
        <v>0</v>
      </c>
      <c r="BQ80" s="842">
        <f t="shared" si="44"/>
        <v>0</v>
      </c>
      <c r="BR80" s="803"/>
      <c r="BS80" s="94">
        <f t="shared" ref="BS80:BS115" si="100">I80</f>
        <v>0</v>
      </c>
      <c r="BU80" s="632">
        <f t="shared" ref="BU80:BU113" si="101">BP80/H80</f>
        <v>0</v>
      </c>
      <c r="BV80" s="804"/>
      <c r="BW80" s="805"/>
      <c r="BX80" s="803"/>
      <c r="CD80" s="806"/>
      <c r="CI80" s="807"/>
    </row>
    <row r="81" spans="1:87" ht="14.25" outlineLevel="1" thickTop="1" thickBot="1">
      <c r="A81" s="57"/>
      <c r="B81" s="751">
        <f t="shared" si="40"/>
        <v>0</v>
      </c>
      <c r="C81" s="1029"/>
      <c r="D81" s="1031"/>
      <c r="E81" s="1030"/>
      <c r="F81" s="1031"/>
      <c r="G81" s="1029"/>
      <c r="H81" s="1032">
        <f t="shared" ref="H81:H115" si="102">1/(1-I81)</f>
        <v>1</v>
      </c>
      <c r="I81" s="1105"/>
      <c r="J81" s="1034">
        <f t="shared" ref="J81:J115" si="103">IF(K81=0,1,K81/(K81/($J$13*(1/H81))))</f>
        <v>1</v>
      </c>
      <c r="K81" s="1035">
        <f t="shared" si="73"/>
        <v>0</v>
      </c>
      <c r="L81" s="1089"/>
      <c r="M81" s="1088"/>
      <c r="N81" s="1037">
        <f t="shared" si="76"/>
        <v>0</v>
      </c>
      <c r="O81" s="1034">
        <f t="shared" si="47"/>
        <v>1</v>
      </c>
      <c r="P81" s="1035">
        <f t="shared" ref="P81:P115" si="104">Q81*$D$8</f>
        <v>0</v>
      </c>
      <c r="Q81" s="1089"/>
      <c r="R81" s="1088"/>
      <c r="S81" s="1020">
        <f t="shared" si="77"/>
        <v>0</v>
      </c>
      <c r="T81" s="1034">
        <f t="shared" si="78"/>
        <v>1</v>
      </c>
      <c r="U81" s="1035"/>
      <c r="V81" s="1089"/>
      <c r="W81" s="1088"/>
      <c r="X81" s="1037">
        <f t="shared" si="79"/>
        <v>0</v>
      </c>
      <c r="Y81" s="1034">
        <f t="shared" si="80"/>
        <v>1</v>
      </c>
      <c r="Z81" s="1035">
        <f t="shared" ref="Z81:Z115" si="105">AA81*$D$8</f>
        <v>0</v>
      </c>
      <c r="AA81" s="1089"/>
      <c r="AB81" s="1088"/>
      <c r="AC81" s="1021">
        <f t="shared" si="81"/>
        <v>0</v>
      </c>
      <c r="AD81" s="1034">
        <f t="shared" si="82"/>
        <v>1</v>
      </c>
      <c r="AE81" s="1035">
        <f t="shared" si="34"/>
        <v>0</v>
      </c>
      <c r="AF81" s="1089"/>
      <c r="AG81" s="1088"/>
      <c r="AH81" s="1037">
        <f t="shared" si="83"/>
        <v>0</v>
      </c>
      <c r="AI81" s="1034">
        <f t="shared" si="84"/>
        <v>1</v>
      </c>
      <c r="AJ81" s="1035">
        <f t="shared" ref="AJ81:AJ115" si="106">AK81*$D$8</f>
        <v>0</v>
      </c>
      <c r="AK81" s="1089"/>
      <c r="AL81" s="1088"/>
      <c r="AM81" s="1021">
        <f t="shared" si="85"/>
        <v>0</v>
      </c>
      <c r="AN81" s="1034">
        <f t="shared" si="86"/>
        <v>1</v>
      </c>
      <c r="AO81" s="1035">
        <f t="shared" ref="AO81:AO115" si="107">AP81*$D$8</f>
        <v>0</v>
      </c>
      <c r="AP81" s="1089"/>
      <c r="AQ81" s="1088"/>
      <c r="AR81" s="1037">
        <f t="shared" si="87"/>
        <v>0</v>
      </c>
      <c r="AS81" s="1034">
        <f t="shared" si="88"/>
        <v>1</v>
      </c>
      <c r="AT81" s="1035">
        <f t="shared" ref="AT81:AT115" si="108">AU81*$D$8</f>
        <v>0</v>
      </c>
      <c r="AU81" s="1089"/>
      <c r="AV81" s="1088"/>
      <c r="AW81" s="1021">
        <f t="shared" si="89"/>
        <v>0</v>
      </c>
      <c r="AX81" s="1034">
        <f t="shared" si="90"/>
        <v>1</v>
      </c>
      <c r="AY81" s="1035">
        <f t="shared" ref="AY81:AY115" si="109">AZ81*$D$8</f>
        <v>0</v>
      </c>
      <c r="AZ81" s="1089"/>
      <c r="BA81" s="1089"/>
      <c r="BB81" s="1021">
        <f t="shared" si="91"/>
        <v>0</v>
      </c>
      <c r="BC81" s="1034">
        <f t="shared" si="92"/>
        <v>1</v>
      </c>
      <c r="BD81" s="1035">
        <f t="shared" ref="BD81:BD115" si="110">BE81*$D$8</f>
        <v>0</v>
      </c>
      <c r="BE81" s="1091"/>
      <c r="BF81" s="1088"/>
      <c r="BG81" s="1021">
        <f t="shared" si="93"/>
        <v>0</v>
      </c>
      <c r="BH81" s="1039">
        <f t="shared" si="94"/>
        <v>0</v>
      </c>
      <c r="BI81" s="1038">
        <f t="shared" si="95"/>
        <v>0</v>
      </c>
      <c r="BJ81" s="1027">
        <f t="shared" si="96"/>
        <v>0</v>
      </c>
      <c r="BK81" s="1021">
        <f t="shared" si="97"/>
        <v>0</v>
      </c>
      <c r="BL81" s="1040">
        <f t="shared" si="98"/>
        <v>0</v>
      </c>
      <c r="BM81" s="1038">
        <f t="shared" si="99"/>
        <v>0</v>
      </c>
      <c r="BN81" s="1027"/>
      <c r="BO81" s="1041"/>
      <c r="BP81" s="95">
        <f t="shared" si="43"/>
        <v>0</v>
      </c>
      <c r="BQ81" s="842">
        <f t="shared" si="44"/>
        <v>0</v>
      </c>
      <c r="BS81" s="94">
        <f t="shared" si="100"/>
        <v>0</v>
      </c>
      <c r="BU81" s="632">
        <f t="shared" si="101"/>
        <v>0</v>
      </c>
      <c r="BV81" s="398"/>
      <c r="BW81" s="405"/>
      <c r="CI81" s="96"/>
    </row>
    <row r="82" spans="1:87" s="324" customFormat="1" ht="14.25" outlineLevel="1" thickTop="1" thickBot="1">
      <c r="B82" s="751">
        <f t="shared" ref="B82:B115" si="111">IF(D82&gt;0,B81+1,0)</f>
        <v>0</v>
      </c>
      <c r="C82" s="1029"/>
      <c r="D82" s="1031"/>
      <c r="E82" s="1030"/>
      <c r="F82" s="1031"/>
      <c r="G82" s="1029"/>
      <c r="H82" s="1032">
        <f t="shared" si="102"/>
        <v>1</v>
      </c>
      <c r="I82" s="1105"/>
      <c r="J82" s="1034">
        <f t="shared" si="103"/>
        <v>1</v>
      </c>
      <c r="K82" s="1035">
        <f t="shared" si="73"/>
        <v>0</v>
      </c>
      <c r="L82" s="1089"/>
      <c r="M82" s="1088"/>
      <c r="N82" s="1037">
        <f t="shared" si="76"/>
        <v>0</v>
      </c>
      <c r="O82" s="1034">
        <f t="shared" ref="O82:O111" si="112">IF(P82=0,1,P82/(P82/($O$13*(1/H82))))</f>
        <v>1</v>
      </c>
      <c r="P82" s="1035">
        <f t="shared" si="104"/>
        <v>0</v>
      </c>
      <c r="Q82" s="1089"/>
      <c r="R82" s="1088"/>
      <c r="S82" s="1020">
        <f t="shared" si="77"/>
        <v>0</v>
      </c>
      <c r="T82" s="1034">
        <f t="shared" si="78"/>
        <v>1</v>
      </c>
      <c r="U82" s="1035"/>
      <c r="V82" s="1089"/>
      <c r="W82" s="1088"/>
      <c r="X82" s="1037">
        <f t="shared" si="79"/>
        <v>0</v>
      </c>
      <c r="Y82" s="1034">
        <f t="shared" si="80"/>
        <v>1</v>
      </c>
      <c r="Z82" s="1035">
        <v>0</v>
      </c>
      <c r="AA82" s="1089"/>
      <c r="AB82" s="1088"/>
      <c r="AC82" s="1021">
        <f t="shared" si="81"/>
        <v>0</v>
      </c>
      <c r="AD82" s="1034">
        <f t="shared" si="82"/>
        <v>1</v>
      </c>
      <c r="AE82" s="1035">
        <f>AF82*$D$8</f>
        <v>0</v>
      </c>
      <c r="AF82" s="1089"/>
      <c r="AG82" s="1088"/>
      <c r="AH82" s="1037">
        <f t="shared" si="83"/>
        <v>0</v>
      </c>
      <c r="AI82" s="1034">
        <f t="shared" si="84"/>
        <v>1</v>
      </c>
      <c r="AJ82" s="1035">
        <f t="shared" si="106"/>
        <v>0</v>
      </c>
      <c r="AK82" s="1089"/>
      <c r="AL82" s="1088"/>
      <c r="AM82" s="1021">
        <f t="shared" si="85"/>
        <v>0</v>
      </c>
      <c r="AN82" s="1034">
        <f t="shared" si="86"/>
        <v>1</v>
      </c>
      <c r="AO82" s="1035">
        <f t="shared" si="107"/>
        <v>0</v>
      </c>
      <c r="AP82" s="1089"/>
      <c r="AQ82" s="1088"/>
      <c r="AR82" s="1037">
        <f t="shared" si="87"/>
        <v>0</v>
      </c>
      <c r="AS82" s="1034">
        <f t="shared" si="88"/>
        <v>1</v>
      </c>
      <c r="AT82" s="1035">
        <f t="shared" si="108"/>
        <v>0</v>
      </c>
      <c r="AU82" s="1091"/>
      <c r="AV82" s="1088"/>
      <c r="AW82" s="1021">
        <f t="shared" si="89"/>
        <v>0</v>
      </c>
      <c r="AX82" s="1034">
        <f t="shared" si="90"/>
        <v>1</v>
      </c>
      <c r="AY82" s="1035">
        <f t="shared" si="109"/>
        <v>0</v>
      </c>
      <c r="AZ82" s="1089"/>
      <c r="BA82" s="1089"/>
      <c r="BB82" s="1021">
        <f t="shared" si="91"/>
        <v>0</v>
      </c>
      <c r="BC82" s="1034">
        <f t="shared" si="92"/>
        <v>1</v>
      </c>
      <c r="BD82" s="1035">
        <f t="shared" si="110"/>
        <v>0</v>
      </c>
      <c r="BE82" s="1091"/>
      <c r="BF82" s="1088"/>
      <c r="BG82" s="1021">
        <f t="shared" si="93"/>
        <v>0</v>
      </c>
      <c r="BH82" s="1039">
        <f t="shared" si="94"/>
        <v>0</v>
      </c>
      <c r="BI82" s="1038">
        <f t="shared" si="95"/>
        <v>0</v>
      </c>
      <c r="BJ82" s="1027">
        <f t="shared" si="96"/>
        <v>0</v>
      </c>
      <c r="BK82" s="1021">
        <f t="shared" si="97"/>
        <v>0</v>
      </c>
      <c r="BL82" s="1040">
        <f t="shared" si="98"/>
        <v>0</v>
      </c>
      <c r="BM82" s="1038">
        <f t="shared" si="99"/>
        <v>0</v>
      </c>
      <c r="BN82" s="1027"/>
      <c r="BO82" s="1041"/>
      <c r="BP82" s="95">
        <f t="shared" si="43"/>
        <v>0</v>
      </c>
      <c r="BQ82" s="842">
        <f t="shared" si="44"/>
        <v>0</v>
      </c>
      <c r="BR82" s="692"/>
      <c r="BS82" s="94">
        <f t="shared" si="100"/>
        <v>0</v>
      </c>
      <c r="BU82" s="632">
        <f t="shared" si="101"/>
        <v>0</v>
      </c>
      <c r="BV82" s="806"/>
      <c r="BW82" s="843"/>
      <c r="BX82" s="692"/>
      <c r="CD82" s="806"/>
      <c r="CI82" s="807"/>
    </row>
    <row r="83" spans="1:87" s="795" customFormat="1" ht="14.25" outlineLevel="1" thickTop="1" thickBot="1">
      <c r="A83" s="794"/>
      <c r="B83" s="751">
        <f t="shared" si="111"/>
        <v>0</v>
      </c>
      <c r="C83" s="1029"/>
      <c r="D83" s="1031"/>
      <c r="E83" s="1030"/>
      <c r="F83" s="1031"/>
      <c r="G83" s="1029"/>
      <c r="H83" s="1032">
        <f t="shared" si="102"/>
        <v>1</v>
      </c>
      <c r="I83" s="1105"/>
      <c r="J83" s="1034">
        <f t="shared" si="103"/>
        <v>1</v>
      </c>
      <c r="K83" s="1035">
        <f t="shared" si="73"/>
        <v>0</v>
      </c>
      <c r="L83" s="1089"/>
      <c r="M83" s="1088"/>
      <c r="N83" s="1037">
        <f t="shared" si="76"/>
        <v>0</v>
      </c>
      <c r="O83" s="1034">
        <f t="shared" si="112"/>
        <v>1</v>
      </c>
      <c r="P83" s="1035">
        <f t="shared" si="104"/>
        <v>0</v>
      </c>
      <c r="Q83" s="1089"/>
      <c r="R83" s="1088"/>
      <c r="S83" s="1020">
        <f t="shared" si="77"/>
        <v>0</v>
      </c>
      <c r="T83" s="1034">
        <f t="shared" si="78"/>
        <v>1</v>
      </c>
      <c r="U83" s="1035"/>
      <c r="V83" s="1089"/>
      <c r="W83" s="1088"/>
      <c r="X83" s="1037">
        <f t="shared" si="79"/>
        <v>0</v>
      </c>
      <c r="Y83" s="1034">
        <f t="shared" si="80"/>
        <v>1</v>
      </c>
      <c r="Z83" s="1035">
        <v>0</v>
      </c>
      <c r="AA83" s="1089"/>
      <c r="AB83" s="1088"/>
      <c r="AC83" s="1021">
        <f t="shared" si="81"/>
        <v>0</v>
      </c>
      <c r="AD83" s="1034">
        <f t="shared" si="82"/>
        <v>1</v>
      </c>
      <c r="AE83" s="1035">
        <f>AF83*$D$8</f>
        <v>0</v>
      </c>
      <c r="AF83" s="1089"/>
      <c r="AG83" s="1088"/>
      <c r="AH83" s="1037">
        <f t="shared" si="83"/>
        <v>0</v>
      </c>
      <c r="AI83" s="1034">
        <f t="shared" si="84"/>
        <v>1</v>
      </c>
      <c r="AJ83" s="1035">
        <f t="shared" si="106"/>
        <v>0</v>
      </c>
      <c r="AK83" s="1089"/>
      <c r="AL83" s="1088"/>
      <c r="AM83" s="1021">
        <f t="shared" si="85"/>
        <v>0</v>
      </c>
      <c r="AN83" s="1034">
        <f t="shared" si="86"/>
        <v>1</v>
      </c>
      <c r="AO83" s="1035">
        <f t="shared" si="107"/>
        <v>0</v>
      </c>
      <c r="AP83" s="1089"/>
      <c r="AQ83" s="1088"/>
      <c r="AR83" s="1037">
        <f t="shared" si="87"/>
        <v>0</v>
      </c>
      <c r="AS83" s="1034">
        <f t="shared" si="88"/>
        <v>1</v>
      </c>
      <c r="AT83" s="1035">
        <f t="shared" si="108"/>
        <v>0</v>
      </c>
      <c r="AU83" s="1089"/>
      <c r="AV83" s="1088"/>
      <c r="AW83" s="1021">
        <f t="shared" si="89"/>
        <v>0</v>
      </c>
      <c r="AX83" s="1034">
        <f t="shared" si="90"/>
        <v>1</v>
      </c>
      <c r="AY83" s="1035">
        <f t="shared" si="109"/>
        <v>0</v>
      </c>
      <c r="AZ83" s="1089"/>
      <c r="BA83" s="1089"/>
      <c r="BB83" s="1021">
        <f t="shared" si="91"/>
        <v>0</v>
      </c>
      <c r="BC83" s="1034">
        <f t="shared" si="92"/>
        <v>1</v>
      </c>
      <c r="BD83" s="1035">
        <f t="shared" si="110"/>
        <v>0</v>
      </c>
      <c r="BE83" s="1091"/>
      <c r="BF83" s="1088"/>
      <c r="BG83" s="1021">
        <f t="shared" si="93"/>
        <v>0</v>
      </c>
      <c r="BH83" s="1039">
        <f t="shared" si="94"/>
        <v>0</v>
      </c>
      <c r="BI83" s="1038">
        <f t="shared" si="95"/>
        <v>0</v>
      </c>
      <c r="BJ83" s="1027">
        <f t="shared" si="96"/>
        <v>0</v>
      </c>
      <c r="BK83" s="1021">
        <f t="shared" si="97"/>
        <v>0</v>
      </c>
      <c r="BL83" s="1040">
        <f t="shared" si="98"/>
        <v>0</v>
      </c>
      <c r="BM83" s="1038">
        <f t="shared" si="99"/>
        <v>0</v>
      </c>
      <c r="BN83" s="1027"/>
      <c r="BO83" s="1041"/>
      <c r="BP83" s="95">
        <f t="shared" si="43"/>
        <v>0</v>
      </c>
      <c r="BQ83" s="842">
        <f t="shared" si="44"/>
        <v>0</v>
      </c>
      <c r="BR83" s="323"/>
      <c r="BS83" s="94">
        <f t="shared" si="100"/>
        <v>0</v>
      </c>
      <c r="BU83" s="632">
        <f t="shared" si="101"/>
        <v>0</v>
      </c>
      <c r="BV83" s="398"/>
      <c r="BW83" s="737"/>
      <c r="BX83" s="323"/>
      <c r="CD83" s="398"/>
      <c r="CI83" s="796"/>
    </row>
    <row r="84" spans="1:87" s="795" customFormat="1" ht="14.25" outlineLevel="1" thickTop="1" thickBot="1">
      <c r="A84" s="794"/>
      <c r="B84" s="751">
        <f t="shared" si="111"/>
        <v>0</v>
      </c>
      <c r="C84" s="1029"/>
      <c r="D84" s="1031"/>
      <c r="E84" s="1030"/>
      <c r="F84" s="1031"/>
      <c r="G84" s="1029"/>
      <c r="H84" s="1032">
        <f t="shared" si="102"/>
        <v>1</v>
      </c>
      <c r="I84" s="1105"/>
      <c r="J84" s="1034">
        <f t="shared" si="103"/>
        <v>1</v>
      </c>
      <c r="K84" s="1035">
        <f t="shared" si="73"/>
        <v>0</v>
      </c>
      <c r="L84" s="1089"/>
      <c r="M84" s="1088"/>
      <c r="N84" s="1037">
        <f t="shared" si="76"/>
        <v>0</v>
      </c>
      <c r="O84" s="1034">
        <f t="shared" si="112"/>
        <v>1</v>
      </c>
      <c r="P84" s="1035">
        <f t="shared" si="104"/>
        <v>0</v>
      </c>
      <c r="Q84" s="1089"/>
      <c r="R84" s="1088"/>
      <c r="S84" s="1020">
        <f t="shared" si="77"/>
        <v>0</v>
      </c>
      <c r="T84" s="1034">
        <f t="shared" si="78"/>
        <v>1</v>
      </c>
      <c r="U84" s="1035"/>
      <c r="V84" s="1089"/>
      <c r="W84" s="1088"/>
      <c r="X84" s="1037">
        <f t="shared" si="79"/>
        <v>0</v>
      </c>
      <c r="Y84" s="1034">
        <f t="shared" si="80"/>
        <v>1</v>
      </c>
      <c r="Z84" s="1035">
        <v>0</v>
      </c>
      <c r="AA84" s="1089"/>
      <c r="AB84" s="1088"/>
      <c r="AC84" s="1021">
        <f t="shared" si="81"/>
        <v>0</v>
      </c>
      <c r="AD84" s="1034">
        <f t="shared" si="82"/>
        <v>1</v>
      </c>
      <c r="AE84" s="1035">
        <f>AF84*$D$8</f>
        <v>0</v>
      </c>
      <c r="AF84" s="1089"/>
      <c r="AG84" s="1088"/>
      <c r="AH84" s="1037">
        <f t="shared" si="83"/>
        <v>0</v>
      </c>
      <c r="AI84" s="1034">
        <f t="shared" si="84"/>
        <v>1</v>
      </c>
      <c r="AJ84" s="1035">
        <f t="shared" si="106"/>
        <v>0</v>
      </c>
      <c r="AK84" s="1089"/>
      <c r="AL84" s="1088"/>
      <c r="AM84" s="1021">
        <f t="shared" si="85"/>
        <v>0</v>
      </c>
      <c r="AN84" s="1034">
        <f t="shared" si="86"/>
        <v>1</v>
      </c>
      <c r="AO84" s="1035">
        <f t="shared" si="107"/>
        <v>0</v>
      </c>
      <c r="AP84" s="1089"/>
      <c r="AQ84" s="1088"/>
      <c r="AR84" s="1037">
        <f t="shared" si="87"/>
        <v>0</v>
      </c>
      <c r="AS84" s="1034">
        <f t="shared" si="88"/>
        <v>1</v>
      </c>
      <c r="AT84" s="1035">
        <f t="shared" si="108"/>
        <v>0</v>
      </c>
      <c r="AU84" s="1091"/>
      <c r="AV84" s="1088"/>
      <c r="AW84" s="1021">
        <f t="shared" si="89"/>
        <v>0</v>
      </c>
      <c r="AX84" s="1034">
        <f t="shared" si="90"/>
        <v>1</v>
      </c>
      <c r="AY84" s="1035">
        <f t="shared" si="109"/>
        <v>0</v>
      </c>
      <c r="AZ84" s="1089"/>
      <c r="BA84" s="1089"/>
      <c r="BB84" s="1021">
        <f t="shared" si="91"/>
        <v>0</v>
      </c>
      <c r="BC84" s="1034">
        <f t="shared" si="92"/>
        <v>1</v>
      </c>
      <c r="BD84" s="1035">
        <f t="shared" si="110"/>
        <v>0</v>
      </c>
      <c r="BE84" s="1091"/>
      <c r="BF84" s="1088"/>
      <c r="BG84" s="1021">
        <f t="shared" si="93"/>
        <v>0</v>
      </c>
      <c r="BH84" s="1039">
        <f t="shared" si="94"/>
        <v>0</v>
      </c>
      <c r="BI84" s="1038">
        <f t="shared" si="95"/>
        <v>0</v>
      </c>
      <c r="BJ84" s="1027">
        <f t="shared" si="96"/>
        <v>0</v>
      </c>
      <c r="BK84" s="1021">
        <f t="shared" si="97"/>
        <v>0</v>
      </c>
      <c r="BL84" s="1040">
        <f t="shared" si="98"/>
        <v>0</v>
      </c>
      <c r="BM84" s="1038">
        <f t="shared" si="99"/>
        <v>0</v>
      </c>
      <c r="BN84" s="1027"/>
      <c r="BO84" s="1041"/>
      <c r="BP84" s="95">
        <f t="shared" ref="BP84:BP98" si="113">SUM(BH84,BL84)</f>
        <v>0</v>
      </c>
      <c r="BQ84" s="842">
        <f t="shared" ref="BQ84:BQ98" si="114">BI84+BM84</f>
        <v>0</v>
      </c>
      <c r="BR84" s="323"/>
      <c r="BS84" s="94">
        <f t="shared" si="100"/>
        <v>0</v>
      </c>
      <c r="BU84" s="632">
        <f t="shared" si="101"/>
        <v>0</v>
      </c>
      <c r="BV84" s="398"/>
      <c r="BW84" s="737"/>
      <c r="BX84" s="323"/>
      <c r="CD84" s="398"/>
      <c r="CI84" s="796"/>
    </row>
    <row r="85" spans="1:87" s="795" customFormat="1" ht="14.25" outlineLevel="1" thickTop="1" thickBot="1">
      <c r="A85" s="794"/>
      <c r="B85" s="751">
        <f t="shared" si="111"/>
        <v>0</v>
      </c>
      <c r="C85" s="1029"/>
      <c r="D85" s="1031"/>
      <c r="E85" s="1030"/>
      <c r="F85" s="1031"/>
      <c r="G85" s="1029"/>
      <c r="H85" s="1032">
        <f t="shared" si="102"/>
        <v>1</v>
      </c>
      <c r="I85" s="1105"/>
      <c r="J85" s="1034">
        <f t="shared" si="103"/>
        <v>1</v>
      </c>
      <c r="K85" s="1035">
        <f t="shared" si="73"/>
        <v>0</v>
      </c>
      <c r="L85" s="1089"/>
      <c r="M85" s="1088"/>
      <c r="N85" s="1037">
        <f t="shared" si="76"/>
        <v>0</v>
      </c>
      <c r="O85" s="1034">
        <f t="shared" si="112"/>
        <v>1</v>
      </c>
      <c r="P85" s="1035">
        <f t="shared" si="104"/>
        <v>0</v>
      </c>
      <c r="Q85" s="1089"/>
      <c r="R85" s="1088"/>
      <c r="S85" s="1020">
        <f t="shared" si="77"/>
        <v>0</v>
      </c>
      <c r="T85" s="1034">
        <f t="shared" si="78"/>
        <v>1</v>
      </c>
      <c r="U85" s="1035"/>
      <c r="V85" s="1089"/>
      <c r="W85" s="1088"/>
      <c r="X85" s="1037">
        <f t="shared" si="79"/>
        <v>0</v>
      </c>
      <c r="Y85" s="1034">
        <f t="shared" si="80"/>
        <v>1</v>
      </c>
      <c r="Z85" s="1035">
        <f t="shared" si="105"/>
        <v>0</v>
      </c>
      <c r="AA85" s="1089"/>
      <c r="AB85" s="1088"/>
      <c r="AC85" s="1021">
        <f t="shared" si="81"/>
        <v>0</v>
      </c>
      <c r="AD85" s="1034">
        <f t="shared" si="82"/>
        <v>1</v>
      </c>
      <c r="AE85" s="1035">
        <f>AF85*$D$8</f>
        <v>0</v>
      </c>
      <c r="AF85" s="1089"/>
      <c r="AG85" s="1088"/>
      <c r="AH85" s="1037">
        <f t="shared" si="83"/>
        <v>0</v>
      </c>
      <c r="AI85" s="1034">
        <f t="shared" si="84"/>
        <v>1</v>
      </c>
      <c r="AJ85" s="1035">
        <f t="shared" si="106"/>
        <v>0</v>
      </c>
      <c r="AK85" s="1089"/>
      <c r="AL85" s="1088"/>
      <c r="AM85" s="1021">
        <f t="shared" si="85"/>
        <v>0</v>
      </c>
      <c r="AN85" s="1034">
        <f t="shared" si="86"/>
        <v>1</v>
      </c>
      <c r="AO85" s="1035">
        <f t="shared" si="107"/>
        <v>0</v>
      </c>
      <c r="AP85" s="1089"/>
      <c r="AQ85" s="1088"/>
      <c r="AR85" s="1037">
        <f t="shared" si="87"/>
        <v>0</v>
      </c>
      <c r="AS85" s="1034">
        <f t="shared" si="88"/>
        <v>1</v>
      </c>
      <c r="AT85" s="1035">
        <f t="shared" si="108"/>
        <v>0</v>
      </c>
      <c r="AU85" s="1089"/>
      <c r="AV85" s="1088"/>
      <c r="AW85" s="1021">
        <f t="shared" si="89"/>
        <v>0</v>
      </c>
      <c r="AX85" s="1034">
        <f t="shared" si="90"/>
        <v>1</v>
      </c>
      <c r="AY85" s="1035">
        <f t="shared" si="109"/>
        <v>0</v>
      </c>
      <c r="AZ85" s="1089"/>
      <c r="BA85" s="1089"/>
      <c r="BB85" s="1021">
        <f t="shared" si="91"/>
        <v>0</v>
      </c>
      <c r="BC85" s="1034">
        <f t="shared" si="92"/>
        <v>1</v>
      </c>
      <c r="BD85" s="1035">
        <f t="shared" si="110"/>
        <v>0</v>
      </c>
      <c r="BE85" s="1091"/>
      <c r="BF85" s="1088"/>
      <c r="BG85" s="1021">
        <f t="shared" si="93"/>
        <v>0</v>
      </c>
      <c r="BH85" s="1039">
        <f t="shared" si="94"/>
        <v>0</v>
      </c>
      <c r="BI85" s="1038">
        <f t="shared" si="95"/>
        <v>0</v>
      </c>
      <c r="BJ85" s="1027">
        <f t="shared" si="96"/>
        <v>0</v>
      </c>
      <c r="BK85" s="1021">
        <f t="shared" si="97"/>
        <v>0</v>
      </c>
      <c r="BL85" s="1040">
        <f t="shared" si="98"/>
        <v>0</v>
      </c>
      <c r="BM85" s="1038">
        <f t="shared" si="99"/>
        <v>0</v>
      </c>
      <c r="BN85" s="1027"/>
      <c r="BO85" s="1041"/>
      <c r="BP85" s="95">
        <f t="shared" si="113"/>
        <v>0</v>
      </c>
      <c r="BQ85" s="842">
        <f t="shared" si="114"/>
        <v>0</v>
      </c>
      <c r="BR85" s="323"/>
      <c r="BS85" s="94">
        <f t="shared" si="100"/>
        <v>0</v>
      </c>
      <c r="BU85" s="632">
        <f t="shared" si="101"/>
        <v>0</v>
      </c>
      <c r="BV85" s="398"/>
      <c r="BW85" s="737"/>
      <c r="BX85" s="323"/>
      <c r="CD85" s="398"/>
      <c r="CI85" s="796"/>
    </row>
    <row r="86" spans="1:87" s="795" customFormat="1" ht="14.25" outlineLevel="1" thickTop="1" thickBot="1">
      <c r="A86" s="794"/>
      <c r="B86" s="751">
        <f t="shared" si="111"/>
        <v>0</v>
      </c>
      <c r="C86" s="1029"/>
      <c r="D86" s="1031"/>
      <c r="E86" s="1030"/>
      <c r="F86" s="1031"/>
      <c r="G86" s="1029"/>
      <c r="H86" s="1032">
        <f t="shared" si="102"/>
        <v>1</v>
      </c>
      <c r="I86" s="1105"/>
      <c r="J86" s="1034">
        <f t="shared" si="103"/>
        <v>1</v>
      </c>
      <c r="K86" s="1035">
        <f t="shared" si="73"/>
        <v>0</v>
      </c>
      <c r="L86" s="1089"/>
      <c r="M86" s="1088"/>
      <c r="N86" s="1037">
        <f t="shared" si="76"/>
        <v>0</v>
      </c>
      <c r="O86" s="1034">
        <f t="shared" si="112"/>
        <v>1</v>
      </c>
      <c r="P86" s="1035">
        <f t="shared" si="104"/>
        <v>0</v>
      </c>
      <c r="Q86" s="1089"/>
      <c r="R86" s="1088"/>
      <c r="S86" s="1020">
        <f t="shared" si="77"/>
        <v>0</v>
      </c>
      <c r="T86" s="1034">
        <f t="shared" si="78"/>
        <v>1</v>
      </c>
      <c r="U86" s="1035"/>
      <c r="V86" s="1089"/>
      <c r="W86" s="1088"/>
      <c r="X86" s="1037">
        <f t="shared" si="79"/>
        <v>0</v>
      </c>
      <c r="Y86" s="1034">
        <f t="shared" si="80"/>
        <v>1</v>
      </c>
      <c r="Z86" s="1035">
        <f t="shared" si="105"/>
        <v>0</v>
      </c>
      <c r="AA86" s="1089"/>
      <c r="AB86" s="1088"/>
      <c r="AC86" s="1021">
        <f t="shared" si="81"/>
        <v>0</v>
      </c>
      <c r="AD86" s="1034">
        <f t="shared" si="82"/>
        <v>1</v>
      </c>
      <c r="AE86" s="1035">
        <f>AF86*$D$8</f>
        <v>0</v>
      </c>
      <c r="AF86" s="1089"/>
      <c r="AG86" s="1088"/>
      <c r="AH86" s="1037">
        <f t="shared" si="83"/>
        <v>0</v>
      </c>
      <c r="AI86" s="1034">
        <f t="shared" si="84"/>
        <v>1</v>
      </c>
      <c r="AJ86" s="1035">
        <f t="shared" si="106"/>
        <v>0</v>
      </c>
      <c r="AK86" s="1089"/>
      <c r="AL86" s="1088"/>
      <c r="AM86" s="1021">
        <f t="shared" si="85"/>
        <v>0</v>
      </c>
      <c r="AN86" s="1034">
        <f t="shared" si="86"/>
        <v>1</v>
      </c>
      <c r="AO86" s="1035">
        <f t="shared" si="107"/>
        <v>0</v>
      </c>
      <c r="AP86" s="1089"/>
      <c r="AQ86" s="1088"/>
      <c r="AR86" s="1037">
        <f t="shared" si="87"/>
        <v>0</v>
      </c>
      <c r="AS86" s="1034">
        <f t="shared" si="88"/>
        <v>1</v>
      </c>
      <c r="AT86" s="1035">
        <f t="shared" si="108"/>
        <v>0</v>
      </c>
      <c r="AU86" s="1091"/>
      <c r="AV86" s="1088"/>
      <c r="AW86" s="1021">
        <f t="shared" si="89"/>
        <v>0</v>
      </c>
      <c r="AX86" s="1034">
        <f t="shared" si="90"/>
        <v>1</v>
      </c>
      <c r="AY86" s="1035">
        <f t="shared" si="109"/>
        <v>0</v>
      </c>
      <c r="AZ86" s="1089"/>
      <c r="BA86" s="1089"/>
      <c r="BB86" s="1021">
        <f t="shared" si="91"/>
        <v>0</v>
      </c>
      <c r="BC86" s="1034">
        <f t="shared" si="92"/>
        <v>1</v>
      </c>
      <c r="BD86" s="1035">
        <f t="shared" si="110"/>
        <v>0</v>
      </c>
      <c r="BE86" s="1091"/>
      <c r="BF86" s="1088"/>
      <c r="BG86" s="1021">
        <f t="shared" si="93"/>
        <v>0</v>
      </c>
      <c r="BH86" s="1039">
        <f t="shared" si="94"/>
        <v>0</v>
      </c>
      <c r="BI86" s="1038">
        <f t="shared" si="95"/>
        <v>0</v>
      </c>
      <c r="BJ86" s="1027">
        <f t="shared" si="96"/>
        <v>0</v>
      </c>
      <c r="BK86" s="1021">
        <f t="shared" si="97"/>
        <v>0</v>
      </c>
      <c r="BL86" s="1040">
        <f t="shared" si="98"/>
        <v>0</v>
      </c>
      <c r="BM86" s="1038">
        <f t="shared" si="99"/>
        <v>0</v>
      </c>
      <c r="BN86" s="1027"/>
      <c r="BO86" s="1041"/>
      <c r="BP86" s="95">
        <f t="shared" si="113"/>
        <v>0</v>
      </c>
      <c r="BQ86" s="842">
        <f t="shared" si="114"/>
        <v>0</v>
      </c>
      <c r="BR86" s="323"/>
      <c r="BS86" s="94">
        <f t="shared" si="100"/>
        <v>0</v>
      </c>
      <c r="BU86" s="632">
        <f t="shared" si="101"/>
        <v>0</v>
      </c>
      <c r="BV86" s="398"/>
      <c r="BW86" s="737"/>
      <c r="BX86" s="323"/>
      <c r="CD86" s="398"/>
      <c r="CI86" s="796"/>
    </row>
    <row r="87" spans="1:87" s="795" customFormat="1" ht="14.25" outlineLevel="1" thickTop="1" thickBot="1">
      <c r="A87" s="794"/>
      <c r="B87" s="751">
        <f t="shared" si="111"/>
        <v>0</v>
      </c>
      <c r="C87" s="1029"/>
      <c r="D87" s="1031"/>
      <c r="E87" s="1030"/>
      <c r="F87" s="1031"/>
      <c r="G87" s="1029"/>
      <c r="H87" s="1032">
        <f t="shared" si="102"/>
        <v>1</v>
      </c>
      <c r="I87" s="1105"/>
      <c r="J87" s="1034">
        <f t="shared" si="103"/>
        <v>1</v>
      </c>
      <c r="K87" s="1035">
        <f t="shared" si="73"/>
        <v>0</v>
      </c>
      <c r="L87" s="1089"/>
      <c r="M87" s="1088"/>
      <c r="N87" s="1037">
        <f t="shared" si="76"/>
        <v>0</v>
      </c>
      <c r="O87" s="1034">
        <f t="shared" si="112"/>
        <v>1</v>
      </c>
      <c r="P87" s="1035">
        <f t="shared" si="104"/>
        <v>0</v>
      </c>
      <c r="Q87" s="1089"/>
      <c r="R87" s="1088"/>
      <c r="S87" s="1020">
        <f t="shared" si="77"/>
        <v>0</v>
      </c>
      <c r="T87" s="1034">
        <f t="shared" si="78"/>
        <v>1</v>
      </c>
      <c r="U87" s="1035"/>
      <c r="V87" s="1089"/>
      <c r="W87" s="1088"/>
      <c r="X87" s="1037">
        <f t="shared" si="79"/>
        <v>0</v>
      </c>
      <c r="Y87" s="1034">
        <f t="shared" si="80"/>
        <v>1</v>
      </c>
      <c r="Z87" s="1035">
        <f t="shared" si="105"/>
        <v>0</v>
      </c>
      <c r="AA87" s="1089"/>
      <c r="AB87" s="1088"/>
      <c r="AC87" s="1021">
        <f t="shared" si="81"/>
        <v>0</v>
      </c>
      <c r="AD87" s="1034">
        <f t="shared" si="82"/>
        <v>1</v>
      </c>
      <c r="AE87" s="1035">
        <f t="shared" ref="AE87:AE115" si="115">AF87*$D$8</f>
        <v>0</v>
      </c>
      <c r="AF87" s="1089"/>
      <c r="AG87" s="1088"/>
      <c r="AH87" s="1037">
        <f t="shared" si="83"/>
        <v>0</v>
      </c>
      <c r="AI87" s="1034">
        <f t="shared" si="84"/>
        <v>1</v>
      </c>
      <c r="AJ87" s="1035">
        <f t="shared" si="106"/>
        <v>0</v>
      </c>
      <c r="AK87" s="1089"/>
      <c r="AL87" s="1088"/>
      <c r="AM87" s="1021">
        <f t="shared" si="85"/>
        <v>0</v>
      </c>
      <c r="AN87" s="1034">
        <f t="shared" si="86"/>
        <v>1</v>
      </c>
      <c r="AO87" s="1035">
        <f t="shared" si="107"/>
        <v>0</v>
      </c>
      <c r="AP87" s="1089"/>
      <c r="AQ87" s="1088"/>
      <c r="AR87" s="1037">
        <f t="shared" si="87"/>
        <v>0</v>
      </c>
      <c r="AS87" s="1034">
        <f t="shared" si="88"/>
        <v>1</v>
      </c>
      <c r="AT87" s="1035">
        <f t="shared" si="108"/>
        <v>0</v>
      </c>
      <c r="AU87" s="1089"/>
      <c r="AV87" s="1088"/>
      <c r="AW87" s="1021">
        <f t="shared" si="89"/>
        <v>0</v>
      </c>
      <c r="AX87" s="1034">
        <f t="shared" si="90"/>
        <v>1</v>
      </c>
      <c r="AY87" s="1035">
        <f t="shared" si="109"/>
        <v>0</v>
      </c>
      <c r="AZ87" s="1089"/>
      <c r="BA87" s="1089"/>
      <c r="BB87" s="1021">
        <f t="shared" si="91"/>
        <v>0</v>
      </c>
      <c r="BC87" s="1034">
        <f t="shared" si="92"/>
        <v>1</v>
      </c>
      <c r="BD87" s="1035">
        <f t="shared" si="110"/>
        <v>0</v>
      </c>
      <c r="BE87" s="1091"/>
      <c r="BF87" s="1088"/>
      <c r="BG87" s="1021">
        <f t="shared" si="93"/>
        <v>0</v>
      </c>
      <c r="BH87" s="1039">
        <f t="shared" si="94"/>
        <v>0</v>
      </c>
      <c r="BI87" s="1038">
        <f t="shared" si="95"/>
        <v>0</v>
      </c>
      <c r="BJ87" s="1027">
        <f t="shared" si="96"/>
        <v>0</v>
      </c>
      <c r="BK87" s="1021">
        <f t="shared" si="97"/>
        <v>0</v>
      </c>
      <c r="BL87" s="1040">
        <f t="shared" si="98"/>
        <v>0</v>
      </c>
      <c r="BM87" s="1038">
        <f t="shared" si="99"/>
        <v>0</v>
      </c>
      <c r="BN87" s="1027"/>
      <c r="BO87" s="1041"/>
      <c r="BP87" s="95">
        <f t="shared" si="113"/>
        <v>0</v>
      </c>
      <c r="BQ87" s="842">
        <f t="shared" si="114"/>
        <v>0</v>
      </c>
      <c r="BR87" s="323"/>
      <c r="BS87" s="94">
        <f t="shared" si="100"/>
        <v>0</v>
      </c>
      <c r="BU87" s="632">
        <f t="shared" si="101"/>
        <v>0</v>
      </c>
      <c r="BV87" s="398"/>
      <c r="BW87" s="737"/>
      <c r="BX87" s="323"/>
      <c r="CD87" s="398"/>
      <c r="CI87" s="796"/>
    </row>
    <row r="88" spans="1:87" s="795" customFormat="1" ht="14.25" outlineLevel="1" thickTop="1" thickBot="1">
      <c r="A88" s="794"/>
      <c r="B88" s="751">
        <f t="shared" si="111"/>
        <v>0</v>
      </c>
      <c r="C88" s="1029"/>
      <c r="D88" s="1031"/>
      <c r="E88" s="1030"/>
      <c r="F88" s="1031"/>
      <c r="G88" s="1029"/>
      <c r="H88" s="1032">
        <f t="shared" si="102"/>
        <v>1</v>
      </c>
      <c r="I88" s="1105"/>
      <c r="J88" s="1034">
        <f t="shared" si="103"/>
        <v>1</v>
      </c>
      <c r="K88" s="1035">
        <f t="shared" ref="K88:K115" si="116">L88*$D$8</f>
        <v>0</v>
      </c>
      <c r="L88" s="1089"/>
      <c r="M88" s="1088"/>
      <c r="N88" s="1037">
        <f t="shared" si="76"/>
        <v>0</v>
      </c>
      <c r="O88" s="1034">
        <f t="shared" si="112"/>
        <v>1</v>
      </c>
      <c r="P88" s="1035">
        <f t="shared" si="104"/>
        <v>0</v>
      </c>
      <c r="Q88" s="1089"/>
      <c r="R88" s="1088"/>
      <c r="S88" s="1020">
        <f t="shared" si="77"/>
        <v>0</v>
      </c>
      <c r="T88" s="1034">
        <f t="shared" si="78"/>
        <v>1</v>
      </c>
      <c r="U88" s="1035"/>
      <c r="V88" s="1089"/>
      <c r="W88" s="1088"/>
      <c r="X88" s="1037">
        <f t="shared" si="79"/>
        <v>0</v>
      </c>
      <c r="Y88" s="1034">
        <f t="shared" si="80"/>
        <v>1</v>
      </c>
      <c r="Z88" s="1035">
        <f t="shared" si="105"/>
        <v>0</v>
      </c>
      <c r="AA88" s="1089"/>
      <c r="AB88" s="1088"/>
      <c r="AC88" s="1021">
        <f t="shared" si="81"/>
        <v>0</v>
      </c>
      <c r="AD88" s="1034">
        <f t="shared" si="82"/>
        <v>1</v>
      </c>
      <c r="AE88" s="1035">
        <f t="shared" si="115"/>
        <v>0</v>
      </c>
      <c r="AF88" s="1089"/>
      <c r="AG88" s="1088"/>
      <c r="AH88" s="1037">
        <f t="shared" si="83"/>
        <v>0</v>
      </c>
      <c r="AI88" s="1034">
        <f t="shared" si="84"/>
        <v>1</v>
      </c>
      <c r="AJ88" s="1035">
        <f t="shared" si="106"/>
        <v>0</v>
      </c>
      <c r="AK88" s="1089"/>
      <c r="AL88" s="1088"/>
      <c r="AM88" s="1021">
        <f t="shared" si="85"/>
        <v>0</v>
      </c>
      <c r="AN88" s="1034">
        <f t="shared" si="86"/>
        <v>1</v>
      </c>
      <c r="AO88" s="1035">
        <f t="shared" si="107"/>
        <v>0</v>
      </c>
      <c r="AP88" s="1089"/>
      <c r="AQ88" s="1088"/>
      <c r="AR88" s="1037">
        <f t="shared" si="87"/>
        <v>0</v>
      </c>
      <c r="AS88" s="1034">
        <f t="shared" si="88"/>
        <v>1</v>
      </c>
      <c r="AT88" s="1035">
        <f t="shared" si="108"/>
        <v>0</v>
      </c>
      <c r="AU88" s="1091"/>
      <c r="AV88" s="1088"/>
      <c r="AW88" s="1021">
        <f t="shared" si="89"/>
        <v>0</v>
      </c>
      <c r="AX88" s="1034">
        <f t="shared" si="90"/>
        <v>1</v>
      </c>
      <c r="AY88" s="1035">
        <f t="shared" si="109"/>
        <v>0</v>
      </c>
      <c r="AZ88" s="1089"/>
      <c r="BA88" s="1089"/>
      <c r="BB88" s="1021">
        <f t="shared" si="91"/>
        <v>0</v>
      </c>
      <c r="BC88" s="1034">
        <f t="shared" si="92"/>
        <v>1</v>
      </c>
      <c r="BD88" s="1035">
        <f t="shared" si="110"/>
        <v>0</v>
      </c>
      <c r="BE88" s="1091"/>
      <c r="BF88" s="1088"/>
      <c r="BG88" s="1021">
        <f t="shared" si="93"/>
        <v>0</v>
      </c>
      <c r="BH88" s="1039">
        <f t="shared" si="94"/>
        <v>0</v>
      </c>
      <c r="BI88" s="1038">
        <f t="shared" si="95"/>
        <v>0</v>
      </c>
      <c r="BJ88" s="1027">
        <f t="shared" si="96"/>
        <v>0</v>
      </c>
      <c r="BK88" s="1021">
        <f t="shared" si="97"/>
        <v>0</v>
      </c>
      <c r="BL88" s="1040">
        <f t="shared" si="98"/>
        <v>0</v>
      </c>
      <c r="BM88" s="1038">
        <f t="shared" si="99"/>
        <v>0</v>
      </c>
      <c r="BN88" s="1027"/>
      <c r="BO88" s="1041"/>
      <c r="BP88" s="95">
        <f t="shared" si="113"/>
        <v>0</v>
      </c>
      <c r="BQ88" s="842">
        <f t="shared" si="114"/>
        <v>0</v>
      </c>
      <c r="BR88" s="323"/>
      <c r="BS88" s="94">
        <f t="shared" si="100"/>
        <v>0</v>
      </c>
      <c r="BU88" s="632">
        <f t="shared" si="101"/>
        <v>0</v>
      </c>
      <c r="BV88" s="398"/>
      <c r="BW88" s="737"/>
      <c r="BX88" s="323"/>
      <c r="CD88" s="398"/>
      <c r="CI88" s="796"/>
    </row>
    <row r="89" spans="1:87" s="795" customFormat="1" ht="14.25" outlineLevel="1" thickTop="1" thickBot="1">
      <c r="A89" s="794"/>
      <c r="B89" s="751">
        <f t="shared" si="111"/>
        <v>0</v>
      </c>
      <c r="C89" s="1029"/>
      <c r="D89" s="1031"/>
      <c r="E89" s="1030"/>
      <c r="F89" s="1031"/>
      <c r="G89" s="1029"/>
      <c r="H89" s="1032">
        <f t="shared" si="102"/>
        <v>1</v>
      </c>
      <c r="I89" s="1105"/>
      <c r="J89" s="1034">
        <f t="shared" si="103"/>
        <v>1</v>
      </c>
      <c r="K89" s="1035">
        <f t="shared" si="116"/>
        <v>0</v>
      </c>
      <c r="L89" s="1089"/>
      <c r="M89" s="1088"/>
      <c r="N89" s="1037">
        <f t="shared" si="76"/>
        <v>0</v>
      </c>
      <c r="O89" s="1034">
        <f t="shared" si="112"/>
        <v>1</v>
      </c>
      <c r="P89" s="1035">
        <f t="shared" si="104"/>
        <v>0</v>
      </c>
      <c r="Q89" s="1089"/>
      <c r="R89" s="1088"/>
      <c r="S89" s="1020">
        <f t="shared" si="77"/>
        <v>0</v>
      </c>
      <c r="T89" s="1034">
        <f t="shared" si="78"/>
        <v>1</v>
      </c>
      <c r="U89" s="1035"/>
      <c r="V89" s="1089"/>
      <c r="W89" s="1088"/>
      <c r="X89" s="1037">
        <f t="shared" si="79"/>
        <v>0</v>
      </c>
      <c r="Y89" s="1034">
        <f t="shared" si="80"/>
        <v>1</v>
      </c>
      <c r="Z89" s="1035">
        <f t="shared" si="105"/>
        <v>0</v>
      </c>
      <c r="AA89" s="1089"/>
      <c r="AB89" s="1088"/>
      <c r="AC89" s="1021">
        <f t="shared" si="81"/>
        <v>0</v>
      </c>
      <c r="AD89" s="1034">
        <f t="shared" si="82"/>
        <v>1</v>
      </c>
      <c r="AE89" s="1035">
        <f t="shared" si="115"/>
        <v>0</v>
      </c>
      <c r="AF89" s="1089"/>
      <c r="AG89" s="1088"/>
      <c r="AH89" s="1037">
        <f t="shared" si="83"/>
        <v>0</v>
      </c>
      <c r="AI89" s="1034">
        <f t="shared" si="84"/>
        <v>1</v>
      </c>
      <c r="AJ89" s="1035">
        <f t="shared" si="106"/>
        <v>0</v>
      </c>
      <c r="AK89" s="1089"/>
      <c r="AL89" s="1088"/>
      <c r="AM89" s="1021">
        <f t="shared" si="85"/>
        <v>0</v>
      </c>
      <c r="AN89" s="1034">
        <f t="shared" si="86"/>
        <v>1</v>
      </c>
      <c r="AO89" s="1035">
        <f t="shared" si="107"/>
        <v>0</v>
      </c>
      <c r="AP89" s="1089"/>
      <c r="AQ89" s="1088"/>
      <c r="AR89" s="1037">
        <f t="shared" si="87"/>
        <v>0</v>
      </c>
      <c r="AS89" s="1034">
        <f t="shared" si="88"/>
        <v>1</v>
      </c>
      <c r="AT89" s="1035">
        <f t="shared" si="108"/>
        <v>0</v>
      </c>
      <c r="AU89" s="1089"/>
      <c r="AV89" s="1088"/>
      <c r="AW89" s="1021">
        <f t="shared" si="89"/>
        <v>0</v>
      </c>
      <c r="AX89" s="1034">
        <f t="shared" si="90"/>
        <v>1</v>
      </c>
      <c r="AY89" s="1035">
        <f t="shared" si="109"/>
        <v>0</v>
      </c>
      <c r="AZ89" s="1089"/>
      <c r="BA89" s="1089"/>
      <c r="BB89" s="1021">
        <f t="shared" si="91"/>
        <v>0</v>
      </c>
      <c r="BC89" s="1034">
        <f t="shared" si="92"/>
        <v>1</v>
      </c>
      <c r="BD89" s="1035">
        <f t="shared" si="110"/>
        <v>0</v>
      </c>
      <c r="BE89" s="1091"/>
      <c r="BF89" s="1088"/>
      <c r="BG89" s="1021">
        <f t="shared" si="93"/>
        <v>0</v>
      </c>
      <c r="BH89" s="1039">
        <f t="shared" si="94"/>
        <v>0</v>
      </c>
      <c r="BI89" s="1038">
        <f t="shared" si="95"/>
        <v>0</v>
      </c>
      <c r="BJ89" s="1027">
        <f t="shared" si="96"/>
        <v>0</v>
      </c>
      <c r="BK89" s="1021">
        <f t="shared" si="97"/>
        <v>0</v>
      </c>
      <c r="BL89" s="1040">
        <f t="shared" si="98"/>
        <v>0</v>
      </c>
      <c r="BM89" s="1038">
        <f t="shared" si="99"/>
        <v>0</v>
      </c>
      <c r="BN89" s="1027"/>
      <c r="BO89" s="1041"/>
      <c r="BP89" s="95">
        <f t="shared" si="113"/>
        <v>0</v>
      </c>
      <c r="BQ89" s="842">
        <f t="shared" si="114"/>
        <v>0</v>
      </c>
      <c r="BR89" s="323"/>
      <c r="BS89" s="94">
        <f t="shared" si="100"/>
        <v>0</v>
      </c>
      <c r="BU89" s="632">
        <f t="shared" si="101"/>
        <v>0</v>
      </c>
      <c r="BV89" s="398"/>
      <c r="BW89" s="737"/>
      <c r="BX89" s="323"/>
      <c r="CD89" s="398"/>
      <c r="CI89" s="796"/>
    </row>
    <row r="90" spans="1:87" ht="14.25" outlineLevel="1" thickTop="1" thickBot="1">
      <c r="A90" s="57"/>
      <c r="B90" s="751">
        <f t="shared" si="111"/>
        <v>0</v>
      </c>
      <c r="C90" s="1029"/>
      <c r="D90" s="1031"/>
      <c r="E90" s="1030"/>
      <c r="F90" s="1031"/>
      <c r="G90" s="1029"/>
      <c r="H90" s="1032">
        <f t="shared" si="102"/>
        <v>1</v>
      </c>
      <c r="I90" s="1105"/>
      <c r="J90" s="1034">
        <f t="shared" si="103"/>
        <v>1</v>
      </c>
      <c r="K90" s="1035">
        <f t="shared" si="116"/>
        <v>0</v>
      </c>
      <c r="L90" s="1089"/>
      <c r="M90" s="1088"/>
      <c r="N90" s="1037">
        <f t="shared" si="76"/>
        <v>0</v>
      </c>
      <c r="O90" s="1034">
        <f t="shared" si="112"/>
        <v>1</v>
      </c>
      <c r="P90" s="1035">
        <f t="shared" si="104"/>
        <v>0</v>
      </c>
      <c r="Q90" s="1089"/>
      <c r="R90" s="1088"/>
      <c r="S90" s="1020">
        <f t="shared" si="77"/>
        <v>0</v>
      </c>
      <c r="T90" s="1034">
        <f t="shared" si="78"/>
        <v>1</v>
      </c>
      <c r="U90" s="1035"/>
      <c r="V90" s="1089"/>
      <c r="W90" s="1088"/>
      <c r="X90" s="1037">
        <f t="shared" si="79"/>
        <v>0</v>
      </c>
      <c r="Y90" s="1034">
        <f t="shared" si="80"/>
        <v>1</v>
      </c>
      <c r="Z90" s="1035">
        <f t="shared" si="105"/>
        <v>0</v>
      </c>
      <c r="AA90" s="1089"/>
      <c r="AB90" s="1088"/>
      <c r="AC90" s="1021">
        <f t="shared" si="81"/>
        <v>0</v>
      </c>
      <c r="AD90" s="1034">
        <f t="shared" si="82"/>
        <v>1</v>
      </c>
      <c r="AE90" s="1035">
        <f t="shared" si="115"/>
        <v>0</v>
      </c>
      <c r="AF90" s="1089"/>
      <c r="AG90" s="1088"/>
      <c r="AH90" s="1037">
        <f t="shared" si="83"/>
        <v>0</v>
      </c>
      <c r="AI90" s="1034">
        <f t="shared" si="84"/>
        <v>1</v>
      </c>
      <c r="AJ90" s="1035">
        <f t="shared" si="106"/>
        <v>0</v>
      </c>
      <c r="AK90" s="1089"/>
      <c r="AL90" s="1088"/>
      <c r="AM90" s="1021">
        <f t="shared" si="85"/>
        <v>0</v>
      </c>
      <c r="AN90" s="1034">
        <f t="shared" si="86"/>
        <v>1</v>
      </c>
      <c r="AO90" s="1035">
        <f t="shared" si="107"/>
        <v>0</v>
      </c>
      <c r="AP90" s="1089"/>
      <c r="AQ90" s="1088"/>
      <c r="AR90" s="1037">
        <f t="shared" si="87"/>
        <v>0</v>
      </c>
      <c r="AS90" s="1034">
        <f t="shared" si="88"/>
        <v>1</v>
      </c>
      <c r="AT90" s="1035">
        <f t="shared" si="108"/>
        <v>0</v>
      </c>
      <c r="AU90" s="1091"/>
      <c r="AV90" s="1088"/>
      <c r="AW90" s="1021">
        <f t="shared" si="89"/>
        <v>0</v>
      </c>
      <c r="AX90" s="1034">
        <f t="shared" si="90"/>
        <v>1</v>
      </c>
      <c r="AY90" s="1035">
        <f t="shared" si="109"/>
        <v>0</v>
      </c>
      <c r="AZ90" s="1089"/>
      <c r="BA90" s="1089"/>
      <c r="BB90" s="1021">
        <f t="shared" si="91"/>
        <v>0</v>
      </c>
      <c r="BC90" s="1034">
        <f t="shared" si="92"/>
        <v>1</v>
      </c>
      <c r="BD90" s="1035">
        <f t="shared" si="110"/>
        <v>0</v>
      </c>
      <c r="BE90" s="1091"/>
      <c r="BF90" s="1088"/>
      <c r="BG90" s="1021">
        <f t="shared" si="93"/>
        <v>0</v>
      </c>
      <c r="BH90" s="1039">
        <f t="shared" si="94"/>
        <v>0</v>
      </c>
      <c r="BI90" s="1038">
        <f t="shared" si="95"/>
        <v>0</v>
      </c>
      <c r="BJ90" s="1027">
        <f t="shared" si="96"/>
        <v>0</v>
      </c>
      <c r="BK90" s="1021">
        <f t="shared" si="97"/>
        <v>0</v>
      </c>
      <c r="BL90" s="1040">
        <f t="shared" si="98"/>
        <v>0</v>
      </c>
      <c r="BM90" s="1038">
        <f t="shared" si="99"/>
        <v>0</v>
      </c>
      <c r="BN90" s="1027"/>
      <c r="BO90" s="1041"/>
      <c r="BP90" s="95">
        <f t="shared" si="113"/>
        <v>0</v>
      </c>
      <c r="BQ90" s="842">
        <f t="shared" si="114"/>
        <v>0</v>
      </c>
      <c r="BS90" s="94">
        <f t="shared" si="100"/>
        <v>0</v>
      </c>
      <c r="BU90" s="632">
        <f t="shared" si="101"/>
        <v>0</v>
      </c>
      <c r="BV90" s="398"/>
      <c r="BW90" s="405"/>
      <c r="CI90" s="96"/>
    </row>
    <row r="91" spans="1:87" ht="14.25" outlineLevel="1" thickTop="1" thickBot="1">
      <c r="A91" s="57"/>
      <c r="B91" s="751">
        <f t="shared" si="111"/>
        <v>0</v>
      </c>
      <c r="C91" s="1029"/>
      <c r="D91" s="1031"/>
      <c r="E91" s="1030"/>
      <c r="F91" s="1031"/>
      <c r="G91" s="1029"/>
      <c r="H91" s="1032">
        <f t="shared" si="102"/>
        <v>1</v>
      </c>
      <c r="I91" s="1105"/>
      <c r="J91" s="1034">
        <f t="shared" si="103"/>
        <v>1</v>
      </c>
      <c r="K91" s="1035">
        <f t="shared" si="116"/>
        <v>0</v>
      </c>
      <c r="L91" s="1089"/>
      <c r="M91" s="1088"/>
      <c r="N91" s="1037">
        <f t="shared" si="76"/>
        <v>0</v>
      </c>
      <c r="O91" s="1034">
        <f t="shared" si="112"/>
        <v>1</v>
      </c>
      <c r="P91" s="1035">
        <f t="shared" si="104"/>
        <v>0</v>
      </c>
      <c r="Q91" s="1089"/>
      <c r="R91" s="1088"/>
      <c r="S91" s="1020">
        <f t="shared" si="77"/>
        <v>0</v>
      </c>
      <c r="T91" s="1034">
        <f t="shared" si="78"/>
        <v>1</v>
      </c>
      <c r="U91" s="1035"/>
      <c r="V91" s="1089"/>
      <c r="W91" s="1088"/>
      <c r="X91" s="1037">
        <f t="shared" si="79"/>
        <v>0</v>
      </c>
      <c r="Y91" s="1034">
        <f t="shared" si="80"/>
        <v>1</v>
      </c>
      <c r="Z91" s="1035">
        <f t="shared" si="105"/>
        <v>0</v>
      </c>
      <c r="AA91" s="1089"/>
      <c r="AB91" s="1088"/>
      <c r="AC91" s="1021">
        <f t="shared" si="81"/>
        <v>0</v>
      </c>
      <c r="AD91" s="1034">
        <f t="shared" si="82"/>
        <v>1</v>
      </c>
      <c r="AE91" s="1035">
        <f t="shared" si="115"/>
        <v>0</v>
      </c>
      <c r="AF91" s="1089"/>
      <c r="AG91" s="1088"/>
      <c r="AH91" s="1037">
        <f t="shared" si="83"/>
        <v>0</v>
      </c>
      <c r="AI91" s="1034">
        <f t="shared" si="84"/>
        <v>1</v>
      </c>
      <c r="AJ91" s="1035">
        <f t="shared" si="106"/>
        <v>0</v>
      </c>
      <c r="AK91" s="1089"/>
      <c r="AL91" s="1088"/>
      <c r="AM91" s="1021">
        <f t="shared" si="85"/>
        <v>0</v>
      </c>
      <c r="AN91" s="1034">
        <f t="shared" si="86"/>
        <v>1</v>
      </c>
      <c r="AO91" s="1035">
        <f t="shared" si="107"/>
        <v>0</v>
      </c>
      <c r="AP91" s="1089"/>
      <c r="AQ91" s="1088"/>
      <c r="AR91" s="1037">
        <f t="shared" si="87"/>
        <v>0</v>
      </c>
      <c r="AS91" s="1034">
        <f t="shared" si="88"/>
        <v>1</v>
      </c>
      <c r="AT91" s="1035">
        <f t="shared" si="108"/>
        <v>0</v>
      </c>
      <c r="AU91" s="1089"/>
      <c r="AV91" s="1088"/>
      <c r="AW91" s="1021">
        <f t="shared" si="89"/>
        <v>0</v>
      </c>
      <c r="AX91" s="1034">
        <f t="shared" si="90"/>
        <v>1</v>
      </c>
      <c r="AY91" s="1035">
        <f t="shared" si="109"/>
        <v>0</v>
      </c>
      <c r="AZ91" s="1089"/>
      <c r="BA91" s="1089"/>
      <c r="BB91" s="1021">
        <f t="shared" si="91"/>
        <v>0</v>
      </c>
      <c r="BC91" s="1034">
        <f t="shared" si="92"/>
        <v>1</v>
      </c>
      <c r="BD91" s="1035">
        <f t="shared" si="110"/>
        <v>0</v>
      </c>
      <c r="BE91" s="1091"/>
      <c r="BF91" s="1088"/>
      <c r="BG91" s="1021">
        <f t="shared" si="93"/>
        <v>0</v>
      </c>
      <c r="BH91" s="1039">
        <f t="shared" si="94"/>
        <v>0</v>
      </c>
      <c r="BI91" s="1038">
        <f t="shared" si="95"/>
        <v>0</v>
      </c>
      <c r="BJ91" s="1027">
        <f t="shared" si="96"/>
        <v>0</v>
      </c>
      <c r="BK91" s="1021">
        <f t="shared" si="97"/>
        <v>0</v>
      </c>
      <c r="BL91" s="1040">
        <f t="shared" si="98"/>
        <v>0</v>
      </c>
      <c r="BM91" s="1038">
        <f t="shared" si="99"/>
        <v>0</v>
      </c>
      <c r="BN91" s="1027"/>
      <c r="BO91" s="1041"/>
      <c r="BP91" s="95">
        <f t="shared" si="113"/>
        <v>0</v>
      </c>
      <c r="BQ91" s="842">
        <f t="shared" si="114"/>
        <v>0</v>
      </c>
      <c r="BS91" s="94">
        <f t="shared" si="100"/>
        <v>0</v>
      </c>
      <c r="BU91" s="632">
        <f t="shared" si="101"/>
        <v>0</v>
      </c>
      <c r="BV91" s="398"/>
      <c r="BW91" s="405"/>
      <c r="CI91" s="96"/>
    </row>
    <row r="92" spans="1:87" ht="14.25" outlineLevel="1" thickTop="1" thickBot="1">
      <c r="A92" s="57"/>
      <c r="B92" s="751">
        <f t="shared" si="111"/>
        <v>0</v>
      </c>
      <c r="C92" s="1029"/>
      <c r="D92" s="1031"/>
      <c r="E92" s="1030"/>
      <c r="F92" s="1031"/>
      <c r="G92" s="1029"/>
      <c r="H92" s="1032">
        <f t="shared" si="102"/>
        <v>1</v>
      </c>
      <c r="I92" s="1105"/>
      <c r="J92" s="1034">
        <f t="shared" si="103"/>
        <v>1</v>
      </c>
      <c r="K92" s="1035">
        <f t="shared" si="116"/>
        <v>0</v>
      </c>
      <c r="L92" s="1089"/>
      <c r="M92" s="1088"/>
      <c r="N92" s="1037">
        <f t="shared" si="76"/>
        <v>0</v>
      </c>
      <c r="O92" s="1034">
        <f t="shared" si="112"/>
        <v>1</v>
      </c>
      <c r="P92" s="1035">
        <f t="shared" si="104"/>
        <v>0</v>
      </c>
      <c r="Q92" s="1089"/>
      <c r="R92" s="1088"/>
      <c r="S92" s="1020">
        <f t="shared" si="77"/>
        <v>0</v>
      </c>
      <c r="T92" s="1034">
        <f t="shared" si="78"/>
        <v>1</v>
      </c>
      <c r="U92" s="1035"/>
      <c r="V92" s="1089"/>
      <c r="W92" s="1088"/>
      <c r="X92" s="1037">
        <f t="shared" si="79"/>
        <v>0</v>
      </c>
      <c r="Y92" s="1034">
        <f t="shared" si="80"/>
        <v>1</v>
      </c>
      <c r="Z92" s="1035">
        <f t="shared" si="105"/>
        <v>0</v>
      </c>
      <c r="AA92" s="1089"/>
      <c r="AB92" s="1088"/>
      <c r="AC92" s="1021">
        <f t="shared" si="81"/>
        <v>0</v>
      </c>
      <c r="AD92" s="1034">
        <f t="shared" si="82"/>
        <v>1</v>
      </c>
      <c r="AE92" s="1035">
        <f t="shared" si="115"/>
        <v>0</v>
      </c>
      <c r="AF92" s="1089"/>
      <c r="AG92" s="1088"/>
      <c r="AH92" s="1037">
        <f t="shared" si="83"/>
        <v>0</v>
      </c>
      <c r="AI92" s="1034">
        <f t="shared" si="84"/>
        <v>1</v>
      </c>
      <c r="AJ92" s="1035">
        <f t="shared" si="106"/>
        <v>0</v>
      </c>
      <c r="AK92" s="1089"/>
      <c r="AL92" s="1088"/>
      <c r="AM92" s="1021">
        <f t="shared" si="85"/>
        <v>0</v>
      </c>
      <c r="AN92" s="1034">
        <f t="shared" si="86"/>
        <v>1</v>
      </c>
      <c r="AO92" s="1035">
        <f t="shared" si="107"/>
        <v>0</v>
      </c>
      <c r="AP92" s="1089"/>
      <c r="AQ92" s="1088"/>
      <c r="AR92" s="1037">
        <f t="shared" si="87"/>
        <v>0</v>
      </c>
      <c r="AS92" s="1034">
        <f t="shared" si="88"/>
        <v>1</v>
      </c>
      <c r="AT92" s="1035">
        <f t="shared" si="108"/>
        <v>0</v>
      </c>
      <c r="AU92" s="1091"/>
      <c r="AV92" s="1088"/>
      <c r="AW92" s="1021">
        <f t="shared" si="89"/>
        <v>0</v>
      </c>
      <c r="AX92" s="1034">
        <f t="shared" si="90"/>
        <v>1</v>
      </c>
      <c r="AY92" s="1035">
        <f t="shared" si="109"/>
        <v>0</v>
      </c>
      <c r="AZ92" s="1089"/>
      <c r="BA92" s="1089"/>
      <c r="BB92" s="1021">
        <f t="shared" si="91"/>
        <v>0</v>
      </c>
      <c r="BC92" s="1034">
        <f t="shared" si="92"/>
        <v>1</v>
      </c>
      <c r="BD92" s="1035">
        <f t="shared" si="110"/>
        <v>0</v>
      </c>
      <c r="BE92" s="1091"/>
      <c r="BF92" s="1088"/>
      <c r="BG92" s="1021">
        <f t="shared" si="93"/>
        <v>0</v>
      </c>
      <c r="BH92" s="1039">
        <f t="shared" si="94"/>
        <v>0</v>
      </c>
      <c r="BI92" s="1038">
        <f t="shared" si="95"/>
        <v>0</v>
      </c>
      <c r="BJ92" s="1027">
        <f t="shared" si="96"/>
        <v>0</v>
      </c>
      <c r="BK92" s="1021">
        <f t="shared" si="97"/>
        <v>0</v>
      </c>
      <c r="BL92" s="1040">
        <f t="shared" si="98"/>
        <v>0</v>
      </c>
      <c r="BM92" s="1038">
        <f t="shared" si="99"/>
        <v>0</v>
      </c>
      <c r="BN92" s="1027"/>
      <c r="BO92" s="1041"/>
      <c r="BP92" s="95">
        <f t="shared" si="113"/>
        <v>0</v>
      </c>
      <c r="BQ92" s="842">
        <f t="shared" si="114"/>
        <v>0</v>
      </c>
      <c r="BS92" s="94">
        <f t="shared" si="100"/>
        <v>0</v>
      </c>
      <c r="BU92" s="632">
        <f t="shared" si="101"/>
        <v>0</v>
      </c>
      <c r="BV92" s="398"/>
      <c r="BW92" s="405"/>
      <c r="CI92" s="96"/>
    </row>
    <row r="93" spans="1:87" ht="14.25" outlineLevel="1" thickTop="1" thickBot="1">
      <c r="A93" s="57"/>
      <c r="B93" s="751">
        <f t="shared" si="111"/>
        <v>0</v>
      </c>
      <c r="C93" s="1029"/>
      <c r="D93" s="1031"/>
      <c r="E93" s="1030"/>
      <c r="F93" s="1031"/>
      <c r="G93" s="1029"/>
      <c r="H93" s="1032">
        <f t="shared" si="102"/>
        <v>1</v>
      </c>
      <c r="I93" s="1105"/>
      <c r="J93" s="1034">
        <f t="shared" si="103"/>
        <v>1</v>
      </c>
      <c r="K93" s="1035">
        <f t="shared" si="116"/>
        <v>0</v>
      </c>
      <c r="L93" s="1089"/>
      <c r="M93" s="1088"/>
      <c r="N93" s="1037">
        <f t="shared" si="76"/>
        <v>0</v>
      </c>
      <c r="O93" s="1034">
        <f t="shared" si="112"/>
        <v>1</v>
      </c>
      <c r="P93" s="1035">
        <f t="shared" si="104"/>
        <v>0</v>
      </c>
      <c r="Q93" s="1089"/>
      <c r="R93" s="1088"/>
      <c r="S93" s="1020">
        <f t="shared" si="77"/>
        <v>0</v>
      </c>
      <c r="T93" s="1034">
        <f t="shared" si="78"/>
        <v>1</v>
      </c>
      <c r="U93" s="1035"/>
      <c r="V93" s="1089"/>
      <c r="W93" s="1088"/>
      <c r="X93" s="1037">
        <f t="shared" si="79"/>
        <v>0</v>
      </c>
      <c r="Y93" s="1034">
        <f t="shared" si="80"/>
        <v>1</v>
      </c>
      <c r="Z93" s="1035">
        <f t="shared" si="105"/>
        <v>0</v>
      </c>
      <c r="AA93" s="1089"/>
      <c r="AB93" s="1088"/>
      <c r="AC93" s="1021">
        <f t="shared" si="81"/>
        <v>0</v>
      </c>
      <c r="AD93" s="1034">
        <f t="shared" si="82"/>
        <v>1</v>
      </c>
      <c r="AE93" s="1035">
        <f t="shared" si="115"/>
        <v>0</v>
      </c>
      <c r="AF93" s="1089"/>
      <c r="AG93" s="1088"/>
      <c r="AH93" s="1037">
        <f t="shared" si="83"/>
        <v>0</v>
      </c>
      <c r="AI93" s="1034">
        <f t="shared" si="84"/>
        <v>1</v>
      </c>
      <c r="AJ93" s="1035">
        <f t="shared" si="106"/>
        <v>0</v>
      </c>
      <c r="AK93" s="1089"/>
      <c r="AL93" s="1088"/>
      <c r="AM93" s="1021">
        <f t="shared" si="85"/>
        <v>0</v>
      </c>
      <c r="AN93" s="1034">
        <f t="shared" si="86"/>
        <v>1</v>
      </c>
      <c r="AO93" s="1035">
        <f t="shared" si="107"/>
        <v>0</v>
      </c>
      <c r="AP93" s="1089"/>
      <c r="AQ93" s="1088"/>
      <c r="AR93" s="1037">
        <f t="shared" si="87"/>
        <v>0</v>
      </c>
      <c r="AS93" s="1034">
        <f t="shared" si="88"/>
        <v>1</v>
      </c>
      <c r="AT93" s="1035">
        <f t="shared" si="108"/>
        <v>0</v>
      </c>
      <c r="AU93" s="1089"/>
      <c r="AV93" s="1088"/>
      <c r="AW93" s="1021">
        <f t="shared" si="89"/>
        <v>0</v>
      </c>
      <c r="AX93" s="1034">
        <f t="shared" si="90"/>
        <v>1</v>
      </c>
      <c r="AY93" s="1035">
        <f t="shared" si="109"/>
        <v>0</v>
      </c>
      <c r="AZ93" s="1089"/>
      <c r="BA93" s="1089"/>
      <c r="BB93" s="1021">
        <f t="shared" si="91"/>
        <v>0</v>
      </c>
      <c r="BC93" s="1034">
        <f t="shared" si="92"/>
        <v>1</v>
      </c>
      <c r="BD93" s="1035">
        <f t="shared" si="110"/>
        <v>0</v>
      </c>
      <c r="BE93" s="1091"/>
      <c r="BF93" s="1088"/>
      <c r="BG93" s="1021">
        <f t="shared" si="93"/>
        <v>0</v>
      </c>
      <c r="BH93" s="1039">
        <f t="shared" si="94"/>
        <v>0</v>
      </c>
      <c r="BI93" s="1038">
        <f t="shared" si="95"/>
        <v>0</v>
      </c>
      <c r="BJ93" s="1027">
        <f t="shared" si="96"/>
        <v>0</v>
      </c>
      <c r="BK93" s="1021">
        <f t="shared" si="97"/>
        <v>0</v>
      </c>
      <c r="BL93" s="1040">
        <f t="shared" si="98"/>
        <v>0</v>
      </c>
      <c r="BM93" s="1038">
        <f t="shared" si="99"/>
        <v>0</v>
      </c>
      <c r="BN93" s="1027"/>
      <c r="BO93" s="1041"/>
      <c r="BP93" s="95">
        <f t="shared" si="113"/>
        <v>0</v>
      </c>
      <c r="BQ93" s="842">
        <f t="shared" si="114"/>
        <v>0</v>
      </c>
      <c r="BS93" s="94">
        <f t="shared" si="100"/>
        <v>0</v>
      </c>
      <c r="BU93" s="632">
        <f t="shared" si="101"/>
        <v>0</v>
      </c>
      <c r="BV93" s="398"/>
      <c r="BW93" s="405"/>
      <c r="CI93" s="96"/>
    </row>
    <row r="94" spans="1:87" ht="14.25" outlineLevel="1" thickTop="1" thickBot="1">
      <c r="A94" s="57"/>
      <c r="B94" s="751">
        <f t="shared" si="111"/>
        <v>0</v>
      </c>
      <c r="C94" s="1029"/>
      <c r="D94" s="1031"/>
      <c r="E94" s="1030"/>
      <c r="F94" s="1031"/>
      <c r="G94" s="1029"/>
      <c r="H94" s="1032">
        <f t="shared" si="102"/>
        <v>1</v>
      </c>
      <c r="I94" s="1105"/>
      <c r="J94" s="1034">
        <f t="shared" si="103"/>
        <v>1</v>
      </c>
      <c r="K94" s="1035">
        <f t="shared" si="116"/>
        <v>0</v>
      </c>
      <c r="L94" s="1089"/>
      <c r="M94" s="1088"/>
      <c r="N94" s="1037">
        <f t="shared" si="76"/>
        <v>0</v>
      </c>
      <c r="O94" s="1034">
        <f t="shared" si="112"/>
        <v>1</v>
      </c>
      <c r="P94" s="1035">
        <f t="shared" si="104"/>
        <v>0</v>
      </c>
      <c r="Q94" s="1089"/>
      <c r="R94" s="1088"/>
      <c r="S94" s="1020">
        <f t="shared" si="77"/>
        <v>0</v>
      </c>
      <c r="T94" s="1034">
        <f t="shared" si="78"/>
        <v>1</v>
      </c>
      <c r="U94" s="1035"/>
      <c r="V94" s="1089"/>
      <c r="W94" s="1088"/>
      <c r="X94" s="1037">
        <f t="shared" si="79"/>
        <v>0</v>
      </c>
      <c r="Y94" s="1034">
        <f t="shared" si="80"/>
        <v>1</v>
      </c>
      <c r="Z94" s="1035">
        <f t="shared" si="105"/>
        <v>0</v>
      </c>
      <c r="AA94" s="1089"/>
      <c r="AB94" s="1088"/>
      <c r="AC94" s="1021">
        <f t="shared" si="81"/>
        <v>0</v>
      </c>
      <c r="AD94" s="1034">
        <f t="shared" si="82"/>
        <v>1</v>
      </c>
      <c r="AE94" s="1035">
        <f t="shared" si="115"/>
        <v>0</v>
      </c>
      <c r="AF94" s="1089"/>
      <c r="AG94" s="1088"/>
      <c r="AH94" s="1037">
        <f t="shared" si="83"/>
        <v>0</v>
      </c>
      <c r="AI94" s="1034">
        <f t="shared" si="84"/>
        <v>1</v>
      </c>
      <c r="AJ94" s="1035">
        <f t="shared" si="106"/>
        <v>0</v>
      </c>
      <c r="AK94" s="1089"/>
      <c r="AL94" s="1088"/>
      <c r="AM94" s="1021">
        <f t="shared" si="85"/>
        <v>0</v>
      </c>
      <c r="AN94" s="1034">
        <f t="shared" si="86"/>
        <v>1</v>
      </c>
      <c r="AO94" s="1035">
        <f t="shared" si="107"/>
        <v>0</v>
      </c>
      <c r="AP94" s="1089"/>
      <c r="AQ94" s="1088"/>
      <c r="AR94" s="1037">
        <f t="shared" si="87"/>
        <v>0</v>
      </c>
      <c r="AS94" s="1034">
        <f t="shared" si="88"/>
        <v>1</v>
      </c>
      <c r="AT94" s="1035">
        <f t="shared" si="108"/>
        <v>0</v>
      </c>
      <c r="AU94" s="1091"/>
      <c r="AV94" s="1088"/>
      <c r="AW94" s="1021">
        <f t="shared" si="89"/>
        <v>0</v>
      </c>
      <c r="AX94" s="1034">
        <f t="shared" si="90"/>
        <v>1</v>
      </c>
      <c r="AY94" s="1035">
        <f t="shared" si="109"/>
        <v>0</v>
      </c>
      <c r="AZ94" s="1089"/>
      <c r="BA94" s="1089"/>
      <c r="BB94" s="1021">
        <f t="shared" si="91"/>
        <v>0</v>
      </c>
      <c r="BC94" s="1034">
        <f t="shared" si="92"/>
        <v>1</v>
      </c>
      <c r="BD94" s="1035">
        <f t="shared" si="110"/>
        <v>0</v>
      </c>
      <c r="BE94" s="1091"/>
      <c r="BF94" s="1088"/>
      <c r="BG94" s="1021">
        <f t="shared" si="93"/>
        <v>0</v>
      </c>
      <c r="BH94" s="1039">
        <f t="shared" si="94"/>
        <v>0</v>
      </c>
      <c r="BI94" s="1038">
        <f t="shared" si="95"/>
        <v>0</v>
      </c>
      <c r="BJ94" s="1027">
        <f t="shared" si="96"/>
        <v>0</v>
      </c>
      <c r="BK94" s="1021">
        <f t="shared" si="97"/>
        <v>0</v>
      </c>
      <c r="BL94" s="1040">
        <f t="shared" si="98"/>
        <v>0</v>
      </c>
      <c r="BM94" s="1038">
        <f t="shared" si="99"/>
        <v>0</v>
      </c>
      <c r="BN94" s="1027"/>
      <c r="BO94" s="1041"/>
      <c r="BP94" s="95">
        <f t="shared" si="113"/>
        <v>0</v>
      </c>
      <c r="BQ94" s="842">
        <f t="shared" si="114"/>
        <v>0</v>
      </c>
      <c r="BS94" s="94">
        <f t="shared" si="100"/>
        <v>0</v>
      </c>
      <c r="BU94" s="632">
        <f t="shared" si="101"/>
        <v>0</v>
      </c>
      <c r="BV94" s="398"/>
      <c r="BW94" s="405"/>
      <c r="CI94" s="96"/>
    </row>
    <row r="95" spans="1:87" ht="14.25" outlineLevel="1" thickTop="1" thickBot="1">
      <c r="A95" s="57"/>
      <c r="B95" s="751">
        <f t="shared" si="111"/>
        <v>0</v>
      </c>
      <c r="C95" s="1029"/>
      <c r="D95" s="1031"/>
      <c r="E95" s="1030"/>
      <c r="F95" s="1031"/>
      <c r="G95" s="1029"/>
      <c r="H95" s="1032">
        <f t="shared" si="102"/>
        <v>1</v>
      </c>
      <c r="I95" s="1105"/>
      <c r="J95" s="1034">
        <f t="shared" si="103"/>
        <v>1</v>
      </c>
      <c r="K95" s="1035">
        <f t="shared" si="116"/>
        <v>0</v>
      </c>
      <c r="L95" s="1089"/>
      <c r="M95" s="1088"/>
      <c r="N95" s="1037">
        <f t="shared" si="76"/>
        <v>0</v>
      </c>
      <c r="O95" s="1034">
        <f t="shared" si="112"/>
        <v>1</v>
      </c>
      <c r="P95" s="1035">
        <f t="shared" si="104"/>
        <v>0</v>
      </c>
      <c r="Q95" s="1089"/>
      <c r="R95" s="1088"/>
      <c r="S95" s="1020">
        <f t="shared" si="77"/>
        <v>0</v>
      </c>
      <c r="T95" s="1034">
        <f t="shared" si="78"/>
        <v>1</v>
      </c>
      <c r="U95" s="1035"/>
      <c r="V95" s="1089"/>
      <c r="W95" s="1088"/>
      <c r="X95" s="1037">
        <f t="shared" si="79"/>
        <v>0</v>
      </c>
      <c r="Y95" s="1034">
        <f t="shared" si="80"/>
        <v>1</v>
      </c>
      <c r="Z95" s="1035">
        <f t="shared" si="105"/>
        <v>0</v>
      </c>
      <c r="AA95" s="1089"/>
      <c r="AB95" s="1088"/>
      <c r="AC95" s="1021">
        <f t="shared" si="81"/>
        <v>0</v>
      </c>
      <c r="AD95" s="1034">
        <f t="shared" si="82"/>
        <v>1</v>
      </c>
      <c r="AE95" s="1035">
        <f t="shared" si="115"/>
        <v>0</v>
      </c>
      <c r="AF95" s="1089"/>
      <c r="AG95" s="1088"/>
      <c r="AH95" s="1037">
        <f t="shared" si="83"/>
        <v>0</v>
      </c>
      <c r="AI95" s="1034">
        <f t="shared" si="84"/>
        <v>1</v>
      </c>
      <c r="AJ95" s="1035">
        <f t="shared" si="106"/>
        <v>0</v>
      </c>
      <c r="AK95" s="1089"/>
      <c r="AL95" s="1088"/>
      <c r="AM95" s="1021">
        <f t="shared" si="85"/>
        <v>0</v>
      </c>
      <c r="AN95" s="1034">
        <f t="shared" si="86"/>
        <v>1</v>
      </c>
      <c r="AO95" s="1035">
        <f t="shared" si="107"/>
        <v>0</v>
      </c>
      <c r="AP95" s="1089"/>
      <c r="AQ95" s="1088"/>
      <c r="AR95" s="1037">
        <f t="shared" si="87"/>
        <v>0</v>
      </c>
      <c r="AS95" s="1034">
        <f t="shared" si="88"/>
        <v>1</v>
      </c>
      <c r="AT95" s="1035">
        <f t="shared" si="108"/>
        <v>0</v>
      </c>
      <c r="AU95" s="1089"/>
      <c r="AV95" s="1088"/>
      <c r="AW95" s="1021">
        <f t="shared" si="89"/>
        <v>0</v>
      </c>
      <c r="AX95" s="1034">
        <f t="shared" si="90"/>
        <v>1</v>
      </c>
      <c r="AY95" s="1035">
        <f t="shared" si="109"/>
        <v>0</v>
      </c>
      <c r="AZ95" s="1089"/>
      <c r="BA95" s="1089"/>
      <c r="BB95" s="1021">
        <f t="shared" si="91"/>
        <v>0</v>
      </c>
      <c r="BC95" s="1034">
        <f t="shared" si="92"/>
        <v>1</v>
      </c>
      <c r="BD95" s="1035">
        <f t="shared" si="110"/>
        <v>0</v>
      </c>
      <c r="BE95" s="1091"/>
      <c r="BF95" s="1088"/>
      <c r="BG95" s="1021">
        <f t="shared" si="93"/>
        <v>0</v>
      </c>
      <c r="BH95" s="1039">
        <f t="shared" si="94"/>
        <v>0</v>
      </c>
      <c r="BI95" s="1038">
        <f t="shared" si="95"/>
        <v>0</v>
      </c>
      <c r="BJ95" s="1027">
        <f t="shared" si="96"/>
        <v>0</v>
      </c>
      <c r="BK95" s="1021">
        <f t="shared" si="97"/>
        <v>0</v>
      </c>
      <c r="BL95" s="1040">
        <f t="shared" si="98"/>
        <v>0</v>
      </c>
      <c r="BM95" s="1038">
        <f t="shared" si="99"/>
        <v>0</v>
      </c>
      <c r="BN95" s="1027"/>
      <c r="BO95" s="1041"/>
      <c r="BP95" s="95">
        <f t="shared" si="113"/>
        <v>0</v>
      </c>
      <c r="BQ95" s="842">
        <f t="shared" si="114"/>
        <v>0</v>
      </c>
      <c r="BS95" s="94">
        <f t="shared" si="100"/>
        <v>0</v>
      </c>
      <c r="BU95" s="632">
        <f t="shared" si="101"/>
        <v>0</v>
      </c>
      <c r="BV95" s="398"/>
      <c r="BW95" s="405"/>
      <c r="CI95" s="96"/>
    </row>
    <row r="96" spans="1:87" ht="14.25" outlineLevel="1" thickTop="1" thickBot="1">
      <c r="A96" s="57"/>
      <c r="B96" s="751">
        <f t="shared" si="111"/>
        <v>0</v>
      </c>
      <c r="C96" s="1029"/>
      <c r="D96" s="1031"/>
      <c r="E96" s="1030"/>
      <c r="F96" s="1031"/>
      <c r="G96" s="1029"/>
      <c r="H96" s="1032">
        <f t="shared" si="102"/>
        <v>1</v>
      </c>
      <c r="I96" s="1105"/>
      <c r="J96" s="1034">
        <f t="shared" si="103"/>
        <v>1</v>
      </c>
      <c r="K96" s="1035">
        <f t="shared" si="116"/>
        <v>0</v>
      </c>
      <c r="L96" s="1089"/>
      <c r="M96" s="1088"/>
      <c r="N96" s="1037">
        <f t="shared" si="76"/>
        <v>0</v>
      </c>
      <c r="O96" s="1034">
        <f t="shared" si="112"/>
        <v>1</v>
      </c>
      <c r="P96" s="1035">
        <f t="shared" si="104"/>
        <v>0</v>
      </c>
      <c r="Q96" s="1089"/>
      <c r="R96" s="1088"/>
      <c r="S96" s="1020">
        <f t="shared" si="77"/>
        <v>0</v>
      </c>
      <c r="T96" s="1034">
        <f t="shared" si="78"/>
        <v>1</v>
      </c>
      <c r="U96" s="1035"/>
      <c r="V96" s="1089"/>
      <c r="W96" s="1088"/>
      <c r="X96" s="1037">
        <f t="shared" si="79"/>
        <v>0</v>
      </c>
      <c r="Y96" s="1034">
        <f t="shared" si="80"/>
        <v>1</v>
      </c>
      <c r="Z96" s="1035">
        <f t="shared" si="105"/>
        <v>0</v>
      </c>
      <c r="AA96" s="1089"/>
      <c r="AB96" s="1088"/>
      <c r="AC96" s="1021">
        <f t="shared" si="81"/>
        <v>0</v>
      </c>
      <c r="AD96" s="1034">
        <f t="shared" si="82"/>
        <v>1</v>
      </c>
      <c r="AE96" s="1035">
        <f t="shared" si="115"/>
        <v>0</v>
      </c>
      <c r="AF96" s="1089"/>
      <c r="AG96" s="1088"/>
      <c r="AH96" s="1037">
        <f t="shared" si="83"/>
        <v>0</v>
      </c>
      <c r="AI96" s="1034">
        <f t="shared" si="84"/>
        <v>1</v>
      </c>
      <c r="AJ96" s="1035">
        <f t="shared" si="106"/>
        <v>0</v>
      </c>
      <c r="AK96" s="1089"/>
      <c r="AL96" s="1088"/>
      <c r="AM96" s="1021">
        <f t="shared" si="85"/>
        <v>0</v>
      </c>
      <c r="AN96" s="1034">
        <f t="shared" si="86"/>
        <v>1</v>
      </c>
      <c r="AO96" s="1035">
        <f t="shared" si="107"/>
        <v>0</v>
      </c>
      <c r="AP96" s="1089"/>
      <c r="AQ96" s="1088"/>
      <c r="AR96" s="1037">
        <f t="shared" si="87"/>
        <v>0</v>
      </c>
      <c r="AS96" s="1034">
        <f t="shared" si="88"/>
        <v>1</v>
      </c>
      <c r="AT96" s="1035">
        <f t="shared" si="108"/>
        <v>0</v>
      </c>
      <c r="AU96" s="1091"/>
      <c r="AV96" s="1088"/>
      <c r="AW96" s="1021">
        <f t="shared" si="89"/>
        <v>0</v>
      </c>
      <c r="AX96" s="1034">
        <f t="shared" si="90"/>
        <v>1</v>
      </c>
      <c r="AY96" s="1035">
        <f t="shared" si="109"/>
        <v>0</v>
      </c>
      <c r="AZ96" s="1089"/>
      <c r="BA96" s="1089"/>
      <c r="BB96" s="1021">
        <f t="shared" si="91"/>
        <v>0</v>
      </c>
      <c r="BC96" s="1034">
        <f t="shared" si="92"/>
        <v>1</v>
      </c>
      <c r="BD96" s="1035">
        <f t="shared" si="110"/>
        <v>0</v>
      </c>
      <c r="BE96" s="1091"/>
      <c r="BF96" s="1088"/>
      <c r="BG96" s="1021">
        <f t="shared" si="93"/>
        <v>0</v>
      </c>
      <c r="BH96" s="1039">
        <f t="shared" si="94"/>
        <v>0</v>
      </c>
      <c r="BI96" s="1038">
        <f t="shared" si="95"/>
        <v>0</v>
      </c>
      <c r="BJ96" s="1027">
        <f t="shared" si="96"/>
        <v>0</v>
      </c>
      <c r="BK96" s="1021">
        <f t="shared" si="97"/>
        <v>0</v>
      </c>
      <c r="BL96" s="1040">
        <f t="shared" si="98"/>
        <v>0</v>
      </c>
      <c r="BM96" s="1038">
        <f t="shared" si="99"/>
        <v>0</v>
      </c>
      <c r="BN96" s="1027"/>
      <c r="BO96" s="1041"/>
      <c r="BP96" s="95">
        <f t="shared" si="113"/>
        <v>0</v>
      </c>
      <c r="BQ96" s="842">
        <f t="shared" si="114"/>
        <v>0</v>
      </c>
      <c r="BS96" s="94">
        <f t="shared" si="100"/>
        <v>0</v>
      </c>
      <c r="BU96" s="632">
        <f t="shared" si="101"/>
        <v>0</v>
      </c>
      <c r="BV96" s="398"/>
      <c r="BW96" s="405"/>
      <c r="CI96" s="96"/>
    </row>
    <row r="97" spans="1:87" ht="14.25" outlineLevel="1" thickTop="1" thickBot="1">
      <c r="A97" s="57"/>
      <c r="B97" s="751">
        <f t="shared" si="111"/>
        <v>0</v>
      </c>
      <c r="C97" s="1029"/>
      <c r="D97" s="1031"/>
      <c r="E97" s="1030"/>
      <c r="F97" s="1031"/>
      <c r="G97" s="1029"/>
      <c r="H97" s="1032">
        <f t="shared" si="102"/>
        <v>1</v>
      </c>
      <c r="I97" s="1105"/>
      <c r="J97" s="1034">
        <f t="shared" si="103"/>
        <v>1</v>
      </c>
      <c r="K97" s="1035">
        <f t="shared" si="116"/>
        <v>0</v>
      </c>
      <c r="L97" s="1089"/>
      <c r="M97" s="1088"/>
      <c r="N97" s="1037">
        <f t="shared" si="76"/>
        <v>0</v>
      </c>
      <c r="O97" s="1034">
        <f t="shared" si="112"/>
        <v>1</v>
      </c>
      <c r="P97" s="1035">
        <f t="shared" si="104"/>
        <v>0</v>
      </c>
      <c r="Q97" s="1089"/>
      <c r="R97" s="1088"/>
      <c r="S97" s="1020">
        <f t="shared" si="77"/>
        <v>0</v>
      </c>
      <c r="T97" s="1034">
        <f t="shared" si="78"/>
        <v>1</v>
      </c>
      <c r="U97" s="1035"/>
      <c r="V97" s="1089"/>
      <c r="W97" s="1088"/>
      <c r="X97" s="1037">
        <f t="shared" si="79"/>
        <v>0</v>
      </c>
      <c r="Y97" s="1034">
        <f t="shared" si="80"/>
        <v>1</v>
      </c>
      <c r="Z97" s="1035">
        <f t="shared" si="105"/>
        <v>0</v>
      </c>
      <c r="AA97" s="1089"/>
      <c r="AB97" s="1088"/>
      <c r="AC97" s="1021">
        <f t="shared" si="81"/>
        <v>0</v>
      </c>
      <c r="AD97" s="1034">
        <f t="shared" si="82"/>
        <v>1</v>
      </c>
      <c r="AE97" s="1035">
        <f t="shared" si="115"/>
        <v>0</v>
      </c>
      <c r="AF97" s="1089"/>
      <c r="AG97" s="1088"/>
      <c r="AH97" s="1037">
        <f t="shared" si="83"/>
        <v>0</v>
      </c>
      <c r="AI97" s="1034">
        <f t="shared" si="84"/>
        <v>1</v>
      </c>
      <c r="AJ97" s="1035">
        <f t="shared" si="106"/>
        <v>0</v>
      </c>
      <c r="AK97" s="1089"/>
      <c r="AL97" s="1088"/>
      <c r="AM97" s="1021">
        <f t="shared" si="85"/>
        <v>0</v>
      </c>
      <c r="AN97" s="1034">
        <f t="shared" si="86"/>
        <v>1</v>
      </c>
      <c r="AO97" s="1035">
        <f t="shared" si="107"/>
        <v>0</v>
      </c>
      <c r="AP97" s="1089"/>
      <c r="AQ97" s="1088"/>
      <c r="AR97" s="1037">
        <f t="shared" si="87"/>
        <v>0</v>
      </c>
      <c r="AS97" s="1034">
        <f t="shared" si="88"/>
        <v>1</v>
      </c>
      <c r="AT97" s="1035">
        <f t="shared" si="108"/>
        <v>0</v>
      </c>
      <c r="AU97" s="1089"/>
      <c r="AV97" s="1088"/>
      <c r="AW97" s="1021">
        <f t="shared" si="89"/>
        <v>0</v>
      </c>
      <c r="AX97" s="1034">
        <f t="shared" si="90"/>
        <v>1</v>
      </c>
      <c r="AY97" s="1035">
        <f t="shared" si="109"/>
        <v>0</v>
      </c>
      <c r="AZ97" s="1089"/>
      <c r="BA97" s="1089"/>
      <c r="BB97" s="1021">
        <f t="shared" si="91"/>
        <v>0</v>
      </c>
      <c r="BC97" s="1034">
        <f t="shared" si="92"/>
        <v>1</v>
      </c>
      <c r="BD97" s="1035">
        <f t="shared" si="110"/>
        <v>0</v>
      </c>
      <c r="BE97" s="1091"/>
      <c r="BF97" s="1088"/>
      <c r="BG97" s="1021">
        <f t="shared" si="93"/>
        <v>0</v>
      </c>
      <c r="BH97" s="1039">
        <f t="shared" si="94"/>
        <v>0</v>
      </c>
      <c r="BI97" s="1038">
        <f t="shared" si="95"/>
        <v>0</v>
      </c>
      <c r="BJ97" s="1027">
        <f t="shared" si="96"/>
        <v>0</v>
      </c>
      <c r="BK97" s="1021">
        <f t="shared" si="97"/>
        <v>0</v>
      </c>
      <c r="BL97" s="1040">
        <f t="shared" si="98"/>
        <v>0</v>
      </c>
      <c r="BM97" s="1038">
        <f t="shared" si="99"/>
        <v>0</v>
      </c>
      <c r="BN97" s="1027"/>
      <c r="BO97" s="1041"/>
      <c r="BP97" s="95">
        <f t="shared" si="113"/>
        <v>0</v>
      </c>
      <c r="BQ97" s="842">
        <f t="shared" si="114"/>
        <v>0</v>
      </c>
      <c r="BS97" s="94">
        <f t="shared" si="100"/>
        <v>0</v>
      </c>
      <c r="BU97" s="632">
        <f t="shared" si="101"/>
        <v>0</v>
      </c>
      <c r="BV97" s="398"/>
      <c r="BW97" s="405"/>
      <c r="CI97" s="96"/>
    </row>
    <row r="98" spans="1:87" ht="14.25" outlineLevel="1" thickTop="1" thickBot="1">
      <c r="A98" s="57"/>
      <c r="B98" s="751">
        <f t="shared" si="111"/>
        <v>0</v>
      </c>
      <c r="C98" s="1029"/>
      <c r="D98" s="1031"/>
      <c r="E98" s="1030"/>
      <c r="F98" s="1031"/>
      <c r="G98" s="1029"/>
      <c r="H98" s="1032">
        <f t="shared" si="102"/>
        <v>1</v>
      </c>
      <c r="I98" s="1105"/>
      <c r="J98" s="1034">
        <f t="shared" si="103"/>
        <v>1</v>
      </c>
      <c r="K98" s="1035">
        <f t="shared" si="116"/>
        <v>0</v>
      </c>
      <c r="L98" s="1089"/>
      <c r="M98" s="1088"/>
      <c r="N98" s="1037">
        <f t="shared" si="76"/>
        <v>0</v>
      </c>
      <c r="O98" s="1034">
        <f t="shared" si="112"/>
        <v>1</v>
      </c>
      <c r="P98" s="1035">
        <f t="shared" si="104"/>
        <v>0</v>
      </c>
      <c r="Q98" s="1089"/>
      <c r="R98" s="1088"/>
      <c r="S98" s="1020">
        <f t="shared" si="77"/>
        <v>0</v>
      </c>
      <c r="T98" s="1034">
        <f t="shared" si="78"/>
        <v>1</v>
      </c>
      <c r="U98" s="1035"/>
      <c r="V98" s="1089"/>
      <c r="W98" s="1088"/>
      <c r="X98" s="1037">
        <f t="shared" si="79"/>
        <v>0</v>
      </c>
      <c r="Y98" s="1034">
        <f t="shared" si="80"/>
        <v>1</v>
      </c>
      <c r="Z98" s="1035">
        <f t="shared" si="105"/>
        <v>0</v>
      </c>
      <c r="AA98" s="1089"/>
      <c r="AB98" s="1088"/>
      <c r="AC98" s="1021">
        <f t="shared" si="81"/>
        <v>0</v>
      </c>
      <c r="AD98" s="1034">
        <f t="shared" si="82"/>
        <v>1</v>
      </c>
      <c r="AE98" s="1035">
        <f t="shared" si="115"/>
        <v>0</v>
      </c>
      <c r="AF98" s="1089"/>
      <c r="AG98" s="1088"/>
      <c r="AH98" s="1037">
        <f t="shared" si="83"/>
        <v>0</v>
      </c>
      <c r="AI98" s="1034">
        <f t="shared" si="84"/>
        <v>1</v>
      </c>
      <c r="AJ98" s="1035">
        <f t="shared" si="106"/>
        <v>0</v>
      </c>
      <c r="AK98" s="1089"/>
      <c r="AL98" s="1088"/>
      <c r="AM98" s="1021">
        <f t="shared" si="85"/>
        <v>0</v>
      </c>
      <c r="AN98" s="1034">
        <f t="shared" si="86"/>
        <v>1</v>
      </c>
      <c r="AO98" s="1035">
        <f t="shared" si="107"/>
        <v>0</v>
      </c>
      <c r="AP98" s="1089"/>
      <c r="AQ98" s="1088"/>
      <c r="AR98" s="1037">
        <f t="shared" si="87"/>
        <v>0</v>
      </c>
      <c r="AS98" s="1034">
        <f t="shared" si="88"/>
        <v>1</v>
      </c>
      <c r="AT98" s="1035">
        <f t="shared" si="108"/>
        <v>0</v>
      </c>
      <c r="AU98" s="1091"/>
      <c r="AV98" s="1088"/>
      <c r="AW98" s="1021">
        <f t="shared" si="89"/>
        <v>0</v>
      </c>
      <c r="AX98" s="1034">
        <f t="shared" si="90"/>
        <v>1</v>
      </c>
      <c r="AY98" s="1035">
        <f t="shared" si="109"/>
        <v>0</v>
      </c>
      <c r="AZ98" s="1089"/>
      <c r="BA98" s="1089"/>
      <c r="BB98" s="1021">
        <f t="shared" si="91"/>
        <v>0</v>
      </c>
      <c r="BC98" s="1034">
        <f t="shared" si="92"/>
        <v>1</v>
      </c>
      <c r="BD98" s="1035">
        <f t="shared" si="110"/>
        <v>0</v>
      </c>
      <c r="BE98" s="1091"/>
      <c r="BF98" s="1088"/>
      <c r="BG98" s="1021">
        <f t="shared" si="93"/>
        <v>0</v>
      </c>
      <c r="BH98" s="1039">
        <f t="shared" si="94"/>
        <v>0</v>
      </c>
      <c r="BI98" s="1038">
        <f t="shared" si="95"/>
        <v>0</v>
      </c>
      <c r="BJ98" s="1027">
        <f t="shared" si="96"/>
        <v>0</v>
      </c>
      <c r="BK98" s="1021">
        <f t="shared" si="97"/>
        <v>0</v>
      </c>
      <c r="BL98" s="1040">
        <f t="shared" si="98"/>
        <v>0</v>
      </c>
      <c r="BM98" s="1038">
        <f t="shared" si="99"/>
        <v>0</v>
      </c>
      <c r="BN98" s="1027"/>
      <c r="BO98" s="1041"/>
      <c r="BP98" s="95">
        <f t="shared" si="113"/>
        <v>0</v>
      </c>
      <c r="BQ98" s="842">
        <f t="shared" si="114"/>
        <v>0</v>
      </c>
      <c r="BS98" s="94">
        <f t="shared" si="100"/>
        <v>0</v>
      </c>
      <c r="BU98" s="632">
        <f t="shared" si="101"/>
        <v>0</v>
      </c>
      <c r="BV98" s="398"/>
      <c r="BW98" s="405"/>
      <c r="CI98" s="96"/>
    </row>
    <row r="99" spans="1:87" ht="14.25" outlineLevel="1" thickTop="1" thickBot="1">
      <c r="A99" s="57"/>
      <c r="B99" s="751">
        <f t="shared" si="111"/>
        <v>0</v>
      </c>
      <c r="C99" s="1029"/>
      <c r="D99" s="1031"/>
      <c r="E99" s="1030"/>
      <c r="F99" s="1031"/>
      <c r="G99" s="1029"/>
      <c r="H99" s="1032">
        <f t="shared" si="102"/>
        <v>1</v>
      </c>
      <c r="I99" s="1105"/>
      <c r="J99" s="1034">
        <f t="shared" si="103"/>
        <v>1</v>
      </c>
      <c r="K99" s="1035">
        <f t="shared" si="116"/>
        <v>0</v>
      </c>
      <c r="L99" s="1089"/>
      <c r="M99" s="1088"/>
      <c r="N99" s="1037">
        <f t="shared" si="76"/>
        <v>0</v>
      </c>
      <c r="O99" s="1034">
        <f t="shared" si="112"/>
        <v>1</v>
      </c>
      <c r="P99" s="1035">
        <f t="shared" si="104"/>
        <v>0</v>
      </c>
      <c r="Q99" s="1089"/>
      <c r="R99" s="1088"/>
      <c r="S99" s="1020">
        <f t="shared" si="77"/>
        <v>0</v>
      </c>
      <c r="T99" s="1034">
        <f t="shared" si="78"/>
        <v>1</v>
      </c>
      <c r="U99" s="1035"/>
      <c r="V99" s="1089"/>
      <c r="W99" s="1088"/>
      <c r="X99" s="1037">
        <f t="shared" si="79"/>
        <v>0</v>
      </c>
      <c r="Y99" s="1034">
        <f t="shared" si="80"/>
        <v>1</v>
      </c>
      <c r="Z99" s="1035">
        <f t="shared" si="105"/>
        <v>0</v>
      </c>
      <c r="AA99" s="1089"/>
      <c r="AB99" s="1088"/>
      <c r="AC99" s="1021">
        <f t="shared" si="81"/>
        <v>0</v>
      </c>
      <c r="AD99" s="1034">
        <f t="shared" si="82"/>
        <v>1</v>
      </c>
      <c r="AE99" s="1035">
        <f t="shared" si="115"/>
        <v>0</v>
      </c>
      <c r="AF99" s="1089"/>
      <c r="AG99" s="1088"/>
      <c r="AH99" s="1037">
        <f t="shared" si="83"/>
        <v>0</v>
      </c>
      <c r="AI99" s="1034">
        <f t="shared" si="84"/>
        <v>1</v>
      </c>
      <c r="AJ99" s="1035">
        <f t="shared" si="106"/>
        <v>0</v>
      </c>
      <c r="AK99" s="1089"/>
      <c r="AL99" s="1088"/>
      <c r="AM99" s="1021">
        <f t="shared" si="85"/>
        <v>0</v>
      </c>
      <c r="AN99" s="1034">
        <f t="shared" si="86"/>
        <v>1</v>
      </c>
      <c r="AO99" s="1035">
        <f t="shared" si="107"/>
        <v>0</v>
      </c>
      <c r="AP99" s="1089"/>
      <c r="AQ99" s="1088"/>
      <c r="AR99" s="1037">
        <f t="shared" si="87"/>
        <v>0</v>
      </c>
      <c r="AS99" s="1034">
        <f t="shared" si="88"/>
        <v>1</v>
      </c>
      <c r="AT99" s="1035">
        <f t="shared" si="108"/>
        <v>0</v>
      </c>
      <c r="AU99" s="1089"/>
      <c r="AV99" s="1088"/>
      <c r="AW99" s="1021">
        <f t="shared" si="89"/>
        <v>0</v>
      </c>
      <c r="AX99" s="1034">
        <f t="shared" si="90"/>
        <v>1</v>
      </c>
      <c r="AY99" s="1035">
        <f t="shared" si="109"/>
        <v>0</v>
      </c>
      <c r="AZ99" s="1089"/>
      <c r="BA99" s="1089"/>
      <c r="BB99" s="1021">
        <f t="shared" si="91"/>
        <v>0</v>
      </c>
      <c r="BC99" s="1034">
        <f t="shared" si="92"/>
        <v>1</v>
      </c>
      <c r="BD99" s="1035">
        <f t="shared" si="110"/>
        <v>0</v>
      </c>
      <c r="BE99" s="1091"/>
      <c r="BF99" s="1088"/>
      <c r="BG99" s="1021">
        <f t="shared" si="93"/>
        <v>0</v>
      </c>
      <c r="BH99" s="1039">
        <f t="shared" si="94"/>
        <v>0</v>
      </c>
      <c r="BI99" s="1038">
        <f t="shared" si="95"/>
        <v>0</v>
      </c>
      <c r="BJ99" s="1027">
        <f t="shared" si="96"/>
        <v>0</v>
      </c>
      <c r="BK99" s="1021">
        <f t="shared" si="97"/>
        <v>0</v>
      </c>
      <c r="BL99" s="1040">
        <f t="shared" si="98"/>
        <v>0</v>
      </c>
      <c r="BM99" s="1038">
        <f t="shared" si="99"/>
        <v>0</v>
      </c>
      <c r="BN99" s="1027"/>
      <c r="BO99" s="1041"/>
      <c r="BP99" s="95">
        <f>SUM(BH99,BL99)</f>
        <v>0</v>
      </c>
      <c r="BQ99" s="842">
        <f>BI99+BM99</f>
        <v>0</v>
      </c>
      <c r="BS99" s="94">
        <f t="shared" si="100"/>
        <v>0</v>
      </c>
      <c r="BU99" s="632">
        <f t="shared" si="101"/>
        <v>0</v>
      </c>
      <c r="BV99" s="398"/>
      <c r="BW99" s="405"/>
      <c r="CI99" s="96"/>
    </row>
    <row r="100" spans="1:87" ht="14.25" outlineLevel="1" thickTop="1" thickBot="1">
      <c r="A100" s="57"/>
      <c r="B100" s="751">
        <f t="shared" si="111"/>
        <v>0</v>
      </c>
      <c r="C100" s="1029"/>
      <c r="D100" s="1031"/>
      <c r="E100" s="1030"/>
      <c r="F100" s="1031"/>
      <c r="G100" s="1029"/>
      <c r="H100" s="1032">
        <f t="shared" si="102"/>
        <v>1</v>
      </c>
      <c r="I100" s="1105"/>
      <c r="J100" s="1034">
        <f t="shared" si="103"/>
        <v>1</v>
      </c>
      <c r="K100" s="1035">
        <f t="shared" si="116"/>
        <v>0</v>
      </c>
      <c r="L100" s="1089"/>
      <c r="M100" s="1088"/>
      <c r="N100" s="1037">
        <f t="shared" si="76"/>
        <v>0</v>
      </c>
      <c r="O100" s="1034">
        <f t="shared" si="112"/>
        <v>1</v>
      </c>
      <c r="P100" s="1035">
        <f t="shared" si="104"/>
        <v>0</v>
      </c>
      <c r="Q100" s="1089"/>
      <c r="R100" s="1088"/>
      <c r="S100" s="1020">
        <f t="shared" si="77"/>
        <v>0</v>
      </c>
      <c r="T100" s="1034">
        <f t="shared" si="78"/>
        <v>1</v>
      </c>
      <c r="U100" s="1035"/>
      <c r="V100" s="1089"/>
      <c r="W100" s="1088"/>
      <c r="X100" s="1037">
        <f t="shared" si="79"/>
        <v>0</v>
      </c>
      <c r="Y100" s="1034">
        <f t="shared" si="80"/>
        <v>1</v>
      </c>
      <c r="Z100" s="1035">
        <f t="shared" si="105"/>
        <v>0</v>
      </c>
      <c r="AA100" s="1089"/>
      <c r="AB100" s="1088"/>
      <c r="AC100" s="1021">
        <f t="shared" si="81"/>
        <v>0</v>
      </c>
      <c r="AD100" s="1034">
        <f t="shared" si="82"/>
        <v>1</v>
      </c>
      <c r="AE100" s="1035">
        <f t="shared" si="115"/>
        <v>0</v>
      </c>
      <c r="AF100" s="1089"/>
      <c r="AG100" s="1088"/>
      <c r="AH100" s="1037">
        <f t="shared" si="83"/>
        <v>0</v>
      </c>
      <c r="AI100" s="1034">
        <f t="shared" si="84"/>
        <v>1</v>
      </c>
      <c r="AJ100" s="1035">
        <f t="shared" si="106"/>
        <v>0</v>
      </c>
      <c r="AK100" s="1089"/>
      <c r="AL100" s="1088"/>
      <c r="AM100" s="1021">
        <f t="shared" si="85"/>
        <v>0</v>
      </c>
      <c r="AN100" s="1034">
        <f t="shared" si="86"/>
        <v>1</v>
      </c>
      <c r="AO100" s="1035">
        <f t="shared" si="107"/>
        <v>0</v>
      </c>
      <c r="AP100" s="1089"/>
      <c r="AQ100" s="1088"/>
      <c r="AR100" s="1037">
        <f t="shared" si="87"/>
        <v>0</v>
      </c>
      <c r="AS100" s="1034">
        <f t="shared" si="88"/>
        <v>1</v>
      </c>
      <c r="AT100" s="1035">
        <f t="shared" si="108"/>
        <v>0</v>
      </c>
      <c r="AU100" s="1091"/>
      <c r="AV100" s="1088"/>
      <c r="AW100" s="1021">
        <f t="shared" si="89"/>
        <v>0</v>
      </c>
      <c r="AX100" s="1034">
        <f t="shared" si="90"/>
        <v>1</v>
      </c>
      <c r="AY100" s="1035">
        <f t="shared" si="109"/>
        <v>0</v>
      </c>
      <c r="AZ100" s="1089"/>
      <c r="BA100" s="1089"/>
      <c r="BB100" s="1021">
        <f t="shared" si="91"/>
        <v>0</v>
      </c>
      <c r="BC100" s="1034">
        <f t="shared" si="92"/>
        <v>1</v>
      </c>
      <c r="BD100" s="1035">
        <f t="shared" si="110"/>
        <v>0</v>
      </c>
      <c r="BE100" s="1091"/>
      <c r="BF100" s="1088"/>
      <c r="BG100" s="1021">
        <f t="shared" si="93"/>
        <v>0</v>
      </c>
      <c r="BH100" s="1039">
        <f t="shared" si="94"/>
        <v>0</v>
      </c>
      <c r="BI100" s="1038">
        <f t="shared" si="95"/>
        <v>0</v>
      </c>
      <c r="BJ100" s="1027">
        <f t="shared" si="96"/>
        <v>0</v>
      </c>
      <c r="BK100" s="1021">
        <f t="shared" si="97"/>
        <v>0</v>
      </c>
      <c r="BL100" s="1040">
        <f t="shared" si="98"/>
        <v>0</v>
      </c>
      <c r="BM100" s="1038">
        <f t="shared" si="99"/>
        <v>0</v>
      </c>
      <c r="BN100" s="1027"/>
      <c r="BO100" s="1041"/>
      <c r="BP100" s="95">
        <f>SUM(BH100,BL100)</f>
        <v>0</v>
      </c>
      <c r="BQ100" s="842">
        <f>BI100+BM100</f>
        <v>0</v>
      </c>
      <c r="BS100" s="94">
        <f t="shared" si="100"/>
        <v>0</v>
      </c>
      <c r="BU100" s="632">
        <f t="shared" si="101"/>
        <v>0</v>
      </c>
      <c r="BV100" s="398"/>
      <c r="BW100" s="405"/>
      <c r="CI100" s="96"/>
    </row>
    <row r="101" spans="1:87" ht="14.25" outlineLevel="1" thickTop="1" thickBot="1">
      <c r="A101" s="57"/>
      <c r="B101" s="751">
        <f t="shared" si="111"/>
        <v>0</v>
      </c>
      <c r="C101" s="1029"/>
      <c r="D101" s="1031"/>
      <c r="E101" s="1030"/>
      <c r="F101" s="1031"/>
      <c r="G101" s="1029"/>
      <c r="H101" s="1032">
        <f t="shared" si="102"/>
        <v>1</v>
      </c>
      <c r="I101" s="1105"/>
      <c r="J101" s="1034">
        <f t="shared" si="103"/>
        <v>1</v>
      </c>
      <c r="K101" s="1035">
        <f t="shared" si="116"/>
        <v>0</v>
      </c>
      <c r="L101" s="1089"/>
      <c r="M101" s="1088"/>
      <c r="N101" s="1037">
        <f t="shared" si="76"/>
        <v>0</v>
      </c>
      <c r="O101" s="1034">
        <f t="shared" si="112"/>
        <v>1</v>
      </c>
      <c r="P101" s="1035">
        <f t="shared" si="104"/>
        <v>0</v>
      </c>
      <c r="Q101" s="1089"/>
      <c r="R101" s="1088"/>
      <c r="S101" s="1020">
        <f t="shared" si="77"/>
        <v>0</v>
      </c>
      <c r="T101" s="1034">
        <f t="shared" si="78"/>
        <v>1</v>
      </c>
      <c r="U101" s="1035"/>
      <c r="V101" s="1089"/>
      <c r="W101" s="1088"/>
      <c r="X101" s="1037">
        <f t="shared" si="79"/>
        <v>0</v>
      </c>
      <c r="Y101" s="1034">
        <f t="shared" si="80"/>
        <v>1</v>
      </c>
      <c r="Z101" s="1035">
        <f t="shared" si="105"/>
        <v>0</v>
      </c>
      <c r="AA101" s="1089"/>
      <c r="AB101" s="1088"/>
      <c r="AC101" s="1021">
        <f t="shared" si="81"/>
        <v>0</v>
      </c>
      <c r="AD101" s="1034">
        <f t="shared" si="82"/>
        <v>1</v>
      </c>
      <c r="AE101" s="1035">
        <f t="shared" si="115"/>
        <v>0</v>
      </c>
      <c r="AF101" s="1089"/>
      <c r="AG101" s="1088"/>
      <c r="AH101" s="1037">
        <f t="shared" si="83"/>
        <v>0</v>
      </c>
      <c r="AI101" s="1034">
        <f t="shared" si="84"/>
        <v>1</v>
      </c>
      <c r="AJ101" s="1035">
        <f t="shared" si="106"/>
        <v>0</v>
      </c>
      <c r="AK101" s="1089"/>
      <c r="AL101" s="1088"/>
      <c r="AM101" s="1021">
        <f t="shared" si="85"/>
        <v>0</v>
      </c>
      <c r="AN101" s="1034">
        <f t="shared" si="86"/>
        <v>1</v>
      </c>
      <c r="AO101" s="1035">
        <f t="shared" si="107"/>
        <v>0</v>
      </c>
      <c r="AP101" s="1089"/>
      <c r="AQ101" s="1088"/>
      <c r="AR101" s="1037">
        <f t="shared" si="87"/>
        <v>0</v>
      </c>
      <c r="AS101" s="1034">
        <f t="shared" si="88"/>
        <v>1</v>
      </c>
      <c r="AT101" s="1035">
        <f t="shared" si="108"/>
        <v>0</v>
      </c>
      <c r="AU101" s="1089"/>
      <c r="AV101" s="1088"/>
      <c r="AW101" s="1021">
        <f t="shared" si="89"/>
        <v>0</v>
      </c>
      <c r="AX101" s="1034">
        <f t="shared" si="90"/>
        <v>1</v>
      </c>
      <c r="AY101" s="1035">
        <f t="shared" si="109"/>
        <v>0</v>
      </c>
      <c r="AZ101" s="1089"/>
      <c r="BA101" s="1089"/>
      <c r="BB101" s="1021">
        <f t="shared" si="91"/>
        <v>0</v>
      </c>
      <c r="BC101" s="1034">
        <f t="shared" si="92"/>
        <v>1</v>
      </c>
      <c r="BD101" s="1035">
        <f t="shared" si="110"/>
        <v>0</v>
      </c>
      <c r="BE101" s="1091"/>
      <c r="BF101" s="1088"/>
      <c r="BG101" s="1021">
        <f t="shared" si="93"/>
        <v>0</v>
      </c>
      <c r="BH101" s="1039">
        <f t="shared" si="94"/>
        <v>0</v>
      </c>
      <c r="BI101" s="1038">
        <f t="shared" si="95"/>
        <v>0</v>
      </c>
      <c r="BJ101" s="1027">
        <f t="shared" si="96"/>
        <v>0</v>
      </c>
      <c r="BK101" s="1021">
        <f t="shared" si="97"/>
        <v>0</v>
      </c>
      <c r="BL101" s="1040">
        <f t="shared" si="98"/>
        <v>0</v>
      </c>
      <c r="BM101" s="1038">
        <f t="shared" si="99"/>
        <v>0</v>
      </c>
      <c r="BN101" s="1027"/>
      <c r="BO101" s="1041"/>
      <c r="BP101" s="95">
        <f>SUM(BH101,BL101)</f>
        <v>0</v>
      </c>
      <c r="BQ101" s="842">
        <f>BI101+BM101</f>
        <v>0</v>
      </c>
      <c r="BS101" s="94">
        <f t="shared" si="100"/>
        <v>0</v>
      </c>
      <c r="BU101" s="632">
        <f t="shared" si="101"/>
        <v>0</v>
      </c>
      <c r="BV101" s="398"/>
      <c r="BW101" s="405"/>
      <c r="CI101" s="96"/>
    </row>
    <row r="102" spans="1:87" ht="14.25" outlineLevel="1" thickTop="1" thickBot="1">
      <c r="A102" s="57"/>
      <c r="B102" s="751">
        <f t="shared" si="111"/>
        <v>0</v>
      </c>
      <c r="C102" s="1029"/>
      <c r="D102" s="1031"/>
      <c r="E102" s="1030"/>
      <c r="F102" s="1031"/>
      <c r="G102" s="1029"/>
      <c r="H102" s="1032">
        <f t="shared" si="102"/>
        <v>1</v>
      </c>
      <c r="I102" s="1105"/>
      <c r="J102" s="1034">
        <f t="shared" si="103"/>
        <v>1</v>
      </c>
      <c r="K102" s="1035">
        <f t="shared" si="116"/>
        <v>0</v>
      </c>
      <c r="L102" s="1089"/>
      <c r="M102" s="1088"/>
      <c r="N102" s="1037">
        <f t="shared" si="76"/>
        <v>0</v>
      </c>
      <c r="O102" s="1034">
        <f t="shared" si="112"/>
        <v>1</v>
      </c>
      <c r="P102" s="1035">
        <f t="shared" si="104"/>
        <v>0</v>
      </c>
      <c r="Q102" s="1089"/>
      <c r="R102" s="1088"/>
      <c r="S102" s="1020">
        <f t="shared" si="77"/>
        <v>0</v>
      </c>
      <c r="T102" s="1034">
        <f t="shared" si="78"/>
        <v>1</v>
      </c>
      <c r="U102" s="1035"/>
      <c r="V102" s="1089"/>
      <c r="W102" s="1088"/>
      <c r="X102" s="1037">
        <f t="shared" si="79"/>
        <v>0</v>
      </c>
      <c r="Y102" s="1034">
        <f t="shared" si="80"/>
        <v>1</v>
      </c>
      <c r="Z102" s="1035">
        <f t="shared" si="105"/>
        <v>0</v>
      </c>
      <c r="AA102" s="1089"/>
      <c r="AB102" s="1088"/>
      <c r="AC102" s="1021">
        <f t="shared" si="81"/>
        <v>0</v>
      </c>
      <c r="AD102" s="1034">
        <f t="shared" si="82"/>
        <v>1</v>
      </c>
      <c r="AE102" s="1035">
        <f t="shared" si="115"/>
        <v>0</v>
      </c>
      <c r="AF102" s="1089"/>
      <c r="AG102" s="1088"/>
      <c r="AH102" s="1037">
        <f t="shared" si="83"/>
        <v>0</v>
      </c>
      <c r="AI102" s="1034">
        <f t="shared" si="84"/>
        <v>1</v>
      </c>
      <c r="AJ102" s="1035">
        <f t="shared" si="106"/>
        <v>0</v>
      </c>
      <c r="AK102" s="1089"/>
      <c r="AL102" s="1088"/>
      <c r="AM102" s="1021">
        <f t="shared" si="85"/>
        <v>0</v>
      </c>
      <c r="AN102" s="1034">
        <f t="shared" si="86"/>
        <v>1</v>
      </c>
      <c r="AO102" s="1035">
        <f t="shared" si="107"/>
        <v>0</v>
      </c>
      <c r="AP102" s="1089"/>
      <c r="AQ102" s="1088"/>
      <c r="AR102" s="1037">
        <f t="shared" si="87"/>
        <v>0</v>
      </c>
      <c r="AS102" s="1034">
        <f t="shared" si="88"/>
        <v>1</v>
      </c>
      <c r="AT102" s="1035">
        <f t="shared" si="108"/>
        <v>0</v>
      </c>
      <c r="AU102" s="1091"/>
      <c r="AV102" s="1088"/>
      <c r="AW102" s="1021">
        <f t="shared" si="89"/>
        <v>0</v>
      </c>
      <c r="AX102" s="1034">
        <f t="shared" si="90"/>
        <v>1</v>
      </c>
      <c r="AY102" s="1035">
        <f t="shared" si="109"/>
        <v>0</v>
      </c>
      <c r="AZ102" s="1089"/>
      <c r="BA102" s="1089"/>
      <c r="BB102" s="1021">
        <f t="shared" si="91"/>
        <v>0</v>
      </c>
      <c r="BC102" s="1034">
        <f t="shared" si="92"/>
        <v>1</v>
      </c>
      <c r="BD102" s="1035">
        <f t="shared" si="110"/>
        <v>0</v>
      </c>
      <c r="BE102" s="1091"/>
      <c r="BF102" s="1088"/>
      <c r="BG102" s="1021">
        <f t="shared" si="93"/>
        <v>0</v>
      </c>
      <c r="BH102" s="1039">
        <f t="shared" si="94"/>
        <v>0</v>
      </c>
      <c r="BI102" s="1038">
        <f t="shared" si="95"/>
        <v>0</v>
      </c>
      <c r="BJ102" s="1027">
        <f t="shared" si="96"/>
        <v>0</v>
      </c>
      <c r="BK102" s="1021">
        <f t="shared" si="97"/>
        <v>0</v>
      </c>
      <c r="BL102" s="1040">
        <f t="shared" si="98"/>
        <v>0</v>
      </c>
      <c r="BM102" s="1038">
        <f t="shared" si="99"/>
        <v>0</v>
      </c>
      <c r="BN102" s="1027"/>
      <c r="BO102" s="1041"/>
      <c r="BP102" s="95">
        <f>SUM(BH102,BL102)</f>
        <v>0</v>
      </c>
      <c r="BQ102" s="842">
        <f>BI102+BM102</f>
        <v>0</v>
      </c>
      <c r="BS102" s="94">
        <f t="shared" si="100"/>
        <v>0</v>
      </c>
      <c r="BU102" s="632">
        <f t="shared" si="101"/>
        <v>0</v>
      </c>
      <c r="BV102" s="398"/>
      <c r="BW102" s="405"/>
      <c r="CI102" s="96"/>
    </row>
    <row r="103" spans="1:87" ht="14.25" outlineLevel="1" thickTop="1" thickBot="1">
      <c r="A103" s="57"/>
      <c r="B103" s="751">
        <f t="shared" si="111"/>
        <v>0</v>
      </c>
      <c r="C103" s="1029"/>
      <c r="D103" s="1031"/>
      <c r="E103" s="1030"/>
      <c r="F103" s="1031"/>
      <c r="G103" s="1029"/>
      <c r="H103" s="1032">
        <f t="shared" si="102"/>
        <v>1</v>
      </c>
      <c r="I103" s="1105"/>
      <c r="J103" s="1034">
        <f t="shared" si="103"/>
        <v>1</v>
      </c>
      <c r="K103" s="1035">
        <f t="shared" si="116"/>
        <v>0</v>
      </c>
      <c r="L103" s="1089"/>
      <c r="M103" s="1088"/>
      <c r="N103" s="1037">
        <f t="shared" si="76"/>
        <v>0</v>
      </c>
      <c r="O103" s="1034">
        <f t="shared" si="112"/>
        <v>1</v>
      </c>
      <c r="P103" s="1035">
        <f t="shared" si="104"/>
        <v>0</v>
      </c>
      <c r="Q103" s="1089"/>
      <c r="R103" s="1088"/>
      <c r="S103" s="1020">
        <f t="shared" si="77"/>
        <v>0</v>
      </c>
      <c r="T103" s="1034">
        <f t="shared" si="78"/>
        <v>1</v>
      </c>
      <c r="U103" s="1035"/>
      <c r="V103" s="1089"/>
      <c r="W103" s="1088"/>
      <c r="X103" s="1037">
        <f t="shared" si="79"/>
        <v>0</v>
      </c>
      <c r="Y103" s="1034">
        <f t="shared" si="80"/>
        <v>1</v>
      </c>
      <c r="Z103" s="1035">
        <f t="shared" si="105"/>
        <v>0</v>
      </c>
      <c r="AA103" s="1089"/>
      <c r="AB103" s="1088"/>
      <c r="AC103" s="1021">
        <f t="shared" si="81"/>
        <v>0</v>
      </c>
      <c r="AD103" s="1034">
        <f t="shared" si="82"/>
        <v>1</v>
      </c>
      <c r="AE103" s="1035">
        <f t="shared" si="115"/>
        <v>0</v>
      </c>
      <c r="AF103" s="1089"/>
      <c r="AG103" s="1088"/>
      <c r="AH103" s="1037">
        <f t="shared" si="83"/>
        <v>0</v>
      </c>
      <c r="AI103" s="1034">
        <f t="shared" si="84"/>
        <v>1</v>
      </c>
      <c r="AJ103" s="1035">
        <f t="shared" si="106"/>
        <v>0</v>
      </c>
      <c r="AK103" s="1089"/>
      <c r="AL103" s="1088"/>
      <c r="AM103" s="1021">
        <f t="shared" si="85"/>
        <v>0</v>
      </c>
      <c r="AN103" s="1034">
        <f t="shared" si="86"/>
        <v>1</v>
      </c>
      <c r="AO103" s="1035">
        <f t="shared" si="107"/>
        <v>0</v>
      </c>
      <c r="AP103" s="1089"/>
      <c r="AQ103" s="1088"/>
      <c r="AR103" s="1037">
        <f t="shared" si="87"/>
        <v>0</v>
      </c>
      <c r="AS103" s="1034">
        <f t="shared" si="88"/>
        <v>1</v>
      </c>
      <c r="AT103" s="1035">
        <f t="shared" si="108"/>
        <v>0</v>
      </c>
      <c r="AU103" s="1089"/>
      <c r="AV103" s="1088"/>
      <c r="AW103" s="1021">
        <f t="shared" si="89"/>
        <v>0</v>
      </c>
      <c r="AX103" s="1034">
        <f t="shared" si="90"/>
        <v>1</v>
      </c>
      <c r="AY103" s="1035">
        <f t="shared" si="109"/>
        <v>0</v>
      </c>
      <c r="AZ103" s="1089"/>
      <c r="BA103" s="1089"/>
      <c r="BB103" s="1021">
        <f t="shared" si="91"/>
        <v>0</v>
      </c>
      <c r="BC103" s="1034">
        <f t="shared" si="92"/>
        <v>1</v>
      </c>
      <c r="BD103" s="1035">
        <f t="shared" si="110"/>
        <v>0</v>
      </c>
      <c r="BE103" s="1091"/>
      <c r="BF103" s="1088"/>
      <c r="BG103" s="1021">
        <f t="shared" si="93"/>
        <v>0</v>
      </c>
      <c r="BH103" s="1039">
        <f t="shared" si="94"/>
        <v>0</v>
      </c>
      <c r="BI103" s="1038">
        <f t="shared" si="95"/>
        <v>0</v>
      </c>
      <c r="BJ103" s="1027">
        <f t="shared" si="96"/>
        <v>0</v>
      </c>
      <c r="BK103" s="1021">
        <f t="shared" si="97"/>
        <v>0</v>
      </c>
      <c r="BL103" s="1040">
        <f t="shared" si="98"/>
        <v>0</v>
      </c>
      <c r="BM103" s="1038">
        <f t="shared" si="99"/>
        <v>0</v>
      </c>
      <c r="BN103" s="1027"/>
      <c r="BO103" s="1041"/>
      <c r="BP103" s="95">
        <f>SUM(BH103,BL103)</f>
        <v>0</v>
      </c>
      <c r="BQ103" s="842">
        <f>BI103+BM103</f>
        <v>0</v>
      </c>
      <c r="BS103" s="94">
        <f t="shared" si="100"/>
        <v>0</v>
      </c>
      <c r="BU103" s="632">
        <f t="shared" si="101"/>
        <v>0</v>
      </c>
      <c r="BV103" s="398"/>
      <c r="BW103" s="405"/>
      <c r="CI103" s="96"/>
    </row>
    <row r="104" spans="1:87" ht="14.25" outlineLevel="1" thickTop="1" thickBot="1">
      <c r="A104" s="57"/>
      <c r="B104" s="751">
        <f t="shared" si="111"/>
        <v>0</v>
      </c>
      <c r="C104" s="1029"/>
      <c r="D104" s="1031"/>
      <c r="E104" s="1030"/>
      <c r="F104" s="1031"/>
      <c r="G104" s="1029"/>
      <c r="H104" s="1032">
        <f t="shared" si="102"/>
        <v>1</v>
      </c>
      <c r="I104" s="1105"/>
      <c r="J104" s="1034">
        <f t="shared" si="103"/>
        <v>1</v>
      </c>
      <c r="K104" s="1035">
        <f t="shared" si="116"/>
        <v>0</v>
      </c>
      <c r="L104" s="1089"/>
      <c r="M104" s="1088"/>
      <c r="N104" s="1037">
        <f t="shared" si="76"/>
        <v>0</v>
      </c>
      <c r="O104" s="1034">
        <f t="shared" si="112"/>
        <v>1</v>
      </c>
      <c r="P104" s="1035">
        <f>Q104*$D$4</f>
        <v>0</v>
      </c>
      <c r="Q104" s="1089"/>
      <c r="R104" s="1088"/>
      <c r="S104" s="1020">
        <f t="shared" si="77"/>
        <v>0</v>
      </c>
      <c r="T104" s="1034">
        <f t="shared" si="78"/>
        <v>1</v>
      </c>
      <c r="U104" s="1035"/>
      <c r="V104" s="1089"/>
      <c r="W104" s="1088"/>
      <c r="X104" s="1037">
        <f t="shared" si="79"/>
        <v>0</v>
      </c>
      <c r="Y104" s="1034">
        <f t="shared" si="80"/>
        <v>1</v>
      </c>
      <c r="Z104" s="1035">
        <f t="shared" si="105"/>
        <v>0</v>
      </c>
      <c r="AA104" s="1089"/>
      <c r="AB104" s="1088"/>
      <c r="AC104" s="1021">
        <f t="shared" si="81"/>
        <v>0</v>
      </c>
      <c r="AD104" s="1034">
        <f t="shared" si="82"/>
        <v>1</v>
      </c>
      <c r="AE104" s="1035">
        <f t="shared" si="115"/>
        <v>0</v>
      </c>
      <c r="AF104" s="1089"/>
      <c r="AG104" s="1088"/>
      <c r="AH104" s="1037">
        <f t="shared" si="83"/>
        <v>0</v>
      </c>
      <c r="AI104" s="1034">
        <f t="shared" si="84"/>
        <v>1</v>
      </c>
      <c r="AJ104" s="1035">
        <f t="shared" si="106"/>
        <v>0</v>
      </c>
      <c r="AK104" s="1089"/>
      <c r="AL104" s="1088"/>
      <c r="AM104" s="1021">
        <f t="shared" si="85"/>
        <v>0</v>
      </c>
      <c r="AN104" s="1034">
        <f t="shared" si="86"/>
        <v>1</v>
      </c>
      <c r="AO104" s="1035">
        <f t="shared" si="107"/>
        <v>0</v>
      </c>
      <c r="AP104" s="1089"/>
      <c r="AQ104" s="1088"/>
      <c r="AR104" s="1037">
        <f t="shared" si="87"/>
        <v>0</v>
      </c>
      <c r="AS104" s="1034">
        <f t="shared" si="88"/>
        <v>1</v>
      </c>
      <c r="AT104" s="1035">
        <f t="shared" si="108"/>
        <v>0</v>
      </c>
      <c r="AU104" s="1091"/>
      <c r="AV104" s="1088"/>
      <c r="AW104" s="1021">
        <f t="shared" si="89"/>
        <v>0</v>
      </c>
      <c r="AX104" s="1034">
        <f t="shared" si="90"/>
        <v>1</v>
      </c>
      <c r="AY104" s="1035">
        <f t="shared" si="109"/>
        <v>0</v>
      </c>
      <c r="AZ104" s="1089"/>
      <c r="BA104" s="1089"/>
      <c r="BB104" s="1021">
        <f t="shared" si="91"/>
        <v>0</v>
      </c>
      <c r="BC104" s="1034">
        <f t="shared" si="92"/>
        <v>1</v>
      </c>
      <c r="BD104" s="1035">
        <f t="shared" si="110"/>
        <v>0</v>
      </c>
      <c r="BE104" s="1091"/>
      <c r="BF104" s="1088"/>
      <c r="BG104" s="1021">
        <f t="shared" si="93"/>
        <v>0</v>
      </c>
      <c r="BH104" s="1039">
        <f t="shared" si="94"/>
        <v>0</v>
      </c>
      <c r="BI104" s="1038">
        <f t="shared" si="95"/>
        <v>0</v>
      </c>
      <c r="BJ104" s="1027">
        <f t="shared" si="96"/>
        <v>0</v>
      </c>
      <c r="BK104" s="1021">
        <f t="shared" si="97"/>
        <v>0</v>
      </c>
      <c r="BL104" s="1040">
        <f t="shared" si="98"/>
        <v>0</v>
      </c>
      <c r="BM104" s="1038">
        <f t="shared" si="99"/>
        <v>0</v>
      </c>
      <c r="BN104" s="1027"/>
      <c r="BO104" s="1041"/>
      <c r="BP104" s="95">
        <f t="shared" ref="BP104:BP115" si="117">SUM(BH104,BL104)</f>
        <v>0</v>
      </c>
      <c r="BQ104" s="842">
        <f t="shared" ref="BQ104:BQ115" si="118">BI104+BM104</f>
        <v>0</v>
      </c>
      <c r="BS104" s="94">
        <f t="shared" si="100"/>
        <v>0</v>
      </c>
      <c r="BU104" s="632">
        <f t="shared" si="101"/>
        <v>0</v>
      </c>
      <c r="BV104" s="398"/>
      <c r="BW104" s="405"/>
      <c r="CI104" s="96"/>
    </row>
    <row r="105" spans="1:87" ht="14.25" outlineLevel="1" thickTop="1" thickBot="1">
      <c r="A105" s="57"/>
      <c r="B105" s="751">
        <f t="shared" si="111"/>
        <v>0</v>
      </c>
      <c r="C105" s="1029"/>
      <c r="D105" s="1031"/>
      <c r="E105" s="1030"/>
      <c r="F105" s="1031"/>
      <c r="G105" s="1029"/>
      <c r="H105" s="1032">
        <f t="shared" si="102"/>
        <v>1</v>
      </c>
      <c r="I105" s="1105"/>
      <c r="J105" s="1034">
        <f t="shared" si="103"/>
        <v>1</v>
      </c>
      <c r="K105" s="1035">
        <f t="shared" si="116"/>
        <v>0</v>
      </c>
      <c r="L105" s="1089"/>
      <c r="M105" s="1088"/>
      <c r="N105" s="1037">
        <f t="shared" si="76"/>
        <v>0</v>
      </c>
      <c r="O105" s="1034">
        <f t="shared" si="112"/>
        <v>1</v>
      </c>
      <c r="P105" s="1035">
        <f t="shared" si="104"/>
        <v>0</v>
      </c>
      <c r="Q105" s="1089"/>
      <c r="R105" s="1088"/>
      <c r="S105" s="1020">
        <f t="shared" si="77"/>
        <v>0</v>
      </c>
      <c r="T105" s="1034">
        <f t="shared" si="78"/>
        <v>1</v>
      </c>
      <c r="U105" s="1035"/>
      <c r="V105" s="1089"/>
      <c r="W105" s="1088"/>
      <c r="X105" s="1037">
        <f t="shared" si="79"/>
        <v>0</v>
      </c>
      <c r="Y105" s="1034">
        <f t="shared" si="80"/>
        <v>1</v>
      </c>
      <c r="Z105" s="1035">
        <f t="shared" si="105"/>
        <v>0</v>
      </c>
      <c r="AA105" s="1089"/>
      <c r="AB105" s="1088"/>
      <c r="AC105" s="1021">
        <f t="shared" si="81"/>
        <v>0</v>
      </c>
      <c r="AD105" s="1034">
        <f t="shared" si="82"/>
        <v>1</v>
      </c>
      <c r="AE105" s="1035">
        <f t="shared" si="115"/>
        <v>0</v>
      </c>
      <c r="AF105" s="1089"/>
      <c r="AG105" s="1088"/>
      <c r="AH105" s="1037">
        <f t="shared" si="83"/>
        <v>0</v>
      </c>
      <c r="AI105" s="1034">
        <f t="shared" si="84"/>
        <v>1</v>
      </c>
      <c r="AJ105" s="1035">
        <f t="shared" si="106"/>
        <v>0</v>
      </c>
      <c r="AK105" s="1089"/>
      <c r="AL105" s="1088"/>
      <c r="AM105" s="1021">
        <f t="shared" si="85"/>
        <v>0</v>
      </c>
      <c r="AN105" s="1034">
        <f t="shared" si="86"/>
        <v>1</v>
      </c>
      <c r="AO105" s="1035">
        <f t="shared" si="107"/>
        <v>0</v>
      </c>
      <c r="AP105" s="1089"/>
      <c r="AQ105" s="1088"/>
      <c r="AR105" s="1037">
        <f t="shared" si="87"/>
        <v>0</v>
      </c>
      <c r="AS105" s="1034">
        <f t="shared" si="88"/>
        <v>1</v>
      </c>
      <c r="AT105" s="1035">
        <f t="shared" si="108"/>
        <v>0</v>
      </c>
      <c r="AU105" s="1089"/>
      <c r="AV105" s="1088"/>
      <c r="AW105" s="1021">
        <f t="shared" si="89"/>
        <v>0</v>
      </c>
      <c r="AX105" s="1034">
        <f t="shared" si="90"/>
        <v>1</v>
      </c>
      <c r="AY105" s="1035">
        <f t="shared" si="109"/>
        <v>0</v>
      </c>
      <c r="AZ105" s="1089"/>
      <c r="BA105" s="1089"/>
      <c r="BB105" s="1021">
        <f t="shared" si="91"/>
        <v>0</v>
      </c>
      <c r="BC105" s="1034">
        <f t="shared" si="92"/>
        <v>1</v>
      </c>
      <c r="BD105" s="1035">
        <f t="shared" si="110"/>
        <v>0</v>
      </c>
      <c r="BE105" s="1091"/>
      <c r="BF105" s="1088"/>
      <c r="BG105" s="1021">
        <f t="shared" si="93"/>
        <v>0</v>
      </c>
      <c r="BH105" s="1039">
        <f t="shared" si="94"/>
        <v>0</v>
      </c>
      <c r="BI105" s="1038">
        <f t="shared" si="95"/>
        <v>0</v>
      </c>
      <c r="BJ105" s="1027">
        <f t="shared" si="96"/>
        <v>0</v>
      </c>
      <c r="BK105" s="1021">
        <f t="shared" si="97"/>
        <v>0</v>
      </c>
      <c r="BL105" s="1040">
        <f t="shared" si="98"/>
        <v>0</v>
      </c>
      <c r="BM105" s="1038">
        <f t="shared" si="99"/>
        <v>0</v>
      </c>
      <c r="BN105" s="1027"/>
      <c r="BO105" s="1041"/>
      <c r="BP105" s="95">
        <f t="shared" si="117"/>
        <v>0</v>
      </c>
      <c r="BQ105" s="842">
        <f t="shared" si="118"/>
        <v>0</v>
      </c>
      <c r="BS105" s="94">
        <f t="shared" si="100"/>
        <v>0</v>
      </c>
      <c r="BU105" s="632">
        <f t="shared" si="101"/>
        <v>0</v>
      </c>
      <c r="BV105" s="398"/>
      <c r="BW105" s="405"/>
      <c r="CI105" s="96"/>
    </row>
    <row r="106" spans="1:87" ht="14.25" outlineLevel="1" thickTop="1" thickBot="1">
      <c r="A106" s="57"/>
      <c r="B106" s="751">
        <f t="shared" si="111"/>
        <v>0</v>
      </c>
      <c r="C106" s="1029"/>
      <c r="D106" s="1031"/>
      <c r="E106" s="1030"/>
      <c r="F106" s="1031"/>
      <c r="G106" s="1029"/>
      <c r="H106" s="1032">
        <f t="shared" si="102"/>
        <v>1</v>
      </c>
      <c r="I106" s="1105"/>
      <c r="J106" s="1034">
        <f t="shared" si="103"/>
        <v>1</v>
      </c>
      <c r="K106" s="1035">
        <f t="shared" si="116"/>
        <v>0</v>
      </c>
      <c r="L106" s="1089"/>
      <c r="M106" s="1088"/>
      <c r="N106" s="1037">
        <f t="shared" si="76"/>
        <v>0</v>
      </c>
      <c r="O106" s="1034">
        <f t="shared" si="112"/>
        <v>1</v>
      </c>
      <c r="P106" s="1035">
        <f t="shared" si="104"/>
        <v>0</v>
      </c>
      <c r="Q106" s="1089"/>
      <c r="R106" s="1088"/>
      <c r="S106" s="1020">
        <f t="shared" si="77"/>
        <v>0</v>
      </c>
      <c r="T106" s="1034">
        <f t="shared" si="78"/>
        <v>1</v>
      </c>
      <c r="U106" s="1035"/>
      <c r="V106" s="1089"/>
      <c r="W106" s="1088"/>
      <c r="X106" s="1037">
        <f t="shared" si="79"/>
        <v>0</v>
      </c>
      <c r="Y106" s="1034">
        <f t="shared" si="80"/>
        <v>1</v>
      </c>
      <c r="Z106" s="1035">
        <f t="shared" si="105"/>
        <v>0</v>
      </c>
      <c r="AA106" s="1089"/>
      <c r="AB106" s="1088"/>
      <c r="AC106" s="1021">
        <f t="shared" si="81"/>
        <v>0</v>
      </c>
      <c r="AD106" s="1034">
        <f t="shared" si="82"/>
        <v>1</v>
      </c>
      <c r="AE106" s="1035">
        <f t="shared" si="115"/>
        <v>0</v>
      </c>
      <c r="AF106" s="1089"/>
      <c r="AG106" s="1088"/>
      <c r="AH106" s="1037">
        <f t="shared" si="83"/>
        <v>0</v>
      </c>
      <c r="AI106" s="1034">
        <f t="shared" si="84"/>
        <v>1</v>
      </c>
      <c r="AJ106" s="1035">
        <f t="shared" si="106"/>
        <v>0</v>
      </c>
      <c r="AK106" s="1089"/>
      <c r="AL106" s="1088"/>
      <c r="AM106" s="1021">
        <f t="shared" si="85"/>
        <v>0</v>
      </c>
      <c r="AN106" s="1034">
        <f t="shared" si="86"/>
        <v>1</v>
      </c>
      <c r="AO106" s="1035">
        <f t="shared" si="107"/>
        <v>0</v>
      </c>
      <c r="AP106" s="1089"/>
      <c r="AQ106" s="1088"/>
      <c r="AR106" s="1037">
        <f t="shared" si="87"/>
        <v>0</v>
      </c>
      <c r="AS106" s="1034">
        <f t="shared" si="88"/>
        <v>1</v>
      </c>
      <c r="AT106" s="1035">
        <f t="shared" si="108"/>
        <v>0</v>
      </c>
      <c r="AU106" s="1091"/>
      <c r="AV106" s="1088"/>
      <c r="AW106" s="1021">
        <f t="shared" si="89"/>
        <v>0</v>
      </c>
      <c r="AX106" s="1034">
        <f t="shared" si="90"/>
        <v>1</v>
      </c>
      <c r="AY106" s="1035">
        <f t="shared" si="109"/>
        <v>0</v>
      </c>
      <c r="AZ106" s="1089"/>
      <c r="BA106" s="1089"/>
      <c r="BB106" s="1021">
        <f t="shared" si="91"/>
        <v>0</v>
      </c>
      <c r="BC106" s="1034">
        <f t="shared" si="92"/>
        <v>1</v>
      </c>
      <c r="BD106" s="1035">
        <f t="shared" si="110"/>
        <v>0</v>
      </c>
      <c r="BE106" s="1091"/>
      <c r="BF106" s="1088"/>
      <c r="BG106" s="1021">
        <f t="shared" si="93"/>
        <v>0</v>
      </c>
      <c r="BH106" s="1039">
        <f t="shared" si="94"/>
        <v>0</v>
      </c>
      <c r="BI106" s="1038">
        <f t="shared" si="95"/>
        <v>0</v>
      </c>
      <c r="BJ106" s="1027">
        <f t="shared" si="96"/>
        <v>0</v>
      </c>
      <c r="BK106" s="1021">
        <f t="shared" si="97"/>
        <v>0</v>
      </c>
      <c r="BL106" s="1040">
        <f t="shared" si="98"/>
        <v>0</v>
      </c>
      <c r="BM106" s="1038">
        <f t="shared" si="99"/>
        <v>0</v>
      </c>
      <c r="BN106" s="1027"/>
      <c r="BO106" s="1041"/>
      <c r="BP106" s="95">
        <f t="shared" si="117"/>
        <v>0</v>
      </c>
      <c r="BQ106" s="842">
        <f t="shared" si="118"/>
        <v>0</v>
      </c>
      <c r="BS106" s="94">
        <f t="shared" si="100"/>
        <v>0</v>
      </c>
      <c r="BU106" s="632">
        <f t="shared" si="101"/>
        <v>0</v>
      </c>
      <c r="BV106" s="398"/>
      <c r="BW106" s="405"/>
      <c r="CI106" s="96"/>
    </row>
    <row r="107" spans="1:87" ht="14.25" outlineLevel="1" thickTop="1" thickBot="1">
      <c r="A107" s="57"/>
      <c r="B107" s="751">
        <f t="shared" si="111"/>
        <v>0</v>
      </c>
      <c r="C107" s="1029"/>
      <c r="D107" s="1031"/>
      <c r="E107" s="1030"/>
      <c r="F107" s="1031"/>
      <c r="G107" s="1029"/>
      <c r="H107" s="1032">
        <f t="shared" si="102"/>
        <v>1</v>
      </c>
      <c r="I107" s="1105"/>
      <c r="J107" s="1034">
        <f t="shared" si="103"/>
        <v>1</v>
      </c>
      <c r="K107" s="1035">
        <f t="shared" si="116"/>
        <v>0</v>
      </c>
      <c r="L107" s="1089"/>
      <c r="M107" s="1088"/>
      <c r="N107" s="1037">
        <f t="shared" si="76"/>
        <v>0</v>
      </c>
      <c r="O107" s="1034">
        <f t="shared" si="112"/>
        <v>1</v>
      </c>
      <c r="P107" s="1035">
        <f t="shared" si="104"/>
        <v>0</v>
      </c>
      <c r="Q107" s="1089"/>
      <c r="R107" s="1088"/>
      <c r="S107" s="1020">
        <f t="shared" si="77"/>
        <v>0</v>
      </c>
      <c r="T107" s="1034">
        <f t="shared" si="78"/>
        <v>1</v>
      </c>
      <c r="U107" s="1035"/>
      <c r="V107" s="1089"/>
      <c r="W107" s="1088"/>
      <c r="X107" s="1037">
        <f t="shared" si="79"/>
        <v>0</v>
      </c>
      <c r="Y107" s="1034">
        <f t="shared" si="80"/>
        <v>1</v>
      </c>
      <c r="Z107" s="1035">
        <f t="shared" si="105"/>
        <v>0</v>
      </c>
      <c r="AA107" s="1089"/>
      <c r="AB107" s="1088"/>
      <c r="AC107" s="1021">
        <f t="shared" si="81"/>
        <v>0</v>
      </c>
      <c r="AD107" s="1034">
        <f t="shared" si="82"/>
        <v>1</v>
      </c>
      <c r="AE107" s="1035">
        <f t="shared" si="115"/>
        <v>0</v>
      </c>
      <c r="AF107" s="1089"/>
      <c r="AG107" s="1088"/>
      <c r="AH107" s="1037">
        <f t="shared" si="83"/>
        <v>0</v>
      </c>
      <c r="AI107" s="1034">
        <f t="shared" si="84"/>
        <v>1</v>
      </c>
      <c r="AJ107" s="1035">
        <f t="shared" si="106"/>
        <v>0</v>
      </c>
      <c r="AK107" s="1089"/>
      <c r="AL107" s="1088"/>
      <c r="AM107" s="1021">
        <f t="shared" si="85"/>
        <v>0</v>
      </c>
      <c r="AN107" s="1034">
        <f t="shared" si="86"/>
        <v>1</v>
      </c>
      <c r="AO107" s="1035">
        <f t="shared" si="107"/>
        <v>0</v>
      </c>
      <c r="AP107" s="1089"/>
      <c r="AQ107" s="1088"/>
      <c r="AR107" s="1037">
        <f t="shared" si="87"/>
        <v>0</v>
      </c>
      <c r="AS107" s="1034">
        <f t="shared" si="88"/>
        <v>1</v>
      </c>
      <c r="AT107" s="1035">
        <f t="shared" si="108"/>
        <v>0</v>
      </c>
      <c r="AU107" s="1089"/>
      <c r="AV107" s="1088"/>
      <c r="AW107" s="1021">
        <f t="shared" si="89"/>
        <v>0</v>
      </c>
      <c r="AX107" s="1034">
        <f t="shared" si="90"/>
        <v>1</v>
      </c>
      <c r="AY107" s="1035">
        <f t="shared" si="109"/>
        <v>0</v>
      </c>
      <c r="AZ107" s="1089"/>
      <c r="BA107" s="1089"/>
      <c r="BB107" s="1021">
        <f t="shared" si="91"/>
        <v>0</v>
      </c>
      <c r="BC107" s="1034">
        <f t="shared" si="92"/>
        <v>1</v>
      </c>
      <c r="BD107" s="1035">
        <f t="shared" si="110"/>
        <v>0</v>
      </c>
      <c r="BE107" s="1091"/>
      <c r="BF107" s="1088"/>
      <c r="BG107" s="1021">
        <f t="shared" si="93"/>
        <v>0</v>
      </c>
      <c r="BH107" s="1039">
        <f t="shared" si="94"/>
        <v>0</v>
      </c>
      <c r="BI107" s="1038">
        <f t="shared" si="95"/>
        <v>0</v>
      </c>
      <c r="BJ107" s="1027">
        <f t="shared" si="96"/>
        <v>0</v>
      </c>
      <c r="BK107" s="1021">
        <f t="shared" si="97"/>
        <v>0</v>
      </c>
      <c r="BL107" s="1040">
        <f t="shared" si="98"/>
        <v>0</v>
      </c>
      <c r="BM107" s="1038">
        <f t="shared" si="99"/>
        <v>0</v>
      </c>
      <c r="BN107" s="1027"/>
      <c r="BO107" s="1041"/>
      <c r="BP107" s="95">
        <f t="shared" si="117"/>
        <v>0</v>
      </c>
      <c r="BQ107" s="842">
        <f t="shared" si="118"/>
        <v>0</v>
      </c>
      <c r="BS107" s="94">
        <f t="shared" si="100"/>
        <v>0</v>
      </c>
      <c r="BU107" s="632">
        <f t="shared" si="101"/>
        <v>0</v>
      </c>
      <c r="BV107" s="398"/>
      <c r="BW107" s="405"/>
      <c r="CI107" s="96"/>
    </row>
    <row r="108" spans="1:87" ht="14.25" outlineLevel="1" thickTop="1" thickBot="1">
      <c r="A108" s="57"/>
      <c r="B108" s="751">
        <f t="shared" si="111"/>
        <v>0</v>
      </c>
      <c r="C108" s="1029"/>
      <c r="D108" s="1031"/>
      <c r="E108" s="1030"/>
      <c r="F108" s="1031"/>
      <c r="G108" s="1029"/>
      <c r="H108" s="1032">
        <f t="shared" si="102"/>
        <v>1</v>
      </c>
      <c r="I108" s="1105"/>
      <c r="J108" s="1034">
        <f t="shared" si="103"/>
        <v>1</v>
      </c>
      <c r="K108" s="1035">
        <f t="shared" si="116"/>
        <v>0</v>
      </c>
      <c r="L108" s="1089"/>
      <c r="M108" s="1088"/>
      <c r="N108" s="1037">
        <f t="shared" si="76"/>
        <v>0</v>
      </c>
      <c r="O108" s="1034">
        <f t="shared" si="112"/>
        <v>1</v>
      </c>
      <c r="P108" s="1035">
        <f t="shared" si="104"/>
        <v>0</v>
      </c>
      <c r="Q108" s="1089"/>
      <c r="R108" s="1088"/>
      <c r="S108" s="1020">
        <f t="shared" si="77"/>
        <v>0</v>
      </c>
      <c r="T108" s="1034">
        <f t="shared" si="78"/>
        <v>1</v>
      </c>
      <c r="U108" s="1035"/>
      <c r="V108" s="1089"/>
      <c r="W108" s="1088"/>
      <c r="X108" s="1037">
        <f t="shared" si="79"/>
        <v>0</v>
      </c>
      <c r="Y108" s="1034">
        <f t="shared" si="80"/>
        <v>1</v>
      </c>
      <c r="Z108" s="1035">
        <f t="shared" si="105"/>
        <v>0</v>
      </c>
      <c r="AA108" s="1089"/>
      <c r="AB108" s="1088"/>
      <c r="AC108" s="1021">
        <f t="shared" si="81"/>
        <v>0</v>
      </c>
      <c r="AD108" s="1034">
        <f t="shared" si="82"/>
        <v>1</v>
      </c>
      <c r="AE108" s="1035">
        <f t="shared" si="115"/>
        <v>0</v>
      </c>
      <c r="AF108" s="1089"/>
      <c r="AG108" s="1088"/>
      <c r="AH108" s="1037">
        <f t="shared" si="83"/>
        <v>0</v>
      </c>
      <c r="AI108" s="1034">
        <f t="shared" si="84"/>
        <v>1</v>
      </c>
      <c r="AJ108" s="1035">
        <f t="shared" si="106"/>
        <v>0</v>
      </c>
      <c r="AK108" s="1089"/>
      <c r="AL108" s="1088"/>
      <c r="AM108" s="1021">
        <f t="shared" si="85"/>
        <v>0</v>
      </c>
      <c r="AN108" s="1034">
        <f t="shared" si="86"/>
        <v>1</v>
      </c>
      <c r="AO108" s="1035">
        <f t="shared" si="107"/>
        <v>0</v>
      </c>
      <c r="AP108" s="1089"/>
      <c r="AQ108" s="1088"/>
      <c r="AR108" s="1037">
        <f t="shared" si="87"/>
        <v>0</v>
      </c>
      <c r="AS108" s="1034">
        <f t="shared" si="88"/>
        <v>1</v>
      </c>
      <c r="AT108" s="1035">
        <f t="shared" si="108"/>
        <v>0</v>
      </c>
      <c r="AU108" s="1091"/>
      <c r="AV108" s="1088"/>
      <c r="AW108" s="1021">
        <f t="shared" si="89"/>
        <v>0</v>
      </c>
      <c r="AX108" s="1034">
        <f t="shared" si="90"/>
        <v>1</v>
      </c>
      <c r="AY108" s="1035">
        <f t="shared" si="109"/>
        <v>0</v>
      </c>
      <c r="AZ108" s="1089"/>
      <c r="BA108" s="1089"/>
      <c r="BB108" s="1021">
        <f t="shared" si="91"/>
        <v>0</v>
      </c>
      <c r="BC108" s="1034">
        <f t="shared" si="92"/>
        <v>1</v>
      </c>
      <c r="BD108" s="1035">
        <f t="shared" si="110"/>
        <v>0</v>
      </c>
      <c r="BE108" s="1091"/>
      <c r="BF108" s="1088"/>
      <c r="BG108" s="1021">
        <f t="shared" si="93"/>
        <v>0</v>
      </c>
      <c r="BH108" s="1039">
        <f t="shared" si="94"/>
        <v>0</v>
      </c>
      <c r="BI108" s="1038">
        <f t="shared" si="95"/>
        <v>0</v>
      </c>
      <c r="BJ108" s="1027">
        <f t="shared" si="96"/>
        <v>0</v>
      </c>
      <c r="BK108" s="1021">
        <f t="shared" si="97"/>
        <v>0</v>
      </c>
      <c r="BL108" s="1040">
        <f t="shared" si="98"/>
        <v>0</v>
      </c>
      <c r="BM108" s="1038">
        <f t="shared" si="99"/>
        <v>0</v>
      </c>
      <c r="BN108" s="1027"/>
      <c r="BO108" s="1041"/>
      <c r="BP108" s="95">
        <f t="shared" si="117"/>
        <v>0</v>
      </c>
      <c r="BQ108" s="842">
        <f t="shared" si="118"/>
        <v>0</v>
      </c>
      <c r="BS108" s="94">
        <f t="shared" si="100"/>
        <v>0</v>
      </c>
      <c r="BU108" s="632">
        <f t="shared" si="101"/>
        <v>0</v>
      </c>
      <c r="BV108" s="398"/>
      <c r="BW108" s="405"/>
      <c r="CI108" s="96"/>
    </row>
    <row r="109" spans="1:87" ht="14.25" outlineLevel="1" thickTop="1" thickBot="1">
      <c r="A109" s="57"/>
      <c r="B109" s="751">
        <f t="shared" si="111"/>
        <v>0</v>
      </c>
      <c r="C109" s="1029"/>
      <c r="D109" s="1031"/>
      <c r="E109" s="1030"/>
      <c r="F109" s="1031"/>
      <c r="G109" s="1029"/>
      <c r="H109" s="1032">
        <f t="shared" si="102"/>
        <v>1</v>
      </c>
      <c r="I109" s="1105"/>
      <c r="J109" s="1034">
        <f t="shared" si="103"/>
        <v>1</v>
      </c>
      <c r="K109" s="1035">
        <f t="shared" si="116"/>
        <v>0</v>
      </c>
      <c r="L109" s="1089"/>
      <c r="M109" s="1088"/>
      <c r="N109" s="1037">
        <f t="shared" si="76"/>
        <v>0</v>
      </c>
      <c r="O109" s="1034">
        <f t="shared" si="112"/>
        <v>1</v>
      </c>
      <c r="P109" s="1035">
        <f t="shared" si="104"/>
        <v>0</v>
      </c>
      <c r="Q109" s="1089"/>
      <c r="R109" s="1088"/>
      <c r="S109" s="1020">
        <f t="shared" si="77"/>
        <v>0</v>
      </c>
      <c r="T109" s="1034">
        <f t="shared" si="78"/>
        <v>1</v>
      </c>
      <c r="U109" s="1035"/>
      <c r="V109" s="1089"/>
      <c r="W109" s="1088"/>
      <c r="X109" s="1037">
        <f t="shared" si="79"/>
        <v>0</v>
      </c>
      <c r="Y109" s="1034">
        <f t="shared" si="80"/>
        <v>1</v>
      </c>
      <c r="Z109" s="1035">
        <f t="shared" si="105"/>
        <v>0</v>
      </c>
      <c r="AA109" s="1089"/>
      <c r="AB109" s="1088"/>
      <c r="AC109" s="1021">
        <f t="shared" si="81"/>
        <v>0</v>
      </c>
      <c r="AD109" s="1034">
        <f t="shared" si="82"/>
        <v>1</v>
      </c>
      <c r="AE109" s="1035">
        <f t="shared" si="115"/>
        <v>0</v>
      </c>
      <c r="AF109" s="1089"/>
      <c r="AG109" s="1088"/>
      <c r="AH109" s="1037">
        <f t="shared" si="83"/>
        <v>0</v>
      </c>
      <c r="AI109" s="1034">
        <f t="shared" si="84"/>
        <v>1</v>
      </c>
      <c r="AJ109" s="1035">
        <f t="shared" si="106"/>
        <v>0</v>
      </c>
      <c r="AK109" s="1089"/>
      <c r="AL109" s="1088"/>
      <c r="AM109" s="1021">
        <f t="shared" si="85"/>
        <v>0</v>
      </c>
      <c r="AN109" s="1034">
        <f t="shared" si="86"/>
        <v>1</v>
      </c>
      <c r="AO109" s="1035">
        <f t="shared" si="107"/>
        <v>0</v>
      </c>
      <c r="AP109" s="1089"/>
      <c r="AQ109" s="1088"/>
      <c r="AR109" s="1037">
        <f t="shared" si="87"/>
        <v>0</v>
      </c>
      <c r="AS109" s="1034">
        <f t="shared" si="88"/>
        <v>1</v>
      </c>
      <c r="AT109" s="1035">
        <f t="shared" si="108"/>
        <v>0</v>
      </c>
      <c r="AU109" s="1089"/>
      <c r="AV109" s="1088"/>
      <c r="AW109" s="1021">
        <f t="shared" si="89"/>
        <v>0</v>
      </c>
      <c r="AX109" s="1034">
        <f t="shared" si="90"/>
        <v>1</v>
      </c>
      <c r="AY109" s="1035">
        <f t="shared" si="109"/>
        <v>0</v>
      </c>
      <c r="AZ109" s="1089"/>
      <c r="BA109" s="1089"/>
      <c r="BB109" s="1021">
        <f t="shared" si="91"/>
        <v>0</v>
      </c>
      <c r="BC109" s="1034">
        <f t="shared" si="92"/>
        <v>1</v>
      </c>
      <c r="BD109" s="1035">
        <f t="shared" si="110"/>
        <v>0</v>
      </c>
      <c r="BE109" s="1091"/>
      <c r="BF109" s="1088"/>
      <c r="BG109" s="1021">
        <f t="shared" si="93"/>
        <v>0</v>
      </c>
      <c r="BH109" s="1039">
        <f t="shared" si="94"/>
        <v>0</v>
      </c>
      <c r="BI109" s="1038">
        <f t="shared" si="95"/>
        <v>0</v>
      </c>
      <c r="BJ109" s="1027">
        <f t="shared" si="96"/>
        <v>0</v>
      </c>
      <c r="BK109" s="1021">
        <f t="shared" si="97"/>
        <v>0</v>
      </c>
      <c r="BL109" s="1040">
        <f t="shared" si="98"/>
        <v>0</v>
      </c>
      <c r="BM109" s="1038">
        <f t="shared" si="99"/>
        <v>0</v>
      </c>
      <c r="BN109" s="1027"/>
      <c r="BO109" s="1041"/>
      <c r="BP109" s="95">
        <f t="shared" si="117"/>
        <v>0</v>
      </c>
      <c r="BQ109" s="842">
        <f t="shared" si="118"/>
        <v>0</v>
      </c>
      <c r="BS109" s="94">
        <f t="shared" si="100"/>
        <v>0</v>
      </c>
      <c r="BU109" s="632">
        <f t="shared" si="101"/>
        <v>0</v>
      </c>
      <c r="BV109" s="398"/>
      <c r="BW109" s="405"/>
      <c r="CI109" s="96"/>
    </row>
    <row r="110" spans="1:87" ht="14.25" outlineLevel="1" thickTop="1" thickBot="1">
      <c r="A110" s="57"/>
      <c r="B110" s="751">
        <f t="shared" si="111"/>
        <v>0</v>
      </c>
      <c r="C110" s="1029"/>
      <c r="D110" s="1031"/>
      <c r="E110" s="1030"/>
      <c r="F110" s="1031"/>
      <c r="G110" s="1029"/>
      <c r="H110" s="1032">
        <f t="shared" si="102"/>
        <v>1</v>
      </c>
      <c r="I110" s="1105"/>
      <c r="J110" s="1034">
        <f t="shared" si="103"/>
        <v>1</v>
      </c>
      <c r="K110" s="1035">
        <f t="shared" si="116"/>
        <v>0</v>
      </c>
      <c r="L110" s="1089"/>
      <c r="M110" s="1088"/>
      <c r="N110" s="1037">
        <f t="shared" si="76"/>
        <v>0</v>
      </c>
      <c r="O110" s="1034">
        <f t="shared" si="112"/>
        <v>1</v>
      </c>
      <c r="P110" s="1035">
        <f t="shared" si="104"/>
        <v>0</v>
      </c>
      <c r="Q110" s="1089"/>
      <c r="R110" s="1088"/>
      <c r="S110" s="1020">
        <f t="shared" si="77"/>
        <v>0</v>
      </c>
      <c r="T110" s="1034">
        <f t="shared" si="78"/>
        <v>1</v>
      </c>
      <c r="U110" s="1035"/>
      <c r="V110" s="1089"/>
      <c r="W110" s="1088"/>
      <c r="X110" s="1037">
        <f t="shared" si="79"/>
        <v>0</v>
      </c>
      <c r="Y110" s="1034">
        <f t="shared" si="80"/>
        <v>1</v>
      </c>
      <c r="Z110" s="1035">
        <f t="shared" si="105"/>
        <v>0</v>
      </c>
      <c r="AA110" s="1089"/>
      <c r="AB110" s="1088"/>
      <c r="AC110" s="1021">
        <f t="shared" si="81"/>
        <v>0</v>
      </c>
      <c r="AD110" s="1034">
        <f t="shared" si="82"/>
        <v>1</v>
      </c>
      <c r="AE110" s="1035">
        <f t="shared" si="115"/>
        <v>0</v>
      </c>
      <c r="AF110" s="1089"/>
      <c r="AG110" s="1088"/>
      <c r="AH110" s="1037">
        <f t="shared" si="83"/>
        <v>0</v>
      </c>
      <c r="AI110" s="1034">
        <f t="shared" si="84"/>
        <v>1</v>
      </c>
      <c r="AJ110" s="1035">
        <f t="shared" si="106"/>
        <v>0</v>
      </c>
      <c r="AK110" s="1089"/>
      <c r="AL110" s="1088"/>
      <c r="AM110" s="1021">
        <f t="shared" si="85"/>
        <v>0</v>
      </c>
      <c r="AN110" s="1034">
        <f t="shared" si="86"/>
        <v>1</v>
      </c>
      <c r="AO110" s="1035">
        <f t="shared" si="107"/>
        <v>0</v>
      </c>
      <c r="AP110" s="1089"/>
      <c r="AQ110" s="1088"/>
      <c r="AR110" s="1037">
        <f t="shared" si="87"/>
        <v>0</v>
      </c>
      <c r="AS110" s="1034">
        <f t="shared" si="88"/>
        <v>1</v>
      </c>
      <c r="AT110" s="1035">
        <f t="shared" si="108"/>
        <v>0</v>
      </c>
      <c r="AU110" s="1091"/>
      <c r="AV110" s="1088"/>
      <c r="AW110" s="1021">
        <f t="shared" si="89"/>
        <v>0</v>
      </c>
      <c r="AX110" s="1034">
        <f t="shared" si="90"/>
        <v>1</v>
      </c>
      <c r="AY110" s="1035">
        <f t="shared" si="109"/>
        <v>0</v>
      </c>
      <c r="AZ110" s="1089"/>
      <c r="BA110" s="1089"/>
      <c r="BB110" s="1021">
        <f t="shared" si="91"/>
        <v>0</v>
      </c>
      <c r="BC110" s="1034">
        <f t="shared" si="92"/>
        <v>1</v>
      </c>
      <c r="BD110" s="1035">
        <f t="shared" si="110"/>
        <v>0</v>
      </c>
      <c r="BE110" s="1091"/>
      <c r="BF110" s="1088"/>
      <c r="BG110" s="1021">
        <f t="shared" si="93"/>
        <v>0</v>
      </c>
      <c r="BH110" s="1039">
        <f t="shared" si="94"/>
        <v>0</v>
      </c>
      <c r="BI110" s="1038">
        <f t="shared" si="95"/>
        <v>0</v>
      </c>
      <c r="BJ110" s="1027">
        <f t="shared" si="96"/>
        <v>0</v>
      </c>
      <c r="BK110" s="1021">
        <f t="shared" si="97"/>
        <v>0</v>
      </c>
      <c r="BL110" s="1040">
        <f t="shared" si="98"/>
        <v>0</v>
      </c>
      <c r="BM110" s="1038">
        <f t="shared" si="99"/>
        <v>0</v>
      </c>
      <c r="BN110" s="1027"/>
      <c r="BO110" s="1041"/>
      <c r="BP110" s="95">
        <f t="shared" si="117"/>
        <v>0</v>
      </c>
      <c r="BQ110" s="842">
        <f t="shared" si="118"/>
        <v>0</v>
      </c>
      <c r="BS110" s="94">
        <f t="shared" si="100"/>
        <v>0</v>
      </c>
      <c r="BU110" s="632">
        <f t="shared" si="101"/>
        <v>0</v>
      </c>
      <c r="BV110" s="398"/>
      <c r="BW110" s="405"/>
      <c r="CI110" s="96"/>
    </row>
    <row r="111" spans="1:87" ht="14.25" outlineLevel="1" thickTop="1" thickBot="1">
      <c r="A111" s="57"/>
      <c r="B111" s="751">
        <f t="shared" si="111"/>
        <v>0</v>
      </c>
      <c r="C111" s="1029"/>
      <c r="D111" s="1031"/>
      <c r="E111" s="1030"/>
      <c r="F111" s="1031"/>
      <c r="G111" s="1029"/>
      <c r="H111" s="1032">
        <f t="shared" si="102"/>
        <v>1</v>
      </c>
      <c r="I111" s="1105"/>
      <c r="J111" s="1034">
        <f t="shared" si="103"/>
        <v>1</v>
      </c>
      <c r="K111" s="1035">
        <f t="shared" si="116"/>
        <v>0</v>
      </c>
      <c r="L111" s="1089"/>
      <c r="M111" s="1088"/>
      <c r="N111" s="1037">
        <f t="shared" si="76"/>
        <v>0</v>
      </c>
      <c r="O111" s="1034">
        <f t="shared" si="112"/>
        <v>1</v>
      </c>
      <c r="P111" s="1035">
        <f t="shared" si="104"/>
        <v>0</v>
      </c>
      <c r="Q111" s="1089"/>
      <c r="R111" s="1088"/>
      <c r="S111" s="1020">
        <f t="shared" si="77"/>
        <v>0</v>
      </c>
      <c r="T111" s="1034">
        <f t="shared" si="78"/>
        <v>1</v>
      </c>
      <c r="U111" s="1035"/>
      <c r="V111" s="1089"/>
      <c r="W111" s="1088"/>
      <c r="X111" s="1037">
        <f t="shared" si="79"/>
        <v>0</v>
      </c>
      <c r="Y111" s="1034">
        <f t="shared" si="80"/>
        <v>1</v>
      </c>
      <c r="Z111" s="1035">
        <f t="shared" si="105"/>
        <v>0</v>
      </c>
      <c r="AA111" s="1089"/>
      <c r="AB111" s="1088"/>
      <c r="AC111" s="1021">
        <f t="shared" si="81"/>
        <v>0</v>
      </c>
      <c r="AD111" s="1034">
        <f t="shared" si="82"/>
        <v>1</v>
      </c>
      <c r="AE111" s="1035">
        <f t="shared" si="115"/>
        <v>0</v>
      </c>
      <c r="AF111" s="1089"/>
      <c r="AG111" s="1088"/>
      <c r="AH111" s="1037">
        <f t="shared" si="83"/>
        <v>0</v>
      </c>
      <c r="AI111" s="1034">
        <f t="shared" si="84"/>
        <v>1</v>
      </c>
      <c r="AJ111" s="1035">
        <f t="shared" si="106"/>
        <v>0</v>
      </c>
      <c r="AK111" s="1089"/>
      <c r="AL111" s="1088"/>
      <c r="AM111" s="1021">
        <f t="shared" si="85"/>
        <v>0</v>
      </c>
      <c r="AN111" s="1034">
        <f t="shared" si="86"/>
        <v>1</v>
      </c>
      <c r="AO111" s="1035">
        <f t="shared" si="107"/>
        <v>0</v>
      </c>
      <c r="AP111" s="1089"/>
      <c r="AQ111" s="1088"/>
      <c r="AR111" s="1037">
        <f t="shared" si="87"/>
        <v>0</v>
      </c>
      <c r="AS111" s="1034">
        <f t="shared" si="88"/>
        <v>1</v>
      </c>
      <c r="AT111" s="1035">
        <f t="shared" si="108"/>
        <v>0</v>
      </c>
      <c r="AU111" s="1089"/>
      <c r="AV111" s="1088"/>
      <c r="AW111" s="1021">
        <f t="shared" si="89"/>
        <v>0</v>
      </c>
      <c r="AX111" s="1034">
        <f t="shared" si="90"/>
        <v>1</v>
      </c>
      <c r="AY111" s="1035">
        <f t="shared" si="109"/>
        <v>0</v>
      </c>
      <c r="AZ111" s="1089"/>
      <c r="BA111" s="1089"/>
      <c r="BB111" s="1021">
        <f t="shared" si="91"/>
        <v>0</v>
      </c>
      <c r="BC111" s="1034">
        <f t="shared" si="92"/>
        <v>1</v>
      </c>
      <c r="BD111" s="1035">
        <f t="shared" si="110"/>
        <v>0</v>
      </c>
      <c r="BE111" s="1091"/>
      <c r="BF111" s="1088"/>
      <c r="BG111" s="1021">
        <f t="shared" si="93"/>
        <v>0</v>
      </c>
      <c r="BH111" s="1039">
        <f t="shared" si="94"/>
        <v>0</v>
      </c>
      <c r="BI111" s="1038">
        <f t="shared" si="95"/>
        <v>0</v>
      </c>
      <c r="BJ111" s="1027">
        <f t="shared" si="96"/>
        <v>0</v>
      </c>
      <c r="BK111" s="1021">
        <f t="shared" si="97"/>
        <v>0</v>
      </c>
      <c r="BL111" s="1040">
        <f t="shared" si="98"/>
        <v>0</v>
      </c>
      <c r="BM111" s="1038">
        <f t="shared" si="99"/>
        <v>0</v>
      </c>
      <c r="BN111" s="1027"/>
      <c r="BO111" s="1041"/>
      <c r="BP111" s="95">
        <f t="shared" si="117"/>
        <v>0</v>
      </c>
      <c r="BQ111" s="842">
        <f t="shared" si="118"/>
        <v>0</v>
      </c>
      <c r="BS111" s="94">
        <f t="shared" si="100"/>
        <v>0</v>
      </c>
      <c r="BU111" s="632">
        <f t="shared" si="101"/>
        <v>0</v>
      </c>
      <c r="BV111" s="398"/>
      <c r="BW111" s="405"/>
      <c r="CI111" s="96"/>
    </row>
    <row r="112" spans="1:87" ht="14.25" outlineLevel="1" thickTop="1" thickBot="1">
      <c r="A112" s="57"/>
      <c r="B112" s="751">
        <f t="shared" si="111"/>
        <v>0</v>
      </c>
      <c r="C112" s="1029"/>
      <c r="D112" s="1031"/>
      <c r="E112" s="1030"/>
      <c r="F112" s="1031"/>
      <c r="G112" s="1029"/>
      <c r="H112" s="1032">
        <f t="shared" si="102"/>
        <v>1</v>
      </c>
      <c r="I112" s="1105"/>
      <c r="J112" s="1034">
        <f t="shared" si="103"/>
        <v>1</v>
      </c>
      <c r="K112" s="1035">
        <f t="shared" si="116"/>
        <v>0</v>
      </c>
      <c r="L112" s="1089"/>
      <c r="M112" s="1088"/>
      <c r="N112" s="1037">
        <f>L112/($J$13*(100%-I112))</f>
        <v>0</v>
      </c>
      <c r="O112" s="1034">
        <f>IF(P112=0,1,P112/(P112/($O$13*(1/H112))))</f>
        <v>1</v>
      </c>
      <c r="P112" s="1035">
        <f t="shared" si="104"/>
        <v>0</v>
      </c>
      <c r="Q112" s="1089"/>
      <c r="R112" s="1088"/>
      <c r="S112" s="1020">
        <f>Q112/($O$13*(100%-I112))</f>
        <v>0</v>
      </c>
      <c r="T112" s="1034">
        <f>IF(U112=0,1,U112/(U112/($T$13*(1/H112))))</f>
        <v>1</v>
      </c>
      <c r="U112" s="1035"/>
      <c r="V112" s="1089"/>
      <c r="W112" s="1088"/>
      <c r="X112" s="1037">
        <f>V112/($T$13*(100%-I112))</f>
        <v>0</v>
      </c>
      <c r="Y112" s="1034">
        <f>IF(Z112=0,1,Z112/(Z112/($Y$13*(1/H112))))</f>
        <v>1</v>
      </c>
      <c r="Z112" s="1035">
        <f t="shared" si="105"/>
        <v>0</v>
      </c>
      <c r="AA112" s="1089"/>
      <c r="AB112" s="1088"/>
      <c r="AC112" s="1021">
        <f>AA112/($Y$13*(100%-I112))</f>
        <v>0</v>
      </c>
      <c r="AD112" s="1034">
        <f>IF(AE112=0,1,AE112/(AE112/($AD$13*(1/H112))))</f>
        <v>1</v>
      </c>
      <c r="AE112" s="1035">
        <f t="shared" si="115"/>
        <v>0</v>
      </c>
      <c r="AF112" s="1089"/>
      <c r="AG112" s="1088"/>
      <c r="AH112" s="1037">
        <f>AF112/($AD$13*(100%-I112))</f>
        <v>0</v>
      </c>
      <c r="AI112" s="1034">
        <f>IF(AJ112=0,1,AJ112/(AJ112/($AI$13*(1/H112))))</f>
        <v>1</v>
      </c>
      <c r="AJ112" s="1035">
        <f t="shared" si="106"/>
        <v>0</v>
      </c>
      <c r="AK112" s="1089"/>
      <c r="AL112" s="1088"/>
      <c r="AM112" s="1021">
        <f>AK112/($AI$13*(100%-I112))</f>
        <v>0</v>
      </c>
      <c r="AN112" s="1034">
        <f>IF(AO112=0,1,AO112/(AO112/($AN$13*(1/H112))))</f>
        <v>1</v>
      </c>
      <c r="AO112" s="1035">
        <f t="shared" si="107"/>
        <v>0</v>
      </c>
      <c r="AP112" s="1089"/>
      <c r="AQ112" s="1088"/>
      <c r="AR112" s="1037">
        <f>AP112/($AN$13*(100%-I112))</f>
        <v>0</v>
      </c>
      <c r="AS112" s="1034">
        <f>IF(AT112=0,1,AT112/(AT112/($AS$13*(1/H112))))</f>
        <v>1</v>
      </c>
      <c r="AT112" s="1035">
        <f t="shared" si="108"/>
        <v>0</v>
      </c>
      <c r="AU112" s="1091"/>
      <c r="AV112" s="1088"/>
      <c r="AW112" s="1021">
        <f>AU112/($AS$13*(100%-I112))</f>
        <v>0</v>
      </c>
      <c r="AX112" s="1034">
        <f>IF(AY112=0,1,AY112/(AY112/($AX$13*(1/H112))))</f>
        <v>1</v>
      </c>
      <c r="AY112" s="1035">
        <f t="shared" si="109"/>
        <v>0</v>
      </c>
      <c r="AZ112" s="1089"/>
      <c r="BA112" s="1089"/>
      <c r="BB112" s="1021">
        <f>AZ112/($AX$13*(100%-I112))</f>
        <v>0</v>
      </c>
      <c r="BC112" s="1034">
        <f>IF(BD112=0,1,BD112/(BD112/($BC$13*(1/H112))))</f>
        <v>1</v>
      </c>
      <c r="BD112" s="1035">
        <f t="shared" si="110"/>
        <v>0</v>
      </c>
      <c r="BE112" s="1091"/>
      <c r="BF112" s="1088"/>
      <c r="BG112" s="1021">
        <f>BE112/($BC$13*(100%-I112))</f>
        <v>0</v>
      </c>
      <c r="BH112" s="1039">
        <f t="shared" si="94"/>
        <v>0</v>
      </c>
      <c r="BI112" s="1038">
        <f t="shared" si="95"/>
        <v>0</v>
      </c>
      <c r="BJ112" s="1027">
        <f t="shared" si="96"/>
        <v>0</v>
      </c>
      <c r="BK112" s="1021">
        <f t="shared" si="97"/>
        <v>0</v>
      </c>
      <c r="BL112" s="1040">
        <f t="shared" si="98"/>
        <v>0</v>
      </c>
      <c r="BM112" s="1038">
        <f t="shared" si="99"/>
        <v>0</v>
      </c>
      <c r="BN112" s="1027"/>
      <c r="BO112" s="1041"/>
      <c r="BP112" s="95">
        <f t="shared" si="117"/>
        <v>0</v>
      </c>
      <c r="BQ112" s="842">
        <f t="shared" si="118"/>
        <v>0</v>
      </c>
      <c r="BS112" s="94">
        <f t="shared" si="100"/>
        <v>0</v>
      </c>
      <c r="BU112" s="632">
        <f t="shared" si="101"/>
        <v>0</v>
      </c>
      <c r="BV112" s="398"/>
      <c r="BW112" s="405"/>
      <c r="CI112" s="96"/>
    </row>
    <row r="113" spans="1:87" ht="14.25" outlineLevel="1" thickTop="1" thickBot="1">
      <c r="A113" s="57"/>
      <c r="B113" s="751">
        <f t="shared" si="111"/>
        <v>0</v>
      </c>
      <c r="C113" s="1029"/>
      <c r="D113" s="1031"/>
      <c r="E113" s="1030"/>
      <c r="F113" s="1031"/>
      <c r="G113" s="1029"/>
      <c r="H113" s="1032">
        <f t="shared" si="102"/>
        <v>1</v>
      </c>
      <c r="I113" s="1105"/>
      <c r="J113" s="1034">
        <f t="shared" si="103"/>
        <v>1</v>
      </c>
      <c r="K113" s="1035">
        <f t="shared" si="116"/>
        <v>0</v>
      </c>
      <c r="L113" s="1089"/>
      <c r="M113" s="1088"/>
      <c r="N113" s="1037">
        <f>L113/($J$13*(100%-I113))</f>
        <v>0</v>
      </c>
      <c r="O113" s="1034">
        <f>IF(P113=0,1,P113/(P113/($O$13*(1/H113))))</f>
        <v>1</v>
      </c>
      <c r="P113" s="1035">
        <f t="shared" si="104"/>
        <v>0</v>
      </c>
      <c r="Q113" s="1089"/>
      <c r="R113" s="1088"/>
      <c r="S113" s="1020">
        <f>Q113/($O$13*(100%-I113))</f>
        <v>0</v>
      </c>
      <c r="T113" s="1034">
        <f>IF(U113=0,1,U113/(U113/($T$13*(1/H113))))</f>
        <v>1</v>
      </c>
      <c r="U113" s="1035"/>
      <c r="V113" s="1089"/>
      <c r="W113" s="1088"/>
      <c r="X113" s="1037">
        <f>V113/($T$13*(100%-I113))</f>
        <v>0</v>
      </c>
      <c r="Y113" s="1034">
        <f>IF(Z113=0,1,Z113/(Z113/($Y$13*(1/H113))))</f>
        <v>1</v>
      </c>
      <c r="Z113" s="1035">
        <f t="shared" si="105"/>
        <v>0</v>
      </c>
      <c r="AA113" s="1089"/>
      <c r="AB113" s="1088"/>
      <c r="AC113" s="1021">
        <f>AA113/($Y$13*(100%-I113))</f>
        <v>0</v>
      </c>
      <c r="AD113" s="1034">
        <f>IF(AE113=0,1,AE113/(AE113/($AD$13*(1/H113))))</f>
        <v>1</v>
      </c>
      <c r="AE113" s="1035">
        <f t="shared" si="115"/>
        <v>0</v>
      </c>
      <c r="AF113" s="1089"/>
      <c r="AG113" s="1088"/>
      <c r="AH113" s="1037">
        <f>AF113/($AD$13*(100%-I113))</f>
        <v>0</v>
      </c>
      <c r="AI113" s="1034">
        <f>IF(AJ113=0,1,AJ113/(AJ113/($AI$13*(1/H113))))</f>
        <v>1</v>
      </c>
      <c r="AJ113" s="1035">
        <f t="shared" si="106"/>
        <v>0</v>
      </c>
      <c r="AK113" s="1089"/>
      <c r="AL113" s="1088"/>
      <c r="AM113" s="1021">
        <f>AK113/($AI$13*(100%-I113))</f>
        <v>0</v>
      </c>
      <c r="AN113" s="1034">
        <f>IF(AO113=0,1,AO113/(AO113/($AN$13*(1/H113))))</f>
        <v>1</v>
      </c>
      <c r="AO113" s="1035">
        <f t="shared" si="107"/>
        <v>0</v>
      </c>
      <c r="AP113" s="1089"/>
      <c r="AQ113" s="1088"/>
      <c r="AR113" s="1037">
        <f>AP113/($AN$13*(100%-I113))</f>
        <v>0</v>
      </c>
      <c r="AS113" s="1034">
        <f>IF(AT113=0,1,AT113/(AT113/($AS$13*(1/H113))))</f>
        <v>1</v>
      </c>
      <c r="AT113" s="1035">
        <f t="shared" si="108"/>
        <v>0</v>
      </c>
      <c r="AU113" s="1089"/>
      <c r="AV113" s="1088"/>
      <c r="AW113" s="1021">
        <f>AU113/($AS$13*(100%-I113))</f>
        <v>0</v>
      </c>
      <c r="AX113" s="1034">
        <f>IF(AY113=0,1,AY113/(AY113/($AX$13*(1/H113))))</f>
        <v>1</v>
      </c>
      <c r="AY113" s="1035">
        <f t="shared" si="109"/>
        <v>0</v>
      </c>
      <c r="AZ113" s="1089"/>
      <c r="BA113" s="1089"/>
      <c r="BB113" s="1021">
        <f>AZ113/($AX$13*(100%-I113))</f>
        <v>0</v>
      </c>
      <c r="BC113" s="1034">
        <f>IF(BD113=0,1,BD113/(BD113/($BC$13*(1/H113))))</f>
        <v>1</v>
      </c>
      <c r="BD113" s="1035">
        <f t="shared" si="110"/>
        <v>0</v>
      </c>
      <c r="BE113" s="1091"/>
      <c r="BF113" s="1088"/>
      <c r="BG113" s="1021">
        <f>BE113/($BC$13*(100%-I113))</f>
        <v>0</v>
      </c>
      <c r="BH113" s="1039">
        <f t="shared" si="94"/>
        <v>0</v>
      </c>
      <c r="BI113" s="1038">
        <f t="shared" si="95"/>
        <v>0</v>
      </c>
      <c r="BJ113" s="1027">
        <f t="shared" si="96"/>
        <v>0</v>
      </c>
      <c r="BK113" s="1021">
        <f t="shared" si="97"/>
        <v>0</v>
      </c>
      <c r="BL113" s="1040">
        <f t="shared" si="98"/>
        <v>0</v>
      </c>
      <c r="BM113" s="1038">
        <f t="shared" si="99"/>
        <v>0</v>
      </c>
      <c r="BN113" s="1027"/>
      <c r="BO113" s="1041"/>
      <c r="BP113" s="95">
        <f t="shared" si="117"/>
        <v>0</v>
      </c>
      <c r="BQ113" s="842">
        <f t="shared" si="118"/>
        <v>0</v>
      </c>
      <c r="BS113" s="94">
        <f t="shared" si="100"/>
        <v>0</v>
      </c>
      <c r="BU113" s="632">
        <f t="shared" si="101"/>
        <v>0</v>
      </c>
      <c r="BV113" s="398"/>
      <c r="BW113" s="405"/>
      <c r="CI113" s="96"/>
    </row>
    <row r="114" spans="1:87" ht="14.25" outlineLevel="1" thickTop="1" thickBot="1">
      <c r="A114" s="57"/>
      <c r="B114" s="751">
        <f t="shared" si="111"/>
        <v>0</v>
      </c>
      <c r="C114" s="1029"/>
      <c r="D114" s="1031"/>
      <c r="E114" s="1030"/>
      <c r="F114" s="1031"/>
      <c r="G114" s="1029"/>
      <c r="H114" s="1032">
        <f t="shared" si="102"/>
        <v>1</v>
      </c>
      <c r="I114" s="1105"/>
      <c r="J114" s="1034">
        <f t="shared" si="103"/>
        <v>1</v>
      </c>
      <c r="K114" s="1035">
        <f t="shared" si="116"/>
        <v>0</v>
      </c>
      <c r="L114" s="1089"/>
      <c r="M114" s="1088"/>
      <c r="N114" s="1037">
        <f>L114/($J$13*(100%-I114))</f>
        <v>0</v>
      </c>
      <c r="O114" s="1034">
        <f>IF(P114=0,1,P114/(P114/($O$13*(1/H114))))</f>
        <v>1</v>
      </c>
      <c r="P114" s="1035">
        <f t="shared" si="104"/>
        <v>0</v>
      </c>
      <c r="Q114" s="1089"/>
      <c r="R114" s="1088"/>
      <c r="S114" s="1020">
        <f>Q114/($O$13*(100%-I114))</f>
        <v>0</v>
      </c>
      <c r="T114" s="1034">
        <f>IF(U114=0,1,U114/(U114/($T$13*(1/H114))))</f>
        <v>1</v>
      </c>
      <c r="U114" s="1035"/>
      <c r="V114" s="1089"/>
      <c r="W114" s="1088"/>
      <c r="X114" s="1037">
        <f>V114/($T$13*(100%-I114))</f>
        <v>0</v>
      </c>
      <c r="Y114" s="1034">
        <f>IF(Z114=0,1,Z114/(Z114/($Y$13*(1/H114))))</f>
        <v>1</v>
      </c>
      <c r="Z114" s="1035">
        <f t="shared" si="105"/>
        <v>0</v>
      </c>
      <c r="AA114" s="1089"/>
      <c r="AB114" s="1088"/>
      <c r="AC114" s="1021">
        <f>AA114/($Y$13*(100%-I114))</f>
        <v>0</v>
      </c>
      <c r="AD114" s="1034">
        <f>IF(AE114=0,1,AE114/(AE114/($AD$13*(1/H114))))</f>
        <v>1</v>
      </c>
      <c r="AE114" s="1035">
        <f t="shared" si="115"/>
        <v>0</v>
      </c>
      <c r="AF114" s="1089"/>
      <c r="AG114" s="1088"/>
      <c r="AH114" s="1037">
        <f>AF114/($AD$13*(100%-I114))</f>
        <v>0</v>
      </c>
      <c r="AI114" s="1034">
        <f>IF(AJ114=0,1,AJ114/(AJ114/($AI$13*(1/H114))))</f>
        <v>1</v>
      </c>
      <c r="AJ114" s="1035">
        <f t="shared" si="106"/>
        <v>0</v>
      </c>
      <c r="AK114" s="1089"/>
      <c r="AL114" s="1088"/>
      <c r="AM114" s="1021">
        <f>AK114/($AI$13*(100%-I114))</f>
        <v>0</v>
      </c>
      <c r="AN114" s="1034">
        <f>IF(AO114=0,1,AO114/(AO114/($AN$13*(1/H114))))</f>
        <v>1</v>
      </c>
      <c r="AO114" s="1035">
        <f t="shared" si="107"/>
        <v>0</v>
      </c>
      <c r="AP114" s="1089"/>
      <c r="AQ114" s="1088"/>
      <c r="AR114" s="1037">
        <f>AP114/($AN$13*(100%-I114))</f>
        <v>0</v>
      </c>
      <c r="AS114" s="1034">
        <f>IF(AT114=0,1,AT114/(AT114/($AS$13*(1/H114))))</f>
        <v>1</v>
      </c>
      <c r="AT114" s="1035">
        <f t="shared" si="108"/>
        <v>0</v>
      </c>
      <c r="AU114" s="1091"/>
      <c r="AV114" s="1088"/>
      <c r="AW114" s="1021">
        <f>AU114/($AS$13*(100%-I114))</f>
        <v>0</v>
      </c>
      <c r="AX114" s="1034">
        <f>IF(AY114=0,1,AY114/(AY114/($AX$13*(1/H114))))</f>
        <v>1</v>
      </c>
      <c r="AY114" s="1035">
        <f t="shared" si="109"/>
        <v>0</v>
      </c>
      <c r="AZ114" s="1089"/>
      <c r="BA114" s="1089"/>
      <c r="BB114" s="1021">
        <f>AZ114/($AX$13*(100%-I114))</f>
        <v>0</v>
      </c>
      <c r="BC114" s="1034">
        <f>IF(BD114=0,1,BD114/(BD114/($BC$13*(1/H114))))</f>
        <v>1</v>
      </c>
      <c r="BD114" s="1035">
        <f t="shared" si="110"/>
        <v>0</v>
      </c>
      <c r="BE114" s="1091"/>
      <c r="BF114" s="1088"/>
      <c r="BG114" s="1021">
        <f>BE114/($BC$13*(100%-I114))</f>
        <v>0</v>
      </c>
      <c r="BH114" s="1039">
        <f t="shared" si="94"/>
        <v>0</v>
      </c>
      <c r="BI114" s="1038">
        <f t="shared" si="95"/>
        <v>0</v>
      </c>
      <c r="BJ114" s="1027">
        <f t="shared" si="96"/>
        <v>0</v>
      </c>
      <c r="BK114" s="1021">
        <f t="shared" si="97"/>
        <v>0</v>
      </c>
      <c r="BL114" s="1040">
        <f t="shared" si="98"/>
        <v>0</v>
      </c>
      <c r="BM114" s="1038">
        <f t="shared" si="99"/>
        <v>0</v>
      </c>
      <c r="BN114" s="1027"/>
      <c r="BO114" s="1041"/>
      <c r="BP114" s="95">
        <f t="shared" si="117"/>
        <v>0</v>
      </c>
      <c r="BQ114" s="842">
        <f t="shared" si="118"/>
        <v>0</v>
      </c>
      <c r="BS114" s="94">
        <f t="shared" si="100"/>
        <v>0</v>
      </c>
      <c r="BU114" s="632"/>
      <c r="BV114" s="398"/>
      <c r="BW114" s="405"/>
      <c r="CI114" s="96"/>
    </row>
    <row r="115" spans="1:87" ht="14.25" outlineLevel="1" thickTop="1" thickBot="1">
      <c r="A115" s="57"/>
      <c r="B115" s="751">
        <f t="shared" si="111"/>
        <v>0</v>
      </c>
      <c r="C115" s="1029"/>
      <c r="D115" s="1031"/>
      <c r="E115" s="1030"/>
      <c r="F115" s="1031"/>
      <c r="G115" s="1029"/>
      <c r="H115" s="1032">
        <f t="shared" si="102"/>
        <v>1</v>
      </c>
      <c r="I115" s="1105"/>
      <c r="J115" s="1034">
        <f t="shared" si="103"/>
        <v>1</v>
      </c>
      <c r="K115" s="1035">
        <f t="shared" si="116"/>
        <v>0</v>
      </c>
      <c r="L115" s="1089"/>
      <c r="M115" s="1088"/>
      <c r="N115" s="1037">
        <f>L115/($J$13*(100%-I115))</f>
        <v>0</v>
      </c>
      <c r="O115" s="1034">
        <f>IF(P115=0,1,P115/(P115/($O$13*(1/H115))))</f>
        <v>1</v>
      </c>
      <c r="P115" s="1035">
        <f t="shared" si="104"/>
        <v>0</v>
      </c>
      <c r="Q115" s="1089"/>
      <c r="R115" s="1088"/>
      <c r="S115" s="1020">
        <f>Q115/($O$13*(100%-I115))</f>
        <v>0</v>
      </c>
      <c r="T115" s="1034">
        <f>IF(U115=0,1,U115/(U115/($T$13*(1/H115))))</f>
        <v>1</v>
      </c>
      <c r="U115" s="1035"/>
      <c r="V115" s="1089"/>
      <c r="W115" s="1088"/>
      <c r="X115" s="1037">
        <f>V115/($T$13*(100%-I115))</f>
        <v>0</v>
      </c>
      <c r="Y115" s="1034">
        <f>IF(Z115=0,1,Z115/(Z115/($Y$13*(1/H115))))</f>
        <v>1</v>
      </c>
      <c r="Z115" s="1035">
        <f t="shared" si="105"/>
        <v>0</v>
      </c>
      <c r="AA115" s="1089"/>
      <c r="AB115" s="1088"/>
      <c r="AC115" s="1021">
        <f>AA115/($Y$13*(100%-I115))</f>
        <v>0</v>
      </c>
      <c r="AD115" s="1034">
        <f>IF(AE115=0,1,AE115/(AE115/($AD$13*(1/H115))))</f>
        <v>1</v>
      </c>
      <c r="AE115" s="1035">
        <f t="shared" si="115"/>
        <v>0</v>
      </c>
      <c r="AF115" s="1089"/>
      <c r="AG115" s="1088"/>
      <c r="AH115" s="1037">
        <f>AF115/($AD$13*(100%-I115))</f>
        <v>0</v>
      </c>
      <c r="AI115" s="1034">
        <f>IF(AJ115=0,1,AJ115/(AJ115/($AI$13*(1/H115))))</f>
        <v>1</v>
      </c>
      <c r="AJ115" s="1035">
        <f t="shared" si="106"/>
        <v>0</v>
      </c>
      <c r="AK115" s="1089"/>
      <c r="AL115" s="1088"/>
      <c r="AM115" s="1021">
        <f>AK115/($AI$13*(100%-I115))</f>
        <v>0</v>
      </c>
      <c r="AN115" s="1034">
        <f>IF(AO115=0,1,AO115/(AO115/($AN$13*(1/H115))))</f>
        <v>1</v>
      </c>
      <c r="AO115" s="1035">
        <f t="shared" si="107"/>
        <v>0</v>
      </c>
      <c r="AP115" s="1089"/>
      <c r="AQ115" s="1088"/>
      <c r="AR115" s="1037">
        <f>AP115/($AN$13*(100%-I115))</f>
        <v>0</v>
      </c>
      <c r="AS115" s="1034">
        <f>IF(AT115=0,1,AT115/(AT115/($AS$13*(1/H115))))</f>
        <v>1</v>
      </c>
      <c r="AT115" s="1035">
        <f t="shared" si="108"/>
        <v>0</v>
      </c>
      <c r="AU115" s="1089"/>
      <c r="AV115" s="1088"/>
      <c r="AW115" s="1021">
        <f>AU115/($AS$13*(100%-I115))</f>
        <v>0</v>
      </c>
      <c r="AX115" s="1034">
        <f>IF(AY115=0,1,AY115/(AY115/($AX$13*(1/H115))))</f>
        <v>1</v>
      </c>
      <c r="AY115" s="1035">
        <f t="shared" si="109"/>
        <v>0</v>
      </c>
      <c r="AZ115" s="1089"/>
      <c r="BA115" s="1089"/>
      <c r="BB115" s="1021">
        <f>AZ115/($AX$13*(100%-I115))</f>
        <v>0</v>
      </c>
      <c r="BC115" s="1034">
        <f>IF(BD115=0,1,BD115/(BD115/($BC$13*(1/H115))))</f>
        <v>1</v>
      </c>
      <c r="BD115" s="1035">
        <f t="shared" si="110"/>
        <v>0</v>
      </c>
      <c r="BE115" s="1091"/>
      <c r="BF115" s="1088"/>
      <c r="BG115" s="1021">
        <f>BE115/($BC$13*(100%-I115))</f>
        <v>0</v>
      </c>
      <c r="BH115" s="1039">
        <f t="shared" si="94"/>
        <v>0</v>
      </c>
      <c r="BI115" s="1038">
        <f t="shared" si="95"/>
        <v>0</v>
      </c>
      <c r="BJ115" s="1027">
        <f t="shared" si="96"/>
        <v>0</v>
      </c>
      <c r="BK115" s="1021">
        <f t="shared" si="97"/>
        <v>0</v>
      </c>
      <c r="BL115" s="1040">
        <f t="shared" si="98"/>
        <v>0</v>
      </c>
      <c r="BM115" s="1038">
        <f t="shared" si="99"/>
        <v>0</v>
      </c>
      <c r="BN115" s="1027"/>
      <c r="BO115" s="1041"/>
      <c r="BP115" s="95">
        <f t="shared" si="117"/>
        <v>0</v>
      </c>
      <c r="BQ115" s="842">
        <f t="shared" si="118"/>
        <v>0</v>
      </c>
      <c r="BS115" s="94">
        <f t="shared" si="100"/>
        <v>0</v>
      </c>
      <c r="BU115" s="632"/>
      <c r="BV115" s="398"/>
      <c r="CI115" s="96"/>
    </row>
    <row r="116" spans="1:87" ht="14.25" thickTop="1" thickBot="1">
      <c r="A116" s="90"/>
      <c r="B116" s="90"/>
      <c r="C116" s="1171" t="s">
        <v>174</v>
      </c>
      <c r="D116" s="1172"/>
      <c r="E116" s="1172"/>
      <c r="F116" s="1172"/>
      <c r="G116" s="1172"/>
      <c r="H116" s="1173"/>
      <c r="I116" s="643"/>
      <c r="J116" s="377"/>
      <c r="K116" s="151">
        <f>SUM(K16:K115)</f>
        <v>7036556.8445000006</v>
      </c>
      <c r="L116" s="839">
        <f>SUM(L16:L115)</f>
        <v>84400.902999999991</v>
      </c>
      <c r="M116" s="1056">
        <f>SUM(M16:M115)</f>
        <v>6009.9000000000005</v>
      </c>
      <c r="N116" s="839">
        <f>SUM(N16:N115)</f>
        <v>34675.437229437237</v>
      </c>
      <c r="O116" s="377"/>
      <c r="P116" s="151">
        <f>SUM(P16:P115)</f>
        <v>3010240.4475000002</v>
      </c>
      <c r="Q116" s="839">
        <f>SUM(Q16:Q115)</f>
        <v>37583.812500000007</v>
      </c>
      <c r="R116" s="1056">
        <f>SUM(R16:R115)</f>
        <v>2607.1</v>
      </c>
      <c r="S116" s="839">
        <f>SUM(S16:S115)</f>
        <v>15488.545454545456</v>
      </c>
      <c r="T116" s="377"/>
      <c r="U116" s="151">
        <f>SUM(U16:U115)</f>
        <v>0</v>
      </c>
      <c r="V116" s="839">
        <f>SUM(V16:V115)</f>
        <v>0</v>
      </c>
      <c r="W116" s="1056">
        <f>SUM(W16:W115)</f>
        <v>0</v>
      </c>
      <c r="X116" s="839">
        <f>SUM(X16:X115)</f>
        <v>0</v>
      </c>
      <c r="Y116" s="377"/>
      <c r="Z116" s="151">
        <f>SUM(Z16:Z115)</f>
        <v>0</v>
      </c>
      <c r="AA116" s="839">
        <f>SUM(AA16:AA115)</f>
        <v>0</v>
      </c>
      <c r="AB116" s="1056">
        <f>SUM(AB16:AB115)</f>
        <v>0</v>
      </c>
      <c r="AC116" s="839">
        <f>SUM(AC16:AC115)</f>
        <v>0</v>
      </c>
      <c r="AD116" s="377"/>
      <c r="AE116" s="151">
        <f>SUM(AE16:AE115)</f>
        <v>0</v>
      </c>
      <c r="AF116" s="839">
        <f>SUM(AF16:AF115)</f>
        <v>0</v>
      </c>
      <c r="AG116" s="1056">
        <f>SUM(AG16:AG115)</f>
        <v>0</v>
      </c>
      <c r="AH116" s="839">
        <f>SUM(AH16:AH115)</f>
        <v>0</v>
      </c>
      <c r="AI116" s="377"/>
      <c r="AJ116" s="151">
        <f>SUM(AJ16:AJ115)</f>
        <v>0</v>
      </c>
      <c r="AK116" s="844">
        <f>SUM(AK16:AK115)</f>
        <v>0</v>
      </c>
      <c r="AL116" s="1056">
        <f>SUM(AL16:AL115)</f>
        <v>0</v>
      </c>
      <c r="AM116" s="839">
        <f>SUM(AM16:AM115)</f>
        <v>0</v>
      </c>
      <c r="AN116" s="377"/>
      <c r="AO116" s="151">
        <f>SUM(AO16:AO115)</f>
        <v>0</v>
      </c>
      <c r="AP116" s="844">
        <f>SUM(AP16:AP115)</f>
        <v>0</v>
      </c>
      <c r="AQ116" s="1056">
        <f>SUM(AQ16:AQ115)</f>
        <v>0</v>
      </c>
      <c r="AR116" s="839">
        <f>SUM(AR16:AR115)</f>
        <v>0</v>
      </c>
      <c r="AS116" s="377"/>
      <c r="AT116" s="151">
        <f>SUM(AT16:AT115)</f>
        <v>0</v>
      </c>
      <c r="AU116" s="839">
        <f>SUM(AU16:AU115)</f>
        <v>0</v>
      </c>
      <c r="AV116" s="1056">
        <f>SUM(AV16:AV115)</f>
        <v>0</v>
      </c>
      <c r="AW116" s="839">
        <f>SUM(AW16:AW115)</f>
        <v>0</v>
      </c>
      <c r="AX116" s="377"/>
      <c r="AY116" s="151">
        <f>SUM(AY16:AY115)</f>
        <v>0</v>
      </c>
      <c r="AZ116" s="844">
        <f>SUM(AZ16:AZ115)</f>
        <v>0</v>
      </c>
      <c r="BA116" s="1056">
        <f>SUM(BA16:BA115)</f>
        <v>0</v>
      </c>
      <c r="BB116" s="839">
        <f>SUM(BB16:BB115)</f>
        <v>0</v>
      </c>
      <c r="BC116" s="377"/>
      <c r="BD116" s="151">
        <f t="shared" ref="BD116:BQ116" si="119">SUM(BD16:BD115)</f>
        <v>0</v>
      </c>
      <c r="BE116" s="839">
        <f>SUM(BE16:BE115)</f>
        <v>0</v>
      </c>
      <c r="BF116" s="1056">
        <f>SUM(BF16:BF115)</f>
        <v>0</v>
      </c>
      <c r="BG116" s="839">
        <f t="shared" si="119"/>
        <v>0</v>
      </c>
      <c r="BH116" s="151">
        <f t="shared" si="119"/>
        <v>7036556.8445000006</v>
      </c>
      <c r="BI116" s="839">
        <f t="shared" si="119"/>
        <v>84400.902999999991</v>
      </c>
      <c r="BJ116" s="1058">
        <f>SUM(BJ16:BJ115)</f>
        <v>6009.9000000000005</v>
      </c>
      <c r="BK116" s="1000">
        <f>SUM(BK16:BK115)</f>
        <v>34675.437229437237</v>
      </c>
      <c r="BL116" s="151">
        <f t="shared" si="119"/>
        <v>3010240.4475000002</v>
      </c>
      <c r="BM116" s="839">
        <f t="shared" si="119"/>
        <v>37583.812500000007</v>
      </c>
      <c r="BN116" s="1000"/>
      <c r="BO116" s="1000"/>
      <c r="BP116" s="151">
        <f t="shared" si="119"/>
        <v>10046797.292000001</v>
      </c>
      <c r="BQ116" s="839">
        <f t="shared" si="119"/>
        <v>121984.71549999999</v>
      </c>
      <c r="BR116" s="397"/>
      <c r="BS116" s="166"/>
      <c r="BU116" s="151">
        <f>SUM(BU16:BU115)</f>
        <v>5214644.6785399998</v>
      </c>
      <c r="BV116" s="641">
        <f>BP116/BU116</f>
        <v>1.9266504069483237</v>
      </c>
    </row>
    <row r="117" spans="1:87" ht="13.5" customHeight="1" thickTop="1" thickBo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1057">
        <f>M116</f>
        <v>6009.9000000000005</v>
      </c>
      <c r="N117" s="840"/>
      <c r="O117" s="90"/>
      <c r="P117" s="90"/>
      <c r="Q117" s="90"/>
      <c r="R117" s="1057">
        <f>R116</f>
        <v>2607.1</v>
      </c>
      <c r="S117" s="840"/>
      <c r="T117" s="90"/>
      <c r="U117" s="90"/>
      <c r="V117" s="90"/>
      <c r="W117" s="1057">
        <f>W116</f>
        <v>0</v>
      </c>
      <c r="X117" s="840"/>
      <c r="Y117" s="90"/>
      <c r="Z117" s="90"/>
      <c r="AA117" s="90"/>
      <c r="AB117" s="1057">
        <f>AB116</f>
        <v>0</v>
      </c>
      <c r="AC117" s="840"/>
      <c r="AD117" s="90"/>
      <c r="AE117" s="90"/>
      <c r="AF117" s="90"/>
      <c r="AG117" s="1057">
        <f>AG116</f>
        <v>0</v>
      </c>
      <c r="AH117" s="840"/>
      <c r="AI117" s="90"/>
      <c r="AJ117" s="90"/>
      <c r="AK117" s="90"/>
      <c r="AL117" s="1057">
        <f>AL116</f>
        <v>0</v>
      </c>
      <c r="AM117" s="840"/>
      <c r="AN117" s="90"/>
      <c r="AO117" s="90"/>
      <c r="AP117" s="90"/>
      <c r="AQ117" s="1057">
        <f>AQ116</f>
        <v>0</v>
      </c>
      <c r="AR117" s="840"/>
      <c r="AS117" s="90"/>
      <c r="AT117" s="90"/>
      <c r="AU117" s="90"/>
      <c r="AV117" s="1057">
        <f>AV116</f>
        <v>0</v>
      </c>
      <c r="AW117" s="840"/>
      <c r="AX117" s="90"/>
      <c r="AY117" s="90"/>
      <c r="AZ117" s="90"/>
      <c r="BA117" s="1057">
        <f>BA116</f>
        <v>0</v>
      </c>
      <c r="BB117" s="840"/>
      <c r="BC117" s="90"/>
      <c r="BD117" s="90"/>
      <c r="BE117" s="90"/>
      <c r="BF117" s="1057">
        <f>BF116</f>
        <v>0</v>
      </c>
      <c r="BG117" s="840"/>
      <c r="BH117" s="90"/>
      <c r="BI117" s="840"/>
      <c r="BJ117" s="840"/>
      <c r="BK117" s="840"/>
      <c r="BL117" s="90"/>
      <c r="BM117" s="840"/>
      <c r="BN117" s="840"/>
      <c r="BO117" s="840"/>
      <c r="BP117" s="90"/>
      <c r="BQ117" s="90"/>
      <c r="BS117" s="90"/>
    </row>
    <row r="118" spans="1:87" ht="13.5" thickBot="1">
      <c r="A118" s="90"/>
      <c r="B118" s="90"/>
      <c r="C118" s="92" t="s">
        <v>167</v>
      </c>
      <c r="D118" s="90"/>
      <c r="E118" s="90"/>
      <c r="F118" s="90"/>
      <c r="G118" s="90"/>
      <c r="H118" s="90"/>
      <c r="I118" s="90"/>
      <c r="J118" s="396"/>
      <c r="K118" s="97">
        <f t="array" ref="K118">AVERAGE(IF(J16:J115&gt;1,J16:J115,""))</f>
        <v>2.1406000000000001</v>
      </c>
      <c r="L118" s="631"/>
      <c r="M118" s="631"/>
      <c r="N118" s="841"/>
      <c r="O118" s="90"/>
      <c r="P118" s="97">
        <f t="array" ref="P118">AVERAGE(IF(O16:O115&gt;1,O16:O115,""))</f>
        <v>2.0790000000000002</v>
      </c>
      <c r="Q118" s="631"/>
      <c r="R118" s="631"/>
      <c r="S118" s="841"/>
      <c r="T118" s="363"/>
      <c r="U118" s="97" t="e">
        <f t="array" ref="U118">AVERAGE(IF(T16:T115&gt;1,T16:T115,""))</f>
        <v>#DIV/0!</v>
      </c>
      <c r="V118" s="631"/>
      <c r="W118" s="631"/>
      <c r="X118" s="841"/>
      <c r="Y118" s="90"/>
      <c r="Z118" s="97" t="e">
        <f t="array" ref="Z118">AVERAGE(IF(Y16:Y115&gt;1,Y16:Y115,""))</f>
        <v>#DIV/0!</v>
      </c>
      <c r="AA118" s="631"/>
      <c r="AB118" s="631"/>
      <c r="AC118" s="841"/>
      <c r="AD118" s="90"/>
      <c r="AE118" s="97" t="e">
        <f t="array" ref="AE118">AVERAGE(IF(AD16:AD115&gt;1,AD16:AD115,""))</f>
        <v>#DIV/0!</v>
      </c>
      <c r="AF118" s="631"/>
      <c r="AG118" s="631"/>
      <c r="AH118" s="841"/>
      <c r="AI118" s="90"/>
      <c r="AJ118" s="97" t="e">
        <f t="array" ref="AJ118">AVERAGE(IF(AI16:AI115&gt;1,AI16:AI115,""))</f>
        <v>#DIV/0!</v>
      </c>
      <c r="AK118" s="631"/>
      <c r="AL118" s="631"/>
      <c r="AM118" s="841"/>
      <c r="AN118" s="90"/>
      <c r="AO118" s="97" t="e">
        <f t="array" ref="AO118">AVERAGE(IF(AN16:AN115&gt;1,AN16:AN115,""))</f>
        <v>#DIV/0!</v>
      </c>
      <c r="AP118" s="631"/>
      <c r="AQ118" s="631"/>
      <c r="AR118" s="841"/>
      <c r="AS118" s="90"/>
      <c r="AT118" s="97" t="e">
        <f t="array" ref="AT118">AVERAGE(IF(AS16:AS115&gt;1,AS16:AS115,""))</f>
        <v>#DIV/0!</v>
      </c>
      <c r="AU118" s="631"/>
      <c r="AV118" s="631"/>
      <c r="AW118" s="841"/>
      <c r="AX118" s="97"/>
      <c r="AY118" s="97" t="e">
        <f t="array" ref="AY118">AVERAGE(IF(AX16:AX115&gt;1,AX16:AX115,""))</f>
        <v>#DIV/0!</v>
      </c>
      <c r="AZ118" s="631"/>
      <c r="BA118" s="631"/>
      <c r="BB118" s="841"/>
      <c r="BC118" s="90"/>
      <c r="BD118" s="97" t="e">
        <f t="array" ref="BD118">AVERAGE(IF(BC16:BC115&gt;1,BC16:BC115,""))</f>
        <v>#DIV/0!</v>
      </c>
      <c r="BE118" s="631"/>
      <c r="BF118" s="631"/>
      <c r="BG118" s="841"/>
      <c r="BH118" s="357">
        <f>231000000/BH116</f>
        <v>32.828555940759159</v>
      </c>
      <c r="BI118" s="97"/>
      <c r="BJ118" s="631"/>
      <c r="BK118" s="631"/>
      <c r="BL118" s="736">
        <f>BL116/65</f>
        <v>46311.391500000005</v>
      </c>
      <c r="BM118" s="776"/>
      <c r="BN118" s="1010"/>
      <c r="BO118" s="1010"/>
      <c r="BP118" s="319"/>
      <c r="BQ118" s="641">
        <f t="array" ref="BQ118">AVERAGE(IF(H16:H115&gt;1,H16:H115,""))</f>
        <v>2.368321513002364</v>
      </c>
      <c r="BS118" s="90"/>
      <c r="BV118" s="92" t="s">
        <v>420</v>
      </c>
    </row>
    <row r="119" spans="1:87" s="323" customFormat="1" ht="13.5" thickBot="1">
      <c r="A119" s="321"/>
      <c r="B119" s="321"/>
      <c r="C119" s="321"/>
      <c r="D119" s="321"/>
      <c r="E119" s="321"/>
      <c r="F119" s="321"/>
      <c r="G119" s="321"/>
      <c r="H119" s="321"/>
      <c r="I119" s="321"/>
      <c r="J119" s="321"/>
      <c r="L119" s="933" t="s">
        <v>654</v>
      </c>
      <c r="M119" s="933"/>
      <c r="N119" s="933" t="s">
        <v>655</v>
      </c>
      <c r="O119" s="592"/>
      <c r="Q119" s="933" t="s">
        <v>654</v>
      </c>
      <c r="R119" s="933"/>
      <c r="S119" s="933" t="s">
        <v>655</v>
      </c>
      <c r="T119" s="322"/>
      <c r="V119" s="933" t="s">
        <v>654</v>
      </c>
      <c r="W119" s="933"/>
      <c r="X119" s="933" t="s">
        <v>655</v>
      </c>
      <c r="Y119" s="322"/>
      <c r="AA119" s="933" t="s">
        <v>654</v>
      </c>
      <c r="AB119" s="933"/>
      <c r="AC119" s="933" t="s">
        <v>655</v>
      </c>
      <c r="AD119" s="322"/>
      <c r="AF119" s="933" t="s">
        <v>654</v>
      </c>
      <c r="AG119" s="933"/>
      <c r="AH119" s="933" t="s">
        <v>655</v>
      </c>
      <c r="AI119" s="322"/>
      <c r="AK119" s="933" t="s">
        <v>654</v>
      </c>
      <c r="AL119" s="933"/>
      <c r="AM119" s="933" t="s">
        <v>655</v>
      </c>
      <c r="AN119" s="321"/>
      <c r="AP119" s="933" t="s">
        <v>654</v>
      </c>
      <c r="AQ119" s="933"/>
      <c r="AR119" s="933" t="s">
        <v>655</v>
      </c>
      <c r="AS119" s="322"/>
      <c r="AU119" s="933" t="s">
        <v>654</v>
      </c>
      <c r="AV119" s="933"/>
      <c r="AW119" s="933" t="s">
        <v>655</v>
      </c>
      <c r="AX119" s="321"/>
      <c r="AZ119" s="933" t="s">
        <v>654</v>
      </c>
      <c r="BA119" s="933"/>
      <c r="BB119" s="933" t="s">
        <v>655</v>
      </c>
      <c r="BC119" s="322"/>
      <c r="BE119" s="933" t="s">
        <v>654</v>
      </c>
      <c r="BF119" s="933"/>
      <c r="BG119" s="933" t="s">
        <v>655</v>
      </c>
      <c r="BH119" s="321"/>
      <c r="BI119" s="933" t="s">
        <v>655</v>
      </c>
      <c r="BJ119" s="1004"/>
      <c r="BK119" s="1004"/>
      <c r="BL119" s="934"/>
      <c r="BM119" s="933" t="s">
        <v>655</v>
      </c>
      <c r="BN119" s="1004"/>
      <c r="BO119" s="1004"/>
      <c r="BP119" s="321"/>
      <c r="BQ119" s="321"/>
      <c r="BS119" s="321"/>
      <c r="CD119" s="398"/>
    </row>
    <row r="120" spans="1:87" ht="14.25" thickTop="1" thickBot="1">
      <c r="A120" s="90"/>
      <c r="B120" s="90"/>
      <c r="C120" s="1205" t="s">
        <v>656</v>
      </c>
      <c r="D120" s="1206"/>
      <c r="E120" s="1206"/>
      <c r="F120" s="1206"/>
      <c r="G120" s="1206"/>
      <c r="H120" s="1206"/>
      <c r="I120" s="1207"/>
      <c r="J120" s="90"/>
      <c r="L120" s="839">
        <f>'[17]Purchasing 2018'!$AB$136</f>
        <v>22.196261682242991</v>
      </c>
      <c r="M120" s="998"/>
      <c r="N120" s="935">
        <f>(SUMIF($G$16:$G$115,"=Regular",N16:N115))/L120</f>
        <v>0</v>
      </c>
      <c r="O120" s="90"/>
      <c r="Q120" s="839">
        <f>'[17]Purchasing 2018'!$AB$137</f>
        <v>35.493016906437042</v>
      </c>
      <c r="R120" s="998"/>
      <c r="S120" s="935">
        <f>(SUMIF($G$16:$G$115,"=Regular",S16:S115))/Q120</f>
        <v>0</v>
      </c>
      <c r="T120" s="90"/>
      <c r="V120" s="839">
        <f>L120</f>
        <v>22.196261682242991</v>
      </c>
      <c r="W120" s="998"/>
      <c r="X120" s="935">
        <f>(SUMIF($G$16:$G$115,"=Regular",X16:X115))/V120</f>
        <v>0</v>
      </c>
      <c r="Y120" s="90"/>
      <c r="AA120" s="839">
        <v>10.23</v>
      </c>
      <c r="AB120" s="998"/>
      <c r="AC120" s="935">
        <f>(SUMIF($G$16:$G$115,"=Regular",AC16:AC115))/AA120</f>
        <v>0</v>
      </c>
      <c r="AD120" s="90"/>
      <c r="AF120" s="839">
        <v>10.48</v>
      </c>
      <c r="AG120" s="998"/>
      <c r="AH120" s="935">
        <f>(SUMIF($G$16:$G$115,"=Regular",AH16:AH115))/AF120</f>
        <v>0</v>
      </c>
      <c r="AI120" s="90"/>
      <c r="AK120" s="839">
        <v>11.53</v>
      </c>
      <c r="AL120" s="998"/>
      <c r="AM120" s="935">
        <f>(SUMIF($G$16:$G$115,"=Regular",AM16:AM115))/AK120</f>
        <v>0</v>
      </c>
      <c r="AN120" s="90"/>
      <c r="AP120" s="839">
        <v>16.12</v>
      </c>
      <c r="AQ120" s="998"/>
      <c r="AR120" s="935">
        <f>(SUMIF($G$16:$G$115,"=Regular",AR16:AR115))/AP120</f>
        <v>0</v>
      </c>
      <c r="AS120" s="90"/>
      <c r="AU120" s="839">
        <v>16.12</v>
      </c>
      <c r="AV120" s="998"/>
      <c r="AW120" s="935">
        <f>(SUMIF($G$16:$G$115,"=Regular",AW16:AW115))/AU120</f>
        <v>0</v>
      </c>
      <c r="AX120" s="90"/>
      <c r="AZ120" s="839">
        <v>14.3</v>
      </c>
      <c r="BA120" s="998"/>
      <c r="BB120" s="935">
        <f>(SUMIF($G$16:$G$115,"=Regular",BB16:BB115))/AZ120</f>
        <v>0</v>
      </c>
      <c r="BC120" s="90"/>
      <c r="BE120" s="839">
        <v>14.3</v>
      </c>
      <c r="BF120" s="998"/>
      <c r="BG120" s="935">
        <f>(SUMIF($G$16:$G$115,"=Regular",BG16:BG115))/BE120</f>
        <v>0</v>
      </c>
      <c r="BH120" s="90"/>
      <c r="BI120" s="935">
        <f>N120+X120+AH120+AR120+BB120</f>
        <v>0</v>
      </c>
      <c r="BJ120" s="1005"/>
      <c r="BK120" s="1005"/>
      <c r="BL120" s="90"/>
      <c r="BM120" s="935">
        <f>S120+AC120+AM120+AW120+BG120</f>
        <v>0</v>
      </c>
      <c r="BN120" s="1005"/>
      <c r="BO120" s="1005"/>
      <c r="BP120" s="90"/>
      <c r="BQ120" s="90"/>
      <c r="BS120" s="90"/>
    </row>
    <row r="121" spans="1:87" ht="13.5" customHeight="1" thickTop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8"/>
      <c r="L121" s="98"/>
      <c r="M121" s="98"/>
      <c r="N121" s="98"/>
      <c r="O121" s="98"/>
      <c r="P121" s="98"/>
      <c r="Q121" s="792"/>
      <c r="R121" s="792"/>
      <c r="S121" s="98"/>
      <c r="T121" s="90"/>
      <c r="U121" s="90"/>
      <c r="V121" s="90"/>
      <c r="W121" s="90"/>
      <c r="X121" s="98"/>
      <c r="Y121" s="98"/>
      <c r="Z121" s="98"/>
      <c r="AA121" s="98"/>
      <c r="AB121" s="98"/>
      <c r="AC121" s="98"/>
      <c r="AD121" s="90"/>
      <c r="AE121" s="90"/>
      <c r="AF121" s="90"/>
      <c r="AG121" s="90"/>
      <c r="AH121" s="98"/>
      <c r="AI121" s="98"/>
      <c r="AJ121" s="98"/>
      <c r="AK121" s="98"/>
      <c r="AL121" s="98"/>
      <c r="AM121" s="98"/>
      <c r="AN121" s="90"/>
      <c r="AO121" s="90"/>
      <c r="AP121" s="90"/>
      <c r="AQ121" s="90"/>
      <c r="AR121" s="90"/>
      <c r="AS121" s="98"/>
      <c r="AT121" s="98"/>
      <c r="AU121" s="98"/>
      <c r="AV121" s="98"/>
      <c r="AW121" s="98"/>
      <c r="AX121" s="90"/>
      <c r="AY121" s="90"/>
      <c r="AZ121" s="90"/>
      <c r="BA121" s="90"/>
      <c r="BB121" s="90"/>
      <c r="BC121" s="98"/>
      <c r="BD121" s="98"/>
      <c r="BE121" s="98"/>
      <c r="BF121" s="98"/>
      <c r="BG121" s="98"/>
      <c r="BH121" s="90"/>
      <c r="BI121" s="90"/>
      <c r="BJ121" s="90"/>
      <c r="BK121" s="90"/>
      <c r="BL121" s="90"/>
      <c r="BM121" s="98"/>
      <c r="BN121" s="98"/>
      <c r="BO121" s="98"/>
      <c r="BP121" s="747"/>
      <c r="BQ121" s="98"/>
      <c r="BS121" s="90"/>
    </row>
    <row r="122" spans="1:87" ht="13.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790"/>
      <c r="Q122" s="791"/>
      <c r="R122" s="791"/>
      <c r="S122" s="7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S122" s="90"/>
    </row>
    <row r="123" spans="1:87" ht="13.5" thickBo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>
        <v>4128000</v>
      </c>
      <c r="L123" s="90">
        <v>51600</v>
      </c>
      <c r="M123" s="90"/>
      <c r="N123" s="90">
        <v>21557.692307692309</v>
      </c>
      <c r="O123" s="90"/>
      <c r="P123" s="90">
        <v>640000</v>
      </c>
      <c r="Q123" s="90">
        <v>8000</v>
      </c>
      <c r="R123" s="90"/>
      <c r="S123" s="90">
        <v>4444.4444444444453</v>
      </c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S123" s="90"/>
    </row>
    <row r="124" spans="1:87" ht="14.25" thickTop="1" thickBot="1">
      <c r="C124" s="765" t="s">
        <v>531</v>
      </c>
      <c r="BI124" s="741"/>
      <c r="BJ124" s="741"/>
      <c r="BK124" s="741"/>
    </row>
    <row r="125" spans="1:87" ht="13.5" thickTop="1">
      <c r="BI125" s="741"/>
      <c r="BJ125" s="741"/>
      <c r="BK125" s="741"/>
    </row>
    <row r="126" spans="1:87" ht="13.5" thickBot="1">
      <c r="BI126" s="741"/>
      <c r="BJ126" s="741"/>
      <c r="BK126" s="741"/>
    </row>
    <row r="127" spans="1:87" s="140" customFormat="1" ht="14.25" thickTop="1" thickBot="1">
      <c r="A127" s="139"/>
      <c r="B127" s="139"/>
      <c r="C127" s="765" t="s">
        <v>166</v>
      </c>
      <c r="D127" s="766"/>
      <c r="E127" s="766"/>
      <c r="F127" s="766"/>
      <c r="G127" s="766"/>
      <c r="H127" s="766"/>
      <c r="I127" s="766"/>
      <c r="J127" s="1189" t="s">
        <v>261</v>
      </c>
      <c r="K127" s="1190"/>
      <c r="L127" s="1190"/>
      <c r="M127" s="1190"/>
      <c r="N127" s="1190"/>
      <c r="O127" s="1190"/>
      <c r="P127" s="1190"/>
      <c r="Q127" s="1190"/>
      <c r="R127" s="1192"/>
      <c r="S127" s="1191"/>
      <c r="T127" s="1189" t="s">
        <v>262</v>
      </c>
      <c r="U127" s="1190"/>
      <c r="V127" s="1190"/>
      <c r="W127" s="1192"/>
      <c r="X127" s="1190"/>
      <c r="Y127" s="1190"/>
      <c r="Z127" s="1190"/>
      <c r="AA127" s="1190"/>
      <c r="AB127" s="1192"/>
      <c r="AC127" s="1191"/>
      <c r="AD127" s="1189" t="s">
        <v>266</v>
      </c>
      <c r="AE127" s="1190"/>
      <c r="AF127" s="1190"/>
      <c r="AG127" s="1192"/>
      <c r="AH127" s="1190"/>
      <c r="AI127" s="1190"/>
      <c r="AJ127" s="1190"/>
      <c r="AK127" s="1190"/>
      <c r="AL127" s="1192"/>
      <c r="AM127" s="1191"/>
      <c r="AN127" s="1189" t="s">
        <v>413</v>
      </c>
      <c r="AO127" s="1190"/>
      <c r="AP127" s="1190"/>
      <c r="AQ127" s="1192"/>
      <c r="AR127" s="1190"/>
      <c r="AS127" s="1190"/>
      <c r="AT127" s="1190"/>
      <c r="AU127" s="1193"/>
      <c r="AV127" s="1194"/>
      <c r="AW127" s="1195"/>
      <c r="AX127" s="1189" t="s">
        <v>444</v>
      </c>
      <c r="AY127" s="1190"/>
      <c r="AZ127" s="1190"/>
      <c r="BA127" s="1192"/>
      <c r="BB127" s="1190"/>
      <c r="BC127" s="1190"/>
      <c r="BD127" s="1190"/>
      <c r="BE127" s="1193"/>
      <c r="BF127" s="1194"/>
      <c r="BG127" s="1193"/>
      <c r="BH127" s="765"/>
      <c r="BI127" s="765"/>
      <c r="BJ127" s="1006"/>
      <c r="BK127" s="1006"/>
      <c r="BL127" s="765"/>
      <c r="BM127" s="765"/>
      <c r="BN127" s="1006"/>
      <c r="BO127" s="1006"/>
      <c r="BP127" s="765"/>
      <c r="BQ127" s="765"/>
      <c r="BR127" s="362"/>
      <c r="BS127" s="765"/>
      <c r="BU127" s="765"/>
      <c r="BX127" s="362"/>
      <c r="CD127" s="739"/>
    </row>
    <row r="128" spans="1:87" s="140" customFormat="1" ht="13.5" customHeight="1" thickTop="1" thickBot="1">
      <c r="A128" s="73"/>
      <c r="B128" s="73"/>
      <c r="C128" s="1196" t="s">
        <v>77</v>
      </c>
      <c r="D128" s="1196" t="s">
        <v>78</v>
      </c>
      <c r="E128" s="1179" t="s">
        <v>530</v>
      </c>
      <c r="F128" s="1179" t="s">
        <v>163</v>
      </c>
      <c r="G128" s="927"/>
      <c r="H128" s="1179" t="s">
        <v>416</v>
      </c>
      <c r="I128" s="1179" t="s">
        <v>421</v>
      </c>
      <c r="J128" s="1209">
        <f>J13</f>
        <v>4.62</v>
      </c>
      <c r="K128" s="1210"/>
      <c r="L128" s="1210"/>
      <c r="M128" s="1210"/>
      <c r="N128" s="1212"/>
      <c r="O128" s="1209">
        <f>O13</f>
        <v>4.62</v>
      </c>
      <c r="P128" s="1210"/>
      <c r="Q128" s="1210"/>
      <c r="R128" s="1211"/>
      <c r="S128" s="1212"/>
      <c r="T128" s="1209">
        <f>T13</f>
        <v>4</v>
      </c>
      <c r="U128" s="1210"/>
      <c r="V128" s="1210"/>
      <c r="W128" s="1211"/>
      <c r="X128" s="1212"/>
      <c r="Y128" s="1209">
        <f>Y13</f>
        <v>4</v>
      </c>
      <c r="Z128" s="1210"/>
      <c r="AA128" s="1210"/>
      <c r="AB128" s="1211"/>
      <c r="AC128" s="1212"/>
      <c r="AD128" s="1209">
        <f>AD13</f>
        <v>4</v>
      </c>
      <c r="AE128" s="1210"/>
      <c r="AF128" s="1210"/>
      <c r="AG128" s="1211"/>
      <c r="AH128" s="1212"/>
      <c r="AI128" s="1209">
        <f>AI13</f>
        <v>4</v>
      </c>
      <c r="AJ128" s="1210"/>
      <c r="AK128" s="1210"/>
      <c r="AL128" s="1211"/>
      <c r="AM128" s="1212"/>
      <c r="AN128" s="1209">
        <f>AN13</f>
        <v>4</v>
      </c>
      <c r="AO128" s="1210"/>
      <c r="AP128" s="1210"/>
      <c r="AQ128" s="1211"/>
      <c r="AR128" s="1212"/>
      <c r="AS128" s="1209">
        <f>AS13</f>
        <v>4</v>
      </c>
      <c r="AT128" s="1210"/>
      <c r="AU128" s="1210"/>
      <c r="AV128" s="1211"/>
      <c r="AW128" s="1212"/>
      <c r="AX128" s="1209">
        <f>AX13</f>
        <v>1</v>
      </c>
      <c r="AY128" s="1210"/>
      <c r="AZ128" s="1210"/>
      <c r="BA128" s="1211"/>
      <c r="BB128" s="1212"/>
      <c r="BC128" s="1209">
        <f>BC13</f>
        <v>1</v>
      </c>
      <c r="BD128" s="1210"/>
      <c r="BE128" s="1210"/>
      <c r="BF128" s="1211"/>
      <c r="BG128" s="1212"/>
      <c r="BH128" s="1174" t="s">
        <v>616</v>
      </c>
      <c r="BI128" s="1175"/>
      <c r="BJ128" s="1003"/>
      <c r="BK128" s="1003"/>
      <c r="BL128" s="1174" t="s">
        <v>617</v>
      </c>
      <c r="BM128" s="1176"/>
      <c r="BN128" s="1009"/>
      <c r="BO128" s="1009"/>
      <c r="BP128" s="1177" t="s">
        <v>618</v>
      </c>
      <c r="BQ128" s="1178"/>
      <c r="BR128" s="362"/>
      <c r="BS128" s="1179" t="s">
        <v>79</v>
      </c>
      <c r="BU128" s="1179" t="s">
        <v>419</v>
      </c>
      <c r="BX128" s="362"/>
      <c r="CD128" s="739"/>
    </row>
    <row r="129" spans="1:87" s="140" customFormat="1" ht="14.25" customHeight="1" thickTop="1" thickBot="1">
      <c r="A129" s="73"/>
      <c r="B129" s="73"/>
      <c r="C129" s="1197"/>
      <c r="D129" s="1197"/>
      <c r="E129" s="1180"/>
      <c r="F129" s="1180"/>
      <c r="G129" s="928"/>
      <c r="H129" s="1180"/>
      <c r="I129" s="1180"/>
      <c r="J129" s="1208" t="s">
        <v>694</v>
      </c>
      <c r="K129" s="1185"/>
      <c r="L129" s="1185"/>
      <c r="M129" s="1185"/>
      <c r="N129" s="1184"/>
      <c r="O129" s="1208" t="s">
        <v>695</v>
      </c>
      <c r="P129" s="1185"/>
      <c r="Q129" s="1185"/>
      <c r="R129" s="1185"/>
      <c r="S129" s="1184"/>
      <c r="T129" s="1208" t="s">
        <v>694</v>
      </c>
      <c r="U129" s="1185"/>
      <c r="V129" s="1185"/>
      <c r="W129" s="1185"/>
      <c r="X129" s="1184"/>
      <c r="Y129" s="1208" t="s">
        <v>695</v>
      </c>
      <c r="Z129" s="1185"/>
      <c r="AA129" s="1185"/>
      <c r="AB129" s="1185"/>
      <c r="AC129" s="1184"/>
      <c r="AD129" s="1208" t="s">
        <v>694</v>
      </c>
      <c r="AE129" s="1185"/>
      <c r="AF129" s="1185"/>
      <c r="AG129" s="1185"/>
      <c r="AH129" s="1184"/>
      <c r="AI129" s="1208" t="s">
        <v>695</v>
      </c>
      <c r="AJ129" s="1185"/>
      <c r="AK129" s="1185"/>
      <c r="AL129" s="1185"/>
      <c r="AM129" s="1184"/>
      <c r="AN129" s="1208" t="s">
        <v>694</v>
      </c>
      <c r="AO129" s="1185"/>
      <c r="AP129" s="1185"/>
      <c r="AQ129" s="1185"/>
      <c r="AR129" s="1184"/>
      <c r="AS129" s="1208" t="s">
        <v>695</v>
      </c>
      <c r="AT129" s="1185"/>
      <c r="AU129" s="1185"/>
      <c r="AV129" s="1185"/>
      <c r="AW129" s="1184"/>
      <c r="AX129" s="1208" t="s">
        <v>694</v>
      </c>
      <c r="AY129" s="1185"/>
      <c r="AZ129" s="1185"/>
      <c r="BA129" s="1185"/>
      <c r="BB129" s="1184"/>
      <c r="BC129" s="1208" t="s">
        <v>695</v>
      </c>
      <c r="BD129" s="1185"/>
      <c r="BE129" s="1185"/>
      <c r="BF129" s="1185"/>
      <c r="BG129" s="1184"/>
      <c r="BH129" s="1186" t="s">
        <v>445</v>
      </c>
      <c r="BI129" s="1186" t="s">
        <v>612</v>
      </c>
      <c r="BJ129" s="1186" t="s">
        <v>699</v>
      </c>
      <c r="BK129" s="1186" t="s">
        <v>422</v>
      </c>
      <c r="BL129" s="1186" t="s">
        <v>445</v>
      </c>
      <c r="BM129" s="1186" t="s">
        <v>612</v>
      </c>
      <c r="BN129" s="1186" t="s">
        <v>699</v>
      </c>
      <c r="BO129" s="1186" t="s">
        <v>422</v>
      </c>
      <c r="BP129" s="1187" t="s">
        <v>445</v>
      </c>
      <c r="BQ129" s="1169" t="s">
        <v>446</v>
      </c>
      <c r="BR129" s="362"/>
      <c r="BS129" s="1180"/>
      <c r="BU129" s="1180"/>
      <c r="BX129" s="362"/>
      <c r="CD129" s="739"/>
    </row>
    <row r="130" spans="1:87" s="140" customFormat="1" ht="38.25" customHeight="1" thickTop="1" thickBot="1">
      <c r="A130" s="73"/>
      <c r="B130" s="73"/>
      <c r="C130" s="1198"/>
      <c r="D130" s="1198"/>
      <c r="E130" s="1181"/>
      <c r="F130" s="1181"/>
      <c r="G130" s="929"/>
      <c r="H130" s="1181"/>
      <c r="I130" s="1181"/>
      <c r="J130" s="1001" t="s">
        <v>415</v>
      </c>
      <c r="K130" s="1001" t="s">
        <v>532</v>
      </c>
      <c r="L130" s="1001" t="s">
        <v>533</v>
      </c>
      <c r="M130" s="1001" t="s">
        <v>699</v>
      </c>
      <c r="N130" s="1001" t="s">
        <v>534</v>
      </c>
      <c r="O130" s="1001" t="s">
        <v>415</v>
      </c>
      <c r="P130" s="1001" t="s">
        <v>532</v>
      </c>
      <c r="Q130" s="1001" t="s">
        <v>534</v>
      </c>
      <c r="R130" s="1001" t="s">
        <v>699</v>
      </c>
      <c r="S130" s="1001" t="s">
        <v>422</v>
      </c>
      <c r="T130" s="1001" t="s">
        <v>415</v>
      </c>
      <c r="U130" s="1001" t="s">
        <v>532</v>
      </c>
      <c r="V130" s="1001" t="s">
        <v>533</v>
      </c>
      <c r="W130" s="1001" t="s">
        <v>699</v>
      </c>
      <c r="X130" s="1001" t="s">
        <v>534</v>
      </c>
      <c r="Y130" s="1001" t="s">
        <v>415</v>
      </c>
      <c r="Z130" s="1001" t="s">
        <v>532</v>
      </c>
      <c r="AA130" s="1001" t="s">
        <v>533</v>
      </c>
      <c r="AB130" s="1001" t="s">
        <v>699</v>
      </c>
      <c r="AC130" s="1001" t="s">
        <v>534</v>
      </c>
      <c r="AD130" s="1001" t="s">
        <v>415</v>
      </c>
      <c r="AE130" s="1001" t="s">
        <v>532</v>
      </c>
      <c r="AF130" s="1001" t="s">
        <v>533</v>
      </c>
      <c r="AG130" s="1001" t="s">
        <v>699</v>
      </c>
      <c r="AH130" s="1001" t="s">
        <v>534</v>
      </c>
      <c r="AI130" s="1001" t="s">
        <v>415</v>
      </c>
      <c r="AJ130" s="1001" t="s">
        <v>532</v>
      </c>
      <c r="AK130" s="1001" t="s">
        <v>533</v>
      </c>
      <c r="AL130" s="1001" t="s">
        <v>699</v>
      </c>
      <c r="AM130" s="1001" t="s">
        <v>534</v>
      </c>
      <c r="AN130" s="1001" t="s">
        <v>415</v>
      </c>
      <c r="AO130" s="1001" t="s">
        <v>532</v>
      </c>
      <c r="AP130" s="1001" t="s">
        <v>533</v>
      </c>
      <c r="AQ130" s="1001" t="s">
        <v>699</v>
      </c>
      <c r="AR130" s="1001" t="s">
        <v>534</v>
      </c>
      <c r="AS130" s="1001" t="s">
        <v>415</v>
      </c>
      <c r="AT130" s="1001" t="s">
        <v>532</v>
      </c>
      <c r="AU130" s="1001" t="s">
        <v>533</v>
      </c>
      <c r="AV130" s="1001" t="s">
        <v>699</v>
      </c>
      <c r="AW130" s="1001" t="s">
        <v>534</v>
      </c>
      <c r="AX130" s="1001" t="s">
        <v>415</v>
      </c>
      <c r="AY130" s="1001" t="s">
        <v>417</v>
      </c>
      <c r="AZ130" s="1001" t="s">
        <v>418</v>
      </c>
      <c r="BA130" s="1001" t="s">
        <v>699</v>
      </c>
      <c r="BB130" s="1001" t="s">
        <v>534</v>
      </c>
      <c r="BC130" s="1001" t="s">
        <v>415</v>
      </c>
      <c r="BD130" s="1001" t="s">
        <v>417</v>
      </c>
      <c r="BE130" s="1001" t="s">
        <v>418</v>
      </c>
      <c r="BF130" s="1001" t="s">
        <v>699</v>
      </c>
      <c r="BG130" s="1001" t="s">
        <v>534</v>
      </c>
      <c r="BH130" s="1181"/>
      <c r="BI130" s="1181"/>
      <c r="BJ130" s="1181"/>
      <c r="BK130" s="1181"/>
      <c r="BL130" s="1181"/>
      <c r="BM130" s="1181"/>
      <c r="BN130" s="1181"/>
      <c r="BO130" s="1181"/>
      <c r="BP130" s="1188"/>
      <c r="BQ130" s="1170"/>
      <c r="BR130" s="362"/>
      <c r="BS130" s="1181"/>
      <c r="BU130" s="1181"/>
      <c r="BW130" s="140" t="s">
        <v>447</v>
      </c>
      <c r="BX130" s="362" t="s">
        <v>448</v>
      </c>
      <c r="CD130" s="739" t="s">
        <v>525</v>
      </c>
    </row>
    <row r="131" spans="1:87" ht="14.25" thickTop="1" thickBot="1">
      <c r="A131" s="57"/>
      <c r="B131" s="92">
        <v>1</v>
      </c>
      <c r="C131" s="677">
        <f t="shared" ref="C131:F150" si="120">C16</f>
        <v>0</v>
      </c>
      <c r="D131" s="93" t="str">
        <f t="shared" si="120"/>
        <v>Вайлдберриз ООО</v>
      </c>
      <c r="E131" s="93" t="str">
        <f t="shared" si="120"/>
        <v>Комиссия</v>
      </c>
      <c r="F131" s="93" t="str">
        <f t="shared" si="120"/>
        <v>Комиссия</v>
      </c>
      <c r="G131" s="93"/>
      <c r="H131" s="678">
        <f>1/(1-I131)</f>
        <v>1.6666666666666667</v>
      </c>
      <c r="I131" s="679">
        <f t="shared" ref="I131:I162" si="121">I16</f>
        <v>0.4</v>
      </c>
      <c r="J131" s="633">
        <f>IF(K131=0,1,K131/(K131/($J$13*(1/H131))))</f>
        <v>1</v>
      </c>
      <c r="K131" s="1016">
        <f>L131*$D$8</f>
        <v>0</v>
      </c>
      <c r="L131" s="1017">
        <v>0</v>
      </c>
      <c r="M131" s="1061"/>
      <c r="N131" s="1062">
        <f t="shared" ref="N131:N194" si="122">L131/($J$13*(100%-I131))</f>
        <v>0</v>
      </c>
      <c r="O131" s="1063">
        <f t="shared" ref="O131:O194" si="123">IF(P131=0,1,P131/(P131/($O$13*(1/H131))))</f>
        <v>1</v>
      </c>
      <c r="P131" s="1016">
        <f t="shared" ref="P131:P194" si="124">Q131*$D$8</f>
        <v>0</v>
      </c>
      <c r="Q131" s="1017">
        <v>0</v>
      </c>
      <c r="R131" s="1061"/>
      <c r="S131" s="1062">
        <f t="shared" ref="S131:S194" si="125">Q131/($O$13*(100%-I131))</f>
        <v>0</v>
      </c>
      <c r="T131" s="1063">
        <f t="shared" ref="T131:T194" si="126">IF(U131=0,1,U131/(U131/($T$13*(1/H131))))</f>
        <v>1</v>
      </c>
      <c r="U131" s="1016">
        <f>V131*$D$8</f>
        <v>0</v>
      </c>
      <c r="V131" s="1017">
        <v>0</v>
      </c>
      <c r="W131" s="1061"/>
      <c r="X131" s="1062">
        <f t="shared" ref="X131:X194" si="127">V131/($T$13*(100%-I131))</f>
        <v>0</v>
      </c>
      <c r="Y131" s="1063">
        <f t="shared" ref="Y131:Y194" si="128">IF(Z131=0,1,Z131/(Z131/($Y$13*(1/H131))))</f>
        <v>1</v>
      </c>
      <c r="Z131" s="1016">
        <f>AA131*$D$8</f>
        <v>0</v>
      </c>
      <c r="AA131" s="1017">
        <v>0</v>
      </c>
      <c r="AB131" s="1061"/>
      <c r="AC131" s="1062">
        <f t="shared" ref="AC131:AC194" si="129">AA131/($Y$13*(100%-I131))</f>
        <v>0</v>
      </c>
      <c r="AD131" s="1063">
        <f t="shared" ref="AD131:AD194" si="130">IF(AE131=0,1,AE131/(AE131/($AD$13*(1/H131))))</f>
        <v>1</v>
      </c>
      <c r="AE131" s="1016">
        <f>AF131*$D$8</f>
        <v>0</v>
      </c>
      <c r="AF131" s="1017">
        <v>0</v>
      </c>
      <c r="AG131" s="1061"/>
      <c r="AH131" s="1062">
        <f t="shared" ref="AH131:AH194" si="131">AF131/($AD$13*(100%-I131))</f>
        <v>0</v>
      </c>
      <c r="AI131" s="1063">
        <f t="shared" ref="AI131:AI194" si="132">IF(AJ131=0,1,AJ131/(AJ131/($AI$13*(1/H131))))</f>
        <v>1</v>
      </c>
      <c r="AJ131" s="1016">
        <f>AK131*$D$8</f>
        <v>0</v>
      </c>
      <c r="AK131" s="1017">
        <v>0</v>
      </c>
      <c r="AL131" s="1061"/>
      <c r="AM131" s="1062">
        <f t="shared" ref="AM131:AM194" si="133">AK131/($AI$13*(100%-I131))</f>
        <v>0</v>
      </c>
      <c r="AN131" s="1063">
        <f t="shared" ref="AN131:AN194" si="134">IF(AO131=0,1,AO131/(AO131/($AN$13*(1/H131))))</f>
        <v>1</v>
      </c>
      <c r="AO131" s="1016">
        <f>AP131*$D$8</f>
        <v>0</v>
      </c>
      <c r="AP131" s="1017">
        <v>0</v>
      </c>
      <c r="AQ131" s="1061"/>
      <c r="AR131" s="1062">
        <f t="shared" ref="AR131:AR194" si="135">AP131/($AN$13*(100%-I131))</f>
        <v>0</v>
      </c>
      <c r="AS131" s="1063">
        <f t="shared" ref="AS131:AS194" si="136">IF(AT131=0,1,AT131/(AT131/($AS$13*(1/H131))))</f>
        <v>1</v>
      </c>
      <c r="AT131" s="1016">
        <f>AU131*$D$8</f>
        <v>0</v>
      </c>
      <c r="AU131" s="1017">
        <v>0</v>
      </c>
      <c r="AV131" s="1061"/>
      <c r="AW131" s="1062">
        <f t="shared" ref="AW131:AW194" si="137">AU131/($AS$13*(100%-I131))</f>
        <v>0</v>
      </c>
      <c r="AX131" s="1063">
        <f t="shared" ref="AX131:AX194" si="138">IF(AY131=0,1,AY131/(AY131/($AX$13*(1/H131))))</f>
        <v>1</v>
      </c>
      <c r="AY131" s="1016">
        <f>AZ131*$D$8</f>
        <v>0</v>
      </c>
      <c r="AZ131" s="1017">
        <v>0</v>
      </c>
      <c r="BA131" s="1061"/>
      <c r="BB131" s="1062">
        <f t="shared" ref="BB131:BB194" si="139">AZ131/($AX$13*(100%-I131))</f>
        <v>0</v>
      </c>
      <c r="BC131" s="1063">
        <f t="shared" ref="BC131:BC194" si="140">IF(BD131=0,1,BD131/(BD131/($BC$13*(1/H131))))</f>
        <v>1</v>
      </c>
      <c r="BD131" s="1016">
        <f>BE131*$D$8</f>
        <v>0</v>
      </c>
      <c r="BE131" s="1017">
        <v>0</v>
      </c>
      <c r="BF131" s="1061"/>
      <c r="BG131" s="1062">
        <f t="shared" ref="BG131:BG194" si="141">BE131/($BC$13*(100%-I131))</f>
        <v>0</v>
      </c>
      <c r="BH131" s="1039">
        <f t="shared" ref="BH131:BH194" si="142">K131+U131+AE131+AO131++AY131</f>
        <v>0</v>
      </c>
      <c r="BI131" s="1038">
        <f t="shared" ref="BI131:BI194" si="143">L131+V131+AF131+AP131+AZ131</f>
        <v>0</v>
      </c>
      <c r="BJ131" s="1027"/>
      <c r="BK131" s="1060"/>
      <c r="BL131" s="1040">
        <f t="shared" ref="BL131:BL185" si="144">P131+Z131+AJ131+AT131+BD131</f>
        <v>0</v>
      </c>
      <c r="BM131" s="1038">
        <f t="shared" ref="BM131:BM194" si="145">Q131+AA131+AK131+AU131+BE131</f>
        <v>0</v>
      </c>
      <c r="BN131" s="1027"/>
      <c r="BO131" s="1060"/>
      <c r="BP131" s="95">
        <f t="shared" ref="BP131:BP194" si="146">SUM(BH131,BL131)</f>
        <v>0</v>
      </c>
      <c r="BQ131" s="640">
        <f t="shared" ref="BQ131:BQ194" si="147">BI131+BM131</f>
        <v>0</v>
      </c>
      <c r="BS131" s="94">
        <f t="shared" ref="BS131:BS194" si="148">I131</f>
        <v>0.4</v>
      </c>
      <c r="BU131" s="632">
        <f t="shared" ref="BU131:BU194" si="149">BP131/H131</f>
        <v>0</v>
      </c>
      <c r="BV131" s="398"/>
      <c r="BW131" s="405" t="s">
        <v>450</v>
      </c>
      <c r="BX131" s="323">
        <v>86006.5</v>
      </c>
      <c r="CD131" s="398">
        <v>0.15</v>
      </c>
      <c r="CI131" s="96"/>
    </row>
    <row r="132" spans="1:87" s="750" customFormat="1" ht="14.25" thickTop="1" thickBot="1">
      <c r="B132" s="751">
        <v>2</v>
      </c>
      <c r="C132" s="752">
        <f t="shared" si="120"/>
        <v>0</v>
      </c>
      <c r="D132" s="753" t="str">
        <f t="shared" si="120"/>
        <v>Интернет решения ООО</v>
      </c>
      <c r="E132" s="753" t="str">
        <f t="shared" si="120"/>
        <v>Prebook</v>
      </c>
      <c r="F132" s="753" t="str">
        <f t="shared" si="120"/>
        <v>60 credit days</v>
      </c>
      <c r="G132" s="753"/>
      <c r="H132" s="754">
        <f t="shared" ref="H132:H195" si="150">1/(1-I132)</f>
        <v>2.2222222222222223</v>
      </c>
      <c r="I132" s="679">
        <f t="shared" si="121"/>
        <v>0.55000000000000004</v>
      </c>
      <c r="J132" s="755">
        <f t="shared" ref="J132:J195" si="151">IF(K132=0,1,K132/(K132/($J$13*(1/H132))))</f>
        <v>1</v>
      </c>
      <c r="K132" s="1016">
        <f t="shared" ref="K132:K195" si="152">L132*$D$8</f>
        <v>0</v>
      </c>
      <c r="L132" s="1017"/>
      <c r="M132" s="1061"/>
      <c r="N132" s="1062">
        <f t="shared" si="122"/>
        <v>0</v>
      </c>
      <c r="O132" s="1063">
        <f t="shared" si="123"/>
        <v>1</v>
      </c>
      <c r="P132" s="1016">
        <f t="shared" si="124"/>
        <v>0</v>
      </c>
      <c r="Q132" s="1017">
        <v>0</v>
      </c>
      <c r="R132" s="1061"/>
      <c r="S132" s="1062">
        <f t="shared" si="125"/>
        <v>0</v>
      </c>
      <c r="T132" s="1063">
        <f t="shared" si="126"/>
        <v>1</v>
      </c>
      <c r="U132" s="1016">
        <f t="shared" ref="U132:U188" si="153">V132*$D$8</f>
        <v>0</v>
      </c>
      <c r="V132" s="1017">
        <v>0</v>
      </c>
      <c r="W132" s="1061"/>
      <c r="X132" s="1062">
        <f t="shared" si="127"/>
        <v>0</v>
      </c>
      <c r="Y132" s="1063">
        <f t="shared" si="128"/>
        <v>1</v>
      </c>
      <c r="Z132" s="1016">
        <f t="shared" ref="Z132:Z195" si="154">AA132*$D$8</f>
        <v>0</v>
      </c>
      <c r="AA132" s="1017">
        <v>0</v>
      </c>
      <c r="AB132" s="1061"/>
      <c r="AC132" s="1062">
        <f t="shared" si="129"/>
        <v>0</v>
      </c>
      <c r="AD132" s="1063">
        <f t="shared" si="130"/>
        <v>1</v>
      </c>
      <c r="AE132" s="1016">
        <f t="shared" ref="AE132:AE195" si="155">AF132*$D$8</f>
        <v>0</v>
      </c>
      <c r="AF132" s="1017">
        <v>0</v>
      </c>
      <c r="AG132" s="1061"/>
      <c r="AH132" s="1062">
        <f t="shared" si="131"/>
        <v>0</v>
      </c>
      <c r="AI132" s="1063">
        <f t="shared" si="132"/>
        <v>1</v>
      </c>
      <c r="AJ132" s="1016">
        <f t="shared" ref="AJ132:AJ195" si="156">AK132*$D$8</f>
        <v>0</v>
      </c>
      <c r="AK132" s="1017">
        <v>0</v>
      </c>
      <c r="AL132" s="1061"/>
      <c r="AM132" s="1062">
        <f t="shared" si="133"/>
        <v>0</v>
      </c>
      <c r="AN132" s="1063">
        <f t="shared" si="134"/>
        <v>1</v>
      </c>
      <c r="AO132" s="1016">
        <f t="shared" ref="AO132:AO195" si="157">AP132*$D$8</f>
        <v>0</v>
      </c>
      <c r="AP132" s="1017">
        <v>0</v>
      </c>
      <c r="AQ132" s="1061"/>
      <c r="AR132" s="1062">
        <f t="shared" si="135"/>
        <v>0</v>
      </c>
      <c r="AS132" s="1063">
        <f t="shared" si="136"/>
        <v>1</v>
      </c>
      <c r="AT132" s="1016">
        <f t="shared" ref="AT132:AT195" si="158">AU132*$D$8</f>
        <v>0</v>
      </c>
      <c r="AU132" s="1017">
        <v>0</v>
      </c>
      <c r="AV132" s="1061"/>
      <c r="AW132" s="1062">
        <f t="shared" si="137"/>
        <v>0</v>
      </c>
      <c r="AX132" s="1063">
        <f t="shared" si="138"/>
        <v>1</v>
      </c>
      <c r="AY132" s="1016">
        <f t="shared" ref="AY132:AY195" si="159">AZ132*$D$8</f>
        <v>0</v>
      </c>
      <c r="AZ132" s="1017">
        <v>0</v>
      </c>
      <c r="BA132" s="1061"/>
      <c r="BB132" s="1062">
        <f t="shared" si="139"/>
        <v>0</v>
      </c>
      <c r="BC132" s="1063">
        <f t="shared" si="140"/>
        <v>1</v>
      </c>
      <c r="BD132" s="1016">
        <f t="shared" ref="BD132:BD195" si="160">BE132*$D$8</f>
        <v>0</v>
      </c>
      <c r="BE132" s="1017">
        <v>0</v>
      </c>
      <c r="BF132" s="1061"/>
      <c r="BG132" s="1062">
        <f t="shared" si="141"/>
        <v>0</v>
      </c>
      <c r="BH132" s="1039">
        <f t="shared" si="142"/>
        <v>0</v>
      </c>
      <c r="BI132" s="1038">
        <f t="shared" si="143"/>
        <v>0</v>
      </c>
      <c r="BJ132" s="1027"/>
      <c r="BK132" s="1060"/>
      <c r="BL132" s="1040">
        <f t="shared" si="144"/>
        <v>0</v>
      </c>
      <c r="BM132" s="1038">
        <f t="shared" si="145"/>
        <v>0</v>
      </c>
      <c r="BN132" s="1027"/>
      <c r="BO132" s="1060"/>
      <c r="BP132" s="95">
        <f t="shared" si="146"/>
        <v>0</v>
      </c>
      <c r="BQ132" s="640">
        <f t="shared" si="147"/>
        <v>0</v>
      </c>
      <c r="BR132" s="756"/>
      <c r="BS132" s="757">
        <f t="shared" si="148"/>
        <v>0.55000000000000004</v>
      </c>
      <c r="BU132" s="754">
        <f t="shared" si="149"/>
        <v>0</v>
      </c>
      <c r="BV132" s="758"/>
      <c r="BW132" s="759" t="s">
        <v>453</v>
      </c>
      <c r="BX132" s="756">
        <v>0</v>
      </c>
      <c r="CD132" s="758">
        <v>0</v>
      </c>
      <c r="CI132" s="760"/>
    </row>
    <row r="133" spans="1:87" s="750" customFormat="1" ht="14.25" thickTop="1" thickBot="1">
      <c r="B133" s="751">
        <v>3</v>
      </c>
      <c r="C133" s="752">
        <f t="shared" si="120"/>
        <v>0</v>
      </c>
      <c r="D133" s="753" t="str">
        <f t="shared" si="120"/>
        <v>Купишуз ООО</v>
      </c>
      <c r="E133" s="753" t="str">
        <f t="shared" si="120"/>
        <v>Комиссия</v>
      </c>
      <c r="F133" s="753" t="str">
        <f t="shared" si="120"/>
        <v>Комиссия</v>
      </c>
      <c r="G133" s="753"/>
      <c r="H133" s="754">
        <f t="shared" si="150"/>
        <v>2</v>
      </c>
      <c r="I133" s="679">
        <f t="shared" si="121"/>
        <v>0.5</v>
      </c>
      <c r="J133" s="755">
        <f t="shared" si="151"/>
        <v>1</v>
      </c>
      <c r="K133" s="1016">
        <f t="shared" si="152"/>
        <v>0</v>
      </c>
      <c r="L133" s="1017">
        <v>0</v>
      </c>
      <c r="M133" s="1061"/>
      <c r="N133" s="1062">
        <f t="shared" si="122"/>
        <v>0</v>
      </c>
      <c r="O133" s="1063">
        <f t="shared" si="123"/>
        <v>1</v>
      </c>
      <c r="P133" s="1016">
        <f t="shared" si="124"/>
        <v>0</v>
      </c>
      <c r="Q133" s="1017">
        <v>0</v>
      </c>
      <c r="R133" s="1061"/>
      <c r="S133" s="1062">
        <f t="shared" si="125"/>
        <v>0</v>
      </c>
      <c r="T133" s="1063">
        <f t="shared" si="126"/>
        <v>1</v>
      </c>
      <c r="U133" s="1016">
        <f t="shared" si="153"/>
        <v>0</v>
      </c>
      <c r="V133" s="1017">
        <v>0</v>
      </c>
      <c r="W133" s="1061"/>
      <c r="X133" s="1062">
        <f t="shared" si="127"/>
        <v>0</v>
      </c>
      <c r="Y133" s="1063">
        <f t="shared" si="128"/>
        <v>1</v>
      </c>
      <c r="Z133" s="1016">
        <f t="shared" si="154"/>
        <v>0</v>
      </c>
      <c r="AA133" s="1017">
        <v>0</v>
      </c>
      <c r="AB133" s="1061"/>
      <c r="AC133" s="1062">
        <f t="shared" si="129"/>
        <v>0</v>
      </c>
      <c r="AD133" s="1063">
        <f t="shared" si="130"/>
        <v>1</v>
      </c>
      <c r="AE133" s="1016">
        <f t="shared" si="155"/>
        <v>0</v>
      </c>
      <c r="AF133" s="1017">
        <v>0</v>
      </c>
      <c r="AG133" s="1061"/>
      <c r="AH133" s="1062">
        <f t="shared" si="131"/>
        <v>0</v>
      </c>
      <c r="AI133" s="1063">
        <f t="shared" si="132"/>
        <v>1</v>
      </c>
      <c r="AJ133" s="1016">
        <f t="shared" si="156"/>
        <v>0</v>
      </c>
      <c r="AK133" s="1017">
        <v>0</v>
      </c>
      <c r="AL133" s="1061"/>
      <c r="AM133" s="1062">
        <f t="shared" si="133"/>
        <v>0</v>
      </c>
      <c r="AN133" s="1063">
        <f t="shared" si="134"/>
        <v>1</v>
      </c>
      <c r="AO133" s="1016">
        <f t="shared" si="157"/>
        <v>0</v>
      </c>
      <c r="AP133" s="1017">
        <v>0</v>
      </c>
      <c r="AQ133" s="1061"/>
      <c r="AR133" s="1062">
        <f t="shared" si="135"/>
        <v>0</v>
      </c>
      <c r="AS133" s="1063">
        <f t="shared" si="136"/>
        <v>1</v>
      </c>
      <c r="AT133" s="1016">
        <f t="shared" si="158"/>
        <v>0</v>
      </c>
      <c r="AU133" s="1017">
        <v>0</v>
      </c>
      <c r="AV133" s="1061"/>
      <c r="AW133" s="1062">
        <f t="shared" si="137"/>
        <v>0</v>
      </c>
      <c r="AX133" s="1063">
        <f t="shared" si="138"/>
        <v>1</v>
      </c>
      <c r="AY133" s="1016">
        <f t="shared" si="159"/>
        <v>0</v>
      </c>
      <c r="AZ133" s="1017">
        <v>0</v>
      </c>
      <c r="BA133" s="1061"/>
      <c r="BB133" s="1062">
        <f t="shared" si="139"/>
        <v>0</v>
      </c>
      <c r="BC133" s="1063">
        <f t="shared" si="140"/>
        <v>1</v>
      </c>
      <c r="BD133" s="1016">
        <f t="shared" si="160"/>
        <v>0</v>
      </c>
      <c r="BE133" s="1017">
        <v>0</v>
      </c>
      <c r="BF133" s="1061"/>
      <c r="BG133" s="1062">
        <f t="shared" si="141"/>
        <v>0</v>
      </c>
      <c r="BH133" s="1039">
        <f t="shared" si="142"/>
        <v>0</v>
      </c>
      <c r="BI133" s="1038">
        <f t="shared" si="143"/>
        <v>0</v>
      </c>
      <c r="BJ133" s="1027"/>
      <c r="BK133" s="1060"/>
      <c r="BL133" s="1040">
        <f t="shared" si="144"/>
        <v>0</v>
      </c>
      <c r="BM133" s="1038">
        <f t="shared" si="145"/>
        <v>0</v>
      </c>
      <c r="BN133" s="1027"/>
      <c r="BO133" s="1060"/>
      <c r="BP133" s="95">
        <f t="shared" si="146"/>
        <v>0</v>
      </c>
      <c r="BQ133" s="640">
        <f t="shared" si="147"/>
        <v>0</v>
      </c>
      <c r="BR133" s="756"/>
      <c r="BS133" s="757">
        <f t="shared" si="148"/>
        <v>0.5</v>
      </c>
      <c r="BU133" s="754">
        <f t="shared" si="149"/>
        <v>0</v>
      </c>
      <c r="BV133" s="758"/>
      <c r="BW133" s="759" t="s">
        <v>450</v>
      </c>
      <c r="BX133" s="756">
        <v>1303107.44</v>
      </c>
      <c r="CD133" s="758">
        <v>0.15</v>
      </c>
      <c r="CI133" s="760"/>
    </row>
    <row r="134" spans="1:87" ht="14.25" thickTop="1" thickBot="1">
      <c r="A134" s="57"/>
      <c r="B134" s="92">
        <v>4</v>
      </c>
      <c r="C134" s="255">
        <f t="shared" si="120"/>
        <v>0</v>
      </c>
      <c r="D134" s="93" t="str">
        <f t="shared" si="120"/>
        <v>Траектория ООО</v>
      </c>
      <c r="E134" s="93" t="str">
        <f t="shared" si="120"/>
        <v>Prebook</v>
      </c>
      <c r="F134" s="93" t="str">
        <f t="shared" si="120"/>
        <v>30 credit days</v>
      </c>
      <c r="G134" s="93"/>
      <c r="H134" s="678">
        <f t="shared" si="150"/>
        <v>2.1276595744680851</v>
      </c>
      <c r="I134" s="679">
        <f t="shared" si="121"/>
        <v>0.53</v>
      </c>
      <c r="J134" s="633">
        <f t="shared" si="151"/>
        <v>1</v>
      </c>
      <c r="K134" s="1016">
        <f t="shared" si="152"/>
        <v>0</v>
      </c>
      <c r="L134" s="1017">
        <v>0</v>
      </c>
      <c r="M134" s="1061"/>
      <c r="N134" s="1062">
        <f t="shared" si="122"/>
        <v>0</v>
      </c>
      <c r="O134" s="1063">
        <f t="shared" si="123"/>
        <v>1</v>
      </c>
      <c r="P134" s="1016">
        <f t="shared" si="124"/>
        <v>0</v>
      </c>
      <c r="Q134" s="1017">
        <v>0</v>
      </c>
      <c r="R134" s="1061"/>
      <c r="S134" s="1062">
        <f t="shared" si="125"/>
        <v>0</v>
      </c>
      <c r="T134" s="1063">
        <f t="shared" si="126"/>
        <v>1</v>
      </c>
      <c r="U134" s="1016">
        <f t="shared" si="153"/>
        <v>0</v>
      </c>
      <c r="V134" s="1017">
        <v>0</v>
      </c>
      <c r="W134" s="1061"/>
      <c r="X134" s="1062">
        <f t="shared" si="127"/>
        <v>0</v>
      </c>
      <c r="Y134" s="1063">
        <f t="shared" si="128"/>
        <v>1</v>
      </c>
      <c r="Z134" s="1016">
        <f t="shared" si="154"/>
        <v>0</v>
      </c>
      <c r="AA134" s="1017">
        <v>0</v>
      </c>
      <c r="AB134" s="1061"/>
      <c r="AC134" s="1062">
        <f t="shared" si="129"/>
        <v>0</v>
      </c>
      <c r="AD134" s="1063">
        <f t="shared" si="130"/>
        <v>1</v>
      </c>
      <c r="AE134" s="1016">
        <f t="shared" si="155"/>
        <v>0</v>
      </c>
      <c r="AF134" s="1017">
        <v>0</v>
      </c>
      <c r="AG134" s="1061"/>
      <c r="AH134" s="1062">
        <f t="shared" si="131"/>
        <v>0</v>
      </c>
      <c r="AI134" s="1063">
        <f t="shared" si="132"/>
        <v>1</v>
      </c>
      <c r="AJ134" s="1016">
        <f t="shared" si="156"/>
        <v>0</v>
      </c>
      <c r="AK134" s="1017">
        <v>0</v>
      </c>
      <c r="AL134" s="1061"/>
      <c r="AM134" s="1062">
        <f t="shared" si="133"/>
        <v>0</v>
      </c>
      <c r="AN134" s="1063">
        <f t="shared" si="134"/>
        <v>1</v>
      </c>
      <c r="AO134" s="1016">
        <f t="shared" si="157"/>
        <v>0</v>
      </c>
      <c r="AP134" s="1017">
        <v>0</v>
      </c>
      <c r="AQ134" s="1061"/>
      <c r="AR134" s="1062">
        <f t="shared" si="135"/>
        <v>0</v>
      </c>
      <c r="AS134" s="1063">
        <f t="shared" si="136"/>
        <v>1</v>
      </c>
      <c r="AT134" s="1016">
        <f t="shared" si="158"/>
        <v>0</v>
      </c>
      <c r="AU134" s="1017">
        <v>0</v>
      </c>
      <c r="AV134" s="1061"/>
      <c r="AW134" s="1062">
        <f t="shared" si="137"/>
        <v>0</v>
      </c>
      <c r="AX134" s="1063">
        <f t="shared" si="138"/>
        <v>1</v>
      </c>
      <c r="AY134" s="1016">
        <f t="shared" si="159"/>
        <v>0</v>
      </c>
      <c r="AZ134" s="1017">
        <v>0</v>
      </c>
      <c r="BA134" s="1061"/>
      <c r="BB134" s="1062">
        <f t="shared" si="139"/>
        <v>0</v>
      </c>
      <c r="BC134" s="1063">
        <f t="shared" si="140"/>
        <v>1</v>
      </c>
      <c r="BD134" s="1016">
        <f t="shared" si="160"/>
        <v>0</v>
      </c>
      <c r="BE134" s="1017">
        <v>0</v>
      </c>
      <c r="BF134" s="1061"/>
      <c r="BG134" s="1062">
        <f t="shared" si="141"/>
        <v>0</v>
      </c>
      <c r="BH134" s="1039">
        <f t="shared" si="142"/>
        <v>0</v>
      </c>
      <c r="BI134" s="1038">
        <f t="shared" si="143"/>
        <v>0</v>
      </c>
      <c r="BJ134" s="1027"/>
      <c r="BK134" s="1060"/>
      <c r="BL134" s="1040">
        <f t="shared" si="144"/>
        <v>0</v>
      </c>
      <c r="BM134" s="1038">
        <f t="shared" si="145"/>
        <v>0</v>
      </c>
      <c r="BN134" s="1027"/>
      <c r="BO134" s="1060"/>
      <c r="BP134" s="95">
        <f t="shared" si="146"/>
        <v>0</v>
      </c>
      <c r="BQ134" s="640">
        <f t="shared" si="147"/>
        <v>0</v>
      </c>
      <c r="BS134" s="94">
        <f t="shared" si="148"/>
        <v>0.53</v>
      </c>
      <c r="BU134" s="632">
        <f t="shared" si="149"/>
        <v>0</v>
      </c>
      <c r="BV134" s="398"/>
      <c r="BW134" s="405" t="s">
        <v>450</v>
      </c>
      <c r="BX134" s="323">
        <v>172228</v>
      </c>
      <c r="CD134" s="398">
        <v>0.1</v>
      </c>
      <c r="CI134" s="96"/>
    </row>
    <row r="135" spans="1:87" s="615" customFormat="1" ht="14.25" thickTop="1" thickBot="1">
      <c r="A135" s="334"/>
      <c r="B135" s="612">
        <v>5</v>
      </c>
      <c r="C135" s="613">
        <f t="shared" si="120"/>
        <v>0</v>
      </c>
      <c r="D135" s="93" t="str">
        <f t="shared" si="120"/>
        <v>ИП Вербицкая</v>
      </c>
      <c r="E135" s="614" t="str">
        <f t="shared" si="120"/>
        <v>Prebook</v>
      </c>
      <c r="F135" s="614" t="str">
        <f t="shared" si="120"/>
        <v>Prepayment</v>
      </c>
      <c r="G135" s="614"/>
      <c r="H135" s="678">
        <f t="shared" si="150"/>
        <v>2.2222222222222223</v>
      </c>
      <c r="I135" s="679">
        <f t="shared" si="121"/>
        <v>0.55000000000000004</v>
      </c>
      <c r="J135" s="633">
        <f t="shared" si="151"/>
        <v>1</v>
      </c>
      <c r="K135" s="1016">
        <f t="shared" si="152"/>
        <v>0</v>
      </c>
      <c r="L135" s="1017">
        <v>0</v>
      </c>
      <c r="M135" s="1061"/>
      <c r="N135" s="1062">
        <f t="shared" si="122"/>
        <v>0</v>
      </c>
      <c r="O135" s="1063">
        <f t="shared" si="123"/>
        <v>1</v>
      </c>
      <c r="P135" s="1016">
        <f t="shared" si="124"/>
        <v>0</v>
      </c>
      <c r="Q135" s="1017">
        <v>0</v>
      </c>
      <c r="R135" s="1061"/>
      <c r="S135" s="1062">
        <f t="shared" si="125"/>
        <v>0</v>
      </c>
      <c r="T135" s="1063">
        <f t="shared" si="126"/>
        <v>1</v>
      </c>
      <c r="U135" s="1016">
        <f t="shared" si="153"/>
        <v>0</v>
      </c>
      <c r="V135" s="1017">
        <v>0</v>
      </c>
      <c r="W135" s="1061"/>
      <c r="X135" s="1062">
        <f t="shared" si="127"/>
        <v>0</v>
      </c>
      <c r="Y135" s="1063">
        <f t="shared" si="128"/>
        <v>1</v>
      </c>
      <c r="Z135" s="1016">
        <f t="shared" si="154"/>
        <v>0</v>
      </c>
      <c r="AA135" s="1017">
        <v>0</v>
      </c>
      <c r="AB135" s="1061"/>
      <c r="AC135" s="1062">
        <f t="shared" si="129"/>
        <v>0</v>
      </c>
      <c r="AD135" s="1063">
        <f t="shared" si="130"/>
        <v>1</v>
      </c>
      <c r="AE135" s="1016">
        <f t="shared" si="155"/>
        <v>0</v>
      </c>
      <c r="AF135" s="1017">
        <v>0</v>
      </c>
      <c r="AG135" s="1061"/>
      <c r="AH135" s="1062">
        <f t="shared" si="131"/>
        <v>0</v>
      </c>
      <c r="AI135" s="1063">
        <f t="shared" si="132"/>
        <v>1</v>
      </c>
      <c r="AJ135" s="1016">
        <f t="shared" si="156"/>
        <v>0</v>
      </c>
      <c r="AK135" s="1017">
        <v>0</v>
      </c>
      <c r="AL135" s="1061"/>
      <c r="AM135" s="1062">
        <f t="shared" si="133"/>
        <v>0</v>
      </c>
      <c r="AN135" s="1063">
        <f t="shared" si="134"/>
        <v>1</v>
      </c>
      <c r="AO135" s="1016">
        <f t="shared" si="157"/>
        <v>0</v>
      </c>
      <c r="AP135" s="1017">
        <v>0</v>
      </c>
      <c r="AQ135" s="1061"/>
      <c r="AR135" s="1062">
        <f t="shared" si="135"/>
        <v>0</v>
      </c>
      <c r="AS135" s="1063">
        <f t="shared" si="136"/>
        <v>1</v>
      </c>
      <c r="AT135" s="1016">
        <f t="shared" si="158"/>
        <v>0</v>
      </c>
      <c r="AU135" s="1017">
        <v>0</v>
      </c>
      <c r="AV135" s="1061"/>
      <c r="AW135" s="1062">
        <f t="shared" si="137"/>
        <v>0</v>
      </c>
      <c r="AX135" s="1063">
        <f t="shared" si="138"/>
        <v>1</v>
      </c>
      <c r="AY135" s="1016">
        <f t="shared" si="159"/>
        <v>0</v>
      </c>
      <c r="AZ135" s="1017">
        <v>0</v>
      </c>
      <c r="BA135" s="1061"/>
      <c r="BB135" s="1062">
        <f t="shared" si="139"/>
        <v>0</v>
      </c>
      <c r="BC135" s="1063">
        <f t="shared" si="140"/>
        <v>1</v>
      </c>
      <c r="BD135" s="1016">
        <f t="shared" si="160"/>
        <v>0</v>
      </c>
      <c r="BE135" s="1017">
        <v>0</v>
      </c>
      <c r="BF135" s="1061"/>
      <c r="BG135" s="1062">
        <f t="shared" si="141"/>
        <v>0</v>
      </c>
      <c r="BH135" s="1039">
        <f t="shared" si="142"/>
        <v>0</v>
      </c>
      <c r="BI135" s="1038">
        <f t="shared" si="143"/>
        <v>0</v>
      </c>
      <c r="BJ135" s="1027"/>
      <c r="BK135" s="1060"/>
      <c r="BL135" s="1040">
        <f t="shared" si="144"/>
        <v>0</v>
      </c>
      <c r="BM135" s="1038">
        <f t="shared" si="145"/>
        <v>0</v>
      </c>
      <c r="BN135" s="1027"/>
      <c r="BO135" s="1060"/>
      <c r="BP135" s="95">
        <f t="shared" si="146"/>
        <v>0</v>
      </c>
      <c r="BQ135" s="640">
        <f t="shared" si="147"/>
        <v>0</v>
      </c>
      <c r="BR135" s="323"/>
      <c r="BS135" s="94">
        <f t="shared" si="148"/>
        <v>0.55000000000000004</v>
      </c>
      <c r="BU135" s="632">
        <f t="shared" si="149"/>
        <v>0</v>
      </c>
      <c r="BV135" s="323"/>
      <c r="BW135" s="405" t="s">
        <v>450</v>
      </c>
      <c r="BX135" s="323">
        <v>1922450.4900000002</v>
      </c>
      <c r="CD135" s="694">
        <v>0.05</v>
      </c>
    </row>
    <row r="136" spans="1:87" ht="14.25" thickTop="1" thickBot="1">
      <c r="A136" s="57"/>
      <c r="B136" s="92">
        <v>6</v>
      </c>
      <c r="C136" s="255">
        <f t="shared" si="120"/>
        <v>0</v>
      </c>
      <c r="D136" s="93" t="str">
        <f t="shared" si="120"/>
        <v>ИП Кузнецова  Мария Павловна</v>
      </c>
      <c r="E136" s="93" t="str">
        <f t="shared" si="120"/>
        <v>Freestock 2021</v>
      </c>
      <c r="F136" s="93" t="str">
        <f t="shared" si="120"/>
        <v>Prepayment</v>
      </c>
      <c r="G136" s="93"/>
      <c r="H136" s="678">
        <f t="shared" si="150"/>
        <v>2.2222222222222223</v>
      </c>
      <c r="I136" s="679">
        <f t="shared" si="121"/>
        <v>0.55000000000000004</v>
      </c>
      <c r="J136" s="633">
        <f t="shared" si="151"/>
        <v>1</v>
      </c>
      <c r="K136" s="1016">
        <f t="shared" si="152"/>
        <v>0</v>
      </c>
      <c r="L136" s="1017">
        <v>0</v>
      </c>
      <c r="M136" s="1061"/>
      <c r="N136" s="1062">
        <f t="shared" si="122"/>
        <v>0</v>
      </c>
      <c r="O136" s="1063">
        <f t="shared" si="123"/>
        <v>1</v>
      </c>
      <c r="P136" s="1016">
        <f t="shared" si="124"/>
        <v>0</v>
      </c>
      <c r="Q136" s="1017">
        <v>0</v>
      </c>
      <c r="R136" s="1061"/>
      <c r="S136" s="1062">
        <f t="shared" si="125"/>
        <v>0</v>
      </c>
      <c r="T136" s="1063">
        <f t="shared" si="126"/>
        <v>1</v>
      </c>
      <c r="U136" s="1016">
        <f t="shared" si="153"/>
        <v>0</v>
      </c>
      <c r="V136" s="1017">
        <v>0</v>
      </c>
      <c r="W136" s="1061"/>
      <c r="X136" s="1062">
        <f t="shared" si="127"/>
        <v>0</v>
      </c>
      <c r="Y136" s="1063">
        <f t="shared" si="128"/>
        <v>1</v>
      </c>
      <c r="Z136" s="1016">
        <f t="shared" si="154"/>
        <v>0</v>
      </c>
      <c r="AA136" s="1017">
        <v>0</v>
      </c>
      <c r="AB136" s="1061"/>
      <c r="AC136" s="1062">
        <f t="shared" si="129"/>
        <v>0</v>
      </c>
      <c r="AD136" s="1063">
        <f t="shared" si="130"/>
        <v>1</v>
      </c>
      <c r="AE136" s="1016">
        <f t="shared" si="155"/>
        <v>0</v>
      </c>
      <c r="AF136" s="1017">
        <v>0</v>
      </c>
      <c r="AG136" s="1061"/>
      <c r="AH136" s="1062">
        <f t="shared" si="131"/>
        <v>0</v>
      </c>
      <c r="AI136" s="1063">
        <f t="shared" si="132"/>
        <v>1</v>
      </c>
      <c r="AJ136" s="1016">
        <f t="shared" si="156"/>
        <v>0</v>
      </c>
      <c r="AK136" s="1017">
        <v>0</v>
      </c>
      <c r="AL136" s="1061"/>
      <c r="AM136" s="1062">
        <f t="shared" si="133"/>
        <v>0</v>
      </c>
      <c r="AN136" s="1063">
        <f t="shared" si="134"/>
        <v>1</v>
      </c>
      <c r="AO136" s="1016">
        <f t="shared" si="157"/>
        <v>0</v>
      </c>
      <c r="AP136" s="1017">
        <v>0</v>
      </c>
      <c r="AQ136" s="1061"/>
      <c r="AR136" s="1062">
        <f t="shared" si="135"/>
        <v>0</v>
      </c>
      <c r="AS136" s="1063">
        <f t="shared" si="136"/>
        <v>1</v>
      </c>
      <c r="AT136" s="1016">
        <f t="shared" si="158"/>
        <v>0</v>
      </c>
      <c r="AU136" s="1017">
        <v>0</v>
      </c>
      <c r="AV136" s="1061"/>
      <c r="AW136" s="1062">
        <f t="shared" si="137"/>
        <v>0</v>
      </c>
      <c r="AX136" s="1063">
        <f t="shared" si="138"/>
        <v>1</v>
      </c>
      <c r="AY136" s="1016">
        <f t="shared" si="159"/>
        <v>0</v>
      </c>
      <c r="AZ136" s="1017">
        <v>0</v>
      </c>
      <c r="BA136" s="1061"/>
      <c r="BB136" s="1062">
        <f t="shared" si="139"/>
        <v>0</v>
      </c>
      <c r="BC136" s="1063">
        <f t="shared" si="140"/>
        <v>1</v>
      </c>
      <c r="BD136" s="1016">
        <f t="shared" si="160"/>
        <v>0</v>
      </c>
      <c r="BE136" s="1017">
        <v>0</v>
      </c>
      <c r="BF136" s="1061"/>
      <c r="BG136" s="1062">
        <f t="shared" si="141"/>
        <v>0</v>
      </c>
      <c r="BH136" s="1039">
        <f t="shared" si="142"/>
        <v>0</v>
      </c>
      <c r="BI136" s="1038">
        <f t="shared" si="143"/>
        <v>0</v>
      </c>
      <c r="BJ136" s="1027"/>
      <c r="BK136" s="1060"/>
      <c r="BL136" s="1040">
        <f t="shared" si="144"/>
        <v>0</v>
      </c>
      <c r="BM136" s="1038">
        <f t="shared" si="145"/>
        <v>0</v>
      </c>
      <c r="BN136" s="1027"/>
      <c r="BO136" s="1060"/>
      <c r="BP136" s="95">
        <f t="shared" si="146"/>
        <v>0</v>
      </c>
      <c r="BQ136" s="640">
        <f t="shared" si="147"/>
        <v>0</v>
      </c>
      <c r="BS136" s="94">
        <f t="shared" si="148"/>
        <v>0.55000000000000004</v>
      </c>
      <c r="BU136" s="632">
        <f t="shared" si="149"/>
        <v>0</v>
      </c>
      <c r="BV136" s="398"/>
      <c r="BW136" s="405" t="s">
        <v>453</v>
      </c>
      <c r="BX136" s="323">
        <v>347086.5</v>
      </c>
      <c r="CI136" s="96"/>
    </row>
    <row r="137" spans="1:87" ht="14.25" thickTop="1" thickBot="1">
      <c r="A137" s="57"/>
      <c r="B137" s="92">
        <v>7</v>
      </c>
      <c r="C137" s="255">
        <f t="shared" si="120"/>
        <v>0</v>
      </c>
      <c r="D137" s="93" t="str">
        <f t="shared" si="120"/>
        <v>ИП Щербакова Полина Леонидовна</v>
      </c>
      <c r="E137" s="93" t="str">
        <f t="shared" si="120"/>
        <v>Freestock 2021</v>
      </c>
      <c r="F137" s="93" t="str">
        <f t="shared" si="120"/>
        <v>90 credit days</v>
      </c>
      <c r="G137" s="93"/>
      <c r="H137" s="678">
        <f t="shared" si="150"/>
        <v>2.5</v>
      </c>
      <c r="I137" s="679">
        <f t="shared" si="121"/>
        <v>0.6</v>
      </c>
      <c r="J137" s="633">
        <f>IF(K137=0,1,K137/(K137/($J$13*(1/H137))))</f>
        <v>1</v>
      </c>
      <c r="K137" s="1016">
        <f t="shared" si="152"/>
        <v>0</v>
      </c>
      <c r="L137" s="1017">
        <v>0</v>
      </c>
      <c r="M137" s="1061"/>
      <c r="N137" s="1062">
        <f t="shared" si="122"/>
        <v>0</v>
      </c>
      <c r="O137" s="1063">
        <f t="shared" si="123"/>
        <v>1.8480000000000001</v>
      </c>
      <c r="P137" s="1016">
        <f t="shared" si="124"/>
        <v>27437.999999999996</v>
      </c>
      <c r="Q137" s="1017">
        <f>L22*0.15</f>
        <v>342.97499999999997</v>
      </c>
      <c r="R137" s="1061"/>
      <c r="S137" s="1062">
        <f t="shared" si="125"/>
        <v>185.59253246753244</v>
      </c>
      <c r="T137" s="1063">
        <f t="shared" si="126"/>
        <v>1</v>
      </c>
      <c r="U137" s="1016">
        <f t="shared" si="153"/>
        <v>0</v>
      </c>
      <c r="V137" s="1017">
        <v>0</v>
      </c>
      <c r="W137" s="1061"/>
      <c r="X137" s="1062">
        <f t="shared" si="127"/>
        <v>0</v>
      </c>
      <c r="Y137" s="1063">
        <f t="shared" si="128"/>
        <v>1</v>
      </c>
      <c r="Z137" s="1016">
        <f t="shared" si="154"/>
        <v>0</v>
      </c>
      <c r="AA137" s="1017">
        <v>0</v>
      </c>
      <c r="AB137" s="1061"/>
      <c r="AC137" s="1062">
        <f t="shared" si="129"/>
        <v>0</v>
      </c>
      <c r="AD137" s="1063">
        <f t="shared" si="130"/>
        <v>1</v>
      </c>
      <c r="AE137" s="1016">
        <f t="shared" si="155"/>
        <v>0</v>
      </c>
      <c r="AF137" s="1017">
        <v>0</v>
      </c>
      <c r="AG137" s="1061"/>
      <c r="AH137" s="1062">
        <f t="shared" si="131"/>
        <v>0</v>
      </c>
      <c r="AI137" s="1063">
        <f t="shared" si="132"/>
        <v>1</v>
      </c>
      <c r="AJ137" s="1016">
        <f t="shared" si="156"/>
        <v>0</v>
      </c>
      <c r="AK137" s="1017">
        <v>0</v>
      </c>
      <c r="AL137" s="1061"/>
      <c r="AM137" s="1062">
        <f t="shared" si="133"/>
        <v>0</v>
      </c>
      <c r="AN137" s="1063">
        <f t="shared" si="134"/>
        <v>1</v>
      </c>
      <c r="AO137" s="1016">
        <f t="shared" si="157"/>
        <v>0</v>
      </c>
      <c r="AP137" s="1017">
        <v>0</v>
      </c>
      <c r="AQ137" s="1061"/>
      <c r="AR137" s="1062">
        <f t="shared" si="135"/>
        <v>0</v>
      </c>
      <c r="AS137" s="1063">
        <f t="shared" si="136"/>
        <v>1</v>
      </c>
      <c r="AT137" s="1016">
        <f t="shared" si="158"/>
        <v>0</v>
      </c>
      <c r="AU137" s="1017">
        <v>0</v>
      </c>
      <c r="AV137" s="1061"/>
      <c r="AW137" s="1062">
        <f t="shared" si="137"/>
        <v>0</v>
      </c>
      <c r="AX137" s="1063">
        <f t="shared" si="138"/>
        <v>1</v>
      </c>
      <c r="AY137" s="1016">
        <f t="shared" si="159"/>
        <v>0</v>
      </c>
      <c r="AZ137" s="1017">
        <v>0</v>
      </c>
      <c r="BA137" s="1061"/>
      <c r="BB137" s="1062">
        <f t="shared" si="139"/>
        <v>0</v>
      </c>
      <c r="BC137" s="1063">
        <f t="shared" si="140"/>
        <v>1</v>
      </c>
      <c r="BD137" s="1016">
        <f t="shared" si="160"/>
        <v>0</v>
      </c>
      <c r="BE137" s="1017">
        <v>0</v>
      </c>
      <c r="BF137" s="1061"/>
      <c r="BG137" s="1062">
        <f t="shared" si="141"/>
        <v>0</v>
      </c>
      <c r="BH137" s="1039">
        <f t="shared" si="142"/>
        <v>0</v>
      </c>
      <c r="BI137" s="1038">
        <f t="shared" si="143"/>
        <v>0</v>
      </c>
      <c r="BJ137" s="1027"/>
      <c r="BK137" s="1060"/>
      <c r="BL137" s="1040">
        <f t="shared" si="144"/>
        <v>27437.999999999996</v>
      </c>
      <c r="BM137" s="1038">
        <f t="shared" si="145"/>
        <v>342.97499999999997</v>
      </c>
      <c r="BN137" s="1027"/>
      <c r="BO137" s="1060"/>
      <c r="BP137" s="95">
        <f t="shared" si="146"/>
        <v>27437.999999999996</v>
      </c>
      <c r="BQ137" s="640">
        <f t="shared" si="147"/>
        <v>342.97499999999997</v>
      </c>
      <c r="BS137" s="94">
        <f t="shared" si="148"/>
        <v>0.6</v>
      </c>
      <c r="BU137" s="632">
        <f t="shared" si="149"/>
        <v>10975.199999999999</v>
      </c>
      <c r="BV137" s="398"/>
      <c r="BW137" s="405" t="s">
        <v>453</v>
      </c>
      <c r="BX137" s="323">
        <v>0</v>
      </c>
      <c r="CD137" s="398">
        <v>0.05</v>
      </c>
      <c r="CI137" s="96"/>
    </row>
    <row r="138" spans="1:87" ht="14.25" thickTop="1" thickBot="1">
      <c r="A138" s="57"/>
      <c r="B138" s="92">
        <v>8</v>
      </c>
      <c r="C138" s="255">
        <f t="shared" si="120"/>
        <v>0</v>
      </c>
      <c r="D138" s="93" t="str">
        <f t="shared" si="120"/>
        <v>ЭРГО СПОРТ ООО</v>
      </c>
      <c r="E138" s="93" t="str">
        <f t="shared" si="120"/>
        <v>Freestock 2021</v>
      </c>
      <c r="F138" s="93" t="str">
        <f t="shared" si="120"/>
        <v>Prepayment</v>
      </c>
      <c r="G138" s="93"/>
      <c r="H138" s="678">
        <f t="shared" si="150"/>
        <v>2.2222222222222223</v>
      </c>
      <c r="I138" s="679">
        <f t="shared" si="121"/>
        <v>0.55000000000000004</v>
      </c>
      <c r="J138" s="633">
        <f t="shared" si="151"/>
        <v>1</v>
      </c>
      <c r="K138" s="1016">
        <f t="shared" si="152"/>
        <v>0</v>
      </c>
      <c r="L138" s="1017">
        <v>0</v>
      </c>
      <c r="M138" s="1061"/>
      <c r="N138" s="1062">
        <f t="shared" si="122"/>
        <v>0</v>
      </c>
      <c r="O138" s="1063">
        <f t="shared" si="123"/>
        <v>1</v>
      </c>
      <c r="P138" s="1016">
        <f t="shared" si="124"/>
        <v>0</v>
      </c>
      <c r="Q138" s="1017">
        <v>0</v>
      </c>
      <c r="R138" s="1061"/>
      <c r="S138" s="1062">
        <f t="shared" si="125"/>
        <v>0</v>
      </c>
      <c r="T138" s="1063">
        <f t="shared" si="126"/>
        <v>1</v>
      </c>
      <c r="U138" s="1016">
        <f t="shared" si="153"/>
        <v>0</v>
      </c>
      <c r="V138" s="1017">
        <v>0</v>
      </c>
      <c r="W138" s="1061"/>
      <c r="X138" s="1062">
        <f t="shared" si="127"/>
        <v>0</v>
      </c>
      <c r="Y138" s="1063">
        <f t="shared" si="128"/>
        <v>1</v>
      </c>
      <c r="Z138" s="1016">
        <f t="shared" si="154"/>
        <v>0</v>
      </c>
      <c r="AA138" s="1017">
        <v>0</v>
      </c>
      <c r="AB138" s="1061"/>
      <c r="AC138" s="1062">
        <f t="shared" si="129"/>
        <v>0</v>
      </c>
      <c r="AD138" s="1063">
        <f t="shared" si="130"/>
        <v>1</v>
      </c>
      <c r="AE138" s="1016">
        <f t="shared" si="155"/>
        <v>0</v>
      </c>
      <c r="AF138" s="1017">
        <v>0</v>
      </c>
      <c r="AG138" s="1061"/>
      <c r="AH138" s="1062">
        <f t="shared" si="131"/>
        <v>0</v>
      </c>
      <c r="AI138" s="1063">
        <f t="shared" si="132"/>
        <v>1</v>
      </c>
      <c r="AJ138" s="1016">
        <f t="shared" si="156"/>
        <v>0</v>
      </c>
      <c r="AK138" s="1017">
        <v>0</v>
      </c>
      <c r="AL138" s="1061"/>
      <c r="AM138" s="1062">
        <f t="shared" si="133"/>
        <v>0</v>
      </c>
      <c r="AN138" s="1063">
        <f t="shared" si="134"/>
        <v>1</v>
      </c>
      <c r="AO138" s="1016">
        <f t="shared" si="157"/>
        <v>0</v>
      </c>
      <c r="AP138" s="1017">
        <v>0</v>
      </c>
      <c r="AQ138" s="1061"/>
      <c r="AR138" s="1062">
        <f t="shared" si="135"/>
        <v>0</v>
      </c>
      <c r="AS138" s="1063">
        <f t="shared" si="136"/>
        <v>1</v>
      </c>
      <c r="AT138" s="1016">
        <f t="shared" si="158"/>
        <v>0</v>
      </c>
      <c r="AU138" s="1017">
        <v>0</v>
      </c>
      <c r="AV138" s="1061"/>
      <c r="AW138" s="1062">
        <f t="shared" si="137"/>
        <v>0</v>
      </c>
      <c r="AX138" s="1063">
        <f t="shared" si="138"/>
        <v>1</v>
      </c>
      <c r="AY138" s="1016">
        <f t="shared" si="159"/>
        <v>0</v>
      </c>
      <c r="AZ138" s="1017">
        <v>0</v>
      </c>
      <c r="BA138" s="1061"/>
      <c r="BB138" s="1062">
        <f t="shared" si="139"/>
        <v>0</v>
      </c>
      <c r="BC138" s="1063">
        <f t="shared" si="140"/>
        <v>1</v>
      </c>
      <c r="BD138" s="1016">
        <f t="shared" si="160"/>
        <v>0</v>
      </c>
      <c r="BE138" s="1017">
        <v>0</v>
      </c>
      <c r="BF138" s="1061"/>
      <c r="BG138" s="1062">
        <f t="shared" si="141"/>
        <v>0</v>
      </c>
      <c r="BH138" s="1039">
        <f t="shared" si="142"/>
        <v>0</v>
      </c>
      <c r="BI138" s="1038">
        <f t="shared" si="143"/>
        <v>0</v>
      </c>
      <c r="BJ138" s="1027"/>
      <c r="BK138" s="1060"/>
      <c r="BL138" s="1040">
        <f t="shared" si="144"/>
        <v>0</v>
      </c>
      <c r="BM138" s="1038">
        <f t="shared" si="145"/>
        <v>0</v>
      </c>
      <c r="BN138" s="1027"/>
      <c r="BO138" s="1060"/>
      <c r="BP138" s="95">
        <f t="shared" si="146"/>
        <v>0</v>
      </c>
      <c r="BQ138" s="640">
        <f t="shared" si="147"/>
        <v>0</v>
      </c>
      <c r="BS138" s="94">
        <f t="shared" si="148"/>
        <v>0.55000000000000004</v>
      </c>
      <c r="BU138" s="632">
        <f t="shared" si="149"/>
        <v>0</v>
      </c>
      <c r="BV138" s="398"/>
      <c r="BW138" s="405" t="s">
        <v>450</v>
      </c>
      <c r="BX138" s="323">
        <v>220005.75</v>
      </c>
      <c r="CD138" s="398">
        <v>0.1</v>
      </c>
      <c r="CI138" s="96"/>
    </row>
    <row r="139" spans="1:87" ht="14.25" thickTop="1" thickBot="1">
      <c r="A139" s="57"/>
      <c r="B139" s="92">
        <v>9</v>
      </c>
      <c r="C139" s="255">
        <f t="shared" si="120"/>
        <v>0</v>
      </c>
      <c r="D139" s="93" t="str">
        <f t="shared" si="120"/>
        <v>Торговый дом ЦУМ ОАО</v>
      </c>
      <c r="E139" s="93" t="str">
        <f t="shared" si="120"/>
        <v>Freestock 2021</v>
      </c>
      <c r="F139" s="93" t="str">
        <f t="shared" si="120"/>
        <v>60 credit days</v>
      </c>
      <c r="G139" s="93"/>
      <c r="H139" s="678">
        <f t="shared" si="150"/>
        <v>2.5</v>
      </c>
      <c r="I139" s="679">
        <f t="shared" si="121"/>
        <v>0.6</v>
      </c>
      <c r="J139" s="633">
        <f t="shared" si="151"/>
        <v>1</v>
      </c>
      <c r="K139" s="1016">
        <f t="shared" si="152"/>
        <v>0</v>
      </c>
      <c r="L139" s="1017">
        <v>0</v>
      </c>
      <c r="M139" s="1061"/>
      <c r="N139" s="1062">
        <f t="shared" si="122"/>
        <v>0</v>
      </c>
      <c r="O139" s="1063">
        <f t="shared" si="123"/>
        <v>1</v>
      </c>
      <c r="P139" s="1016">
        <f t="shared" si="124"/>
        <v>0</v>
      </c>
      <c r="Q139" s="1017">
        <v>0</v>
      </c>
      <c r="R139" s="1061"/>
      <c r="S139" s="1062">
        <f t="shared" si="125"/>
        <v>0</v>
      </c>
      <c r="T139" s="1063">
        <f t="shared" si="126"/>
        <v>1</v>
      </c>
      <c r="U139" s="1016">
        <f t="shared" si="153"/>
        <v>0</v>
      </c>
      <c r="V139" s="1017">
        <v>0</v>
      </c>
      <c r="W139" s="1061"/>
      <c r="X139" s="1062">
        <f t="shared" si="127"/>
        <v>0</v>
      </c>
      <c r="Y139" s="1063">
        <f t="shared" si="128"/>
        <v>1</v>
      </c>
      <c r="Z139" s="1016">
        <f t="shared" si="154"/>
        <v>0</v>
      </c>
      <c r="AA139" s="1017">
        <v>0</v>
      </c>
      <c r="AB139" s="1061"/>
      <c r="AC139" s="1062">
        <f t="shared" si="129"/>
        <v>0</v>
      </c>
      <c r="AD139" s="1063">
        <f t="shared" si="130"/>
        <v>1</v>
      </c>
      <c r="AE139" s="1016">
        <f t="shared" si="155"/>
        <v>0</v>
      </c>
      <c r="AF139" s="1017">
        <v>0</v>
      </c>
      <c r="AG139" s="1061"/>
      <c r="AH139" s="1062">
        <f t="shared" si="131"/>
        <v>0</v>
      </c>
      <c r="AI139" s="1063">
        <f t="shared" si="132"/>
        <v>1</v>
      </c>
      <c r="AJ139" s="1016">
        <f t="shared" si="156"/>
        <v>0</v>
      </c>
      <c r="AK139" s="1017">
        <v>0</v>
      </c>
      <c r="AL139" s="1061"/>
      <c r="AM139" s="1062">
        <f t="shared" si="133"/>
        <v>0</v>
      </c>
      <c r="AN139" s="1063">
        <f t="shared" si="134"/>
        <v>1</v>
      </c>
      <c r="AO139" s="1016">
        <f t="shared" si="157"/>
        <v>0</v>
      </c>
      <c r="AP139" s="1017">
        <v>0</v>
      </c>
      <c r="AQ139" s="1061"/>
      <c r="AR139" s="1062">
        <f t="shared" si="135"/>
        <v>0</v>
      </c>
      <c r="AS139" s="1063">
        <f t="shared" si="136"/>
        <v>1</v>
      </c>
      <c r="AT139" s="1016">
        <f t="shared" si="158"/>
        <v>0</v>
      </c>
      <c r="AU139" s="1017">
        <v>0</v>
      </c>
      <c r="AV139" s="1061"/>
      <c r="AW139" s="1062">
        <f t="shared" si="137"/>
        <v>0</v>
      </c>
      <c r="AX139" s="1063">
        <f t="shared" si="138"/>
        <v>1</v>
      </c>
      <c r="AY139" s="1016">
        <f t="shared" si="159"/>
        <v>0</v>
      </c>
      <c r="AZ139" s="1017">
        <v>0</v>
      </c>
      <c r="BA139" s="1061"/>
      <c r="BB139" s="1062">
        <f t="shared" si="139"/>
        <v>0</v>
      </c>
      <c r="BC139" s="1063">
        <f t="shared" si="140"/>
        <v>1</v>
      </c>
      <c r="BD139" s="1016">
        <f t="shared" si="160"/>
        <v>0</v>
      </c>
      <c r="BE139" s="1017">
        <v>0</v>
      </c>
      <c r="BF139" s="1061"/>
      <c r="BG139" s="1062">
        <f t="shared" si="141"/>
        <v>0</v>
      </c>
      <c r="BH139" s="1039">
        <f t="shared" si="142"/>
        <v>0</v>
      </c>
      <c r="BI139" s="1038">
        <f t="shared" si="143"/>
        <v>0</v>
      </c>
      <c r="BJ139" s="1027"/>
      <c r="BK139" s="1060"/>
      <c r="BL139" s="1040">
        <f t="shared" si="144"/>
        <v>0</v>
      </c>
      <c r="BM139" s="1038">
        <f t="shared" si="145"/>
        <v>0</v>
      </c>
      <c r="BN139" s="1027"/>
      <c r="BO139" s="1060"/>
      <c r="BP139" s="95">
        <f t="shared" si="146"/>
        <v>0</v>
      </c>
      <c r="BQ139" s="640">
        <f t="shared" si="147"/>
        <v>0</v>
      </c>
      <c r="BS139" s="94">
        <f t="shared" si="148"/>
        <v>0.6</v>
      </c>
      <c r="BU139" s="632">
        <f t="shared" si="149"/>
        <v>0</v>
      </c>
      <c r="BV139" s="398"/>
      <c r="BW139" s="405" t="s">
        <v>453</v>
      </c>
      <c r="BX139" s="323">
        <v>504320</v>
      </c>
      <c r="CI139" s="96"/>
    </row>
    <row r="140" spans="1:87" ht="14.25" thickTop="1" thickBot="1">
      <c r="A140" s="57"/>
      <c r="B140" s="92">
        <v>10</v>
      </c>
      <c r="C140" s="255">
        <f t="shared" si="120"/>
        <v>0</v>
      </c>
      <c r="D140" s="93" t="str">
        <f t="shared" si="120"/>
        <v>ОФФПРАЙС ООО</v>
      </c>
      <c r="E140" s="93" t="str">
        <f t="shared" si="120"/>
        <v>Freestock 2021</v>
      </c>
      <c r="F140" s="93" t="str">
        <f t="shared" si="120"/>
        <v>Prepayment</v>
      </c>
      <c r="G140" s="93"/>
      <c r="H140" s="678">
        <f t="shared" si="150"/>
        <v>4</v>
      </c>
      <c r="I140" s="679">
        <f t="shared" si="121"/>
        <v>0.75</v>
      </c>
      <c r="J140" s="633">
        <f t="shared" si="151"/>
        <v>1</v>
      </c>
      <c r="K140" s="1016">
        <f t="shared" si="152"/>
        <v>0</v>
      </c>
      <c r="L140" s="1017">
        <v>0</v>
      </c>
      <c r="M140" s="1061"/>
      <c r="N140" s="1062">
        <f t="shared" si="122"/>
        <v>0</v>
      </c>
      <c r="O140" s="1063">
        <f t="shared" si="123"/>
        <v>1</v>
      </c>
      <c r="P140" s="1016">
        <f t="shared" si="124"/>
        <v>0</v>
      </c>
      <c r="Q140" s="1017">
        <v>0</v>
      </c>
      <c r="R140" s="1061"/>
      <c r="S140" s="1062">
        <f t="shared" si="125"/>
        <v>0</v>
      </c>
      <c r="T140" s="1063">
        <f t="shared" si="126"/>
        <v>1</v>
      </c>
      <c r="U140" s="1016">
        <f t="shared" si="153"/>
        <v>0</v>
      </c>
      <c r="V140" s="1017">
        <v>0</v>
      </c>
      <c r="W140" s="1061"/>
      <c r="X140" s="1062">
        <f t="shared" si="127"/>
        <v>0</v>
      </c>
      <c r="Y140" s="1063">
        <f t="shared" si="128"/>
        <v>1</v>
      </c>
      <c r="Z140" s="1016">
        <f t="shared" si="154"/>
        <v>0</v>
      </c>
      <c r="AA140" s="1017">
        <v>0</v>
      </c>
      <c r="AB140" s="1061"/>
      <c r="AC140" s="1062">
        <f t="shared" si="129"/>
        <v>0</v>
      </c>
      <c r="AD140" s="1063">
        <f t="shared" si="130"/>
        <v>1</v>
      </c>
      <c r="AE140" s="1016">
        <f t="shared" si="155"/>
        <v>0</v>
      </c>
      <c r="AF140" s="1017">
        <v>0</v>
      </c>
      <c r="AG140" s="1061"/>
      <c r="AH140" s="1062">
        <f t="shared" si="131"/>
        <v>0</v>
      </c>
      <c r="AI140" s="1063">
        <f t="shared" si="132"/>
        <v>1</v>
      </c>
      <c r="AJ140" s="1016">
        <f t="shared" si="156"/>
        <v>0</v>
      </c>
      <c r="AK140" s="1017">
        <v>0</v>
      </c>
      <c r="AL140" s="1061"/>
      <c r="AM140" s="1062">
        <f t="shared" si="133"/>
        <v>0</v>
      </c>
      <c r="AN140" s="1063">
        <f t="shared" si="134"/>
        <v>1</v>
      </c>
      <c r="AO140" s="1016">
        <f t="shared" si="157"/>
        <v>0</v>
      </c>
      <c r="AP140" s="1017">
        <v>0</v>
      </c>
      <c r="AQ140" s="1061"/>
      <c r="AR140" s="1062">
        <f t="shared" si="135"/>
        <v>0</v>
      </c>
      <c r="AS140" s="1063">
        <f t="shared" si="136"/>
        <v>1</v>
      </c>
      <c r="AT140" s="1016">
        <f t="shared" si="158"/>
        <v>0</v>
      </c>
      <c r="AU140" s="1017">
        <v>0</v>
      </c>
      <c r="AV140" s="1061"/>
      <c r="AW140" s="1062">
        <f t="shared" si="137"/>
        <v>0</v>
      </c>
      <c r="AX140" s="1063">
        <f t="shared" si="138"/>
        <v>1</v>
      </c>
      <c r="AY140" s="1016">
        <f t="shared" si="159"/>
        <v>0</v>
      </c>
      <c r="AZ140" s="1017">
        <v>0</v>
      </c>
      <c r="BA140" s="1061"/>
      <c r="BB140" s="1062">
        <f t="shared" si="139"/>
        <v>0</v>
      </c>
      <c r="BC140" s="1063">
        <f t="shared" si="140"/>
        <v>1</v>
      </c>
      <c r="BD140" s="1016">
        <f t="shared" si="160"/>
        <v>0</v>
      </c>
      <c r="BE140" s="1017">
        <v>0</v>
      </c>
      <c r="BF140" s="1061"/>
      <c r="BG140" s="1062">
        <f t="shared" si="141"/>
        <v>0</v>
      </c>
      <c r="BH140" s="1039">
        <f t="shared" si="142"/>
        <v>0</v>
      </c>
      <c r="BI140" s="1038">
        <f t="shared" si="143"/>
        <v>0</v>
      </c>
      <c r="BJ140" s="1027"/>
      <c r="BK140" s="1060"/>
      <c r="BL140" s="1040">
        <f t="shared" si="144"/>
        <v>0</v>
      </c>
      <c r="BM140" s="1038">
        <f t="shared" si="145"/>
        <v>0</v>
      </c>
      <c r="BN140" s="1027"/>
      <c r="BO140" s="1060"/>
      <c r="BP140" s="95">
        <f t="shared" si="146"/>
        <v>0</v>
      </c>
      <c r="BQ140" s="640">
        <f t="shared" si="147"/>
        <v>0</v>
      </c>
      <c r="BS140" s="94">
        <f t="shared" si="148"/>
        <v>0.75</v>
      </c>
      <c r="BU140" s="632">
        <f t="shared" si="149"/>
        <v>0</v>
      </c>
      <c r="BV140" s="398"/>
      <c r="BW140" s="405" t="s">
        <v>450</v>
      </c>
      <c r="BX140" s="323">
        <v>112577.31</v>
      </c>
      <c r="CD140" s="398">
        <v>0.1</v>
      </c>
      <c r="CI140" s="96"/>
    </row>
    <row r="141" spans="1:87" ht="14.25" thickTop="1" thickBot="1">
      <c r="A141" s="57"/>
      <c r="B141" s="92">
        <v>11</v>
      </c>
      <c r="C141" s="255">
        <f t="shared" si="120"/>
        <v>0</v>
      </c>
      <c r="D141" s="93">
        <f t="shared" si="120"/>
        <v>0</v>
      </c>
      <c r="E141" s="93">
        <f t="shared" si="120"/>
        <v>0</v>
      </c>
      <c r="F141" s="93">
        <f t="shared" si="120"/>
        <v>0</v>
      </c>
      <c r="G141" s="93"/>
      <c r="H141" s="678">
        <f t="shared" si="150"/>
        <v>1</v>
      </c>
      <c r="I141" s="679">
        <f t="shared" si="121"/>
        <v>0</v>
      </c>
      <c r="J141" s="633">
        <f t="shared" si="151"/>
        <v>1</v>
      </c>
      <c r="K141" s="1016">
        <f t="shared" si="152"/>
        <v>0</v>
      </c>
      <c r="L141" s="1017">
        <v>0</v>
      </c>
      <c r="M141" s="1061"/>
      <c r="N141" s="1062">
        <f t="shared" si="122"/>
        <v>0</v>
      </c>
      <c r="O141" s="1063">
        <f t="shared" si="123"/>
        <v>1</v>
      </c>
      <c r="P141" s="1016">
        <f t="shared" si="124"/>
        <v>0</v>
      </c>
      <c r="Q141" s="1017">
        <v>0</v>
      </c>
      <c r="R141" s="1061"/>
      <c r="S141" s="1062">
        <f t="shared" si="125"/>
        <v>0</v>
      </c>
      <c r="T141" s="1063">
        <f t="shared" si="126"/>
        <v>1</v>
      </c>
      <c r="U141" s="1016">
        <f t="shared" si="153"/>
        <v>0</v>
      </c>
      <c r="V141" s="1017">
        <v>0</v>
      </c>
      <c r="W141" s="1061"/>
      <c r="X141" s="1062">
        <f t="shared" si="127"/>
        <v>0</v>
      </c>
      <c r="Y141" s="1063">
        <f t="shared" si="128"/>
        <v>1</v>
      </c>
      <c r="Z141" s="1016">
        <f t="shared" si="154"/>
        <v>0</v>
      </c>
      <c r="AA141" s="1017">
        <v>0</v>
      </c>
      <c r="AB141" s="1061"/>
      <c r="AC141" s="1062">
        <f t="shared" si="129"/>
        <v>0</v>
      </c>
      <c r="AD141" s="1063">
        <f t="shared" si="130"/>
        <v>1</v>
      </c>
      <c r="AE141" s="1016">
        <f t="shared" si="155"/>
        <v>0</v>
      </c>
      <c r="AF141" s="1017">
        <v>0</v>
      </c>
      <c r="AG141" s="1061"/>
      <c r="AH141" s="1062">
        <f t="shared" si="131"/>
        <v>0</v>
      </c>
      <c r="AI141" s="1063">
        <f t="shared" si="132"/>
        <v>1</v>
      </c>
      <c r="AJ141" s="1016">
        <f t="shared" si="156"/>
        <v>0</v>
      </c>
      <c r="AK141" s="1017">
        <v>0</v>
      </c>
      <c r="AL141" s="1061"/>
      <c r="AM141" s="1062">
        <f t="shared" si="133"/>
        <v>0</v>
      </c>
      <c r="AN141" s="1063">
        <f t="shared" si="134"/>
        <v>1</v>
      </c>
      <c r="AO141" s="1016">
        <f t="shared" si="157"/>
        <v>0</v>
      </c>
      <c r="AP141" s="1017">
        <v>0</v>
      </c>
      <c r="AQ141" s="1061"/>
      <c r="AR141" s="1062">
        <f t="shared" si="135"/>
        <v>0</v>
      </c>
      <c r="AS141" s="1063">
        <f t="shared" si="136"/>
        <v>1</v>
      </c>
      <c r="AT141" s="1016">
        <f t="shared" si="158"/>
        <v>0</v>
      </c>
      <c r="AU141" s="1017">
        <v>0</v>
      </c>
      <c r="AV141" s="1061"/>
      <c r="AW141" s="1062">
        <f t="shared" si="137"/>
        <v>0</v>
      </c>
      <c r="AX141" s="1063">
        <f t="shared" si="138"/>
        <v>1</v>
      </c>
      <c r="AY141" s="1016">
        <f t="shared" si="159"/>
        <v>0</v>
      </c>
      <c r="AZ141" s="1017">
        <v>0</v>
      </c>
      <c r="BA141" s="1061"/>
      <c r="BB141" s="1062">
        <f t="shared" si="139"/>
        <v>0</v>
      </c>
      <c r="BC141" s="1063">
        <f t="shared" si="140"/>
        <v>1</v>
      </c>
      <c r="BD141" s="1016">
        <f t="shared" si="160"/>
        <v>0</v>
      </c>
      <c r="BE141" s="1017">
        <v>0</v>
      </c>
      <c r="BF141" s="1061"/>
      <c r="BG141" s="1062">
        <f t="shared" si="141"/>
        <v>0</v>
      </c>
      <c r="BH141" s="1039">
        <f t="shared" si="142"/>
        <v>0</v>
      </c>
      <c r="BI141" s="1038">
        <f t="shared" si="143"/>
        <v>0</v>
      </c>
      <c r="BJ141" s="1027"/>
      <c r="BK141" s="1060"/>
      <c r="BL141" s="1040">
        <f t="shared" si="144"/>
        <v>0</v>
      </c>
      <c r="BM141" s="1038">
        <f t="shared" si="145"/>
        <v>0</v>
      </c>
      <c r="BN141" s="1027"/>
      <c r="BO141" s="1060"/>
      <c r="BP141" s="95">
        <f t="shared" si="146"/>
        <v>0</v>
      </c>
      <c r="BQ141" s="640">
        <f t="shared" si="147"/>
        <v>0</v>
      </c>
      <c r="BS141" s="94">
        <f t="shared" si="148"/>
        <v>0</v>
      </c>
      <c r="BU141" s="632">
        <f t="shared" si="149"/>
        <v>0</v>
      </c>
      <c r="BV141" s="398"/>
      <c r="BW141" s="405" t="s">
        <v>453</v>
      </c>
      <c r="BX141" s="323">
        <v>66170</v>
      </c>
      <c r="CI141" s="96"/>
    </row>
    <row r="142" spans="1:87" ht="14.25" thickTop="1" thickBot="1">
      <c r="A142" s="57"/>
      <c r="B142" s="92">
        <v>12</v>
      </c>
      <c r="C142" s="255">
        <f t="shared" si="120"/>
        <v>0</v>
      </c>
      <c r="D142" s="93">
        <f t="shared" si="120"/>
        <v>0</v>
      </c>
      <c r="E142" s="93">
        <f t="shared" si="120"/>
        <v>0</v>
      </c>
      <c r="F142" s="93">
        <f t="shared" si="120"/>
        <v>0</v>
      </c>
      <c r="G142" s="93"/>
      <c r="H142" s="678">
        <f t="shared" si="150"/>
        <v>1</v>
      </c>
      <c r="I142" s="679">
        <f t="shared" si="121"/>
        <v>0</v>
      </c>
      <c r="J142" s="633">
        <f t="shared" si="151"/>
        <v>1</v>
      </c>
      <c r="K142" s="1016">
        <f t="shared" si="152"/>
        <v>0</v>
      </c>
      <c r="L142" s="1017">
        <v>0</v>
      </c>
      <c r="M142" s="1061"/>
      <c r="N142" s="1062">
        <f t="shared" si="122"/>
        <v>0</v>
      </c>
      <c r="O142" s="1063">
        <f t="shared" si="123"/>
        <v>1</v>
      </c>
      <c r="P142" s="1016">
        <f t="shared" si="124"/>
        <v>0</v>
      </c>
      <c r="Q142" s="1017">
        <v>0</v>
      </c>
      <c r="R142" s="1061"/>
      <c r="S142" s="1062">
        <f t="shared" si="125"/>
        <v>0</v>
      </c>
      <c r="T142" s="1063">
        <f t="shared" si="126"/>
        <v>1</v>
      </c>
      <c r="U142" s="1016">
        <f t="shared" si="153"/>
        <v>0</v>
      </c>
      <c r="V142" s="1017">
        <v>0</v>
      </c>
      <c r="W142" s="1061"/>
      <c r="X142" s="1062">
        <f t="shared" si="127"/>
        <v>0</v>
      </c>
      <c r="Y142" s="1063">
        <f t="shared" si="128"/>
        <v>1</v>
      </c>
      <c r="Z142" s="1016">
        <f t="shared" si="154"/>
        <v>0</v>
      </c>
      <c r="AA142" s="1017">
        <v>0</v>
      </c>
      <c r="AB142" s="1061"/>
      <c r="AC142" s="1062">
        <f t="shared" si="129"/>
        <v>0</v>
      </c>
      <c r="AD142" s="1063">
        <f t="shared" si="130"/>
        <v>1</v>
      </c>
      <c r="AE142" s="1016">
        <f t="shared" si="155"/>
        <v>0</v>
      </c>
      <c r="AF142" s="1017">
        <v>0</v>
      </c>
      <c r="AG142" s="1061"/>
      <c r="AH142" s="1062">
        <f t="shared" si="131"/>
        <v>0</v>
      </c>
      <c r="AI142" s="1063">
        <f t="shared" si="132"/>
        <v>1</v>
      </c>
      <c r="AJ142" s="1016">
        <f t="shared" si="156"/>
        <v>0</v>
      </c>
      <c r="AK142" s="1017">
        <v>0</v>
      </c>
      <c r="AL142" s="1061"/>
      <c r="AM142" s="1062">
        <f t="shared" si="133"/>
        <v>0</v>
      </c>
      <c r="AN142" s="1063">
        <f t="shared" si="134"/>
        <v>1</v>
      </c>
      <c r="AO142" s="1016">
        <f t="shared" si="157"/>
        <v>0</v>
      </c>
      <c r="AP142" s="1017">
        <v>0</v>
      </c>
      <c r="AQ142" s="1061"/>
      <c r="AR142" s="1062">
        <f t="shared" si="135"/>
        <v>0</v>
      </c>
      <c r="AS142" s="1063">
        <f t="shared" si="136"/>
        <v>1</v>
      </c>
      <c r="AT142" s="1016">
        <f t="shared" si="158"/>
        <v>0</v>
      </c>
      <c r="AU142" s="1017">
        <v>0</v>
      </c>
      <c r="AV142" s="1061"/>
      <c r="AW142" s="1062">
        <f t="shared" si="137"/>
        <v>0</v>
      </c>
      <c r="AX142" s="1063">
        <f t="shared" si="138"/>
        <v>1</v>
      </c>
      <c r="AY142" s="1016">
        <f t="shared" si="159"/>
        <v>0</v>
      </c>
      <c r="AZ142" s="1017">
        <v>0</v>
      </c>
      <c r="BA142" s="1061"/>
      <c r="BB142" s="1062">
        <f t="shared" si="139"/>
        <v>0</v>
      </c>
      <c r="BC142" s="1063">
        <f t="shared" si="140"/>
        <v>1</v>
      </c>
      <c r="BD142" s="1016">
        <f t="shared" si="160"/>
        <v>0</v>
      </c>
      <c r="BE142" s="1017">
        <v>0</v>
      </c>
      <c r="BF142" s="1061"/>
      <c r="BG142" s="1062">
        <f t="shared" si="141"/>
        <v>0</v>
      </c>
      <c r="BH142" s="1039">
        <f t="shared" si="142"/>
        <v>0</v>
      </c>
      <c r="BI142" s="1038">
        <f t="shared" si="143"/>
        <v>0</v>
      </c>
      <c r="BJ142" s="1027"/>
      <c r="BK142" s="1060"/>
      <c r="BL142" s="1040">
        <f t="shared" si="144"/>
        <v>0</v>
      </c>
      <c r="BM142" s="1038">
        <f t="shared" si="145"/>
        <v>0</v>
      </c>
      <c r="BN142" s="1027"/>
      <c r="BO142" s="1060"/>
      <c r="BP142" s="95">
        <f t="shared" si="146"/>
        <v>0</v>
      </c>
      <c r="BQ142" s="640">
        <f t="shared" si="147"/>
        <v>0</v>
      </c>
      <c r="BS142" s="94">
        <f t="shared" si="148"/>
        <v>0</v>
      </c>
      <c r="BU142" s="632">
        <f t="shared" si="149"/>
        <v>0</v>
      </c>
      <c r="BV142" s="398"/>
      <c r="BW142" s="405" t="s">
        <v>450</v>
      </c>
      <c r="BX142" s="323">
        <v>289506.229375</v>
      </c>
      <c r="CD142" s="398">
        <v>0.1</v>
      </c>
      <c r="CI142" s="96"/>
    </row>
    <row r="143" spans="1:87" ht="14.25" thickTop="1" thickBot="1">
      <c r="A143" s="57"/>
      <c r="B143" s="92">
        <v>13</v>
      </c>
      <c r="C143" s="255">
        <f t="shared" si="120"/>
        <v>0</v>
      </c>
      <c r="D143" s="93">
        <f t="shared" si="120"/>
        <v>0</v>
      </c>
      <c r="E143" s="93">
        <f t="shared" si="120"/>
        <v>0</v>
      </c>
      <c r="F143" s="93">
        <f t="shared" si="120"/>
        <v>0</v>
      </c>
      <c r="G143" s="93"/>
      <c r="H143" s="678">
        <f t="shared" si="150"/>
        <v>1</v>
      </c>
      <c r="I143" s="679">
        <f t="shared" si="121"/>
        <v>0</v>
      </c>
      <c r="J143" s="633">
        <f t="shared" si="151"/>
        <v>1</v>
      </c>
      <c r="K143" s="1016">
        <f t="shared" si="152"/>
        <v>0</v>
      </c>
      <c r="L143" s="1017">
        <v>0</v>
      </c>
      <c r="M143" s="1061"/>
      <c r="N143" s="1062">
        <f t="shared" si="122"/>
        <v>0</v>
      </c>
      <c r="O143" s="1063">
        <f t="shared" si="123"/>
        <v>1</v>
      </c>
      <c r="P143" s="1016">
        <f t="shared" si="124"/>
        <v>0</v>
      </c>
      <c r="Q143" s="1017">
        <v>0</v>
      </c>
      <c r="R143" s="1061"/>
      <c r="S143" s="1062">
        <f t="shared" si="125"/>
        <v>0</v>
      </c>
      <c r="T143" s="1063">
        <f t="shared" si="126"/>
        <v>1</v>
      </c>
      <c r="U143" s="1016">
        <f t="shared" si="153"/>
        <v>0</v>
      </c>
      <c r="V143" s="1017">
        <v>0</v>
      </c>
      <c r="W143" s="1061"/>
      <c r="X143" s="1062">
        <f t="shared" si="127"/>
        <v>0</v>
      </c>
      <c r="Y143" s="1063">
        <f t="shared" si="128"/>
        <v>1</v>
      </c>
      <c r="Z143" s="1016">
        <f t="shared" si="154"/>
        <v>0</v>
      </c>
      <c r="AA143" s="1017">
        <v>0</v>
      </c>
      <c r="AB143" s="1061"/>
      <c r="AC143" s="1062">
        <f t="shared" si="129"/>
        <v>0</v>
      </c>
      <c r="AD143" s="1063">
        <f t="shared" si="130"/>
        <v>1</v>
      </c>
      <c r="AE143" s="1016">
        <f t="shared" si="155"/>
        <v>0</v>
      </c>
      <c r="AF143" s="1017">
        <v>0</v>
      </c>
      <c r="AG143" s="1061"/>
      <c r="AH143" s="1062">
        <f t="shared" si="131"/>
        <v>0</v>
      </c>
      <c r="AI143" s="1063">
        <f t="shared" si="132"/>
        <v>1</v>
      </c>
      <c r="AJ143" s="1016">
        <f t="shared" si="156"/>
        <v>0</v>
      </c>
      <c r="AK143" s="1017">
        <v>0</v>
      </c>
      <c r="AL143" s="1061"/>
      <c r="AM143" s="1062">
        <f t="shared" si="133"/>
        <v>0</v>
      </c>
      <c r="AN143" s="1063">
        <f t="shared" si="134"/>
        <v>1</v>
      </c>
      <c r="AO143" s="1016">
        <f t="shared" si="157"/>
        <v>0</v>
      </c>
      <c r="AP143" s="1017">
        <v>0</v>
      </c>
      <c r="AQ143" s="1061"/>
      <c r="AR143" s="1062">
        <f t="shared" si="135"/>
        <v>0</v>
      </c>
      <c r="AS143" s="1063">
        <f t="shared" si="136"/>
        <v>1</v>
      </c>
      <c r="AT143" s="1016">
        <f t="shared" si="158"/>
        <v>0</v>
      </c>
      <c r="AU143" s="1017">
        <v>0</v>
      </c>
      <c r="AV143" s="1061"/>
      <c r="AW143" s="1062">
        <f t="shared" si="137"/>
        <v>0</v>
      </c>
      <c r="AX143" s="1063">
        <f t="shared" si="138"/>
        <v>1</v>
      </c>
      <c r="AY143" s="1016">
        <f t="shared" si="159"/>
        <v>0</v>
      </c>
      <c r="AZ143" s="1017">
        <v>0</v>
      </c>
      <c r="BA143" s="1061"/>
      <c r="BB143" s="1062">
        <f t="shared" si="139"/>
        <v>0</v>
      </c>
      <c r="BC143" s="1063">
        <f t="shared" si="140"/>
        <v>1</v>
      </c>
      <c r="BD143" s="1016">
        <f t="shared" si="160"/>
        <v>0</v>
      </c>
      <c r="BE143" s="1017">
        <v>0</v>
      </c>
      <c r="BF143" s="1061"/>
      <c r="BG143" s="1062">
        <f t="shared" si="141"/>
        <v>0</v>
      </c>
      <c r="BH143" s="1039">
        <f t="shared" si="142"/>
        <v>0</v>
      </c>
      <c r="BI143" s="1038">
        <f t="shared" si="143"/>
        <v>0</v>
      </c>
      <c r="BJ143" s="1027"/>
      <c r="BK143" s="1060"/>
      <c r="BL143" s="1040">
        <f t="shared" si="144"/>
        <v>0</v>
      </c>
      <c r="BM143" s="1038">
        <f t="shared" si="145"/>
        <v>0</v>
      </c>
      <c r="BN143" s="1027"/>
      <c r="BO143" s="1060"/>
      <c r="BP143" s="95">
        <f t="shared" si="146"/>
        <v>0</v>
      </c>
      <c r="BQ143" s="640">
        <f t="shared" si="147"/>
        <v>0</v>
      </c>
      <c r="BS143" s="94">
        <f t="shared" si="148"/>
        <v>0</v>
      </c>
      <c r="BU143" s="632">
        <f t="shared" si="149"/>
        <v>0</v>
      </c>
      <c r="BV143" s="398"/>
      <c r="BW143" s="405" t="s">
        <v>450</v>
      </c>
      <c r="BX143" s="323">
        <v>103989.69</v>
      </c>
      <c r="CD143" s="398">
        <v>0.1</v>
      </c>
      <c r="CI143" s="96"/>
    </row>
    <row r="144" spans="1:87" ht="14.25" thickTop="1" thickBot="1">
      <c r="A144" s="57"/>
      <c r="B144" s="92">
        <v>14</v>
      </c>
      <c r="C144" s="255">
        <f t="shared" si="120"/>
        <v>0</v>
      </c>
      <c r="D144" s="93">
        <f t="shared" si="120"/>
        <v>0</v>
      </c>
      <c r="E144" s="93">
        <f t="shared" si="120"/>
        <v>0</v>
      </c>
      <c r="F144" s="93">
        <f t="shared" si="120"/>
        <v>0</v>
      </c>
      <c r="G144" s="93"/>
      <c r="H144" s="678">
        <f t="shared" si="150"/>
        <v>1</v>
      </c>
      <c r="I144" s="679">
        <f t="shared" si="121"/>
        <v>0</v>
      </c>
      <c r="J144" s="633">
        <f t="shared" si="151"/>
        <v>1</v>
      </c>
      <c r="K144" s="1016">
        <f t="shared" si="152"/>
        <v>0</v>
      </c>
      <c r="L144" s="1017">
        <v>0</v>
      </c>
      <c r="M144" s="1061"/>
      <c r="N144" s="1062">
        <f t="shared" si="122"/>
        <v>0</v>
      </c>
      <c r="O144" s="1063">
        <f t="shared" si="123"/>
        <v>1</v>
      </c>
      <c r="P144" s="1016">
        <f t="shared" si="124"/>
        <v>0</v>
      </c>
      <c r="Q144" s="1017">
        <v>0</v>
      </c>
      <c r="R144" s="1061"/>
      <c r="S144" s="1062">
        <f t="shared" si="125"/>
        <v>0</v>
      </c>
      <c r="T144" s="1063">
        <f t="shared" si="126"/>
        <v>1</v>
      </c>
      <c r="U144" s="1016">
        <f t="shared" si="153"/>
        <v>0</v>
      </c>
      <c r="V144" s="1017">
        <v>0</v>
      </c>
      <c r="W144" s="1061"/>
      <c r="X144" s="1062">
        <f t="shared" si="127"/>
        <v>0</v>
      </c>
      <c r="Y144" s="1063">
        <f t="shared" si="128"/>
        <v>1</v>
      </c>
      <c r="Z144" s="1016">
        <f t="shared" si="154"/>
        <v>0</v>
      </c>
      <c r="AA144" s="1017">
        <v>0</v>
      </c>
      <c r="AB144" s="1061"/>
      <c r="AC144" s="1062">
        <f t="shared" si="129"/>
        <v>0</v>
      </c>
      <c r="AD144" s="1063">
        <f t="shared" si="130"/>
        <v>1</v>
      </c>
      <c r="AE144" s="1016">
        <f t="shared" si="155"/>
        <v>0</v>
      </c>
      <c r="AF144" s="1017">
        <v>0</v>
      </c>
      <c r="AG144" s="1061"/>
      <c r="AH144" s="1062">
        <f t="shared" si="131"/>
        <v>0</v>
      </c>
      <c r="AI144" s="1063">
        <f t="shared" si="132"/>
        <v>1</v>
      </c>
      <c r="AJ144" s="1016">
        <f t="shared" si="156"/>
        <v>0</v>
      </c>
      <c r="AK144" s="1017">
        <v>0</v>
      </c>
      <c r="AL144" s="1061"/>
      <c r="AM144" s="1062">
        <f t="shared" si="133"/>
        <v>0</v>
      </c>
      <c r="AN144" s="1063">
        <f t="shared" si="134"/>
        <v>1</v>
      </c>
      <c r="AO144" s="1016">
        <f t="shared" si="157"/>
        <v>0</v>
      </c>
      <c r="AP144" s="1017">
        <v>0</v>
      </c>
      <c r="AQ144" s="1061"/>
      <c r="AR144" s="1062">
        <f t="shared" si="135"/>
        <v>0</v>
      </c>
      <c r="AS144" s="1063">
        <f t="shared" si="136"/>
        <v>1</v>
      </c>
      <c r="AT144" s="1016">
        <f t="shared" si="158"/>
        <v>0</v>
      </c>
      <c r="AU144" s="1017">
        <v>0</v>
      </c>
      <c r="AV144" s="1061"/>
      <c r="AW144" s="1062">
        <f t="shared" si="137"/>
        <v>0</v>
      </c>
      <c r="AX144" s="1063">
        <f t="shared" si="138"/>
        <v>1</v>
      </c>
      <c r="AY144" s="1016">
        <f t="shared" si="159"/>
        <v>0</v>
      </c>
      <c r="AZ144" s="1017">
        <v>0</v>
      </c>
      <c r="BA144" s="1061"/>
      <c r="BB144" s="1062">
        <f t="shared" si="139"/>
        <v>0</v>
      </c>
      <c r="BC144" s="1063">
        <f t="shared" si="140"/>
        <v>1</v>
      </c>
      <c r="BD144" s="1016">
        <f t="shared" si="160"/>
        <v>0</v>
      </c>
      <c r="BE144" s="1017">
        <v>0</v>
      </c>
      <c r="BF144" s="1061"/>
      <c r="BG144" s="1062">
        <f t="shared" si="141"/>
        <v>0</v>
      </c>
      <c r="BH144" s="1039">
        <f t="shared" si="142"/>
        <v>0</v>
      </c>
      <c r="BI144" s="1038">
        <f t="shared" si="143"/>
        <v>0</v>
      </c>
      <c r="BJ144" s="1027"/>
      <c r="BK144" s="1060"/>
      <c r="BL144" s="1040">
        <f t="shared" si="144"/>
        <v>0</v>
      </c>
      <c r="BM144" s="1038">
        <f t="shared" si="145"/>
        <v>0</v>
      </c>
      <c r="BN144" s="1027"/>
      <c r="BO144" s="1060"/>
      <c r="BP144" s="95">
        <f t="shared" si="146"/>
        <v>0</v>
      </c>
      <c r="BQ144" s="640">
        <f t="shared" si="147"/>
        <v>0</v>
      </c>
      <c r="BS144" s="94">
        <f t="shared" si="148"/>
        <v>0</v>
      </c>
      <c r="BU144" s="632">
        <f t="shared" si="149"/>
        <v>0</v>
      </c>
      <c r="BV144" s="398"/>
      <c r="BW144" s="405" t="s">
        <v>450</v>
      </c>
      <c r="BX144" s="323">
        <v>54984</v>
      </c>
      <c r="CI144" s="96"/>
    </row>
    <row r="145" spans="1:87" ht="14.25" thickTop="1" thickBot="1">
      <c r="A145" s="57"/>
      <c r="B145" s="92">
        <v>15</v>
      </c>
      <c r="C145" s="255">
        <f t="shared" si="120"/>
        <v>0</v>
      </c>
      <c r="D145" s="93">
        <f t="shared" si="120"/>
        <v>0</v>
      </c>
      <c r="E145" s="93">
        <f t="shared" si="120"/>
        <v>0</v>
      </c>
      <c r="F145" s="93">
        <f t="shared" si="120"/>
        <v>0</v>
      </c>
      <c r="G145" s="93"/>
      <c r="H145" s="678">
        <f t="shared" si="150"/>
        <v>1</v>
      </c>
      <c r="I145" s="679">
        <f t="shared" si="121"/>
        <v>0</v>
      </c>
      <c r="J145" s="633">
        <f t="shared" si="151"/>
        <v>1</v>
      </c>
      <c r="K145" s="1016">
        <f t="shared" si="152"/>
        <v>0</v>
      </c>
      <c r="L145" s="1017">
        <v>0</v>
      </c>
      <c r="M145" s="1061"/>
      <c r="N145" s="1062">
        <f t="shared" si="122"/>
        <v>0</v>
      </c>
      <c r="O145" s="1063">
        <f t="shared" si="123"/>
        <v>1</v>
      </c>
      <c r="P145" s="1016">
        <f t="shared" si="124"/>
        <v>0</v>
      </c>
      <c r="Q145" s="1017">
        <v>0</v>
      </c>
      <c r="R145" s="1061"/>
      <c r="S145" s="1062">
        <f t="shared" si="125"/>
        <v>0</v>
      </c>
      <c r="T145" s="1063">
        <f t="shared" si="126"/>
        <v>1</v>
      </c>
      <c r="U145" s="1016">
        <f t="shared" si="153"/>
        <v>0</v>
      </c>
      <c r="V145" s="1017">
        <v>0</v>
      </c>
      <c r="W145" s="1061"/>
      <c r="X145" s="1062">
        <f t="shared" si="127"/>
        <v>0</v>
      </c>
      <c r="Y145" s="1063">
        <f t="shared" si="128"/>
        <v>1</v>
      </c>
      <c r="Z145" s="1016">
        <f t="shared" si="154"/>
        <v>0</v>
      </c>
      <c r="AA145" s="1017">
        <v>0</v>
      </c>
      <c r="AB145" s="1061"/>
      <c r="AC145" s="1062">
        <f t="shared" si="129"/>
        <v>0</v>
      </c>
      <c r="AD145" s="1063">
        <f t="shared" si="130"/>
        <v>1</v>
      </c>
      <c r="AE145" s="1016">
        <f t="shared" si="155"/>
        <v>0</v>
      </c>
      <c r="AF145" s="1017">
        <v>0</v>
      </c>
      <c r="AG145" s="1061"/>
      <c r="AH145" s="1062">
        <f t="shared" si="131"/>
        <v>0</v>
      </c>
      <c r="AI145" s="1063">
        <f t="shared" si="132"/>
        <v>1</v>
      </c>
      <c r="AJ145" s="1016">
        <f t="shared" si="156"/>
        <v>0</v>
      </c>
      <c r="AK145" s="1017">
        <v>0</v>
      </c>
      <c r="AL145" s="1061"/>
      <c r="AM145" s="1062">
        <f t="shared" si="133"/>
        <v>0</v>
      </c>
      <c r="AN145" s="1063">
        <f t="shared" si="134"/>
        <v>1</v>
      </c>
      <c r="AO145" s="1016">
        <f t="shared" si="157"/>
        <v>0</v>
      </c>
      <c r="AP145" s="1017">
        <v>0</v>
      </c>
      <c r="AQ145" s="1061"/>
      <c r="AR145" s="1062">
        <f t="shared" si="135"/>
        <v>0</v>
      </c>
      <c r="AS145" s="1063">
        <f t="shared" si="136"/>
        <v>1</v>
      </c>
      <c r="AT145" s="1016">
        <f t="shared" si="158"/>
        <v>0</v>
      </c>
      <c r="AU145" s="1017">
        <v>0</v>
      </c>
      <c r="AV145" s="1061"/>
      <c r="AW145" s="1062">
        <f t="shared" si="137"/>
        <v>0</v>
      </c>
      <c r="AX145" s="1063">
        <f t="shared" si="138"/>
        <v>1</v>
      </c>
      <c r="AY145" s="1016">
        <f t="shared" si="159"/>
        <v>0</v>
      </c>
      <c r="AZ145" s="1017">
        <v>0</v>
      </c>
      <c r="BA145" s="1061"/>
      <c r="BB145" s="1062">
        <f t="shared" si="139"/>
        <v>0</v>
      </c>
      <c r="BC145" s="1063">
        <f t="shared" si="140"/>
        <v>1</v>
      </c>
      <c r="BD145" s="1016">
        <f t="shared" si="160"/>
        <v>0</v>
      </c>
      <c r="BE145" s="1017">
        <v>0</v>
      </c>
      <c r="BF145" s="1061"/>
      <c r="BG145" s="1062">
        <f t="shared" si="141"/>
        <v>0</v>
      </c>
      <c r="BH145" s="1039">
        <f t="shared" si="142"/>
        <v>0</v>
      </c>
      <c r="BI145" s="1038">
        <f t="shared" si="143"/>
        <v>0</v>
      </c>
      <c r="BJ145" s="1027"/>
      <c r="BK145" s="1060"/>
      <c r="BL145" s="1040">
        <f t="shared" si="144"/>
        <v>0</v>
      </c>
      <c r="BM145" s="1038">
        <f t="shared" si="145"/>
        <v>0</v>
      </c>
      <c r="BN145" s="1027"/>
      <c r="BO145" s="1060"/>
      <c r="BP145" s="95">
        <f t="shared" si="146"/>
        <v>0</v>
      </c>
      <c r="BQ145" s="640">
        <f t="shared" si="147"/>
        <v>0</v>
      </c>
      <c r="BS145" s="94">
        <f t="shared" si="148"/>
        <v>0</v>
      </c>
      <c r="BU145" s="632">
        <f t="shared" si="149"/>
        <v>0</v>
      </c>
      <c r="BV145" s="398"/>
      <c r="BW145" s="405" t="s">
        <v>450</v>
      </c>
      <c r="BX145" s="323">
        <v>47329.26</v>
      </c>
      <c r="CD145" s="398">
        <v>0.1</v>
      </c>
      <c r="CI145" s="96"/>
    </row>
    <row r="146" spans="1:87" ht="14.25" thickTop="1" thickBot="1">
      <c r="A146" s="57"/>
      <c r="B146" s="92">
        <v>16</v>
      </c>
      <c r="C146" s="255">
        <f t="shared" si="120"/>
        <v>0</v>
      </c>
      <c r="D146" s="93">
        <f t="shared" si="120"/>
        <v>0</v>
      </c>
      <c r="E146" s="93">
        <f t="shared" si="120"/>
        <v>0</v>
      </c>
      <c r="F146" s="93">
        <f t="shared" si="120"/>
        <v>0</v>
      </c>
      <c r="G146" s="93"/>
      <c r="H146" s="678">
        <f t="shared" si="150"/>
        <v>1</v>
      </c>
      <c r="I146" s="679">
        <f t="shared" si="121"/>
        <v>0</v>
      </c>
      <c r="J146" s="633">
        <f t="shared" si="151"/>
        <v>1</v>
      </c>
      <c r="K146" s="1016">
        <f t="shared" si="152"/>
        <v>0</v>
      </c>
      <c r="L146" s="1017">
        <v>0</v>
      </c>
      <c r="M146" s="1061"/>
      <c r="N146" s="1062">
        <f t="shared" si="122"/>
        <v>0</v>
      </c>
      <c r="O146" s="1063">
        <f t="shared" si="123"/>
        <v>1</v>
      </c>
      <c r="P146" s="1016">
        <f t="shared" si="124"/>
        <v>0</v>
      </c>
      <c r="Q146" s="1017">
        <v>0</v>
      </c>
      <c r="R146" s="1061"/>
      <c r="S146" s="1062">
        <f t="shared" si="125"/>
        <v>0</v>
      </c>
      <c r="T146" s="1063">
        <f t="shared" si="126"/>
        <v>1</v>
      </c>
      <c r="U146" s="1016">
        <f t="shared" si="153"/>
        <v>0</v>
      </c>
      <c r="V146" s="1017">
        <v>0</v>
      </c>
      <c r="W146" s="1061"/>
      <c r="X146" s="1062">
        <f t="shared" si="127"/>
        <v>0</v>
      </c>
      <c r="Y146" s="1063">
        <f t="shared" si="128"/>
        <v>1</v>
      </c>
      <c r="Z146" s="1016">
        <f t="shared" si="154"/>
        <v>0</v>
      </c>
      <c r="AA146" s="1017">
        <v>0</v>
      </c>
      <c r="AB146" s="1061"/>
      <c r="AC146" s="1062">
        <f t="shared" si="129"/>
        <v>0</v>
      </c>
      <c r="AD146" s="1063">
        <f t="shared" si="130"/>
        <v>1</v>
      </c>
      <c r="AE146" s="1016">
        <f t="shared" si="155"/>
        <v>0</v>
      </c>
      <c r="AF146" s="1017">
        <v>0</v>
      </c>
      <c r="AG146" s="1061"/>
      <c r="AH146" s="1062">
        <f t="shared" si="131"/>
        <v>0</v>
      </c>
      <c r="AI146" s="1063">
        <f t="shared" si="132"/>
        <v>1</v>
      </c>
      <c r="AJ146" s="1016">
        <f t="shared" si="156"/>
        <v>0</v>
      </c>
      <c r="AK146" s="1017">
        <v>0</v>
      </c>
      <c r="AL146" s="1061"/>
      <c r="AM146" s="1062">
        <f t="shared" si="133"/>
        <v>0</v>
      </c>
      <c r="AN146" s="1063">
        <f t="shared" si="134"/>
        <v>1</v>
      </c>
      <c r="AO146" s="1016">
        <f t="shared" si="157"/>
        <v>0</v>
      </c>
      <c r="AP146" s="1017">
        <v>0</v>
      </c>
      <c r="AQ146" s="1061"/>
      <c r="AR146" s="1062">
        <f t="shared" si="135"/>
        <v>0</v>
      </c>
      <c r="AS146" s="1063">
        <f t="shared" si="136"/>
        <v>1</v>
      </c>
      <c r="AT146" s="1016">
        <f t="shared" si="158"/>
        <v>0</v>
      </c>
      <c r="AU146" s="1017">
        <v>0</v>
      </c>
      <c r="AV146" s="1061"/>
      <c r="AW146" s="1062">
        <f t="shared" si="137"/>
        <v>0</v>
      </c>
      <c r="AX146" s="1063">
        <f t="shared" si="138"/>
        <v>1</v>
      </c>
      <c r="AY146" s="1016">
        <f t="shared" si="159"/>
        <v>0</v>
      </c>
      <c r="AZ146" s="1017">
        <v>0</v>
      </c>
      <c r="BA146" s="1061"/>
      <c r="BB146" s="1062">
        <f t="shared" si="139"/>
        <v>0</v>
      </c>
      <c r="BC146" s="1063">
        <f t="shared" si="140"/>
        <v>1</v>
      </c>
      <c r="BD146" s="1016">
        <f t="shared" si="160"/>
        <v>0</v>
      </c>
      <c r="BE146" s="1017">
        <v>0</v>
      </c>
      <c r="BF146" s="1061"/>
      <c r="BG146" s="1062">
        <f t="shared" si="141"/>
        <v>0</v>
      </c>
      <c r="BH146" s="1039">
        <f t="shared" si="142"/>
        <v>0</v>
      </c>
      <c r="BI146" s="1038">
        <f t="shared" si="143"/>
        <v>0</v>
      </c>
      <c r="BJ146" s="1027"/>
      <c r="BK146" s="1060"/>
      <c r="BL146" s="1040">
        <f t="shared" si="144"/>
        <v>0</v>
      </c>
      <c r="BM146" s="1038">
        <f t="shared" si="145"/>
        <v>0</v>
      </c>
      <c r="BN146" s="1027"/>
      <c r="BO146" s="1060"/>
      <c r="BP146" s="95">
        <f t="shared" si="146"/>
        <v>0</v>
      </c>
      <c r="BQ146" s="640">
        <f t="shared" si="147"/>
        <v>0</v>
      </c>
      <c r="BS146" s="94">
        <f t="shared" si="148"/>
        <v>0</v>
      </c>
      <c r="BU146" s="632">
        <f t="shared" si="149"/>
        <v>0</v>
      </c>
      <c r="BV146" s="398"/>
      <c r="BW146" s="405" t="s">
        <v>453</v>
      </c>
      <c r="BX146" s="323">
        <v>87254.75</v>
      </c>
      <c r="CI146" s="96"/>
    </row>
    <row r="147" spans="1:87" ht="14.25" thickTop="1" thickBot="1">
      <c r="A147" s="57"/>
      <c r="B147" s="92">
        <v>17</v>
      </c>
      <c r="C147" s="255">
        <f t="shared" si="120"/>
        <v>0</v>
      </c>
      <c r="D147" s="93">
        <f t="shared" si="120"/>
        <v>0</v>
      </c>
      <c r="E147" s="93">
        <f t="shared" si="120"/>
        <v>0</v>
      </c>
      <c r="F147" s="93">
        <f t="shared" si="120"/>
        <v>0</v>
      </c>
      <c r="G147" s="93"/>
      <c r="H147" s="678">
        <f t="shared" si="150"/>
        <v>1</v>
      </c>
      <c r="I147" s="679">
        <f t="shared" si="121"/>
        <v>0</v>
      </c>
      <c r="J147" s="633">
        <f t="shared" si="151"/>
        <v>1</v>
      </c>
      <c r="K147" s="1016">
        <f t="shared" si="152"/>
        <v>0</v>
      </c>
      <c r="L147" s="1017">
        <v>0</v>
      </c>
      <c r="M147" s="1061"/>
      <c r="N147" s="1062">
        <f t="shared" si="122"/>
        <v>0</v>
      </c>
      <c r="O147" s="1063">
        <f t="shared" si="123"/>
        <v>1</v>
      </c>
      <c r="P147" s="1016">
        <f t="shared" si="124"/>
        <v>0</v>
      </c>
      <c r="Q147" s="1017">
        <v>0</v>
      </c>
      <c r="R147" s="1061"/>
      <c r="S147" s="1062">
        <f t="shared" si="125"/>
        <v>0</v>
      </c>
      <c r="T147" s="1063">
        <f t="shared" si="126"/>
        <v>1</v>
      </c>
      <c r="U147" s="1016">
        <f t="shared" si="153"/>
        <v>0</v>
      </c>
      <c r="V147" s="1017">
        <v>0</v>
      </c>
      <c r="W147" s="1061"/>
      <c r="X147" s="1062">
        <f t="shared" si="127"/>
        <v>0</v>
      </c>
      <c r="Y147" s="1063">
        <f t="shared" si="128"/>
        <v>1</v>
      </c>
      <c r="Z147" s="1016">
        <f t="shared" si="154"/>
        <v>0</v>
      </c>
      <c r="AA147" s="1017">
        <v>0</v>
      </c>
      <c r="AB147" s="1061"/>
      <c r="AC147" s="1062">
        <f t="shared" si="129"/>
        <v>0</v>
      </c>
      <c r="AD147" s="1063">
        <f t="shared" si="130"/>
        <v>1</v>
      </c>
      <c r="AE147" s="1016">
        <f t="shared" si="155"/>
        <v>0</v>
      </c>
      <c r="AF147" s="1017">
        <v>0</v>
      </c>
      <c r="AG147" s="1061"/>
      <c r="AH147" s="1062">
        <f t="shared" si="131"/>
        <v>0</v>
      </c>
      <c r="AI147" s="1063">
        <f t="shared" si="132"/>
        <v>1</v>
      </c>
      <c r="AJ147" s="1016">
        <f t="shared" si="156"/>
        <v>0</v>
      </c>
      <c r="AK147" s="1017">
        <v>0</v>
      </c>
      <c r="AL147" s="1061"/>
      <c r="AM147" s="1062">
        <f t="shared" si="133"/>
        <v>0</v>
      </c>
      <c r="AN147" s="1063">
        <f t="shared" si="134"/>
        <v>1</v>
      </c>
      <c r="AO147" s="1016">
        <f t="shared" si="157"/>
        <v>0</v>
      </c>
      <c r="AP147" s="1017">
        <v>0</v>
      </c>
      <c r="AQ147" s="1061"/>
      <c r="AR147" s="1062">
        <f t="shared" si="135"/>
        <v>0</v>
      </c>
      <c r="AS147" s="1063">
        <f t="shared" si="136"/>
        <v>1</v>
      </c>
      <c r="AT147" s="1016">
        <f t="shared" si="158"/>
        <v>0</v>
      </c>
      <c r="AU147" s="1017">
        <v>0</v>
      </c>
      <c r="AV147" s="1061"/>
      <c r="AW147" s="1062">
        <f t="shared" si="137"/>
        <v>0</v>
      </c>
      <c r="AX147" s="1063">
        <f t="shared" si="138"/>
        <v>1</v>
      </c>
      <c r="AY147" s="1016">
        <f t="shared" si="159"/>
        <v>0</v>
      </c>
      <c r="AZ147" s="1017">
        <v>0</v>
      </c>
      <c r="BA147" s="1061"/>
      <c r="BB147" s="1062">
        <f t="shared" si="139"/>
        <v>0</v>
      </c>
      <c r="BC147" s="1063">
        <f t="shared" si="140"/>
        <v>1</v>
      </c>
      <c r="BD147" s="1016">
        <f t="shared" si="160"/>
        <v>0</v>
      </c>
      <c r="BE147" s="1017">
        <v>0</v>
      </c>
      <c r="BF147" s="1061"/>
      <c r="BG147" s="1062">
        <f t="shared" si="141"/>
        <v>0</v>
      </c>
      <c r="BH147" s="1039">
        <f t="shared" si="142"/>
        <v>0</v>
      </c>
      <c r="BI147" s="1038">
        <f t="shared" si="143"/>
        <v>0</v>
      </c>
      <c r="BJ147" s="1027"/>
      <c r="BK147" s="1060"/>
      <c r="BL147" s="1040">
        <f t="shared" si="144"/>
        <v>0</v>
      </c>
      <c r="BM147" s="1038">
        <f t="shared" si="145"/>
        <v>0</v>
      </c>
      <c r="BN147" s="1027"/>
      <c r="BO147" s="1060"/>
      <c r="BP147" s="95">
        <f t="shared" si="146"/>
        <v>0</v>
      </c>
      <c r="BQ147" s="640">
        <f t="shared" si="147"/>
        <v>0</v>
      </c>
      <c r="BS147" s="94">
        <f t="shared" si="148"/>
        <v>0</v>
      </c>
      <c r="BU147" s="632">
        <f t="shared" si="149"/>
        <v>0</v>
      </c>
      <c r="BV147" s="398"/>
      <c r="BW147" s="405" t="s">
        <v>453</v>
      </c>
      <c r="BX147" s="323">
        <v>148024</v>
      </c>
      <c r="CI147" s="96"/>
    </row>
    <row r="148" spans="1:87" ht="14.25" thickTop="1" thickBot="1">
      <c r="A148" s="57"/>
      <c r="B148" s="92">
        <v>18</v>
      </c>
      <c r="C148" s="255">
        <f t="shared" si="120"/>
        <v>0</v>
      </c>
      <c r="D148" s="93">
        <f t="shared" si="120"/>
        <v>0</v>
      </c>
      <c r="E148" s="93">
        <f t="shared" si="120"/>
        <v>0</v>
      </c>
      <c r="F148" s="93">
        <f t="shared" si="120"/>
        <v>0</v>
      </c>
      <c r="G148" s="93"/>
      <c r="H148" s="678">
        <f t="shared" si="150"/>
        <v>1</v>
      </c>
      <c r="I148" s="679">
        <f t="shared" si="121"/>
        <v>0</v>
      </c>
      <c r="J148" s="633">
        <f t="shared" si="151"/>
        <v>1</v>
      </c>
      <c r="K148" s="1016">
        <f t="shared" si="152"/>
        <v>0</v>
      </c>
      <c r="L148" s="1017">
        <v>0</v>
      </c>
      <c r="M148" s="1061"/>
      <c r="N148" s="1062">
        <f t="shared" si="122"/>
        <v>0</v>
      </c>
      <c r="O148" s="1063">
        <f t="shared" si="123"/>
        <v>1</v>
      </c>
      <c r="P148" s="1016">
        <f t="shared" si="124"/>
        <v>0</v>
      </c>
      <c r="Q148" s="1017">
        <v>0</v>
      </c>
      <c r="R148" s="1061"/>
      <c r="S148" s="1062">
        <f t="shared" si="125"/>
        <v>0</v>
      </c>
      <c r="T148" s="1063">
        <f t="shared" si="126"/>
        <v>1</v>
      </c>
      <c r="U148" s="1016">
        <f t="shared" si="153"/>
        <v>0</v>
      </c>
      <c r="V148" s="1017">
        <v>0</v>
      </c>
      <c r="W148" s="1061"/>
      <c r="X148" s="1062">
        <f t="shared" si="127"/>
        <v>0</v>
      </c>
      <c r="Y148" s="1063">
        <f t="shared" si="128"/>
        <v>1</v>
      </c>
      <c r="Z148" s="1016">
        <f t="shared" si="154"/>
        <v>0</v>
      </c>
      <c r="AA148" s="1017">
        <v>0</v>
      </c>
      <c r="AB148" s="1061"/>
      <c r="AC148" s="1062">
        <f t="shared" si="129"/>
        <v>0</v>
      </c>
      <c r="AD148" s="1063">
        <f t="shared" si="130"/>
        <v>1</v>
      </c>
      <c r="AE148" s="1016">
        <f t="shared" si="155"/>
        <v>0</v>
      </c>
      <c r="AF148" s="1017">
        <v>0</v>
      </c>
      <c r="AG148" s="1061"/>
      <c r="AH148" s="1062">
        <f t="shared" si="131"/>
        <v>0</v>
      </c>
      <c r="AI148" s="1063">
        <f t="shared" si="132"/>
        <v>1</v>
      </c>
      <c r="AJ148" s="1016">
        <f t="shared" si="156"/>
        <v>0</v>
      </c>
      <c r="AK148" s="1017">
        <v>0</v>
      </c>
      <c r="AL148" s="1061"/>
      <c r="AM148" s="1062">
        <f t="shared" si="133"/>
        <v>0</v>
      </c>
      <c r="AN148" s="1063">
        <f t="shared" si="134"/>
        <v>1</v>
      </c>
      <c r="AO148" s="1016">
        <f t="shared" si="157"/>
        <v>0</v>
      </c>
      <c r="AP148" s="1017">
        <v>0</v>
      </c>
      <c r="AQ148" s="1061"/>
      <c r="AR148" s="1062">
        <f t="shared" si="135"/>
        <v>0</v>
      </c>
      <c r="AS148" s="1063">
        <f t="shared" si="136"/>
        <v>1</v>
      </c>
      <c r="AT148" s="1016">
        <f t="shared" si="158"/>
        <v>0</v>
      </c>
      <c r="AU148" s="1017">
        <v>0</v>
      </c>
      <c r="AV148" s="1061"/>
      <c r="AW148" s="1062">
        <f t="shared" si="137"/>
        <v>0</v>
      </c>
      <c r="AX148" s="1063">
        <f t="shared" si="138"/>
        <v>1</v>
      </c>
      <c r="AY148" s="1016">
        <f t="shared" si="159"/>
        <v>0</v>
      </c>
      <c r="AZ148" s="1017">
        <v>0</v>
      </c>
      <c r="BA148" s="1061"/>
      <c r="BB148" s="1062">
        <f t="shared" si="139"/>
        <v>0</v>
      </c>
      <c r="BC148" s="1063">
        <f t="shared" si="140"/>
        <v>1</v>
      </c>
      <c r="BD148" s="1016">
        <f t="shared" si="160"/>
        <v>0</v>
      </c>
      <c r="BE148" s="1017">
        <v>0</v>
      </c>
      <c r="BF148" s="1061"/>
      <c r="BG148" s="1062">
        <f t="shared" si="141"/>
        <v>0</v>
      </c>
      <c r="BH148" s="1039">
        <f t="shared" si="142"/>
        <v>0</v>
      </c>
      <c r="BI148" s="1038">
        <f t="shared" si="143"/>
        <v>0</v>
      </c>
      <c r="BJ148" s="1027"/>
      <c r="BK148" s="1060"/>
      <c r="BL148" s="1040">
        <f t="shared" si="144"/>
        <v>0</v>
      </c>
      <c r="BM148" s="1038">
        <f t="shared" si="145"/>
        <v>0</v>
      </c>
      <c r="BN148" s="1027"/>
      <c r="BO148" s="1060"/>
      <c r="BP148" s="95">
        <f t="shared" si="146"/>
        <v>0</v>
      </c>
      <c r="BQ148" s="640">
        <f t="shared" si="147"/>
        <v>0</v>
      </c>
      <c r="BS148" s="94">
        <f t="shared" si="148"/>
        <v>0</v>
      </c>
      <c r="BU148" s="632">
        <f t="shared" si="149"/>
        <v>0</v>
      </c>
      <c r="BV148" s="398"/>
      <c r="BW148" s="405" t="s">
        <v>453</v>
      </c>
      <c r="BX148" s="323">
        <v>321121</v>
      </c>
      <c r="CI148" s="96"/>
    </row>
    <row r="149" spans="1:87" ht="14.25" thickTop="1" thickBot="1">
      <c r="A149" s="57"/>
      <c r="B149" s="92">
        <v>19</v>
      </c>
      <c r="C149" s="255">
        <f t="shared" si="120"/>
        <v>0</v>
      </c>
      <c r="D149" s="93">
        <f t="shared" si="120"/>
        <v>0</v>
      </c>
      <c r="E149" s="93">
        <f t="shared" si="120"/>
        <v>0</v>
      </c>
      <c r="F149" s="93">
        <f t="shared" si="120"/>
        <v>0</v>
      </c>
      <c r="G149" s="93"/>
      <c r="H149" s="678">
        <f t="shared" si="150"/>
        <v>1</v>
      </c>
      <c r="I149" s="679">
        <f t="shared" si="121"/>
        <v>0</v>
      </c>
      <c r="J149" s="633">
        <f t="shared" si="151"/>
        <v>1</v>
      </c>
      <c r="K149" s="1016">
        <f t="shared" si="152"/>
        <v>0</v>
      </c>
      <c r="L149" s="1017">
        <v>0</v>
      </c>
      <c r="M149" s="1061"/>
      <c r="N149" s="1062">
        <f t="shared" si="122"/>
        <v>0</v>
      </c>
      <c r="O149" s="1063">
        <f t="shared" si="123"/>
        <v>1</v>
      </c>
      <c r="P149" s="1016">
        <f t="shared" si="124"/>
        <v>0</v>
      </c>
      <c r="Q149" s="1017">
        <v>0</v>
      </c>
      <c r="R149" s="1061"/>
      <c r="S149" s="1062">
        <f t="shared" si="125"/>
        <v>0</v>
      </c>
      <c r="T149" s="1063">
        <f t="shared" si="126"/>
        <v>1</v>
      </c>
      <c r="U149" s="1016">
        <f t="shared" si="153"/>
        <v>0</v>
      </c>
      <c r="V149" s="1017">
        <v>0</v>
      </c>
      <c r="W149" s="1061"/>
      <c r="X149" s="1062">
        <f t="shared" si="127"/>
        <v>0</v>
      </c>
      <c r="Y149" s="1063">
        <f t="shared" si="128"/>
        <v>1</v>
      </c>
      <c r="Z149" s="1016">
        <f t="shared" si="154"/>
        <v>0</v>
      </c>
      <c r="AA149" s="1017">
        <v>0</v>
      </c>
      <c r="AB149" s="1061"/>
      <c r="AC149" s="1062">
        <f t="shared" si="129"/>
        <v>0</v>
      </c>
      <c r="AD149" s="1063">
        <f t="shared" si="130"/>
        <v>1</v>
      </c>
      <c r="AE149" s="1016">
        <f t="shared" si="155"/>
        <v>0</v>
      </c>
      <c r="AF149" s="1017">
        <v>0</v>
      </c>
      <c r="AG149" s="1061"/>
      <c r="AH149" s="1062">
        <f t="shared" si="131"/>
        <v>0</v>
      </c>
      <c r="AI149" s="1063">
        <f t="shared" si="132"/>
        <v>1</v>
      </c>
      <c r="AJ149" s="1016">
        <f t="shared" si="156"/>
        <v>0</v>
      </c>
      <c r="AK149" s="1017">
        <v>0</v>
      </c>
      <c r="AL149" s="1061"/>
      <c r="AM149" s="1062">
        <f t="shared" si="133"/>
        <v>0</v>
      </c>
      <c r="AN149" s="1063">
        <f t="shared" si="134"/>
        <v>1</v>
      </c>
      <c r="AO149" s="1016">
        <f t="shared" si="157"/>
        <v>0</v>
      </c>
      <c r="AP149" s="1017">
        <v>0</v>
      </c>
      <c r="AQ149" s="1061"/>
      <c r="AR149" s="1062">
        <f t="shared" si="135"/>
        <v>0</v>
      </c>
      <c r="AS149" s="1063">
        <f t="shared" si="136"/>
        <v>1</v>
      </c>
      <c r="AT149" s="1016">
        <f t="shared" si="158"/>
        <v>0</v>
      </c>
      <c r="AU149" s="1017">
        <v>0</v>
      </c>
      <c r="AV149" s="1061"/>
      <c r="AW149" s="1062">
        <f t="shared" si="137"/>
        <v>0</v>
      </c>
      <c r="AX149" s="1063">
        <f t="shared" si="138"/>
        <v>1</v>
      </c>
      <c r="AY149" s="1016">
        <f t="shared" si="159"/>
        <v>0</v>
      </c>
      <c r="AZ149" s="1017">
        <v>0</v>
      </c>
      <c r="BA149" s="1061"/>
      <c r="BB149" s="1062">
        <f t="shared" si="139"/>
        <v>0</v>
      </c>
      <c r="BC149" s="1063">
        <f t="shared" si="140"/>
        <v>1</v>
      </c>
      <c r="BD149" s="1016">
        <f t="shared" si="160"/>
        <v>0</v>
      </c>
      <c r="BE149" s="1017">
        <v>0</v>
      </c>
      <c r="BF149" s="1061"/>
      <c r="BG149" s="1062">
        <f t="shared" si="141"/>
        <v>0</v>
      </c>
      <c r="BH149" s="1039">
        <f t="shared" si="142"/>
        <v>0</v>
      </c>
      <c r="BI149" s="1038">
        <f t="shared" si="143"/>
        <v>0</v>
      </c>
      <c r="BJ149" s="1027"/>
      <c r="BK149" s="1060"/>
      <c r="BL149" s="1040">
        <f t="shared" si="144"/>
        <v>0</v>
      </c>
      <c r="BM149" s="1038">
        <f t="shared" si="145"/>
        <v>0</v>
      </c>
      <c r="BN149" s="1027"/>
      <c r="BO149" s="1060"/>
      <c r="BP149" s="95">
        <f t="shared" si="146"/>
        <v>0</v>
      </c>
      <c r="BQ149" s="640">
        <f t="shared" si="147"/>
        <v>0</v>
      </c>
      <c r="BS149" s="94">
        <f t="shared" si="148"/>
        <v>0</v>
      </c>
      <c r="BU149" s="632">
        <f t="shared" si="149"/>
        <v>0</v>
      </c>
      <c r="BV149" s="398"/>
      <c r="BW149" s="405" t="s">
        <v>453</v>
      </c>
      <c r="BX149" s="323">
        <v>97912.75</v>
      </c>
      <c r="CD149" s="398">
        <v>0.1</v>
      </c>
      <c r="CI149" s="96"/>
    </row>
    <row r="150" spans="1:87" ht="14.25" thickTop="1" thickBot="1">
      <c r="A150" s="57"/>
      <c r="B150" s="92">
        <v>20</v>
      </c>
      <c r="C150" s="255">
        <f t="shared" si="120"/>
        <v>0</v>
      </c>
      <c r="D150" s="93">
        <f t="shared" si="120"/>
        <v>0</v>
      </c>
      <c r="E150" s="93">
        <f t="shared" si="120"/>
        <v>0</v>
      </c>
      <c r="F150" s="93">
        <f t="shared" si="120"/>
        <v>0</v>
      </c>
      <c r="G150" s="93"/>
      <c r="H150" s="678">
        <f t="shared" si="150"/>
        <v>1</v>
      </c>
      <c r="I150" s="679">
        <f t="shared" si="121"/>
        <v>0</v>
      </c>
      <c r="J150" s="633">
        <f t="shared" si="151"/>
        <v>1</v>
      </c>
      <c r="K150" s="1016">
        <f t="shared" si="152"/>
        <v>0</v>
      </c>
      <c r="L150" s="1017">
        <v>0</v>
      </c>
      <c r="M150" s="1061"/>
      <c r="N150" s="1062">
        <f t="shared" si="122"/>
        <v>0</v>
      </c>
      <c r="O150" s="1063">
        <f t="shared" si="123"/>
        <v>1</v>
      </c>
      <c r="P150" s="1016">
        <f t="shared" si="124"/>
        <v>0</v>
      </c>
      <c r="Q150" s="1017">
        <v>0</v>
      </c>
      <c r="R150" s="1061"/>
      <c r="S150" s="1062">
        <f t="shared" si="125"/>
        <v>0</v>
      </c>
      <c r="T150" s="1063">
        <f t="shared" si="126"/>
        <v>1</v>
      </c>
      <c r="U150" s="1016">
        <f t="shared" si="153"/>
        <v>0</v>
      </c>
      <c r="V150" s="1017">
        <v>0</v>
      </c>
      <c r="W150" s="1061"/>
      <c r="X150" s="1062">
        <f t="shared" si="127"/>
        <v>0</v>
      </c>
      <c r="Y150" s="1063">
        <f t="shared" si="128"/>
        <v>1</v>
      </c>
      <c r="Z150" s="1016">
        <f t="shared" si="154"/>
        <v>0</v>
      </c>
      <c r="AA150" s="1017">
        <v>0</v>
      </c>
      <c r="AB150" s="1061"/>
      <c r="AC150" s="1062">
        <f t="shared" si="129"/>
        <v>0</v>
      </c>
      <c r="AD150" s="1063">
        <f t="shared" si="130"/>
        <v>1</v>
      </c>
      <c r="AE150" s="1016">
        <f t="shared" si="155"/>
        <v>0</v>
      </c>
      <c r="AF150" s="1017">
        <v>0</v>
      </c>
      <c r="AG150" s="1061"/>
      <c r="AH150" s="1062">
        <f t="shared" si="131"/>
        <v>0</v>
      </c>
      <c r="AI150" s="1063">
        <f t="shared" si="132"/>
        <v>1</v>
      </c>
      <c r="AJ150" s="1016">
        <f t="shared" si="156"/>
        <v>0</v>
      </c>
      <c r="AK150" s="1017">
        <v>0</v>
      </c>
      <c r="AL150" s="1061"/>
      <c r="AM150" s="1062">
        <f t="shared" si="133"/>
        <v>0</v>
      </c>
      <c r="AN150" s="1063">
        <f t="shared" si="134"/>
        <v>1</v>
      </c>
      <c r="AO150" s="1016">
        <f t="shared" si="157"/>
        <v>0</v>
      </c>
      <c r="AP150" s="1017">
        <v>0</v>
      </c>
      <c r="AQ150" s="1061"/>
      <c r="AR150" s="1062">
        <f t="shared" si="135"/>
        <v>0</v>
      </c>
      <c r="AS150" s="1063">
        <f t="shared" si="136"/>
        <v>1</v>
      </c>
      <c r="AT150" s="1016">
        <f t="shared" si="158"/>
        <v>0</v>
      </c>
      <c r="AU150" s="1017">
        <v>0</v>
      </c>
      <c r="AV150" s="1061"/>
      <c r="AW150" s="1062">
        <f t="shared" si="137"/>
        <v>0</v>
      </c>
      <c r="AX150" s="1063">
        <f t="shared" si="138"/>
        <v>1</v>
      </c>
      <c r="AY150" s="1016">
        <f t="shared" si="159"/>
        <v>0</v>
      </c>
      <c r="AZ150" s="1017">
        <v>0</v>
      </c>
      <c r="BA150" s="1061"/>
      <c r="BB150" s="1062">
        <f t="shared" si="139"/>
        <v>0</v>
      </c>
      <c r="BC150" s="1063">
        <f t="shared" si="140"/>
        <v>1</v>
      </c>
      <c r="BD150" s="1016">
        <f t="shared" si="160"/>
        <v>0</v>
      </c>
      <c r="BE150" s="1017">
        <v>0</v>
      </c>
      <c r="BF150" s="1061"/>
      <c r="BG150" s="1062">
        <f t="shared" si="141"/>
        <v>0</v>
      </c>
      <c r="BH150" s="1039">
        <f t="shared" si="142"/>
        <v>0</v>
      </c>
      <c r="BI150" s="1038">
        <f t="shared" si="143"/>
        <v>0</v>
      </c>
      <c r="BJ150" s="1027"/>
      <c r="BK150" s="1060"/>
      <c r="BL150" s="1040">
        <f t="shared" si="144"/>
        <v>0</v>
      </c>
      <c r="BM150" s="1038">
        <f t="shared" si="145"/>
        <v>0</v>
      </c>
      <c r="BN150" s="1027"/>
      <c r="BO150" s="1060"/>
      <c r="BP150" s="95">
        <f t="shared" si="146"/>
        <v>0</v>
      </c>
      <c r="BQ150" s="640">
        <f t="shared" si="147"/>
        <v>0</v>
      </c>
      <c r="BS150" s="94">
        <f t="shared" si="148"/>
        <v>0</v>
      </c>
      <c r="BU150" s="632">
        <f t="shared" si="149"/>
        <v>0</v>
      </c>
      <c r="BV150" s="398"/>
      <c r="BW150" s="405" t="s">
        <v>453</v>
      </c>
      <c r="BX150" s="323">
        <v>55887.040000000001</v>
      </c>
      <c r="CI150" s="96"/>
    </row>
    <row r="151" spans="1:87" ht="14.25" thickTop="1" thickBot="1">
      <c r="A151" s="57"/>
      <c r="B151" s="92">
        <v>21</v>
      </c>
      <c r="C151" s="255">
        <f t="shared" ref="C151:F170" si="161">C36</f>
        <v>0</v>
      </c>
      <c r="D151" s="93">
        <f t="shared" si="161"/>
        <v>0</v>
      </c>
      <c r="E151" s="93">
        <f t="shared" si="161"/>
        <v>0</v>
      </c>
      <c r="F151" s="93">
        <f t="shared" si="161"/>
        <v>0</v>
      </c>
      <c r="G151" s="93"/>
      <c r="H151" s="678">
        <f t="shared" si="150"/>
        <v>1</v>
      </c>
      <c r="I151" s="679">
        <f t="shared" si="121"/>
        <v>0</v>
      </c>
      <c r="J151" s="633">
        <f t="shared" si="151"/>
        <v>1</v>
      </c>
      <c r="K151" s="1016">
        <f t="shared" si="152"/>
        <v>0</v>
      </c>
      <c r="L151" s="1017">
        <v>0</v>
      </c>
      <c r="M151" s="1061"/>
      <c r="N151" s="1062">
        <f t="shared" si="122"/>
        <v>0</v>
      </c>
      <c r="O151" s="1063">
        <f t="shared" si="123"/>
        <v>1</v>
      </c>
      <c r="P151" s="1016">
        <f t="shared" si="124"/>
        <v>0</v>
      </c>
      <c r="Q151" s="1017">
        <v>0</v>
      </c>
      <c r="R151" s="1061"/>
      <c r="S151" s="1062">
        <f t="shared" si="125"/>
        <v>0</v>
      </c>
      <c r="T151" s="1063">
        <f t="shared" si="126"/>
        <v>1</v>
      </c>
      <c r="U151" s="1016">
        <f t="shared" si="153"/>
        <v>0</v>
      </c>
      <c r="V151" s="1017">
        <v>0</v>
      </c>
      <c r="W151" s="1061"/>
      <c r="X151" s="1062">
        <f t="shared" si="127"/>
        <v>0</v>
      </c>
      <c r="Y151" s="1063">
        <f t="shared" si="128"/>
        <v>1</v>
      </c>
      <c r="Z151" s="1016">
        <f t="shared" si="154"/>
        <v>0</v>
      </c>
      <c r="AA151" s="1017">
        <v>0</v>
      </c>
      <c r="AB151" s="1061"/>
      <c r="AC151" s="1062">
        <f t="shared" si="129"/>
        <v>0</v>
      </c>
      <c r="AD151" s="1063">
        <f t="shared" si="130"/>
        <v>1</v>
      </c>
      <c r="AE151" s="1016">
        <f t="shared" si="155"/>
        <v>0</v>
      </c>
      <c r="AF151" s="1017">
        <v>0</v>
      </c>
      <c r="AG151" s="1061"/>
      <c r="AH151" s="1062">
        <f t="shared" si="131"/>
        <v>0</v>
      </c>
      <c r="AI151" s="1063">
        <f t="shared" si="132"/>
        <v>1</v>
      </c>
      <c r="AJ151" s="1016">
        <f t="shared" si="156"/>
        <v>0</v>
      </c>
      <c r="AK151" s="1017">
        <v>0</v>
      </c>
      <c r="AL151" s="1061"/>
      <c r="AM151" s="1062">
        <f t="shared" si="133"/>
        <v>0</v>
      </c>
      <c r="AN151" s="1063">
        <f t="shared" si="134"/>
        <v>1</v>
      </c>
      <c r="AO151" s="1016">
        <f t="shared" si="157"/>
        <v>0</v>
      </c>
      <c r="AP151" s="1017">
        <v>0</v>
      </c>
      <c r="AQ151" s="1061"/>
      <c r="AR151" s="1062">
        <f t="shared" si="135"/>
        <v>0</v>
      </c>
      <c r="AS151" s="1063">
        <f t="shared" si="136"/>
        <v>1</v>
      </c>
      <c r="AT151" s="1016">
        <f t="shared" si="158"/>
        <v>0</v>
      </c>
      <c r="AU151" s="1017">
        <v>0</v>
      </c>
      <c r="AV151" s="1061"/>
      <c r="AW151" s="1062">
        <f t="shared" si="137"/>
        <v>0</v>
      </c>
      <c r="AX151" s="1063">
        <f t="shared" si="138"/>
        <v>1</v>
      </c>
      <c r="AY151" s="1016">
        <f t="shared" si="159"/>
        <v>0</v>
      </c>
      <c r="AZ151" s="1017">
        <v>0</v>
      </c>
      <c r="BA151" s="1061"/>
      <c r="BB151" s="1062">
        <f t="shared" si="139"/>
        <v>0</v>
      </c>
      <c r="BC151" s="1063">
        <f t="shared" si="140"/>
        <v>1</v>
      </c>
      <c r="BD151" s="1016">
        <f t="shared" si="160"/>
        <v>0</v>
      </c>
      <c r="BE151" s="1017">
        <v>0</v>
      </c>
      <c r="BF151" s="1061"/>
      <c r="BG151" s="1062">
        <f t="shared" si="141"/>
        <v>0</v>
      </c>
      <c r="BH151" s="1039">
        <f t="shared" si="142"/>
        <v>0</v>
      </c>
      <c r="BI151" s="1038">
        <f t="shared" si="143"/>
        <v>0</v>
      </c>
      <c r="BJ151" s="1027"/>
      <c r="BK151" s="1060"/>
      <c r="BL151" s="1040">
        <f t="shared" si="144"/>
        <v>0</v>
      </c>
      <c r="BM151" s="1038">
        <f t="shared" si="145"/>
        <v>0</v>
      </c>
      <c r="BN151" s="1027"/>
      <c r="BO151" s="1060"/>
      <c r="BP151" s="95">
        <f t="shared" si="146"/>
        <v>0</v>
      </c>
      <c r="BQ151" s="640">
        <f t="shared" si="147"/>
        <v>0</v>
      </c>
      <c r="BS151" s="94">
        <f t="shared" si="148"/>
        <v>0</v>
      </c>
      <c r="BU151" s="632">
        <f t="shared" si="149"/>
        <v>0</v>
      </c>
      <c r="BV151" s="398"/>
      <c r="BW151" s="405" t="s">
        <v>450</v>
      </c>
      <c r="BX151" s="323">
        <v>47576.13</v>
      </c>
      <c r="CI151" s="96"/>
    </row>
    <row r="152" spans="1:87" ht="14.25" thickTop="1" thickBot="1">
      <c r="A152" s="57"/>
      <c r="B152" s="92">
        <v>22</v>
      </c>
      <c r="C152" s="255">
        <f t="shared" si="161"/>
        <v>0</v>
      </c>
      <c r="D152" s="93">
        <f t="shared" si="161"/>
        <v>0</v>
      </c>
      <c r="E152" s="93">
        <f t="shared" si="161"/>
        <v>0</v>
      </c>
      <c r="F152" s="93">
        <f t="shared" si="161"/>
        <v>0</v>
      </c>
      <c r="G152" s="93"/>
      <c r="H152" s="678">
        <f t="shared" si="150"/>
        <v>1</v>
      </c>
      <c r="I152" s="679">
        <f t="shared" si="121"/>
        <v>0</v>
      </c>
      <c r="J152" s="633">
        <f t="shared" si="151"/>
        <v>1</v>
      </c>
      <c r="K152" s="1016">
        <f t="shared" si="152"/>
        <v>0</v>
      </c>
      <c r="L152" s="1017">
        <v>0</v>
      </c>
      <c r="M152" s="1061"/>
      <c r="N152" s="1062">
        <f t="shared" si="122"/>
        <v>0</v>
      </c>
      <c r="O152" s="1063">
        <f t="shared" si="123"/>
        <v>1</v>
      </c>
      <c r="P152" s="1016">
        <f t="shared" si="124"/>
        <v>0</v>
      </c>
      <c r="Q152" s="1017">
        <v>0</v>
      </c>
      <c r="R152" s="1061"/>
      <c r="S152" s="1062">
        <f t="shared" si="125"/>
        <v>0</v>
      </c>
      <c r="T152" s="1063">
        <f t="shared" si="126"/>
        <v>1</v>
      </c>
      <c r="U152" s="1016">
        <f t="shared" si="153"/>
        <v>0</v>
      </c>
      <c r="V152" s="1017">
        <v>0</v>
      </c>
      <c r="W152" s="1061"/>
      <c r="X152" s="1062">
        <f t="shared" si="127"/>
        <v>0</v>
      </c>
      <c r="Y152" s="1063">
        <f t="shared" si="128"/>
        <v>1</v>
      </c>
      <c r="Z152" s="1016">
        <f t="shared" si="154"/>
        <v>0</v>
      </c>
      <c r="AA152" s="1017">
        <v>0</v>
      </c>
      <c r="AB152" s="1061"/>
      <c r="AC152" s="1062">
        <f t="shared" si="129"/>
        <v>0</v>
      </c>
      <c r="AD152" s="1063">
        <f t="shared" si="130"/>
        <v>1</v>
      </c>
      <c r="AE152" s="1016">
        <f t="shared" si="155"/>
        <v>0</v>
      </c>
      <c r="AF152" s="1017">
        <v>0</v>
      </c>
      <c r="AG152" s="1061"/>
      <c r="AH152" s="1062">
        <f t="shared" si="131"/>
        <v>0</v>
      </c>
      <c r="AI152" s="1063">
        <f t="shared" si="132"/>
        <v>1</v>
      </c>
      <c r="AJ152" s="1016">
        <f t="shared" si="156"/>
        <v>0</v>
      </c>
      <c r="AK152" s="1017">
        <v>0</v>
      </c>
      <c r="AL152" s="1061"/>
      <c r="AM152" s="1062">
        <f t="shared" si="133"/>
        <v>0</v>
      </c>
      <c r="AN152" s="1063">
        <f t="shared" si="134"/>
        <v>1</v>
      </c>
      <c r="AO152" s="1016">
        <f t="shared" si="157"/>
        <v>0</v>
      </c>
      <c r="AP152" s="1017">
        <v>0</v>
      </c>
      <c r="AQ152" s="1061"/>
      <c r="AR152" s="1062">
        <f t="shared" si="135"/>
        <v>0</v>
      </c>
      <c r="AS152" s="1063">
        <f t="shared" si="136"/>
        <v>1</v>
      </c>
      <c r="AT152" s="1016">
        <f t="shared" si="158"/>
        <v>0</v>
      </c>
      <c r="AU152" s="1017">
        <v>0</v>
      </c>
      <c r="AV152" s="1061"/>
      <c r="AW152" s="1062">
        <f t="shared" si="137"/>
        <v>0</v>
      </c>
      <c r="AX152" s="1063">
        <f t="shared" si="138"/>
        <v>1</v>
      </c>
      <c r="AY152" s="1016">
        <f t="shared" si="159"/>
        <v>0</v>
      </c>
      <c r="AZ152" s="1017">
        <v>0</v>
      </c>
      <c r="BA152" s="1061"/>
      <c r="BB152" s="1062">
        <f t="shared" si="139"/>
        <v>0</v>
      </c>
      <c r="BC152" s="1063">
        <f t="shared" si="140"/>
        <v>1</v>
      </c>
      <c r="BD152" s="1016">
        <f t="shared" si="160"/>
        <v>0</v>
      </c>
      <c r="BE152" s="1017">
        <v>0</v>
      </c>
      <c r="BF152" s="1061"/>
      <c r="BG152" s="1062">
        <f t="shared" si="141"/>
        <v>0</v>
      </c>
      <c r="BH152" s="1039">
        <f t="shared" si="142"/>
        <v>0</v>
      </c>
      <c r="BI152" s="1038">
        <f t="shared" si="143"/>
        <v>0</v>
      </c>
      <c r="BJ152" s="1027"/>
      <c r="BK152" s="1060"/>
      <c r="BL152" s="1040">
        <f t="shared" si="144"/>
        <v>0</v>
      </c>
      <c r="BM152" s="1038">
        <f t="shared" si="145"/>
        <v>0</v>
      </c>
      <c r="BN152" s="1027"/>
      <c r="BO152" s="1060"/>
      <c r="BP152" s="95">
        <f t="shared" si="146"/>
        <v>0</v>
      </c>
      <c r="BQ152" s="640">
        <f t="shared" si="147"/>
        <v>0</v>
      </c>
      <c r="BS152" s="94">
        <f t="shared" si="148"/>
        <v>0</v>
      </c>
      <c r="BU152" s="632">
        <f t="shared" si="149"/>
        <v>0</v>
      </c>
      <c r="BV152" s="398"/>
      <c r="BW152" s="405" t="s">
        <v>450</v>
      </c>
      <c r="BX152" s="323">
        <v>117345.65</v>
      </c>
      <c r="CI152" s="96"/>
    </row>
    <row r="153" spans="1:87" ht="14.25" thickTop="1" thickBot="1">
      <c r="A153" s="57"/>
      <c r="B153" s="92">
        <v>23</v>
      </c>
      <c r="C153" s="255">
        <f t="shared" si="161"/>
        <v>0</v>
      </c>
      <c r="D153" s="93">
        <f t="shared" si="161"/>
        <v>0</v>
      </c>
      <c r="E153" s="93">
        <f t="shared" si="161"/>
        <v>0</v>
      </c>
      <c r="F153" s="93">
        <f t="shared" si="161"/>
        <v>0</v>
      </c>
      <c r="G153" s="93"/>
      <c r="H153" s="678">
        <f t="shared" si="150"/>
        <v>1</v>
      </c>
      <c r="I153" s="679">
        <f t="shared" si="121"/>
        <v>0</v>
      </c>
      <c r="J153" s="633">
        <f t="shared" si="151"/>
        <v>1</v>
      </c>
      <c r="K153" s="1016">
        <f t="shared" si="152"/>
        <v>0</v>
      </c>
      <c r="L153" s="1017">
        <v>0</v>
      </c>
      <c r="M153" s="1061"/>
      <c r="N153" s="1062">
        <f t="shared" si="122"/>
        <v>0</v>
      </c>
      <c r="O153" s="1063">
        <f t="shared" si="123"/>
        <v>1</v>
      </c>
      <c r="P153" s="1016">
        <f t="shared" si="124"/>
        <v>0</v>
      </c>
      <c r="Q153" s="1017">
        <v>0</v>
      </c>
      <c r="R153" s="1061"/>
      <c r="S153" s="1062">
        <f t="shared" si="125"/>
        <v>0</v>
      </c>
      <c r="T153" s="1063">
        <f t="shared" si="126"/>
        <v>1</v>
      </c>
      <c r="U153" s="1016">
        <f t="shared" si="153"/>
        <v>0</v>
      </c>
      <c r="V153" s="1017">
        <v>0</v>
      </c>
      <c r="W153" s="1061"/>
      <c r="X153" s="1062">
        <f t="shared" si="127"/>
        <v>0</v>
      </c>
      <c r="Y153" s="1063">
        <f t="shared" si="128"/>
        <v>1</v>
      </c>
      <c r="Z153" s="1016">
        <f t="shared" si="154"/>
        <v>0</v>
      </c>
      <c r="AA153" s="1017">
        <v>0</v>
      </c>
      <c r="AB153" s="1061"/>
      <c r="AC153" s="1062">
        <f t="shared" si="129"/>
        <v>0</v>
      </c>
      <c r="AD153" s="1063">
        <f t="shared" si="130"/>
        <v>1</v>
      </c>
      <c r="AE153" s="1016">
        <f t="shared" si="155"/>
        <v>0</v>
      </c>
      <c r="AF153" s="1017">
        <v>0</v>
      </c>
      <c r="AG153" s="1061"/>
      <c r="AH153" s="1062">
        <f t="shared" si="131"/>
        <v>0</v>
      </c>
      <c r="AI153" s="1063">
        <f t="shared" si="132"/>
        <v>1</v>
      </c>
      <c r="AJ153" s="1016">
        <f t="shared" si="156"/>
        <v>0</v>
      </c>
      <c r="AK153" s="1017">
        <v>0</v>
      </c>
      <c r="AL153" s="1061"/>
      <c r="AM153" s="1062">
        <f t="shared" si="133"/>
        <v>0</v>
      </c>
      <c r="AN153" s="1063">
        <f t="shared" si="134"/>
        <v>1</v>
      </c>
      <c r="AO153" s="1016">
        <f t="shared" si="157"/>
        <v>0</v>
      </c>
      <c r="AP153" s="1017">
        <v>0</v>
      </c>
      <c r="AQ153" s="1061"/>
      <c r="AR153" s="1062">
        <f t="shared" si="135"/>
        <v>0</v>
      </c>
      <c r="AS153" s="1063">
        <f t="shared" si="136"/>
        <v>1</v>
      </c>
      <c r="AT153" s="1016">
        <f t="shared" si="158"/>
        <v>0</v>
      </c>
      <c r="AU153" s="1017">
        <v>0</v>
      </c>
      <c r="AV153" s="1061"/>
      <c r="AW153" s="1062">
        <f t="shared" si="137"/>
        <v>0</v>
      </c>
      <c r="AX153" s="1063">
        <f t="shared" si="138"/>
        <v>1</v>
      </c>
      <c r="AY153" s="1016">
        <f t="shared" si="159"/>
        <v>0</v>
      </c>
      <c r="AZ153" s="1017">
        <v>0</v>
      </c>
      <c r="BA153" s="1061"/>
      <c r="BB153" s="1062">
        <f t="shared" si="139"/>
        <v>0</v>
      </c>
      <c r="BC153" s="1063">
        <f t="shared" si="140"/>
        <v>1</v>
      </c>
      <c r="BD153" s="1016">
        <f t="shared" si="160"/>
        <v>0</v>
      </c>
      <c r="BE153" s="1017">
        <v>0</v>
      </c>
      <c r="BF153" s="1061"/>
      <c r="BG153" s="1062">
        <f t="shared" si="141"/>
        <v>0</v>
      </c>
      <c r="BH153" s="1039">
        <f t="shared" si="142"/>
        <v>0</v>
      </c>
      <c r="BI153" s="1038">
        <f t="shared" si="143"/>
        <v>0</v>
      </c>
      <c r="BJ153" s="1027"/>
      <c r="BK153" s="1060"/>
      <c r="BL153" s="1040">
        <f t="shared" si="144"/>
        <v>0</v>
      </c>
      <c r="BM153" s="1038">
        <f t="shared" si="145"/>
        <v>0</v>
      </c>
      <c r="BN153" s="1027"/>
      <c r="BO153" s="1060"/>
      <c r="BP153" s="95">
        <f t="shared" si="146"/>
        <v>0</v>
      </c>
      <c r="BQ153" s="640">
        <f t="shared" si="147"/>
        <v>0</v>
      </c>
      <c r="BS153" s="94">
        <f t="shared" si="148"/>
        <v>0</v>
      </c>
      <c r="BU153" s="632">
        <f t="shared" si="149"/>
        <v>0</v>
      </c>
      <c r="BV153" s="398"/>
      <c r="BW153" s="405" t="s">
        <v>450</v>
      </c>
      <c r="BX153" s="323">
        <v>82869</v>
      </c>
      <c r="CI153" s="96"/>
    </row>
    <row r="154" spans="1:87" ht="13.5" customHeight="1" thickTop="1" thickBot="1">
      <c r="A154" s="57"/>
      <c r="B154" s="92">
        <v>24</v>
      </c>
      <c r="C154" s="255">
        <f t="shared" si="161"/>
        <v>0</v>
      </c>
      <c r="D154" s="93">
        <f t="shared" si="161"/>
        <v>0</v>
      </c>
      <c r="E154" s="93">
        <f t="shared" si="161"/>
        <v>0</v>
      </c>
      <c r="F154" s="93">
        <f t="shared" si="161"/>
        <v>0</v>
      </c>
      <c r="G154" s="93"/>
      <c r="H154" s="678">
        <f t="shared" si="150"/>
        <v>1</v>
      </c>
      <c r="I154" s="679">
        <f t="shared" si="121"/>
        <v>0</v>
      </c>
      <c r="J154" s="633">
        <f t="shared" si="151"/>
        <v>1</v>
      </c>
      <c r="K154" s="1016">
        <f t="shared" si="152"/>
        <v>0</v>
      </c>
      <c r="L154" s="1017">
        <v>0</v>
      </c>
      <c r="M154" s="1061"/>
      <c r="N154" s="1062">
        <f t="shared" si="122"/>
        <v>0</v>
      </c>
      <c r="O154" s="1063">
        <f t="shared" si="123"/>
        <v>1</v>
      </c>
      <c r="P154" s="1016">
        <f t="shared" si="124"/>
        <v>0</v>
      </c>
      <c r="Q154" s="1017">
        <v>0</v>
      </c>
      <c r="R154" s="1061"/>
      <c r="S154" s="1062">
        <f t="shared" si="125"/>
        <v>0</v>
      </c>
      <c r="T154" s="1063">
        <f t="shared" si="126"/>
        <v>1</v>
      </c>
      <c r="U154" s="1016">
        <f t="shared" si="153"/>
        <v>0</v>
      </c>
      <c r="V154" s="1017">
        <v>0</v>
      </c>
      <c r="W154" s="1061"/>
      <c r="X154" s="1062">
        <f t="shared" si="127"/>
        <v>0</v>
      </c>
      <c r="Y154" s="1063">
        <f t="shared" si="128"/>
        <v>1</v>
      </c>
      <c r="Z154" s="1016">
        <f t="shared" si="154"/>
        <v>0</v>
      </c>
      <c r="AA154" s="1017">
        <v>0</v>
      </c>
      <c r="AB154" s="1061"/>
      <c r="AC154" s="1062">
        <f t="shared" si="129"/>
        <v>0</v>
      </c>
      <c r="AD154" s="1063">
        <f t="shared" si="130"/>
        <v>1</v>
      </c>
      <c r="AE154" s="1016">
        <f t="shared" si="155"/>
        <v>0</v>
      </c>
      <c r="AF154" s="1017">
        <v>0</v>
      </c>
      <c r="AG154" s="1061"/>
      <c r="AH154" s="1062">
        <f t="shared" si="131"/>
        <v>0</v>
      </c>
      <c r="AI154" s="1063">
        <f t="shared" si="132"/>
        <v>1</v>
      </c>
      <c r="AJ154" s="1016">
        <f t="shared" si="156"/>
        <v>0</v>
      </c>
      <c r="AK154" s="1017">
        <v>0</v>
      </c>
      <c r="AL154" s="1061"/>
      <c r="AM154" s="1062">
        <f t="shared" si="133"/>
        <v>0</v>
      </c>
      <c r="AN154" s="1063">
        <f t="shared" si="134"/>
        <v>1</v>
      </c>
      <c r="AO154" s="1016">
        <f t="shared" si="157"/>
        <v>0</v>
      </c>
      <c r="AP154" s="1017">
        <v>0</v>
      </c>
      <c r="AQ154" s="1061"/>
      <c r="AR154" s="1062">
        <f t="shared" si="135"/>
        <v>0</v>
      </c>
      <c r="AS154" s="1063">
        <f t="shared" si="136"/>
        <v>1</v>
      </c>
      <c r="AT154" s="1016">
        <f t="shared" si="158"/>
        <v>0</v>
      </c>
      <c r="AU154" s="1017">
        <v>0</v>
      </c>
      <c r="AV154" s="1061"/>
      <c r="AW154" s="1062">
        <f t="shared" si="137"/>
        <v>0</v>
      </c>
      <c r="AX154" s="1063">
        <f t="shared" si="138"/>
        <v>1</v>
      </c>
      <c r="AY154" s="1016">
        <f t="shared" si="159"/>
        <v>0</v>
      </c>
      <c r="AZ154" s="1017">
        <v>0</v>
      </c>
      <c r="BA154" s="1061"/>
      <c r="BB154" s="1062">
        <f t="shared" si="139"/>
        <v>0</v>
      </c>
      <c r="BC154" s="1063">
        <f t="shared" si="140"/>
        <v>1</v>
      </c>
      <c r="BD154" s="1016">
        <f t="shared" si="160"/>
        <v>0</v>
      </c>
      <c r="BE154" s="1017">
        <v>0</v>
      </c>
      <c r="BF154" s="1061"/>
      <c r="BG154" s="1062">
        <f t="shared" si="141"/>
        <v>0</v>
      </c>
      <c r="BH154" s="1039">
        <f t="shared" si="142"/>
        <v>0</v>
      </c>
      <c r="BI154" s="1038">
        <f t="shared" si="143"/>
        <v>0</v>
      </c>
      <c r="BJ154" s="1027"/>
      <c r="BK154" s="1060"/>
      <c r="BL154" s="1040">
        <f t="shared" si="144"/>
        <v>0</v>
      </c>
      <c r="BM154" s="1038">
        <f t="shared" si="145"/>
        <v>0</v>
      </c>
      <c r="BN154" s="1027"/>
      <c r="BO154" s="1060"/>
      <c r="BP154" s="95">
        <f t="shared" si="146"/>
        <v>0</v>
      </c>
      <c r="BQ154" s="640">
        <f t="shared" si="147"/>
        <v>0</v>
      </c>
      <c r="BS154" s="94">
        <f t="shared" si="148"/>
        <v>0</v>
      </c>
      <c r="BU154" s="632">
        <f t="shared" si="149"/>
        <v>0</v>
      </c>
      <c r="BV154" s="398"/>
      <c r="BW154" s="405" t="s">
        <v>450</v>
      </c>
      <c r="BX154" s="323">
        <v>89994.63</v>
      </c>
      <c r="CD154" s="398">
        <v>0.1</v>
      </c>
      <c r="CI154" s="96"/>
    </row>
    <row r="155" spans="1:87" ht="14.25" thickTop="1" thickBot="1">
      <c r="A155" s="57"/>
      <c r="B155" s="92">
        <v>25</v>
      </c>
      <c r="C155" s="255">
        <f t="shared" si="161"/>
        <v>0</v>
      </c>
      <c r="D155" s="93">
        <f t="shared" si="161"/>
        <v>0</v>
      </c>
      <c r="E155" s="93">
        <f t="shared" si="161"/>
        <v>0</v>
      </c>
      <c r="F155" s="93">
        <f t="shared" si="161"/>
        <v>0</v>
      </c>
      <c r="G155" s="93"/>
      <c r="H155" s="678">
        <f t="shared" si="150"/>
        <v>1</v>
      </c>
      <c r="I155" s="679">
        <f t="shared" si="121"/>
        <v>0</v>
      </c>
      <c r="J155" s="633">
        <f t="shared" si="151"/>
        <v>1</v>
      </c>
      <c r="K155" s="1016">
        <f t="shared" si="152"/>
        <v>0</v>
      </c>
      <c r="L155" s="1017">
        <v>0</v>
      </c>
      <c r="M155" s="1061"/>
      <c r="N155" s="1062">
        <f t="shared" si="122"/>
        <v>0</v>
      </c>
      <c r="O155" s="1063">
        <f t="shared" si="123"/>
        <v>1</v>
      </c>
      <c r="P155" s="1016">
        <f t="shared" si="124"/>
        <v>0</v>
      </c>
      <c r="Q155" s="1017">
        <v>0</v>
      </c>
      <c r="R155" s="1061"/>
      <c r="S155" s="1062">
        <f t="shared" si="125"/>
        <v>0</v>
      </c>
      <c r="T155" s="1063">
        <f t="shared" si="126"/>
        <v>1</v>
      </c>
      <c r="U155" s="1016">
        <f t="shared" si="153"/>
        <v>0</v>
      </c>
      <c r="V155" s="1017">
        <v>0</v>
      </c>
      <c r="W155" s="1061"/>
      <c r="X155" s="1062">
        <f t="shared" si="127"/>
        <v>0</v>
      </c>
      <c r="Y155" s="1063">
        <f t="shared" si="128"/>
        <v>1</v>
      </c>
      <c r="Z155" s="1016">
        <f t="shared" si="154"/>
        <v>0</v>
      </c>
      <c r="AA155" s="1017">
        <v>0</v>
      </c>
      <c r="AB155" s="1061"/>
      <c r="AC155" s="1062">
        <f t="shared" si="129"/>
        <v>0</v>
      </c>
      <c r="AD155" s="1063">
        <f t="shared" si="130"/>
        <v>1</v>
      </c>
      <c r="AE155" s="1016">
        <f t="shared" si="155"/>
        <v>0</v>
      </c>
      <c r="AF155" s="1017">
        <v>0</v>
      </c>
      <c r="AG155" s="1061"/>
      <c r="AH155" s="1062">
        <f t="shared" si="131"/>
        <v>0</v>
      </c>
      <c r="AI155" s="1063">
        <f t="shared" si="132"/>
        <v>1</v>
      </c>
      <c r="AJ155" s="1016">
        <f t="shared" si="156"/>
        <v>0</v>
      </c>
      <c r="AK155" s="1017">
        <v>0</v>
      </c>
      <c r="AL155" s="1061"/>
      <c r="AM155" s="1062">
        <f t="shared" si="133"/>
        <v>0</v>
      </c>
      <c r="AN155" s="1063">
        <f t="shared" si="134"/>
        <v>1</v>
      </c>
      <c r="AO155" s="1016">
        <f t="shared" si="157"/>
        <v>0</v>
      </c>
      <c r="AP155" s="1017">
        <v>0</v>
      </c>
      <c r="AQ155" s="1061"/>
      <c r="AR155" s="1062">
        <f t="shared" si="135"/>
        <v>0</v>
      </c>
      <c r="AS155" s="1063">
        <f t="shared" si="136"/>
        <v>1</v>
      </c>
      <c r="AT155" s="1016">
        <f t="shared" si="158"/>
        <v>0</v>
      </c>
      <c r="AU155" s="1017">
        <v>0</v>
      </c>
      <c r="AV155" s="1061"/>
      <c r="AW155" s="1062">
        <f t="shared" si="137"/>
        <v>0</v>
      </c>
      <c r="AX155" s="1063">
        <f t="shared" si="138"/>
        <v>1</v>
      </c>
      <c r="AY155" s="1016">
        <f t="shared" si="159"/>
        <v>0</v>
      </c>
      <c r="AZ155" s="1017">
        <v>0</v>
      </c>
      <c r="BA155" s="1061"/>
      <c r="BB155" s="1062">
        <f t="shared" si="139"/>
        <v>0</v>
      </c>
      <c r="BC155" s="1063">
        <f t="shared" si="140"/>
        <v>1</v>
      </c>
      <c r="BD155" s="1016">
        <f t="shared" si="160"/>
        <v>0</v>
      </c>
      <c r="BE155" s="1017">
        <v>0</v>
      </c>
      <c r="BF155" s="1061"/>
      <c r="BG155" s="1062">
        <f t="shared" si="141"/>
        <v>0</v>
      </c>
      <c r="BH155" s="1039">
        <f t="shared" si="142"/>
        <v>0</v>
      </c>
      <c r="BI155" s="1038">
        <f t="shared" si="143"/>
        <v>0</v>
      </c>
      <c r="BJ155" s="1027"/>
      <c r="BK155" s="1060"/>
      <c r="BL155" s="1040">
        <f t="shared" si="144"/>
        <v>0</v>
      </c>
      <c r="BM155" s="1038">
        <f t="shared" si="145"/>
        <v>0</v>
      </c>
      <c r="BN155" s="1027"/>
      <c r="BO155" s="1060"/>
      <c r="BP155" s="95">
        <f t="shared" si="146"/>
        <v>0</v>
      </c>
      <c r="BQ155" s="640">
        <f t="shared" si="147"/>
        <v>0</v>
      </c>
      <c r="BS155" s="94">
        <f t="shared" si="148"/>
        <v>0</v>
      </c>
      <c r="BU155" s="632">
        <f t="shared" si="149"/>
        <v>0</v>
      </c>
      <c r="BV155" s="398"/>
      <c r="BW155" s="405" t="s">
        <v>450</v>
      </c>
      <c r="BX155" s="323">
        <v>91899.93</v>
      </c>
      <c r="CD155" s="398">
        <v>0.1</v>
      </c>
      <c r="CI155" s="96"/>
    </row>
    <row r="156" spans="1:87" ht="14.25" thickTop="1" thickBot="1">
      <c r="A156" s="57"/>
      <c r="B156" s="92">
        <v>26</v>
      </c>
      <c r="C156" s="255">
        <f t="shared" si="161"/>
        <v>0</v>
      </c>
      <c r="D156" s="93">
        <f t="shared" si="161"/>
        <v>0</v>
      </c>
      <c r="E156" s="93">
        <f t="shared" si="161"/>
        <v>0</v>
      </c>
      <c r="F156" s="93">
        <f t="shared" si="161"/>
        <v>0</v>
      </c>
      <c r="G156" s="93"/>
      <c r="H156" s="678">
        <f t="shared" si="150"/>
        <v>1</v>
      </c>
      <c r="I156" s="679">
        <f t="shared" si="121"/>
        <v>0</v>
      </c>
      <c r="J156" s="633">
        <f t="shared" si="151"/>
        <v>1</v>
      </c>
      <c r="K156" s="1016">
        <f t="shared" si="152"/>
        <v>0</v>
      </c>
      <c r="L156" s="1017">
        <v>0</v>
      </c>
      <c r="M156" s="1061"/>
      <c r="N156" s="1062">
        <f t="shared" si="122"/>
        <v>0</v>
      </c>
      <c r="O156" s="1063">
        <f t="shared" si="123"/>
        <v>1</v>
      </c>
      <c r="P156" s="1016">
        <f t="shared" si="124"/>
        <v>0</v>
      </c>
      <c r="Q156" s="1017">
        <v>0</v>
      </c>
      <c r="R156" s="1061"/>
      <c r="S156" s="1062">
        <f t="shared" si="125"/>
        <v>0</v>
      </c>
      <c r="T156" s="1063">
        <f t="shared" si="126"/>
        <v>1</v>
      </c>
      <c r="U156" s="1016">
        <f t="shared" si="153"/>
        <v>0</v>
      </c>
      <c r="V156" s="1017">
        <v>0</v>
      </c>
      <c r="W156" s="1061"/>
      <c r="X156" s="1062">
        <f t="shared" si="127"/>
        <v>0</v>
      </c>
      <c r="Y156" s="1063">
        <f t="shared" si="128"/>
        <v>1</v>
      </c>
      <c r="Z156" s="1016">
        <f t="shared" si="154"/>
        <v>0</v>
      </c>
      <c r="AA156" s="1017">
        <v>0</v>
      </c>
      <c r="AB156" s="1061"/>
      <c r="AC156" s="1062">
        <f t="shared" si="129"/>
        <v>0</v>
      </c>
      <c r="AD156" s="1063">
        <f t="shared" si="130"/>
        <v>1</v>
      </c>
      <c r="AE156" s="1016">
        <f t="shared" si="155"/>
        <v>0</v>
      </c>
      <c r="AF156" s="1017">
        <v>0</v>
      </c>
      <c r="AG156" s="1061"/>
      <c r="AH156" s="1062">
        <f t="shared" si="131"/>
        <v>0</v>
      </c>
      <c r="AI156" s="1063">
        <f t="shared" si="132"/>
        <v>1</v>
      </c>
      <c r="AJ156" s="1016">
        <f t="shared" si="156"/>
        <v>0</v>
      </c>
      <c r="AK156" s="1017">
        <v>0</v>
      </c>
      <c r="AL156" s="1061"/>
      <c r="AM156" s="1062">
        <f t="shared" si="133"/>
        <v>0</v>
      </c>
      <c r="AN156" s="1063">
        <f t="shared" si="134"/>
        <v>1</v>
      </c>
      <c r="AO156" s="1016">
        <f t="shared" si="157"/>
        <v>0</v>
      </c>
      <c r="AP156" s="1017">
        <v>0</v>
      </c>
      <c r="AQ156" s="1061"/>
      <c r="AR156" s="1062">
        <f t="shared" si="135"/>
        <v>0</v>
      </c>
      <c r="AS156" s="1063">
        <f t="shared" si="136"/>
        <v>1</v>
      </c>
      <c r="AT156" s="1016">
        <f t="shared" si="158"/>
        <v>0</v>
      </c>
      <c r="AU156" s="1017">
        <v>0</v>
      </c>
      <c r="AV156" s="1061"/>
      <c r="AW156" s="1062">
        <f t="shared" si="137"/>
        <v>0</v>
      </c>
      <c r="AX156" s="1063">
        <f t="shared" si="138"/>
        <v>1</v>
      </c>
      <c r="AY156" s="1016">
        <f t="shared" si="159"/>
        <v>0</v>
      </c>
      <c r="AZ156" s="1017">
        <v>0</v>
      </c>
      <c r="BA156" s="1061"/>
      <c r="BB156" s="1062">
        <f t="shared" si="139"/>
        <v>0</v>
      </c>
      <c r="BC156" s="1063">
        <f t="shared" si="140"/>
        <v>1</v>
      </c>
      <c r="BD156" s="1016">
        <f t="shared" si="160"/>
        <v>0</v>
      </c>
      <c r="BE156" s="1017">
        <v>0</v>
      </c>
      <c r="BF156" s="1061"/>
      <c r="BG156" s="1062">
        <f t="shared" si="141"/>
        <v>0</v>
      </c>
      <c r="BH156" s="1039">
        <f t="shared" si="142"/>
        <v>0</v>
      </c>
      <c r="BI156" s="1038">
        <f t="shared" si="143"/>
        <v>0</v>
      </c>
      <c r="BJ156" s="1027"/>
      <c r="BK156" s="1060"/>
      <c r="BL156" s="1040">
        <f t="shared" si="144"/>
        <v>0</v>
      </c>
      <c r="BM156" s="1038">
        <f t="shared" si="145"/>
        <v>0</v>
      </c>
      <c r="BN156" s="1027"/>
      <c r="BO156" s="1060"/>
      <c r="BP156" s="95">
        <f t="shared" si="146"/>
        <v>0</v>
      </c>
      <c r="BQ156" s="640">
        <f t="shared" si="147"/>
        <v>0</v>
      </c>
      <c r="BS156" s="94">
        <f t="shared" si="148"/>
        <v>0</v>
      </c>
      <c r="BU156" s="632">
        <f t="shared" si="149"/>
        <v>0</v>
      </c>
      <c r="BV156" s="398"/>
      <c r="BW156" s="405" t="s">
        <v>450</v>
      </c>
      <c r="BX156" s="323">
        <v>190922.75</v>
      </c>
      <c r="CD156" s="398">
        <v>0.15</v>
      </c>
      <c r="CI156" s="96"/>
    </row>
    <row r="157" spans="1:87" ht="14.25" thickTop="1" thickBot="1">
      <c r="A157" s="57"/>
      <c r="B157" s="92">
        <v>27</v>
      </c>
      <c r="C157" s="255">
        <f t="shared" si="161"/>
        <v>0</v>
      </c>
      <c r="D157" s="93">
        <f t="shared" si="161"/>
        <v>0</v>
      </c>
      <c r="E157" s="93">
        <f t="shared" si="161"/>
        <v>0</v>
      </c>
      <c r="F157" s="93">
        <f t="shared" si="161"/>
        <v>0</v>
      </c>
      <c r="G157" s="93"/>
      <c r="H157" s="678">
        <f t="shared" si="150"/>
        <v>1</v>
      </c>
      <c r="I157" s="679">
        <f t="shared" si="121"/>
        <v>0</v>
      </c>
      <c r="J157" s="633">
        <f t="shared" si="151"/>
        <v>1</v>
      </c>
      <c r="K157" s="1016">
        <f t="shared" si="152"/>
        <v>0</v>
      </c>
      <c r="L157" s="1017">
        <v>0</v>
      </c>
      <c r="M157" s="1061"/>
      <c r="N157" s="1062">
        <f t="shared" si="122"/>
        <v>0</v>
      </c>
      <c r="O157" s="1063">
        <f t="shared" si="123"/>
        <v>1</v>
      </c>
      <c r="P157" s="1016">
        <f t="shared" si="124"/>
        <v>0</v>
      </c>
      <c r="Q157" s="1017">
        <v>0</v>
      </c>
      <c r="R157" s="1061"/>
      <c r="S157" s="1062">
        <f t="shared" si="125"/>
        <v>0</v>
      </c>
      <c r="T157" s="1063">
        <f t="shared" si="126"/>
        <v>1</v>
      </c>
      <c r="U157" s="1016">
        <f t="shared" si="153"/>
        <v>0</v>
      </c>
      <c r="V157" s="1017">
        <v>0</v>
      </c>
      <c r="W157" s="1061"/>
      <c r="X157" s="1062">
        <f t="shared" si="127"/>
        <v>0</v>
      </c>
      <c r="Y157" s="1063">
        <f t="shared" si="128"/>
        <v>1</v>
      </c>
      <c r="Z157" s="1016">
        <f t="shared" si="154"/>
        <v>0</v>
      </c>
      <c r="AA157" s="1017">
        <v>0</v>
      </c>
      <c r="AB157" s="1061"/>
      <c r="AC157" s="1062">
        <f t="shared" si="129"/>
        <v>0</v>
      </c>
      <c r="AD157" s="1063">
        <f t="shared" si="130"/>
        <v>1</v>
      </c>
      <c r="AE157" s="1016">
        <f t="shared" si="155"/>
        <v>0</v>
      </c>
      <c r="AF157" s="1017">
        <v>0</v>
      </c>
      <c r="AG157" s="1061"/>
      <c r="AH157" s="1062">
        <f t="shared" si="131"/>
        <v>0</v>
      </c>
      <c r="AI157" s="1063">
        <f t="shared" si="132"/>
        <v>1</v>
      </c>
      <c r="AJ157" s="1016">
        <f t="shared" si="156"/>
        <v>0</v>
      </c>
      <c r="AK157" s="1017">
        <v>0</v>
      </c>
      <c r="AL157" s="1061"/>
      <c r="AM157" s="1062">
        <f t="shared" si="133"/>
        <v>0</v>
      </c>
      <c r="AN157" s="1063">
        <f t="shared" si="134"/>
        <v>1</v>
      </c>
      <c r="AO157" s="1016">
        <f t="shared" si="157"/>
        <v>0</v>
      </c>
      <c r="AP157" s="1017">
        <v>0</v>
      </c>
      <c r="AQ157" s="1061"/>
      <c r="AR157" s="1062">
        <f t="shared" si="135"/>
        <v>0</v>
      </c>
      <c r="AS157" s="1063">
        <f t="shared" si="136"/>
        <v>1</v>
      </c>
      <c r="AT157" s="1016">
        <f t="shared" si="158"/>
        <v>0</v>
      </c>
      <c r="AU157" s="1017">
        <v>0</v>
      </c>
      <c r="AV157" s="1061"/>
      <c r="AW157" s="1062">
        <f t="shared" si="137"/>
        <v>0</v>
      </c>
      <c r="AX157" s="1063">
        <f t="shared" si="138"/>
        <v>1</v>
      </c>
      <c r="AY157" s="1016">
        <f t="shared" si="159"/>
        <v>0</v>
      </c>
      <c r="AZ157" s="1017">
        <v>0</v>
      </c>
      <c r="BA157" s="1061"/>
      <c r="BB157" s="1062">
        <f t="shared" si="139"/>
        <v>0</v>
      </c>
      <c r="BC157" s="1063">
        <f t="shared" si="140"/>
        <v>1</v>
      </c>
      <c r="BD157" s="1016">
        <f t="shared" si="160"/>
        <v>0</v>
      </c>
      <c r="BE157" s="1017">
        <v>0</v>
      </c>
      <c r="BF157" s="1061"/>
      <c r="BG157" s="1062">
        <f t="shared" si="141"/>
        <v>0</v>
      </c>
      <c r="BH157" s="1039">
        <f t="shared" si="142"/>
        <v>0</v>
      </c>
      <c r="BI157" s="1038">
        <f t="shared" si="143"/>
        <v>0</v>
      </c>
      <c r="BJ157" s="1027"/>
      <c r="BK157" s="1060"/>
      <c r="BL157" s="1040">
        <f t="shared" si="144"/>
        <v>0</v>
      </c>
      <c r="BM157" s="1038">
        <f t="shared" si="145"/>
        <v>0</v>
      </c>
      <c r="BN157" s="1027"/>
      <c r="BO157" s="1060"/>
      <c r="BP157" s="95">
        <f t="shared" si="146"/>
        <v>0</v>
      </c>
      <c r="BQ157" s="640">
        <f t="shared" si="147"/>
        <v>0</v>
      </c>
      <c r="BS157" s="94">
        <f t="shared" si="148"/>
        <v>0</v>
      </c>
      <c r="BU157" s="632">
        <f t="shared" si="149"/>
        <v>0</v>
      </c>
      <c r="BV157" s="398"/>
      <c r="BW157" s="405" t="s">
        <v>453</v>
      </c>
      <c r="BX157" s="323">
        <v>84151</v>
      </c>
      <c r="CI157" s="96"/>
    </row>
    <row r="158" spans="1:87" ht="14.25" thickTop="1" thickBot="1">
      <c r="A158" s="57"/>
      <c r="B158" s="92">
        <v>28</v>
      </c>
      <c r="C158" s="255">
        <f t="shared" si="161"/>
        <v>0</v>
      </c>
      <c r="D158" s="93">
        <f t="shared" si="161"/>
        <v>0</v>
      </c>
      <c r="E158" s="93">
        <f t="shared" si="161"/>
        <v>0</v>
      </c>
      <c r="F158" s="93">
        <f t="shared" si="161"/>
        <v>0</v>
      </c>
      <c r="G158" s="93"/>
      <c r="H158" s="678">
        <f t="shared" si="150"/>
        <v>1</v>
      </c>
      <c r="I158" s="679">
        <f t="shared" si="121"/>
        <v>0</v>
      </c>
      <c r="J158" s="633">
        <f t="shared" si="151"/>
        <v>1</v>
      </c>
      <c r="K158" s="1016">
        <f t="shared" si="152"/>
        <v>0</v>
      </c>
      <c r="L158" s="1017">
        <v>0</v>
      </c>
      <c r="M158" s="1061"/>
      <c r="N158" s="1062">
        <f t="shared" si="122"/>
        <v>0</v>
      </c>
      <c r="O158" s="1063">
        <f t="shared" si="123"/>
        <v>1</v>
      </c>
      <c r="P158" s="1016">
        <f t="shared" si="124"/>
        <v>0</v>
      </c>
      <c r="Q158" s="1017">
        <v>0</v>
      </c>
      <c r="R158" s="1061"/>
      <c r="S158" s="1062">
        <f t="shared" si="125"/>
        <v>0</v>
      </c>
      <c r="T158" s="1063">
        <f t="shared" si="126"/>
        <v>1</v>
      </c>
      <c r="U158" s="1016">
        <f t="shared" si="153"/>
        <v>0</v>
      </c>
      <c r="V158" s="1017">
        <v>0</v>
      </c>
      <c r="W158" s="1061"/>
      <c r="X158" s="1062">
        <f t="shared" si="127"/>
        <v>0</v>
      </c>
      <c r="Y158" s="1063">
        <f t="shared" si="128"/>
        <v>1</v>
      </c>
      <c r="Z158" s="1016">
        <f t="shared" si="154"/>
        <v>0</v>
      </c>
      <c r="AA158" s="1017">
        <v>0</v>
      </c>
      <c r="AB158" s="1061"/>
      <c r="AC158" s="1062">
        <f t="shared" si="129"/>
        <v>0</v>
      </c>
      <c r="AD158" s="1063">
        <f t="shared" si="130"/>
        <v>1</v>
      </c>
      <c r="AE158" s="1016">
        <f t="shared" si="155"/>
        <v>0</v>
      </c>
      <c r="AF158" s="1017">
        <v>0</v>
      </c>
      <c r="AG158" s="1061"/>
      <c r="AH158" s="1062">
        <f t="shared" si="131"/>
        <v>0</v>
      </c>
      <c r="AI158" s="1063">
        <f t="shared" si="132"/>
        <v>1</v>
      </c>
      <c r="AJ158" s="1016">
        <f t="shared" si="156"/>
        <v>0</v>
      </c>
      <c r="AK158" s="1017">
        <v>0</v>
      </c>
      <c r="AL158" s="1061"/>
      <c r="AM158" s="1062">
        <f t="shared" si="133"/>
        <v>0</v>
      </c>
      <c r="AN158" s="1063">
        <f t="shared" si="134"/>
        <v>1</v>
      </c>
      <c r="AO158" s="1016">
        <f t="shared" si="157"/>
        <v>0</v>
      </c>
      <c r="AP158" s="1017">
        <v>0</v>
      </c>
      <c r="AQ158" s="1061"/>
      <c r="AR158" s="1062">
        <f t="shared" si="135"/>
        <v>0</v>
      </c>
      <c r="AS158" s="1063">
        <f t="shared" si="136"/>
        <v>1</v>
      </c>
      <c r="AT158" s="1016">
        <f t="shared" si="158"/>
        <v>0</v>
      </c>
      <c r="AU158" s="1017">
        <v>0</v>
      </c>
      <c r="AV158" s="1061"/>
      <c r="AW158" s="1062">
        <f t="shared" si="137"/>
        <v>0</v>
      </c>
      <c r="AX158" s="1063">
        <f t="shared" si="138"/>
        <v>1</v>
      </c>
      <c r="AY158" s="1016">
        <f t="shared" si="159"/>
        <v>0</v>
      </c>
      <c r="AZ158" s="1017">
        <v>0</v>
      </c>
      <c r="BA158" s="1061"/>
      <c r="BB158" s="1062">
        <f t="shared" si="139"/>
        <v>0</v>
      </c>
      <c r="BC158" s="1063">
        <f t="shared" si="140"/>
        <v>1</v>
      </c>
      <c r="BD158" s="1016">
        <f t="shared" si="160"/>
        <v>0</v>
      </c>
      <c r="BE158" s="1017">
        <v>0</v>
      </c>
      <c r="BF158" s="1061"/>
      <c r="BG158" s="1062">
        <f t="shared" si="141"/>
        <v>0</v>
      </c>
      <c r="BH158" s="1039">
        <f t="shared" si="142"/>
        <v>0</v>
      </c>
      <c r="BI158" s="1038">
        <f t="shared" si="143"/>
        <v>0</v>
      </c>
      <c r="BJ158" s="1027"/>
      <c r="BK158" s="1060"/>
      <c r="BL158" s="1040">
        <f t="shared" si="144"/>
        <v>0</v>
      </c>
      <c r="BM158" s="1038">
        <f t="shared" si="145"/>
        <v>0</v>
      </c>
      <c r="BN158" s="1027"/>
      <c r="BO158" s="1060"/>
      <c r="BP158" s="95">
        <f t="shared" si="146"/>
        <v>0</v>
      </c>
      <c r="BQ158" s="640">
        <f t="shared" si="147"/>
        <v>0</v>
      </c>
      <c r="BS158" s="94">
        <f t="shared" si="148"/>
        <v>0</v>
      </c>
      <c r="BU158" s="632">
        <f t="shared" si="149"/>
        <v>0</v>
      </c>
      <c r="BV158" s="398"/>
      <c r="BW158" s="405" t="s">
        <v>453</v>
      </c>
      <c r="BX158" s="323">
        <v>99327.5</v>
      </c>
      <c r="CD158" s="398">
        <v>0.05</v>
      </c>
      <c r="CI158" s="96"/>
    </row>
    <row r="159" spans="1:87" ht="14.25" thickTop="1" thickBot="1">
      <c r="A159" s="57"/>
      <c r="B159" s="92">
        <v>29</v>
      </c>
      <c r="C159" s="255">
        <f t="shared" si="161"/>
        <v>0</v>
      </c>
      <c r="D159" s="93">
        <f t="shared" si="161"/>
        <v>0</v>
      </c>
      <c r="E159" s="93">
        <f t="shared" si="161"/>
        <v>0</v>
      </c>
      <c r="F159" s="93">
        <f t="shared" si="161"/>
        <v>0</v>
      </c>
      <c r="G159" s="93"/>
      <c r="H159" s="678">
        <f t="shared" si="150"/>
        <v>1</v>
      </c>
      <c r="I159" s="679">
        <f t="shared" si="121"/>
        <v>0</v>
      </c>
      <c r="J159" s="633">
        <f t="shared" si="151"/>
        <v>1</v>
      </c>
      <c r="K159" s="1016">
        <f t="shared" si="152"/>
        <v>0</v>
      </c>
      <c r="L159" s="1017">
        <v>0</v>
      </c>
      <c r="M159" s="1061"/>
      <c r="N159" s="1062">
        <f t="shared" si="122"/>
        <v>0</v>
      </c>
      <c r="O159" s="1063">
        <f t="shared" si="123"/>
        <v>1</v>
      </c>
      <c r="P159" s="1016">
        <f t="shared" si="124"/>
        <v>0</v>
      </c>
      <c r="Q159" s="1017">
        <v>0</v>
      </c>
      <c r="R159" s="1061"/>
      <c r="S159" s="1062">
        <f t="shared" si="125"/>
        <v>0</v>
      </c>
      <c r="T159" s="1063">
        <f t="shared" si="126"/>
        <v>1</v>
      </c>
      <c r="U159" s="1016">
        <f t="shared" si="153"/>
        <v>0</v>
      </c>
      <c r="V159" s="1017">
        <v>0</v>
      </c>
      <c r="W159" s="1061"/>
      <c r="X159" s="1062">
        <f t="shared" si="127"/>
        <v>0</v>
      </c>
      <c r="Y159" s="1063">
        <f t="shared" si="128"/>
        <v>1</v>
      </c>
      <c r="Z159" s="1016">
        <f t="shared" si="154"/>
        <v>0</v>
      </c>
      <c r="AA159" s="1017">
        <v>0</v>
      </c>
      <c r="AB159" s="1061"/>
      <c r="AC159" s="1062">
        <f t="shared" si="129"/>
        <v>0</v>
      </c>
      <c r="AD159" s="1063">
        <f t="shared" si="130"/>
        <v>1</v>
      </c>
      <c r="AE159" s="1016">
        <f t="shared" si="155"/>
        <v>0</v>
      </c>
      <c r="AF159" s="1017">
        <v>0</v>
      </c>
      <c r="AG159" s="1061"/>
      <c r="AH159" s="1062">
        <f t="shared" si="131"/>
        <v>0</v>
      </c>
      <c r="AI159" s="1063">
        <f t="shared" si="132"/>
        <v>1</v>
      </c>
      <c r="AJ159" s="1016">
        <f t="shared" si="156"/>
        <v>0</v>
      </c>
      <c r="AK159" s="1017">
        <v>0</v>
      </c>
      <c r="AL159" s="1061"/>
      <c r="AM159" s="1062">
        <f t="shared" si="133"/>
        <v>0</v>
      </c>
      <c r="AN159" s="1063">
        <f t="shared" si="134"/>
        <v>1</v>
      </c>
      <c r="AO159" s="1016">
        <f t="shared" si="157"/>
        <v>0</v>
      </c>
      <c r="AP159" s="1017">
        <v>0</v>
      </c>
      <c r="AQ159" s="1061"/>
      <c r="AR159" s="1062">
        <f t="shared" si="135"/>
        <v>0</v>
      </c>
      <c r="AS159" s="1063">
        <f t="shared" si="136"/>
        <v>1</v>
      </c>
      <c r="AT159" s="1016">
        <f t="shared" si="158"/>
        <v>0</v>
      </c>
      <c r="AU159" s="1017">
        <v>0</v>
      </c>
      <c r="AV159" s="1061"/>
      <c r="AW159" s="1062">
        <f t="shared" si="137"/>
        <v>0</v>
      </c>
      <c r="AX159" s="1063">
        <f t="shared" si="138"/>
        <v>1</v>
      </c>
      <c r="AY159" s="1016">
        <f t="shared" si="159"/>
        <v>0</v>
      </c>
      <c r="AZ159" s="1017">
        <v>0</v>
      </c>
      <c r="BA159" s="1061"/>
      <c r="BB159" s="1062">
        <f t="shared" si="139"/>
        <v>0</v>
      </c>
      <c r="BC159" s="1063">
        <f t="shared" si="140"/>
        <v>1</v>
      </c>
      <c r="BD159" s="1016">
        <f t="shared" si="160"/>
        <v>0</v>
      </c>
      <c r="BE159" s="1017">
        <v>0</v>
      </c>
      <c r="BF159" s="1061"/>
      <c r="BG159" s="1062">
        <f t="shared" si="141"/>
        <v>0</v>
      </c>
      <c r="BH159" s="1039">
        <f t="shared" si="142"/>
        <v>0</v>
      </c>
      <c r="BI159" s="1038">
        <f t="shared" si="143"/>
        <v>0</v>
      </c>
      <c r="BJ159" s="1027"/>
      <c r="BK159" s="1060"/>
      <c r="BL159" s="1040">
        <f t="shared" si="144"/>
        <v>0</v>
      </c>
      <c r="BM159" s="1038">
        <f t="shared" si="145"/>
        <v>0</v>
      </c>
      <c r="BN159" s="1027"/>
      <c r="BO159" s="1060"/>
      <c r="BP159" s="95">
        <f t="shared" si="146"/>
        <v>0</v>
      </c>
      <c r="BQ159" s="640">
        <f t="shared" si="147"/>
        <v>0</v>
      </c>
      <c r="BS159" s="94">
        <f t="shared" si="148"/>
        <v>0</v>
      </c>
      <c r="BU159" s="632">
        <f t="shared" si="149"/>
        <v>0</v>
      </c>
      <c r="BV159" s="398"/>
      <c r="BW159" s="405" t="s">
        <v>450</v>
      </c>
      <c r="BX159" s="323">
        <v>73127.12</v>
      </c>
      <c r="CI159" s="96"/>
    </row>
    <row r="160" spans="1:87" ht="14.25" thickTop="1" thickBot="1">
      <c r="A160" s="57"/>
      <c r="B160" s="92">
        <v>30</v>
      </c>
      <c r="C160" s="255">
        <f t="shared" si="161"/>
        <v>0</v>
      </c>
      <c r="D160" s="93">
        <f t="shared" si="161"/>
        <v>0</v>
      </c>
      <c r="E160" s="93">
        <f t="shared" si="161"/>
        <v>0</v>
      </c>
      <c r="F160" s="93">
        <f t="shared" si="161"/>
        <v>0</v>
      </c>
      <c r="G160" s="93"/>
      <c r="H160" s="678">
        <f t="shared" si="150"/>
        <v>1</v>
      </c>
      <c r="I160" s="679">
        <f t="shared" si="121"/>
        <v>0</v>
      </c>
      <c r="J160" s="633">
        <f t="shared" si="151"/>
        <v>1</v>
      </c>
      <c r="K160" s="1016">
        <f t="shared" si="152"/>
        <v>0</v>
      </c>
      <c r="L160" s="1017">
        <v>0</v>
      </c>
      <c r="M160" s="1061"/>
      <c r="N160" s="1062">
        <f t="shared" si="122"/>
        <v>0</v>
      </c>
      <c r="O160" s="1063">
        <f t="shared" si="123"/>
        <v>1</v>
      </c>
      <c r="P160" s="1016">
        <f t="shared" si="124"/>
        <v>0</v>
      </c>
      <c r="Q160" s="1017">
        <v>0</v>
      </c>
      <c r="R160" s="1061"/>
      <c r="S160" s="1062">
        <f t="shared" si="125"/>
        <v>0</v>
      </c>
      <c r="T160" s="1063">
        <f t="shared" si="126"/>
        <v>1</v>
      </c>
      <c r="U160" s="1016">
        <f t="shared" si="153"/>
        <v>0</v>
      </c>
      <c r="V160" s="1017">
        <v>0</v>
      </c>
      <c r="W160" s="1061"/>
      <c r="X160" s="1062">
        <f t="shared" si="127"/>
        <v>0</v>
      </c>
      <c r="Y160" s="1063">
        <f t="shared" si="128"/>
        <v>1</v>
      </c>
      <c r="Z160" s="1016">
        <f t="shared" si="154"/>
        <v>0</v>
      </c>
      <c r="AA160" s="1017">
        <v>0</v>
      </c>
      <c r="AB160" s="1061"/>
      <c r="AC160" s="1062">
        <f t="shared" si="129"/>
        <v>0</v>
      </c>
      <c r="AD160" s="1063">
        <f t="shared" si="130"/>
        <v>1</v>
      </c>
      <c r="AE160" s="1016">
        <f t="shared" si="155"/>
        <v>0</v>
      </c>
      <c r="AF160" s="1017">
        <v>0</v>
      </c>
      <c r="AG160" s="1061"/>
      <c r="AH160" s="1062">
        <f t="shared" si="131"/>
        <v>0</v>
      </c>
      <c r="AI160" s="1063">
        <f t="shared" si="132"/>
        <v>1</v>
      </c>
      <c r="AJ160" s="1016">
        <f t="shared" si="156"/>
        <v>0</v>
      </c>
      <c r="AK160" s="1017">
        <v>0</v>
      </c>
      <c r="AL160" s="1061"/>
      <c r="AM160" s="1062">
        <f t="shared" si="133"/>
        <v>0</v>
      </c>
      <c r="AN160" s="1063">
        <f t="shared" si="134"/>
        <v>1</v>
      </c>
      <c r="AO160" s="1016">
        <f t="shared" si="157"/>
        <v>0</v>
      </c>
      <c r="AP160" s="1017">
        <v>0</v>
      </c>
      <c r="AQ160" s="1061"/>
      <c r="AR160" s="1062">
        <f t="shared" si="135"/>
        <v>0</v>
      </c>
      <c r="AS160" s="1063">
        <f t="shared" si="136"/>
        <v>1</v>
      </c>
      <c r="AT160" s="1016">
        <f t="shared" si="158"/>
        <v>0</v>
      </c>
      <c r="AU160" s="1017">
        <v>0</v>
      </c>
      <c r="AV160" s="1061"/>
      <c r="AW160" s="1062">
        <f t="shared" si="137"/>
        <v>0</v>
      </c>
      <c r="AX160" s="1063">
        <f t="shared" si="138"/>
        <v>1</v>
      </c>
      <c r="AY160" s="1016">
        <f t="shared" si="159"/>
        <v>0</v>
      </c>
      <c r="AZ160" s="1017">
        <v>0</v>
      </c>
      <c r="BA160" s="1061"/>
      <c r="BB160" s="1062">
        <f t="shared" si="139"/>
        <v>0</v>
      </c>
      <c r="BC160" s="1063">
        <f t="shared" si="140"/>
        <v>1</v>
      </c>
      <c r="BD160" s="1016">
        <f t="shared" si="160"/>
        <v>0</v>
      </c>
      <c r="BE160" s="1017">
        <v>0</v>
      </c>
      <c r="BF160" s="1061"/>
      <c r="BG160" s="1062">
        <f t="shared" si="141"/>
        <v>0</v>
      </c>
      <c r="BH160" s="1039">
        <f t="shared" si="142"/>
        <v>0</v>
      </c>
      <c r="BI160" s="1038">
        <f t="shared" si="143"/>
        <v>0</v>
      </c>
      <c r="BJ160" s="1027"/>
      <c r="BK160" s="1060"/>
      <c r="BL160" s="1040">
        <f t="shared" si="144"/>
        <v>0</v>
      </c>
      <c r="BM160" s="1038">
        <f t="shared" si="145"/>
        <v>0</v>
      </c>
      <c r="BN160" s="1027"/>
      <c r="BO160" s="1060"/>
      <c r="BP160" s="95">
        <f t="shared" si="146"/>
        <v>0</v>
      </c>
      <c r="BQ160" s="640">
        <f t="shared" si="147"/>
        <v>0</v>
      </c>
      <c r="BS160" s="94">
        <f t="shared" si="148"/>
        <v>0</v>
      </c>
      <c r="BU160" s="632">
        <f t="shared" si="149"/>
        <v>0</v>
      </c>
      <c r="BV160" s="398"/>
      <c r="BW160" s="405" t="s">
        <v>453</v>
      </c>
      <c r="BX160" s="323">
        <v>50358</v>
      </c>
      <c r="CI160" s="96"/>
    </row>
    <row r="161" spans="1:87" s="458" customFormat="1" ht="14.25" thickTop="1" thickBot="1">
      <c r="A161" s="453"/>
      <c r="B161" s="454">
        <v>31</v>
      </c>
      <c r="C161" s="455">
        <f t="shared" si="161"/>
        <v>0</v>
      </c>
      <c r="D161" s="93">
        <f t="shared" si="161"/>
        <v>0</v>
      </c>
      <c r="E161" s="456">
        <f t="shared" si="161"/>
        <v>0</v>
      </c>
      <c r="F161" s="456">
        <f t="shared" si="161"/>
        <v>0</v>
      </c>
      <c r="G161" s="456"/>
      <c r="H161" s="678">
        <f t="shared" si="150"/>
        <v>1</v>
      </c>
      <c r="I161" s="679">
        <f t="shared" si="121"/>
        <v>0</v>
      </c>
      <c r="J161" s="633">
        <f t="shared" si="151"/>
        <v>1</v>
      </c>
      <c r="K161" s="1016">
        <f t="shared" si="152"/>
        <v>0</v>
      </c>
      <c r="L161" s="1017">
        <v>0</v>
      </c>
      <c r="M161" s="1061"/>
      <c r="N161" s="1062">
        <f t="shared" si="122"/>
        <v>0</v>
      </c>
      <c r="O161" s="1063">
        <f t="shared" si="123"/>
        <v>1</v>
      </c>
      <c r="P161" s="1016">
        <f t="shared" si="124"/>
        <v>0</v>
      </c>
      <c r="Q161" s="1017">
        <v>0</v>
      </c>
      <c r="R161" s="1061"/>
      <c r="S161" s="1062">
        <f t="shared" si="125"/>
        <v>0</v>
      </c>
      <c r="T161" s="1063">
        <f t="shared" si="126"/>
        <v>1</v>
      </c>
      <c r="U161" s="1016">
        <f t="shared" si="153"/>
        <v>0</v>
      </c>
      <c r="V161" s="1017">
        <v>0</v>
      </c>
      <c r="W161" s="1061"/>
      <c r="X161" s="1062">
        <f t="shared" si="127"/>
        <v>0</v>
      </c>
      <c r="Y161" s="1063">
        <f t="shared" si="128"/>
        <v>1</v>
      </c>
      <c r="Z161" s="1016">
        <f t="shared" si="154"/>
        <v>0</v>
      </c>
      <c r="AA161" s="1017">
        <v>0</v>
      </c>
      <c r="AB161" s="1061"/>
      <c r="AC161" s="1062">
        <f t="shared" si="129"/>
        <v>0</v>
      </c>
      <c r="AD161" s="1063">
        <f t="shared" si="130"/>
        <v>1</v>
      </c>
      <c r="AE161" s="1016">
        <f t="shared" si="155"/>
        <v>0</v>
      </c>
      <c r="AF161" s="1017">
        <v>0</v>
      </c>
      <c r="AG161" s="1061"/>
      <c r="AH161" s="1062">
        <f t="shared" si="131"/>
        <v>0</v>
      </c>
      <c r="AI161" s="1063">
        <f t="shared" si="132"/>
        <v>1</v>
      </c>
      <c r="AJ161" s="1016">
        <f t="shared" si="156"/>
        <v>0</v>
      </c>
      <c r="AK161" s="1017">
        <v>0</v>
      </c>
      <c r="AL161" s="1061"/>
      <c r="AM161" s="1062">
        <f t="shared" si="133"/>
        <v>0</v>
      </c>
      <c r="AN161" s="1063">
        <f t="shared" si="134"/>
        <v>1</v>
      </c>
      <c r="AO161" s="1016">
        <f t="shared" si="157"/>
        <v>0</v>
      </c>
      <c r="AP161" s="1017">
        <v>0</v>
      </c>
      <c r="AQ161" s="1061"/>
      <c r="AR161" s="1062">
        <f t="shared" si="135"/>
        <v>0</v>
      </c>
      <c r="AS161" s="1063">
        <f t="shared" si="136"/>
        <v>1</v>
      </c>
      <c r="AT161" s="1016">
        <f t="shared" si="158"/>
        <v>0</v>
      </c>
      <c r="AU161" s="1017">
        <v>0</v>
      </c>
      <c r="AV161" s="1061"/>
      <c r="AW161" s="1062">
        <f t="shared" si="137"/>
        <v>0</v>
      </c>
      <c r="AX161" s="1063">
        <f t="shared" si="138"/>
        <v>1</v>
      </c>
      <c r="AY161" s="1016">
        <f t="shared" si="159"/>
        <v>0</v>
      </c>
      <c r="AZ161" s="1017">
        <v>0</v>
      </c>
      <c r="BA161" s="1061"/>
      <c r="BB161" s="1062">
        <f t="shared" si="139"/>
        <v>0</v>
      </c>
      <c r="BC161" s="1063">
        <f t="shared" si="140"/>
        <v>1</v>
      </c>
      <c r="BD161" s="1016">
        <f t="shared" si="160"/>
        <v>0</v>
      </c>
      <c r="BE161" s="1017">
        <v>0</v>
      </c>
      <c r="BF161" s="1061"/>
      <c r="BG161" s="1062">
        <f t="shared" si="141"/>
        <v>0</v>
      </c>
      <c r="BH161" s="1039">
        <f t="shared" si="142"/>
        <v>0</v>
      </c>
      <c r="BI161" s="1038">
        <f t="shared" si="143"/>
        <v>0</v>
      </c>
      <c r="BJ161" s="1027"/>
      <c r="BK161" s="1060"/>
      <c r="BL161" s="1040">
        <f t="shared" si="144"/>
        <v>0</v>
      </c>
      <c r="BM161" s="1038">
        <f t="shared" si="145"/>
        <v>0</v>
      </c>
      <c r="BN161" s="1027"/>
      <c r="BO161" s="1060"/>
      <c r="BP161" s="95">
        <f t="shared" si="146"/>
        <v>0</v>
      </c>
      <c r="BQ161" s="640">
        <f t="shared" si="147"/>
        <v>0</v>
      </c>
      <c r="BR161" s="457"/>
      <c r="BS161" s="94">
        <f t="shared" si="148"/>
        <v>0</v>
      </c>
      <c r="BU161" s="632">
        <f t="shared" si="149"/>
        <v>0</v>
      </c>
      <c r="BV161" s="459"/>
      <c r="BW161" s="405" t="s">
        <v>450</v>
      </c>
      <c r="BX161" s="323">
        <v>211430.39999999999</v>
      </c>
      <c r="CD161" s="459">
        <v>0.1</v>
      </c>
      <c r="CI161" s="460"/>
    </row>
    <row r="162" spans="1:87" ht="14.25" thickTop="1" thickBot="1">
      <c r="A162" s="57"/>
      <c r="B162" s="92">
        <v>32</v>
      </c>
      <c r="C162" s="255">
        <f t="shared" si="161"/>
        <v>0</v>
      </c>
      <c r="D162" s="93">
        <f t="shared" si="161"/>
        <v>0</v>
      </c>
      <c r="E162" s="93">
        <f t="shared" si="161"/>
        <v>0</v>
      </c>
      <c r="F162" s="93">
        <f t="shared" si="161"/>
        <v>0</v>
      </c>
      <c r="G162" s="93"/>
      <c r="H162" s="678">
        <f t="shared" si="150"/>
        <v>1</v>
      </c>
      <c r="I162" s="679">
        <f t="shared" si="121"/>
        <v>0</v>
      </c>
      <c r="J162" s="633">
        <f t="shared" si="151"/>
        <v>1</v>
      </c>
      <c r="K162" s="1016">
        <f t="shared" si="152"/>
        <v>0</v>
      </c>
      <c r="L162" s="1017">
        <v>0</v>
      </c>
      <c r="M162" s="1061"/>
      <c r="N162" s="1062">
        <f t="shared" si="122"/>
        <v>0</v>
      </c>
      <c r="O162" s="1063">
        <f t="shared" si="123"/>
        <v>1</v>
      </c>
      <c r="P162" s="1016">
        <f t="shared" si="124"/>
        <v>0</v>
      </c>
      <c r="Q162" s="1017">
        <v>0</v>
      </c>
      <c r="R162" s="1061"/>
      <c r="S162" s="1062">
        <f t="shared" si="125"/>
        <v>0</v>
      </c>
      <c r="T162" s="1063">
        <f t="shared" si="126"/>
        <v>1</v>
      </c>
      <c r="U162" s="1016">
        <f t="shared" si="153"/>
        <v>0</v>
      </c>
      <c r="V162" s="1017">
        <v>0</v>
      </c>
      <c r="W162" s="1061"/>
      <c r="X162" s="1062">
        <f t="shared" si="127"/>
        <v>0</v>
      </c>
      <c r="Y162" s="1063">
        <f t="shared" si="128"/>
        <v>1</v>
      </c>
      <c r="Z162" s="1016">
        <f t="shared" si="154"/>
        <v>0</v>
      </c>
      <c r="AA162" s="1017">
        <v>0</v>
      </c>
      <c r="AB162" s="1061"/>
      <c r="AC162" s="1062">
        <f t="shared" si="129"/>
        <v>0</v>
      </c>
      <c r="AD162" s="1063">
        <f t="shared" si="130"/>
        <v>1</v>
      </c>
      <c r="AE162" s="1016">
        <f t="shared" si="155"/>
        <v>0</v>
      </c>
      <c r="AF162" s="1017">
        <v>0</v>
      </c>
      <c r="AG162" s="1061"/>
      <c r="AH162" s="1062">
        <f t="shared" si="131"/>
        <v>0</v>
      </c>
      <c r="AI162" s="1063">
        <f t="shared" si="132"/>
        <v>1</v>
      </c>
      <c r="AJ162" s="1016">
        <f t="shared" si="156"/>
        <v>0</v>
      </c>
      <c r="AK162" s="1017">
        <v>0</v>
      </c>
      <c r="AL162" s="1061"/>
      <c r="AM162" s="1062">
        <f t="shared" si="133"/>
        <v>0</v>
      </c>
      <c r="AN162" s="1063">
        <f t="shared" si="134"/>
        <v>1</v>
      </c>
      <c r="AO162" s="1016">
        <f t="shared" si="157"/>
        <v>0</v>
      </c>
      <c r="AP162" s="1017">
        <v>0</v>
      </c>
      <c r="AQ162" s="1061"/>
      <c r="AR162" s="1062">
        <f t="shared" si="135"/>
        <v>0</v>
      </c>
      <c r="AS162" s="1063">
        <f t="shared" si="136"/>
        <v>1</v>
      </c>
      <c r="AT162" s="1016">
        <f t="shared" si="158"/>
        <v>0</v>
      </c>
      <c r="AU162" s="1017">
        <v>0</v>
      </c>
      <c r="AV162" s="1061"/>
      <c r="AW162" s="1062">
        <f t="shared" si="137"/>
        <v>0</v>
      </c>
      <c r="AX162" s="1063">
        <f t="shared" si="138"/>
        <v>1</v>
      </c>
      <c r="AY162" s="1016">
        <f t="shared" si="159"/>
        <v>0</v>
      </c>
      <c r="AZ162" s="1017">
        <v>0</v>
      </c>
      <c r="BA162" s="1061"/>
      <c r="BB162" s="1062">
        <f t="shared" si="139"/>
        <v>0</v>
      </c>
      <c r="BC162" s="1063">
        <f t="shared" si="140"/>
        <v>1</v>
      </c>
      <c r="BD162" s="1016">
        <f t="shared" si="160"/>
        <v>0</v>
      </c>
      <c r="BE162" s="1017">
        <v>0</v>
      </c>
      <c r="BF162" s="1061"/>
      <c r="BG162" s="1062">
        <f t="shared" si="141"/>
        <v>0</v>
      </c>
      <c r="BH162" s="1039">
        <f t="shared" si="142"/>
        <v>0</v>
      </c>
      <c r="BI162" s="1038">
        <f t="shared" si="143"/>
        <v>0</v>
      </c>
      <c r="BJ162" s="1027"/>
      <c r="BK162" s="1060"/>
      <c r="BL162" s="1040">
        <f t="shared" si="144"/>
        <v>0</v>
      </c>
      <c r="BM162" s="1038">
        <f t="shared" si="145"/>
        <v>0</v>
      </c>
      <c r="BN162" s="1027"/>
      <c r="BO162" s="1060"/>
      <c r="BP162" s="95">
        <f t="shared" si="146"/>
        <v>0</v>
      </c>
      <c r="BQ162" s="640">
        <f t="shared" si="147"/>
        <v>0</v>
      </c>
      <c r="BS162" s="94">
        <f t="shared" si="148"/>
        <v>0</v>
      </c>
      <c r="BU162" s="632">
        <f t="shared" si="149"/>
        <v>0</v>
      </c>
      <c r="BV162" s="398"/>
      <c r="BW162" s="405" t="s">
        <v>450</v>
      </c>
      <c r="BX162" s="323">
        <v>87719.700000000012</v>
      </c>
      <c r="CD162" s="398">
        <v>0.15</v>
      </c>
      <c r="CI162" s="96"/>
    </row>
    <row r="163" spans="1:87" ht="14.25" thickTop="1" thickBot="1">
      <c r="A163" s="57"/>
      <c r="B163" s="92">
        <v>33</v>
      </c>
      <c r="C163" s="255">
        <f t="shared" si="161"/>
        <v>0</v>
      </c>
      <c r="D163" s="93">
        <f t="shared" si="161"/>
        <v>0</v>
      </c>
      <c r="E163" s="93">
        <f t="shared" si="161"/>
        <v>0</v>
      </c>
      <c r="F163" s="93">
        <f t="shared" si="161"/>
        <v>0</v>
      </c>
      <c r="G163" s="93"/>
      <c r="H163" s="678">
        <f t="shared" si="150"/>
        <v>1</v>
      </c>
      <c r="I163" s="679">
        <f t="shared" ref="I163:I194" si="162">I48</f>
        <v>0</v>
      </c>
      <c r="J163" s="633">
        <f t="shared" si="151"/>
        <v>1</v>
      </c>
      <c r="K163" s="1016">
        <f t="shared" si="152"/>
        <v>0</v>
      </c>
      <c r="L163" s="1017">
        <v>0</v>
      </c>
      <c r="M163" s="1061"/>
      <c r="N163" s="1062">
        <f t="shared" si="122"/>
        <v>0</v>
      </c>
      <c r="O163" s="1063">
        <f t="shared" si="123"/>
        <v>1</v>
      </c>
      <c r="P163" s="1016">
        <f t="shared" si="124"/>
        <v>0</v>
      </c>
      <c r="Q163" s="1017">
        <v>0</v>
      </c>
      <c r="R163" s="1061"/>
      <c r="S163" s="1062">
        <f t="shared" si="125"/>
        <v>0</v>
      </c>
      <c r="T163" s="1063">
        <f t="shared" si="126"/>
        <v>1</v>
      </c>
      <c r="U163" s="1016">
        <f t="shared" si="153"/>
        <v>0</v>
      </c>
      <c r="V163" s="1017">
        <v>0</v>
      </c>
      <c r="W163" s="1061"/>
      <c r="X163" s="1062">
        <f t="shared" si="127"/>
        <v>0</v>
      </c>
      <c r="Y163" s="1063">
        <f t="shared" si="128"/>
        <v>1</v>
      </c>
      <c r="Z163" s="1016">
        <f t="shared" si="154"/>
        <v>0</v>
      </c>
      <c r="AA163" s="1017">
        <v>0</v>
      </c>
      <c r="AB163" s="1061"/>
      <c r="AC163" s="1062">
        <f t="shared" si="129"/>
        <v>0</v>
      </c>
      <c r="AD163" s="1063">
        <f t="shared" si="130"/>
        <v>1</v>
      </c>
      <c r="AE163" s="1016">
        <f t="shared" si="155"/>
        <v>0</v>
      </c>
      <c r="AF163" s="1017">
        <v>0</v>
      </c>
      <c r="AG163" s="1061"/>
      <c r="AH163" s="1062">
        <f t="shared" si="131"/>
        <v>0</v>
      </c>
      <c r="AI163" s="1063">
        <f t="shared" si="132"/>
        <v>1</v>
      </c>
      <c r="AJ163" s="1016">
        <f t="shared" si="156"/>
        <v>0</v>
      </c>
      <c r="AK163" s="1017">
        <v>0</v>
      </c>
      <c r="AL163" s="1061"/>
      <c r="AM163" s="1062">
        <f t="shared" si="133"/>
        <v>0</v>
      </c>
      <c r="AN163" s="1063">
        <f t="shared" si="134"/>
        <v>1</v>
      </c>
      <c r="AO163" s="1016">
        <f t="shared" si="157"/>
        <v>0</v>
      </c>
      <c r="AP163" s="1017">
        <v>0</v>
      </c>
      <c r="AQ163" s="1061"/>
      <c r="AR163" s="1062">
        <f t="shared" si="135"/>
        <v>0</v>
      </c>
      <c r="AS163" s="1063">
        <f t="shared" si="136"/>
        <v>1</v>
      </c>
      <c r="AT163" s="1016">
        <f t="shared" si="158"/>
        <v>0</v>
      </c>
      <c r="AU163" s="1017">
        <v>0</v>
      </c>
      <c r="AV163" s="1061"/>
      <c r="AW163" s="1062">
        <f t="shared" si="137"/>
        <v>0</v>
      </c>
      <c r="AX163" s="1063">
        <f t="shared" si="138"/>
        <v>1</v>
      </c>
      <c r="AY163" s="1016">
        <f t="shared" si="159"/>
        <v>0</v>
      </c>
      <c r="AZ163" s="1017">
        <v>0</v>
      </c>
      <c r="BA163" s="1061"/>
      <c r="BB163" s="1062">
        <f t="shared" si="139"/>
        <v>0</v>
      </c>
      <c r="BC163" s="1063">
        <f t="shared" si="140"/>
        <v>1</v>
      </c>
      <c r="BD163" s="1016">
        <f t="shared" si="160"/>
        <v>0</v>
      </c>
      <c r="BE163" s="1017">
        <v>0</v>
      </c>
      <c r="BF163" s="1061"/>
      <c r="BG163" s="1062">
        <f t="shared" si="141"/>
        <v>0</v>
      </c>
      <c r="BH163" s="1039">
        <f t="shared" si="142"/>
        <v>0</v>
      </c>
      <c r="BI163" s="1038">
        <f t="shared" si="143"/>
        <v>0</v>
      </c>
      <c r="BJ163" s="1027"/>
      <c r="BK163" s="1060"/>
      <c r="BL163" s="1040">
        <f t="shared" si="144"/>
        <v>0</v>
      </c>
      <c r="BM163" s="1038">
        <f t="shared" si="145"/>
        <v>0</v>
      </c>
      <c r="BN163" s="1027"/>
      <c r="BO163" s="1060"/>
      <c r="BP163" s="95">
        <f t="shared" si="146"/>
        <v>0</v>
      </c>
      <c r="BQ163" s="640">
        <f t="shared" si="147"/>
        <v>0</v>
      </c>
      <c r="BS163" s="94">
        <f t="shared" si="148"/>
        <v>0</v>
      </c>
      <c r="BU163" s="632">
        <f t="shared" si="149"/>
        <v>0</v>
      </c>
      <c r="BV163" s="398"/>
      <c r="BW163" s="405" t="s">
        <v>453</v>
      </c>
      <c r="BX163" s="323">
        <v>24251</v>
      </c>
      <c r="CI163" s="96"/>
    </row>
    <row r="164" spans="1:87" ht="14.25" thickTop="1" thickBot="1">
      <c r="A164" s="57"/>
      <c r="B164" s="92">
        <v>34</v>
      </c>
      <c r="C164" s="255">
        <f t="shared" si="161"/>
        <v>0</v>
      </c>
      <c r="D164" s="93">
        <f t="shared" si="161"/>
        <v>0</v>
      </c>
      <c r="E164" s="93">
        <f t="shared" si="161"/>
        <v>0</v>
      </c>
      <c r="F164" s="93">
        <f t="shared" si="161"/>
        <v>0</v>
      </c>
      <c r="G164" s="93"/>
      <c r="H164" s="678">
        <f t="shared" si="150"/>
        <v>1</v>
      </c>
      <c r="I164" s="679">
        <f t="shared" si="162"/>
        <v>0</v>
      </c>
      <c r="J164" s="633">
        <f t="shared" si="151"/>
        <v>1</v>
      </c>
      <c r="K164" s="1016">
        <f t="shared" si="152"/>
        <v>0</v>
      </c>
      <c r="L164" s="1017">
        <v>0</v>
      </c>
      <c r="M164" s="1061"/>
      <c r="N164" s="1062">
        <f t="shared" si="122"/>
        <v>0</v>
      </c>
      <c r="O164" s="1063">
        <f t="shared" si="123"/>
        <v>1</v>
      </c>
      <c r="P164" s="1016">
        <f t="shared" si="124"/>
        <v>0</v>
      </c>
      <c r="Q164" s="1017">
        <v>0</v>
      </c>
      <c r="R164" s="1061"/>
      <c r="S164" s="1062">
        <f t="shared" si="125"/>
        <v>0</v>
      </c>
      <c r="T164" s="1063">
        <f t="shared" si="126"/>
        <v>1</v>
      </c>
      <c r="U164" s="1016">
        <f t="shared" si="153"/>
        <v>0</v>
      </c>
      <c r="V164" s="1017">
        <v>0</v>
      </c>
      <c r="W164" s="1061"/>
      <c r="X164" s="1062">
        <f t="shared" si="127"/>
        <v>0</v>
      </c>
      <c r="Y164" s="1063">
        <f t="shared" si="128"/>
        <v>1</v>
      </c>
      <c r="Z164" s="1016">
        <f t="shared" si="154"/>
        <v>0</v>
      </c>
      <c r="AA164" s="1017">
        <v>0</v>
      </c>
      <c r="AB164" s="1061"/>
      <c r="AC164" s="1062">
        <f t="shared" si="129"/>
        <v>0</v>
      </c>
      <c r="AD164" s="1063">
        <f t="shared" si="130"/>
        <v>1</v>
      </c>
      <c r="AE164" s="1016">
        <f t="shared" si="155"/>
        <v>0</v>
      </c>
      <c r="AF164" s="1017">
        <v>0</v>
      </c>
      <c r="AG164" s="1061"/>
      <c r="AH164" s="1062">
        <f t="shared" si="131"/>
        <v>0</v>
      </c>
      <c r="AI164" s="1063">
        <f t="shared" si="132"/>
        <v>1</v>
      </c>
      <c r="AJ164" s="1016">
        <f t="shared" si="156"/>
        <v>0</v>
      </c>
      <c r="AK164" s="1017">
        <v>0</v>
      </c>
      <c r="AL164" s="1061"/>
      <c r="AM164" s="1062">
        <f t="shared" si="133"/>
        <v>0</v>
      </c>
      <c r="AN164" s="1063">
        <f t="shared" si="134"/>
        <v>1</v>
      </c>
      <c r="AO164" s="1016">
        <f t="shared" si="157"/>
        <v>0</v>
      </c>
      <c r="AP164" s="1017">
        <v>0</v>
      </c>
      <c r="AQ164" s="1061"/>
      <c r="AR164" s="1062">
        <f t="shared" si="135"/>
        <v>0</v>
      </c>
      <c r="AS164" s="1063">
        <f t="shared" si="136"/>
        <v>1</v>
      </c>
      <c r="AT164" s="1016">
        <f t="shared" si="158"/>
        <v>0</v>
      </c>
      <c r="AU164" s="1017">
        <v>0</v>
      </c>
      <c r="AV164" s="1061"/>
      <c r="AW164" s="1062">
        <f t="shared" si="137"/>
        <v>0</v>
      </c>
      <c r="AX164" s="1063">
        <f t="shared" si="138"/>
        <v>1</v>
      </c>
      <c r="AY164" s="1016">
        <f t="shared" si="159"/>
        <v>0</v>
      </c>
      <c r="AZ164" s="1017">
        <v>0</v>
      </c>
      <c r="BA164" s="1061"/>
      <c r="BB164" s="1062">
        <f t="shared" si="139"/>
        <v>0</v>
      </c>
      <c r="BC164" s="1063">
        <f t="shared" si="140"/>
        <v>1</v>
      </c>
      <c r="BD164" s="1016">
        <f t="shared" si="160"/>
        <v>0</v>
      </c>
      <c r="BE164" s="1017">
        <v>0</v>
      </c>
      <c r="BF164" s="1061"/>
      <c r="BG164" s="1062">
        <f t="shared" si="141"/>
        <v>0</v>
      </c>
      <c r="BH164" s="1039">
        <f t="shared" si="142"/>
        <v>0</v>
      </c>
      <c r="BI164" s="1038">
        <f t="shared" si="143"/>
        <v>0</v>
      </c>
      <c r="BJ164" s="1027"/>
      <c r="BK164" s="1060"/>
      <c r="BL164" s="1040">
        <f t="shared" si="144"/>
        <v>0</v>
      </c>
      <c r="BM164" s="1038">
        <f t="shared" si="145"/>
        <v>0</v>
      </c>
      <c r="BN164" s="1027"/>
      <c r="BO164" s="1060"/>
      <c r="BP164" s="95">
        <f t="shared" si="146"/>
        <v>0</v>
      </c>
      <c r="BQ164" s="640">
        <f t="shared" si="147"/>
        <v>0</v>
      </c>
      <c r="BS164" s="94">
        <f t="shared" si="148"/>
        <v>0</v>
      </c>
      <c r="BU164" s="632">
        <f t="shared" si="149"/>
        <v>0</v>
      </c>
      <c r="BV164" s="398"/>
      <c r="BW164" s="405" t="s">
        <v>450</v>
      </c>
      <c r="BX164" s="323">
        <v>103257.79000000001</v>
      </c>
      <c r="CD164" s="398">
        <v>0.1</v>
      </c>
      <c r="CI164" s="96"/>
    </row>
    <row r="165" spans="1:87" ht="14.25" thickTop="1" thickBot="1">
      <c r="A165" s="57"/>
      <c r="B165" s="92">
        <v>35</v>
      </c>
      <c r="C165" s="255">
        <f t="shared" si="161"/>
        <v>0</v>
      </c>
      <c r="D165" s="93">
        <f t="shared" si="161"/>
        <v>0</v>
      </c>
      <c r="E165" s="93">
        <f t="shared" si="161"/>
        <v>0</v>
      </c>
      <c r="F165" s="93">
        <f t="shared" si="161"/>
        <v>0</v>
      </c>
      <c r="G165" s="93"/>
      <c r="H165" s="678">
        <f t="shared" si="150"/>
        <v>1</v>
      </c>
      <c r="I165" s="679">
        <f t="shared" si="162"/>
        <v>0</v>
      </c>
      <c r="J165" s="633">
        <f t="shared" si="151"/>
        <v>1</v>
      </c>
      <c r="K165" s="1016">
        <f t="shared" si="152"/>
        <v>0</v>
      </c>
      <c r="L165" s="1017">
        <v>0</v>
      </c>
      <c r="M165" s="1061"/>
      <c r="N165" s="1062">
        <f t="shared" si="122"/>
        <v>0</v>
      </c>
      <c r="O165" s="1063">
        <f t="shared" si="123"/>
        <v>1</v>
      </c>
      <c r="P165" s="1016">
        <f t="shared" si="124"/>
        <v>0</v>
      </c>
      <c r="Q165" s="1017">
        <v>0</v>
      </c>
      <c r="R165" s="1061"/>
      <c r="S165" s="1062">
        <f t="shared" si="125"/>
        <v>0</v>
      </c>
      <c r="T165" s="1063">
        <f t="shared" si="126"/>
        <v>1</v>
      </c>
      <c r="U165" s="1016">
        <f t="shared" si="153"/>
        <v>0</v>
      </c>
      <c r="V165" s="1017">
        <v>0</v>
      </c>
      <c r="W165" s="1061"/>
      <c r="X165" s="1062">
        <f t="shared" si="127"/>
        <v>0</v>
      </c>
      <c r="Y165" s="1063">
        <f t="shared" si="128"/>
        <v>1</v>
      </c>
      <c r="Z165" s="1016">
        <f t="shared" si="154"/>
        <v>0</v>
      </c>
      <c r="AA165" s="1017">
        <v>0</v>
      </c>
      <c r="AB165" s="1061"/>
      <c r="AC165" s="1062">
        <f t="shared" si="129"/>
        <v>0</v>
      </c>
      <c r="AD165" s="1063">
        <f t="shared" si="130"/>
        <v>1</v>
      </c>
      <c r="AE165" s="1016">
        <f t="shared" si="155"/>
        <v>0</v>
      </c>
      <c r="AF165" s="1017">
        <v>0</v>
      </c>
      <c r="AG165" s="1061"/>
      <c r="AH165" s="1062">
        <f t="shared" si="131"/>
        <v>0</v>
      </c>
      <c r="AI165" s="1063">
        <f t="shared" si="132"/>
        <v>1</v>
      </c>
      <c r="AJ165" s="1016">
        <f t="shared" si="156"/>
        <v>0</v>
      </c>
      <c r="AK165" s="1017">
        <v>0</v>
      </c>
      <c r="AL165" s="1061"/>
      <c r="AM165" s="1062">
        <f t="shared" si="133"/>
        <v>0</v>
      </c>
      <c r="AN165" s="1063">
        <f t="shared" si="134"/>
        <v>1</v>
      </c>
      <c r="AO165" s="1016">
        <f t="shared" si="157"/>
        <v>0</v>
      </c>
      <c r="AP165" s="1017">
        <v>0</v>
      </c>
      <c r="AQ165" s="1061"/>
      <c r="AR165" s="1062">
        <f t="shared" si="135"/>
        <v>0</v>
      </c>
      <c r="AS165" s="1063">
        <f t="shared" si="136"/>
        <v>1</v>
      </c>
      <c r="AT165" s="1016">
        <f t="shared" si="158"/>
        <v>0</v>
      </c>
      <c r="AU165" s="1017">
        <v>0</v>
      </c>
      <c r="AV165" s="1061"/>
      <c r="AW165" s="1062">
        <f t="shared" si="137"/>
        <v>0</v>
      </c>
      <c r="AX165" s="1063">
        <f t="shared" si="138"/>
        <v>1</v>
      </c>
      <c r="AY165" s="1016">
        <f t="shared" si="159"/>
        <v>0</v>
      </c>
      <c r="AZ165" s="1017">
        <v>0</v>
      </c>
      <c r="BA165" s="1061"/>
      <c r="BB165" s="1062">
        <f t="shared" si="139"/>
        <v>0</v>
      </c>
      <c r="BC165" s="1063">
        <f t="shared" si="140"/>
        <v>1</v>
      </c>
      <c r="BD165" s="1016">
        <f t="shared" si="160"/>
        <v>0</v>
      </c>
      <c r="BE165" s="1017">
        <v>0</v>
      </c>
      <c r="BF165" s="1061"/>
      <c r="BG165" s="1062">
        <f t="shared" si="141"/>
        <v>0</v>
      </c>
      <c r="BH165" s="1039">
        <f t="shared" si="142"/>
        <v>0</v>
      </c>
      <c r="BI165" s="1038">
        <f t="shared" si="143"/>
        <v>0</v>
      </c>
      <c r="BJ165" s="1027"/>
      <c r="BK165" s="1060"/>
      <c r="BL165" s="1040">
        <f t="shared" si="144"/>
        <v>0</v>
      </c>
      <c r="BM165" s="1038">
        <f t="shared" si="145"/>
        <v>0</v>
      </c>
      <c r="BN165" s="1027"/>
      <c r="BO165" s="1060"/>
      <c r="BP165" s="95">
        <f t="shared" si="146"/>
        <v>0</v>
      </c>
      <c r="BQ165" s="640">
        <f t="shared" si="147"/>
        <v>0</v>
      </c>
      <c r="BS165" s="94">
        <f t="shared" si="148"/>
        <v>0</v>
      </c>
      <c r="BU165" s="632">
        <f t="shared" si="149"/>
        <v>0</v>
      </c>
      <c r="BV165" s="398"/>
      <c r="BW165" s="405" t="s">
        <v>450</v>
      </c>
      <c r="BX165" s="323">
        <v>64000</v>
      </c>
      <c r="CD165" s="398">
        <v>0.15</v>
      </c>
      <c r="CI165" s="96"/>
    </row>
    <row r="166" spans="1:87" ht="14.25" thickTop="1" thickBot="1">
      <c r="A166" s="57"/>
      <c r="B166" s="92">
        <v>36</v>
      </c>
      <c r="C166" s="255">
        <f t="shared" si="161"/>
        <v>0</v>
      </c>
      <c r="D166" s="93">
        <f t="shared" si="161"/>
        <v>0</v>
      </c>
      <c r="E166" s="93">
        <f t="shared" si="161"/>
        <v>0</v>
      </c>
      <c r="F166" s="93">
        <f t="shared" si="161"/>
        <v>0</v>
      </c>
      <c r="G166" s="93"/>
      <c r="H166" s="678">
        <f t="shared" si="150"/>
        <v>1</v>
      </c>
      <c r="I166" s="679">
        <f t="shared" si="162"/>
        <v>0</v>
      </c>
      <c r="J166" s="633">
        <f t="shared" si="151"/>
        <v>1</v>
      </c>
      <c r="K166" s="1016">
        <f t="shared" si="152"/>
        <v>0</v>
      </c>
      <c r="L166" s="1017">
        <v>0</v>
      </c>
      <c r="M166" s="1061"/>
      <c r="N166" s="1062">
        <f t="shared" si="122"/>
        <v>0</v>
      </c>
      <c r="O166" s="1063">
        <f t="shared" si="123"/>
        <v>1</v>
      </c>
      <c r="P166" s="1016">
        <f t="shared" si="124"/>
        <v>0</v>
      </c>
      <c r="Q166" s="1017">
        <v>0</v>
      </c>
      <c r="R166" s="1061"/>
      <c r="S166" s="1062">
        <f t="shared" si="125"/>
        <v>0</v>
      </c>
      <c r="T166" s="1063">
        <f t="shared" si="126"/>
        <v>1</v>
      </c>
      <c r="U166" s="1016">
        <f t="shared" si="153"/>
        <v>0</v>
      </c>
      <c r="V166" s="1017">
        <v>0</v>
      </c>
      <c r="W166" s="1061"/>
      <c r="X166" s="1062">
        <f t="shared" si="127"/>
        <v>0</v>
      </c>
      <c r="Y166" s="1063">
        <f t="shared" si="128"/>
        <v>1</v>
      </c>
      <c r="Z166" s="1016">
        <f t="shared" si="154"/>
        <v>0</v>
      </c>
      <c r="AA166" s="1017">
        <v>0</v>
      </c>
      <c r="AB166" s="1061"/>
      <c r="AC166" s="1062">
        <f t="shared" si="129"/>
        <v>0</v>
      </c>
      <c r="AD166" s="1063">
        <f t="shared" si="130"/>
        <v>1</v>
      </c>
      <c r="AE166" s="1016">
        <f t="shared" si="155"/>
        <v>0</v>
      </c>
      <c r="AF166" s="1017">
        <v>0</v>
      </c>
      <c r="AG166" s="1061"/>
      <c r="AH166" s="1062">
        <f t="shared" si="131"/>
        <v>0</v>
      </c>
      <c r="AI166" s="1063">
        <f t="shared" si="132"/>
        <v>1</v>
      </c>
      <c r="AJ166" s="1016">
        <f t="shared" si="156"/>
        <v>0</v>
      </c>
      <c r="AK166" s="1017">
        <v>0</v>
      </c>
      <c r="AL166" s="1061"/>
      <c r="AM166" s="1062">
        <f t="shared" si="133"/>
        <v>0</v>
      </c>
      <c r="AN166" s="1063">
        <f t="shared" si="134"/>
        <v>1</v>
      </c>
      <c r="AO166" s="1016">
        <f t="shared" si="157"/>
        <v>0</v>
      </c>
      <c r="AP166" s="1017">
        <v>0</v>
      </c>
      <c r="AQ166" s="1061"/>
      <c r="AR166" s="1062">
        <f t="shared" si="135"/>
        <v>0</v>
      </c>
      <c r="AS166" s="1063">
        <f t="shared" si="136"/>
        <v>1</v>
      </c>
      <c r="AT166" s="1016">
        <f t="shared" si="158"/>
        <v>0</v>
      </c>
      <c r="AU166" s="1017">
        <v>0</v>
      </c>
      <c r="AV166" s="1061"/>
      <c r="AW166" s="1062">
        <f t="shared" si="137"/>
        <v>0</v>
      </c>
      <c r="AX166" s="1063">
        <f t="shared" si="138"/>
        <v>1</v>
      </c>
      <c r="AY166" s="1016">
        <f t="shared" si="159"/>
        <v>0</v>
      </c>
      <c r="AZ166" s="1017">
        <v>0</v>
      </c>
      <c r="BA166" s="1061"/>
      <c r="BB166" s="1062">
        <f t="shared" si="139"/>
        <v>0</v>
      </c>
      <c r="BC166" s="1063">
        <f t="shared" si="140"/>
        <v>1</v>
      </c>
      <c r="BD166" s="1016">
        <f t="shared" si="160"/>
        <v>0</v>
      </c>
      <c r="BE166" s="1017">
        <v>0</v>
      </c>
      <c r="BF166" s="1061"/>
      <c r="BG166" s="1062">
        <f t="shared" si="141"/>
        <v>0</v>
      </c>
      <c r="BH166" s="1039">
        <f t="shared" si="142"/>
        <v>0</v>
      </c>
      <c r="BI166" s="1038">
        <f t="shared" si="143"/>
        <v>0</v>
      </c>
      <c r="BJ166" s="1027"/>
      <c r="BK166" s="1060"/>
      <c r="BL166" s="1040">
        <f t="shared" si="144"/>
        <v>0</v>
      </c>
      <c r="BM166" s="1038">
        <f t="shared" si="145"/>
        <v>0</v>
      </c>
      <c r="BN166" s="1027"/>
      <c r="BO166" s="1060"/>
      <c r="BP166" s="95">
        <f t="shared" si="146"/>
        <v>0</v>
      </c>
      <c r="BQ166" s="640">
        <f t="shared" si="147"/>
        <v>0</v>
      </c>
      <c r="BS166" s="94">
        <f t="shared" si="148"/>
        <v>0</v>
      </c>
      <c r="BU166" s="632">
        <f t="shared" si="149"/>
        <v>0</v>
      </c>
      <c r="BV166" s="398"/>
      <c r="BW166" s="405" t="s">
        <v>453</v>
      </c>
      <c r="BX166" s="323">
        <v>135213.5</v>
      </c>
      <c r="CD166" s="398">
        <v>0.05</v>
      </c>
      <c r="CI166" s="96"/>
    </row>
    <row r="167" spans="1:87" ht="14.25" thickTop="1" thickBot="1">
      <c r="A167" s="57"/>
      <c r="B167" s="92">
        <v>37</v>
      </c>
      <c r="C167" s="255">
        <f t="shared" si="161"/>
        <v>0</v>
      </c>
      <c r="D167" s="93">
        <f t="shared" si="161"/>
        <v>0</v>
      </c>
      <c r="E167" s="93">
        <f t="shared" si="161"/>
        <v>0</v>
      </c>
      <c r="F167" s="93">
        <f t="shared" si="161"/>
        <v>0</v>
      </c>
      <c r="G167" s="93"/>
      <c r="H167" s="678">
        <f t="shared" si="150"/>
        <v>1</v>
      </c>
      <c r="I167" s="679">
        <f t="shared" si="162"/>
        <v>0</v>
      </c>
      <c r="J167" s="633">
        <f t="shared" si="151"/>
        <v>1</v>
      </c>
      <c r="K167" s="1016">
        <f t="shared" si="152"/>
        <v>0</v>
      </c>
      <c r="L167" s="1017">
        <v>0</v>
      </c>
      <c r="M167" s="1061"/>
      <c r="N167" s="1062">
        <f t="shared" si="122"/>
        <v>0</v>
      </c>
      <c r="O167" s="1063">
        <f t="shared" si="123"/>
        <v>1</v>
      </c>
      <c r="P167" s="1016">
        <f t="shared" si="124"/>
        <v>0</v>
      </c>
      <c r="Q167" s="1017">
        <v>0</v>
      </c>
      <c r="R167" s="1061"/>
      <c r="S167" s="1062">
        <f t="shared" si="125"/>
        <v>0</v>
      </c>
      <c r="T167" s="1063">
        <f t="shared" si="126"/>
        <v>1</v>
      </c>
      <c r="U167" s="1016">
        <f t="shared" si="153"/>
        <v>0</v>
      </c>
      <c r="V167" s="1017">
        <f>V52/2</f>
        <v>0</v>
      </c>
      <c r="W167" s="1061"/>
      <c r="X167" s="1062">
        <f t="shared" si="127"/>
        <v>0</v>
      </c>
      <c r="Y167" s="1063">
        <f t="shared" si="128"/>
        <v>1</v>
      </c>
      <c r="Z167" s="1016">
        <f t="shared" si="154"/>
        <v>0</v>
      </c>
      <c r="AA167" s="1017">
        <v>0</v>
      </c>
      <c r="AB167" s="1061"/>
      <c r="AC167" s="1062">
        <f t="shared" si="129"/>
        <v>0</v>
      </c>
      <c r="AD167" s="1063">
        <f t="shared" si="130"/>
        <v>1</v>
      </c>
      <c r="AE167" s="1016">
        <f t="shared" si="155"/>
        <v>0</v>
      </c>
      <c r="AF167" s="1017">
        <v>0</v>
      </c>
      <c r="AG167" s="1061"/>
      <c r="AH167" s="1062">
        <f t="shared" si="131"/>
        <v>0</v>
      </c>
      <c r="AI167" s="1063">
        <f t="shared" si="132"/>
        <v>1</v>
      </c>
      <c r="AJ167" s="1016">
        <f t="shared" si="156"/>
        <v>0</v>
      </c>
      <c r="AK167" s="1017">
        <v>0</v>
      </c>
      <c r="AL167" s="1061"/>
      <c r="AM167" s="1062">
        <f t="shared" si="133"/>
        <v>0</v>
      </c>
      <c r="AN167" s="1063">
        <f t="shared" si="134"/>
        <v>1</v>
      </c>
      <c r="AO167" s="1016">
        <f t="shared" si="157"/>
        <v>0</v>
      </c>
      <c r="AP167" s="1017">
        <v>0</v>
      </c>
      <c r="AQ167" s="1061"/>
      <c r="AR167" s="1062">
        <f t="shared" si="135"/>
        <v>0</v>
      </c>
      <c r="AS167" s="1063">
        <f t="shared" si="136"/>
        <v>1</v>
      </c>
      <c r="AT167" s="1016">
        <f t="shared" si="158"/>
        <v>0</v>
      </c>
      <c r="AU167" s="1017">
        <v>0</v>
      </c>
      <c r="AV167" s="1061"/>
      <c r="AW167" s="1062">
        <f t="shared" si="137"/>
        <v>0</v>
      </c>
      <c r="AX167" s="1063">
        <f t="shared" si="138"/>
        <v>1</v>
      </c>
      <c r="AY167" s="1016">
        <f t="shared" si="159"/>
        <v>0</v>
      </c>
      <c r="AZ167" s="1017">
        <v>0</v>
      </c>
      <c r="BA167" s="1061"/>
      <c r="BB167" s="1062">
        <f t="shared" si="139"/>
        <v>0</v>
      </c>
      <c r="BC167" s="1063">
        <f t="shared" si="140"/>
        <v>1</v>
      </c>
      <c r="BD167" s="1016">
        <f t="shared" si="160"/>
        <v>0</v>
      </c>
      <c r="BE167" s="1017">
        <v>0</v>
      </c>
      <c r="BF167" s="1061"/>
      <c r="BG167" s="1062">
        <f t="shared" si="141"/>
        <v>0</v>
      </c>
      <c r="BH167" s="1039">
        <f t="shared" si="142"/>
        <v>0</v>
      </c>
      <c r="BI167" s="1038">
        <f t="shared" si="143"/>
        <v>0</v>
      </c>
      <c r="BJ167" s="1027"/>
      <c r="BK167" s="1060"/>
      <c r="BL167" s="1040">
        <f t="shared" si="144"/>
        <v>0</v>
      </c>
      <c r="BM167" s="1038">
        <f t="shared" si="145"/>
        <v>0</v>
      </c>
      <c r="BN167" s="1027"/>
      <c r="BO167" s="1060"/>
      <c r="BP167" s="95">
        <f t="shared" si="146"/>
        <v>0</v>
      </c>
      <c r="BQ167" s="640">
        <f t="shared" si="147"/>
        <v>0</v>
      </c>
      <c r="BS167" s="94">
        <f t="shared" si="148"/>
        <v>0</v>
      </c>
      <c r="BU167" s="632">
        <f t="shared" si="149"/>
        <v>0</v>
      </c>
      <c r="BV167" s="398"/>
      <c r="BW167" s="405" t="s">
        <v>453</v>
      </c>
      <c r="BX167" s="323">
        <v>388817</v>
      </c>
      <c r="CD167" s="398">
        <v>0.1</v>
      </c>
      <c r="CI167" s="96"/>
    </row>
    <row r="168" spans="1:87" ht="14.25" thickTop="1" thickBot="1">
      <c r="A168" s="57"/>
      <c r="B168" s="92">
        <v>38</v>
      </c>
      <c r="C168" s="255">
        <f t="shared" si="161"/>
        <v>0</v>
      </c>
      <c r="D168" s="93">
        <f t="shared" si="161"/>
        <v>0</v>
      </c>
      <c r="E168" s="93">
        <f t="shared" si="161"/>
        <v>0</v>
      </c>
      <c r="F168" s="93">
        <f t="shared" si="161"/>
        <v>0</v>
      </c>
      <c r="G168" s="93"/>
      <c r="H168" s="678">
        <f t="shared" si="150"/>
        <v>1</v>
      </c>
      <c r="I168" s="679">
        <f t="shared" si="162"/>
        <v>0</v>
      </c>
      <c r="J168" s="633">
        <f t="shared" si="151"/>
        <v>1</v>
      </c>
      <c r="K168" s="1016">
        <f t="shared" si="152"/>
        <v>0</v>
      </c>
      <c r="L168" s="1017">
        <v>0</v>
      </c>
      <c r="M168" s="1061"/>
      <c r="N168" s="1062">
        <f t="shared" si="122"/>
        <v>0</v>
      </c>
      <c r="O168" s="1063">
        <f t="shared" si="123"/>
        <v>1</v>
      </c>
      <c r="P168" s="1016">
        <f t="shared" si="124"/>
        <v>0</v>
      </c>
      <c r="Q168" s="1017">
        <v>0</v>
      </c>
      <c r="R168" s="1061"/>
      <c r="S168" s="1062">
        <f t="shared" si="125"/>
        <v>0</v>
      </c>
      <c r="T168" s="1063">
        <f t="shared" si="126"/>
        <v>1</v>
      </c>
      <c r="U168" s="1016">
        <f t="shared" si="153"/>
        <v>0</v>
      </c>
      <c r="V168" s="1017">
        <v>0</v>
      </c>
      <c r="W168" s="1061"/>
      <c r="X168" s="1062">
        <f t="shared" si="127"/>
        <v>0</v>
      </c>
      <c r="Y168" s="1063">
        <f t="shared" si="128"/>
        <v>1</v>
      </c>
      <c r="Z168" s="1016">
        <f t="shared" si="154"/>
        <v>0</v>
      </c>
      <c r="AA168" s="1017">
        <v>0</v>
      </c>
      <c r="AB168" s="1061"/>
      <c r="AC168" s="1062">
        <f t="shared" si="129"/>
        <v>0</v>
      </c>
      <c r="AD168" s="1063">
        <f t="shared" si="130"/>
        <v>1</v>
      </c>
      <c r="AE168" s="1016">
        <f t="shared" si="155"/>
        <v>0</v>
      </c>
      <c r="AF168" s="1017">
        <v>0</v>
      </c>
      <c r="AG168" s="1061"/>
      <c r="AH168" s="1062">
        <f t="shared" si="131"/>
        <v>0</v>
      </c>
      <c r="AI168" s="1063">
        <f t="shared" si="132"/>
        <v>1</v>
      </c>
      <c r="AJ168" s="1016">
        <f t="shared" si="156"/>
        <v>0</v>
      </c>
      <c r="AK168" s="1017">
        <v>0</v>
      </c>
      <c r="AL168" s="1061"/>
      <c r="AM168" s="1062">
        <f t="shared" si="133"/>
        <v>0</v>
      </c>
      <c r="AN168" s="1063">
        <f t="shared" si="134"/>
        <v>1</v>
      </c>
      <c r="AO168" s="1016">
        <f t="shared" si="157"/>
        <v>0</v>
      </c>
      <c r="AP168" s="1017">
        <v>0</v>
      </c>
      <c r="AQ168" s="1061"/>
      <c r="AR168" s="1062">
        <f t="shared" si="135"/>
        <v>0</v>
      </c>
      <c r="AS168" s="1063">
        <f t="shared" si="136"/>
        <v>1</v>
      </c>
      <c r="AT168" s="1016">
        <f t="shared" si="158"/>
        <v>0</v>
      </c>
      <c r="AU168" s="1017">
        <v>0</v>
      </c>
      <c r="AV168" s="1061"/>
      <c r="AW168" s="1062">
        <f t="shared" si="137"/>
        <v>0</v>
      </c>
      <c r="AX168" s="1063">
        <f t="shared" si="138"/>
        <v>1</v>
      </c>
      <c r="AY168" s="1016">
        <f t="shared" si="159"/>
        <v>0</v>
      </c>
      <c r="AZ168" s="1017">
        <v>0</v>
      </c>
      <c r="BA168" s="1061"/>
      <c r="BB168" s="1062">
        <f t="shared" si="139"/>
        <v>0</v>
      </c>
      <c r="BC168" s="1063">
        <f t="shared" si="140"/>
        <v>1</v>
      </c>
      <c r="BD168" s="1016">
        <f t="shared" si="160"/>
        <v>0</v>
      </c>
      <c r="BE168" s="1017">
        <v>0</v>
      </c>
      <c r="BF168" s="1061"/>
      <c r="BG168" s="1062">
        <f t="shared" si="141"/>
        <v>0</v>
      </c>
      <c r="BH168" s="1039">
        <f t="shared" si="142"/>
        <v>0</v>
      </c>
      <c r="BI168" s="1038">
        <f t="shared" si="143"/>
        <v>0</v>
      </c>
      <c r="BJ168" s="1027"/>
      <c r="BK168" s="1060"/>
      <c r="BL168" s="1040">
        <f t="shared" si="144"/>
        <v>0</v>
      </c>
      <c r="BM168" s="1038">
        <f t="shared" si="145"/>
        <v>0</v>
      </c>
      <c r="BN168" s="1027"/>
      <c r="BO168" s="1060"/>
      <c r="BP168" s="95">
        <f t="shared" si="146"/>
        <v>0</v>
      </c>
      <c r="BQ168" s="640">
        <f t="shared" si="147"/>
        <v>0</v>
      </c>
      <c r="BS168" s="94">
        <f t="shared" si="148"/>
        <v>0</v>
      </c>
      <c r="BU168" s="632">
        <f t="shared" si="149"/>
        <v>0</v>
      </c>
      <c r="BV168" s="398"/>
      <c r="BW168" s="405" t="s">
        <v>450</v>
      </c>
      <c r="BX168" s="323">
        <v>449596.79000000004</v>
      </c>
      <c r="CD168" s="398">
        <v>0.05</v>
      </c>
      <c r="CI168" s="96"/>
    </row>
    <row r="169" spans="1:87" s="762" customFormat="1" ht="14.25" thickTop="1" thickBot="1">
      <c r="A169" s="761"/>
      <c r="B169" s="751">
        <v>39</v>
      </c>
      <c r="C169" s="752">
        <f t="shared" si="161"/>
        <v>0</v>
      </c>
      <c r="D169" s="753">
        <f t="shared" si="161"/>
        <v>0</v>
      </c>
      <c r="E169" s="753">
        <f t="shared" si="161"/>
        <v>0</v>
      </c>
      <c r="F169" s="753">
        <f t="shared" si="161"/>
        <v>0</v>
      </c>
      <c r="G169" s="753"/>
      <c r="H169" s="754">
        <f t="shared" si="150"/>
        <v>1</v>
      </c>
      <c r="I169" s="679">
        <f t="shared" si="162"/>
        <v>0</v>
      </c>
      <c r="J169" s="755">
        <f t="shared" si="151"/>
        <v>1</v>
      </c>
      <c r="K169" s="1016">
        <f t="shared" si="152"/>
        <v>0</v>
      </c>
      <c r="L169" s="1017">
        <v>0</v>
      </c>
      <c r="M169" s="1061"/>
      <c r="N169" s="1062">
        <f t="shared" si="122"/>
        <v>0</v>
      </c>
      <c r="O169" s="1063">
        <f t="shared" si="123"/>
        <v>1</v>
      </c>
      <c r="P169" s="1016">
        <f t="shared" si="124"/>
        <v>0</v>
      </c>
      <c r="Q169" s="1017">
        <v>0</v>
      </c>
      <c r="R169" s="1061"/>
      <c r="S169" s="1062">
        <f t="shared" si="125"/>
        <v>0</v>
      </c>
      <c r="T169" s="1063">
        <f t="shared" si="126"/>
        <v>1</v>
      </c>
      <c r="U169" s="1016">
        <f t="shared" si="153"/>
        <v>0</v>
      </c>
      <c r="V169" s="1017">
        <v>0</v>
      </c>
      <c r="W169" s="1061"/>
      <c r="X169" s="1062">
        <f t="shared" si="127"/>
        <v>0</v>
      </c>
      <c r="Y169" s="1063">
        <f t="shared" si="128"/>
        <v>1</v>
      </c>
      <c r="Z169" s="1016">
        <f t="shared" si="154"/>
        <v>0</v>
      </c>
      <c r="AA169" s="1017">
        <v>0</v>
      </c>
      <c r="AB169" s="1061"/>
      <c r="AC169" s="1062">
        <f t="shared" si="129"/>
        <v>0</v>
      </c>
      <c r="AD169" s="1063">
        <f t="shared" si="130"/>
        <v>1</v>
      </c>
      <c r="AE169" s="1016">
        <f t="shared" si="155"/>
        <v>0</v>
      </c>
      <c r="AF169" s="1017">
        <v>0</v>
      </c>
      <c r="AG169" s="1061"/>
      <c r="AH169" s="1062">
        <f t="shared" si="131"/>
        <v>0</v>
      </c>
      <c r="AI169" s="1063">
        <f t="shared" si="132"/>
        <v>1</v>
      </c>
      <c r="AJ169" s="1016">
        <f t="shared" si="156"/>
        <v>0</v>
      </c>
      <c r="AK169" s="1017">
        <v>0</v>
      </c>
      <c r="AL169" s="1061"/>
      <c r="AM169" s="1062">
        <f t="shared" si="133"/>
        <v>0</v>
      </c>
      <c r="AN169" s="1063">
        <f t="shared" si="134"/>
        <v>1</v>
      </c>
      <c r="AO169" s="1016">
        <f t="shared" si="157"/>
        <v>0</v>
      </c>
      <c r="AP169" s="1017">
        <v>0</v>
      </c>
      <c r="AQ169" s="1061"/>
      <c r="AR169" s="1062">
        <f t="shared" si="135"/>
        <v>0</v>
      </c>
      <c r="AS169" s="1063">
        <f t="shared" si="136"/>
        <v>1</v>
      </c>
      <c r="AT169" s="1016">
        <f t="shared" si="158"/>
        <v>0</v>
      </c>
      <c r="AU169" s="1017">
        <v>0</v>
      </c>
      <c r="AV169" s="1061"/>
      <c r="AW169" s="1062">
        <f t="shared" si="137"/>
        <v>0</v>
      </c>
      <c r="AX169" s="1063">
        <f t="shared" si="138"/>
        <v>1</v>
      </c>
      <c r="AY169" s="1016">
        <f t="shared" si="159"/>
        <v>0</v>
      </c>
      <c r="AZ169" s="1017">
        <v>0</v>
      </c>
      <c r="BA169" s="1061"/>
      <c r="BB169" s="1062">
        <f t="shared" si="139"/>
        <v>0</v>
      </c>
      <c r="BC169" s="1063">
        <f t="shared" si="140"/>
        <v>1</v>
      </c>
      <c r="BD169" s="1016">
        <f t="shared" si="160"/>
        <v>0</v>
      </c>
      <c r="BE169" s="1017">
        <v>0</v>
      </c>
      <c r="BF169" s="1061"/>
      <c r="BG169" s="1062">
        <f t="shared" si="141"/>
        <v>0</v>
      </c>
      <c r="BH169" s="1039">
        <f t="shared" si="142"/>
        <v>0</v>
      </c>
      <c r="BI169" s="1038">
        <f t="shared" si="143"/>
        <v>0</v>
      </c>
      <c r="BJ169" s="1027"/>
      <c r="BK169" s="1060"/>
      <c r="BL169" s="1040">
        <f t="shared" si="144"/>
        <v>0</v>
      </c>
      <c r="BM169" s="1038">
        <f t="shared" si="145"/>
        <v>0</v>
      </c>
      <c r="BN169" s="1027"/>
      <c r="BO169" s="1060"/>
      <c r="BP169" s="95">
        <f t="shared" si="146"/>
        <v>0</v>
      </c>
      <c r="BQ169" s="640">
        <f t="shared" si="147"/>
        <v>0</v>
      </c>
      <c r="BR169" s="756"/>
      <c r="BS169" s="757">
        <f t="shared" si="148"/>
        <v>0</v>
      </c>
      <c r="BU169" s="754">
        <f t="shared" si="149"/>
        <v>0</v>
      </c>
      <c r="BV169" s="758"/>
      <c r="BW169" s="763" t="s">
        <v>453</v>
      </c>
      <c r="BX169" s="756">
        <v>1432939</v>
      </c>
      <c r="CD169" s="758">
        <v>0.5</v>
      </c>
      <c r="CI169" s="764"/>
    </row>
    <row r="170" spans="1:87" ht="14.25" thickTop="1" thickBot="1">
      <c r="A170" s="57"/>
      <c r="B170" s="92">
        <v>40</v>
      </c>
      <c r="C170" s="255">
        <f t="shared" si="161"/>
        <v>0</v>
      </c>
      <c r="D170" s="93">
        <f t="shared" si="161"/>
        <v>0</v>
      </c>
      <c r="E170" s="93">
        <f t="shared" si="161"/>
        <v>0</v>
      </c>
      <c r="F170" s="93">
        <f t="shared" si="161"/>
        <v>0</v>
      </c>
      <c r="G170" s="93"/>
      <c r="H170" s="678">
        <f t="shared" si="150"/>
        <v>1</v>
      </c>
      <c r="I170" s="679">
        <f t="shared" si="162"/>
        <v>0</v>
      </c>
      <c r="J170" s="633">
        <f t="shared" si="151"/>
        <v>1</v>
      </c>
      <c r="K170" s="1016">
        <f t="shared" si="152"/>
        <v>0</v>
      </c>
      <c r="L170" s="1017">
        <v>0</v>
      </c>
      <c r="M170" s="1061"/>
      <c r="N170" s="1062">
        <f t="shared" si="122"/>
        <v>0</v>
      </c>
      <c r="O170" s="1063">
        <f t="shared" si="123"/>
        <v>1</v>
      </c>
      <c r="P170" s="1016">
        <f t="shared" si="124"/>
        <v>0</v>
      </c>
      <c r="Q170" s="1017">
        <v>0</v>
      </c>
      <c r="R170" s="1061"/>
      <c r="S170" s="1062">
        <f t="shared" si="125"/>
        <v>0</v>
      </c>
      <c r="T170" s="1063">
        <f t="shared" si="126"/>
        <v>1</v>
      </c>
      <c r="U170" s="1016">
        <f t="shared" si="153"/>
        <v>0</v>
      </c>
      <c r="V170" s="1017">
        <v>0</v>
      </c>
      <c r="W170" s="1061"/>
      <c r="X170" s="1062">
        <f t="shared" si="127"/>
        <v>0</v>
      </c>
      <c r="Y170" s="1063">
        <f t="shared" si="128"/>
        <v>1</v>
      </c>
      <c r="Z170" s="1016">
        <f t="shared" si="154"/>
        <v>0</v>
      </c>
      <c r="AA170" s="1017">
        <v>0</v>
      </c>
      <c r="AB170" s="1061"/>
      <c r="AC170" s="1062">
        <f t="shared" si="129"/>
        <v>0</v>
      </c>
      <c r="AD170" s="1063">
        <f t="shared" si="130"/>
        <v>1</v>
      </c>
      <c r="AE170" s="1016">
        <f t="shared" si="155"/>
        <v>0</v>
      </c>
      <c r="AF170" s="1017">
        <v>0</v>
      </c>
      <c r="AG170" s="1061"/>
      <c r="AH170" s="1062">
        <f t="shared" si="131"/>
        <v>0</v>
      </c>
      <c r="AI170" s="1063">
        <f t="shared" si="132"/>
        <v>1</v>
      </c>
      <c r="AJ170" s="1016">
        <f t="shared" si="156"/>
        <v>0</v>
      </c>
      <c r="AK170" s="1017">
        <v>0</v>
      </c>
      <c r="AL170" s="1061"/>
      <c r="AM170" s="1062">
        <f t="shared" si="133"/>
        <v>0</v>
      </c>
      <c r="AN170" s="1063">
        <f t="shared" si="134"/>
        <v>1</v>
      </c>
      <c r="AO170" s="1016">
        <f t="shared" si="157"/>
        <v>0</v>
      </c>
      <c r="AP170" s="1017">
        <v>0</v>
      </c>
      <c r="AQ170" s="1061"/>
      <c r="AR170" s="1062">
        <f t="shared" si="135"/>
        <v>0</v>
      </c>
      <c r="AS170" s="1063">
        <f t="shared" si="136"/>
        <v>1</v>
      </c>
      <c r="AT170" s="1016">
        <f t="shared" si="158"/>
        <v>0</v>
      </c>
      <c r="AU170" s="1017">
        <v>0</v>
      </c>
      <c r="AV170" s="1061"/>
      <c r="AW170" s="1062">
        <f t="shared" si="137"/>
        <v>0</v>
      </c>
      <c r="AX170" s="1063">
        <f t="shared" si="138"/>
        <v>1</v>
      </c>
      <c r="AY170" s="1016">
        <f t="shared" si="159"/>
        <v>0</v>
      </c>
      <c r="AZ170" s="1017">
        <v>0</v>
      </c>
      <c r="BA170" s="1061"/>
      <c r="BB170" s="1062">
        <f t="shared" si="139"/>
        <v>0</v>
      </c>
      <c r="BC170" s="1063">
        <f t="shared" si="140"/>
        <v>1</v>
      </c>
      <c r="BD170" s="1016">
        <f t="shared" si="160"/>
        <v>0</v>
      </c>
      <c r="BE170" s="1017">
        <v>0</v>
      </c>
      <c r="BF170" s="1061"/>
      <c r="BG170" s="1062">
        <f t="shared" si="141"/>
        <v>0</v>
      </c>
      <c r="BH170" s="1039">
        <f t="shared" si="142"/>
        <v>0</v>
      </c>
      <c r="BI170" s="1038">
        <f t="shared" si="143"/>
        <v>0</v>
      </c>
      <c r="BJ170" s="1027"/>
      <c r="BK170" s="1060"/>
      <c r="BL170" s="1040">
        <f t="shared" si="144"/>
        <v>0</v>
      </c>
      <c r="BM170" s="1038">
        <f t="shared" si="145"/>
        <v>0</v>
      </c>
      <c r="BN170" s="1027"/>
      <c r="BO170" s="1060"/>
      <c r="BP170" s="95">
        <f t="shared" si="146"/>
        <v>0</v>
      </c>
      <c r="BQ170" s="640">
        <f t="shared" si="147"/>
        <v>0</v>
      </c>
      <c r="BS170" s="94">
        <f t="shared" si="148"/>
        <v>0</v>
      </c>
      <c r="BU170" s="632">
        <f t="shared" si="149"/>
        <v>0</v>
      </c>
      <c r="BV170" s="398"/>
      <c r="BW170" s="405" t="s">
        <v>453</v>
      </c>
      <c r="BX170" s="323">
        <v>52974</v>
      </c>
      <c r="CI170" s="96"/>
    </row>
    <row r="171" spans="1:87" ht="14.25" thickTop="1" thickBot="1">
      <c r="A171" s="57"/>
      <c r="B171" s="92">
        <v>41</v>
      </c>
      <c r="C171" s="255">
        <f t="shared" ref="C171:F190" si="163">C56</f>
        <v>0</v>
      </c>
      <c r="D171" s="93">
        <f t="shared" si="163"/>
        <v>0</v>
      </c>
      <c r="E171" s="93">
        <f t="shared" si="163"/>
        <v>0</v>
      </c>
      <c r="F171" s="93">
        <f t="shared" si="163"/>
        <v>0</v>
      </c>
      <c r="G171" s="93"/>
      <c r="H171" s="678">
        <f t="shared" si="150"/>
        <v>1</v>
      </c>
      <c r="I171" s="679">
        <f t="shared" si="162"/>
        <v>0</v>
      </c>
      <c r="J171" s="633">
        <f t="shared" si="151"/>
        <v>1</v>
      </c>
      <c r="K171" s="1016">
        <f t="shared" si="152"/>
        <v>0</v>
      </c>
      <c r="L171" s="1017">
        <v>0</v>
      </c>
      <c r="M171" s="1061"/>
      <c r="N171" s="1062">
        <f t="shared" si="122"/>
        <v>0</v>
      </c>
      <c r="O171" s="1063">
        <f t="shared" si="123"/>
        <v>1</v>
      </c>
      <c r="P171" s="1016">
        <f t="shared" si="124"/>
        <v>0</v>
      </c>
      <c r="Q171" s="1017">
        <v>0</v>
      </c>
      <c r="R171" s="1061"/>
      <c r="S171" s="1062">
        <f t="shared" si="125"/>
        <v>0</v>
      </c>
      <c r="T171" s="1063">
        <f t="shared" si="126"/>
        <v>1</v>
      </c>
      <c r="U171" s="1016">
        <f t="shared" si="153"/>
        <v>0</v>
      </c>
      <c r="V171" s="1017">
        <v>0</v>
      </c>
      <c r="W171" s="1061"/>
      <c r="X171" s="1062">
        <f t="shared" si="127"/>
        <v>0</v>
      </c>
      <c r="Y171" s="1063">
        <f t="shared" si="128"/>
        <v>1</v>
      </c>
      <c r="Z171" s="1016">
        <f t="shared" si="154"/>
        <v>0</v>
      </c>
      <c r="AA171" s="1017">
        <v>0</v>
      </c>
      <c r="AB171" s="1061"/>
      <c r="AC171" s="1062">
        <f t="shared" si="129"/>
        <v>0</v>
      </c>
      <c r="AD171" s="1063">
        <f t="shared" si="130"/>
        <v>1</v>
      </c>
      <c r="AE171" s="1016">
        <f t="shared" si="155"/>
        <v>0</v>
      </c>
      <c r="AF171" s="1017">
        <v>0</v>
      </c>
      <c r="AG171" s="1061"/>
      <c r="AH171" s="1062">
        <f t="shared" si="131"/>
        <v>0</v>
      </c>
      <c r="AI171" s="1063">
        <f t="shared" si="132"/>
        <v>1</v>
      </c>
      <c r="AJ171" s="1016">
        <f t="shared" si="156"/>
        <v>0</v>
      </c>
      <c r="AK171" s="1017">
        <v>0</v>
      </c>
      <c r="AL171" s="1061"/>
      <c r="AM171" s="1062">
        <f t="shared" si="133"/>
        <v>0</v>
      </c>
      <c r="AN171" s="1063">
        <f t="shared" si="134"/>
        <v>1</v>
      </c>
      <c r="AO171" s="1016">
        <f t="shared" si="157"/>
        <v>0</v>
      </c>
      <c r="AP171" s="1017">
        <v>0</v>
      </c>
      <c r="AQ171" s="1061"/>
      <c r="AR171" s="1062">
        <f t="shared" si="135"/>
        <v>0</v>
      </c>
      <c r="AS171" s="1063">
        <f t="shared" si="136"/>
        <v>1</v>
      </c>
      <c r="AT171" s="1016">
        <f t="shared" si="158"/>
        <v>0</v>
      </c>
      <c r="AU171" s="1017">
        <v>0</v>
      </c>
      <c r="AV171" s="1061"/>
      <c r="AW171" s="1062">
        <f t="shared" si="137"/>
        <v>0</v>
      </c>
      <c r="AX171" s="1063">
        <f t="shared" si="138"/>
        <v>1</v>
      </c>
      <c r="AY171" s="1016">
        <f t="shared" si="159"/>
        <v>0</v>
      </c>
      <c r="AZ171" s="1017">
        <v>0</v>
      </c>
      <c r="BA171" s="1061"/>
      <c r="BB171" s="1062">
        <f t="shared" si="139"/>
        <v>0</v>
      </c>
      <c r="BC171" s="1063">
        <f t="shared" si="140"/>
        <v>1</v>
      </c>
      <c r="BD171" s="1016">
        <f t="shared" si="160"/>
        <v>0</v>
      </c>
      <c r="BE171" s="1017">
        <v>0</v>
      </c>
      <c r="BF171" s="1061"/>
      <c r="BG171" s="1062">
        <f t="shared" si="141"/>
        <v>0</v>
      </c>
      <c r="BH171" s="1039">
        <f t="shared" si="142"/>
        <v>0</v>
      </c>
      <c r="BI171" s="1038">
        <f t="shared" si="143"/>
        <v>0</v>
      </c>
      <c r="BJ171" s="1027"/>
      <c r="BK171" s="1060"/>
      <c r="BL171" s="1040">
        <f t="shared" si="144"/>
        <v>0</v>
      </c>
      <c r="BM171" s="1038">
        <f t="shared" si="145"/>
        <v>0</v>
      </c>
      <c r="BN171" s="1027"/>
      <c r="BO171" s="1060"/>
      <c r="BP171" s="95">
        <f t="shared" si="146"/>
        <v>0</v>
      </c>
      <c r="BQ171" s="640">
        <f t="shared" si="147"/>
        <v>0</v>
      </c>
      <c r="BS171" s="94">
        <f t="shared" si="148"/>
        <v>0</v>
      </c>
      <c r="BU171" s="632">
        <f t="shared" si="149"/>
        <v>0</v>
      </c>
      <c r="BV171" s="398"/>
      <c r="BW171" s="405" t="s">
        <v>450</v>
      </c>
      <c r="BX171" s="323">
        <v>97089.25</v>
      </c>
      <c r="CD171" s="398">
        <v>0.1</v>
      </c>
      <c r="CI171" s="96"/>
    </row>
    <row r="172" spans="1:87" ht="14.25" thickTop="1" thickBot="1">
      <c r="A172" s="57"/>
      <c r="B172" s="92">
        <v>42</v>
      </c>
      <c r="C172" s="255">
        <f t="shared" si="163"/>
        <v>0</v>
      </c>
      <c r="D172" s="93">
        <f t="shared" si="163"/>
        <v>0</v>
      </c>
      <c r="E172" s="93">
        <f t="shared" si="163"/>
        <v>0</v>
      </c>
      <c r="F172" s="93">
        <f t="shared" si="163"/>
        <v>0</v>
      </c>
      <c r="G172" s="93"/>
      <c r="H172" s="678">
        <f t="shared" si="150"/>
        <v>1</v>
      </c>
      <c r="I172" s="679">
        <f t="shared" si="162"/>
        <v>0</v>
      </c>
      <c r="J172" s="633">
        <f t="shared" si="151"/>
        <v>1</v>
      </c>
      <c r="K172" s="1016">
        <f t="shared" si="152"/>
        <v>0</v>
      </c>
      <c r="L172" s="1017">
        <v>0</v>
      </c>
      <c r="M172" s="1061"/>
      <c r="N172" s="1062">
        <f t="shared" si="122"/>
        <v>0</v>
      </c>
      <c r="O172" s="1063">
        <f t="shared" si="123"/>
        <v>1</v>
      </c>
      <c r="P172" s="1016">
        <f t="shared" si="124"/>
        <v>0</v>
      </c>
      <c r="Q172" s="1017">
        <v>0</v>
      </c>
      <c r="R172" s="1061"/>
      <c r="S172" s="1062">
        <f t="shared" si="125"/>
        <v>0</v>
      </c>
      <c r="T172" s="1063">
        <f t="shared" si="126"/>
        <v>1</v>
      </c>
      <c r="U172" s="1016">
        <f t="shared" si="153"/>
        <v>0</v>
      </c>
      <c r="V172" s="1017">
        <v>0</v>
      </c>
      <c r="W172" s="1061"/>
      <c r="X172" s="1062">
        <f t="shared" si="127"/>
        <v>0</v>
      </c>
      <c r="Y172" s="1063">
        <f t="shared" si="128"/>
        <v>1</v>
      </c>
      <c r="Z172" s="1016">
        <f t="shared" si="154"/>
        <v>0</v>
      </c>
      <c r="AA172" s="1017">
        <v>0</v>
      </c>
      <c r="AB172" s="1061"/>
      <c r="AC172" s="1062">
        <f t="shared" si="129"/>
        <v>0</v>
      </c>
      <c r="AD172" s="1063">
        <f t="shared" si="130"/>
        <v>1</v>
      </c>
      <c r="AE172" s="1016">
        <f t="shared" si="155"/>
        <v>0</v>
      </c>
      <c r="AF172" s="1017">
        <v>0</v>
      </c>
      <c r="AG172" s="1061"/>
      <c r="AH172" s="1062">
        <f t="shared" si="131"/>
        <v>0</v>
      </c>
      <c r="AI172" s="1063">
        <f t="shared" si="132"/>
        <v>1</v>
      </c>
      <c r="AJ172" s="1016">
        <f t="shared" si="156"/>
        <v>0</v>
      </c>
      <c r="AK172" s="1017">
        <v>0</v>
      </c>
      <c r="AL172" s="1061"/>
      <c r="AM172" s="1062">
        <f t="shared" si="133"/>
        <v>0</v>
      </c>
      <c r="AN172" s="1063">
        <f t="shared" si="134"/>
        <v>1</v>
      </c>
      <c r="AO172" s="1016">
        <f t="shared" si="157"/>
        <v>0</v>
      </c>
      <c r="AP172" s="1017">
        <v>0</v>
      </c>
      <c r="AQ172" s="1061"/>
      <c r="AR172" s="1062">
        <f t="shared" si="135"/>
        <v>0</v>
      </c>
      <c r="AS172" s="1063">
        <f t="shared" si="136"/>
        <v>1</v>
      </c>
      <c r="AT172" s="1016">
        <f t="shared" si="158"/>
        <v>0</v>
      </c>
      <c r="AU172" s="1017">
        <v>0</v>
      </c>
      <c r="AV172" s="1061"/>
      <c r="AW172" s="1062">
        <f t="shared" si="137"/>
        <v>0</v>
      </c>
      <c r="AX172" s="1063">
        <f t="shared" si="138"/>
        <v>1</v>
      </c>
      <c r="AY172" s="1016">
        <f t="shared" si="159"/>
        <v>0</v>
      </c>
      <c r="AZ172" s="1017">
        <v>0</v>
      </c>
      <c r="BA172" s="1061"/>
      <c r="BB172" s="1062">
        <f t="shared" si="139"/>
        <v>0</v>
      </c>
      <c r="BC172" s="1063">
        <f t="shared" si="140"/>
        <v>1</v>
      </c>
      <c r="BD172" s="1016">
        <f t="shared" si="160"/>
        <v>0</v>
      </c>
      <c r="BE172" s="1017">
        <v>0</v>
      </c>
      <c r="BF172" s="1061"/>
      <c r="BG172" s="1062">
        <f t="shared" si="141"/>
        <v>0</v>
      </c>
      <c r="BH172" s="1039">
        <f t="shared" si="142"/>
        <v>0</v>
      </c>
      <c r="BI172" s="1038">
        <f t="shared" si="143"/>
        <v>0</v>
      </c>
      <c r="BJ172" s="1027"/>
      <c r="BK172" s="1060"/>
      <c r="BL172" s="1040">
        <f t="shared" si="144"/>
        <v>0</v>
      </c>
      <c r="BM172" s="1038">
        <f t="shared" si="145"/>
        <v>0</v>
      </c>
      <c r="BN172" s="1027"/>
      <c r="BO172" s="1060"/>
      <c r="BP172" s="95">
        <f t="shared" si="146"/>
        <v>0</v>
      </c>
      <c r="BQ172" s="640">
        <f t="shared" si="147"/>
        <v>0</v>
      </c>
      <c r="BS172" s="94">
        <f t="shared" si="148"/>
        <v>0</v>
      </c>
      <c r="BU172" s="632">
        <f t="shared" si="149"/>
        <v>0</v>
      </c>
      <c r="BV172" s="398"/>
      <c r="BW172" s="405" t="s">
        <v>453</v>
      </c>
      <c r="BX172" s="323">
        <v>50690</v>
      </c>
      <c r="CI172" s="96"/>
    </row>
    <row r="173" spans="1:87" ht="14.25" thickTop="1" thickBot="1">
      <c r="A173" s="57"/>
      <c r="B173" s="92">
        <v>43</v>
      </c>
      <c r="C173" s="255">
        <f t="shared" si="163"/>
        <v>0</v>
      </c>
      <c r="D173" s="93">
        <f t="shared" si="163"/>
        <v>0</v>
      </c>
      <c r="E173" s="93">
        <f t="shared" si="163"/>
        <v>0</v>
      </c>
      <c r="F173" s="93">
        <f t="shared" si="163"/>
        <v>0</v>
      </c>
      <c r="G173" s="93"/>
      <c r="H173" s="678">
        <f t="shared" si="150"/>
        <v>1</v>
      </c>
      <c r="I173" s="679">
        <f t="shared" si="162"/>
        <v>0</v>
      </c>
      <c r="J173" s="633">
        <f t="shared" si="151"/>
        <v>1</v>
      </c>
      <c r="K173" s="1016">
        <f t="shared" si="152"/>
        <v>0</v>
      </c>
      <c r="L173" s="1017">
        <v>0</v>
      </c>
      <c r="M173" s="1061"/>
      <c r="N173" s="1062">
        <f t="shared" si="122"/>
        <v>0</v>
      </c>
      <c r="O173" s="1063">
        <f t="shared" si="123"/>
        <v>1</v>
      </c>
      <c r="P173" s="1016">
        <f t="shared" si="124"/>
        <v>0</v>
      </c>
      <c r="Q173" s="1017">
        <v>0</v>
      </c>
      <c r="R173" s="1061"/>
      <c r="S173" s="1062">
        <f t="shared" si="125"/>
        <v>0</v>
      </c>
      <c r="T173" s="1063">
        <f t="shared" si="126"/>
        <v>1</v>
      </c>
      <c r="U173" s="1016">
        <f t="shared" si="153"/>
        <v>0</v>
      </c>
      <c r="V173" s="1017">
        <v>0</v>
      </c>
      <c r="W173" s="1061"/>
      <c r="X173" s="1062">
        <f t="shared" si="127"/>
        <v>0</v>
      </c>
      <c r="Y173" s="1063">
        <f t="shared" si="128"/>
        <v>1</v>
      </c>
      <c r="Z173" s="1016">
        <f t="shared" si="154"/>
        <v>0</v>
      </c>
      <c r="AA173" s="1017">
        <v>0</v>
      </c>
      <c r="AB173" s="1061"/>
      <c r="AC173" s="1062">
        <f t="shared" si="129"/>
        <v>0</v>
      </c>
      <c r="AD173" s="1063">
        <f t="shared" si="130"/>
        <v>1</v>
      </c>
      <c r="AE173" s="1016">
        <f t="shared" si="155"/>
        <v>0</v>
      </c>
      <c r="AF173" s="1017">
        <v>0</v>
      </c>
      <c r="AG173" s="1061"/>
      <c r="AH173" s="1062">
        <f t="shared" si="131"/>
        <v>0</v>
      </c>
      <c r="AI173" s="1063">
        <f t="shared" si="132"/>
        <v>1</v>
      </c>
      <c r="AJ173" s="1016">
        <f t="shared" si="156"/>
        <v>0</v>
      </c>
      <c r="AK173" s="1017">
        <v>0</v>
      </c>
      <c r="AL173" s="1061"/>
      <c r="AM173" s="1062">
        <f t="shared" si="133"/>
        <v>0</v>
      </c>
      <c r="AN173" s="1063">
        <f t="shared" si="134"/>
        <v>1</v>
      </c>
      <c r="AO173" s="1016">
        <f t="shared" si="157"/>
        <v>0</v>
      </c>
      <c r="AP173" s="1017">
        <v>0</v>
      </c>
      <c r="AQ173" s="1061"/>
      <c r="AR173" s="1062">
        <f t="shared" si="135"/>
        <v>0</v>
      </c>
      <c r="AS173" s="1063">
        <f t="shared" si="136"/>
        <v>1</v>
      </c>
      <c r="AT173" s="1016">
        <f t="shared" si="158"/>
        <v>0</v>
      </c>
      <c r="AU173" s="1017">
        <v>0</v>
      </c>
      <c r="AV173" s="1061"/>
      <c r="AW173" s="1062">
        <f t="shared" si="137"/>
        <v>0</v>
      </c>
      <c r="AX173" s="1063">
        <f t="shared" si="138"/>
        <v>1</v>
      </c>
      <c r="AY173" s="1016">
        <f t="shared" si="159"/>
        <v>0</v>
      </c>
      <c r="AZ173" s="1017">
        <v>0</v>
      </c>
      <c r="BA173" s="1061"/>
      <c r="BB173" s="1062">
        <f t="shared" si="139"/>
        <v>0</v>
      </c>
      <c r="BC173" s="1063">
        <f t="shared" si="140"/>
        <v>1</v>
      </c>
      <c r="BD173" s="1016">
        <f t="shared" si="160"/>
        <v>0</v>
      </c>
      <c r="BE173" s="1017">
        <v>0</v>
      </c>
      <c r="BF173" s="1061"/>
      <c r="BG173" s="1062">
        <f t="shared" si="141"/>
        <v>0</v>
      </c>
      <c r="BH173" s="1039">
        <f t="shared" si="142"/>
        <v>0</v>
      </c>
      <c r="BI173" s="1038">
        <f t="shared" si="143"/>
        <v>0</v>
      </c>
      <c r="BJ173" s="1027"/>
      <c r="BK173" s="1060"/>
      <c r="BL173" s="1040">
        <f t="shared" si="144"/>
        <v>0</v>
      </c>
      <c r="BM173" s="1038">
        <f t="shared" si="145"/>
        <v>0</v>
      </c>
      <c r="BN173" s="1027"/>
      <c r="BO173" s="1060"/>
      <c r="BP173" s="95">
        <f t="shared" si="146"/>
        <v>0</v>
      </c>
      <c r="BQ173" s="640">
        <f t="shared" si="147"/>
        <v>0</v>
      </c>
      <c r="BS173" s="94">
        <f t="shared" si="148"/>
        <v>0</v>
      </c>
      <c r="BU173" s="632">
        <f t="shared" si="149"/>
        <v>0</v>
      </c>
      <c r="BV173" s="398"/>
      <c r="BW173" s="405" t="s">
        <v>450</v>
      </c>
      <c r="BX173" s="323">
        <v>40343</v>
      </c>
      <c r="CD173" s="398">
        <v>0.15</v>
      </c>
      <c r="CI173" s="96"/>
    </row>
    <row r="174" spans="1:87" ht="14.25" thickTop="1" thickBot="1">
      <c r="A174" s="57"/>
      <c r="B174" s="92">
        <v>44</v>
      </c>
      <c r="C174" s="255">
        <f t="shared" si="163"/>
        <v>0</v>
      </c>
      <c r="D174" s="93">
        <f t="shared" si="163"/>
        <v>0</v>
      </c>
      <c r="E174" s="93">
        <f t="shared" si="163"/>
        <v>0</v>
      </c>
      <c r="F174" s="93">
        <f t="shared" si="163"/>
        <v>0</v>
      </c>
      <c r="G174" s="93"/>
      <c r="H174" s="678">
        <f t="shared" si="150"/>
        <v>1</v>
      </c>
      <c r="I174" s="679">
        <f t="shared" si="162"/>
        <v>0</v>
      </c>
      <c r="J174" s="633">
        <f t="shared" si="151"/>
        <v>1</v>
      </c>
      <c r="K174" s="1016">
        <f t="shared" si="152"/>
        <v>0</v>
      </c>
      <c r="L174" s="1017">
        <v>0</v>
      </c>
      <c r="M174" s="1061"/>
      <c r="N174" s="1062">
        <f t="shared" si="122"/>
        <v>0</v>
      </c>
      <c r="O174" s="1063">
        <f t="shared" si="123"/>
        <v>1</v>
      </c>
      <c r="P174" s="1016">
        <f t="shared" si="124"/>
        <v>0</v>
      </c>
      <c r="Q174" s="1017">
        <v>0</v>
      </c>
      <c r="R174" s="1061"/>
      <c r="S174" s="1062">
        <f t="shared" si="125"/>
        <v>0</v>
      </c>
      <c r="T174" s="1063">
        <f t="shared" si="126"/>
        <v>1</v>
      </c>
      <c r="U174" s="1016">
        <f t="shared" si="153"/>
        <v>0</v>
      </c>
      <c r="V174" s="1017">
        <v>0</v>
      </c>
      <c r="W174" s="1061"/>
      <c r="X174" s="1062">
        <f t="shared" si="127"/>
        <v>0</v>
      </c>
      <c r="Y174" s="1063">
        <f t="shared" si="128"/>
        <v>1</v>
      </c>
      <c r="Z174" s="1016">
        <f t="shared" si="154"/>
        <v>0</v>
      </c>
      <c r="AA174" s="1017">
        <v>0</v>
      </c>
      <c r="AB174" s="1061"/>
      <c r="AC174" s="1062">
        <f t="shared" si="129"/>
        <v>0</v>
      </c>
      <c r="AD174" s="1063">
        <f t="shared" si="130"/>
        <v>1</v>
      </c>
      <c r="AE174" s="1016">
        <f t="shared" si="155"/>
        <v>0</v>
      </c>
      <c r="AF174" s="1017">
        <v>0</v>
      </c>
      <c r="AG174" s="1061"/>
      <c r="AH174" s="1062">
        <f t="shared" si="131"/>
        <v>0</v>
      </c>
      <c r="AI174" s="1063">
        <f t="shared" si="132"/>
        <v>1</v>
      </c>
      <c r="AJ174" s="1016">
        <f t="shared" si="156"/>
        <v>0</v>
      </c>
      <c r="AK174" s="1017">
        <v>0</v>
      </c>
      <c r="AL174" s="1061"/>
      <c r="AM174" s="1062">
        <f t="shared" si="133"/>
        <v>0</v>
      </c>
      <c r="AN174" s="1063">
        <f t="shared" si="134"/>
        <v>1</v>
      </c>
      <c r="AO174" s="1016">
        <f t="shared" si="157"/>
        <v>0</v>
      </c>
      <c r="AP174" s="1017">
        <v>0</v>
      </c>
      <c r="AQ174" s="1061"/>
      <c r="AR174" s="1062">
        <f t="shared" si="135"/>
        <v>0</v>
      </c>
      <c r="AS174" s="1063">
        <f t="shared" si="136"/>
        <v>1</v>
      </c>
      <c r="AT174" s="1016">
        <f t="shared" si="158"/>
        <v>0</v>
      </c>
      <c r="AU174" s="1017">
        <v>0</v>
      </c>
      <c r="AV174" s="1061"/>
      <c r="AW174" s="1062">
        <f t="shared" si="137"/>
        <v>0</v>
      </c>
      <c r="AX174" s="1063">
        <f t="shared" si="138"/>
        <v>1</v>
      </c>
      <c r="AY174" s="1016">
        <f t="shared" si="159"/>
        <v>0</v>
      </c>
      <c r="AZ174" s="1017">
        <v>0</v>
      </c>
      <c r="BA174" s="1061"/>
      <c r="BB174" s="1062">
        <f t="shared" si="139"/>
        <v>0</v>
      </c>
      <c r="BC174" s="1063">
        <f t="shared" si="140"/>
        <v>1</v>
      </c>
      <c r="BD174" s="1016">
        <f t="shared" si="160"/>
        <v>0</v>
      </c>
      <c r="BE174" s="1017">
        <v>0</v>
      </c>
      <c r="BF174" s="1061"/>
      <c r="BG174" s="1062">
        <f t="shared" si="141"/>
        <v>0</v>
      </c>
      <c r="BH174" s="1039">
        <f t="shared" si="142"/>
        <v>0</v>
      </c>
      <c r="BI174" s="1038">
        <f t="shared" si="143"/>
        <v>0</v>
      </c>
      <c r="BJ174" s="1027"/>
      <c r="BK174" s="1060"/>
      <c r="BL174" s="1040">
        <f t="shared" si="144"/>
        <v>0</v>
      </c>
      <c r="BM174" s="1038">
        <f t="shared" si="145"/>
        <v>0</v>
      </c>
      <c r="BN174" s="1027"/>
      <c r="BO174" s="1060"/>
      <c r="BP174" s="95">
        <f t="shared" si="146"/>
        <v>0</v>
      </c>
      <c r="BQ174" s="640">
        <f t="shared" si="147"/>
        <v>0</v>
      </c>
      <c r="BS174" s="94">
        <f t="shared" si="148"/>
        <v>0</v>
      </c>
      <c r="BU174" s="632">
        <f t="shared" si="149"/>
        <v>0</v>
      </c>
      <c r="BV174" s="398"/>
      <c r="BW174" s="405" t="s">
        <v>453</v>
      </c>
      <c r="BX174" s="323">
        <v>161434.75</v>
      </c>
      <c r="CD174" s="398">
        <v>0.15</v>
      </c>
      <c r="CI174" s="96"/>
    </row>
    <row r="175" spans="1:87" ht="14.25" thickTop="1" thickBot="1">
      <c r="A175" s="57"/>
      <c r="B175" s="92">
        <v>45</v>
      </c>
      <c r="C175" s="255">
        <f t="shared" si="163"/>
        <v>0</v>
      </c>
      <c r="D175" s="93">
        <f t="shared" si="163"/>
        <v>0</v>
      </c>
      <c r="E175" s="93">
        <f t="shared" si="163"/>
        <v>0</v>
      </c>
      <c r="F175" s="93">
        <f t="shared" si="163"/>
        <v>0</v>
      </c>
      <c r="G175" s="93"/>
      <c r="H175" s="678">
        <f t="shared" si="150"/>
        <v>1</v>
      </c>
      <c r="I175" s="679">
        <f t="shared" si="162"/>
        <v>0</v>
      </c>
      <c r="J175" s="633">
        <f t="shared" si="151"/>
        <v>1</v>
      </c>
      <c r="K175" s="1016">
        <f t="shared" si="152"/>
        <v>0</v>
      </c>
      <c r="L175" s="1017">
        <v>0</v>
      </c>
      <c r="M175" s="1061"/>
      <c r="N175" s="1062">
        <f t="shared" si="122"/>
        <v>0</v>
      </c>
      <c r="O175" s="1063">
        <f t="shared" si="123"/>
        <v>1</v>
      </c>
      <c r="P175" s="1016">
        <f t="shared" si="124"/>
        <v>0</v>
      </c>
      <c r="Q175" s="1017">
        <v>0</v>
      </c>
      <c r="R175" s="1061"/>
      <c r="S175" s="1062">
        <f t="shared" si="125"/>
        <v>0</v>
      </c>
      <c r="T175" s="1063">
        <f t="shared" si="126"/>
        <v>1</v>
      </c>
      <c r="U175" s="1016">
        <f t="shared" si="153"/>
        <v>0</v>
      </c>
      <c r="V175" s="1017">
        <v>0</v>
      </c>
      <c r="W175" s="1061"/>
      <c r="X175" s="1062">
        <f t="shared" si="127"/>
        <v>0</v>
      </c>
      <c r="Y175" s="1063">
        <f t="shared" si="128"/>
        <v>1</v>
      </c>
      <c r="Z175" s="1016">
        <f t="shared" si="154"/>
        <v>0</v>
      </c>
      <c r="AA175" s="1017">
        <v>0</v>
      </c>
      <c r="AB175" s="1061"/>
      <c r="AC175" s="1062">
        <f t="shared" si="129"/>
        <v>0</v>
      </c>
      <c r="AD175" s="1063">
        <f t="shared" si="130"/>
        <v>1</v>
      </c>
      <c r="AE175" s="1016">
        <f t="shared" si="155"/>
        <v>0</v>
      </c>
      <c r="AF175" s="1017">
        <v>0</v>
      </c>
      <c r="AG175" s="1061"/>
      <c r="AH175" s="1062">
        <f t="shared" si="131"/>
        <v>0</v>
      </c>
      <c r="AI175" s="1063">
        <f t="shared" si="132"/>
        <v>1</v>
      </c>
      <c r="AJ175" s="1016">
        <f t="shared" si="156"/>
        <v>0</v>
      </c>
      <c r="AK175" s="1017">
        <v>0</v>
      </c>
      <c r="AL175" s="1061"/>
      <c r="AM175" s="1062">
        <f t="shared" si="133"/>
        <v>0</v>
      </c>
      <c r="AN175" s="1063">
        <f t="shared" si="134"/>
        <v>1</v>
      </c>
      <c r="AO175" s="1016">
        <f t="shared" si="157"/>
        <v>0</v>
      </c>
      <c r="AP175" s="1017">
        <v>0</v>
      </c>
      <c r="AQ175" s="1061"/>
      <c r="AR175" s="1062">
        <f t="shared" si="135"/>
        <v>0</v>
      </c>
      <c r="AS175" s="1063">
        <f t="shared" si="136"/>
        <v>1</v>
      </c>
      <c r="AT175" s="1016">
        <f t="shared" si="158"/>
        <v>0</v>
      </c>
      <c r="AU175" s="1017">
        <v>0</v>
      </c>
      <c r="AV175" s="1061"/>
      <c r="AW175" s="1062">
        <f t="shared" si="137"/>
        <v>0</v>
      </c>
      <c r="AX175" s="1063">
        <f t="shared" si="138"/>
        <v>1</v>
      </c>
      <c r="AY175" s="1016">
        <f t="shared" si="159"/>
        <v>0</v>
      </c>
      <c r="AZ175" s="1017">
        <v>0</v>
      </c>
      <c r="BA175" s="1061"/>
      <c r="BB175" s="1062">
        <f t="shared" si="139"/>
        <v>0</v>
      </c>
      <c r="BC175" s="1063">
        <f t="shared" si="140"/>
        <v>1</v>
      </c>
      <c r="BD175" s="1016">
        <f t="shared" si="160"/>
        <v>0</v>
      </c>
      <c r="BE175" s="1017">
        <v>0</v>
      </c>
      <c r="BF175" s="1061"/>
      <c r="BG175" s="1062">
        <f t="shared" si="141"/>
        <v>0</v>
      </c>
      <c r="BH175" s="1039">
        <f t="shared" si="142"/>
        <v>0</v>
      </c>
      <c r="BI175" s="1038">
        <f t="shared" si="143"/>
        <v>0</v>
      </c>
      <c r="BJ175" s="1027"/>
      <c r="BK175" s="1060"/>
      <c r="BL175" s="1040">
        <f t="shared" si="144"/>
        <v>0</v>
      </c>
      <c r="BM175" s="1038">
        <f t="shared" si="145"/>
        <v>0</v>
      </c>
      <c r="BN175" s="1027"/>
      <c r="BO175" s="1060"/>
      <c r="BP175" s="95">
        <f t="shared" si="146"/>
        <v>0</v>
      </c>
      <c r="BQ175" s="640">
        <f t="shared" si="147"/>
        <v>0</v>
      </c>
      <c r="BS175" s="94">
        <f t="shared" si="148"/>
        <v>0</v>
      </c>
      <c r="BU175" s="632">
        <f t="shared" si="149"/>
        <v>0</v>
      </c>
      <c r="BV175" s="398"/>
      <c r="BW175" s="405" t="s">
        <v>453</v>
      </c>
      <c r="BX175" s="323">
        <v>0</v>
      </c>
      <c r="CI175" s="96"/>
    </row>
    <row r="176" spans="1:87" ht="14.25" thickTop="1" thickBot="1">
      <c r="A176" s="57"/>
      <c r="B176" s="92">
        <v>46</v>
      </c>
      <c r="C176" s="255">
        <f t="shared" si="163"/>
        <v>0</v>
      </c>
      <c r="D176" s="93">
        <f t="shared" si="163"/>
        <v>0</v>
      </c>
      <c r="E176" s="93">
        <f t="shared" si="163"/>
        <v>0</v>
      </c>
      <c r="F176" s="93">
        <f t="shared" si="163"/>
        <v>0</v>
      </c>
      <c r="G176" s="93"/>
      <c r="H176" s="678">
        <f t="shared" si="150"/>
        <v>1</v>
      </c>
      <c r="I176" s="679">
        <f t="shared" si="162"/>
        <v>0</v>
      </c>
      <c r="J176" s="633">
        <f t="shared" si="151"/>
        <v>1</v>
      </c>
      <c r="K176" s="1016">
        <f t="shared" si="152"/>
        <v>0</v>
      </c>
      <c r="L176" s="1017">
        <v>0</v>
      </c>
      <c r="M176" s="1061"/>
      <c r="N176" s="1062">
        <f t="shared" si="122"/>
        <v>0</v>
      </c>
      <c r="O176" s="1063">
        <f t="shared" si="123"/>
        <v>1</v>
      </c>
      <c r="P176" s="1016">
        <f t="shared" si="124"/>
        <v>0</v>
      </c>
      <c r="Q176" s="1017">
        <v>0</v>
      </c>
      <c r="R176" s="1061"/>
      <c r="S176" s="1062">
        <f t="shared" si="125"/>
        <v>0</v>
      </c>
      <c r="T176" s="1063">
        <f t="shared" si="126"/>
        <v>1</v>
      </c>
      <c r="U176" s="1016">
        <f t="shared" si="153"/>
        <v>0</v>
      </c>
      <c r="V176" s="1017">
        <v>0</v>
      </c>
      <c r="W176" s="1061"/>
      <c r="X176" s="1062">
        <f t="shared" si="127"/>
        <v>0</v>
      </c>
      <c r="Y176" s="1063">
        <f t="shared" si="128"/>
        <v>1</v>
      </c>
      <c r="Z176" s="1016">
        <f t="shared" si="154"/>
        <v>0</v>
      </c>
      <c r="AA176" s="1017">
        <v>0</v>
      </c>
      <c r="AB176" s="1061"/>
      <c r="AC176" s="1062">
        <f t="shared" si="129"/>
        <v>0</v>
      </c>
      <c r="AD176" s="1063">
        <f t="shared" si="130"/>
        <v>1</v>
      </c>
      <c r="AE176" s="1016">
        <f t="shared" si="155"/>
        <v>0</v>
      </c>
      <c r="AF176" s="1017">
        <v>0</v>
      </c>
      <c r="AG176" s="1061"/>
      <c r="AH176" s="1062">
        <f t="shared" si="131"/>
        <v>0</v>
      </c>
      <c r="AI176" s="1063">
        <f t="shared" si="132"/>
        <v>1</v>
      </c>
      <c r="AJ176" s="1016">
        <f t="shared" si="156"/>
        <v>0</v>
      </c>
      <c r="AK176" s="1017">
        <v>0</v>
      </c>
      <c r="AL176" s="1061"/>
      <c r="AM176" s="1062">
        <f t="shared" si="133"/>
        <v>0</v>
      </c>
      <c r="AN176" s="1063">
        <f t="shared" si="134"/>
        <v>1</v>
      </c>
      <c r="AO176" s="1016">
        <f t="shared" si="157"/>
        <v>0</v>
      </c>
      <c r="AP176" s="1017">
        <v>0</v>
      </c>
      <c r="AQ176" s="1061"/>
      <c r="AR176" s="1062">
        <f t="shared" si="135"/>
        <v>0</v>
      </c>
      <c r="AS176" s="1063">
        <f t="shared" si="136"/>
        <v>1</v>
      </c>
      <c r="AT176" s="1016">
        <f t="shared" si="158"/>
        <v>0</v>
      </c>
      <c r="AU176" s="1017">
        <v>0</v>
      </c>
      <c r="AV176" s="1061"/>
      <c r="AW176" s="1062">
        <f t="shared" si="137"/>
        <v>0</v>
      </c>
      <c r="AX176" s="1063">
        <f t="shared" si="138"/>
        <v>1</v>
      </c>
      <c r="AY176" s="1016">
        <f t="shared" si="159"/>
        <v>0</v>
      </c>
      <c r="AZ176" s="1017">
        <v>0</v>
      </c>
      <c r="BA176" s="1061"/>
      <c r="BB176" s="1062">
        <f t="shared" si="139"/>
        <v>0</v>
      </c>
      <c r="BC176" s="1063">
        <f t="shared" si="140"/>
        <v>1</v>
      </c>
      <c r="BD176" s="1016">
        <f t="shared" si="160"/>
        <v>0</v>
      </c>
      <c r="BE176" s="1017">
        <v>0</v>
      </c>
      <c r="BF176" s="1061"/>
      <c r="BG176" s="1062">
        <f t="shared" si="141"/>
        <v>0</v>
      </c>
      <c r="BH176" s="1039">
        <f t="shared" si="142"/>
        <v>0</v>
      </c>
      <c r="BI176" s="1038">
        <f t="shared" si="143"/>
        <v>0</v>
      </c>
      <c r="BJ176" s="1027"/>
      <c r="BK176" s="1060"/>
      <c r="BL176" s="1040">
        <f t="shared" si="144"/>
        <v>0</v>
      </c>
      <c r="BM176" s="1038">
        <f t="shared" si="145"/>
        <v>0</v>
      </c>
      <c r="BN176" s="1027"/>
      <c r="BO176" s="1060"/>
      <c r="BP176" s="95">
        <f t="shared" si="146"/>
        <v>0</v>
      </c>
      <c r="BQ176" s="640">
        <f t="shared" si="147"/>
        <v>0</v>
      </c>
      <c r="BS176" s="94">
        <f t="shared" si="148"/>
        <v>0</v>
      </c>
      <c r="BU176" s="632">
        <f t="shared" si="149"/>
        <v>0</v>
      </c>
      <c r="BV176" s="398"/>
      <c r="BW176" s="405" t="s">
        <v>453</v>
      </c>
      <c r="BX176" s="323">
        <v>0</v>
      </c>
      <c r="CI176" s="96"/>
    </row>
    <row r="177" spans="1:87" ht="14.25" thickTop="1" thickBot="1">
      <c r="A177" s="57"/>
      <c r="B177" s="92">
        <v>47</v>
      </c>
      <c r="C177" s="255">
        <f t="shared" si="163"/>
        <v>0</v>
      </c>
      <c r="D177" s="93">
        <f t="shared" si="163"/>
        <v>0</v>
      </c>
      <c r="E177" s="93">
        <f t="shared" si="163"/>
        <v>0</v>
      </c>
      <c r="F177" s="93">
        <f t="shared" si="163"/>
        <v>0</v>
      </c>
      <c r="G177" s="93"/>
      <c r="H177" s="678">
        <f t="shared" si="150"/>
        <v>1</v>
      </c>
      <c r="I177" s="679">
        <f t="shared" si="162"/>
        <v>0</v>
      </c>
      <c r="J177" s="633">
        <f t="shared" si="151"/>
        <v>1</v>
      </c>
      <c r="K177" s="1016">
        <f t="shared" si="152"/>
        <v>0</v>
      </c>
      <c r="L177" s="1017">
        <v>0</v>
      </c>
      <c r="M177" s="1061"/>
      <c r="N177" s="1062">
        <f t="shared" si="122"/>
        <v>0</v>
      </c>
      <c r="O177" s="1063">
        <f t="shared" si="123"/>
        <v>1</v>
      </c>
      <c r="P177" s="1016">
        <f t="shared" si="124"/>
        <v>0</v>
      </c>
      <c r="Q177" s="1017">
        <v>0</v>
      </c>
      <c r="R177" s="1061"/>
      <c r="S177" s="1062">
        <f t="shared" si="125"/>
        <v>0</v>
      </c>
      <c r="T177" s="1063">
        <f t="shared" si="126"/>
        <v>1</v>
      </c>
      <c r="U177" s="1016">
        <f t="shared" si="153"/>
        <v>0</v>
      </c>
      <c r="V177" s="1017">
        <v>0</v>
      </c>
      <c r="W177" s="1061"/>
      <c r="X177" s="1062">
        <f t="shared" si="127"/>
        <v>0</v>
      </c>
      <c r="Y177" s="1063">
        <f t="shared" si="128"/>
        <v>1</v>
      </c>
      <c r="Z177" s="1016">
        <f t="shared" si="154"/>
        <v>0</v>
      </c>
      <c r="AA177" s="1017">
        <v>0</v>
      </c>
      <c r="AB177" s="1061"/>
      <c r="AC177" s="1062">
        <f t="shared" si="129"/>
        <v>0</v>
      </c>
      <c r="AD177" s="1063">
        <f t="shared" si="130"/>
        <v>1</v>
      </c>
      <c r="AE177" s="1016">
        <f t="shared" si="155"/>
        <v>0</v>
      </c>
      <c r="AF177" s="1017">
        <v>0</v>
      </c>
      <c r="AG177" s="1061"/>
      <c r="AH177" s="1062">
        <f t="shared" si="131"/>
        <v>0</v>
      </c>
      <c r="AI177" s="1063">
        <f t="shared" si="132"/>
        <v>1</v>
      </c>
      <c r="AJ177" s="1016">
        <f t="shared" si="156"/>
        <v>0</v>
      </c>
      <c r="AK177" s="1017">
        <v>0</v>
      </c>
      <c r="AL177" s="1061"/>
      <c r="AM177" s="1062">
        <f t="shared" si="133"/>
        <v>0</v>
      </c>
      <c r="AN177" s="1063">
        <f t="shared" si="134"/>
        <v>1</v>
      </c>
      <c r="AO177" s="1016">
        <f t="shared" si="157"/>
        <v>0</v>
      </c>
      <c r="AP177" s="1017">
        <v>0</v>
      </c>
      <c r="AQ177" s="1061"/>
      <c r="AR177" s="1062">
        <f t="shared" si="135"/>
        <v>0</v>
      </c>
      <c r="AS177" s="1063">
        <f t="shared" si="136"/>
        <v>1</v>
      </c>
      <c r="AT177" s="1016">
        <f t="shared" si="158"/>
        <v>0</v>
      </c>
      <c r="AU177" s="1017">
        <v>0</v>
      </c>
      <c r="AV177" s="1061"/>
      <c r="AW177" s="1062">
        <f t="shared" si="137"/>
        <v>0</v>
      </c>
      <c r="AX177" s="1063">
        <f t="shared" si="138"/>
        <v>1</v>
      </c>
      <c r="AY177" s="1016">
        <f t="shared" si="159"/>
        <v>0</v>
      </c>
      <c r="AZ177" s="1017">
        <v>0</v>
      </c>
      <c r="BA177" s="1061"/>
      <c r="BB177" s="1062">
        <f t="shared" si="139"/>
        <v>0</v>
      </c>
      <c r="BC177" s="1063">
        <f t="shared" si="140"/>
        <v>1</v>
      </c>
      <c r="BD177" s="1016">
        <f t="shared" si="160"/>
        <v>0</v>
      </c>
      <c r="BE177" s="1017">
        <v>0</v>
      </c>
      <c r="BF177" s="1061"/>
      <c r="BG177" s="1062">
        <f t="shared" si="141"/>
        <v>0</v>
      </c>
      <c r="BH177" s="1039">
        <f t="shared" si="142"/>
        <v>0</v>
      </c>
      <c r="BI177" s="1038">
        <f t="shared" si="143"/>
        <v>0</v>
      </c>
      <c r="BJ177" s="1027"/>
      <c r="BK177" s="1060"/>
      <c r="BL177" s="1040">
        <f t="shared" si="144"/>
        <v>0</v>
      </c>
      <c r="BM177" s="1038">
        <f t="shared" si="145"/>
        <v>0</v>
      </c>
      <c r="BN177" s="1027"/>
      <c r="BO177" s="1060"/>
      <c r="BP177" s="95">
        <f t="shared" si="146"/>
        <v>0</v>
      </c>
      <c r="BQ177" s="640">
        <f t="shared" si="147"/>
        <v>0</v>
      </c>
      <c r="BS177" s="94">
        <f t="shared" si="148"/>
        <v>0</v>
      </c>
      <c r="BU177" s="632">
        <f t="shared" si="149"/>
        <v>0</v>
      </c>
      <c r="BV177" s="398"/>
      <c r="BW177" s="405" t="s">
        <v>453</v>
      </c>
      <c r="BX177" s="323">
        <v>265482.25</v>
      </c>
      <c r="CI177" s="96"/>
    </row>
    <row r="178" spans="1:87" s="762" customFormat="1" ht="14.25" thickTop="1" thickBot="1">
      <c r="A178" s="761"/>
      <c r="B178" s="751">
        <v>48</v>
      </c>
      <c r="C178" s="752">
        <f t="shared" si="163"/>
        <v>0</v>
      </c>
      <c r="D178" s="753">
        <f t="shared" si="163"/>
        <v>0</v>
      </c>
      <c r="E178" s="753">
        <f t="shared" si="163"/>
        <v>0</v>
      </c>
      <c r="F178" s="753">
        <f t="shared" si="163"/>
        <v>0</v>
      </c>
      <c r="G178" s="753"/>
      <c r="H178" s="754">
        <f t="shared" si="150"/>
        <v>1</v>
      </c>
      <c r="I178" s="679">
        <f t="shared" si="162"/>
        <v>0</v>
      </c>
      <c r="J178" s="755">
        <f t="shared" si="151"/>
        <v>1</v>
      </c>
      <c r="K178" s="1016">
        <f t="shared" si="152"/>
        <v>0</v>
      </c>
      <c r="L178" s="1017">
        <v>0</v>
      </c>
      <c r="M178" s="1061"/>
      <c r="N178" s="1062">
        <f t="shared" si="122"/>
        <v>0</v>
      </c>
      <c r="O178" s="1063">
        <f t="shared" si="123"/>
        <v>1</v>
      </c>
      <c r="P178" s="1016">
        <f t="shared" si="124"/>
        <v>0</v>
      </c>
      <c r="Q178" s="1017">
        <v>0</v>
      </c>
      <c r="R178" s="1061"/>
      <c r="S178" s="1062">
        <f t="shared" si="125"/>
        <v>0</v>
      </c>
      <c r="T178" s="1063">
        <f t="shared" si="126"/>
        <v>1</v>
      </c>
      <c r="U178" s="1016">
        <f t="shared" si="153"/>
        <v>0</v>
      </c>
      <c r="V178" s="1017">
        <v>0</v>
      </c>
      <c r="W178" s="1061"/>
      <c r="X178" s="1062">
        <f t="shared" si="127"/>
        <v>0</v>
      </c>
      <c r="Y178" s="1063">
        <f t="shared" si="128"/>
        <v>1</v>
      </c>
      <c r="Z178" s="1016">
        <f t="shared" si="154"/>
        <v>0</v>
      </c>
      <c r="AA178" s="1017">
        <v>0</v>
      </c>
      <c r="AB178" s="1061"/>
      <c r="AC178" s="1062">
        <f t="shared" si="129"/>
        <v>0</v>
      </c>
      <c r="AD178" s="1063">
        <f t="shared" si="130"/>
        <v>1</v>
      </c>
      <c r="AE178" s="1016">
        <f t="shared" si="155"/>
        <v>0</v>
      </c>
      <c r="AF178" s="1017">
        <v>0</v>
      </c>
      <c r="AG178" s="1061"/>
      <c r="AH178" s="1062">
        <f t="shared" si="131"/>
        <v>0</v>
      </c>
      <c r="AI178" s="1063">
        <f t="shared" si="132"/>
        <v>1</v>
      </c>
      <c r="AJ178" s="1016">
        <f t="shared" si="156"/>
        <v>0</v>
      </c>
      <c r="AK178" s="1017">
        <v>0</v>
      </c>
      <c r="AL178" s="1061"/>
      <c r="AM178" s="1062">
        <f t="shared" si="133"/>
        <v>0</v>
      </c>
      <c r="AN178" s="1063">
        <f t="shared" si="134"/>
        <v>1</v>
      </c>
      <c r="AO178" s="1016">
        <f t="shared" si="157"/>
        <v>0</v>
      </c>
      <c r="AP178" s="1017">
        <v>0</v>
      </c>
      <c r="AQ178" s="1061"/>
      <c r="AR178" s="1062">
        <f t="shared" si="135"/>
        <v>0</v>
      </c>
      <c r="AS178" s="1063">
        <f t="shared" si="136"/>
        <v>1</v>
      </c>
      <c r="AT178" s="1016">
        <f t="shared" si="158"/>
        <v>0</v>
      </c>
      <c r="AU178" s="1017">
        <v>0</v>
      </c>
      <c r="AV178" s="1061"/>
      <c r="AW178" s="1062">
        <f t="shared" si="137"/>
        <v>0</v>
      </c>
      <c r="AX178" s="1063">
        <f t="shared" si="138"/>
        <v>1</v>
      </c>
      <c r="AY178" s="1016">
        <f t="shared" si="159"/>
        <v>0</v>
      </c>
      <c r="AZ178" s="1017">
        <v>0</v>
      </c>
      <c r="BA178" s="1061"/>
      <c r="BB178" s="1062">
        <f t="shared" si="139"/>
        <v>0</v>
      </c>
      <c r="BC178" s="1063">
        <f t="shared" si="140"/>
        <v>1</v>
      </c>
      <c r="BD178" s="1016">
        <f t="shared" si="160"/>
        <v>0</v>
      </c>
      <c r="BE178" s="1017">
        <v>0</v>
      </c>
      <c r="BF178" s="1061"/>
      <c r="BG178" s="1062">
        <f t="shared" si="141"/>
        <v>0</v>
      </c>
      <c r="BH178" s="1039">
        <f t="shared" si="142"/>
        <v>0</v>
      </c>
      <c r="BI178" s="1038">
        <f t="shared" si="143"/>
        <v>0</v>
      </c>
      <c r="BJ178" s="1027"/>
      <c r="BK178" s="1060"/>
      <c r="BL178" s="1040">
        <f t="shared" si="144"/>
        <v>0</v>
      </c>
      <c r="BM178" s="1038">
        <f t="shared" si="145"/>
        <v>0</v>
      </c>
      <c r="BN178" s="1027"/>
      <c r="BO178" s="1060"/>
      <c r="BP178" s="95">
        <f t="shared" si="146"/>
        <v>0</v>
      </c>
      <c r="BQ178" s="640">
        <f t="shared" si="147"/>
        <v>0</v>
      </c>
      <c r="BR178" s="756"/>
      <c r="BS178" s="757">
        <f t="shared" si="148"/>
        <v>0</v>
      </c>
      <c r="BU178" s="754">
        <f t="shared" si="149"/>
        <v>0</v>
      </c>
      <c r="BV178" s="758"/>
      <c r="BW178" s="763" t="s">
        <v>450</v>
      </c>
      <c r="BX178" s="756">
        <v>1987524.75</v>
      </c>
      <c r="CD178" s="758">
        <v>0.15</v>
      </c>
      <c r="CI178" s="764"/>
    </row>
    <row r="179" spans="1:87" ht="14.25" thickTop="1" thickBot="1">
      <c r="A179" s="57"/>
      <c r="B179" s="92">
        <v>49</v>
      </c>
      <c r="C179" s="255">
        <f t="shared" si="163"/>
        <v>0</v>
      </c>
      <c r="D179" s="93">
        <f t="shared" si="163"/>
        <v>0</v>
      </c>
      <c r="E179" s="93">
        <f t="shared" si="163"/>
        <v>0</v>
      </c>
      <c r="F179" s="93">
        <f t="shared" si="163"/>
        <v>0</v>
      </c>
      <c r="G179" s="93"/>
      <c r="H179" s="678">
        <f t="shared" si="150"/>
        <v>1</v>
      </c>
      <c r="I179" s="679">
        <f t="shared" si="162"/>
        <v>0</v>
      </c>
      <c r="J179" s="633">
        <f t="shared" si="151"/>
        <v>1</v>
      </c>
      <c r="K179" s="1016">
        <f t="shared" si="152"/>
        <v>0</v>
      </c>
      <c r="L179" s="1017">
        <v>0</v>
      </c>
      <c r="M179" s="1061"/>
      <c r="N179" s="1062">
        <f t="shared" si="122"/>
        <v>0</v>
      </c>
      <c r="O179" s="1063">
        <f t="shared" si="123"/>
        <v>1</v>
      </c>
      <c r="P179" s="1016">
        <f t="shared" si="124"/>
        <v>0</v>
      </c>
      <c r="Q179" s="1017">
        <v>0</v>
      </c>
      <c r="R179" s="1061"/>
      <c r="S179" s="1062">
        <f t="shared" si="125"/>
        <v>0</v>
      </c>
      <c r="T179" s="1063">
        <f t="shared" si="126"/>
        <v>1</v>
      </c>
      <c r="U179" s="1016">
        <f t="shared" si="153"/>
        <v>0</v>
      </c>
      <c r="V179" s="1017">
        <v>0</v>
      </c>
      <c r="W179" s="1061"/>
      <c r="X179" s="1062">
        <f t="shared" si="127"/>
        <v>0</v>
      </c>
      <c r="Y179" s="1063">
        <f t="shared" si="128"/>
        <v>1</v>
      </c>
      <c r="Z179" s="1016">
        <f t="shared" si="154"/>
        <v>0</v>
      </c>
      <c r="AA179" s="1017">
        <v>0</v>
      </c>
      <c r="AB179" s="1061"/>
      <c r="AC179" s="1062">
        <f t="shared" si="129"/>
        <v>0</v>
      </c>
      <c r="AD179" s="1063">
        <f t="shared" si="130"/>
        <v>1</v>
      </c>
      <c r="AE179" s="1016">
        <f t="shared" si="155"/>
        <v>0</v>
      </c>
      <c r="AF179" s="1017">
        <v>0</v>
      </c>
      <c r="AG179" s="1061"/>
      <c r="AH179" s="1062">
        <f t="shared" si="131"/>
        <v>0</v>
      </c>
      <c r="AI179" s="1063">
        <f t="shared" si="132"/>
        <v>1</v>
      </c>
      <c r="AJ179" s="1016">
        <f t="shared" si="156"/>
        <v>0</v>
      </c>
      <c r="AK179" s="1017">
        <v>0</v>
      </c>
      <c r="AL179" s="1061"/>
      <c r="AM179" s="1062">
        <f t="shared" si="133"/>
        <v>0</v>
      </c>
      <c r="AN179" s="1063">
        <f t="shared" si="134"/>
        <v>1</v>
      </c>
      <c r="AO179" s="1016">
        <f t="shared" si="157"/>
        <v>0</v>
      </c>
      <c r="AP179" s="1017">
        <v>0</v>
      </c>
      <c r="AQ179" s="1061"/>
      <c r="AR179" s="1062">
        <f t="shared" si="135"/>
        <v>0</v>
      </c>
      <c r="AS179" s="1063">
        <f t="shared" si="136"/>
        <v>1</v>
      </c>
      <c r="AT179" s="1016">
        <f t="shared" si="158"/>
        <v>0</v>
      </c>
      <c r="AU179" s="1017">
        <v>0</v>
      </c>
      <c r="AV179" s="1061"/>
      <c r="AW179" s="1062">
        <f t="shared" si="137"/>
        <v>0</v>
      </c>
      <c r="AX179" s="1063">
        <f t="shared" si="138"/>
        <v>1</v>
      </c>
      <c r="AY179" s="1016">
        <f t="shared" si="159"/>
        <v>0</v>
      </c>
      <c r="AZ179" s="1017">
        <v>0</v>
      </c>
      <c r="BA179" s="1061"/>
      <c r="BB179" s="1062">
        <f t="shared" si="139"/>
        <v>0</v>
      </c>
      <c r="BC179" s="1063">
        <f t="shared" si="140"/>
        <v>1</v>
      </c>
      <c r="BD179" s="1016">
        <f t="shared" si="160"/>
        <v>0</v>
      </c>
      <c r="BE179" s="1017">
        <v>0</v>
      </c>
      <c r="BF179" s="1061"/>
      <c r="BG179" s="1062">
        <f t="shared" si="141"/>
        <v>0</v>
      </c>
      <c r="BH179" s="1039">
        <f t="shared" si="142"/>
        <v>0</v>
      </c>
      <c r="BI179" s="1038">
        <f t="shared" si="143"/>
        <v>0</v>
      </c>
      <c r="BJ179" s="1027"/>
      <c r="BK179" s="1060"/>
      <c r="BL179" s="1040">
        <f t="shared" si="144"/>
        <v>0</v>
      </c>
      <c r="BM179" s="1038">
        <f t="shared" si="145"/>
        <v>0</v>
      </c>
      <c r="BN179" s="1027"/>
      <c r="BO179" s="1060"/>
      <c r="BP179" s="95">
        <f t="shared" si="146"/>
        <v>0</v>
      </c>
      <c r="BQ179" s="640">
        <f t="shared" si="147"/>
        <v>0</v>
      </c>
      <c r="BS179" s="94">
        <f t="shared" si="148"/>
        <v>0</v>
      </c>
      <c r="BU179" s="632">
        <f t="shared" si="149"/>
        <v>0</v>
      </c>
      <c r="BV179" s="398"/>
      <c r="BW179" s="405" t="s">
        <v>453</v>
      </c>
      <c r="BX179" s="323">
        <v>108354.09000000008</v>
      </c>
      <c r="CI179" s="96"/>
    </row>
    <row r="180" spans="1:87" ht="14.25" thickTop="1" thickBot="1">
      <c r="A180" s="57"/>
      <c r="B180" s="92">
        <v>50</v>
      </c>
      <c r="C180" s="255">
        <f t="shared" si="163"/>
        <v>0</v>
      </c>
      <c r="D180" s="93">
        <f t="shared" si="163"/>
        <v>0</v>
      </c>
      <c r="E180" s="93">
        <f t="shared" si="163"/>
        <v>0</v>
      </c>
      <c r="F180" s="93">
        <f t="shared" si="163"/>
        <v>0</v>
      </c>
      <c r="G180" s="93"/>
      <c r="H180" s="678">
        <f t="shared" si="150"/>
        <v>1</v>
      </c>
      <c r="I180" s="679">
        <f t="shared" si="162"/>
        <v>0</v>
      </c>
      <c r="J180" s="633">
        <f t="shared" si="151"/>
        <v>1</v>
      </c>
      <c r="K180" s="1016">
        <f t="shared" si="152"/>
        <v>0</v>
      </c>
      <c r="L180" s="1017">
        <v>0</v>
      </c>
      <c r="M180" s="1061"/>
      <c r="N180" s="1062">
        <f t="shared" si="122"/>
        <v>0</v>
      </c>
      <c r="O180" s="1063">
        <f t="shared" si="123"/>
        <v>1</v>
      </c>
      <c r="P180" s="1016">
        <f t="shared" si="124"/>
        <v>0</v>
      </c>
      <c r="Q180" s="1017">
        <v>0</v>
      </c>
      <c r="R180" s="1061"/>
      <c r="S180" s="1062">
        <f t="shared" si="125"/>
        <v>0</v>
      </c>
      <c r="T180" s="1063">
        <f t="shared" si="126"/>
        <v>1</v>
      </c>
      <c r="U180" s="1016">
        <f t="shared" si="153"/>
        <v>0</v>
      </c>
      <c r="V180" s="1017">
        <v>0</v>
      </c>
      <c r="W180" s="1061"/>
      <c r="X180" s="1062">
        <f t="shared" si="127"/>
        <v>0</v>
      </c>
      <c r="Y180" s="1063">
        <f t="shared" si="128"/>
        <v>1</v>
      </c>
      <c r="Z180" s="1016">
        <f t="shared" si="154"/>
        <v>0</v>
      </c>
      <c r="AA180" s="1017">
        <v>0</v>
      </c>
      <c r="AB180" s="1061"/>
      <c r="AC180" s="1062">
        <f t="shared" si="129"/>
        <v>0</v>
      </c>
      <c r="AD180" s="1063">
        <f t="shared" si="130"/>
        <v>1</v>
      </c>
      <c r="AE180" s="1016">
        <f t="shared" si="155"/>
        <v>0</v>
      </c>
      <c r="AF180" s="1017">
        <v>0</v>
      </c>
      <c r="AG180" s="1061"/>
      <c r="AH180" s="1062">
        <f t="shared" si="131"/>
        <v>0</v>
      </c>
      <c r="AI180" s="1063">
        <f t="shared" si="132"/>
        <v>1</v>
      </c>
      <c r="AJ180" s="1016">
        <f t="shared" si="156"/>
        <v>0</v>
      </c>
      <c r="AK180" s="1017">
        <v>0</v>
      </c>
      <c r="AL180" s="1061"/>
      <c r="AM180" s="1062">
        <f t="shared" si="133"/>
        <v>0</v>
      </c>
      <c r="AN180" s="1063">
        <f t="shared" si="134"/>
        <v>1</v>
      </c>
      <c r="AO180" s="1016">
        <f t="shared" si="157"/>
        <v>0</v>
      </c>
      <c r="AP180" s="1017">
        <v>0</v>
      </c>
      <c r="AQ180" s="1061"/>
      <c r="AR180" s="1062">
        <f t="shared" si="135"/>
        <v>0</v>
      </c>
      <c r="AS180" s="1063">
        <f t="shared" si="136"/>
        <v>1</v>
      </c>
      <c r="AT180" s="1016">
        <f t="shared" si="158"/>
        <v>0</v>
      </c>
      <c r="AU180" s="1017">
        <v>0</v>
      </c>
      <c r="AV180" s="1061"/>
      <c r="AW180" s="1062">
        <f t="shared" si="137"/>
        <v>0</v>
      </c>
      <c r="AX180" s="1063">
        <f t="shared" si="138"/>
        <v>1</v>
      </c>
      <c r="AY180" s="1016">
        <f t="shared" si="159"/>
        <v>0</v>
      </c>
      <c r="AZ180" s="1017">
        <v>0</v>
      </c>
      <c r="BA180" s="1061"/>
      <c r="BB180" s="1062">
        <f t="shared" si="139"/>
        <v>0</v>
      </c>
      <c r="BC180" s="1063">
        <f t="shared" si="140"/>
        <v>1</v>
      </c>
      <c r="BD180" s="1016">
        <f t="shared" si="160"/>
        <v>0</v>
      </c>
      <c r="BE180" s="1017">
        <v>0</v>
      </c>
      <c r="BF180" s="1061"/>
      <c r="BG180" s="1062">
        <f t="shared" si="141"/>
        <v>0</v>
      </c>
      <c r="BH180" s="1039">
        <f t="shared" si="142"/>
        <v>0</v>
      </c>
      <c r="BI180" s="1038">
        <f t="shared" si="143"/>
        <v>0</v>
      </c>
      <c r="BJ180" s="1027"/>
      <c r="BK180" s="1060"/>
      <c r="BL180" s="1040">
        <f t="shared" si="144"/>
        <v>0</v>
      </c>
      <c r="BM180" s="1038">
        <f t="shared" si="145"/>
        <v>0</v>
      </c>
      <c r="BN180" s="1027"/>
      <c r="BO180" s="1060"/>
      <c r="BP180" s="95">
        <f t="shared" si="146"/>
        <v>0</v>
      </c>
      <c r="BQ180" s="640">
        <f t="shared" si="147"/>
        <v>0</v>
      </c>
      <c r="BS180" s="94">
        <f t="shared" si="148"/>
        <v>0</v>
      </c>
      <c r="BU180" s="632">
        <f t="shared" si="149"/>
        <v>0</v>
      </c>
      <c r="BV180" s="398"/>
      <c r="BW180" s="405" t="s">
        <v>453</v>
      </c>
      <c r="BX180" s="323">
        <v>152888.75</v>
      </c>
      <c r="CD180" s="398">
        <v>0.05</v>
      </c>
      <c r="CI180" s="96"/>
    </row>
    <row r="181" spans="1:87" ht="14.25" thickTop="1" thickBot="1">
      <c r="A181" s="57"/>
      <c r="B181" s="92">
        <v>51</v>
      </c>
      <c r="C181" s="255">
        <f t="shared" si="163"/>
        <v>0</v>
      </c>
      <c r="D181" s="93">
        <f t="shared" si="163"/>
        <v>0</v>
      </c>
      <c r="E181" s="93">
        <f t="shared" si="163"/>
        <v>0</v>
      </c>
      <c r="F181" s="93">
        <f t="shared" si="163"/>
        <v>0</v>
      </c>
      <c r="G181" s="93"/>
      <c r="H181" s="678">
        <f t="shared" si="150"/>
        <v>1</v>
      </c>
      <c r="I181" s="679">
        <f t="shared" si="162"/>
        <v>0</v>
      </c>
      <c r="J181" s="633">
        <f t="shared" si="151"/>
        <v>1</v>
      </c>
      <c r="K181" s="1016">
        <f t="shared" si="152"/>
        <v>0</v>
      </c>
      <c r="L181" s="1017">
        <v>0</v>
      </c>
      <c r="M181" s="1061"/>
      <c r="N181" s="1062">
        <f t="shared" si="122"/>
        <v>0</v>
      </c>
      <c r="O181" s="1063">
        <f t="shared" si="123"/>
        <v>1</v>
      </c>
      <c r="P181" s="1016">
        <f t="shared" si="124"/>
        <v>0</v>
      </c>
      <c r="Q181" s="1017">
        <v>0</v>
      </c>
      <c r="R181" s="1061"/>
      <c r="S181" s="1062">
        <f t="shared" si="125"/>
        <v>0</v>
      </c>
      <c r="T181" s="1063">
        <f t="shared" si="126"/>
        <v>1</v>
      </c>
      <c r="U181" s="1016">
        <f t="shared" si="153"/>
        <v>0</v>
      </c>
      <c r="V181" s="1017">
        <v>0</v>
      </c>
      <c r="W181" s="1061"/>
      <c r="X181" s="1062">
        <f t="shared" si="127"/>
        <v>0</v>
      </c>
      <c r="Y181" s="1063">
        <f t="shared" si="128"/>
        <v>1</v>
      </c>
      <c r="Z181" s="1016">
        <f t="shared" si="154"/>
        <v>0</v>
      </c>
      <c r="AA181" s="1017">
        <v>0</v>
      </c>
      <c r="AB181" s="1061"/>
      <c r="AC181" s="1062">
        <f t="shared" si="129"/>
        <v>0</v>
      </c>
      <c r="AD181" s="1063">
        <f t="shared" si="130"/>
        <v>1</v>
      </c>
      <c r="AE181" s="1016">
        <f t="shared" si="155"/>
        <v>0</v>
      </c>
      <c r="AF181" s="1017">
        <v>0</v>
      </c>
      <c r="AG181" s="1061"/>
      <c r="AH181" s="1062">
        <f t="shared" si="131"/>
        <v>0</v>
      </c>
      <c r="AI181" s="1063">
        <f t="shared" si="132"/>
        <v>1</v>
      </c>
      <c r="AJ181" s="1016">
        <f t="shared" si="156"/>
        <v>0</v>
      </c>
      <c r="AK181" s="1017">
        <v>0</v>
      </c>
      <c r="AL181" s="1061"/>
      <c r="AM181" s="1062">
        <f t="shared" si="133"/>
        <v>0</v>
      </c>
      <c r="AN181" s="1063">
        <f t="shared" si="134"/>
        <v>1</v>
      </c>
      <c r="AO181" s="1016">
        <f t="shared" si="157"/>
        <v>0</v>
      </c>
      <c r="AP181" s="1017">
        <v>0</v>
      </c>
      <c r="AQ181" s="1061"/>
      <c r="AR181" s="1062">
        <f t="shared" si="135"/>
        <v>0</v>
      </c>
      <c r="AS181" s="1063">
        <f t="shared" si="136"/>
        <v>1</v>
      </c>
      <c r="AT181" s="1016">
        <f t="shared" si="158"/>
        <v>0</v>
      </c>
      <c r="AU181" s="1017">
        <v>0</v>
      </c>
      <c r="AV181" s="1061"/>
      <c r="AW181" s="1062">
        <f t="shared" si="137"/>
        <v>0</v>
      </c>
      <c r="AX181" s="1063">
        <f t="shared" si="138"/>
        <v>1</v>
      </c>
      <c r="AY181" s="1016">
        <f t="shared" si="159"/>
        <v>0</v>
      </c>
      <c r="AZ181" s="1017">
        <v>0</v>
      </c>
      <c r="BA181" s="1061"/>
      <c r="BB181" s="1062">
        <f t="shared" si="139"/>
        <v>0</v>
      </c>
      <c r="BC181" s="1063">
        <f t="shared" si="140"/>
        <v>1</v>
      </c>
      <c r="BD181" s="1016">
        <f t="shared" si="160"/>
        <v>0</v>
      </c>
      <c r="BE181" s="1017">
        <v>0</v>
      </c>
      <c r="BF181" s="1061"/>
      <c r="BG181" s="1062">
        <f t="shared" si="141"/>
        <v>0</v>
      </c>
      <c r="BH181" s="1039">
        <f t="shared" si="142"/>
        <v>0</v>
      </c>
      <c r="BI181" s="1038">
        <f t="shared" si="143"/>
        <v>0</v>
      </c>
      <c r="BJ181" s="1027"/>
      <c r="BK181" s="1060"/>
      <c r="BL181" s="1040">
        <f t="shared" si="144"/>
        <v>0</v>
      </c>
      <c r="BM181" s="1038">
        <f t="shared" si="145"/>
        <v>0</v>
      </c>
      <c r="BN181" s="1027"/>
      <c r="BO181" s="1060"/>
      <c r="BP181" s="95">
        <f t="shared" si="146"/>
        <v>0</v>
      </c>
      <c r="BQ181" s="640">
        <f t="shared" si="147"/>
        <v>0</v>
      </c>
      <c r="BS181" s="94">
        <f t="shared" si="148"/>
        <v>0</v>
      </c>
      <c r="BU181" s="632">
        <f t="shared" si="149"/>
        <v>0</v>
      </c>
      <c r="BV181" s="398"/>
      <c r="BW181" s="405" t="s">
        <v>450</v>
      </c>
      <c r="BX181" s="323">
        <v>0</v>
      </c>
      <c r="CD181" s="398">
        <v>0.05</v>
      </c>
      <c r="CI181" s="96"/>
    </row>
    <row r="182" spans="1:87" ht="14.25" thickTop="1" thickBot="1">
      <c r="A182" s="57"/>
      <c r="B182" s="92">
        <v>52</v>
      </c>
      <c r="C182" s="255">
        <f t="shared" si="163"/>
        <v>0</v>
      </c>
      <c r="D182" s="93">
        <f t="shared" si="163"/>
        <v>0</v>
      </c>
      <c r="E182" s="93">
        <f t="shared" si="163"/>
        <v>0</v>
      </c>
      <c r="F182" s="93">
        <f t="shared" si="163"/>
        <v>0</v>
      </c>
      <c r="G182" s="93"/>
      <c r="H182" s="678">
        <f t="shared" si="150"/>
        <v>1</v>
      </c>
      <c r="I182" s="679">
        <f t="shared" si="162"/>
        <v>0</v>
      </c>
      <c r="J182" s="633">
        <f t="shared" si="151"/>
        <v>1</v>
      </c>
      <c r="K182" s="1016">
        <f t="shared" si="152"/>
        <v>0</v>
      </c>
      <c r="L182" s="1017">
        <v>0</v>
      </c>
      <c r="M182" s="1061"/>
      <c r="N182" s="1062">
        <f t="shared" si="122"/>
        <v>0</v>
      </c>
      <c r="O182" s="1063">
        <f t="shared" si="123"/>
        <v>1</v>
      </c>
      <c r="P182" s="1016">
        <f t="shared" si="124"/>
        <v>0</v>
      </c>
      <c r="Q182" s="1017">
        <v>0</v>
      </c>
      <c r="R182" s="1061"/>
      <c r="S182" s="1062">
        <f t="shared" si="125"/>
        <v>0</v>
      </c>
      <c r="T182" s="1063">
        <f t="shared" si="126"/>
        <v>1</v>
      </c>
      <c r="U182" s="1016">
        <f t="shared" si="153"/>
        <v>0</v>
      </c>
      <c r="V182" s="1017">
        <v>0</v>
      </c>
      <c r="W182" s="1061"/>
      <c r="X182" s="1062">
        <f t="shared" si="127"/>
        <v>0</v>
      </c>
      <c r="Y182" s="1063">
        <f t="shared" si="128"/>
        <v>1</v>
      </c>
      <c r="Z182" s="1016">
        <f t="shared" si="154"/>
        <v>0</v>
      </c>
      <c r="AA182" s="1017">
        <v>0</v>
      </c>
      <c r="AB182" s="1061"/>
      <c r="AC182" s="1062">
        <f t="shared" si="129"/>
        <v>0</v>
      </c>
      <c r="AD182" s="1063">
        <f t="shared" si="130"/>
        <v>1</v>
      </c>
      <c r="AE182" s="1016">
        <f t="shared" si="155"/>
        <v>0</v>
      </c>
      <c r="AF182" s="1017">
        <v>0</v>
      </c>
      <c r="AG182" s="1061"/>
      <c r="AH182" s="1062">
        <f t="shared" si="131"/>
        <v>0</v>
      </c>
      <c r="AI182" s="1063">
        <f t="shared" si="132"/>
        <v>1</v>
      </c>
      <c r="AJ182" s="1016">
        <f t="shared" si="156"/>
        <v>0</v>
      </c>
      <c r="AK182" s="1017">
        <v>0</v>
      </c>
      <c r="AL182" s="1061"/>
      <c r="AM182" s="1062">
        <f t="shared" si="133"/>
        <v>0</v>
      </c>
      <c r="AN182" s="1063">
        <f t="shared" si="134"/>
        <v>1</v>
      </c>
      <c r="AO182" s="1016">
        <f t="shared" si="157"/>
        <v>0</v>
      </c>
      <c r="AP182" s="1017">
        <v>0</v>
      </c>
      <c r="AQ182" s="1061"/>
      <c r="AR182" s="1062">
        <f t="shared" si="135"/>
        <v>0</v>
      </c>
      <c r="AS182" s="1063">
        <f t="shared" si="136"/>
        <v>1</v>
      </c>
      <c r="AT182" s="1016">
        <f t="shared" si="158"/>
        <v>0</v>
      </c>
      <c r="AU182" s="1017">
        <v>0</v>
      </c>
      <c r="AV182" s="1061"/>
      <c r="AW182" s="1062">
        <f t="shared" si="137"/>
        <v>0</v>
      </c>
      <c r="AX182" s="1063">
        <f t="shared" si="138"/>
        <v>1</v>
      </c>
      <c r="AY182" s="1016">
        <f t="shared" si="159"/>
        <v>0</v>
      </c>
      <c r="AZ182" s="1017">
        <v>0</v>
      </c>
      <c r="BA182" s="1061"/>
      <c r="BB182" s="1062">
        <f t="shared" si="139"/>
        <v>0</v>
      </c>
      <c r="BC182" s="1063">
        <f t="shared" si="140"/>
        <v>1</v>
      </c>
      <c r="BD182" s="1016">
        <f t="shared" si="160"/>
        <v>0</v>
      </c>
      <c r="BE182" s="1017">
        <v>0</v>
      </c>
      <c r="BF182" s="1061"/>
      <c r="BG182" s="1062">
        <f t="shared" si="141"/>
        <v>0</v>
      </c>
      <c r="BH182" s="1039">
        <f t="shared" si="142"/>
        <v>0</v>
      </c>
      <c r="BI182" s="1038">
        <f t="shared" si="143"/>
        <v>0</v>
      </c>
      <c r="BJ182" s="1027"/>
      <c r="BK182" s="1060"/>
      <c r="BL182" s="1040">
        <f t="shared" si="144"/>
        <v>0</v>
      </c>
      <c r="BM182" s="1038">
        <f t="shared" si="145"/>
        <v>0</v>
      </c>
      <c r="BN182" s="1027"/>
      <c r="BO182" s="1060"/>
      <c r="BP182" s="95">
        <f t="shared" si="146"/>
        <v>0</v>
      </c>
      <c r="BQ182" s="640">
        <f t="shared" si="147"/>
        <v>0</v>
      </c>
      <c r="BS182" s="94">
        <f t="shared" si="148"/>
        <v>0</v>
      </c>
      <c r="BU182" s="632">
        <f t="shared" si="149"/>
        <v>0</v>
      </c>
      <c r="BV182" s="398"/>
      <c r="BW182" s="405" t="s">
        <v>450</v>
      </c>
      <c r="BX182" s="323">
        <v>109820.38</v>
      </c>
      <c r="CD182" s="398">
        <v>0.1</v>
      </c>
      <c r="CI182" s="96"/>
    </row>
    <row r="183" spans="1:87" ht="14.25" thickTop="1" thickBot="1">
      <c r="A183" s="57"/>
      <c r="B183" s="92">
        <v>53</v>
      </c>
      <c r="C183" s="255">
        <f t="shared" si="163"/>
        <v>0</v>
      </c>
      <c r="D183" s="93">
        <f t="shared" si="163"/>
        <v>0</v>
      </c>
      <c r="E183" s="93">
        <f t="shared" si="163"/>
        <v>0</v>
      </c>
      <c r="F183" s="93">
        <f t="shared" si="163"/>
        <v>0</v>
      </c>
      <c r="G183" s="93"/>
      <c r="H183" s="678">
        <f t="shared" si="150"/>
        <v>1</v>
      </c>
      <c r="I183" s="679">
        <f t="shared" si="162"/>
        <v>0</v>
      </c>
      <c r="J183" s="633">
        <f t="shared" si="151"/>
        <v>1</v>
      </c>
      <c r="K183" s="1016">
        <f t="shared" si="152"/>
        <v>0</v>
      </c>
      <c r="L183" s="1017">
        <v>0</v>
      </c>
      <c r="M183" s="1061"/>
      <c r="N183" s="1062">
        <f t="shared" si="122"/>
        <v>0</v>
      </c>
      <c r="O183" s="1063">
        <f t="shared" si="123"/>
        <v>1</v>
      </c>
      <c r="P183" s="1016">
        <f t="shared" si="124"/>
        <v>0</v>
      </c>
      <c r="Q183" s="1017">
        <v>0</v>
      </c>
      <c r="R183" s="1061"/>
      <c r="S183" s="1062">
        <f t="shared" si="125"/>
        <v>0</v>
      </c>
      <c r="T183" s="1063">
        <f t="shared" si="126"/>
        <v>1</v>
      </c>
      <c r="U183" s="1016">
        <f t="shared" si="153"/>
        <v>0</v>
      </c>
      <c r="V183" s="1017">
        <v>0</v>
      </c>
      <c r="W183" s="1061"/>
      <c r="X183" s="1062">
        <f t="shared" si="127"/>
        <v>0</v>
      </c>
      <c r="Y183" s="1063">
        <f t="shared" si="128"/>
        <v>1</v>
      </c>
      <c r="Z183" s="1016">
        <f t="shared" si="154"/>
        <v>0</v>
      </c>
      <c r="AA183" s="1017">
        <v>0</v>
      </c>
      <c r="AB183" s="1061"/>
      <c r="AC183" s="1062">
        <f t="shared" si="129"/>
        <v>0</v>
      </c>
      <c r="AD183" s="1063">
        <f t="shared" si="130"/>
        <v>1</v>
      </c>
      <c r="AE183" s="1016">
        <f t="shared" si="155"/>
        <v>0</v>
      </c>
      <c r="AF183" s="1017">
        <v>0</v>
      </c>
      <c r="AG183" s="1061"/>
      <c r="AH183" s="1062">
        <f t="shared" si="131"/>
        <v>0</v>
      </c>
      <c r="AI183" s="1063">
        <f t="shared" si="132"/>
        <v>1</v>
      </c>
      <c r="AJ183" s="1016">
        <f t="shared" si="156"/>
        <v>0</v>
      </c>
      <c r="AK183" s="1017">
        <v>0</v>
      </c>
      <c r="AL183" s="1061"/>
      <c r="AM183" s="1062">
        <f t="shared" si="133"/>
        <v>0</v>
      </c>
      <c r="AN183" s="1063">
        <f t="shared" si="134"/>
        <v>1</v>
      </c>
      <c r="AO183" s="1016">
        <f t="shared" si="157"/>
        <v>0</v>
      </c>
      <c r="AP183" s="1017">
        <v>0</v>
      </c>
      <c r="AQ183" s="1061"/>
      <c r="AR183" s="1062">
        <f t="shared" si="135"/>
        <v>0</v>
      </c>
      <c r="AS183" s="1063">
        <f t="shared" si="136"/>
        <v>1</v>
      </c>
      <c r="AT183" s="1016">
        <f t="shared" si="158"/>
        <v>0</v>
      </c>
      <c r="AU183" s="1017">
        <v>0</v>
      </c>
      <c r="AV183" s="1061"/>
      <c r="AW183" s="1062">
        <f t="shared" si="137"/>
        <v>0</v>
      </c>
      <c r="AX183" s="1063">
        <f t="shared" si="138"/>
        <v>1</v>
      </c>
      <c r="AY183" s="1016">
        <f t="shared" si="159"/>
        <v>0</v>
      </c>
      <c r="AZ183" s="1017">
        <v>0</v>
      </c>
      <c r="BA183" s="1061"/>
      <c r="BB183" s="1062">
        <f t="shared" si="139"/>
        <v>0</v>
      </c>
      <c r="BC183" s="1063">
        <f t="shared" si="140"/>
        <v>1</v>
      </c>
      <c r="BD183" s="1016">
        <f t="shared" si="160"/>
        <v>0</v>
      </c>
      <c r="BE183" s="1017">
        <v>0</v>
      </c>
      <c r="BF183" s="1061"/>
      <c r="BG183" s="1062">
        <f t="shared" si="141"/>
        <v>0</v>
      </c>
      <c r="BH183" s="1039">
        <f t="shared" si="142"/>
        <v>0</v>
      </c>
      <c r="BI183" s="1038">
        <f t="shared" si="143"/>
        <v>0</v>
      </c>
      <c r="BJ183" s="1027"/>
      <c r="BK183" s="1060"/>
      <c r="BL183" s="1040">
        <f t="shared" si="144"/>
        <v>0</v>
      </c>
      <c r="BM183" s="1038">
        <f t="shared" si="145"/>
        <v>0</v>
      </c>
      <c r="BN183" s="1027"/>
      <c r="BO183" s="1060"/>
      <c r="BP183" s="95">
        <f t="shared" si="146"/>
        <v>0</v>
      </c>
      <c r="BQ183" s="640">
        <f t="shared" si="147"/>
        <v>0</v>
      </c>
      <c r="BS183" s="94">
        <f t="shared" si="148"/>
        <v>0</v>
      </c>
      <c r="BU183" s="632">
        <f t="shared" si="149"/>
        <v>0</v>
      </c>
      <c r="BV183" s="398"/>
      <c r="BW183" s="405" t="s">
        <v>453</v>
      </c>
      <c r="BX183" s="323">
        <v>317683.5</v>
      </c>
      <c r="CD183" s="398">
        <v>0.05</v>
      </c>
      <c r="CI183" s="96"/>
    </row>
    <row r="184" spans="1:87" ht="14.25" thickTop="1" thickBot="1">
      <c r="A184" s="57"/>
      <c r="B184" s="92">
        <v>54</v>
      </c>
      <c r="C184" s="255">
        <f t="shared" si="163"/>
        <v>0</v>
      </c>
      <c r="D184" s="93">
        <f t="shared" si="163"/>
        <v>0</v>
      </c>
      <c r="E184" s="93">
        <f t="shared" si="163"/>
        <v>0</v>
      </c>
      <c r="F184" s="93">
        <f t="shared" si="163"/>
        <v>0</v>
      </c>
      <c r="G184" s="93"/>
      <c r="H184" s="678">
        <f t="shared" si="150"/>
        <v>1</v>
      </c>
      <c r="I184" s="679">
        <f t="shared" si="162"/>
        <v>0</v>
      </c>
      <c r="J184" s="633">
        <f t="shared" si="151"/>
        <v>1</v>
      </c>
      <c r="K184" s="1016">
        <f t="shared" si="152"/>
        <v>0</v>
      </c>
      <c r="L184" s="1017">
        <v>0</v>
      </c>
      <c r="M184" s="1061"/>
      <c r="N184" s="1062">
        <f t="shared" si="122"/>
        <v>0</v>
      </c>
      <c r="O184" s="1063">
        <f t="shared" si="123"/>
        <v>1</v>
      </c>
      <c r="P184" s="1016">
        <f t="shared" si="124"/>
        <v>0</v>
      </c>
      <c r="Q184" s="1017">
        <v>0</v>
      </c>
      <c r="R184" s="1061"/>
      <c r="S184" s="1062">
        <f t="shared" si="125"/>
        <v>0</v>
      </c>
      <c r="T184" s="1063">
        <f t="shared" si="126"/>
        <v>1</v>
      </c>
      <c r="U184" s="1016">
        <f t="shared" si="153"/>
        <v>0</v>
      </c>
      <c r="V184" s="1017">
        <v>0</v>
      </c>
      <c r="W184" s="1061"/>
      <c r="X184" s="1062">
        <f t="shared" si="127"/>
        <v>0</v>
      </c>
      <c r="Y184" s="1063">
        <f t="shared" si="128"/>
        <v>1</v>
      </c>
      <c r="Z184" s="1016">
        <f t="shared" si="154"/>
        <v>0</v>
      </c>
      <c r="AA184" s="1017">
        <v>0</v>
      </c>
      <c r="AB184" s="1061"/>
      <c r="AC184" s="1062">
        <f t="shared" si="129"/>
        <v>0</v>
      </c>
      <c r="AD184" s="1063">
        <f t="shared" si="130"/>
        <v>1</v>
      </c>
      <c r="AE184" s="1016">
        <f t="shared" si="155"/>
        <v>0</v>
      </c>
      <c r="AF184" s="1017">
        <v>0</v>
      </c>
      <c r="AG184" s="1061"/>
      <c r="AH184" s="1062">
        <f t="shared" si="131"/>
        <v>0</v>
      </c>
      <c r="AI184" s="1063">
        <f t="shared" si="132"/>
        <v>1</v>
      </c>
      <c r="AJ184" s="1016">
        <f t="shared" si="156"/>
        <v>0</v>
      </c>
      <c r="AK184" s="1017">
        <v>0</v>
      </c>
      <c r="AL184" s="1061"/>
      <c r="AM184" s="1062">
        <f t="shared" si="133"/>
        <v>0</v>
      </c>
      <c r="AN184" s="1063">
        <f t="shared" si="134"/>
        <v>1</v>
      </c>
      <c r="AO184" s="1016">
        <f t="shared" si="157"/>
        <v>0</v>
      </c>
      <c r="AP184" s="1017">
        <v>0</v>
      </c>
      <c r="AQ184" s="1061"/>
      <c r="AR184" s="1062">
        <f t="shared" si="135"/>
        <v>0</v>
      </c>
      <c r="AS184" s="1063">
        <f t="shared" si="136"/>
        <v>1</v>
      </c>
      <c r="AT184" s="1016">
        <f t="shared" si="158"/>
        <v>0</v>
      </c>
      <c r="AU184" s="1017">
        <v>0</v>
      </c>
      <c r="AV184" s="1061"/>
      <c r="AW184" s="1062">
        <f t="shared" si="137"/>
        <v>0</v>
      </c>
      <c r="AX184" s="1063">
        <f t="shared" si="138"/>
        <v>1</v>
      </c>
      <c r="AY184" s="1016">
        <f t="shared" si="159"/>
        <v>0</v>
      </c>
      <c r="AZ184" s="1017">
        <v>0</v>
      </c>
      <c r="BA184" s="1061"/>
      <c r="BB184" s="1062">
        <f t="shared" si="139"/>
        <v>0</v>
      </c>
      <c r="BC184" s="1063">
        <f t="shared" si="140"/>
        <v>1</v>
      </c>
      <c r="BD184" s="1016">
        <f t="shared" si="160"/>
        <v>0</v>
      </c>
      <c r="BE184" s="1017">
        <v>0</v>
      </c>
      <c r="BF184" s="1061"/>
      <c r="BG184" s="1062">
        <f t="shared" si="141"/>
        <v>0</v>
      </c>
      <c r="BH184" s="1039">
        <f t="shared" si="142"/>
        <v>0</v>
      </c>
      <c r="BI184" s="1038">
        <f t="shared" si="143"/>
        <v>0</v>
      </c>
      <c r="BJ184" s="1027"/>
      <c r="BK184" s="1060"/>
      <c r="BL184" s="1040">
        <f t="shared" si="144"/>
        <v>0</v>
      </c>
      <c r="BM184" s="1038">
        <f t="shared" si="145"/>
        <v>0</v>
      </c>
      <c r="BN184" s="1027"/>
      <c r="BO184" s="1060"/>
      <c r="BP184" s="95">
        <f t="shared" si="146"/>
        <v>0</v>
      </c>
      <c r="BQ184" s="640">
        <f t="shared" si="147"/>
        <v>0</v>
      </c>
      <c r="BS184" s="94">
        <f t="shared" si="148"/>
        <v>0</v>
      </c>
      <c r="BU184" s="632">
        <f t="shared" si="149"/>
        <v>0</v>
      </c>
      <c r="BV184" s="398"/>
      <c r="BW184" s="405" t="s">
        <v>453</v>
      </c>
      <c r="BX184" s="323">
        <v>157465.75</v>
      </c>
      <c r="CI184" s="96"/>
    </row>
    <row r="185" spans="1:87" s="166" customFormat="1" ht="14.25" thickTop="1" thickBot="1">
      <c r="A185" s="56"/>
      <c r="B185" s="324">
        <v>55</v>
      </c>
      <c r="C185" s="255">
        <f t="shared" si="163"/>
        <v>0</v>
      </c>
      <c r="D185" s="93">
        <f t="shared" si="163"/>
        <v>0</v>
      </c>
      <c r="E185" s="93">
        <f t="shared" si="163"/>
        <v>0</v>
      </c>
      <c r="F185" s="93">
        <f t="shared" si="163"/>
        <v>0</v>
      </c>
      <c r="G185" s="93"/>
      <c r="H185" s="678">
        <f t="shared" si="150"/>
        <v>1</v>
      </c>
      <c r="I185" s="679">
        <f t="shared" si="162"/>
        <v>0</v>
      </c>
      <c r="J185" s="633">
        <f t="shared" si="151"/>
        <v>1</v>
      </c>
      <c r="K185" s="1016">
        <f t="shared" si="152"/>
        <v>0</v>
      </c>
      <c r="L185" s="1017">
        <v>0</v>
      </c>
      <c r="M185" s="1061"/>
      <c r="N185" s="1062">
        <f t="shared" si="122"/>
        <v>0</v>
      </c>
      <c r="O185" s="1063">
        <f t="shared" si="123"/>
        <v>1</v>
      </c>
      <c r="P185" s="1016">
        <f t="shared" si="124"/>
        <v>0</v>
      </c>
      <c r="Q185" s="1017">
        <v>0</v>
      </c>
      <c r="R185" s="1061"/>
      <c r="S185" s="1062">
        <f t="shared" si="125"/>
        <v>0</v>
      </c>
      <c r="T185" s="1063">
        <f t="shared" si="126"/>
        <v>1</v>
      </c>
      <c r="U185" s="1016">
        <f t="shared" si="153"/>
        <v>0</v>
      </c>
      <c r="V185" s="1017">
        <v>0</v>
      </c>
      <c r="W185" s="1061"/>
      <c r="X185" s="1062">
        <f t="shared" si="127"/>
        <v>0</v>
      </c>
      <c r="Y185" s="1063">
        <f t="shared" si="128"/>
        <v>1</v>
      </c>
      <c r="Z185" s="1016">
        <f t="shared" si="154"/>
        <v>0</v>
      </c>
      <c r="AA185" s="1017">
        <v>0</v>
      </c>
      <c r="AB185" s="1061"/>
      <c r="AC185" s="1062">
        <f t="shared" si="129"/>
        <v>0</v>
      </c>
      <c r="AD185" s="1063">
        <f t="shared" si="130"/>
        <v>1</v>
      </c>
      <c r="AE185" s="1016">
        <f t="shared" si="155"/>
        <v>0</v>
      </c>
      <c r="AF185" s="1017">
        <v>0</v>
      </c>
      <c r="AG185" s="1061"/>
      <c r="AH185" s="1062">
        <f t="shared" si="131"/>
        <v>0</v>
      </c>
      <c r="AI185" s="1063">
        <f t="shared" si="132"/>
        <v>1</v>
      </c>
      <c r="AJ185" s="1016">
        <f t="shared" si="156"/>
        <v>0</v>
      </c>
      <c r="AK185" s="1017">
        <v>0</v>
      </c>
      <c r="AL185" s="1061"/>
      <c r="AM185" s="1062">
        <f t="shared" si="133"/>
        <v>0</v>
      </c>
      <c r="AN185" s="1063">
        <f t="shared" si="134"/>
        <v>1</v>
      </c>
      <c r="AO185" s="1016">
        <f t="shared" si="157"/>
        <v>0</v>
      </c>
      <c r="AP185" s="1017">
        <v>0</v>
      </c>
      <c r="AQ185" s="1061"/>
      <c r="AR185" s="1062">
        <f t="shared" si="135"/>
        <v>0</v>
      </c>
      <c r="AS185" s="1063">
        <f t="shared" si="136"/>
        <v>1</v>
      </c>
      <c r="AT185" s="1016">
        <f t="shared" si="158"/>
        <v>0</v>
      </c>
      <c r="AU185" s="1017">
        <v>0</v>
      </c>
      <c r="AV185" s="1061"/>
      <c r="AW185" s="1062">
        <f t="shared" si="137"/>
        <v>0</v>
      </c>
      <c r="AX185" s="1063">
        <f t="shared" si="138"/>
        <v>1</v>
      </c>
      <c r="AY185" s="1016">
        <f t="shared" si="159"/>
        <v>0</v>
      </c>
      <c r="AZ185" s="1017">
        <v>0</v>
      </c>
      <c r="BA185" s="1061"/>
      <c r="BB185" s="1062">
        <f t="shared" si="139"/>
        <v>0</v>
      </c>
      <c r="BC185" s="1063">
        <f t="shared" si="140"/>
        <v>1</v>
      </c>
      <c r="BD185" s="1016">
        <f t="shared" si="160"/>
        <v>0</v>
      </c>
      <c r="BE185" s="1017">
        <v>0</v>
      </c>
      <c r="BF185" s="1061"/>
      <c r="BG185" s="1062">
        <f t="shared" si="141"/>
        <v>0</v>
      </c>
      <c r="BH185" s="1039">
        <f t="shared" si="142"/>
        <v>0</v>
      </c>
      <c r="BI185" s="1038">
        <f t="shared" si="143"/>
        <v>0</v>
      </c>
      <c r="BJ185" s="1027"/>
      <c r="BK185" s="1060"/>
      <c r="BL185" s="1040">
        <f t="shared" si="144"/>
        <v>0</v>
      </c>
      <c r="BM185" s="1038">
        <f t="shared" si="145"/>
        <v>0</v>
      </c>
      <c r="BN185" s="1027"/>
      <c r="BO185" s="1060"/>
      <c r="BP185" s="95">
        <f t="shared" si="146"/>
        <v>0</v>
      </c>
      <c r="BQ185" s="640">
        <f t="shared" si="147"/>
        <v>0</v>
      </c>
      <c r="BR185" s="323"/>
      <c r="BS185" s="94">
        <f t="shared" si="148"/>
        <v>0</v>
      </c>
      <c r="BU185" s="632">
        <f t="shared" si="149"/>
        <v>0</v>
      </c>
      <c r="BV185" s="398"/>
      <c r="BW185" s="405" t="s">
        <v>450</v>
      </c>
      <c r="BX185" s="323">
        <v>98178</v>
      </c>
      <c r="CD185" s="694"/>
      <c r="CI185" s="320"/>
    </row>
    <row r="186" spans="1:87" s="696" customFormat="1" ht="14.25" thickTop="1" thickBot="1">
      <c r="B186" s="324">
        <v>56</v>
      </c>
      <c r="C186" s="255">
        <f t="shared" si="163"/>
        <v>0</v>
      </c>
      <c r="D186" s="93">
        <f t="shared" si="163"/>
        <v>0</v>
      </c>
      <c r="E186" s="93">
        <f t="shared" si="163"/>
        <v>0</v>
      </c>
      <c r="F186" s="93">
        <f t="shared" si="163"/>
        <v>0</v>
      </c>
      <c r="G186" s="93"/>
      <c r="H186" s="678">
        <f t="shared" si="150"/>
        <v>1</v>
      </c>
      <c r="I186" s="679">
        <f t="shared" si="162"/>
        <v>0</v>
      </c>
      <c r="J186" s="633">
        <f t="shared" si="151"/>
        <v>1</v>
      </c>
      <c r="K186" s="1016">
        <f t="shared" si="152"/>
        <v>0</v>
      </c>
      <c r="L186" s="1017">
        <v>0</v>
      </c>
      <c r="M186" s="1061"/>
      <c r="N186" s="1062">
        <f t="shared" si="122"/>
        <v>0</v>
      </c>
      <c r="O186" s="1063">
        <f t="shared" si="123"/>
        <v>1</v>
      </c>
      <c r="P186" s="1016">
        <f t="shared" si="124"/>
        <v>0</v>
      </c>
      <c r="Q186" s="1017">
        <v>0</v>
      </c>
      <c r="R186" s="1061"/>
      <c r="S186" s="1062">
        <f t="shared" si="125"/>
        <v>0</v>
      </c>
      <c r="T186" s="1063">
        <f t="shared" si="126"/>
        <v>1</v>
      </c>
      <c r="U186" s="1016">
        <f t="shared" si="153"/>
        <v>0</v>
      </c>
      <c r="V186" s="1017">
        <v>0</v>
      </c>
      <c r="W186" s="1061"/>
      <c r="X186" s="1062">
        <f t="shared" si="127"/>
        <v>0</v>
      </c>
      <c r="Y186" s="1063">
        <f t="shared" si="128"/>
        <v>1</v>
      </c>
      <c r="Z186" s="1016">
        <f t="shared" si="154"/>
        <v>0</v>
      </c>
      <c r="AA186" s="1017">
        <v>0</v>
      </c>
      <c r="AB186" s="1061"/>
      <c r="AC186" s="1062">
        <f t="shared" si="129"/>
        <v>0</v>
      </c>
      <c r="AD186" s="1063">
        <f t="shared" si="130"/>
        <v>1</v>
      </c>
      <c r="AE186" s="1016">
        <f t="shared" si="155"/>
        <v>0</v>
      </c>
      <c r="AF186" s="1017">
        <v>0</v>
      </c>
      <c r="AG186" s="1061"/>
      <c r="AH186" s="1062">
        <f t="shared" si="131"/>
        <v>0</v>
      </c>
      <c r="AI186" s="1063">
        <f t="shared" si="132"/>
        <v>1</v>
      </c>
      <c r="AJ186" s="1016">
        <f t="shared" si="156"/>
        <v>0</v>
      </c>
      <c r="AK186" s="1017">
        <v>0</v>
      </c>
      <c r="AL186" s="1061"/>
      <c r="AM186" s="1062">
        <f t="shared" si="133"/>
        <v>0</v>
      </c>
      <c r="AN186" s="1063">
        <f t="shared" si="134"/>
        <v>1</v>
      </c>
      <c r="AO186" s="1016">
        <f t="shared" si="157"/>
        <v>0</v>
      </c>
      <c r="AP186" s="1017">
        <v>0</v>
      </c>
      <c r="AQ186" s="1061"/>
      <c r="AR186" s="1062">
        <f t="shared" si="135"/>
        <v>0</v>
      </c>
      <c r="AS186" s="1063">
        <f t="shared" si="136"/>
        <v>1</v>
      </c>
      <c r="AT186" s="1016">
        <f t="shared" si="158"/>
        <v>0</v>
      </c>
      <c r="AU186" s="1017">
        <v>0</v>
      </c>
      <c r="AV186" s="1061"/>
      <c r="AW186" s="1062">
        <f t="shared" si="137"/>
        <v>0</v>
      </c>
      <c r="AX186" s="1063">
        <f t="shared" si="138"/>
        <v>1</v>
      </c>
      <c r="AY186" s="1016">
        <f t="shared" si="159"/>
        <v>0</v>
      </c>
      <c r="AZ186" s="1017">
        <v>0</v>
      </c>
      <c r="BA186" s="1061"/>
      <c r="BB186" s="1062">
        <f t="shared" si="139"/>
        <v>0</v>
      </c>
      <c r="BC186" s="1063">
        <f t="shared" si="140"/>
        <v>1</v>
      </c>
      <c r="BD186" s="1016">
        <f t="shared" si="160"/>
        <v>0</v>
      </c>
      <c r="BE186" s="1017">
        <v>0</v>
      </c>
      <c r="BF186" s="1061"/>
      <c r="BG186" s="1062">
        <f t="shared" si="141"/>
        <v>0</v>
      </c>
      <c r="BH186" s="1039">
        <f t="shared" si="142"/>
        <v>0</v>
      </c>
      <c r="BI186" s="1038">
        <f t="shared" si="143"/>
        <v>0</v>
      </c>
      <c r="BJ186" s="1027"/>
      <c r="BK186" s="1060"/>
      <c r="BL186" s="1040">
        <f>P186+Z186+AJ186+AT186+BD186</f>
        <v>0</v>
      </c>
      <c r="BM186" s="1038">
        <f t="shared" si="145"/>
        <v>0</v>
      </c>
      <c r="BN186" s="1027"/>
      <c r="BO186" s="1060"/>
      <c r="BP186" s="95">
        <f t="shared" si="146"/>
        <v>0</v>
      </c>
      <c r="BQ186" s="640">
        <f t="shared" si="147"/>
        <v>0</v>
      </c>
      <c r="BR186" s="323"/>
      <c r="BS186" s="94">
        <f t="shared" si="148"/>
        <v>0</v>
      </c>
      <c r="BU186" s="632">
        <f t="shared" si="149"/>
        <v>0</v>
      </c>
      <c r="BV186" s="398"/>
      <c r="BW186" s="737"/>
      <c r="BX186" s="323"/>
      <c r="CD186" s="694">
        <v>0.15</v>
      </c>
      <c r="CI186" s="738"/>
    </row>
    <row r="187" spans="1:87" s="680" customFormat="1" ht="14.25" thickTop="1" thickBot="1">
      <c r="B187" s="681">
        <v>57</v>
      </c>
      <c r="C187" s="682">
        <f t="shared" si="163"/>
        <v>0</v>
      </c>
      <c r="D187" s="385">
        <f t="shared" si="163"/>
        <v>0</v>
      </c>
      <c r="E187" s="385">
        <f t="shared" si="163"/>
        <v>0</v>
      </c>
      <c r="F187" s="385">
        <f t="shared" si="163"/>
        <v>0</v>
      </c>
      <c r="G187" s="385"/>
      <c r="H187" s="683">
        <f t="shared" si="150"/>
        <v>1</v>
      </c>
      <c r="I187" s="679">
        <f t="shared" si="162"/>
        <v>0</v>
      </c>
      <c r="J187" s="684">
        <f t="shared" si="151"/>
        <v>1</v>
      </c>
      <c r="K187" s="1016">
        <f t="shared" si="152"/>
        <v>0</v>
      </c>
      <c r="L187" s="1017">
        <v>0</v>
      </c>
      <c r="M187" s="1061"/>
      <c r="N187" s="1062">
        <f t="shared" si="122"/>
        <v>0</v>
      </c>
      <c r="O187" s="1063">
        <f t="shared" si="123"/>
        <v>1</v>
      </c>
      <c r="P187" s="1016">
        <f t="shared" si="124"/>
        <v>0</v>
      </c>
      <c r="Q187" s="1017">
        <v>0</v>
      </c>
      <c r="R187" s="1061"/>
      <c r="S187" s="1062">
        <f t="shared" si="125"/>
        <v>0</v>
      </c>
      <c r="T187" s="1063">
        <f t="shared" si="126"/>
        <v>1</v>
      </c>
      <c r="U187" s="1016">
        <f t="shared" si="153"/>
        <v>0</v>
      </c>
      <c r="V187" s="1017">
        <v>0</v>
      </c>
      <c r="W187" s="1061"/>
      <c r="X187" s="1062">
        <f t="shared" si="127"/>
        <v>0</v>
      </c>
      <c r="Y187" s="1063">
        <f t="shared" si="128"/>
        <v>1</v>
      </c>
      <c r="Z187" s="1016">
        <f t="shared" si="154"/>
        <v>0</v>
      </c>
      <c r="AA187" s="1017">
        <v>0</v>
      </c>
      <c r="AB187" s="1061"/>
      <c r="AC187" s="1062">
        <f t="shared" si="129"/>
        <v>0</v>
      </c>
      <c r="AD187" s="1063">
        <f t="shared" si="130"/>
        <v>1</v>
      </c>
      <c r="AE187" s="1016">
        <f t="shared" si="155"/>
        <v>0</v>
      </c>
      <c r="AF187" s="1017">
        <v>0</v>
      </c>
      <c r="AG187" s="1061"/>
      <c r="AH187" s="1062">
        <f t="shared" si="131"/>
        <v>0</v>
      </c>
      <c r="AI187" s="1063">
        <f t="shared" si="132"/>
        <v>1</v>
      </c>
      <c r="AJ187" s="1016">
        <f t="shared" si="156"/>
        <v>0</v>
      </c>
      <c r="AK187" s="1017">
        <v>0</v>
      </c>
      <c r="AL187" s="1061"/>
      <c r="AM187" s="1062">
        <f t="shared" si="133"/>
        <v>0</v>
      </c>
      <c r="AN187" s="1063">
        <f t="shared" si="134"/>
        <v>1</v>
      </c>
      <c r="AO187" s="1016">
        <f t="shared" si="157"/>
        <v>0</v>
      </c>
      <c r="AP187" s="1017">
        <v>0</v>
      </c>
      <c r="AQ187" s="1061"/>
      <c r="AR187" s="1062">
        <f t="shared" si="135"/>
        <v>0</v>
      </c>
      <c r="AS187" s="1063">
        <f t="shared" si="136"/>
        <v>1</v>
      </c>
      <c r="AT187" s="1016">
        <f t="shared" si="158"/>
        <v>0</v>
      </c>
      <c r="AU187" s="1017">
        <v>0</v>
      </c>
      <c r="AV187" s="1061"/>
      <c r="AW187" s="1062">
        <f t="shared" si="137"/>
        <v>0</v>
      </c>
      <c r="AX187" s="1063">
        <f t="shared" si="138"/>
        <v>1</v>
      </c>
      <c r="AY187" s="1016">
        <f t="shared" si="159"/>
        <v>0</v>
      </c>
      <c r="AZ187" s="1017">
        <v>0</v>
      </c>
      <c r="BA187" s="1061"/>
      <c r="BB187" s="1062">
        <f t="shared" si="139"/>
        <v>0</v>
      </c>
      <c r="BC187" s="1063">
        <f t="shared" si="140"/>
        <v>1</v>
      </c>
      <c r="BD187" s="1016">
        <f t="shared" si="160"/>
        <v>0</v>
      </c>
      <c r="BE187" s="1017">
        <v>0</v>
      </c>
      <c r="BF187" s="1061"/>
      <c r="BG187" s="1062">
        <f t="shared" si="141"/>
        <v>0</v>
      </c>
      <c r="BH187" s="1039">
        <f t="shared" si="142"/>
        <v>0</v>
      </c>
      <c r="BI187" s="1038">
        <f t="shared" si="143"/>
        <v>0</v>
      </c>
      <c r="BJ187" s="1027"/>
      <c r="BK187" s="1060"/>
      <c r="BL187" s="1040">
        <f t="shared" ref="BL187:BL230" si="164">P187+Z187+AJ187+AT187+BD187</f>
        <v>0</v>
      </c>
      <c r="BM187" s="1038">
        <f t="shared" si="145"/>
        <v>0</v>
      </c>
      <c r="BN187" s="1027"/>
      <c r="BO187" s="1060"/>
      <c r="BP187" s="95">
        <f t="shared" si="146"/>
        <v>0</v>
      </c>
      <c r="BQ187" s="640">
        <f t="shared" si="147"/>
        <v>0</v>
      </c>
      <c r="BR187" s="685"/>
      <c r="BS187" s="686">
        <f t="shared" si="148"/>
        <v>0</v>
      </c>
      <c r="BU187" s="687">
        <f t="shared" si="149"/>
        <v>0</v>
      </c>
      <c r="BV187" s="688"/>
      <c r="BW187" s="689"/>
      <c r="BX187" s="685"/>
      <c r="CD187" s="740"/>
      <c r="CI187" s="690"/>
    </row>
    <row r="188" spans="1:87" s="166" customFormat="1" ht="14.25" thickTop="1" thickBot="1">
      <c r="A188" s="56"/>
      <c r="B188" s="324">
        <v>58</v>
      </c>
      <c r="C188" s="255">
        <f t="shared" si="163"/>
        <v>0</v>
      </c>
      <c r="D188" s="385">
        <f t="shared" si="163"/>
        <v>0</v>
      </c>
      <c r="E188" s="93">
        <f t="shared" si="163"/>
        <v>0</v>
      </c>
      <c r="F188" s="385">
        <f t="shared" si="163"/>
        <v>0</v>
      </c>
      <c r="G188" s="385"/>
      <c r="H188" s="678">
        <f t="shared" si="150"/>
        <v>1</v>
      </c>
      <c r="I188" s="679">
        <f t="shared" si="162"/>
        <v>0</v>
      </c>
      <c r="J188" s="633">
        <f t="shared" si="151"/>
        <v>1</v>
      </c>
      <c r="K188" s="1016">
        <f t="shared" si="152"/>
        <v>0</v>
      </c>
      <c r="L188" s="1017">
        <v>0</v>
      </c>
      <c r="M188" s="1061"/>
      <c r="N188" s="1062">
        <f t="shared" si="122"/>
        <v>0</v>
      </c>
      <c r="O188" s="1063">
        <f t="shared" si="123"/>
        <v>1</v>
      </c>
      <c r="P188" s="1016">
        <f t="shared" si="124"/>
        <v>0</v>
      </c>
      <c r="Q188" s="1017">
        <v>0</v>
      </c>
      <c r="R188" s="1061"/>
      <c r="S188" s="1062">
        <f t="shared" si="125"/>
        <v>0</v>
      </c>
      <c r="T188" s="1063">
        <f t="shared" si="126"/>
        <v>1</v>
      </c>
      <c r="U188" s="1016">
        <f t="shared" si="153"/>
        <v>0</v>
      </c>
      <c r="V188" s="1017">
        <v>0</v>
      </c>
      <c r="W188" s="1061"/>
      <c r="X188" s="1062">
        <f t="shared" si="127"/>
        <v>0</v>
      </c>
      <c r="Y188" s="1063">
        <f t="shared" si="128"/>
        <v>1</v>
      </c>
      <c r="Z188" s="1016">
        <f t="shared" si="154"/>
        <v>0</v>
      </c>
      <c r="AA188" s="1017">
        <v>0</v>
      </c>
      <c r="AB188" s="1061"/>
      <c r="AC188" s="1062">
        <f t="shared" si="129"/>
        <v>0</v>
      </c>
      <c r="AD188" s="1063">
        <f t="shared" si="130"/>
        <v>1</v>
      </c>
      <c r="AE188" s="1016">
        <f t="shared" si="155"/>
        <v>0</v>
      </c>
      <c r="AF188" s="1017">
        <v>0</v>
      </c>
      <c r="AG188" s="1061"/>
      <c r="AH188" s="1062">
        <f t="shared" si="131"/>
        <v>0</v>
      </c>
      <c r="AI188" s="1063">
        <f t="shared" si="132"/>
        <v>1</v>
      </c>
      <c r="AJ188" s="1016">
        <f t="shared" si="156"/>
        <v>0</v>
      </c>
      <c r="AK188" s="1017">
        <v>0</v>
      </c>
      <c r="AL188" s="1061"/>
      <c r="AM188" s="1062">
        <f t="shared" si="133"/>
        <v>0</v>
      </c>
      <c r="AN188" s="1063">
        <f t="shared" si="134"/>
        <v>1</v>
      </c>
      <c r="AO188" s="1016">
        <f t="shared" si="157"/>
        <v>0</v>
      </c>
      <c r="AP188" s="1017">
        <v>0</v>
      </c>
      <c r="AQ188" s="1061"/>
      <c r="AR188" s="1062">
        <f t="shared" si="135"/>
        <v>0</v>
      </c>
      <c r="AS188" s="1063">
        <f t="shared" si="136"/>
        <v>1</v>
      </c>
      <c r="AT188" s="1016">
        <f t="shared" si="158"/>
        <v>0</v>
      </c>
      <c r="AU188" s="1017">
        <v>0</v>
      </c>
      <c r="AV188" s="1061"/>
      <c r="AW188" s="1062">
        <f t="shared" si="137"/>
        <v>0</v>
      </c>
      <c r="AX188" s="1063">
        <f t="shared" si="138"/>
        <v>1</v>
      </c>
      <c r="AY188" s="1016">
        <f t="shared" si="159"/>
        <v>0</v>
      </c>
      <c r="AZ188" s="1017">
        <v>0</v>
      </c>
      <c r="BA188" s="1061"/>
      <c r="BB188" s="1062">
        <f t="shared" si="139"/>
        <v>0</v>
      </c>
      <c r="BC188" s="1063">
        <f t="shared" si="140"/>
        <v>1</v>
      </c>
      <c r="BD188" s="1016">
        <f t="shared" si="160"/>
        <v>0</v>
      </c>
      <c r="BE188" s="1017">
        <v>0</v>
      </c>
      <c r="BF188" s="1061"/>
      <c r="BG188" s="1062">
        <f t="shared" si="141"/>
        <v>0</v>
      </c>
      <c r="BH188" s="1039">
        <f t="shared" si="142"/>
        <v>0</v>
      </c>
      <c r="BI188" s="1038">
        <f t="shared" si="143"/>
        <v>0</v>
      </c>
      <c r="BJ188" s="1027"/>
      <c r="BK188" s="1060"/>
      <c r="BL188" s="1040">
        <f t="shared" si="164"/>
        <v>0</v>
      </c>
      <c r="BM188" s="1038">
        <f t="shared" si="145"/>
        <v>0</v>
      </c>
      <c r="BN188" s="1027"/>
      <c r="BO188" s="1060"/>
      <c r="BP188" s="95">
        <f t="shared" si="146"/>
        <v>0</v>
      </c>
      <c r="BQ188" s="640">
        <f t="shared" si="147"/>
        <v>0</v>
      </c>
      <c r="BR188" s="323"/>
      <c r="BS188" s="94">
        <f t="shared" si="148"/>
        <v>0</v>
      </c>
      <c r="BU188" s="632">
        <f t="shared" si="149"/>
        <v>0</v>
      </c>
      <c r="BV188" s="398"/>
      <c r="BW188" s="405"/>
      <c r="BX188" s="323"/>
      <c r="CD188" s="694"/>
      <c r="CI188" s="320"/>
    </row>
    <row r="189" spans="1:87" s="166" customFormat="1" ht="14.25" thickTop="1" thickBot="1">
      <c r="A189" s="56"/>
      <c r="B189" s="324">
        <v>59</v>
      </c>
      <c r="C189" s="255">
        <f t="shared" si="163"/>
        <v>0</v>
      </c>
      <c r="D189" s="166">
        <f t="shared" si="163"/>
        <v>0</v>
      </c>
      <c r="E189" s="93">
        <f t="shared" si="163"/>
        <v>0</v>
      </c>
      <c r="F189" s="93">
        <f t="shared" si="163"/>
        <v>0</v>
      </c>
      <c r="G189" s="93"/>
      <c r="H189" s="678">
        <f t="shared" si="150"/>
        <v>1</v>
      </c>
      <c r="I189" s="679">
        <f t="shared" si="162"/>
        <v>0</v>
      </c>
      <c r="J189" s="633">
        <f t="shared" si="151"/>
        <v>1</v>
      </c>
      <c r="K189" s="1016">
        <f t="shared" si="152"/>
        <v>0</v>
      </c>
      <c r="L189" s="1017">
        <v>0</v>
      </c>
      <c r="M189" s="1061"/>
      <c r="N189" s="1062">
        <f t="shared" si="122"/>
        <v>0</v>
      </c>
      <c r="O189" s="1063">
        <f t="shared" si="123"/>
        <v>1</v>
      </c>
      <c r="P189" s="1016">
        <f t="shared" si="124"/>
        <v>0</v>
      </c>
      <c r="Q189" s="1017">
        <v>0</v>
      </c>
      <c r="R189" s="1061"/>
      <c r="S189" s="1062">
        <f t="shared" si="125"/>
        <v>0</v>
      </c>
      <c r="T189" s="1063">
        <f t="shared" si="126"/>
        <v>1</v>
      </c>
      <c r="U189" s="1016"/>
      <c r="V189" s="1017">
        <v>0</v>
      </c>
      <c r="W189" s="1061"/>
      <c r="X189" s="1062">
        <f t="shared" si="127"/>
        <v>0</v>
      </c>
      <c r="Y189" s="1063">
        <f t="shared" si="128"/>
        <v>1</v>
      </c>
      <c r="Z189" s="1016">
        <f t="shared" si="154"/>
        <v>0</v>
      </c>
      <c r="AA189" s="1017">
        <v>0</v>
      </c>
      <c r="AB189" s="1061"/>
      <c r="AC189" s="1062">
        <f t="shared" si="129"/>
        <v>0</v>
      </c>
      <c r="AD189" s="1063">
        <f t="shared" si="130"/>
        <v>1</v>
      </c>
      <c r="AE189" s="1016">
        <f t="shared" si="155"/>
        <v>0</v>
      </c>
      <c r="AF189" s="1017">
        <v>0</v>
      </c>
      <c r="AG189" s="1061"/>
      <c r="AH189" s="1062">
        <f t="shared" si="131"/>
        <v>0</v>
      </c>
      <c r="AI189" s="1063">
        <f t="shared" si="132"/>
        <v>1</v>
      </c>
      <c r="AJ189" s="1016">
        <f t="shared" si="156"/>
        <v>0</v>
      </c>
      <c r="AK189" s="1017">
        <v>0</v>
      </c>
      <c r="AL189" s="1061"/>
      <c r="AM189" s="1062">
        <f t="shared" si="133"/>
        <v>0</v>
      </c>
      <c r="AN189" s="1063">
        <f t="shared" si="134"/>
        <v>1</v>
      </c>
      <c r="AO189" s="1016">
        <f t="shared" si="157"/>
        <v>0</v>
      </c>
      <c r="AP189" s="1017">
        <v>0</v>
      </c>
      <c r="AQ189" s="1061"/>
      <c r="AR189" s="1062">
        <f t="shared" si="135"/>
        <v>0</v>
      </c>
      <c r="AS189" s="1063">
        <f t="shared" si="136"/>
        <v>1</v>
      </c>
      <c r="AT189" s="1016">
        <f t="shared" si="158"/>
        <v>0</v>
      </c>
      <c r="AU189" s="1017">
        <v>0</v>
      </c>
      <c r="AV189" s="1061"/>
      <c r="AW189" s="1062">
        <f t="shared" si="137"/>
        <v>0</v>
      </c>
      <c r="AX189" s="1063">
        <f t="shared" si="138"/>
        <v>1</v>
      </c>
      <c r="AY189" s="1016">
        <f t="shared" si="159"/>
        <v>0</v>
      </c>
      <c r="AZ189" s="1017">
        <v>0</v>
      </c>
      <c r="BA189" s="1061"/>
      <c r="BB189" s="1062">
        <f t="shared" si="139"/>
        <v>0</v>
      </c>
      <c r="BC189" s="1063">
        <f t="shared" si="140"/>
        <v>1</v>
      </c>
      <c r="BD189" s="1016">
        <f t="shared" si="160"/>
        <v>0</v>
      </c>
      <c r="BE189" s="1017">
        <v>0</v>
      </c>
      <c r="BF189" s="1061"/>
      <c r="BG189" s="1062">
        <f t="shared" si="141"/>
        <v>0</v>
      </c>
      <c r="BH189" s="1039">
        <f t="shared" si="142"/>
        <v>0</v>
      </c>
      <c r="BI189" s="1038">
        <f t="shared" si="143"/>
        <v>0</v>
      </c>
      <c r="BJ189" s="1027"/>
      <c r="BK189" s="1060"/>
      <c r="BL189" s="1040">
        <f t="shared" si="164"/>
        <v>0</v>
      </c>
      <c r="BM189" s="1038">
        <f t="shared" si="145"/>
        <v>0</v>
      </c>
      <c r="BN189" s="1027"/>
      <c r="BO189" s="1060"/>
      <c r="BP189" s="95">
        <f t="shared" si="146"/>
        <v>0</v>
      </c>
      <c r="BQ189" s="640">
        <f t="shared" si="147"/>
        <v>0</v>
      </c>
      <c r="BR189" s="323"/>
      <c r="BS189" s="94">
        <f t="shared" si="148"/>
        <v>0</v>
      </c>
      <c r="BU189" s="632">
        <f t="shared" si="149"/>
        <v>0</v>
      </c>
      <c r="BV189" s="398"/>
      <c r="BW189" s="405"/>
      <c r="BX189" s="323"/>
      <c r="CD189" s="694"/>
      <c r="CI189" s="320"/>
    </row>
    <row r="190" spans="1:87" s="166" customFormat="1" ht="14.25" thickTop="1" thickBot="1">
      <c r="A190" s="56"/>
      <c r="B190" s="324">
        <v>60</v>
      </c>
      <c r="C190" s="255">
        <f t="shared" si="163"/>
        <v>0</v>
      </c>
      <c r="D190" s="93">
        <f t="shared" si="163"/>
        <v>0</v>
      </c>
      <c r="E190" s="93">
        <f t="shared" si="163"/>
        <v>0</v>
      </c>
      <c r="F190" s="93">
        <f t="shared" si="163"/>
        <v>0</v>
      </c>
      <c r="G190" s="93"/>
      <c r="H190" s="678">
        <f t="shared" si="150"/>
        <v>1</v>
      </c>
      <c r="I190" s="679">
        <f t="shared" si="162"/>
        <v>0</v>
      </c>
      <c r="J190" s="633">
        <f t="shared" si="151"/>
        <v>1</v>
      </c>
      <c r="K190" s="1016">
        <f t="shared" si="152"/>
        <v>0</v>
      </c>
      <c r="L190" s="1017">
        <v>0</v>
      </c>
      <c r="M190" s="1061"/>
      <c r="N190" s="1062">
        <f t="shared" si="122"/>
        <v>0</v>
      </c>
      <c r="O190" s="1063">
        <f t="shared" si="123"/>
        <v>1</v>
      </c>
      <c r="P190" s="1016">
        <f t="shared" si="124"/>
        <v>0</v>
      </c>
      <c r="Q190" s="1017">
        <v>0</v>
      </c>
      <c r="R190" s="1061"/>
      <c r="S190" s="1062">
        <f t="shared" si="125"/>
        <v>0</v>
      </c>
      <c r="T190" s="1063">
        <f t="shared" si="126"/>
        <v>1</v>
      </c>
      <c r="U190" s="1016"/>
      <c r="V190" s="1017">
        <v>0</v>
      </c>
      <c r="W190" s="1061"/>
      <c r="X190" s="1062">
        <f t="shared" si="127"/>
        <v>0</v>
      </c>
      <c r="Y190" s="1063">
        <f t="shared" si="128"/>
        <v>1</v>
      </c>
      <c r="Z190" s="1016">
        <f t="shared" si="154"/>
        <v>0</v>
      </c>
      <c r="AA190" s="1017">
        <v>0</v>
      </c>
      <c r="AB190" s="1061"/>
      <c r="AC190" s="1062">
        <f t="shared" si="129"/>
        <v>0</v>
      </c>
      <c r="AD190" s="1063">
        <f t="shared" si="130"/>
        <v>1</v>
      </c>
      <c r="AE190" s="1016">
        <f t="shared" si="155"/>
        <v>0</v>
      </c>
      <c r="AF190" s="1017">
        <v>0</v>
      </c>
      <c r="AG190" s="1061"/>
      <c r="AH190" s="1062">
        <f t="shared" si="131"/>
        <v>0</v>
      </c>
      <c r="AI190" s="1063">
        <f t="shared" si="132"/>
        <v>1</v>
      </c>
      <c r="AJ190" s="1016">
        <f t="shared" si="156"/>
        <v>0</v>
      </c>
      <c r="AK190" s="1017">
        <v>0</v>
      </c>
      <c r="AL190" s="1061"/>
      <c r="AM190" s="1062">
        <f t="shared" si="133"/>
        <v>0</v>
      </c>
      <c r="AN190" s="1063">
        <f t="shared" si="134"/>
        <v>1</v>
      </c>
      <c r="AO190" s="1016">
        <f t="shared" si="157"/>
        <v>0</v>
      </c>
      <c r="AP190" s="1017">
        <v>0</v>
      </c>
      <c r="AQ190" s="1061"/>
      <c r="AR190" s="1062">
        <f t="shared" si="135"/>
        <v>0</v>
      </c>
      <c r="AS190" s="1063">
        <f t="shared" si="136"/>
        <v>1</v>
      </c>
      <c r="AT190" s="1016">
        <f t="shared" si="158"/>
        <v>0</v>
      </c>
      <c r="AU190" s="1017">
        <v>0</v>
      </c>
      <c r="AV190" s="1061"/>
      <c r="AW190" s="1062">
        <f t="shared" si="137"/>
        <v>0</v>
      </c>
      <c r="AX190" s="1063">
        <f t="shared" si="138"/>
        <v>1</v>
      </c>
      <c r="AY190" s="1016">
        <f t="shared" si="159"/>
        <v>0</v>
      </c>
      <c r="AZ190" s="1017">
        <v>0</v>
      </c>
      <c r="BA190" s="1061"/>
      <c r="BB190" s="1062">
        <f t="shared" si="139"/>
        <v>0</v>
      </c>
      <c r="BC190" s="1063">
        <f t="shared" si="140"/>
        <v>1</v>
      </c>
      <c r="BD190" s="1016">
        <f t="shared" si="160"/>
        <v>0</v>
      </c>
      <c r="BE190" s="1017">
        <v>0</v>
      </c>
      <c r="BF190" s="1061"/>
      <c r="BG190" s="1062">
        <f t="shared" si="141"/>
        <v>0</v>
      </c>
      <c r="BH190" s="1039">
        <f t="shared" si="142"/>
        <v>0</v>
      </c>
      <c r="BI190" s="1038">
        <f t="shared" si="143"/>
        <v>0</v>
      </c>
      <c r="BJ190" s="1027"/>
      <c r="BK190" s="1060"/>
      <c r="BL190" s="1040">
        <f t="shared" si="164"/>
        <v>0</v>
      </c>
      <c r="BM190" s="1038">
        <f t="shared" si="145"/>
        <v>0</v>
      </c>
      <c r="BN190" s="1027"/>
      <c r="BO190" s="1060"/>
      <c r="BP190" s="95">
        <f t="shared" si="146"/>
        <v>0</v>
      </c>
      <c r="BQ190" s="640">
        <f t="shared" si="147"/>
        <v>0</v>
      </c>
      <c r="BR190" s="323"/>
      <c r="BS190" s="94">
        <f t="shared" si="148"/>
        <v>0</v>
      </c>
      <c r="BU190" s="632">
        <f t="shared" si="149"/>
        <v>0</v>
      </c>
      <c r="BV190" s="398"/>
      <c r="BW190" s="405"/>
      <c r="BX190" s="323"/>
      <c r="CD190" s="694"/>
      <c r="CI190" s="320"/>
    </row>
    <row r="191" spans="1:87" s="166" customFormat="1" ht="14.25" thickTop="1" thickBot="1">
      <c r="A191" s="56"/>
      <c r="B191" s="324">
        <v>61</v>
      </c>
      <c r="C191" s="255">
        <f t="shared" ref="C191:F210" si="165">C76</f>
        <v>0</v>
      </c>
      <c r="D191" s="93">
        <f t="shared" si="165"/>
        <v>0</v>
      </c>
      <c r="E191" s="93">
        <f t="shared" si="165"/>
        <v>0</v>
      </c>
      <c r="F191" s="93">
        <f t="shared" si="165"/>
        <v>0</v>
      </c>
      <c r="G191" s="93"/>
      <c r="H191" s="678">
        <f t="shared" si="150"/>
        <v>1</v>
      </c>
      <c r="I191" s="679">
        <f t="shared" si="162"/>
        <v>0</v>
      </c>
      <c r="J191" s="633">
        <f t="shared" si="151"/>
        <v>1</v>
      </c>
      <c r="K191" s="1016">
        <f t="shared" si="152"/>
        <v>0</v>
      </c>
      <c r="L191" s="1017">
        <v>0</v>
      </c>
      <c r="M191" s="1061"/>
      <c r="N191" s="1062">
        <f t="shared" si="122"/>
        <v>0</v>
      </c>
      <c r="O191" s="1063">
        <f t="shared" si="123"/>
        <v>1</v>
      </c>
      <c r="P191" s="1016">
        <f t="shared" si="124"/>
        <v>0</v>
      </c>
      <c r="Q191" s="1017">
        <v>0</v>
      </c>
      <c r="R191" s="1061"/>
      <c r="S191" s="1062">
        <f t="shared" si="125"/>
        <v>0</v>
      </c>
      <c r="T191" s="1063">
        <f t="shared" si="126"/>
        <v>1</v>
      </c>
      <c r="U191" s="1016"/>
      <c r="V191" s="1017">
        <v>0</v>
      </c>
      <c r="W191" s="1061"/>
      <c r="X191" s="1062">
        <f t="shared" si="127"/>
        <v>0</v>
      </c>
      <c r="Y191" s="1063">
        <f t="shared" si="128"/>
        <v>1</v>
      </c>
      <c r="Z191" s="1016">
        <f t="shared" si="154"/>
        <v>0</v>
      </c>
      <c r="AA191" s="1017">
        <v>0</v>
      </c>
      <c r="AB191" s="1061"/>
      <c r="AC191" s="1062">
        <f t="shared" si="129"/>
        <v>0</v>
      </c>
      <c r="AD191" s="1063">
        <f t="shared" si="130"/>
        <v>1</v>
      </c>
      <c r="AE191" s="1016">
        <f t="shared" si="155"/>
        <v>0</v>
      </c>
      <c r="AF191" s="1017">
        <v>0</v>
      </c>
      <c r="AG191" s="1061"/>
      <c r="AH191" s="1062">
        <f t="shared" si="131"/>
        <v>0</v>
      </c>
      <c r="AI191" s="1063">
        <f t="shared" si="132"/>
        <v>1</v>
      </c>
      <c r="AJ191" s="1016">
        <f t="shared" si="156"/>
        <v>0</v>
      </c>
      <c r="AK191" s="1017">
        <v>0</v>
      </c>
      <c r="AL191" s="1061"/>
      <c r="AM191" s="1062">
        <f t="shared" si="133"/>
        <v>0</v>
      </c>
      <c r="AN191" s="1063">
        <f t="shared" si="134"/>
        <v>1</v>
      </c>
      <c r="AO191" s="1016">
        <f t="shared" si="157"/>
        <v>0</v>
      </c>
      <c r="AP191" s="1017">
        <v>0</v>
      </c>
      <c r="AQ191" s="1061"/>
      <c r="AR191" s="1062">
        <f t="shared" si="135"/>
        <v>0</v>
      </c>
      <c r="AS191" s="1063">
        <f t="shared" si="136"/>
        <v>1</v>
      </c>
      <c r="AT191" s="1016">
        <f t="shared" si="158"/>
        <v>0</v>
      </c>
      <c r="AU191" s="1017">
        <v>0</v>
      </c>
      <c r="AV191" s="1061"/>
      <c r="AW191" s="1062">
        <f t="shared" si="137"/>
        <v>0</v>
      </c>
      <c r="AX191" s="1063">
        <f t="shared" si="138"/>
        <v>1</v>
      </c>
      <c r="AY191" s="1016">
        <f t="shared" si="159"/>
        <v>0</v>
      </c>
      <c r="AZ191" s="1017">
        <v>0</v>
      </c>
      <c r="BA191" s="1061"/>
      <c r="BB191" s="1062">
        <f t="shared" si="139"/>
        <v>0</v>
      </c>
      <c r="BC191" s="1063">
        <f t="shared" si="140"/>
        <v>1</v>
      </c>
      <c r="BD191" s="1016">
        <f t="shared" si="160"/>
        <v>0</v>
      </c>
      <c r="BE191" s="1017">
        <v>0</v>
      </c>
      <c r="BF191" s="1061"/>
      <c r="BG191" s="1062">
        <f t="shared" si="141"/>
        <v>0</v>
      </c>
      <c r="BH191" s="1039">
        <f t="shared" si="142"/>
        <v>0</v>
      </c>
      <c r="BI191" s="1038">
        <f t="shared" si="143"/>
        <v>0</v>
      </c>
      <c r="BJ191" s="1027"/>
      <c r="BK191" s="1060"/>
      <c r="BL191" s="1040">
        <f t="shared" si="164"/>
        <v>0</v>
      </c>
      <c r="BM191" s="1038">
        <f t="shared" si="145"/>
        <v>0</v>
      </c>
      <c r="BN191" s="1027"/>
      <c r="BO191" s="1060"/>
      <c r="BP191" s="95">
        <f t="shared" si="146"/>
        <v>0</v>
      </c>
      <c r="BQ191" s="640">
        <f t="shared" si="147"/>
        <v>0</v>
      </c>
      <c r="BR191" s="323"/>
      <c r="BS191" s="94">
        <f t="shared" si="148"/>
        <v>0</v>
      </c>
      <c r="BU191" s="632">
        <f t="shared" si="149"/>
        <v>0</v>
      </c>
      <c r="BV191" s="398"/>
      <c r="BW191" s="405"/>
      <c r="BX191" s="323"/>
      <c r="CD191" s="694"/>
      <c r="CI191" s="320"/>
    </row>
    <row r="192" spans="1:87" s="166" customFormat="1" ht="14.25" thickTop="1" thickBot="1">
      <c r="A192" s="56">
        <v>1</v>
      </c>
      <c r="B192" s="324">
        <v>62</v>
      </c>
      <c r="C192" s="255">
        <f t="shared" si="165"/>
        <v>0</v>
      </c>
      <c r="D192" s="93">
        <f t="shared" si="165"/>
        <v>0</v>
      </c>
      <c r="E192" s="93">
        <f t="shared" si="165"/>
        <v>0</v>
      </c>
      <c r="F192" s="93">
        <f t="shared" si="165"/>
        <v>0</v>
      </c>
      <c r="G192" s="93"/>
      <c r="H192" s="678">
        <f t="shared" si="150"/>
        <v>1</v>
      </c>
      <c r="I192" s="679">
        <f t="shared" si="162"/>
        <v>0</v>
      </c>
      <c r="J192" s="633">
        <f t="shared" si="151"/>
        <v>1</v>
      </c>
      <c r="K192" s="1016">
        <f t="shared" si="152"/>
        <v>0</v>
      </c>
      <c r="L192" s="1017">
        <v>0</v>
      </c>
      <c r="M192" s="1061"/>
      <c r="N192" s="1062">
        <f t="shared" si="122"/>
        <v>0</v>
      </c>
      <c r="O192" s="1063">
        <f t="shared" si="123"/>
        <v>1</v>
      </c>
      <c r="P192" s="1016">
        <f t="shared" si="124"/>
        <v>0</v>
      </c>
      <c r="Q192" s="1017">
        <v>0</v>
      </c>
      <c r="R192" s="1061"/>
      <c r="S192" s="1062">
        <f t="shared" si="125"/>
        <v>0</v>
      </c>
      <c r="T192" s="1063">
        <f t="shared" si="126"/>
        <v>1</v>
      </c>
      <c r="U192" s="1016"/>
      <c r="V192" s="1017">
        <v>0</v>
      </c>
      <c r="W192" s="1061"/>
      <c r="X192" s="1062">
        <f t="shared" si="127"/>
        <v>0</v>
      </c>
      <c r="Y192" s="1063">
        <f t="shared" si="128"/>
        <v>1</v>
      </c>
      <c r="Z192" s="1016">
        <f t="shared" si="154"/>
        <v>0</v>
      </c>
      <c r="AA192" s="1017">
        <v>0</v>
      </c>
      <c r="AB192" s="1061"/>
      <c r="AC192" s="1062">
        <f t="shared" si="129"/>
        <v>0</v>
      </c>
      <c r="AD192" s="1063">
        <f t="shared" si="130"/>
        <v>1</v>
      </c>
      <c r="AE192" s="1016">
        <f t="shared" si="155"/>
        <v>0</v>
      </c>
      <c r="AF192" s="1017">
        <v>0</v>
      </c>
      <c r="AG192" s="1061"/>
      <c r="AH192" s="1062">
        <f t="shared" si="131"/>
        <v>0</v>
      </c>
      <c r="AI192" s="1063">
        <f t="shared" si="132"/>
        <v>1</v>
      </c>
      <c r="AJ192" s="1016">
        <f t="shared" si="156"/>
        <v>0</v>
      </c>
      <c r="AK192" s="1017">
        <v>0</v>
      </c>
      <c r="AL192" s="1061"/>
      <c r="AM192" s="1062">
        <f t="shared" si="133"/>
        <v>0</v>
      </c>
      <c r="AN192" s="1063">
        <f t="shared" si="134"/>
        <v>1</v>
      </c>
      <c r="AO192" s="1016">
        <f t="shared" si="157"/>
        <v>0</v>
      </c>
      <c r="AP192" s="1017">
        <v>0</v>
      </c>
      <c r="AQ192" s="1061"/>
      <c r="AR192" s="1062">
        <f t="shared" si="135"/>
        <v>0</v>
      </c>
      <c r="AS192" s="1063">
        <f t="shared" si="136"/>
        <v>1</v>
      </c>
      <c r="AT192" s="1016">
        <f t="shared" si="158"/>
        <v>0</v>
      </c>
      <c r="AU192" s="1017">
        <v>0</v>
      </c>
      <c r="AV192" s="1061"/>
      <c r="AW192" s="1062">
        <f t="shared" si="137"/>
        <v>0</v>
      </c>
      <c r="AX192" s="1063">
        <f t="shared" si="138"/>
        <v>1</v>
      </c>
      <c r="AY192" s="1016">
        <f t="shared" si="159"/>
        <v>0</v>
      </c>
      <c r="AZ192" s="1017">
        <v>0</v>
      </c>
      <c r="BA192" s="1061"/>
      <c r="BB192" s="1062">
        <f t="shared" si="139"/>
        <v>0</v>
      </c>
      <c r="BC192" s="1063">
        <f t="shared" si="140"/>
        <v>1</v>
      </c>
      <c r="BD192" s="1016">
        <f t="shared" si="160"/>
        <v>0</v>
      </c>
      <c r="BE192" s="1017">
        <v>0</v>
      </c>
      <c r="BF192" s="1061"/>
      <c r="BG192" s="1062">
        <f t="shared" si="141"/>
        <v>0</v>
      </c>
      <c r="BH192" s="1039">
        <f t="shared" si="142"/>
        <v>0</v>
      </c>
      <c r="BI192" s="1038">
        <f t="shared" si="143"/>
        <v>0</v>
      </c>
      <c r="BJ192" s="1027"/>
      <c r="BK192" s="1060"/>
      <c r="BL192" s="1040">
        <f t="shared" si="164"/>
        <v>0</v>
      </c>
      <c r="BM192" s="1038">
        <f t="shared" si="145"/>
        <v>0</v>
      </c>
      <c r="BN192" s="1027"/>
      <c r="BO192" s="1060"/>
      <c r="BP192" s="95">
        <f t="shared" si="146"/>
        <v>0</v>
      </c>
      <c r="BQ192" s="640">
        <f t="shared" si="147"/>
        <v>0</v>
      </c>
      <c r="BR192" s="323"/>
      <c r="BS192" s="94">
        <f t="shared" si="148"/>
        <v>0</v>
      </c>
      <c r="BU192" s="632">
        <f t="shared" si="149"/>
        <v>0</v>
      </c>
      <c r="BV192" s="398"/>
      <c r="BW192" s="405"/>
      <c r="BX192" s="323"/>
      <c r="CD192" s="694"/>
      <c r="CI192" s="320"/>
    </row>
    <row r="193" spans="1:87" s="166" customFormat="1" ht="14.25" thickTop="1" thickBot="1">
      <c r="A193" s="56"/>
      <c r="B193" s="324">
        <v>63</v>
      </c>
      <c r="C193" s="255">
        <f t="shared" si="165"/>
        <v>0</v>
      </c>
      <c r="D193" s="93">
        <f t="shared" si="165"/>
        <v>0</v>
      </c>
      <c r="E193" s="93">
        <f t="shared" si="165"/>
        <v>0</v>
      </c>
      <c r="F193" s="93">
        <f t="shared" si="165"/>
        <v>0</v>
      </c>
      <c r="G193" s="93"/>
      <c r="H193" s="678">
        <f t="shared" si="150"/>
        <v>1</v>
      </c>
      <c r="I193" s="679">
        <f t="shared" si="162"/>
        <v>0</v>
      </c>
      <c r="J193" s="633">
        <f t="shared" si="151"/>
        <v>1</v>
      </c>
      <c r="K193" s="1016">
        <f t="shared" si="152"/>
        <v>0</v>
      </c>
      <c r="L193" s="1017">
        <v>0</v>
      </c>
      <c r="M193" s="1061"/>
      <c r="N193" s="1062">
        <f t="shared" si="122"/>
        <v>0</v>
      </c>
      <c r="O193" s="1063">
        <f t="shared" si="123"/>
        <v>1</v>
      </c>
      <c r="P193" s="1016">
        <f t="shared" si="124"/>
        <v>0</v>
      </c>
      <c r="Q193" s="1017">
        <v>0</v>
      </c>
      <c r="R193" s="1061"/>
      <c r="S193" s="1062">
        <f t="shared" si="125"/>
        <v>0</v>
      </c>
      <c r="T193" s="1063">
        <f t="shared" si="126"/>
        <v>1</v>
      </c>
      <c r="U193" s="1016"/>
      <c r="V193" s="1017">
        <v>0</v>
      </c>
      <c r="W193" s="1061"/>
      <c r="X193" s="1062">
        <f t="shared" si="127"/>
        <v>0</v>
      </c>
      <c r="Y193" s="1063">
        <f t="shared" si="128"/>
        <v>1</v>
      </c>
      <c r="Z193" s="1016">
        <f t="shared" si="154"/>
        <v>0</v>
      </c>
      <c r="AA193" s="1017">
        <v>0</v>
      </c>
      <c r="AB193" s="1061"/>
      <c r="AC193" s="1062">
        <f t="shared" si="129"/>
        <v>0</v>
      </c>
      <c r="AD193" s="1063">
        <f t="shared" si="130"/>
        <v>1</v>
      </c>
      <c r="AE193" s="1016">
        <f t="shared" si="155"/>
        <v>0</v>
      </c>
      <c r="AF193" s="1017">
        <v>0</v>
      </c>
      <c r="AG193" s="1061"/>
      <c r="AH193" s="1062">
        <f t="shared" si="131"/>
        <v>0</v>
      </c>
      <c r="AI193" s="1063">
        <f t="shared" si="132"/>
        <v>1</v>
      </c>
      <c r="AJ193" s="1016">
        <f t="shared" si="156"/>
        <v>0</v>
      </c>
      <c r="AK193" s="1017">
        <v>0</v>
      </c>
      <c r="AL193" s="1061"/>
      <c r="AM193" s="1062">
        <f t="shared" si="133"/>
        <v>0</v>
      </c>
      <c r="AN193" s="1063">
        <f t="shared" si="134"/>
        <v>1</v>
      </c>
      <c r="AO193" s="1016">
        <f t="shared" si="157"/>
        <v>0</v>
      </c>
      <c r="AP193" s="1017">
        <v>0</v>
      </c>
      <c r="AQ193" s="1061"/>
      <c r="AR193" s="1062">
        <f t="shared" si="135"/>
        <v>0</v>
      </c>
      <c r="AS193" s="1063">
        <f t="shared" si="136"/>
        <v>1</v>
      </c>
      <c r="AT193" s="1016">
        <f t="shared" si="158"/>
        <v>0</v>
      </c>
      <c r="AU193" s="1017">
        <v>0</v>
      </c>
      <c r="AV193" s="1061"/>
      <c r="AW193" s="1062">
        <f t="shared" si="137"/>
        <v>0</v>
      </c>
      <c r="AX193" s="1063">
        <f t="shared" si="138"/>
        <v>1</v>
      </c>
      <c r="AY193" s="1016">
        <f t="shared" si="159"/>
        <v>0</v>
      </c>
      <c r="AZ193" s="1017">
        <v>0</v>
      </c>
      <c r="BA193" s="1061"/>
      <c r="BB193" s="1062">
        <f t="shared" si="139"/>
        <v>0</v>
      </c>
      <c r="BC193" s="1063">
        <f t="shared" si="140"/>
        <v>1</v>
      </c>
      <c r="BD193" s="1016">
        <f t="shared" si="160"/>
        <v>0</v>
      </c>
      <c r="BE193" s="1017">
        <v>0</v>
      </c>
      <c r="BF193" s="1061"/>
      <c r="BG193" s="1062">
        <f t="shared" si="141"/>
        <v>0</v>
      </c>
      <c r="BH193" s="1039">
        <f t="shared" si="142"/>
        <v>0</v>
      </c>
      <c r="BI193" s="1038">
        <f t="shared" si="143"/>
        <v>0</v>
      </c>
      <c r="BJ193" s="1027"/>
      <c r="BK193" s="1060"/>
      <c r="BL193" s="1040">
        <f t="shared" si="164"/>
        <v>0</v>
      </c>
      <c r="BM193" s="1038">
        <f t="shared" si="145"/>
        <v>0</v>
      </c>
      <c r="BN193" s="1027"/>
      <c r="BO193" s="1060"/>
      <c r="BP193" s="95">
        <f t="shared" si="146"/>
        <v>0</v>
      </c>
      <c r="BQ193" s="640">
        <f t="shared" si="147"/>
        <v>0</v>
      </c>
      <c r="BR193" s="323"/>
      <c r="BS193" s="94">
        <f t="shared" si="148"/>
        <v>0</v>
      </c>
      <c r="BU193" s="632">
        <f t="shared" si="149"/>
        <v>0</v>
      </c>
      <c r="BV193" s="398"/>
      <c r="BW193" s="405"/>
      <c r="BX193" s="323"/>
      <c r="CD193" s="694"/>
      <c r="CI193" s="320"/>
    </row>
    <row r="194" spans="1:87" s="166" customFormat="1" ht="14.25" thickTop="1" thickBot="1">
      <c r="A194" s="56"/>
      <c r="B194" s="324">
        <v>64</v>
      </c>
      <c r="C194" s="255">
        <f t="shared" si="165"/>
        <v>0</v>
      </c>
      <c r="D194" s="93">
        <f t="shared" si="165"/>
        <v>0</v>
      </c>
      <c r="E194" s="93">
        <f t="shared" si="165"/>
        <v>0</v>
      </c>
      <c r="F194" s="93">
        <f t="shared" si="165"/>
        <v>0</v>
      </c>
      <c r="G194" s="93"/>
      <c r="H194" s="678">
        <f t="shared" si="150"/>
        <v>1</v>
      </c>
      <c r="I194" s="679">
        <f t="shared" si="162"/>
        <v>0</v>
      </c>
      <c r="J194" s="633">
        <f t="shared" si="151"/>
        <v>1</v>
      </c>
      <c r="K194" s="1016">
        <f t="shared" si="152"/>
        <v>0</v>
      </c>
      <c r="L194" s="1017">
        <v>0</v>
      </c>
      <c r="M194" s="1061"/>
      <c r="N194" s="1062">
        <f t="shared" si="122"/>
        <v>0</v>
      </c>
      <c r="O194" s="1063">
        <f t="shared" si="123"/>
        <v>1</v>
      </c>
      <c r="P194" s="1016">
        <f t="shared" si="124"/>
        <v>0</v>
      </c>
      <c r="Q194" s="1017">
        <v>0</v>
      </c>
      <c r="R194" s="1061"/>
      <c r="S194" s="1062">
        <f t="shared" si="125"/>
        <v>0</v>
      </c>
      <c r="T194" s="1063">
        <f t="shared" si="126"/>
        <v>1</v>
      </c>
      <c r="U194" s="1016"/>
      <c r="V194" s="1017">
        <v>0</v>
      </c>
      <c r="W194" s="1061"/>
      <c r="X194" s="1062">
        <f t="shared" si="127"/>
        <v>0</v>
      </c>
      <c r="Y194" s="1063">
        <f t="shared" si="128"/>
        <v>1</v>
      </c>
      <c r="Z194" s="1016">
        <f t="shared" si="154"/>
        <v>0</v>
      </c>
      <c r="AA194" s="1017">
        <v>0</v>
      </c>
      <c r="AB194" s="1061"/>
      <c r="AC194" s="1062">
        <f t="shared" si="129"/>
        <v>0</v>
      </c>
      <c r="AD194" s="1063">
        <f t="shared" si="130"/>
        <v>1</v>
      </c>
      <c r="AE194" s="1016">
        <f t="shared" si="155"/>
        <v>0</v>
      </c>
      <c r="AF194" s="1017">
        <v>0</v>
      </c>
      <c r="AG194" s="1061"/>
      <c r="AH194" s="1062">
        <f t="shared" si="131"/>
        <v>0</v>
      </c>
      <c r="AI194" s="1063">
        <f t="shared" si="132"/>
        <v>1</v>
      </c>
      <c r="AJ194" s="1016">
        <f t="shared" si="156"/>
        <v>0</v>
      </c>
      <c r="AK194" s="1017">
        <v>0</v>
      </c>
      <c r="AL194" s="1061"/>
      <c r="AM194" s="1062">
        <f t="shared" si="133"/>
        <v>0</v>
      </c>
      <c r="AN194" s="1063">
        <f t="shared" si="134"/>
        <v>1</v>
      </c>
      <c r="AO194" s="1016">
        <f t="shared" si="157"/>
        <v>0</v>
      </c>
      <c r="AP194" s="1017">
        <v>0</v>
      </c>
      <c r="AQ194" s="1061"/>
      <c r="AR194" s="1062">
        <f t="shared" si="135"/>
        <v>0</v>
      </c>
      <c r="AS194" s="1063">
        <f t="shared" si="136"/>
        <v>1</v>
      </c>
      <c r="AT194" s="1016">
        <f t="shared" si="158"/>
        <v>0</v>
      </c>
      <c r="AU194" s="1017">
        <v>0</v>
      </c>
      <c r="AV194" s="1061"/>
      <c r="AW194" s="1062">
        <f t="shared" si="137"/>
        <v>0</v>
      </c>
      <c r="AX194" s="1063">
        <f t="shared" si="138"/>
        <v>1</v>
      </c>
      <c r="AY194" s="1016">
        <f t="shared" si="159"/>
        <v>0</v>
      </c>
      <c r="AZ194" s="1017">
        <v>0</v>
      </c>
      <c r="BA194" s="1061"/>
      <c r="BB194" s="1062">
        <f t="shared" si="139"/>
        <v>0</v>
      </c>
      <c r="BC194" s="1063">
        <f t="shared" si="140"/>
        <v>1</v>
      </c>
      <c r="BD194" s="1016">
        <f t="shared" si="160"/>
        <v>0</v>
      </c>
      <c r="BE194" s="1017">
        <v>0</v>
      </c>
      <c r="BF194" s="1061"/>
      <c r="BG194" s="1062">
        <f t="shared" si="141"/>
        <v>0</v>
      </c>
      <c r="BH194" s="1039">
        <f t="shared" si="142"/>
        <v>0</v>
      </c>
      <c r="BI194" s="1038">
        <f t="shared" si="143"/>
        <v>0</v>
      </c>
      <c r="BJ194" s="1027"/>
      <c r="BK194" s="1060"/>
      <c r="BL194" s="1040">
        <f t="shared" si="164"/>
        <v>0</v>
      </c>
      <c r="BM194" s="1038">
        <f t="shared" si="145"/>
        <v>0</v>
      </c>
      <c r="BN194" s="1027"/>
      <c r="BO194" s="1060"/>
      <c r="BP194" s="95">
        <f t="shared" si="146"/>
        <v>0</v>
      </c>
      <c r="BQ194" s="640">
        <f t="shared" si="147"/>
        <v>0</v>
      </c>
      <c r="BR194" s="323"/>
      <c r="BS194" s="94">
        <f t="shared" si="148"/>
        <v>0</v>
      </c>
      <c r="BU194" s="632">
        <f t="shared" si="149"/>
        <v>0</v>
      </c>
      <c r="BV194" s="398"/>
      <c r="BW194" s="405"/>
      <c r="BX194" s="323"/>
      <c r="CD194" s="694"/>
      <c r="CI194" s="320"/>
    </row>
    <row r="195" spans="1:87" s="166" customFormat="1" ht="14.25" thickTop="1" thickBot="1">
      <c r="A195" s="56"/>
      <c r="B195" s="92">
        <v>65</v>
      </c>
      <c r="C195" s="255">
        <f t="shared" si="165"/>
        <v>0</v>
      </c>
      <c r="D195" s="93">
        <f t="shared" si="165"/>
        <v>0</v>
      </c>
      <c r="E195" s="93">
        <f t="shared" si="165"/>
        <v>0</v>
      </c>
      <c r="F195" s="93">
        <f t="shared" si="165"/>
        <v>0</v>
      </c>
      <c r="G195" s="93"/>
      <c r="H195" s="678">
        <f t="shared" si="150"/>
        <v>1</v>
      </c>
      <c r="I195" s="679">
        <f t="shared" ref="I195:I226" si="166">I80</f>
        <v>0</v>
      </c>
      <c r="J195" s="633">
        <f t="shared" si="151"/>
        <v>1</v>
      </c>
      <c r="K195" s="1016">
        <f t="shared" si="152"/>
        <v>0</v>
      </c>
      <c r="L195" s="1017">
        <v>0</v>
      </c>
      <c r="M195" s="1061"/>
      <c r="N195" s="1062">
        <f t="shared" ref="N195:N230" si="167">L195/($J$13*(100%-I195))</f>
        <v>0</v>
      </c>
      <c r="O195" s="1063">
        <f t="shared" ref="O195:O230" si="168">IF(P195=0,1,P195/(P195/($O$13*(1/H195))))</f>
        <v>1</v>
      </c>
      <c r="P195" s="1016">
        <f t="shared" ref="P195:P230" si="169">Q195*$D$8</f>
        <v>0</v>
      </c>
      <c r="Q195" s="1017">
        <v>0</v>
      </c>
      <c r="R195" s="1061"/>
      <c r="S195" s="1062">
        <f t="shared" ref="S195:S230" si="170">Q195/($O$13*(100%-I195))</f>
        <v>0</v>
      </c>
      <c r="T195" s="1063">
        <f t="shared" ref="T195:T230" si="171">IF(U195=0,1,U195/(U195/($T$13*(1/H195))))</f>
        <v>1</v>
      </c>
      <c r="U195" s="1016"/>
      <c r="V195" s="1017">
        <v>0</v>
      </c>
      <c r="W195" s="1061"/>
      <c r="X195" s="1062">
        <f t="shared" ref="X195:X230" si="172">V195/($T$13*(100%-I195))</f>
        <v>0</v>
      </c>
      <c r="Y195" s="1063">
        <f t="shared" ref="Y195:Y230" si="173">IF(Z195=0,1,Z195/(Z195/($Y$13*(1/H195))))</f>
        <v>1</v>
      </c>
      <c r="Z195" s="1016">
        <f t="shared" si="154"/>
        <v>0</v>
      </c>
      <c r="AA195" s="1017">
        <v>0</v>
      </c>
      <c r="AB195" s="1061"/>
      <c r="AC195" s="1062">
        <f t="shared" ref="AC195:AC230" si="174">AA195/($Y$13*(100%-I195))</f>
        <v>0</v>
      </c>
      <c r="AD195" s="1063">
        <f t="shared" ref="AD195:AD230" si="175">IF(AE195=0,1,AE195/(AE195/($AD$13*(1/H195))))</f>
        <v>1</v>
      </c>
      <c r="AE195" s="1016">
        <f t="shared" si="155"/>
        <v>0</v>
      </c>
      <c r="AF195" s="1017">
        <v>0</v>
      </c>
      <c r="AG195" s="1061"/>
      <c r="AH195" s="1062">
        <f t="shared" ref="AH195:AH230" si="176">AF195/($AD$13*(100%-I195))</f>
        <v>0</v>
      </c>
      <c r="AI195" s="1063">
        <f t="shared" ref="AI195:AI230" si="177">IF(AJ195=0,1,AJ195/(AJ195/($AI$13*(1/H195))))</f>
        <v>1</v>
      </c>
      <c r="AJ195" s="1016">
        <f t="shared" si="156"/>
        <v>0</v>
      </c>
      <c r="AK195" s="1017">
        <v>0</v>
      </c>
      <c r="AL195" s="1061"/>
      <c r="AM195" s="1062">
        <f t="shared" ref="AM195:AM230" si="178">AK195/($AI$13*(100%-I195))</f>
        <v>0</v>
      </c>
      <c r="AN195" s="1063">
        <f t="shared" ref="AN195:AN230" si="179">IF(AO195=0,1,AO195/(AO195/($AN$13*(1/H195))))</f>
        <v>1</v>
      </c>
      <c r="AO195" s="1016">
        <f t="shared" si="157"/>
        <v>0</v>
      </c>
      <c r="AP195" s="1017">
        <v>0</v>
      </c>
      <c r="AQ195" s="1061"/>
      <c r="AR195" s="1062">
        <f t="shared" ref="AR195:AR230" si="180">AP195/($AN$13*(100%-I195))</f>
        <v>0</v>
      </c>
      <c r="AS195" s="1063">
        <f t="shared" ref="AS195:AS230" si="181">IF(AT195=0,1,AT195/(AT195/($AS$13*(1/H195))))</f>
        <v>1</v>
      </c>
      <c r="AT195" s="1016">
        <f t="shared" si="158"/>
        <v>0</v>
      </c>
      <c r="AU195" s="1017">
        <v>0</v>
      </c>
      <c r="AV195" s="1061"/>
      <c r="AW195" s="1062">
        <f t="shared" ref="AW195:AW230" si="182">AU195/($AS$13*(100%-I195))</f>
        <v>0</v>
      </c>
      <c r="AX195" s="1063">
        <f t="shared" ref="AX195:AX230" si="183">IF(AY195=0,1,AY195/(AY195/($AX$13*(1/H195))))</f>
        <v>1</v>
      </c>
      <c r="AY195" s="1016">
        <f t="shared" si="159"/>
        <v>0</v>
      </c>
      <c r="AZ195" s="1017">
        <v>0</v>
      </c>
      <c r="BA195" s="1061"/>
      <c r="BB195" s="1062">
        <f t="shared" ref="BB195:BB230" si="184">AZ195/($AX$13*(100%-I195))</f>
        <v>0</v>
      </c>
      <c r="BC195" s="1063">
        <f t="shared" ref="BC195:BC230" si="185">IF(BD195=0,1,BD195/(BD195/($BC$13*(1/H195))))</f>
        <v>1</v>
      </c>
      <c r="BD195" s="1016">
        <f t="shared" si="160"/>
        <v>0</v>
      </c>
      <c r="BE195" s="1017">
        <v>0</v>
      </c>
      <c r="BF195" s="1061"/>
      <c r="BG195" s="1062">
        <f t="shared" ref="BG195:BG230" si="186">BE195/($BC$13*(100%-I195))</f>
        <v>0</v>
      </c>
      <c r="BH195" s="1039">
        <f t="shared" ref="BH195:BH230" si="187">K195+U195+AE195+AO195++AY195</f>
        <v>0</v>
      </c>
      <c r="BI195" s="1038">
        <f t="shared" ref="BI195:BI230" si="188">L195+V195+AF195+AP195+AZ195</f>
        <v>0</v>
      </c>
      <c r="BJ195" s="1027"/>
      <c r="BK195" s="1060"/>
      <c r="BL195" s="1040">
        <f t="shared" si="164"/>
        <v>0</v>
      </c>
      <c r="BM195" s="1038">
        <f t="shared" ref="BM195:BM230" si="189">Q195+AA195+AK195+AU195+BE195</f>
        <v>0</v>
      </c>
      <c r="BN195" s="1027"/>
      <c r="BO195" s="1060"/>
      <c r="BP195" s="95">
        <f t="shared" ref="BP195:BP230" si="190">SUM(BH195,BL195)</f>
        <v>0</v>
      </c>
      <c r="BQ195" s="640">
        <f t="shared" ref="BQ195:BQ230" si="191">BI195+BM195</f>
        <v>0</v>
      </c>
      <c r="BR195" s="323"/>
      <c r="BS195" s="94">
        <f t="shared" ref="BS195:BS230" si="192">I195</f>
        <v>0</v>
      </c>
      <c r="BU195" s="632">
        <f t="shared" ref="BU195:BU228" si="193">BP195/H195</f>
        <v>0</v>
      </c>
      <c r="BV195" s="398"/>
      <c r="BW195" s="405"/>
      <c r="BX195" s="323"/>
      <c r="CD195" s="694"/>
      <c r="CI195" s="320"/>
    </row>
    <row r="196" spans="1:87" ht="14.25" thickTop="1" thickBot="1">
      <c r="A196" s="57"/>
      <c r="B196" s="92">
        <v>66</v>
      </c>
      <c r="C196" s="255">
        <f t="shared" si="165"/>
        <v>0</v>
      </c>
      <c r="D196" s="769">
        <f t="shared" si="165"/>
        <v>0</v>
      </c>
      <c r="E196" s="93">
        <f t="shared" si="165"/>
        <v>0</v>
      </c>
      <c r="F196" s="93">
        <f t="shared" si="165"/>
        <v>0</v>
      </c>
      <c r="G196" s="93"/>
      <c r="H196" s="678">
        <f t="shared" ref="H196:H228" si="194">1/(1-I196)</f>
        <v>1</v>
      </c>
      <c r="I196" s="679">
        <f t="shared" si="166"/>
        <v>0</v>
      </c>
      <c r="J196" s="633">
        <f>IF(K196=0,1,K196/(K196/($J$13*(1/H196))))</f>
        <v>1</v>
      </c>
      <c r="K196" s="1016">
        <f t="shared" ref="K196:K230" si="195">L196*$D$8</f>
        <v>0</v>
      </c>
      <c r="L196" s="1017">
        <f>L81/2</f>
        <v>0</v>
      </c>
      <c r="M196" s="1061"/>
      <c r="N196" s="1062">
        <f t="shared" si="167"/>
        <v>0</v>
      </c>
      <c r="O196" s="1063">
        <f t="shared" si="168"/>
        <v>1</v>
      </c>
      <c r="P196" s="1016">
        <f t="shared" si="169"/>
        <v>0</v>
      </c>
      <c r="Q196" s="1017">
        <v>0</v>
      </c>
      <c r="R196" s="1061"/>
      <c r="S196" s="1062">
        <f t="shared" si="170"/>
        <v>0</v>
      </c>
      <c r="T196" s="1063">
        <f t="shared" si="171"/>
        <v>1</v>
      </c>
      <c r="U196" s="1016"/>
      <c r="V196" s="1017">
        <v>0</v>
      </c>
      <c r="W196" s="1061"/>
      <c r="X196" s="1062">
        <f t="shared" si="172"/>
        <v>0</v>
      </c>
      <c r="Y196" s="1063">
        <f t="shared" si="173"/>
        <v>1</v>
      </c>
      <c r="Z196" s="1016">
        <f t="shared" ref="Z196:Z230" si="196">AA196*$D$8</f>
        <v>0</v>
      </c>
      <c r="AA196" s="1017">
        <v>0</v>
      </c>
      <c r="AB196" s="1061"/>
      <c r="AC196" s="1062">
        <f t="shared" si="174"/>
        <v>0</v>
      </c>
      <c r="AD196" s="1063">
        <f t="shared" si="175"/>
        <v>1</v>
      </c>
      <c r="AE196" s="1016">
        <f t="shared" ref="AE196:AE230" si="197">AF196*$D$8</f>
        <v>0</v>
      </c>
      <c r="AF196" s="1017">
        <v>0</v>
      </c>
      <c r="AG196" s="1061"/>
      <c r="AH196" s="1062">
        <f t="shared" si="176"/>
        <v>0</v>
      </c>
      <c r="AI196" s="1063">
        <f t="shared" si="177"/>
        <v>1</v>
      </c>
      <c r="AJ196" s="1016">
        <f t="shared" ref="AJ196:AJ230" si="198">AK196*$D$8</f>
        <v>0</v>
      </c>
      <c r="AK196" s="1017">
        <v>0</v>
      </c>
      <c r="AL196" s="1061"/>
      <c r="AM196" s="1062">
        <f t="shared" si="178"/>
        <v>0</v>
      </c>
      <c r="AN196" s="1063">
        <f t="shared" si="179"/>
        <v>1</v>
      </c>
      <c r="AO196" s="1016">
        <f t="shared" ref="AO196:AO230" si="199">AP196*$D$8</f>
        <v>0</v>
      </c>
      <c r="AP196" s="1017">
        <v>0</v>
      </c>
      <c r="AQ196" s="1061"/>
      <c r="AR196" s="1062">
        <f t="shared" si="180"/>
        <v>0</v>
      </c>
      <c r="AS196" s="1063">
        <f t="shared" si="181"/>
        <v>1</v>
      </c>
      <c r="AT196" s="1016">
        <f t="shared" ref="AT196:AT230" si="200">AU196*$D$8</f>
        <v>0</v>
      </c>
      <c r="AU196" s="1017">
        <v>0</v>
      </c>
      <c r="AV196" s="1061"/>
      <c r="AW196" s="1062">
        <f t="shared" si="182"/>
        <v>0</v>
      </c>
      <c r="AX196" s="1063">
        <f t="shared" si="183"/>
        <v>1</v>
      </c>
      <c r="AY196" s="1016">
        <f t="shared" ref="AY196:AY230" si="201">AZ196*$D$8</f>
        <v>0</v>
      </c>
      <c r="AZ196" s="1017">
        <v>0</v>
      </c>
      <c r="BA196" s="1061"/>
      <c r="BB196" s="1062">
        <f t="shared" si="184"/>
        <v>0</v>
      </c>
      <c r="BC196" s="1063">
        <f t="shared" si="185"/>
        <v>1</v>
      </c>
      <c r="BD196" s="1016">
        <f t="shared" ref="BD196:BD230" si="202">BE196*$D$8</f>
        <v>0</v>
      </c>
      <c r="BE196" s="1017">
        <v>0</v>
      </c>
      <c r="BF196" s="1061"/>
      <c r="BG196" s="1062">
        <f t="shared" si="186"/>
        <v>0</v>
      </c>
      <c r="BH196" s="1039">
        <f t="shared" si="187"/>
        <v>0</v>
      </c>
      <c r="BI196" s="1038">
        <f t="shared" si="188"/>
        <v>0</v>
      </c>
      <c r="BJ196" s="1027"/>
      <c r="BK196" s="1060"/>
      <c r="BL196" s="1040">
        <f t="shared" si="164"/>
        <v>0</v>
      </c>
      <c r="BM196" s="1038">
        <f t="shared" si="189"/>
        <v>0</v>
      </c>
      <c r="BN196" s="1027"/>
      <c r="BO196" s="1060"/>
      <c r="BP196" s="95">
        <f t="shared" si="190"/>
        <v>0</v>
      </c>
      <c r="BQ196" s="640">
        <f t="shared" si="191"/>
        <v>0</v>
      </c>
      <c r="BS196" s="94">
        <f t="shared" si="192"/>
        <v>0</v>
      </c>
      <c r="BU196" s="632">
        <f t="shared" si="193"/>
        <v>0</v>
      </c>
      <c r="BV196" s="398"/>
      <c r="BW196" s="405"/>
      <c r="CI196" s="96"/>
    </row>
    <row r="197" spans="1:87" ht="14.25" thickTop="1" thickBot="1">
      <c r="A197" s="57"/>
      <c r="B197" s="92">
        <v>67</v>
      </c>
      <c r="C197" s="255">
        <f t="shared" si="165"/>
        <v>0</v>
      </c>
      <c r="D197" s="93">
        <f t="shared" si="165"/>
        <v>0</v>
      </c>
      <c r="E197" s="93">
        <f t="shared" si="165"/>
        <v>0</v>
      </c>
      <c r="F197" s="93">
        <f t="shared" si="165"/>
        <v>0</v>
      </c>
      <c r="G197" s="93"/>
      <c r="H197" s="678">
        <f t="shared" si="194"/>
        <v>1</v>
      </c>
      <c r="I197" s="679">
        <f t="shared" si="166"/>
        <v>0</v>
      </c>
      <c r="J197" s="633">
        <f t="shared" ref="J197:J230" si="203">IF(K197=0,1,K197/(K197/($J$13*(1/H197))))</f>
        <v>1</v>
      </c>
      <c r="K197" s="1016">
        <f t="shared" si="195"/>
        <v>0</v>
      </c>
      <c r="L197" s="1017">
        <v>0</v>
      </c>
      <c r="M197" s="1061"/>
      <c r="N197" s="1062">
        <f t="shared" si="167"/>
        <v>0</v>
      </c>
      <c r="O197" s="1063">
        <f t="shared" si="168"/>
        <v>1</v>
      </c>
      <c r="P197" s="1016">
        <f t="shared" si="169"/>
        <v>0</v>
      </c>
      <c r="Q197" s="1017">
        <v>0</v>
      </c>
      <c r="R197" s="1061"/>
      <c r="S197" s="1062">
        <f t="shared" si="170"/>
        <v>0</v>
      </c>
      <c r="T197" s="1063">
        <f t="shared" si="171"/>
        <v>1</v>
      </c>
      <c r="U197" s="1016"/>
      <c r="V197" s="1017">
        <v>0</v>
      </c>
      <c r="W197" s="1061"/>
      <c r="X197" s="1062">
        <f t="shared" si="172"/>
        <v>0</v>
      </c>
      <c r="Y197" s="1063">
        <f t="shared" si="173"/>
        <v>1</v>
      </c>
      <c r="Z197" s="1016">
        <f t="shared" si="196"/>
        <v>0</v>
      </c>
      <c r="AA197" s="1017">
        <v>0</v>
      </c>
      <c r="AB197" s="1061"/>
      <c r="AC197" s="1062">
        <f t="shared" si="174"/>
        <v>0</v>
      </c>
      <c r="AD197" s="1063">
        <f t="shared" si="175"/>
        <v>1</v>
      </c>
      <c r="AE197" s="1016">
        <f t="shared" si="197"/>
        <v>0</v>
      </c>
      <c r="AF197" s="1017">
        <v>0</v>
      </c>
      <c r="AG197" s="1061"/>
      <c r="AH197" s="1062">
        <f t="shared" si="176"/>
        <v>0</v>
      </c>
      <c r="AI197" s="1063">
        <f t="shared" si="177"/>
        <v>1</v>
      </c>
      <c r="AJ197" s="1016">
        <f t="shared" si="198"/>
        <v>0</v>
      </c>
      <c r="AK197" s="1017">
        <v>0</v>
      </c>
      <c r="AL197" s="1061"/>
      <c r="AM197" s="1062">
        <f t="shared" si="178"/>
        <v>0</v>
      </c>
      <c r="AN197" s="1063">
        <f t="shared" si="179"/>
        <v>1</v>
      </c>
      <c r="AO197" s="1016">
        <f t="shared" si="199"/>
        <v>0</v>
      </c>
      <c r="AP197" s="1017">
        <v>0</v>
      </c>
      <c r="AQ197" s="1061"/>
      <c r="AR197" s="1062">
        <f t="shared" si="180"/>
        <v>0</v>
      </c>
      <c r="AS197" s="1063">
        <f t="shared" si="181"/>
        <v>1</v>
      </c>
      <c r="AT197" s="1016">
        <f t="shared" si="200"/>
        <v>0</v>
      </c>
      <c r="AU197" s="1017">
        <v>0</v>
      </c>
      <c r="AV197" s="1061"/>
      <c r="AW197" s="1062">
        <f t="shared" si="182"/>
        <v>0</v>
      </c>
      <c r="AX197" s="1063">
        <f t="shared" si="183"/>
        <v>1</v>
      </c>
      <c r="AY197" s="1016">
        <f t="shared" si="201"/>
        <v>0</v>
      </c>
      <c r="AZ197" s="1017">
        <v>0</v>
      </c>
      <c r="BA197" s="1061"/>
      <c r="BB197" s="1062">
        <f t="shared" si="184"/>
        <v>0</v>
      </c>
      <c r="BC197" s="1063">
        <f t="shared" si="185"/>
        <v>1</v>
      </c>
      <c r="BD197" s="1016">
        <f t="shared" si="202"/>
        <v>0</v>
      </c>
      <c r="BE197" s="1017">
        <v>0</v>
      </c>
      <c r="BF197" s="1061"/>
      <c r="BG197" s="1062">
        <f t="shared" si="186"/>
        <v>0</v>
      </c>
      <c r="BH197" s="1039">
        <f t="shared" si="187"/>
        <v>0</v>
      </c>
      <c r="BI197" s="1038">
        <f t="shared" si="188"/>
        <v>0</v>
      </c>
      <c r="BJ197" s="1027"/>
      <c r="BK197" s="1060"/>
      <c r="BL197" s="1040">
        <f t="shared" si="164"/>
        <v>0</v>
      </c>
      <c r="BM197" s="1038">
        <f t="shared" si="189"/>
        <v>0</v>
      </c>
      <c r="BN197" s="1027"/>
      <c r="BO197" s="1060"/>
      <c r="BP197" s="95">
        <f t="shared" si="190"/>
        <v>0</v>
      </c>
      <c r="BQ197" s="640">
        <f t="shared" si="191"/>
        <v>0</v>
      </c>
      <c r="BS197" s="94">
        <f t="shared" si="192"/>
        <v>0</v>
      </c>
      <c r="BU197" s="632">
        <f t="shared" si="193"/>
        <v>0</v>
      </c>
      <c r="BV197" s="398"/>
      <c r="BW197" s="405"/>
      <c r="CI197" s="96"/>
    </row>
    <row r="198" spans="1:87" ht="14.25" thickTop="1" thickBot="1">
      <c r="A198" s="57"/>
      <c r="B198" s="92">
        <v>68</v>
      </c>
      <c r="C198" s="255">
        <f t="shared" si="165"/>
        <v>0</v>
      </c>
      <c r="D198" s="385">
        <f t="shared" si="165"/>
        <v>0</v>
      </c>
      <c r="E198" s="93">
        <f t="shared" si="165"/>
        <v>0</v>
      </c>
      <c r="F198" s="93">
        <f t="shared" si="165"/>
        <v>0</v>
      </c>
      <c r="G198" s="93"/>
      <c r="H198" s="678">
        <f t="shared" si="194"/>
        <v>1</v>
      </c>
      <c r="I198" s="679">
        <f t="shared" si="166"/>
        <v>0</v>
      </c>
      <c r="J198" s="633">
        <f t="shared" si="203"/>
        <v>1</v>
      </c>
      <c r="K198" s="1016">
        <f t="shared" si="195"/>
        <v>0</v>
      </c>
      <c r="L198" s="1017">
        <v>0</v>
      </c>
      <c r="M198" s="1061"/>
      <c r="N198" s="1062">
        <f t="shared" si="167"/>
        <v>0</v>
      </c>
      <c r="O198" s="1063">
        <f t="shared" si="168"/>
        <v>1</v>
      </c>
      <c r="P198" s="1016">
        <f t="shared" si="169"/>
        <v>0</v>
      </c>
      <c r="Q198" s="1017">
        <v>0</v>
      </c>
      <c r="R198" s="1061"/>
      <c r="S198" s="1062">
        <f t="shared" si="170"/>
        <v>0</v>
      </c>
      <c r="T198" s="1063">
        <f t="shared" si="171"/>
        <v>1</v>
      </c>
      <c r="U198" s="1016"/>
      <c r="V198" s="1017">
        <v>0</v>
      </c>
      <c r="W198" s="1061"/>
      <c r="X198" s="1062">
        <f t="shared" si="172"/>
        <v>0</v>
      </c>
      <c r="Y198" s="1063">
        <f t="shared" si="173"/>
        <v>1</v>
      </c>
      <c r="Z198" s="1016">
        <f t="shared" si="196"/>
        <v>0</v>
      </c>
      <c r="AA198" s="1017">
        <v>0</v>
      </c>
      <c r="AB198" s="1061"/>
      <c r="AC198" s="1062">
        <f t="shared" si="174"/>
        <v>0</v>
      </c>
      <c r="AD198" s="1063">
        <f t="shared" si="175"/>
        <v>1</v>
      </c>
      <c r="AE198" s="1016">
        <f t="shared" si="197"/>
        <v>0</v>
      </c>
      <c r="AF198" s="1017">
        <v>0</v>
      </c>
      <c r="AG198" s="1061"/>
      <c r="AH198" s="1062">
        <f t="shared" si="176"/>
        <v>0</v>
      </c>
      <c r="AI198" s="1063">
        <f t="shared" si="177"/>
        <v>1</v>
      </c>
      <c r="AJ198" s="1016">
        <f t="shared" si="198"/>
        <v>0</v>
      </c>
      <c r="AK198" s="1017">
        <v>0</v>
      </c>
      <c r="AL198" s="1061"/>
      <c r="AM198" s="1062">
        <f t="shared" si="178"/>
        <v>0</v>
      </c>
      <c r="AN198" s="1063">
        <f t="shared" si="179"/>
        <v>1</v>
      </c>
      <c r="AO198" s="1016">
        <f t="shared" si="199"/>
        <v>0</v>
      </c>
      <c r="AP198" s="1017">
        <v>0</v>
      </c>
      <c r="AQ198" s="1061"/>
      <c r="AR198" s="1062">
        <f t="shared" si="180"/>
        <v>0</v>
      </c>
      <c r="AS198" s="1063">
        <f t="shared" si="181"/>
        <v>1</v>
      </c>
      <c r="AT198" s="1016">
        <f t="shared" si="200"/>
        <v>0</v>
      </c>
      <c r="AU198" s="1017">
        <v>0</v>
      </c>
      <c r="AV198" s="1061"/>
      <c r="AW198" s="1062">
        <f t="shared" si="182"/>
        <v>0</v>
      </c>
      <c r="AX198" s="1063">
        <f t="shared" si="183"/>
        <v>1</v>
      </c>
      <c r="AY198" s="1016">
        <f t="shared" si="201"/>
        <v>0</v>
      </c>
      <c r="AZ198" s="1017">
        <v>0</v>
      </c>
      <c r="BA198" s="1061"/>
      <c r="BB198" s="1062">
        <f t="shared" si="184"/>
        <v>0</v>
      </c>
      <c r="BC198" s="1063">
        <f t="shared" si="185"/>
        <v>1</v>
      </c>
      <c r="BD198" s="1016">
        <f t="shared" si="202"/>
        <v>0</v>
      </c>
      <c r="BE198" s="1017">
        <v>0</v>
      </c>
      <c r="BF198" s="1061"/>
      <c r="BG198" s="1062">
        <f t="shared" si="186"/>
        <v>0</v>
      </c>
      <c r="BH198" s="1039">
        <f t="shared" si="187"/>
        <v>0</v>
      </c>
      <c r="BI198" s="1038">
        <f t="shared" si="188"/>
        <v>0</v>
      </c>
      <c r="BJ198" s="1027"/>
      <c r="BK198" s="1060"/>
      <c r="BL198" s="1040">
        <f t="shared" si="164"/>
        <v>0</v>
      </c>
      <c r="BM198" s="1038">
        <f t="shared" si="189"/>
        <v>0</v>
      </c>
      <c r="BN198" s="1027"/>
      <c r="BO198" s="1060"/>
      <c r="BP198" s="95">
        <f t="shared" si="190"/>
        <v>0</v>
      </c>
      <c r="BQ198" s="640">
        <f t="shared" si="191"/>
        <v>0</v>
      </c>
      <c r="BS198" s="94">
        <f t="shared" si="192"/>
        <v>0</v>
      </c>
      <c r="BU198" s="632">
        <f t="shared" si="193"/>
        <v>0</v>
      </c>
      <c r="BV198" s="398"/>
      <c r="BW198" s="405"/>
      <c r="CI198" s="96"/>
    </row>
    <row r="199" spans="1:87" ht="14.25" thickTop="1" thickBot="1">
      <c r="A199" s="57"/>
      <c r="B199" s="92">
        <v>69</v>
      </c>
      <c r="C199" s="255">
        <f t="shared" si="165"/>
        <v>0</v>
      </c>
      <c r="D199" s="93">
        <f t="shared" si="165"/>
        <v>0</v>
      </c>
      <c r="E199" s="93">
        <f t="shared" si="165"/>
        <v>0</v>
      </c>
      <c r="F199" s="93">
        <f t="shared" si="165"/>
        <v>0</v>
      </c>
      <c r="G199" s="93"/>
      <c r="H199" s="678">
        <f t="shared" si="194"/>
        <v>1</v>
      </c>
      <c r="I199" s="679">
        <f t="shared" si="166"/>
        <v>0</v>
      </c>
      <c r="J199" s="633">
        <f t="shared" si="203"/>
        <v>1</v>
      </c>
      <c r="K199" s="1016">
        <f t="shared" si="195"/>
        <v>0</v>
      </c>
      <c r="L199" s="1017">
        <v>0</v>
      </c>
      <c r="M199" s="1061"/>
      <c r="N199" s="1062">
        <f t="shared" si="167"/>
        <v>0</v>
      </c>
      <c r="O199" s="1063">
        <f t="shared" si="168"/>
        <v>1</v>
      </c>
      <c r="P199" s="1016">
        <f t="shared" si="169"/>
        <v>0</v>
      </c>
      <c r="Q199" s="1017">
        <v>0</v>
      </c>
      <c r="R199" s="1061"/>
      <c r="S199" s="1062">
        <f t="shared" si="170"/>
        <v>0</v>
      </c>
      <c r="T199" s="1063">
        <f t="shared" si="171"/>
        <v>1</v>
      </c>
      <c r="U199" s="1016"/>
      <c r="V199" s="1017">
        <v>0</v>
      </c>
      <c r="W199" s="1061"/>
      <c r="X199" s="1062">
        <f t="shared" si="172"/>
        <v>0</v>
      </c>
      <c r="Y199" s="1063">
        <f t="shared" si="173"/>
        <v>1</v>
      </c>
      <c r="Z199" s="1016">
        <f t="shared" si="196"/>
        <v>0</v>
      </c>
      <c r="AA199" s="1017">
        <v>0</v>
      </c>
      <c r="AB199" s="1061"/>
      <c r="AC199" s="1062">
        <f t="shared" si="174"/>
        <v>0</v>
      </c>
      <c r="AD199" s="1063">
        <f t="shared" si="175"/>
        <v>1</v>
      </c>
      <c r="AE199" s="1016">
        <f t="shared" si="197"/>
        <v>0</v>
      </c>
      <c r="AF199" s="1017">
        <v>0</v>
      </c>
      <c r="AG199" s="1061"/>
      <c r="AH199" s="1062">
        <f t="shared" si="176"/>
        <v>0</v>
      </c>
      <c r="AI199" s="1063">
        <f t="shared" si="177"/>
        <v>1</v>
      </c>
      <c r="AJ199" s="1016">
        <f t="shared" si="198"/>
        <v>0</v>
      </c>
      <c r="AK199" s="1017">
        <v>0</v>
      </c>
      <c r="AL199" s="1061"/>
      <c r="AM199" s="1062">
        <f t="shared" si="178"/>
        <v>0</v>
      </c>
      <c r="AN199" s="1063">
        <f t="shared" si="179"/>
        <v>1</v>
      </c>
      <c r="AO199" s="1016">
        <f t="shared" si="199"/>
        <v>0</v>
      </c>
      <c r="AP199" s="1017">
        <v>0</v>
      </c>
      <c r="AQ199" s="1061"/>
      <c r="AR199" s="1062">
        <f t="shared" si="180"/>
        <v>0</v>
      </c>
      <c r="AS199" s="1063">
        <f t="shared" si="181"/>
        <v>1</v>
      </c>
      <c r="AT199" s="1016">
        <f t="shared" si="200"/>
        <v>0</v>
      </c>
      <c r="AU199" s="1017">
        <v>0</v>
      </c>
      <c r="AV199" s="1061"/>
      <c r="AW199" s="1062">
        <f t="shared" si="182"/>
        <v>0</v>
      </c>
      <c r="AX199" s="1063">
        <f t="shared" si="183"/>
        <v>1</v>
      </c>
      <c r="AY199" s="1016">
        <f t="shared" si="201"/>
        <v>0</v>
      </c>
      <c r="AZ199" s="1017">
        <v>0</v>
      </c>
      <c r="BA199" s="1061"/>
      <c r="BB199" s="1062">
        <f t="shared" si="184"/>
        <v>0</v>
      </c>
      <c r="BC199" s="1063">
        <f t="shared" si="185"/>
        <v>1</v>
      </c>
      <c r="BD199" s="1016">
        <f t="shared" si="202"/>
        <v>0</v>
      </c>
      <c r="BE199" s="1017">
        <v>0</v>
      </c>
      <c r="BF199" s="1061"/>
      <c r="BG199" s="1062">
        <f t="shared" si="186"/>
        <v>0</v>
      </c>
      <c r="BH199" s="1039">
        <f t="shared" si="187"/>
        <v>0</v>
      </c>
      <c r="BI199" s="1038">
        <f t="shared" si="188"/>
        <v>0</v>
      </c>
      <c r="BJ199" s="1027"/>
      <c r="BK199" s="1060"/>
      <c r="BL199" s="1040">
        <f t="shared" si="164"/>
        <v>0</v>
      </c>
      <c r="BM199" s="1038">
        <f t="shared" si="189"/>
        <v>0</v>
      </c>
      <c r="BN199" s="1027"/>
      <c r="BO199" s="1060"/>
      <c r="BP199" s="95">
        <f t="shared" si="190"/>
        <v>0</v>
      </c>
      <c r="BQ199" s="640">
        <f t="shared" si="191"/>
        <v>0</v>
      </c>
      <c r="BS199" s="94">
        <f t="shared" si="192"/>
        <v>0</v>
      </c>
      <c r="BU199" s="632">
        <f t="shared" si="193"/>
        <v>0</v>
      </c>
      <c r="BV199" s="398"/>
      <c r="BW199" s="405"/>
      <c r="CI199" s="96"/>
    </row>
    <row r="200" spans="1:87" ht="14.25" thickTop="1" thickBot="1">
      <c r="A200" s="57"/>
      <c r="B200" s="92">
        <v>70</v>
      </c>
      <c r="C200" s="255">
        <f t="shared" si="165"/>
        <v>0</v>
      </c>
      <c r="D200" s="93">
        <f t="shared" si="165"/>
        <v>0</v>
      </c>
      <c r="E200" s="93">
        <f t="shared" si="165"/>
        <v>0</v>
      </c>
      <c r="F200" s="93">
        <f t="shared" si="165"/>
        <v>0</v>
      </c>
      <c r="G200" s="93"/>
      <c r="H200" s="678">
        <f t="shared" si="194"/>
        <v>1</v>
      </c>
      <c r="I200" s="679">
        <f t="shared" si="166"/>
        <v>0</v>
      </c>
      <c r="J200" s="633">
        <f t="shared" si="203"/>
        <v>1</v>
      </c>
      <c r="K200" s="1016">
        <f t="shared" si="195"/>
        <v>0</v>
      </c>
      <c r="L200" s="1017">
        <v>0</v>
      </c>
      <c r="M200" s="1061"/>
      <c r="N200" s="1062">
        <f t="shared" si="167"/>
        <v>0</v>
      </c>
      <c r="O200" s="1063">
        <f t="shared" si="168"/>
        <v>1</v>
      </c>
      <c r="P200" s="1016">
        <f t="shared" si="169"/>
        <v>0</v>
      </c>
      <c r="Q200" s="1017">
        <v>0</v>
      </c>
      <c r="R200" s="1061"/>
      <c r="S200" s="1062">
        <f t="shared" si="170"/>
        <v>0</v>
      </c>
      <c r="T200" s="1063">
        <f t="shared" si="171"/>
        <v>1</v>
      </c>
      <c r="U200" s="1016"/>
      <c r="V200" s="1017">
        <v>0</v>
      </c>
      <c r="W200" s="1061"/>
      <c r="X200" s="1062">
        <f t="shared" si="172"/>
        <v>0</v>
      </c>
      <c r="Y200" s="1063">
        <f t="shared" si="173"/>
        <v>1</v>
      </c>
      <c r="Z200" s="1016">
        <f t="shared" si="196"/>
        <v>0</v>
      </c>
      <c r="AA200" s="1017">
        <v>0</v>
      </c>
      <c r="AB200" s="1061"/>
      <c r="AC200" s="1062">
        <f t="shared" si="174"/>
        <v>0</v>
      </c>
      <c r="AD200" s="1063">
        <f t="shared" si="175"/>
        <v>1</v>
      </c>
      <c r="AE200" s="1016">
        <f t="shared" si="197"/>
        <v>0</v>
      </c>
      <c r="AF200" s="1017">
        <v>0</v>
      </c>
      <c r="AG200" s="1061"/>
      <c r="AH200" s="1062">
        <f t="shared" si="176"/>
        <v>0</v>
      </c>
      <c r="AI200" s="1063">
        <f t="shared" si="177"/>
        <v>1</v>
      </c>
      <c r="AJ200" s="1016">
        <f t="shared" si="198"/>
        <v>0</v>
      </c>
      <c r="AK200" s="1017">
        <v>0</v>
      </c>
      <c r="AL200" s="1061"/>
      <c r="AM200" s="1062">
        <f t="shared" si="178"/>
        <v>0</v>
      </c>
      <c r="AN200" s="1063">
        <f t="shared" si="179"/>
        <v>1</v>
      </c>
      <c r="AO200" s="1016">
        <f t="shared" si="199"/>
        <v>0</v>
      </c>
      <c r="AP200" s="1017">
        <v>0</v>
      </c>
      <c r="AQ200" s="1061"/>
      <c r="AR200" s="1062">
        <f t="shared" si="180"/>
        <v>0</v>
      </c>
      <c r="AS200" s="1063">
        <f t="shared" si="181"/>
        <v>1</v>
      </c>
      <c r="AT200" s="1016">
        <f t="shared" si="200"/>
        <v>0</v>
      </c>
      <c r="AU200" s="1017">
        <v>0</v>
      </c>
      <c r="AV200" s="1061"/>
      <c r="AW200" s="1062">
        <f t="shared" si="182"/>
        <v>0</v>
      </c>
      <c r="AX200" s="1063">
        <f t="shared" si="183"/>
        <v>1</v>
      </c>
      <c r="AY200" s="1016">
        <f t="shared" si="201"/>
        <v>0</v>
      </c>
      <c r="AZ200" s="1017">
        <v>0</v>
      </c>
      <c r="BA200" s="1061"/>
      <c r="BB200" s="1062">
        <f t="shared" si="184"/>
        <v>0</v>
      </c>
      <c r="BC200" s="1063">
        <f t="shared" si="185"/>
        <v>1</v>
      </c>
      <c r="BD200" s="1016">
        <f t="shared" si="202"/>
        <v>0</v>
      </c>
      <c r="BE200" s="1017">
        <v>0</v>
      </c>
      <c r="BF200" s="1061"/>
      <c r="BG200" s="1062">
        <f t="shared" si="186"/>
        <v>0</v>
      </c>
      <c r="BH200" s="1039">
        <f t="shared" si="187"/>
        <v>0</v>
      </c>
      <c r="BI200" s="1038">
        <f t="shared" si="188"/>
        <v>0</v>
      </c>
      <c r="BJ200" s="1027"/>
      <c r="BK200" s="1060"/>
      <c r="BL200" s="1040">
        <f t="shared" si="164"/>
        <v>0</v>
      </c>
      <c r="BM200" s="1038">
        <f t="shared" si="189"/>
        <v>0</v>
      </c>
      <c r="BN200" s="1027"/>
      <c r="BO200" s="1060"/>
      <c r="BP200" s="95">
        <f t="shared" si="190"/>
        <v>0</v>
      </c>
      <c r="BQ200" s="640">
        <f t="shared" si="191"/>
        <v>0</v>
      </c>
      <c r="BS200" s="94">
        <f t="shared" si="192"/>
        <v>0</v>
      </c>
      <c r="BU200" s="632">
        <f t="shared" si="193"/>
        <v>0</v>
      </c>
      <c r="BV200" s="398"/>
      <c r="BW200" s="405"/>
      <c r="CI200" s="96"/>
    </row>
    <row r="201" spans="1:87" s="458" customFormat="1" ht="14.25" thickTop="1" thickBot="1">
      <c r="A201" s="453"/>
      <c r="B201" s="454">
        <v>71</v>
      </c>
      <c r="C201" s="455">
        <f t="shared" si="165"/>
        <v>0</v>
      </c>
      <c r="D201" s="456">
        <f t="shared" si="165"/>
        <v>0</v>
      </c>
      <c r="E201" s="456">
        <f t="shared" si="165"/>
        <v>0</v>
      </c>
      <c r="F201" s="456">
        <f t="shared" si="165"/>
        <v>0</v>
      </c>
      <c r="G201" s="456"/>
      <c r="H201" s="678">
        <f t="shared" si="194"/>
        <v>1</v>
      </c>
      <c r="I201" s="679">
        <f t="shared" si="166"/>
        <v>0</v>
      </c>
      <c r="J201" s="633">
        <f t="shared" si="203"/>
        <v>1</v>
      </c>
      <c r="K201" s="1016">
        <f t="shared" si="195"/>
        <v>0</v>
      </c>
      <c r="L201" s="1017">
        <v>0</v>
      </c>
      <c r="M201" s="1061"/>
      <c r="N201" s="1062">
        <f t="shared" si="167"/>
        <v>0</v>
      </c>
      <c r="O201" s="1063">
        <f t="shared" si="168"/>
        <v>1</v>
      </c>
      <c r="P201" s="1016">
        <f t="shared" si="169"/>
        <v>0</v>
      </c>
      <c r="Q201" s="1017">
        <v>0</v>
      </c>
      <c r="R201" s="1061"/>
      <c r="S201" s="1062">
        <f t="shared" si="170"/>
        <v>0</v>
      </c>
      <c r="T201" s="1063">
        <f t="shared" si="171"/>
        <v>1</v>
      </c>
      <c r="U201" s="1016"/>
      <c r="V201" s="1017">
        <v>0</v>
      </c>
      <c r="W201" s="1061"/>
      <c r="X201" s="1062">
        <f t="shared" si="172"/>
        <v>0</v>
      </c>
      <c r="Y201" s="1063">
        <f t="shared" si="173"/>
        <v>1</v>
      </c>
      <c r="Z201" s="1016">
        <f t="shared" si="196"/>
        <v>0</v>
      </c>
      <c r="AA201" s="1017">
        <v>0</v>
      </c>
      <c r="AB201" s="1061"/>
      <c r="AC201" s="1062">
        <f t="shared" si="174"/>
        <v>0</v>
      </c>
      <c r="AD201" s="1063">
        <f t="shared" si="175"/>
        <v>1</v>
      </c>
      <c r="AE201" s="1016">
        <f t="shared" si="197"/>
        <v>0</v>
      </c>
      <c r="AF201" s="1017">
        <v>0</v>
      </c>
      <c r="AG201" s="1061"/>
      <c r="AH201" s="1062">
        <f t="shared" si="176"/>
        <v>0</v>
      </c>
      <c r="AI201" s="1063">
        <f t="shared" si="177"/>
        <v>1</v>
      </c>
      <c r="AJ201" s="1016">
        <f t="shared" si="198"/>
        <v>0</v>
      </c>
      <c r="AK201" s="1017">
        <v>0</v>
      </c>
      <c r="AL201" s="1061"/>
      <c r="AM201" s="1062">
        <f t="shared" si="178"/>
        <v>0</v>
      </c>
      <c r="AN201" s="1063">
        <f t="shared" si="179"/>
        <v>1</v>
      </c>
      <c r="AO201" s="1016">
        <f t="shared" si="199"/>
        <v>0</v>
      </c>
      <c r="AP201" s="1017">
        <v>0</v>
      </c>
      <c r="AQ201" s="1061"/>
      <c r="AR201" s="1062">
        <f t="shared" si="180"/>
        <v>0</v>
      </c>
      <c r="AS201" s="1063">
        <f t="shared" si="181"/>
        <v>1</v>
      </c>
      <c r="AT201" s="1016">
        <f t="shared" si="200"/>
        <v>0</v>
      </c>
      <c r="AU201" s="1017">
        <v>0</v>
      </c>
      <c r="AV201" s="1061"/>
      <c r="AW201" s="1062">
        <f t="shared" si="182"/>
        <v>0</v>
      </c>
      <c r="AX201" s="1063">
        <f t="shared" si="183"/>
        <v>1</v>
      </c>
      <c r="AY201" s="1016">
        <f t="shared" si="201"/>
        <v>0</v>
      </c>
      <c r="AZ201" s="1017">
        <v>0</v>
      </c>
      <c r="BA201" s="1061"/>
      <c r="BB201" s="1062">
        <f t="shared" si="184"/>
        <v>0</v>
      </c>
      <c r="BC201" s="1063">
        <f t="shared" si="185"/>
        <v>1</v>
      </c>
      <c r="BD201" s="1016">
        <f t="shared" si="202"/>
        <v>0</v>
      </c>
      <c r="BE201" s="1017">
        <v>0</v>
      </c>
      <c r="BF201" s="1061"/>
      <c r="BG201" s="1062">
        <f t="shared" si="186"/>
        <v>0</v>
      </c>
      <c r="BH201" s="1039">
        <f t="shared" si="187"/>
        <v>0</v>
      </c>
      <c r="BI201" s="1038">
        <f t="shared" si="188"/>
        <v>0</v>
      </c>
      <c r="BJ201" s="1027"/>
      <c r="BK201" s="1060"/>
      <c r="BL201" s="1040">
        <f t="shared" si="164"/>
        <v>0</v>
      </c>
      <c r="BM201" s="1038">
        <f t="shared" si="189"/>
        <v>0</v>
      </c>
      <c r="BN201" s="1027"/>
      <c r="BO201" s="1060"/>
      <c r="BP201" s="95">
        <f t="shared" si="190"/>
        <v>0</v>
      </c>
      <c r="BQ201" s="640">
        <f t="shared" si="191"/>
        <v>0</v>
      </c>
      <c r="BR201" s="457"/>
      <c r="BS201" s="94">
        <f t="shared" si="192"/>
        <v>0</v>
      </c>
      <c r="BU201" s="632">
        <f t="shared" si="193"/>
        <v>0</v>
      </c>
      <c r="BV201" s="459"/>
      <c r="BW201" s="405"/>
      <c r="BX201" s="323"/>
      <c r="CD201" s="459"/>
      <c r="CI201" s="460"/>
    </row>
    <row r="202" spans="1:87" ht="14.25" thickTop="1" thickBot="1">
      <c r="A202" s="57"/>
      <c r="B202" s="92">
        <v>72</v>
      </c>
      <c r="C202" s="255">
        <f t="shared" si="165"/>
        <v>0</v>
      </c>
      <c r="D202" s="93">
        <f t="shared" si="165"/>
        <v>0</v>
      </c>
      <c r="E202" s="93">
        <f t="shared" si="165"/>
        <v>0</v>
      </c>
      <c r="F202" s="93">
        <f t="shared" si="165"/>
        <v>0</v>
      </c>
      <c r="G202" s="93"/>
      <c r="H202" s="678">
        <f t="shared" si="194"/>
        <v>1</v>
      </c>
      <c r="I202" s="679">
        <f t="shared" si="166"/>
        <v>0</v>
      </c>
      <c r="J202" s="633">
        <f t="shared" si="203"/>
        <v>1</v>
      </c>
      <c r="K202" s="1016">
        <f t="shared" si="195"/>
        <v>0</v>
      </c>
      <c r="L202" s="1017">
        <v>0</v>
      </c>
      <c r="M202" s="1061"/>
      <c r="N202" s="1062">
        <f t="shared" si="167"/>
        <v>0</v>
      </c>
      <c r="O202" s="1063">
        <f t="shared" si="168"/>
        <v>1</v>
      </c>
      <c r="P202" s="1016">
        <f t="shared" si="169"/>
        <v>0</v>
      </c>
      <c r="Q202" s="1017">
        <v>0</v>
      </c>
      <c r="R202" s="1061"/>
      <c r="S202" s="1062">
        <f t="shared" si="170"/>
        <v>0</v>
      </c>
      <c r="T202" s="1063">
        <f t="shared" si="171"/>
        <v>1</v>
      </c>
      <c r="U202" s="1016"/>
      <c r="V202" s="1017">
        <v>0</v>
      </c>
      <c r="W202" s="1061"/>
      <c r="X202" s="1062">
        <f t="shared" si="172"/>
        <v>0</v>
      </c>
      <c r="Y202" s="1063">
        <f t="shared" si="173"/>
        <v>1</v>
      </c>
      <c r="Z202" s="1016">
        <f t="shared" si="196"/>
        <v>0</v>
      </c>
      <c r="AA202" s="1017">
        <v>0</v>
      </c>
      <c r="AB202" s="1061"/>
      <c r="AC202" s="1062">
        <f t="shared" si="174"/>
        <v>0</v>
      </c>
      <c r="AD202" s="1063">
        <f t="shared" si="175"/>
        <v>1</v>
      </c>
      <c r="AE202" s="1016">
        <f t="shared" si="197"/>
        <v>0</v>
      </c>
      <c r="AF202" s="1017">
        <v>0</v>
      </c>
      <c r="AG202" s="1061"/>
      <c r="AH202" s="1062">
        <f t="shared" si="176"/>
        <v>0</v>
      </c>
      <c r="AI202" s="1063">
        <f t="shared" si="177"/>
        <v>1</v>
      </c>
      <c r="AJ202" s="1016">
        <f t="shared" si="198"/>
        <v>0</v>
      </c>
      <c r="AK202" s="1017">
        <v>0</v>
      </c>
      <c r="AL202" s="1061"/>
      <c r="AM202" s="1062">
        <f t="shared" si="178"/>
        <v>0</v>
      </c>
      <c r="AN202" s="1063">
        <f t="shared" si="179"/>
        <v>1</v>
      </c>
      <c r="AO202" s="1016">
        <f t="shared" si="199"/>
        <v>0</v>
      </c>
      <c r="AP202" s="1017">
        <v>0</v>
      </c>
      <c r="AQ202" s="1061"/>
      <c r="AR202" s="1062">
        <f t="shared" si="180"/>
        <v>0</v>
      </c>
      <c r="AS202" s="1063">
        <f t="shared" si="181"/>
        <v>1</v>
      </c>
      <c r="AT202" s="1016">
        <f t="shared" si="200"/>
        <v>0</v>
      </c>
      <c r="AU202" s="1017">
        <v>0</v>
      </c>
      <c r="AV202" s="1061"/>
      <c r="AW202" s="1062">
        <f t="shared" si="182"/>
        <v>0</v>
      </c>
      <c r="AX202" s="1063">
        <f t="shared" si="183"/>
        <v>1</v>
      </c>
      <c r="AY202" s="1016">
        <f t="shared" si="201"/>
        <v>0</v>
      </c>
      <c r="AZ202" s="1017">
        <v>0</v>
      </c>
      <c r="BA202" s="1061"/>
      <c r="BB202" s="1062">
        <f t="shared" si="184"/>
        <v>0</v>
      </c>
      <c r="BC202" s="1063">
        <f t="shared" si="185"/>
        <v>1</v>
      </c>
      <c r="BD202" s="1016">
        <f t="shared" si="202"/>
        <v>0</v>
      </c>
      <c r="BE202" s="1017">
        <v>0</v>
      </c>
      <c r="BF202" s="1061"/>
      <c r="BG202" s="1062">
        <f t="shared" si="186"/>
        <v>0</v>
      </c>
      <c r="BH202" s="1039">
        <f t="shared" si="187"/>
        <v>0</v>
      </c>
      <c r="BI202" s="1038">
        <f t="shared" si="188"/>
        <v>0</v>
      </c>
      <c r="BJ202" s="1027"/>
      <c r="BK202" s="1060"/>
      <c r="BL202" s="1040">
        <f t="shared" si="164"/>
        <v>0</v>
      </c>
      <c r="BM202" s="1038">
        <f t="shared" si="189"/>
        <v>0</v>
      </c>
      <c r="BN202" s="1027"/>
      <c r="BO202" s="1060"/>
      <c r="BP202" s="95">
        <f t="shared" si="190"/>
        <v>0</v>
      </c>
      <c r="BQ202" s="640">
        <f t="shared" si="191"/>
        <v>0</v>
      </c>
      <c r="BS202" s="94">
        <f t="shared" si="192"/>
        <v>0</v>
      </c>
      <c r="BU202" s="632">
        <f t="shared" si="193"/>
        <v>0</v>
      </c>
      <c r="BV202" s="398"/>
      <c r="BW202" s="405"/>
      <c r="CI202" s="96"/>
    </row>
    <row r="203" spans="1:87" ht="14.25" thickTop="1" thickBot="1">
      <c r="A203" s="57"/>
      <c r="B203" s="92">
        <v>73</v>
      </c>
      <c r="C203" s="255">
        <f t="shared" si="165"/>
        <v>0</v>
      </c>
      <c r="D203" s="93">
        <f t="shared" si="165"/>
        <v>0</v>
      </c>
      <c r="E203" s="93">
        <f t="shared" si="165"/>
        <v>0</v>
      </c>
      <c r="F203" s="93">
        <f t="shared" si="165"/>
        <v>0</v>
      </c>
      <c r="G203" s="93"/>
      <c r="H203" s="678">
        <f t="shared" si="194"/>
        <v>1</v>
      </c>
      <c r="I203" s="679">
        <f t="shared" si="166"/>
        <v>0</v>
      </c>
      <c r="J203" s="633">
        <f t="shared" si="203"/>
        <v>1</v>
      </c>
      <c r="K203" s="1016">
        <f t="shared" si="195"/>
        <v>0</v>
      </c>
      <c r="L203" s="1017">
        <v>0</v>
      </c>
      <c r="M203" s="1061"/>
      <c r="N203" s="1062">
        <f t="shared" si="167"/>
        <v>0</v>
      </c>
      <c r="O203" s="1063">
        <f t="shared" si="168"/>
        <v>1</v>
      </c>
      <c r="P203" s="1016">
        <f t="shared" si="169"/>
        <v>0</v>
      </c>
      <c r="Q203" s="1017">
        <v>0</v>
      </c>
      <c r="R203" s="1061"/>
      <c r="S203" s="1062">
        <f t="shared" si="170"/>
        <v>0</v>
      </c>
      <c r="T203" s="1063">
        <f t="shared" si="171"/>
        <v>1</v>
      </c>
      <c r="U203" s="1016"/>
      <c r="V203" s="1017">
        <v>0</v>
      </c>
      <c r="W203" s="1061"/>
      <c r="X203" s="1062">
        <f t="shared" si="172"/>
        <v>0</v>
      </c>
      <c r="Y203" s="1063">
        <f t="shared" si="173"/>
        <v>1</v>
      </c>
      <c r="Z203" s="1016">
        <f t="shared" si="196"/>
        <v>0</v>
      </c>
      <c r="AA203" s="1017">
        <v>0</v>
      </c>
      <c r="AB203" s="1061"/>
      <c r="AC203" s="1062">
        <f t="shared" si="174"/>
        <v>0</v>
      </c>
      <c r="AD203" s="1063">
        <f t="shared" si="175"/>
        <v>1</v>
      </c>
      <c r="AE203" s="1016">
        <f t="shared" si="197"/>
        <v>0</v>
      </c>
      <c r="AF203" s="1017">
        <v>0</v>
      </c>
      <c r="AG203" s="1061"/>
      <c r="AH203" s="1062">
        <f t="shared" si="176"/>
        <v>0</v>
      </c>
      <c r="AI203" s="1063">
        <f t="shared" si="177"/>
        <v>1</v>
      </c>
      <c r="AJ203" s="1016">
        <f t="shared" si="198"/>
        <v>0</v>
      </c>
      <c r="AK203" s="1017">
        <v>0</v>
      </c>
      <c r="AL203" s="1061"/>
      <c r="AM203" s="1062">
        <f t="shared" si="178"/>
        <v>0</v>
      </c>
      <c r="AN203" s="1063">
        <f t="shared" si="179"/>
        <v>1</v>
      </c>
      <c r="AO203" s="1016">
        <f t="shared" si="199"/>
        <v>0</v>
      </c>
      <c r="AP203" s="1017">
        <v>0</v>
      </c>
      <c r="AQ203" s="1061"/>
      <c r="AR203" s="1062">
        <f t="shared" si="180"/>
        <v>0</v>
      </c>
      <c r="AS203" s="1063">
        <f t="shared" si="181"/>
        <v>1</v>
      </c>
      <c r="AT203" s="1016">
        <f t="shared" si="200"/>
        <v>0</v>
      </c>
      <c r="AU203" s="1017">
        <v>0</v>
      </c>
      <c r="AV203" s="1061"/>
      <c r="AW203" s="1062">
        <f t="shared" si="182"/>
        <v>0</v>
      </c>
      <c r="AX203" s="1063">
        <f t="shared" si="183"/>
        <v>1</v>
      </c>
      <c r="AY203" s="1016">
        <f t="shared" si="201"/>
        <v>0</v>
      </c>
      <c r="AZ203" s="1017">
        <v>0</v>
      </c>
      <c r="BA203" s="1061"/>
      <c r="BB203" s="1062">
        <f t="shared" si="184"/>
        <v>0</v>
      </c>
      <c r="BC203" s="1063">
        <f t="shared" si="185"/>
        <v>1</v>
      </c>
      <c r="BD203" s="1016">
        <f t="shared" si="202"/>
        <v>0</v>
      </c>
      <c r="BE203" s="1017">
        <v>0</v>
      </c>
      <c r="BF203" s="1061"/>
      <c r="BG203" s="1062">
        <f t="shared" si="186"/>
        <v>0</v>
      </c>
      <c r="BH203" s="1039">
        <f t="shared" si="187"/>
        <v>0</v>
      </c>
      <c r="BI203" s="1038">
        <f t="shared" si="188"/>
        <v>0</v>
      </c>
      <c r="BJ203" s="1027"/>
      <c r="BK203" s="1060"/>
      <c r="BL203" s="1040">
        <f t="shared" si="164"/>
        <v>0</v>
      </c>
      <c r="BM203" s="1038">
        <f t="shared" si="189"/>
        <v>0</v>
      </c>
      <c r="BN203" s="1027"/>
      <c r="BO203" s="1060"/>
      <c r="BP203" s="95">
        <f t="shared" si="190"/>
        <v>0</v>
      </c>
      <c r="BQ203" s="640">
        <f t="shared" si="191"/>
        <v>0</v>
      </c>
      <c r="BS203" s="94">
        <f t="shared" si="192"/>
        <v>0</v>
      </c>
      <c r="BU203" s="632">
        <f t="shared" si="193"/>
        <v>0</v>
      </c>
      <c r="BV203" s="398"/>
      <c r="BW203" s="405"/>
      <c r="CI203" s="96"/>
    </row>
    <row r="204" spans="1:87" ht="14.25" thickTop="1" thickBot="1">
      <c r="A204" s="57"/>
      <c r="B204" s="92">
        <v>74</v>
      </c>
      <c r="C204" s="255">
        <f t="shared" si="165"/>
        <v>0</v>
      </c>
      <c r="D204" s="385">
        <f t="shared" si="165"/>
        <v>0</v>
      </c>
      <c r="E204" s="93">
        <f t="shared" si="165"/>
        <v>0</v>
      </c>
      <c r="F204" s="93">
        <f t="shared" si="165"/>
        <v>0</v>
      </c>
      <c r="G204" s="93"/>
      <c r="H204" s="678">
        <f t="shared" si="194"/>
        <v>1</v>
      </c>
      <c r="I204" s="679">
        <f t="shared" si="166"/>
        <v>0</v>
      </c>
      <c r="J204" s="633">
        <f t="shared" si="203"/>
        <v>1</v>
      </c>
      <c r="K204" s="1016">
        <f t="shared" si="195"/>
        <v>0</v>
      </c>
      <c r="L204" s="1017">
        <v>0</v>
      </c>
      <c r="M204" s="1061"/>
      <c r="N204" s="1062">
        <f t="shared" si="167"/>
        <v>0</v>
      </c>
      <c r="O204" s="1063">
        <f t="shared" si="168"/>
        <v>1</v>
      </c>
      <c r="P204" s="1016">
        <f t="shared" si="169"/>
        <v>0</v>
      </c>
      <c r="Q204" s="1017">
        <v>0</v>
      </c>
      <c r="R204" s="1061"/>
      <c r="S204" s="1062">
        <f t="shared" si="170"/>
        <v>0</v>
      </c>
      <c r="T204" s="1063">
        <f t="shared" si="171"/>
        <v>1</v>
      </c>
      <c r="U204" s="1016"/>
      <c r="V204" s="1017">
        <v>0</v>
      </c>
      <c r="W204" s="1061"/>
      <c r="X204" s="1062">
        <f t="shared" si="172"/>
        <v>0</v>
      </c>
      <c r="Y204" s="1063">
        <f t="shared" si="173"/>
        <v>1</v>
      </c>
      <c r="Z204" s="1016">
        <f t="shared" si="196"/>
        <v>0</v>
      </c>
      <c r="AA204" s="1017">
        <v>0</v>
      </c>
      <c r="AB204" s="1061"/>
      <c r="AC204" s="1062">
        <f t="shared" si="174"/>
        <v>0</v>
      </c>
      <c r="AD204" s="1063">
        <f t="shared" si="175"/>
        <v>1</v>
      </c>
      <c r="AE204" s="1016">
        <f t="shared" si="197"/>
        <v>0</v>
      </c>
      <c r="AF204" s="1017">
        <v>0</v>
      </c>
      <c r="AG204" s="1061"/>
      <c r="AH204" s="1062">
        <f t="shared" si="176"/>
        <v>0</v>
      </c>
      <c r="AI204" s="1063">
        <f t="shared" si="177"/>
        <v>1</v>
      </c>
      <c r="AJ204" s="1016">
        <f t="shared" si="198"/>
        <v>0</v>
      </c>
      <c r="AK204" s="1017">
        <v>0</v>
      </c>
      <c r="AL204" s="1061"/>
      <c r="AM204" s="1062">
        <f t="shared" si="178"/>
        <v>0</v>
      </c>
      <c r="AN204" s="1063">
        <f t="shared" si="179"/>
        <v>1</v>
      </c>
      <c r="AO204" s="1016">
        <f t="shared" si="199"/>
        <v>0</v>
      </c>
      <c r="AP204" s="1017">
        <v>0</v>
      </c>
      <c r="AQ204" s="1061"/>
      <c r="AR204" s="1062">
        <f t="shared" si="180"/>
        <v>0</v>
      </c>
      <c r="AS204" s="1063">
        <f t="shared" si="181"/>
        <v>1</v>
      </c>
      <c r="AT204" s="1016">
        <f t="shared" si="200"/>
        <v>0</v>
      </c>
      <c r="AU204" s="1017">
        <v>0</v>
      </c>
      <c r="AV204" s="1061"/>
      <c r="AW204" s="1062">
        <f t="shared" si="182"/>
        <v>0</v>
      </c>
      <c r="AX204" s="1063">
        <f t="shared" si="183"/>
        <v>1</v>
      </c>
      <c r="AY204" s="1016">
        <f t="shared" si="201"/>
        <v>0</v>
      </c>
      <c r="AZ204" s="1017">
        <v>0</v>
      </c>
      <c r="BA204" s="1061"/>
      <c r="BB204" s="1062">
        <f t="shared" si="184"/>
        <v>0</v>
      </c>
      <c r="BC204" s="1063">
        <f t="shared" si="185"/>
        <v>1</v>
      </c>
      <c r="BD204" s="1016">
        <f t="shared" si="202"/>
        <v>0</v>
      </c>
      <c r="BE204" s="1017">
        <v>0</v>
      </c>
      <c r="BF204" s="1061"/>
      <c r="BG204" s="1062">
        <f t="shared" si="186"/>
        <v>0</v>
      </c>
      <c r="BH204" s="1039">
        <f t="shared" si="187"/>
        <v>0</v>
      </c>
      <c r="BI204" s="1038">
        <f t="shared" si="188"/>
        <v>0</v>
      </c>
      <c r="BJ204" s="1027"/>
      <c r="BK204" s="1060"/>
      <c r="BL204" s="1040">
        <f t="shared" si="164"/>
        <v>0</v>
      </c>
      <c r="BM204" s="1038">
        <f t="shared" si="189"/>
        <v>0</v>
      </c>
      <c r="BN204" s="1027"/>
      <c r="BO204" s="1060"/>
      <c r="BP204" s="95">
        <f t="shared" si="190"/>
        <v>0</v>
      </c>
      <c r="BQ204" s="640">
        <f t="shared" si="191"/>
        <v>0</v>
      </c>
      <c r="BS204" s="94">
        <f t="shared" si="192"/>
        <v>0</v>
      </c>
      <c r="BU204" s="632">
        <f t="shared" si="193"/>
        <v>0</v>
      </c>
      <c r="BV204" s="398"/>
      <c r="BW204" s="405"/>
      <c r="CI204" s="96"/>
    </row>
    <row r="205" spans="1:87" ht="14.25" thickTop="1" thickBot="1">
      <c r="A205" s="57"/>
      <c r="B205" s="92">
        <v>75</v>
      </c>
      <c r="C205" s="255">
        <f t="shared" si="165"/>
        <v>0</v>
      </c>
      <c r="D205" s="93">
        <f t="shared" si="165"/>
        <v>0</v>
      </c>
      <c r="E205" s="93">
        <f t="shared" si="165"/>
        <v>0</v>
      </c>
      <c r="F205" s="93">
        <f t="shared" si="165"/>
        <v>0</v>
      </c>
      <c r="G205" s="93"/>
      <c r="H205" s="678">
        <f t="shared" si="194"/>
        <v>1</v>
      </c>
      <c r="I205" s="679">
        <f t="shared" si="166"/>
        <v>0</v>
      </c>
      <c r="J205" s="633">
        <f t="shared" si="203"/>
        <v>1</v>
      </c>
      <c r="K205" s="1016">
        <f t="shared" si="195"/>
        <v>0</v>
      </c>
      <c r="L205" s="1017">
        <v>0</v>
      </c>
      <c r="M205" s="1061"/>
      <c r="N205" s="1062">
        <f t="shared" si="167"/>
        <v>0</v>
      </c>
      <c r="O205" s="1063">
        <f t="shared" si="168"/>
        <v>1</v>
      </c>
      <c r="P205" s="1016">
        <f t="shared" si="169"/>
        <v>0</v>
      </c>
      <c r="Q205" s="1017">
        <v>0</v>
      </c>
      <c r="R205" s="1061"/>
      <c r="S205" s="1062">
        <f t="shared" si="170"/>
        <v>0</v>
      </c>
      <c r="T205" s="1063">
        <f t="shared" si="171"/>
        <v>1</v>
      </c>
      <c r="U205" s="1016"/>
      <c r="V205" s="1017">
        <v>0</v>
      </c>
      <c r="W205" s="1061"/>
      <c r="X205" s="1062">
        <f t="shared" si="172"/>
        <v>0</v>
      </c>
      <c r="Y205" s="1063">
        <f t="shared" si="173"/>
        <v>1</v>
      </c>
      <c r="Z205" s="1016">
        <f t="shared" si="196"/>
        <v>0</v>
      </c>
      <c r="AA205" s="1017">
        <v>0</v>
      </c>
      <c r="AB205" s="1061"/>
      <c r="AC205" s="1062">
        <f t="shared" si="174"/>
        <v>0</v>
      </c>
      <c r="AD205" s="1063">
        <f t="shared" si="175"/>
        <v>1</v>
      </c>
      <c r="AE205" s="1016">
        <f t="shared" si="197"/>
        <v>0</v>
      </c>
      <c r="AF205" s="1017">
        <v>0</v>
      </c>
      <c r="AG205" s="1061"/>
      <c r="AH205" s="1062">
        <f t="shared" si="176"/>
        <v>0</v>
      </c>
      <c r="AI205" s="1063">
        <f t="shared" si="177"/>
        <v>1</v>
      </c>
      <c r="AJ205" s="1016">
        <f t="shared" si="198"/>
        <v>0</v>
      </c>
      <c r="AK205" s="1017">
        <v>0</v>
      </c>
      <c r="AL205" s="1061"/>
      <c r="AM205" s="1062">
        <f t="shared" si="178"/>
        <v>0</v>
      </c>
      <c r="AN205" s="1063">
        <f t="shared" si="179"/>
        <v>1</v>
      </c>
      <c r="AO205" s="1016">
        <f t="shared" si="199"/>
        <v>0</v>
      </c>
      <c r="AP205" s="1017">
        <v>0</v>
      </c>
      <c r="AQ205" s="1061"/>
      <c r="AR205" s="1062">
        <f t="shared" si="180"/>
        <v>0</v>
      </c>
      <c r="AS205" s="1063">
        <f t="shared" si="181"/>
        <v>1</v>
      </c>
      <c r="AT205" s="1016">
        <f t="shared" si="200"/>
        <v>0</v>
      </c>
      <c r="AU205" s="1017">
        <v>0</v>
      </c>
      <c r="AV205" s="1061"/>
      <c r="AW205" s="1062">
        <f t="shared" si="182"/>
        <v>0</v>
      </c>
      <c r="AX205" s="1063">
        <f t="shared" si="183"/>
        <v>1</v>
      </c>
      <c r="AY205" s="1016">
        <f t="shared" si="201"/>
        <v>0</v>
      </c>
      <c r="AZ205" s="1017">
        <v>0</v>
      </c>
      <c r="BA205" s="1061"/>
      <c r="BB205" s="1062">
        <f t="shared" si="184"/>
        <v>0</v>
      </c>
      <c r="BC205" s="1063">
        <f t="shared" si="185"/>
        <v>1</v>
      </c>
      <c r="BD205" s="1016">
        <f t="shared" si="202"/>
        <v>0</v>
      </c>
      <c r="BE205" s="1017">
        <v>0</v>
      </c>
      <c r="BF205" s="1061"/>
      <c r="BG205" s="1062">
        <f t="shared" si="186"/>
        <v>0</v>
      </c>
      <c r="BH205" s="1039">
        <f t="shared" si="187"/>
        <v>0</v>
      </c>
      <c r="BI205" s="1038">
        <f t="shared" si="188"/>
        <v>0</v>
      </c>
      <c r="BJ205" s="1027"/>
      <c r="BK205" s="1060"/>
      <c r="BL205" s="1040">
        <f t="shared" si="164"/>
        <v>0</v>
      </c>
      <c r="BM205" s="1038">
        <f t="shared" si="189"/>
        <v>0</v>
      </c>
      <c r="BN205" s="1027"/>
      <c r="BO205" s="1060"/>
      <c r="BP205" s="95">
        <f t="shared" si="190"/>
        <v>0</v>
      </c>
      <c r="BQ205" s="640">
        <f t="shared" si="191"/>
        <v>0</v>
      </c>
      <c r="BS205" s="94">
        <f t="shared" si="192"/>
        <v>0</v>
      </c>
      <c r="BU205" s="632">
        <f t="shared" si="193"/>
        <v>0</v>
      </c>
      <c r="BV205" s="398"/>
      <c r="BW205" s="405"/>
      <c r="CI205" s="96"/>
    </row>
    <row r="206" spans="1:87" ht="14.25" thickTop="1" thickBot="1">
      <c r="A206" s="57"/>
      <c r="B206" s="92">
        <v>76</v>
      </c>
      <c r="C206" s="255">
        <f t="shared" si="165"/>
        <v>0</v>
      </c>
      <c r="D206" s="93">
        <f t="shared" si="165"/>
        <v>0</v>
      </c>
      <c r="E206" s="93">
        <f t="shared" si="165"/>
        <v>0</v>
      </c>
      <c r="F206" s="93">
        <f t="shared" si="165"/>
        <v>0</v>
      </c>
      <c r="G206" s="93"/>
      <c r="H206" s="678">
        <f t="shared" si="194"/>
        <v>1</v>
      </c>
      <c r="I206" s="679">
        <f t="shared" si="166"/>
        <v>0</v>
      </c>
      <c r="J206" s="633">
        <f t="shared" si="203"/>
        <v>1</v>
      </c>
      <c r="K206" s="1016">
        <f t="shared" si="195"/>
        <v>0</v>
      </c>
      <c r="L206" s="1017">
        <v>0</v>
      </c>
      <c r="M206" s="1061"/>
      <c r="N206" s="1062">
        <f t="shared" si="167"/>
        <v>0</v>
      </c>
      <c r="O206" s="1063">
        <f t="shared" si="168"/>
        <v>1</v>
      </c>
      <c r="P206" s="1016">
        <f t="shared" si="169"/>
        <v>0</v>
      </c>
      <c r="Q206" s="1017">
        <v>0</v>
      </c>
      <c r="R206" s="1061"/>
      <c r="S206" s="1062">
        <f t="shared" si="170"/>
        <v>0</v>
      </c>
      <c r="T206" s="1063">
        <f t="shared" si="171"/>
        <v>1</v>
      </c>
      <c r="U206" s="1016"/>
      <c r="V206" s="1017">
        <v>0</v>
      </c>
      <c r="W206" s="1061"/>
      <c r="X206" s="1062">
        <f t="shared" si="172"/>
        <v>0</v>
      </c>
      <c r="Y206" s="1063">
        <f t="shared" si="173"/>
        <v>1</v>
      </c>
      <c r="Z206" s="1016">
        <f t="shared" si="196"/>
        <v>0</v>
      </c>
      <c r="AA206" s="1017">
        <v>0</v>
      </c>
      <c r="AB206" s="1061"/>
      <c r="AC206" s="1062">
        <f t="shared" si="174"/>
        <v>0</v>
      </c>
      <c r="AD206" s="1063">
        <f t="shared" si="175"/>
        <v>1</v>
      </c>
      <c r="AE206" s="1016">
        <f t="shared" si="197"/>
        <v>0</v>
      </c>
      <c r="AF206" s="1017">
        <v>0</v>
      </c>
      <c r="AG206" s="1061"/>
      <c r="AH206" s="1062">
        <f t="shared" si="176"/>
        <v>0</v>
      </c>
      <c r="AI206" s="1063">
        <f t="shared" si="177"/>
        <v>1</v>
      </c>
      <c r="AJ206" s="1016">
        <f t="shared" si="198"/>
        <v>0</v>
      </c>
      <c r="AK206" s="1017">
        <v>0</v>
      </c>
      <c r="AL206" s="1061"/>
      <c r="AM206" s="1062">
        <f t="shared" si="178"/>
        <v>0</v>
      </c>
      <c r="AN206" s="1063">
        <f t="shared" si="179"/>
        <v>1</v>
      </c>
      <c r="AO206" s="1016">
        <f t="shared" si="199"/>
        <v>0</v>
      </c>
      <c r="AP206" s="1017">
        <v>0</v>
      </c>
      <c r="AQ206" s="1061"/>
      <c r="AR206" s="1062">
        <f t="shared" si="180"/>
        <v>0</v>
      </c>
      <c r="AS206" s="1063">
        <f t="shared" si="181"/>
        <v>1</v>
      </c>
      <c r="AT206" s="1016">
        <f t="shared" si="200"/>
        <v>0</v>
      </c>
      <c r="AU206" s="1017">
        <v>0</v>
      </c>
      <c r="AV206" s="1061"/>
      <c r="AW206" s="1062">
        <f t="shared" si="182"/>
        <v>0</v>
      </c>
      <c r="AX206" s="1063">
        <f t="shared" si="183"/>
        <v>1</v>
      </c>
      <c r="AY206" s="1016">
        <f t="shared" si="201"/>
        <v>0</v>
      </c>
      <c r="AZ206" s="1017">
        <v>0</v>
      </c>
      <c r="BA206" s="1061"/>
      <c r="BB206" s="1062">
        <f t="shared" si="184"/>
        <v>0</v>
      </c>
      <c r="BC206" s="1063">
        <f t="shared" si="185"/>
        <v>1</v>
      </c>
      <c r="BD206" s="1016">
        <f t="shared" si="202"/>
        <v>0</v>
      </c>
      <c r="BE206" s="1017">
        <v>0</v>
      </c>
      <c r="BF206" s="1061"/>
      <c r="BG206" s="1062">
        <f t="shared" si="186"/>
        <v>0</v>
      </c>
      <c r="BH206" s="1039">
        <f t="shared" si="187"/>
        <v>0</v>
      </c>
      <c r="BI206" s="1038">
        <f t="shared" si="188"/>
        <v>0</v>
      </c>
      <c r="BJ206" s="1027"/>
      <c r="BK206" s="1060"/>
      <c r="BL206" s="1040">
        <f t="shared" si="164"/>
        <v>0</v>
      </c>
      <c r="BM206" s="1038">
        <f t="shared" si="189"/>
        <v>0</v>
      </c>
      <c r="BN206" s="1027"/>
      <c r="BO206" s="1060"/>
      <c r="BP206" s="95">
        <f t="shared" si="190"/>
        <v>0</v>
      </c>
      <c r="BQ206" s="640">
        <f t="shared" si="191"/>
        <v>0</v>
      </c>
      <c r="BS206" s="94">
        <f t="shared" si="192"/>
        <v>0</v>
      </c>
      <c r="BU206" s="632">
        <f t="shared" si="193"/>
        <v>0</v>
      </c>
      <c r="BV206" s="398"/>
      <c r="BW206" s="405"/>
      <c r="CI206" s="96"/>
    </row>
    <row r="207" spans="1:87" ht="14.25" thickTop="1" thickBot="1">
      <c r="A207" s="57"/>
      <c r="B207" s="92">
        <v>77</v>
      </c>
      <c r="C207" s="255">
        <f t="shared" si="165"/>
        <v>0</v>
      </c>
      <c r="D207" s="93">
        <f t="shared" si="165"/>
        <v>0</v>
      </c>
      <c r="E207" s="93">
        <f t="shared" si="165"/>
        <v>0</v>
      </c>
      <c r="F207" s="93">
        <f t="shared" si="165"/>
        <v>0</v>
      </c>
      <c r="G207" s="93"/>
      <c r="H207" s="678">
        <f t="shared" si="194"/>
        <v>1</v>
      </c>
      <c r="I207" s="679">
        <f t="shared" si="166"/>
        <v>0</v>
      </c>
      <c r="J207" s="633">
        <f t="shared" si="203"/>
        <v>1</v>
      </c>
      <c r="K207" s="1016">
        <f t="shared" si="195"/>
        <v>0</v>
      </c>
      <c r="L207" s="1017">
        <v>0</v>
      </c>
      <c r="M207" s="1061"/>
      <c r="N207" s="1062">
        <f t="shared" si="167"/>
        <v>0</v>
      </c>
      <c r="O207" s="1063">
        <f t="shared" si="168"/>
        <v>1</v>
      </c>
      <c r="P207" s="1016">
        <f t="shared" si="169"/>
        <v>0</v>
      </c>
      <c r="Q207" s="1017">
        <v>0</v>
      </c>
      <c r="R207" s="1061"/>
      <c r="S207" s="1062">
        <f t="shared" si="170"/>
        <v>0</v>
      </c>
      <c r="T207" s="1063">
        <f t="shared" si="171"/>
        <v>1</v>
      </c>
      <c r="U207" s="1016"/>
      <c r="V207" s="1017">
        <v>0</v>
      </c>
      <c r="W207" s="1061"/>
      <c r="X207" s="1062">
        <f t="shared" si="172"/>
        <v>0</v>
      </c>
      <c r="Y207" s="1063">
        <f t="shared" si="173"/>
        <v>1</v>
      </c>
      <c r="Z207" s="1016">
        <f t="shared" si="196"/>
        <v>0</v>
      </c>
      <c r="AA207" s="1017">
        <v>0</v>
      </c>
      <c r="AB207" s="1061"/>
      <c r="AC207" s="1062">
        <f t="shared" si="174"/>
        <v>0</v>
      </c>
      <c r="AD207" s="1063">
        <f t="shared" si="175"/>
        <v>1</v>
      </c>
      <c r="AE207" s="1016">
        <f t="shared" si="197"/>
        <v>0</v>
      </c>
      <c r="AF207" s="1017">
        <v>0</v>
      </c>
      <c r="AG207" s="1061"/>
      <c r="AH207" s="1062">
        <f t="shared" si="176"/>
        <v>0</v>
      </c>
      <c r="AI207" s="1063">
        <f t="shared" si="177"/>
        <v>1</v>
      </c>
      <c r="AJ207" s="1016">
        <f t="shared" si="198"/>
        <v>0</v>
      </c>
      <c r="AK207" s="1017">
        <v>0</v>
      </c>
      <c r="AL207" s="1061"/>
      <c r="AM207" s="1062">
        <f t="shared" si="178"/>
        <v>0</v>
      </c>
      <c r="AN207" s="1063">
        <f t="shared" si="179"/>
        <v>1</v>
      </c>
      <c r="AO207" s="1016">
        <f t="shared" si="199"/>
        <v>0</v>
      </c>
      <c r="AP207" s="1017">
        <v>0</v>
      </c>
      <c r="AQ207" s="1061"/>
      <c r="AR207" s="1062">
        <f t="shared" si="180"/>
        <v>0</v>
      </c>
      <c r="AS207" s="1063">
        <f t="shared" si="181"/>
        <v>1</v>
      </c>
      <c r="AT207" s="1016">
        <f t="shared" si="200"/>
        <v>0</v>
      </c>
      <c r="AU207" s="1017">
        <v>0</v>
      </c>
      <c r="AV207" s="1061"/>
      <c r="AW207" s="1062">
        <f t="shared" si="182"/>
        <v>0</v>
      </c>
      <c r="AX207" s="1063">
        <f t="shared" si="183"/>
        <v>1</v>
      </c>
      <c r="AY207" s="1016">
        <f t="shared" si="201"/>
        <v>0</v>
      </c>
      <c r="AZ207" s="1017">
        <v>0</v>
      </c>
      <c r="BA207" s="1061"/>
      <c r="BB207" s="1062">
        <f t="shared" si="184"/>
        <v>0</v>
      </c>
      <c r="BC207" s="1063">
        <f t="shared" si="185"/>
        <v>1</v>
      </c>
      <c r="BD207" s="1016">
        <f t="shared" si="202"/>
        <v>0</v>
      </c>
      <c r="BE207" s="1017">
        <v>0</v>
      </c>
      <c r="BF207" s="1061"/>
      <c r="BG207" s="1062">
        <f t="shared" si="186"/>
        <v>0</v>
      </c>
      <c r="BH207" s="1039">
        <f t="shared" si="187"/>
        <v>0</v>
      </c>
      <c r="BI207" s="1038">
        <f t="shared" si="188"/>
        <v>0</v>
      </c>
      <c r="BJ207" s="1027"/>
      <c r="BK207" s="1060"/>
      <c r="BL207" s="1040">
        <f t="shared" si="164"/>
        <v>0</v>
      </c>
      <c r="BM207" s="1038">
        <f t="shared" si="189"/>
        <v>0</v>
      </c>
      <c r="BN207" s="1027"/>
      <c r="BO207" s="1060"/>
      <c r="BP207" s="95">
        <f t="shared" si="190"/>
        <v>0</v>
      </c>
      <c r="BQ207" s="640">
        <f t="shared" si="191"/>
        <v>0</v>
      </c>
      <c r="BS207" s="94">
        <f t="shared" si="192"/>
        <v>0</v>
      </c>
      <c r="BU207" s="632">
        <f t="shared" si="193"/>
        <v>0</v>
      </c>
      <c r="BV207" s="398"/>
      <c r="BW207" s="405"/>
      <c r="CI207" s="96"/>
    </row>
    <row r="208" spans="1:87" ht="14.25" thickTop="1" thickBot="1">
      <c r="A208" s="57"/>
      <c r="B208" s="92">
        <v>78</v>
      </c>
      <c r="C208" s="255">
        <f t="shared" si="165"/>
        <v>0</v>
      </c>
      <c r="D208" s="93">
        <f t="shared" si="165"/>
        <v>0</v>
      </c>
      <c r="E208" s="93">
        <f t="shared" si="165"/>
        <v>0</v>
      </c>
      <c r="F208" s="93">
        <f t="shared" si="165"/>
        <v>0</v>
      </c>
      <c r="G208" s="93"/>
      <c r="H208" s="678">
        <f t="shared" si="194"/>
        <v>1</v>
      </c>
      <c r="I208" s="679">
        <f t="shared" si="166"/>
        <v>0</v>
      </c>
      <c r="J208" s="633">
        <f t="shared" si="203"/>
        <v>1</v>
      </c>
      <c r="K208" s="1016">
        <f t="shared" si="195"/>
        <v>0</v>
      </c>
      <c r="L208" s="1017">
        <v>0</v>
      </c>
      <c r="M208" s="1061"/>
      <c r="N208" s="1062">
        <f t="shared" si="167"/>
        <v>0</v>
      </c>
      <c r="O208" s="1063">
        <f t="shared" si="168"/>
        <v>1</v>
      </c>
      <c r="P208" s="1016">
        <f t="shared" si="169"/>
        <v>0</v>
      </c>
      <c r="Q208" s="1017">
        <v>0</v>
      </c>
      <c r="R208" s="1061"/>
      <c r="S208" s="1062">
        <f t="shared" si="170"/>
        <v>0</v>
      </c>
      <c r="T208" s="1063">
        <f t="shared" si="171"/>
        <v>1</v>
      </c>
      <c r="U208" s="1016"/>
      <c r="V208" s="1017">
        <v>0</v>
      </c>
      <c r="W208" s="1061"/>
      <c r="X208" s="1062">
        <f t="shared" si="172"/>
        <v>0</v>
      </c>
      <c r="Y208" s="1063">
        <f t="shared" si="173"/>
        <v>1</v>
      </c>
      <c r="Z208" s="1016">
        <f t="shared" si="196"/>
        <v>0</v>
      </c>
      <c r="AA208" s="1017">
        <v>0</v>
      </c>
      <c r="AB208" s="1061"/>
      <c r="AC208" s="1062">
        <f t="shared" si="174"/>
        <v>0</v>
      </c>
      <c r="AD208" s="1063">
        <f t="shared" si="175"/>
        <v>1</v>
      </c>
      <c r="AE208" s="1016">
        <f t="shared" si="197"/>
        <v>0</v>
      </c>
      <c r="AF208" s="1017">
        <v>0</v>
      </c>
      <c r="AG208" s="1061"/>
      <c r="AH208" s="1062">
        <f t="shared" si="176"/>
        <v>0</v>
      </c>
      <c r="AI208" s="1063">
        <f t="shared" si="177"/>
        <v>1</v>
      </c>
      <c r="AJ208" s="1016">
        <f t="shared" si="198"/>
        <v>0</v>
      </c>
      <c r="AK208" s="1017">
        <v>0</v>
      </c>
      <c r="AL208" s="1061"/>
      <c r="AM208" s="1062">
        <f t="shared" si="178"/>
        <v>0</v>
      </c>
      <c r="AN208" s="1063">
        <f t="shared" si="179"/>
        <v>1</v>
      </c>
      <c r="AO208" s="1016">
        <f t="shared" si="199"/>
        <v>0</v>
      </c>
      <c r="AP208" s="1017">
        <v>0</v>
      </c>
      <c r="AQ208" s="1061"/>
      <c r="AR208" s="1062">
        <f t="shared" si="180"/>
        <v>0</v>
      </c>
      <c r="AS208" s="1063">
        <f t="shared" si="181"/>
        <v>1</v>
      </c>
      <c r="AT208" s="1016">
        <f t="shared" si="200"/>
        <v>0</v>
      </c>
      <c r="AU208" s="1017">
        <v>0</v>
      </c>
      <c r="AV208" s="1061"/>
      <c r="AW208" s="1062">
        <f t="shared" si="182"/>
        <v>0</v>
      </c>
      <c r="AX208" s="1063">
        <f t="shared" si="183"/>
        <v>1</v>
      </c>
      <c r="AY208" s="1016">
        <f t="shared" si="201"/>
        <v>0</v>
      </c>
      <c r="AZ208" s="1017">
        <v>0</v>
      </c>
      <c r="BA208" s="1061"/>
      <c r="BB208" s="1062">
        <f t="shared" si="184"/>
        <v>0</v>
      </c>
      <c r="BC208" s="1063">
        <f t="shared" si="185"/>
        <v>1</v>
      </c>
      <c r="BD208" s="1016">
        <f t="shared" si="202"/>
        <v>0</v>
      </c>
      <c r="BE208" s="1017">
        <v>0</v>
      </c>
      <c r="BF208" s="1061"/>
      <c r="BG208" s="1062">
        <f t="shared" si="186"/>
        <v>0</v>
      </c>
      <c r="BH208" s="1039">
        <f t="shared" si="187"/>
        <v>0</v>
      </c>
      <c r="BI208" s="1038">
        <f t="shared" si="188"/>
        <v>0</v>
      </c>
      <c r="BJ208" s="1027"/>
      <c r="BK208" s="1060"/>
      <c r="BL208" s="1040">
        <f t="shared" si="164"/>
        <v>0</v>
      </c>
      <c r="BM208" s="1038">
        <f t="shared" si="189"/>
        <v>0</v>
      </c>
      <c r="BN208" s="1027"/>
      <c r="BO208" s="1060"/>
      <c r="BP208" s="95">
        <f t="shared" si="190"/>
        <v>0</v>
      </c>
      <c r="BQ208" s="640">
        <f t="shared" si="191"/>
        <v>0</v>
      </c>
      <c r="BS208" s="94">
        <f t="shared" si="192"/>
        <v>0</v>
      </c>
      <c r="BU208" s="632">
        <f t="shared" si="193"/>
        <v>0</v>
      </c>
      <c r="BV208" s="398"/>
      <c r="BW208" s="405"/>
      <c r="CI208" s="96"/>
    </row>
    <row r="209" spans="1:87" ht="14.25" thickTop="1" thickBot="1">
      <c r="A209" s="57"/>
      <c r="B209" s="92">
        <v>79</v>
      </c>
      <c r="C209" s="255">
        <f t="shared" si="165"/>
        <v>0</v>
      </c>
      <c r="D209" s="93">
        <f t="shared" si="165"/>
        <v>0</v>
      </c>
      <c r="E209" s="93">
        <f t="shared" si="165"/>
        <v>0</v>
      </c>
      <c r="F209" s="93">
        <f t="shared" si="165"/>
        <v>0</v>
      </c>
      <c r="G209" s="93"/>
      <c r="H209" s="678">
        <f t="shared" si="194"/>
        <v>1</v>
      </c>
      <c r="I209" s="679">
        <f t="shared" si="166"/>
        <v>0</v>
      </c>
      <c r="J209" s="633">
        <f t="shared" si="203"/>
        <v>1</v>
      </c>
      <c r="K209" s="1016">
        <f t="shared" si="195"/>
        <v>0</v>
      </c>
      <c r="L209" s="1017">
        <v>0</v>
      </c>
      <c r="M209" s="1061"/>
      <c r="N209" s="1062">
        <f t="shared" si="167"/>
        <v>0</v>
      </c>
      <c r="O209" s="1063">
        <f t="shared" si="168"/>
        <v>1</v>
      </c>
      <c r="P209" s="1016">
        <f t="shared" si="169"/>
        <v>0</v>
      </c>
      <c r="Q209" s="1017">
        <v>0</v>
      </c>
      <c r="R209" s="1061"/>
      <c r="S209" s="1062">
        <f t="shared" si="170"/>
        <v>0</v>
      </c>
      <c r="T209" s="1063">
        <f t="shared" si="171"/>
        <v>1</v>
      </c>
      <c r="U209" s="1016"/>
      <c r="V209" s="1017">
        <v>0</v>
      </c>
      <c r="W209" s="1061"/>
      <c r="X209" s="1062">
        <f t="shared" si="172"/>
        <v>0</v>
      </c>
      <c r="Y209" s="1063">
        <f t="shared" si="173"/>
        <v>1</v>
      </c>
      <c r="Z209" s="1016">
        <f t="shared" si="196"/>
        <v>0</v>
      </c>
      <c r="AA209" s="1017">
        <v>0</v>
      </c>
      <c r="AB209" s="1061"/>
      <c r="AC209" s="1062">
        <f t="shared" si="174"/>
        <v>0</v>
      </c>
      <c r="AD209" s="1063">
        <f t="shared" si="175"/>
        <v>1</v>
      </c>
      <c r="AE209" s="1016">
        <f t="shared" si="197"/>
        <v>0</v>
      </c>
      <c r="AF209" s="1017">
        <v>0</v>
      </c>
      <c r="AG209" s="1061"/>
      <c r="AH209" s="1062">
        <f t="shared" si="176"/>
        <v>0</v>
      </c>
      <c r="AI209" s="1063">
        <f t="shared" si="177"/>
        <v>1</v>
      </c>
      <c r="AJ209" s="1016">
        <f t="shared" si="198"/>
        <v>0</v>
      </c>
      <c r="AK209" s="1017">
        <v>0</v>
      </c>
      <c r="AL209" s="1061"/>
      <c r="AM209" s="1062">
        <f t="shared" si="178"/>
        <v>0</v>
      </c>
      <c r="AN209" s="1063">
        <f t="shared" si="179"/>
        <v>1</v>
      </c>
      <c r="AO209" s="1016">
        <f t="shared" si="199"/>
        <v>0</v>
      </c>
      <c r="AP209" s="1017">
        <v>0</v>
      </c>
      <c r="AQ209" s="1061"/>
      <c r="AR209" s="1062">
        <f t="shared" si="180"/>
        <v>0</v>
      </c>
      <c r="AS209" s="1063">
        <f t="shared" si="181"/>
        <v>1</v>
      </c>
      <c r="AT209" s="1016">
        <f t="shared" si="200"/>
        <v>0</v>
      </c>
      <c r="AU209" s="1017">
        <v>0</v>
      </c>
      <c r="AV209" s="1061"/>
      <c r="AW209" s="1062">
        <f t="shared" si="182"/>
        <v>0</v>
      </c>
      <c r="AX209" s="1063">
        <f t="shared" si="183"/>
        <v>1</v>
      </c>
      <c r="AY209" s="1016">
        <f t="shared" si="201"/>
        <v>0</v>
      </c>
      <c r="AZ209" s="1017">
        <v>0</v>
      </c>
      <c r="BA209" s="1061"/>
      <c r="BB209" s="1062">
        <f t="shared" si="184"/>
        <v>0</v>
      </c>
      <c r="BC209" s="1063">
        <f t="shared" si="185"/>
        <v>1</v>
      </c>
      <c r="BD209" s="1016">
        <f t="shared" si="202"/>
        <v>0</v>
      </c>
      <c r="BE209" s="1017">
        <v>0</v>
      </c>
      <c r="BF209" s="1061"/>
      <c r="BG209" s="1062">
        <f t="shared" si="186"/>
        <v>0</v>
      </c>
      <c r="BH209" s="1039">
        <f t="shared" si="187"/>
        <v>0</v>
      </c>
      <c r="BI209" s="1038">
        <f t="shared" si="188"/>
        <v>0</v>
      </c>
      <c r="BJ209" s="1027"/>
      <c r="BK209" s="1060"/>
      <c r="BL209" s="1040">
        <f t="shared" si="164"/>
        <v>0</v>
      </c>
      <c r="BM209" s="1038">
        <f t="shared" si="189"/>
        <v>0</v>
      </c>
      <c r="BN209" s="1027"/>
      <c r="BO209" s="1060"/>
      <c r="BP209" s="95">
        <f t="shared" si="190"/>
        <v>0</v>
      </c>
      <c r="BQ209" s="640">
        <f t="shared" si="191"/>
        <v>0</v>
      </c>
      <c r="BS209" s="94">
        <f t="shared" si="192"/>
        <v>0</v>
      </c>
      <c r="BU209" s="632">
        <f t="shared" si="193"/>
        <v>0</v>
      </c>
      <c r="BV209" s="398"/>
      <c r="BW209" s="405"/>
      <c r="CI209" s="96"/>
    </row>
    <row r="210" spans="1:87" ht="14.25" thickTop="1" thickBot="1">
      <c r="A210" s="57"/>
      <c r="B210" s="92">
        <v>80</v>
      </c>
      <c r="C210" s="255">
        <f t="shared" si="165"/>
        <v>0</v>
      </c>
      <c r="D210" s="93">
        <f t="shared" si="165"/>
        <v>0</v>
      </c>
      <c r="E210" s="93">
        <f t="shared" si="165"/>
        <v>0</v>
      </c>
      <c r="F210" s="93">
        <f t="shared" si="165"/>
        <v>0</v>
      </c>
      <c r="G210" s="93"/>
      <c r="H210" s="678">
        <f t="shared" si="194"/>
        <v>1</v>
      </c>
      <c r="I210" s="679">
        <f t="shared" si="166"/>
        <v>0</v>
      </c>
      <c r="J210" s="633">
        <f t="shared" si="203"/>
        <v>1</v>
      </c>
      <c r="K210" s="1016">
        <f t="shared" si="195"/>
        <v>0</v>
      </c>
      <c r="L210" s="1017">
        <v>0</v>
      </c>
      <c r="M210" s="1061"/>
      <c r="N210" s="1062">
        <f t="shared" si="167"/>
        <v>0</v>
      </c>
      <c r="O210" s="1063">
        <f t="shared" si="168"/>
        <v>1</v>
      </c>
      <c r="P210" s="1016">
        <f t="shared" si="169"/>
        <v>0</v>
      </c>
      <c r="Q210" s="1017">
        <v>0</v>
      </c>
      <c r="R210" s="1061"/>
      <c r="S210" s="1062">
        <f t="shared" si="170"/>
        <v>0</v>
      </c>
      <c r="T210" s="1063">
        <f t="shared" si="171"/>
        <v>1</v>
      </c>
      <c r="U210" s="1016"/>
      <c r="V210" s="1017">
        <v>0</v>
      </c>
      <c r="W210" s="1061"/>
      <c r="X210" s="1062">
        <f t="shared" si="172"/>
        <v>0</v>
      </c>
      <c r="Y210" s="1063">
        <f t="shared" si="173"/>
        <v>1</v>
      </c>
      <c r="Z210" s="1016">
        <f t="shared" si="196"/>
        <v>0</v>
      </c>
      <c r="AA210" s="1017">
        <v>0</v>
      </c>
      <c r="AB210" s="1061"/>
      <c r="AC210" s="1062">
        <f t="shared" si="174"/>
        <v>0</v>
      </c>
      <c r="AD210" s="1063">
        <f t="shared" si="175"/>
        <v>1</v>
      </c>
      <c r="AE210" s="1016">
        <f t="shared" si="197"/>
        <v>0</v>
      </c>
      <c r="AF210" s="1017">
        <v>0</v>
      </c>
      <c r="AG210" s="1061"/>
      <c r="AH210" s="1062">
        <f t="shared" si="176"/>
        <v>0</v>
      </c>
      <c r="AI210" s="1063">
        <f t="shared" si="177"/>
        <v>1</v>
      </c>
      <c r="AJ210" s="1016">
        <f t="shared" si="198"/>
        <v>0</v>
      </c>
      <c r="AK210" s="1017">
        <v>0</v>
      </c>
      <c r="AL210" s="1061"/>
      <c r="AM210" s="1062">
        <f t="shared" si="178"/>
        <v>0</v>
      </c>
      <c r="AN210" s="1063">
        <f t="shared" si="179"/>
        <v>1</v>
      </c>
      <c r="AO210" s="1016">
        <f t="shared" si="199"/>
        <v>0</v>
      </c>
      <c r="AP210" s="1017">
        <v>0</v>
      </c>
      <c r="AQ210" s="1061"/>
      <c r="AR210" s="1062">
        <f t="shared" si="180"/>
        <v>0</v>
      </c>
      <c r="AS210" s="1063">
        <f t="shared" si="181"/>
        <v>1</v>
      </c>
      <c r="AT210" s="1016">
        <f t="shared" si="200"/>
        <v>0</v>
      </c>
      <c r="AU210" s="1017">
        <v>0</v>
      </c>
      <c r="AV210" s="1061"/>
      <c r="AW210" s="1062">
        <f t="shared" si="182"/>
        <v>0</v>
      </c>
      <c r="AX210" s="1063">
        <f t="shared" si="183"/>
        <v>1</v>
      </c>
      <c r="AY210" s="1016">
        <f t="shared" si="201"/>
        <v>0</v>
      </c>
      <c r="AZ210" s="1017">
        <v>0</v>
      </c>
      <c r="BA210" s="1061"/>
      <c r="BB210" s="1062">
        <f t="shared" si="184"/>
        <v>0</v>
      </c>
      <c r="BC210" s="1063">
        <f t="shared" si="185"/>
        <v>1</v>
      </c>
      <c r="BD210" s="1016">
        <f t="shared" si="202"/>
        <v>0</v>
      </c>
      <c r="BE210" s="1017">
        <v>0</v>
      </c>
      <c r="BF210" s="1061"/>
      <c r="BG210" s="1062">
        <f t="shared" si="186"/>
        <v>0</v>
      </c>
      <c r="BH210" s="1039">
        <f t="shared" si="187"/>
        <v>0</v>
      </c>
      <c r="BI210" s="1038">
        <f t="shared" si="188"/>
        <v>0</v>
      </c>
      <c r="BJ210" s="1027"/>
      <c r="BK210" s="1060"/>
      <c r="BL210" s="1040">
        <f t="shared" si="164"/>
        <v>0</v>
      </c>
      <c r="BM210" s="1038">
        <f t="shared" si="189"/>
        <v>0</v>
      </c>
      <c r="BN210" s="1027"/>
      <c r="BO210" s="1060"/>
      <c r="BP210" s="95">
        <f t="shared" si="190"/>
        <v>0</v>
      </c>
      <c r="BQ210" s="640">
        <f t="shared" si="191"/>
        <v>0</v>
      </c>
      <c r="BS210" s="94">
        <f t="shared" si="192"/>
        <v>0</v>
      </c>
      <c r="BU210" s="632">
        <f t="shared" si="193"/>
        <v>0</v>
      </c>
      <c r="BV210" s="398"/>
      <c r="BW210" s="405"/>
      <c r="CI210" s="96"/>
    </row>
    <row r="211" spans="1:87" ht="14.25" thickTop="1" thickBot="1">
      <c r="A211" s="57"/>
      <c r="B211" s="92">
        <v>81</v>
      </c>
      <c r="C211" s="255">
        <f t="shared" ref="C211:F230" si="204">C96</f>
        <v>0</v>
      </c>
      <c r="D211" s="93">
        <f t="shared" si="204"/>
        <v>0</v>
      </c>
      <c r="E211" s="93">
        <f t="shared" si="204"/>
        <v>0</v>
      </c>
      <c r="F211" s="93">
        <f t="shared" si="204"/>
        <v>0</v>
      </c>
      <c r="G211" s="93"/>
      <c r="H211" s="678">
        <f t="shared" si="194"/>
        <v>1</v>
      </c>
      <c r="I211" s="679">
        <f t="shared" si="166"/>
        <v>0</v>
      </c>
      <c r="J211" s="633">
        <f t="shared" si="203"/>
        <v>1</v>
      </c>
      <c r="K211" s="1016">
        <f t="shared" si="195"/>
        <v>0</v>
      </c>
      <c r="L211" s="1017">
        <v>0</v>
      </c>
      <c r="M211" s="1061"/>
      <c r="N211" s="1062">
        <f t="shared" si="167"/>
        <v>0</v>
      </c>
      <c r="O211" s="1063">
        <f t="shared" si="168"/>
        <v>1</v>
      </c>
      <c r="P211" s="1016">
        <f t="shared" si="169"/>
        <v>0</v>
      </c>
      <c r="Q211" s="1017">
        <v>0</v>
      </c>
      <c r="R211" s="1061"/>
      <c r="S211" s="1062">
        <f t="shared" si="170"/>
        <v>0</v>
      </c>
      <c r="T211" s="1063">
        <f t="shared" si="171"/>
        <v>1</v>
      </c>
      <c r="U211" s="1016"/>
      <c r="V211" s="1017">
        <v>0</v>
      </c>
      <c r="W211" s="1061"/>
      <c r="X211" s="1062">
        <f t="shared" si="172"/>
        <v>0</v>
      </c>
      <c r="Y211" s="1063">
        <f t="shared" si="173"/>
        <v>1</v>
      </c>
      <c r="Z211" s="1016">
        <f t="shared" si="196"/>
        <v>0</v>
      </c>
      <c r="AA211" s="1017">
        <v>0</v>
      </c>
      <c r="AB211" s="1061"/>
      <c r="AC211" s="1062">
        <f t="shared" si="174"/>
        <v>0</v>
      </c>
      <c r="AD211" s="1063">
        <f t="shared" si="175"/>
        <v>1</v>
      </c>
      <c r="AE211" s="1016">
        <f t="shared" si="197"/>
        <v>0</v>
      </c>
      <c r="AF211" s="1017">
        <v>0</v>
      </c>
      <c r="AG211" s="1061"/>
      <c r="AH211" s="1062">
        <f t="shared" si="176"/>
        <v>0</v>
      </c>
      <c r="AI211" s="1063">
        <f t="shared" si="177"/>
        <v>1</v>
      </c>
      <c r="AJ211" s="1016">
        <f t="shared" si="198"/>
        <v>0</v>
      </c>
      <c r="AK211" s="1017">
        <v>0</v>
      </c>
      <c r="AL211" s="1061"/>
      <c r="AM211" s="1062">
        <f t="shared" si="178"/>
        <v>0</v>
      </c>
      <c r="AN211" s="1063">
        <f t="shared" si="179"/>
        <v>1</v>
      </c>
      <c r="AO211" s="1016">
        <f t="shared" si="199"/>
        <v>0</v>
      </c>
      <c r="AP211" s="1017">
        <v>0</v>
      </c>
      <c r="AQ211" s="1061"/>
      <c r="AR211" s="1062">
        <f t="shared" si="180"/>
        <v>0</v>
      </c>
      <c r="AS211" s="1063">
        <f t="shared" si="181"/>
        <v>1</v>
      </c>
      <c r="AT211" s="1016">
        <f t="shared" si="200"/>
        <v>0</v>
      </c>
      <c r="AU211" s="1017">
        <v>0</v>
      </c>
      <c r="AV211" s="1061"/>
      <c r="AW211" s="1062">
        <f t="shared" si="182"/>
        <v>0</v>
      </c>
      <c r="AX211" s="1063">
        <f t="shared" si="183"/>
        <v>1</v>
      </c>
      <c r="AY211" s="1016">
        <f t="shared" si="201"/>
        <v>0</v>
      </c>
      <c r="AZ211" s="1017">
        <v>0</v>
      </c>
      <c r="BA211" s="1061"/>
      <c r="BB211" s="1062">
        <f t="shared" si="184"/>
        <v>0</v>
      </c>
      <c r="BC211" s="1063">
        <f t="shared" si="185"/>
        <v>1</v>
      </c>
      <c r="BD211" s="1016">
        <f t="shared" si="202"/>
        <v>0</v>
      </c>
      <c r="BE211" s="1017">
        <v>0</v>
      </c>
      <c r="BF211" s="1061"/>
      <c r="BG211" s="1062">
        <f t="shared" si="186"/>
        <v>0</v>
      </c>
      <c r="BH211" s="1039">
        <f t="shared" si="187"/>
        <v>0</v>
      </c>
      <c r="BI211" s="1038">
        <f t="shared" si="188"/>
        <v>0</v>
      </c>
      <c r="BJ211" s="1027"/>
      <c r="BK211" s="1060"/>
      <c r="BL211" s="1040">
        <f t="shared" si="164"/>
        <v>0</v>
      </c>
      <c r="BM211" s="1038">
        <f t="shared" si="189"/>
        <v>0</v>
      </c>
      <c r="BN211" s="1027"/>
      <c r="BO211" s="1060"/>
      <c r="BP211" s="95">
        <f t="shared" si="190"/>
        <v>0</v>
      </c>
      <c r="BQ211" s="640">
        <f t="shared" si="191"/>
        <v>0</v>
      </c>
      <c r="BS211" s="94">
        <f t="shared" si="192"/>
        <v>0</v>
      </c>
      <c r="BU211" s="632">
        <f t="shared" si="193"/>
        <v>0</v>
      </c>
      <c r="BV211" s="398"/>
      <c r="BW211" s="405"/>
      <c r="CI211" s="96"/>
    </row>
    <row r="212" spans="1:87" ht="14.25" thickTop="1" thickBot="1">
      <c r="A212" s="57"/>
      <c r="B212" s="92">
        <v>82</v>
      </c>
      <c r="C212" s="255">
        <f t="shared" si="204"/>
        <v>0</v>
      </c>
      <c r="D212" s="93">
        <f t="shared" si="204"/>
        <v>0</v>
      </c>
      <c r="E212" s="93">
        <f t="shared" si="204"/>
        <v>0</v>
      </c>
      <c r="F212" s="93">
        <f t="shared" si="204"/>
        <v>0</v>
      </c>
      <c r="G212" s="93"/>
      <c r="H212" s="678">
        <f t="shared" si="194"/>
        <v>1</v>
      </c>
      <c r="I212" s="679">
        <f t="shared" si="166"/>
        <v>0</v>
      </c>
      <c r="J212" s="633">
        <f t="shared" si="203"/>
        <v>1</v>
      </c>
      <c r="K212" s="1016">
        <f t="shared" si="195"/>
        <v>0</v>
      </c>
      <c r="L212" s="1017">
        <v>0</v>
      </c>
      <c r="M212" s="1061"/>
      <c r="N212" s="1062">
        <f t="shared" si="167"/>
        <v>0</v>
      </c>
      <c r="O212" s="1063">
        <f t="shared" si="168"/>
        <v>1</v>
      </c>
      <c r="P212" s="1016">
        <f t="shared" si="169"/>
        <v>0</v>
      </c>
      <c r="Q212" s="1017">
        <v>0</v>
      </c>
      <c r="R212" s="1061"/>
      <c r="S212" s="1062">
        <f t="shared" si="170"/>
        <v>0</v>
      </c>
      <c r="T212" s="1063">
        <f t="shared" si="171"/>
        <v>1</v>
      </c>
      <c r="U212" s="1016"/>
      <c r="V212" s="1017">
        <v>0</v>
      </c>
      <c r="W212" s="1061"/>
      <c r="X212" s="1062">
        <f t="shared" si="172"/>
        <v>0</v>
      </c>
      <c r="Y212" s="1063">
        <f t="shared" si="173"/>
        <v>1</v>
      </c>
      <c r="Z212" s="1016">
        <f t="shared" si="196"/>
        <v>0</v>
      </c>
      <c r="AA212" s="1017">
        <v>0</v>
      </c>
      <c r="AB212" s="1061"/>
      <c r="AC212" s="1062">
        <f t="shared" si="174"/>
        <v>0</v>
      </c>
      <c r="AD212" s="1063">
        <f t="shared" si="175"/>
        <v>1</v>
      </c>
      <c r="AE212" s="1016">
        <f t="shared" si="197"/>
        <v>0</v>
      </c>
      <c r="AF212" s="1017">
        <v>0</v>
      </c>
      <c r="AG212" s="1061"/>
      <c r="AH212" s="1062">
        <f t="shared" si="176"/>
        <v>0</v>
      </c>
      <c r="AI212" s="1063">
        <f t="shared" si="177"/>
        <v>1</v>
      </c>
      <c r="AJ212" s="1016">
        <f t="shared" si="198"/>
        <v>0</v>
      </c>
      <c r="AK212" s="1017">
        <v>0</v>
      </c>
      <c r="AL212" s="1061"/>
      <c r="AM212" s="1062">
        <f t="shared" si="178"/>
        <v>0</v>
      </c>
      <c r="AN212" s="1063">
        <f t="shared" si="179"/>
        <v>1</v>
      </c>
      <c r="AO212" s="1016">
        <f t="shared" si="199"/>
        <v>0</v>
      </c>
      <c r="AP212" s="1017">
        <v>0</v>
      </c>
      <c r="AQ212" s="1061"/>
      <c r="AR212" s="1062">
        <f t="shared" si="180"/>
        <v>0</v>
      </c>
      <c r="AS212" s="1063">
        <f t="shared" si="181"/>
        <v>1</v>
      </c>
      <c r="AT212" s="1016">
        <f t="shared" si="200"/>
        <v>0</v>
      </c>
      <c r="AU212" s="1017">
        <v>0</v>
      </c>
      <c r="AV212" s="1061"/>
      <c r="AW212" s="1062">
        <f t="shared" si="182"/>
        <v>0</v>
      </c>
      <c r="AX212" s="1063">
        <f t="shared" si="183"/>
        <v>1</v>
      </c>
      <c r="AY212" s="1016">
        <f t="shared" si="201"/>
        <v>0</v>
      </c>
      <c r="AZ212" s="1017">
        <v>0</v>
      </c>
      <c r="BA212" s="1061"/>
      <c r="BB212" s="1062">
        <f t="shared" si="184"/>
        <v>0</v>
      </c>
      <c r="BC212" s="1063">
        <f t="shared" si="185"/>
        <v>1</v>
      </c>
      <c r="BD212" s="1016">
        <f t="shared" si="202"/>
        <v>0</v>
      </c>
      <c r="BE212" s="1017">
        <v>0</v>
      </c>
      <c r="BF212" s="1061"/>
      <c r="BG212" s="1062">
        <f t="shared" si="186"/>
        <v>0</v>
      </c>
      <c r="BH212" s="1039">
        <f t="shared" si="187"/>
        <v>0</v>
      </c>
      <c r="BI212" s="1038">
        <f t="shared" si="188"/>
        <v>0</v>
      </c>
      <c r="BJ212" s="1027"/>
      <c r="BK212" s="1060"/>
      <c r="BL212" s="1040">
        <f t="shared" si="164"/>
        <v>0</v>
      </c>
      <c r="BM212" s="1038">
        <f t="shared" si="189"/>
        <v>0</v>
      </c>
      <c r="BN212" s="1027"/>
      <c r="BO212" s="1060"/>
      <c r="BP212" s="95">
        <f t="shared" si="190"/>
        <v>0</v>
      </c>
      <c r="BQ212" s="640">
        <f t="shared" si="191"/>
        <v>0</v>
      </c>
      <c r="BS212" s="94">
        <f t="shared" si="192"/>
        <v>0</v>
      </c>
      <c r="BU212" s="632">
        <f t="shared" si="193"/>
        <v>0</v>
      </c>
      <c r="BV212" s="398"/>
      <c r="BW212" s="405"/>
      <c r="CI212" s="96"/>
    </row>
    <row r="213" spans="1:87" ht="14.25" thickTop="1" thickBot="1">
      <c r="A213" s="57"/>
      <c r="B213" s="92">
        <v>83</v>
      </c>
      <c r="C213" s="255">
        <f t="shared" si="204"/>
        <v>0</v>
      </c>
      <c r="D213" s="93">
        <f t="shared" si="204"/>
        <v>0</v>
      </c>
      <c r="E213" s="93">
        <f t="shared" si="204"/>
        <v>0</v>
      </c>
      <c r="F213" s="93">
        <f t="shared" si="204"/>
        <v>0</v>
      </c>
      <c r="G213" s="93"/>
      <c r="H213" s="678">
        <f t="shared" si="194"/>
        <v>1</v>
      </c>
      <c r="I213" s="679">
        <f t="shared" si="166"/>
        <v>0</v>
      </c>
      <c r="J213" s="633">
        <f t="shared" si="203"/>
        <v>1</v>
      </c>
      <c r="K213" s="1016">
        <f t="shared" si="195"/>
        <v>0</v>
      </c>
      <c r="L213" s="1017">
        <v>0</v>
      </c>
      <c r="M213" s="1061"/>
      <c r="N213" s="1062">
        <f t="shared" si="167"/>
        <v>0</v>
      </c>
      <c r="O213" s="1063">
        <f t="shared" si="168"/>
        <v>1</v>
      </c>
      <c r="P213" s="1016">
        <f t="shared" si="169"/>
        <v>0</v>
      </c>
      <c r="Q213" s="1017">
        <v>0</v>
      </c>
      <c r="R213" s="1061"/>
      <c r="S213" s="1062">
        <f t="shared" si="170"/>
        <v>0</v>
      </c>
      <c r="T213" s="1063">
        <f t="shared" si="171"/>
        <v>1</v>
      </c>
      <c r="U213" s="1016"/>
      <c r="V213" s="1017">
        <v>0</v>
      </c>
      <c r="W213" s="1061"/>
      <c r="X213" s="1062">
        <f t="shared" si="172"/>
        <v>0</v>
      </c>
      <c r="Y213" s="1063">
        <f t="shared" si="173"/>
        <v>1</v>
      </c>
      <c r="Z213" s="1016">
        <f t="shared" si="196"/>
        <v>0</v>
      </c>
      <c r="AA213" s="1017">
        <v>0</v>
      </c>
      <c r="AB213" s="1061"/>
      <c r="AC213" s="1062">
        <f t="shared" si="174"/>
        <v>0</v>
      </c>
      <c r="AD213" s="1063">
        <f t="shared" si="175"/>
        <v>1</v>
      </c>
      <c r="AE213" s="1016">
        <f t="shared" si="197"/>
        <v>0</v>
      </c>
      <c r="AF213" s="1017">
        <v>0</v>
      </c>
      <c r="AG213" s="1061"/>
      <c r="AH213" s="1062">
        <f t="shared" si="176"/>
        <v>0</v>
      </c>
      <c r="AI213" s="1063">
        <f t="shared" si="177"/>
        <v>1</v>
      </c>
      <c r="AJ213" s="1016">
        <f t="shared" si="198"/>
        <v>0</v>
      </c>
      <c r="AK213" s="1017">
        <v>0</v>
      </c>
      <c r="AL213" s="1061"/>
      <c r="AM213" s="1062">
        <f t="shared" si="178"/>
        <v>0</v>
      </c>
      <c r="AN213" s="1063">
        <f t="shared" si="179"/>
        <v>1</v>
      </c>
      <c r="AO213" s="1016">
        <f t="shared" si="199"/>
        <v>0</v>
      </c>
      <c r="AP213" s="1017">
        <v>0</v>
      </c>
      <c r="AQ213" s="1061"/>
      <c r="AR213" s="1062">
        <f t="shared" si="180"/>
        <v>0</v>
      </c>
      <c r="AS213" s="1063">
        <f t="shared" si="181"/>
        <v>1</v>
      </c>
      <c r="AT213" s="1016">
        <f t="shared" si="200"/>
        <v>0</v>
      </c>
      <c r="AU213" s="1017">
        <v>0</v>
      </c>
      <c r="AV213" s="1061"/>
      <c r="AW213" s="1062">
        <f t="shared" si="182"/>
        <v>0</v>
      </c>
      <c r="AX213" s="1063">
        <f t="shared" si="183"/>
        <v>1</v>
      </c>
      <c r="AY213" s="1016">
        <f t="shared" si="201"/>
        <v>0</v>
      </c>
      <c r="AZ213" s="1017">
        <v>0</v>
      </c>
      <c r="BA213" s="1061"/>
      <c r="BB213" s="1062">
        <f t="shared" si="184"/>
        <v>0</v>
      </c>
      <c r="BC213" s="1063">
        <f t="shared" si="185"/>
        <v>1</v>
      </c>
      <c r="BD213" s="1016">
        <f t="shared" si="202"/>
        <v>0</v>
      </c>
      <c r="BE213" s="1017">
        <v>0</v>
      </c>
      <c r="BF213" s="1061"/>
      <c r="BG213" s="1062">
        <f t="shared" si="186"/>
        <v>0</v>
      </c>
      <c r="BH213" s="1039">
        <f t="shared" si="187"/>
        <v>0</v>
      </c>
      <c r="BI213" s="1038">
        <f t="shared" si="188"/>
        <v>0</v>
      </c>
      <c r="BJ213" s="1027"/>
      <c r="BK213" s="1060"/>
      <c r="BL213" s="1040">
        <f t="shared" si="164"/>
        <v>0</v>
      </c>
      <c r="BM213" s="1038">
        <f t="shared" si="189"/>
        <v>0</v>
      </c>
      <c r="BN213" s="1027"/>
      <c r="BO213" s="1060"/>
      <c r="BP213" s="95">
        <f t="shared" si="190"/>
        <v>0</v>
      </c>
      <c r="BQ213" s="640">
        <f t="shared" si="191"/>
        <v>0</v>
      </c>
      <c r="BS213" s="94">
        <f t="shared" si="192"/>
        <v>0</v>
      </c>
      <c r="BU213" s="632">
        <f t="shared" si="193"/>
        <v>0</v>
      </c>
      <c r="BV213" s="398"/>
      <c r="BW213" s="405"/>
      <c r="CI213" s="96"/>
    </row>
    <row r="214" spans="1:87" ht="14.25" thickTop="1" thickBot="1">
      <c r="A214" s="57"/>
      <c r="B214" s="92">
        <v>84</v>
      </c>
      <c r="C214" s="255">
        <f t="shared" si="204"/>
        <v>0</v>
      </c>
      <c r="D214" s="93">
        <f t="shared" si="204"/>
        <v>0</v>
      </c>
      <c r="E214" s="93">
        <f t="shared" si="204"/>
        <v>0</v>
      </c>
      <c r="F214" s="93">
        <f t="shared" si="204"/>
        <v>0</v>
      </c>
      <c r="G214" s="93"/>
      <c r="H214" s="678">
        <f t="shared" si="194"/>
        <v>1</v>
      </c>
      <c r="I214" s="679">
        <f t="shared" si="166"/>
        <v>0</v>
      </c>
      <c r="J214" s="633">
        <f t="shared" si="203"/>
        <v>1</v>
      </c>
      <c r="K214" s="1016">
        <f t="shared" si="195"/>
        <v>0</v>
      </c>
      <c r="L214" s="1017">
        <v>0</v>
      </c>
      <c r="M214" s="1061"/>
      <c r="N214" s="1062">
        <f t="shared" si="167"/>
        <v>0</v>
      </c>
      <c r="O214" s="1063">
        <f t="shared" si="168"/>
        <v>1</v>
      </c>
      <c r="P214" s="1016">
        <f t="shared" si="169"/>
        <v>0</v>
      </c>
      <c r="Q214" s="1017">
        <v>0</v>
      </c>
      <c r="R214" s="1061"/>
      <c r="S214" s="1062">
        <f t="shared" si="170"/>
        <v>0</v>
      </c>
      <c r="T214" s="1063">
        <f t="shared" si="171"/>
        <v>1</v>
      </c>
      <c r="U214" s="1016"/>
      <c r="V214" s="1017">
        <v>0</v>
      </c>
      <c r="W214" s="1061"/>
      <c r="X214" s="1062">
        <f t="shared" si="172"/>
        <v>0</v>
      </c>
      <c r="Y214" s="1063">
        <f t="shared" si="173"/>
        <v>1</v>
      </c>
      <c r="Z214" s="1016">
        <f t="shared" si="196"/>
        <v>0</v>
      </c>
      <c r="AA214" s="1017">
        <v>0</v>
      </c>
      <c r="AB214" s="1061"/>
      <c r="AC214" s="1062">
        <f t="shared" si="174"/>
        <v>0</v>
      </c>
      <c r="AD214" s="1063">
        <f t="shared" si="175"/>
        <v>1</v>
      </c>
      <c r="AE214" s="1016">
        <f t="shared" si="197"/>
        <v>0</v>
      </c>
      <c r="AF214" s="1017">
        <v>0</v>
      </c>
      <c r="AG214" s="1061"/>
      <c r="AH214" s="1062">
        <f t="shared" si="176"/>
        <v>0</v>
      </c>
      <c r="AI214" s="1063">
        <f t="shared" si="177"/>
        <v>1</v>
      </c>
      <c r="AJ214" s="1016">
        <f t="shared" si="198"/>
        <v>0</v>
      </c>
      <c r="AK214" s="1017">
        <v>0</v>
      </c>
      <c r="AL214" s="1061"/>
      <c r="AM214" s="1062">
        <f t="shared" si="178"/>
        <v>0</v>
      </c>
      <c r="AN214" s="1063">
        <f t="shared" si="179"/>
        <v>1</v>
      </c>
      <c r="AO214" s="1016">
        <f t="shared" si="199"/>
        <v>0</v>
      </c>
      <c r="AP214" s="1017">
        <v>0</v>
      </c>
      <c r="AQ214" s="1061"/>
      <c r="AR214" s="1062">
        <f t="shared" si="180"/>
        <v>0</v>
      </c>
      <c r="AS214" s="1063">
        <f t="shared" si="181"/>
        <v>1</v>
      </c>
      <c r="AT214" s="1016">
        <f t="shared" si="200"/>
        <v>0</v>
      </c>
      <c r="AU214" s="1017">
        <v>0</v>
      </c>
      <c r="AV214" s="1061"/>
      <c r="AW214" s="1062">
        <f t="shared" si="182"/>
        <v>0</v>
      </c>
      <c r="AX214" s="1063">
        <f t="shared" si="183"/>
        <v>1</v>
      </c>
      <c r="AY214" s="1016">
        <f t="shared" si="201"/>
        <v>0</v>
      </c>
      <c r="AZ214" s="1017">
        <v>0</v>
      </c>
      <c r="BA214" s="1061"/>
      <c r="BB214" s="1062">
        <f t="shared" si="184"/>
        <v>0</v>
      </c>
      <c r="BC214" s="1063">
        <f t="shared" si="185"/>
        <v>1</v>
      </c>
      <c r="BD214" s="1016">
        <f t="shared" si="202"/>
        <v>0</v>
      </c>
      <c r="BE214" s="1017">
        <v>0</v>
      </c>
      <c r="BF214" s="1061"/>
      <c r="BG214" s="1062">
        <f t="shared" si="186"/>
        <v>0</v>
      </c>
      <c r="BH214" s="1039">
        <f t="shared" si="187"/>
        <v>0</v>
      </c>
      <c r="BI214" s="1038">
        <f t="shared" si="188"/>
        <v>0</v>
      </c>
      <c r="BJ214" s="1027"/>
      <c r="BK214" s="1060"/>
      <c r="BL214" s="1040">
        <f t="shared" si="164"/>
        <v>0</v>
      </c>
      <c r="BM214" s="1038">
        <f t="shared" si="189"/>
        <v>0</v>
      </c>
      <c r="BN214" s="1027"/>
      <c r="BO214" s="1060"/>
      <c r="BP214" s="95">
        <f t="shared" si="190"/>
        <v>0</v>
      </c>
      <c r="BQ214" s="640">
        <f t="shared" si="191"/>
        <v>0</v>
      </c>
      <c r="BS214" s="94">
        <f t="shared" si="192"/>
        <v>0</v>
      </c>
      <c r="BU214" s="632">
        <f t="shared" si="193"/>
        <v>0</v>
      </c>
      <c r="BV214" s="398"/>
      <c r="BW214" s="405"/>
      <c r="CI214" s="96"/>
    </row>
    <row r="215" spans="1:87" ht="14.25" thickTop="1" thickBot="1">
      <c r="A215" s="57"/>
      <c r="B215" s="92">
        <v>85</v>
      </c>
      <c r="C215" s="255">
        <f t="shared" si="204"/>
        <v>0</v>
      </c>
      <c r="D215" s="93">
        <f t="shared" si="204"/>
        <v>0</v>
      </c>
      <c r="E215" s="93">
        <f t="shared" si="204"/>
        <v>0</v>
      </c>
      <c r="F215" s="93">
        <f t="shared" si="204"/>
        <v>0</v>
      </c>
      <c r="G215" s="93"/>
      <c r="H215" s="678">
        <f t="shared" si="194"/>
        <v>1</v>
      </c>
      <c r="I215" s="679">
        <f t="shared" si="166"/>
        <v>0</v>
      </c>
      <c r="J215" s="633">
        <f t="shared" si="203"/>
        <v>1</v>
      </c>
      <c r="K215" s="1016">
        <f t="shared" si="195"/>
        <v>0</v>
      </c>
      <c r="L215" s="1017">
        <v>0</v>
      </c>
      <c r="M215" s="1061"/>
      <c r="N215" s="1062">
        <f t="shared" si="167"/>
        <v>0</v>
      </c>
      <c r="O215" s="1063">
        <f t="shared" si="168"/>
        <v>1</v>
      </c>
      <c r="P215" s="1016">
        <f t="shared" si="169"/>
        <v>0</v>
      </c>
      <c r="Q215" s="1017">
        <v>0</v>
      </c>
      <c r="R215" s="1061"/>
      <c r="S215" s="1062">
        <f t="shared" si="170"/>
        <v>0</v>
      </c>
      <c r="T215" s="1063">
        <f t="shared" si="171"/>
        <v>1</v>
      </c>
      <c r="U215" s="1016"/>
      <c r="V215" s="1017">
        <v>0</v>
      </c>
      <c r="W215" s="1061"/>
      <c r="X215" s="1062">
        <f t="shared" si="172"/>
        <v>0</v>
      </c>
      <c r="Y215" s="1063">
        <f t="shared" si="173"/>
        <v>1</v>
      </c>
      <c r="Z215" s="1016">
        <f t="shared" si="196"/>
        <v>0</v>
      </c>
      <c r="AA215" s="1017">
        <v>0</v>
      </c>
      <c r="AB215" s="1061"/>
      <c r="AC215" s="1062">
        <f t="shared" si="174"/>
        <v>0</v>
      </c>
      <c r="AD215" s="1063">
        <f t="shared" si="175"/>
        <v>1</v>
      </c>
      <c r="AE215" s="1016">
        <f t="shared" si="197"/>
        <v>0</v>
      </c>
      <c r="AF215" s="1017">
        <v>0</v>
      </c>
      <c r="AG215" s="1061"/>
      <c r="AH215" s="1062">
        <f t="shared" si="176"/>
        <v>0</v>
      </c>
      <c r="AI215" s="1063">
        <f t="shared" si="177"/>
        <v>1</v>
      </c>
      <c r="AJ215" s="1016">
        <f t="shared" si="198"/>
        <v>0</v>
      </c>
      <c r="AK215" s="1017">
        <v>0</v>
      </c>
      <c r="AL215" s="1061"/>
      <c r="AM215" s="1062">
        <f t="shared" si="178"/>
        <v>0</v>
      </c>
      <c r="AN215" s="1063">
        <f t="shared" si="179"/>
        <v>1</v>
      </c>
      <c r="AO215" s="1016">
        <f t="shared" si="199"/>
        <v>0</v>
      </c>
      <c r="AP215" s="1017">
        <v>0</v>
      </c>
      <c r="AQ215" s="1061"/>
      <c r="AR215" s="1062">
        <f t="shared" si="180"/>
        <v>0</v>
      </c>
      <c r="AS215" s="1063">
        <f t="shared" si="181"/>
        <v>1</v>
      </c>
      <c r="AT215" s="1016">
        <f t="shared" si="200"/>
        <v>0</v>
      </c>
      <c r="AU215" s="1017">
        <v>0</v>
      </c>
      <c r="AV215" s="1061"/>
      <c r="AW215" s="1062">
        <f t="shared" si="182"/>
        <v>0</v>
      </c>
      <c r="AX215" s="1063">
        <f t="shared" si="183"/>
        <v>1</v>
      </c>
      <c r="AY215" s="1016">
        <f t="shared" si="201"/>
        <v>0</v>
      </c>
      <c r="AZ215" s="1017">
        <v>0</v>
      </c>
      <c r="BA215" s="1061"/>
      <c r="BB215" s="1062">
        <f t="shared" si="184"/>
        <v>0</v>
      </c>
      <c r="BC215" s="1063">
        <f t="shared" si="185"/>
        <v>1</v>
      </c>
      <c r="BD215" s="1016">
        <f t="shared" si="202"/>
        <v>0</v>
      </c>
      <c r="BE215" s="1017">
        <v>0</v>
      </c>
      <c r="BF215" s="1061"/>
      <c r="BG215" s="1062">
        <f t="shared" si="186"/>
        <v>0</v>
      </c>
      <c r="BH215" s="1039">
        <f t="shared" si="187"/>
        <v>0</v>
      </c>
      <c r="BI215" s="1038">
        <f t="shared" si="188"/>
        <v>0</v>
      </c>
      <c r="BJ215" s="1027"/>
      <c r="BK215" s="1060"/>
      <c r="BL215" s="1040">
        <f t="shared" si="164"/>
        <v>0</v>
      </c>
      <c r="BM215" s="1038">
        <f t="shared" si="189"/>
        <v>0</v>
      </c>
      <c r="BN215" s="1027"/>
      <c r="BO215" s="1060"/>
      <c r="BP215" s="95">
        <f t="shared" si="190"/>
        <v>0</v>
      </c>
      <c r="BQ215" s="640">
        <f t="shared" si="191"/>
        <v>0</v>
      </c>
      <c r="BS215" s="94">
        <f t="shared" si="192"/>
        <v>0</v>
      </c>
      <c r="BU215" s="632">
        <f t="shared" si="193"/>
        <v>0</v>
      </c>
      <c r="BV215" s="398"/>
      <c r="BW215" s="405"/>
      <c r="CI215" s="96"/>
    </row>
    <row r="216" spans="1:87" ht="14.25" thickTop="1" thickBot="1">
      <c r="A216" s="57"/>
      <c r="B216" s="92">
        <v>86</v>
      </c>
      <c r="C216" s="255">
        <f t="shared" si="204"/>
        <v>0</v>
      </c>
      <c r="D216" s="93">
        <f t="shared" si="204"/>
        <v>0</v>
      </c>
      <c r="E216" s="93">
        <f t="shared" si="204"/>
        <v>0</v>
      </c>
      <c r="F216" s="93">
        <f t="shared" si="204"/>
        <v>0</v>
      </c>
      <c r="G216" s="93"/>
      <c r="H216" s="678">
        <f t="shared" si="194"/>
        <v>1</v>
      </c>
      <c r="I216" s="679">
        <f t="shared" si="166"/>
        <v>0</v>
      </c>
      <c r="J216" s="633">
        <f t="shared" si="203"/>
        <v>1</v>
      </c>
      <c r="K216" s="1016">
        <f t="shared" si="195"/>
        <v>0</v>
      </c>
      <c r="L216" s="1017">
        <v>0</v>
      </c>
      <c r="M216" s="1061"/>
      <c r="N216" s="1062">
        <f t="shared" si="167"/>
        <v>0</v>
      </c>
      <c r="O216" s="1063">
        <f t="shared" si="168"/>
        <v>1</v>
      </c>
      <c r="P216" s="1016">
        <f t="shared" si="169"/>
        <v>0</v>
      </c>
      <c r="Q216" s="1017">
        <v>0</v>
      </c>
      <c r="R216" s="1061"/>
      <c r="S216" s="1062">
        <f t="shared" si="170"/>
        <v>0</v>
      </c>
      <c r="T216" s="1063">
        <f t="shared" si="171"/>
        <v>1</v>
      </c>
      <c r="U216" s="1016"/>
      <c r="V216" s="1017">
        <v>0</v>
      </c>
      <c r="W216" s="1061"/>
      <c r="X216" s="1062">
        <f t="shared" si="172"/>
        <v>0</v>
      </c>
      <c r="Y216" s="1063">
        <f t="shared" si="173"/>
        <v>1</v>
      </c>
      <c r="Z216" s="1016">
        <f t="shared" si="196"/>
        <v>0</v>
      </c>
      <c r="AA216" s="1017">
        <v>0</v>
      </c>
      <c r="AB216" s="1061"/>
      <c r="AC216" s="1062">
        <f t="shared" si="174"/>
        <v>0</v>
      </c>
      <c r="AD216" s="1063">
        <f t="shared" si="175"/>
        <v>1</v>
      </c>
      <c r="AE216" s="1016">
        <f t="shared" si="197"/>
        <v>0</v>
      </c>
      <c r="AF216" s="1017">
        <v>0</v>
      </c>
      <c r="AG216" s="1061"/>
      <c r="AH216" s="1062">
        <f t="shared" si="176"/>
        <v>0</v>
      </c>
      <c r="AI216" s="1063">
        <f t="shared" si="177"/>
        <v>1</v>
      </c>
      <c r="AJ216" s="1016">
        <f t="shared" si="198"/>
        <v>0</v>
      </c>
      <c r="AK216" s="1017">
        <v>0</v>
      </c>
      <c r="AL216" s="1061"/>
      <c r="AM216" s="1062">
        <f t="shared" si="178"/>
        <v>0</v>
      </c>
      <c r="AN216" s="1063">
        <f t="shared" si="179"/>
        <v>1</v>
      </c>
      <c r="AO216" s="1016">
        <f t="shared" si="199"/>
        <v>0</v>
      </c>
      <c r="AP216" s="1017">
        <v>0</v>
      </c>
      <c r="AQ216" s="1061"/>
      <c r="AR216" s="1062">
        <f t="shared" si="180"/>
        <v>0</v>
      </c>
      <c r="AS216" s="1063">
        <f t="shared" si="181"/>
        <v>1</v>
      </c>
      <c r="AT216" s="1016">
        <f t="shared" si="200"/>
        <v>0</v>
      </c>
      <c r="AU216" s="1017">
        <v>0</v>
      </c>
      <c r="AV216" s="1061"/>
      <c r="AW216" s="1062">
        <f t="shared" si="182"/>
        <v>0</v>
      </c>
      <c r="AX216" s="1063">
        <f t="shared" si="183"/>
        <v>1</v>
      </c>
      <c r="AY216" s="1016">
        <f t="shared" si="201"/>
        <v>0</v>
      </c>
      <c r="AZ216" s="1017">
        <v>0</v>
      </c>
      <c r="BA216" s="1061"/>
      <c r="BB216" s="1062">
        <f t="shared" si="184"/>
        <v>0</v>
      </c>
      <c r="BC216" s="1063">
        <f t="shared" si="185"/>
        <v>1</v>
      </c>
      <c r="BD216" s="1016">
        <f t="shared" si="202"/>
        <v>0</v>
      </c>
      <c r="BE216" s="1017">
        <v>0</v>
      </c>
      <c r="BF216" s="1061"/>
      <c r="BG216" s="1062">
        <f t="shared" si="186"/>
        <v>0</v>
      </c>
      <c r="BH216" s="1039">
        <f t="shared" si="187"/>
        <v>0</v>
      </c>
      <c r="BI216" s="1038">
        <f t="shared" si="188"/>
        <v>0</v>
      </c>
      <c r="BJ216" s="1027"/>
      <c r="BK216" s="1060"/>
      <c r="BL216" s="1040">
        <f t="shared" si="164"/>
        <v>0</v>
      </c>
      <c r="BM216" s="1038">
        <f t="shared" si="189"/>
        <v>0</v>
      </c>
      <c r="BN216" s="1027"/>
      <c r="BO216" s="1060"/>
      <c r="BP216" s="95">
        <f t="shared" si="190"/>
        <v>0</v>
      </c>
      <c r="BQ216" s="640">
        <f t="shared" si="191"/>
        <v>0</v>
      </c>
      <c r="BS216" s="94">
        <f t="shared" si="192"/>
        <v>0</v>
      </c>
      <c r="BU216" s="632">
        <f t="shared" si="193"/>
        <v>0</v>
      </c>
      <c r="BV216" s="398"/>
      <c r="BW216" s="405"/>
      <c r="CI216" s="96"/>
    </row>
    <row r="217" spans="1:87" ht="14.25" thickTop="1" thickBot="1">
      <c r="A217" s="57"/>
      <c r="B217" s="92">
        <v>87</v>
      </c>
      <c r="C217" s="255">
        <f t="shared" si="204"/>
        <v>0</v>
      </c>
      <c r="D217" s="93">
        <f t="shared" si="204"/>
        <v>0</v>
      </c>
      <c r="E217" s="93">
        <f t="shared" si="204"/>
        <v>0</v>
      </c>
      <c r="F217" s="93">
        <f t="shared" si="204"/>
        <v>0</v>
      </c>
      <c r="G217" s="93"/>
      <c r="H217" s="678">
        <f t="shared" si="194"/>
        <v>1</v>
      </c>
      <c r="I217" s="679">
        <f t="shared" si="166"/>
        <v>0</v>
      </c>
      <c r="J217" s="633">
        <f t="shared" si="203"/>
        <v>1</v>
      </c>
      <c r="K217" s="1016">
        <f t="shared" si="195"/>
        <v>0</v>
      </c>
      <c r="L217" s="1017">
        <v>0</v>
      </c>
      <c r="M217" s="1061"/>
      <c r="N217" s="1062">
        <f t="shared" si="167"/>
        <v>0</v>
      </c>
      <c r="O217" s="1063">
        <f t="shared" si="168"/>
        <v>1</v>
      </c>
      <c r="P217" s="1016">
        <f t="shared" si="169"/>
        <v>0</v>
      </c>
      <c r="Q217" s="1017">
        <v>0</v>
      </c>
      <c r="R217" s="1061"/>
      <c r="S217" s="1062">
        <f t="shared" si="170"/>
        <v>0</v>
      </c>
      <c r="T217" s="1063">
        <f t="shared" si="171"/>
        <v>1</v>
      </c>
      <c r="U217" s="1016"/>
      <c r="V217" s="1017">
        <v>0</v>
      </c>
      <c r="W217" s="1061"/>
      <c r="X217" s="1062">
        <f t="shared" si="172"/>
        <v>0</v>
      </c>
      <c r="Y217" s="1063">
        <f t="shared" si="173"/>
        <v>1</v>
      </c>
      <c r="Z217" s="1016">
        <f t="shared" si="196"/>
        <v>0</v>
      </c>
      <c r="AA217" s="1017">
        <v>0</v>
      </c>
      <c r="AB217" s="1061"/>
      <c r="AC217" s="1062">
        <f t="shared" si="174"/>
        <v>0</v>
      </c>
      <c r="AD217" s="1063">
        <f t="shared" si="175"/>
        <v>1</v>
      </c>
      <c r="AE217" s="1016">
        <f t="shared" si="197"/>
        <v>0</v>
      </c>
      <c r="AF217" s="1017">
        <v>0</v>
      </c>
      <c r="AG217" s="1061"/>
      <c r="AH217" s="1062">
        <f t="shared" si="176"/>
        <v>0</v>
      </c>
      <c r="AI217" s="1063">
        <f t="shared" si="177"/>
        <v>1</v>
      </c>
      <c r="AJ217" s="1016">
        <f t="shared" si="198"/>
        <v>0</v>
      </c>
      <c r="AK217" s="1017">
        <v>0</v>
      </c>
      <c r="AL217" s="1061"/>
      <c r="AM217" s="1062">
        <f t="shared" si="178"/>
        <v>0</v>
      </c>
      <c r="AN217" s="1063">
        <f t="shared" si="179"/>
        <v>1</v>
      </c>
      <c r="AO217" s="1016">
        <f t="shared" si="199"/>
        <v>0</v>
      </c>
      <c r="AP217" s="1017">
        <v>0</v>
      </c>
      <c r="AQ217" s="1061"/>
      <c r="AR217" s="1062">
        <f t="shared" si="180"/>
        <v>0</v>
      </c>
      <c r="AS217" s="1063">
        <f t="shared" si="181"/>
        <v>1</v>
      </c>
      <c r="AT217" s="1016">
        <f t="shared" si="200"/>
        <v>0</v>
      </c>
      <c r="AU217" s="1017">
        <v>0</v>
      </c>
      <c r="AV217" s="1061"/>
      <c r="AW217" s="1062">
        <f t="shared" si="182"/>
        <v>0</v>
      </c>
      <c r="AX217" s="1063">
        <f t="shared" si="183"/>
        <v>1</v>
      </c>
      <c r="AY217" s="1016">
        <f t="shared" si="201"/>
        <v>0</v>
      </c>
      <c r="AZ217" s="1017">
        <v>0</v>
      </c>
      <c r="BA217" s="1061"/>
      <c r="BB217" s="1062">
        <f t="shared" si="184"/>
        <v>0</v>
      </c>
      <c r="BC217" s="1063">
        <f t="shared" si="185"/>
        <v>1</v>
      </c>
      <c r="BD217" s="1016">
        <f t="shared" si="202"/>
        <v>0</v>
      </c>
      <c r="BE217" s="1017">
        <v>0</v>
      </c>
      <c r="BF217" s="1061"/>
      <c r="BG217" s="1062">
        <f t="shared" si="186"/>
        <v>0</v>
      </c>
      <c r="BH217" s="1039">
        <f t="shared" si="187"/>
        <v>0</v>
      </c>
      <c r="BI217" s="1038">
        <f t="shared" si="188"/>
        <v>0</v>
      </c>
      <c r="BJ217" s="1027"/>
      <c r="BK217" s="1060"/>
      <c r="BL217" s="1040">
        <f t="shared" si="164"/>
        <v>0</v>
      </c>
      <c r="BM217" s="1038">
        <f t="shared" si="189"/>
        <v>0</v>
      </c>
      <c r="BN217" s="1027"/>
      <c r="BO217" s="1060"/>
      <c r="BP217" s="95">
        <f t="shared" si="190"/>
        <v>0</v>
      </c>
      <c r="BQ217" s="640">
        <f t="shared" si="191"/>
        <v>0</v>
      </c>
      <c r="BS217" s="94">
        <f t="shared" si="192"/>
        <v>0</v>
      </c>
      <c r="BU217" s="632">
        <f t="shared" si="193"/>
        <v>0</v>
      </c>
      <c r="BV217" s="398"/>
      <c r="BW217" s="405"/>
      <c r="CI217" s="96"/>
    </row>
    <row r="218" spans="1:87" ht="14.25" thickTop="1" thickBot="1">
      <c r="A218" s="57"/>
      <c r="B218" s="92">
        <v>88</v>
      </c>
      <c r="C218" s="255">
        <f t="shared" si="204"/>
        <v>0</v>
      </c>
      <c r="D218" s="93">
        <f t="shared" si="204"/>
        <v>0</v>
      </c>
      <c r="E218" s="93">
        <f t="shared" si="204"/>
        <v>0</v>
      </c>
      <c r="F218" s="93">
        <f t="shared" si="204"/>
        <v>0</v>
      </c>
      <c r="G218" s="93"/>
      <c r="H218" s="678">
        <f t="shared" si="194"/>
        <v>1</v>
      </c>
      <c r="I218" s="679">
        <f t="shared" si="166"/>
        <v>0</v>
      </c>
      <c r="J218" s="633">
        <f t="shared" si="203"/>
        <v>1</v>
      </c>
      <c r="K218" s="1016">
        <f t="shared" si="195"/>
        <v>0</v>
      </c>
      <c r="L218" s="1017">
        <v>0</v>
      </c>
      <c r="M218" s="1061"/>
      <c r="N218" s="1062">
        <f t="shared" si="167"/>
        <v>0</v>
      </c>
      <c r="O218" s="1063">
        <f t="shared" si="168"/>
        <v>1</v>
      </c>
      <c r="P218" s="1016">
        <f t="shared" si="169"/>
        <v>0</v>
      </c>
      <c r="Q218" s="1017">
        <v>0</v>
      </c>
      <c r="R218" s="1061"/>
      <c r="S218" s="1062">
        <f t="shared" si="170"/>
        <v>0</v>
      </c>
      <c r="T218" s="1063">
        <f t="shared" si="171"/>
        <v>1</v>
      </c>
      <c r="U218" s="1016"/>
      <c r="V218" s="1017">
        <v>0</v>
      </c>
      <c r="W218" s="1061"/>
      <c r="X218" s="1062">
        <f t="shared" si="172"/>
        <v>0</v>
      </c>
      <c r="Y218" s="1063">
        <f t="shared" si="173"/>
        <v>1</v>
      </c>
      <c r="Z218" s="1016">
        <f t="shared" si="196"/>
        <v>0</v>
      </c>
      <c r="AA218" s="1017">
        <v>0</v>
      </c>
      <c r="AB218" s="1061"/>
      <c r="AC218" s="1062">
        <f t="shared" si="174"/>
        <v>0</v>
      </c>
      <c r="AD218" s="1063">
        <f t="shared" si="175"/>
        <v>1</v>
      </c>
      <c r="AE218" s="1016">
        <f t="shared" si="197"/>
        <v>0</v>
      </c>
      <c r="AF218" s="1017">
        <v>0</v>
      </c>
      <c r="AG218" s="1061"/>
      <c r="AH218" s="1062">
        <f t="shared" si="176"/>
        <v>0</v>
      </c>
      <c r="AI218" s="1063">
        <f t="shared" si="177"/>
        <v>1</v>
      </c>
      <c r="AJ218" s="1016">
        <f t="shared" si="198"/>
        <v>0</v>
      </c>
      <c r="AK218" s="1017">
        <v>0</v>
      </c>
      <c r="AL218" s="1061"/>
      <c r="AM218" s="1062">
        <f t="shared" si="178"/>
        <v>0</v>
      </c>
      <c r="AN218" s="1063">
        <f t="shared" si="179"/>
        <v>1</v>
      </c>
      <c r="AO218" s="1016">
        <f t="shared" si="199"/>
        <v>0</v>
      </c>
      <c r="AP218" s="1017">
        <v>0</v>
      </c>
      <c r="AQ218" s="1061"/>
      <c r="AR218" s="1062">
        <f t="shared" si="180"/>
        <v>0</v>
      </c>
      <c r="AS218" s="1063">
        <f t="shared" si="181"/>
        <v>1</v>
      </c>
      <c r="AT218" s="1016">
        <f t="shared" si="200"/>
        <v>0</v>
      </c>
      <c r="AU218" s="1017">
        <v>0</v>
      </c>
      <c r="AV218" s="1061"/>
      <c r="AW218" s="1062">
        <f t="shared" si="182"/>
        <v>0</v>
      </c>
      <c r="AX218" s="1063">
        <f t="shared" si="183"/>
        <v>1</v>
      </c>
      <c r="AY218" s="1016">
        <f t="shared" si="201"/>
        <v>0</v>
      </c>
      <c r="AZ218" s="1017">
        <v>0</v>
      </c>
      <c r="BA218" s="1061"/>
      <c r="BB218" s="1062">
        <f t="shared" si="184"/>
        <v>0</v>
      </c>
      <c r="BC218" s="1063">
        <f t="shared" si="185"/>
        <v>1</v>
      </c>
      <c r="BD218" s="1016">
        <f t="shared" si="202"/>
        <v>0</v>
      </c>
      <c r="BE218" s="1017">
        <v>0</v>
      </c>
      <c r="BF218" s="1061"/>
      <c r="BG218" s="1062">
        <f t="shared" si="186"/>
        <v>0</v>
      </c>
      <c r="BH218" s="1039">
        <f t="shared" si="187"/>
        <v>0</v>
      </c>
      <c r="BI218" s="1038">
        <f t="shared" si="188"/>
        <v>0</v>
      </c>
      <c r="BJ218" s="1027"/>
      <c r="BK218" s="1060"/>
      <c r="BL218" s="1040">
        <f t="shared" si="164"/>
        <v>0</v>
      </c>
      <c r="BM218" s="1038">
        <f t="shared" si="189"/>
        <v>0</v>
      </c>
      <c r="BN218" s="1027"/>
      <c r="BO218" s="1060"/>
      <c r="BP218" s="95">
        <f t="shared" si="190"/>
        <v>0</v>
      </c>
      <c r="BQ218" s="640">
        <f t="shared" si="191"/>
        <v>0</v>
      </c>
      <c r="BS218" s="94">
        <f t="shared" si="192"/>
        <v>0</v>
      </c>
      <c r="BU218" s="632">
        <f t="shared" si="193"/>
        <v>0</v>
      </c>
      <c r="BV218" s="398"/>
      <c r="BW218" s="405"/>
      <c r="CI218" s="96"/>
    </row>
    <row r="219" spans="1:87" ht="14.25" thickTop="1" thickBot="1">
      <c r="A219" s="57"/>
      <c r="B219" s="92">
        <v>89</v>
      </c>
      <c r="C219" s="255">
        <f t="shared" si="204"/>
        <v>0</v>
      </c>
      <c r="D219" s="93">
        <f t="shared" si="204"/>
        <v>0</v>
      </c>
      <c r="E219" s="93">
        <f t="shared" si="204"/>
        <v>0</v>
      </c>
      <c r="F219" s="93">
        <f t="shared" si="204"/>
        <v>0</v>
      </c>
      <c r="G219" s="93"/>
      <c r="H219" s="678">
        <f t="shared" si="194"/>
        <v>1</v>
      </c>
      <c r="I219" s="679">
        <f t="shared" si="166"/>
        <v>0</v>
      </c>
      <c r="J219" s="633">
        <f t="shared" si="203"/>
        <v>1</v>
      </c>
      <c r="K219" s="1016">
        <f t="shared" si="195"/>
        <v>0</v>
      </c>
      <c r="L219" s="1017">
        <v>0</v>
      </c>
      <c r="M219" s="1061"/>
      <c r="N219" s="1062">
        <f t="shared" si="167"/>
        <v>0</v>
      </c>
      <c r="O219" s="1063">
        <f t="shared" si="168"/>
        <v>1</v>
      </c>
      <c r="P219" s="1016">
        <f t="shared" si="169"/>
        <v>0</v>
      </c>
      <c r="Q219" s="1017">
        <v>0</v>
      </c>
      <c r="R219" s="1061"/>
      <c r="S219" s="1062">
        <f t="shared" si="170"/>
        <v>0</v>
      </c>
      <c r="T219" s="1063">
        <f t="shared" si="171"/>
        <v>1</v>
      </c>
      <c r="U219" s="1016"/>
      <c r="V219" s="1017">
        <v>0</v>
      </c>
      <c r="W219" s="1061"/>
      <c r="X219" s="1062">
        <f t="shared" si="172"/>
        <v>0</v>
      </c>
      <c r="Y219" s="1063">
        <f t="shared" si="173"/>
        <v>1</v>
      </c>
      <c r="Z219" s="1016">
        <f t="shared" si="196"/>
        <v>0</v>
      </c>
      <c r="AA219" s="1017">
        <v>0</v>
      </c>
      <c r="AB219" s="1061"/>
      <c r="AC219" s="1062">
        <f t="shared" si="174"/>
        <v>0</v>
      </c>
      <c r="AD219" s="1063">
        <f t="shared" si="175"/>
        <v>1</v>
      </c>
      <c r="AE219" s="1016">
        <f t="shared" si="197"/>
        <v>0</v>
      </c>
      <c r="AF219" s="1017">
        <v>0</v>
      </c>
      <c r="AG219" s="1061"/>
      <c r="AH219" s="1062">
        <f t="shared" si="176"/>
        <v>0</v>
      </c>
      <c r="AI219" s="1063">
        <f t="shared" si="177"/>
        <v>1</v>
      </c>
      <c r="AJ219" s="1016">
        <f t="shared" si="198"/>
        <v>0</v>
      </c>
      <c r="AK219" s="1017">
        <v>0</v>
      </c>
      <c r="AL219" s="1061"/>
      <c r="AM219" s="1062">
        <f t="shared" si="178"/>
        <v>0</v>
      </c>
      <c r="AN219" s="1063">
        <f t="shared" si="179"/>
        <v>1</v>
      </c>
      <c r="AO219" s="1016">
        <f t="shared" si="199"/>
        <v>0</v>
      </c>
      <c r="AP219" s="1017">
        <v>0</v>
      </c>
      <c r="AQ219" s="1061"/>
      <c r="AR219" s="1062">
        <f t="shared" si="180"/>
        <v>0</v>
      </c>
      <c r="AS219" s="1063">
        <f t="shared" si="181"/>
        <v>1</v>
      </c>
      <c r="AT219" s="1016">
        <f t="shared" si="200"/>
        <v>0</v>
      </c>
      <c r="AU219" s="1017">
        <v>0</v>
      </c>
      <c r="AV219" s="1061"/>
      <c r="AW219" s="1062">
        <f t="shared" si="182"/>
        <v>0</v>
      </c>
      <c r="AX219" s="1063">
        <f t="shared" si="183"/>
        <v>1</v>
      </c>
      <c r="AY219" s="1016">
        <f t="shared" si="201"/>
        <v>0</v>
      </c>
      <c r="AZ219" s="1017">
        <v>0</v>
      </c>
      <c r="BA219" s="1061"/>
      <c r="BB219" s="1062">
        <f t="shared" si="184"/>
        <v>0</v>
      </c>
      <c r="BC219" s="1063">
        <f t="shared" si="185"/>
        <v>1</v>
      </c>
      <c r="BD219" s="1016">
        <f t="shared" si="202"/>
        <v>0</v>
      </c>
      <c r="BE219" s="1017">
        <v>0</v>
      </c>
      <c r="BF219" s="1061"/>
      <c r="BG219" s="1062">
        <f t="shared" si="186"/>
        <v>0</v>
      </c>
      <c r="BH219" s="1039">
        <f t="shared" si="187"/>
        <v>0</v>
      </c>
      <c r="BI219" s="1038">
        <f t="shared" si="188"/>
        <v>0</v>
      </c>
      <c r="BJ219" s="1027"/>
      <c r="BK219" s="1060"/>
      <c r="BL219" s="1040">
        <f t="shared" si="164"/>
        <v>0</v>
      </c>
      <c r="BM219" s="1038">
        <f t="shared" si="189"/>
        <v>0</v>
      </c>
      <c r="BN219" s="1027"/>
      <c r="BO219" s="1060"/>
      <c r="BP219" s="95">
        <f t="shared" si="190"/>
        <v>0</v>
      </c>
      <c r="BQ219" s="640">
        <f t="shared" si="191"/>
        <v>0</v>
      </c>
      <c r="BS219" s="94">
        <f t="shared" si="192"/>
        <v>0</v>
      </c>
      <c r="BU219" s="632">
        <f t="shared" si="193"/>
        <v>0</v>
      </c>
      <c r="BV219" s="398"/>
      <c r="BW219" s="405"/>
      <c r="CI219" s="96"/>
    </row>
    <row r="220" spans="1:87" ht="14.25" thickTop="1" thickBot="1">
      <c r="A220" s="57"/>
      <c r="B220" s="92">
        <v>90</v>
      </c>
      <c r="C220" s="255">
        <f t="shared" si="204"/>
        <v>0</v>
      </c>
      <c r="D220" s="93">
        <f t="shared" si="204"/>
        <v>0</v>
      </c>
      <c r="E220" s="93">
        <f t="shared" si="204"/>
        <v>0</v>
      </c>
      <c r="F220" s="93">
        <f t="shared" si="204"/>
        <v>0</v>
      </c>
      <c r="G220" s="93"/>
      <c r="H220" s="678">
        <f t="shared" si="194"/>
        <v>1</v>
      </c>
      <c r="I220" s="679">
        <f t="shared" si="166"/>
        <v>0</v>
      </c>
      <c r="J220" s="633">
        <f t="shared" si="203"/>
        <v>1</v>
      </c>
      <c r="K220" s="1016">
        <f t="shared" si="195"/>
        <v>0</v>
      </c>
      <c r="L220" s="1017">
        <v>0</v>
      </c>
      <c r="M220" s="1061"/>
      <c r="N220" s="1062">
        <f t="shared" si="167"/>
        <v>0</v>
      </c>
      <c r="O220" s="1063">
        <f t="shared" si="168"/>
        <v>1</v>
      </c>
      <c r="P220" s="1016">
        <f t="shared" si="169"/>
        <v>0</v>
      </c>
      <c r="Q220" s="1017">
        <v>0</v>
      </c>
      <c r="R220" s="1061"/>
      <c r="S220" s="1062">
        <f t="shared" si="170"/>
        <v>0</v>
      </c>
      <c r="T220" s="1063">
        <f t="shared" si="171"/>
        <v>1</v>
      </c>
      <c r="U220" s="1016"/>
      <c r="V220" s="1017">
        <v>0</v>
      </c>
      <c r="W220" s="1061"/>
      <c r="X220" s="1062">
        <f t="shared" si="172"/>
        <v>0</v>
      </c>
      <c r="Y220" s="1063">
        <f t="shared" si="173"/>
        <v>1</v>
      </c>
      <c r="Z220" s="1016">
        <f t="shared" si="196"/>
        <v>0</v>
      </c>
      <c r="AA220" s="1017">
        <v>0</v>
      </c>
      <c r="AB220" s="1061"/>
      <c r="AC220" s="1062">
        <f t="shared" si="174"/>
        <v>0</v>
      </c>
      <c r="AD220" s="1063">
        <f t="shared" si="175"/>
        <v>1</v>
      </c>
      <c r="AE220" s="1016">
        <f t="shared" si="197"/>
        <v>0</v>
      </c>
      <c r="AF220" s="1017">
        <v>0</v>
      </c>
      <c r="AG220" s="1061"/>
      <c r="AH220" s="1062">
        <f t="shared" si="176"/>
        <v>0</v>
      </c>
      <c r="AI220" s="1063">
        <f t="shared" si="177"/>
        <v>1</v>
      </c>
      <c r="AJ220" s="1016">
        <f t="shared" si="198"/>
        <v>0</v>
      </c>
      <c r="AK220" s="1017">
        <v>0</v>
      </c>
      <c r="AL220" s="1061"/>
      <c r="AM220" s="1062">
        <f t="shared" si="178"/>
        <v>0</v>
      </c>
      <c r="AN220" s="1063">
        <f t="shared" si="179"/>
        <v>1</v>
      </c>
      <c r="AO220" s="1016">
        <f t="shared" si="199"/>
        <v>0</v>
      </c>
      <c r="AP220" s="1017">
        <v>0</v>
      </c>
      <c r="AQ220" s="1061"/>
      <c r="AR220" s="1062">
        <f t="shared" si="180"/>
        <v>0</v>
      </c>
      <c r="AS220" s="1063">
        <f t="shared" si="181"/>
        <v>1</v>
      </c>
      <c r="AT220" s="1016">
        <f t="shared" si="200"/>
        <v>0</v>
      </c>
      <c r="AU220" s="1017">
        <v>0</v>
      </c>
      <c r="AV220" s="1061"/>
      <c r="AW220" s="1062">
        <f t="shared" si="182"/>
        <v>0</v>
      </c>
      <c r="AX220" s="1063">
        <f t="shared" si="183"/>
        <v>1</v>
      </c>
      <c r="AY220" s="1016">
        <f t="shared" si="201"/>
        <v>0</v>
      </c>
      <c r="AZ220" s="1017">
        <v>0</v>
      </c>
      <c r="BA220" s="1061"/>
      <c r="BB220" s="1062">
        <f t="shared" si="184"/>
        <v>0</v>
      </c>
      <c r="BC220" s="1063">
        <f t="shared" si="185"/>
        <v>1</v>
      </c>
      <c r="BD220" s="1016">
        <f t="shared" si="202"/>
        <v>0</v>
      </c>
      <c r="BE220" s="1017">
        <v>0</v>
      </c>
      <c r="BF220" s="1061"/>
      <c r="BG220" s="1062">
        <f t="shared" si="186"/>
        <v>0</v>
      </c>
      <c r="BH220" s="1039">
        <f t="shared" si="187"/>
        <v>0</v>
      </c>
      <c r="BI220" s="1038">
        <f t="shared" si="188"/>
        <v>0</v>
      </c>
      <c r="BJ220" s="1027"/>
      <c r="BK220" s="1060"/>
      <c r="BL220" s="1040">
        <f t="shared" si="164"/>
        <v>0</v>
      </c>
      <c r="BM220" s="1038">
        <f t="shared" si="189"/>
        <v>0</v>
      </c>
      <c r="BN220" s="1027"/>
      <c r="BO220" s="1060"/>
      <c r="BP220" s="95">
        <f t="shared" si="190"/>
        <v>0</v>
      </c>
      <c r="BQ220" s="640">
        <f t="shared" si="191"/>
        <v>0</v>
      </c>
      <c r="BS220" s="94">
        <f t="shared" si="192"/>
        <v>0</v>
      </c>
      <c r="BU220" s="632">
        <f t="shared" si="193"/>
        <v>0</v>
      </c>
      <c r="BV220" s="398"/>
      <c r="BW220" s="405"/>
      <c r="CI220" s="96"/>
    </row>
    <row r="221" spans="1:87" ht="14.25" thickTop="1" thickBot="1">
      <c r="A221" s="57"/>
      <c r="B221" s="92">
        <v>91</v>
      </c>
      <c r="C221" s="255">
        <f t="shared" si="204"/>
        <v>0</v>
      </c>
      <c r="D221" s="93">
        <f t="shared" si="204"/>
        <v>0</v>
      </c>
      <c r="E221" s="93">
        <f t="shared" si="204"/>
        <v>0</v>
      </c>
      <c r="F221" s="93">
        <f t="shared" si="204"/>
        <v>0</v>
      </c>
      <c r="G221" s="93"/>
      <c r="H221" s="678">
        <f t="shared" si="194"/>
        <v>1</v>
      </c>
      <c r="I221" s="679">
        <f t="shared" si="166"/>
        <v>0</v>
      </c>
      <c r="J221" s="633">
        <f t="shared" si="203"/>
        <v>1</v>
      </c>
      <c r="K221" s="1016">
        <f t="shared" si="195"/>
        <v>0</v>
      </c>
      <c r="L221" s="1017">
        <v>0</v>
      </c>
      <c r="M221" s="1061"/>
      <c r="N221" s="1062">
        <f t="shared" si="167"/>
        <v>0</v>
      </c>
      <c r="O221" s="1063">
        <f t="shared" si="168"/>
        <v>1</v>
      </c>
      <c r="P221" s="1016">
        <f t="shared" si="169"/>
        <v>0</v>
      </c>
      <c r="Q221" s="1017">
        <v>0</v>
      </c>
      <c r="R221" s="1061"/>
      <c r="S221" s="1062">
        <f t="shared" si="170"/>
        <v>0</v>
      </c>
      <c r="T221" s="1063">
        <f t="shared" si="171"/>
        <v>1</v>
      </c>
      <c r="U221" s="1016"/>
      <c r="V221" s="1017">
        <v>0</v>
      </c>
      <c r="W221" s="1061"/>
      <c r="X221" s="1062">
        <f t="shared" si="172"/>
        <v>0</v>
      </c>
      <c r="Y221" s="1063">
        <f t="shared" si="173"/>
        <v>1</v>
      </c>
      <c r="Z221" s="1016">
        <f t="shared" si="196"/>
        <v>0</v>
      </c>
      <c r="AA221" s="1017">
        <v>0</v>
      </c>
      <c r="AB221" s="1061"/>
      <c r="AC221" s="1062">
        <f t="shared" si="174"/>
        <v>0</v>
      </c>
      <c r="AD221" s="1063">
        <f t="shared" si="175"/>
        <v>1</v>
      </c>
      <c r="AE221" s="1016">
        <f t="shared" si="197"/>
        <v>0</v>
      </c>
      <c r="AF221" s="1017">
        <v>0</v>
      </c>
      <c r="AG221" s="1061"/>
      <c r="AH221" s="1062">
        <f t="shared" si="176"/>
        <v>0</v>
      </c>
      <c r="AI221" s="1063">
        <f t="shared" si="177"/>
        <v>1</v>
      </c>
      <c r="AJ221" s="1016">
        <f t="shared" si="198"/>
        <v>0</v>
      </c>
      <c r="AK221" s="1017">
        <v>0</v>
      </c>
      <c r="AL221" s="1061"/>
      <c r="AM221" s="1062">
        <f t="shared" si="178"/>
        <v>0</v>
      </c>
      <c r="AN221" s="1063">
        <f t="shared" si="179"/>
        <v>1</v>
      </c>
      <c r="AO221" s="1016">
        <f t="shared" si="199"/>
        <v>0</v>
      </c>
      <c r="AP221" s="1017">
        <v>0</v>
      </c>
      <c r="AQ221" s="1061"/>
      <c r="AR221" s="1062">
        <f t="shared" si="180"/>
        <v>0</v>
      </c>
      <c r="AS221" s="1063">
        <f t="shared" si="181"/>
        <v>1</v>
      </c>
      <c r="AT221" s="1016">
        <f t="shared" si="200"/>
        <v>0</v>
      </c>
      <c r="AU221" s="1017">
        <v>0</v>
      </c>
      <c r="AV221" s="1061"/>
      <c r="AW221" s="1062">
        <f t="shared" si="182"/>
        <v>0</v>
      </c>
      <c r="AX221" s="1063">
        <f t="shared" si="183"/>
        <v>1</v>
      </c>
      <c r="AY221" s="1016">
        <f t="shared" si="201"/>
        <v>0</v>
      </c>
      <c r="AZ221" s="1017">
        <v>0</v>
      </c>
      <c r="BA221" s="1061"/>
      <c r="BB221" s="1062">
        <f t="shared" si="184"/>
        <v>0</v>
      </c>
      <c r="BC221" s="1063">
        <f t="shared" si="185"/>
        <v>1</v>
      </c>
      <c r="BD221" s="1016">
        <f t="shared" si="202"/>
        <v>0</v>
      </c>
      <c r="BE221" s="1017">
        <v>0</v>
      </c>
      <c r="BF221" s="1061"/>
      <c r="BG221" s="1062">
        <f t="shared" si="186"/>
        <v>0</v>
      </c>
      <c r="BH221" s="1039">
        <f t="shared" si="187"/>
        <v>0</v>
      </c>
      <c r="BI221" s="1038">
        <f t="shared" si="188"/>
        <v>0</v>
      </c>
      <c r="BJ221" s="1027"/>
      <c r="BK221" s="1060"/>
      <c r="BL221" s="1040">
        <f t="shared" si="164"/>
        <v>0</v>
      </c>
      <c r="BM221" s="1038">
        <f t="shared" si="189"/>
        <v>0</v>
      </c>
      <c r="BN221" s="1027"/>
      <c r="BO221" s="1060"/>
      <c r="BP221" s="95">
        <f t="shared" si="190"/>
        <v>0</v>
      </c>
      <c r="BQ221" s="640">
        <f t="shared" si="191"/>
        <v>0</v>
      </c>
      <c r="BS221" s="94">
        <f t="shared" si="192"/>
        <v>0</v>
      </c>
      <c r="BU221" s="632">
        <f t="shared" si="193"/>
        <v>0</v>
      </c>
      <c r="BV221" s="398"/>
      <c r="BW221" s="405"/>
      <c r="CI221" s="96"/>
    </row>
    <row r="222" spans="1:87" ht="14.25" thickTop="1" thickBot="1">
      <c r="A222" s="57"/>
      <c r="B222" s="92">
        <v>92</v>
      </c>
      <c r="C222" s="255">
        <f t="shared" si="204"/>
        <v>0</v>
      </c>
      <c r="D222" s="93">
        <f t="shared" si="204"/>
        <v>0</v>
      </c>
      <c r="E222" s="93">
        <f t="shared" si="204"/>
        <v>0</v>
      </c>
      <c r="F222" s="93">
        <f t="shared" si="204"/>
        <v>0</v>
      </c>
      <c r="G222" s="93"/>
      <c r="H222" s="678">
        <f t="shared" si="194"/>
        <v>1</v>
      </c>
      <c r="I222" s="679">
        <f t="shared" si="166"/>
        <v>0</v>
      </c>
      <c r="J222" s="633">
        <f t="shared" si="203"/>
        <v>1</v>
      </c>
      <c r="K222" s="1016">
        <f t="shared" si="195"/>
        <v>0</v>
      </c>
      <c r="L222" s="1017">
        <v>0</v>
      </c>
      <c r="M222" s="1061"/>
      <c r="N222" s="1062">
        <f t="shared" si="167"/>
        <v>0</v>
      </c>
      <c r="O222" s="1063">
        <f t="shared" si="168"/>
        <v>1</v>
      </c>
      <c r="P222" s="1016">
        <f t="shared" si="169"/>
        <v>0</v>
      </c>
      <c r="Q222" s="1017">
        <v>0</v>
      </c>
      <c r="R222" s="1061"/>
      <c r="S222" s="1062">
        <f t="shared" si="170"/>
        <v>0</v>
      </c>
      <c r="T222" s="1063">
        <f t="shared" si="171"/>
        <v>1</v>
      </c>
      <c r="U222" s="1016"/>
      <c r="V222" s="1017">
        <v>0</v>
      </c>
      <c r="W222" s="1061"/>
      <c r="X222" s="1062">
        <f t="shared" si="172"/>
        <v>0</v>
      </c>
      <c r="Y222" s="1063">
        <f t="shared" si="173"/>
        <v>1</v>
      </c>
      <c r="Z222" s="1016">
        <f t="shared" si="196"/>
        <v>0</v>
      </c>
      <c r="AA222" s="1017">
        <v>0</v>
      </c>
      <c r="AB222" s="1061"/>
      <c r="AC222" s="1062">
        <f t="shared" si="174"/>
        <v>0</v>
      </c>
      <c r="AD222" s="1063">
        <f t="shared" si="175"/>
        <v>1</v>
      </c>
      <c r="AE222" s="1016">
        <f t="shared" si="197"/>
        <v>0</v>
      </c>
      <c r="AF222" s="1017">
        <v>0</v>
      </c>
      <c r="AG222" s="1061"/>
      <c r="AH222" s="1062">
        <f t="shared" si="176"/>
        <v>0</v>
      </c>
      <c r="AI222" s="1063">
        <f t="shared" si="177"/>
        <v>1</v>
      </c>
      <c r="AJ222" s="1016">
        <f t="shared" si="198"/>
        <v>0</v>
      </c>
      <c r="AK222" s="1017">
        <v>0</v>
      </c>
      <c r="AL222" s="1061"/>
      <c r="AM222" s="1062">
        <f t="shared" si="178"/>
        <v>0</v>
      </c>
      <c r="AN222" s="1063">
        <f t="shared" si="179"/>
        <v>1</v>
      </c>
      <c r="AO222" s="1016">
        <f t="shared" si="199"/>
        <v>0</v>
      </c>
      <c r="AP222" s="1017">
        <v>0</v>
      </c>
      <c r="AQ222" s="1061"/>
      <c r="AR222" s="1062">
        <f t="shared" si="180"/>
        <v>0</v>
      </c>
      <c r="AS222" s="1063">
        <f t="shared" si="181"/>
        <v>1</v>
      </c>
      <c r="AT222" s="1016">
        <f t="shared" si="200"/>
        <v>0</v>
      </c>
      <c r="AU222" s="1017">
        <v>0</v>
      </c>
      <c r="AV222" s="1061"/>
      <c r="AW222" s="1062">
        <f t="shared" si="182"/>
        <v>0</v>
      </c>
      <c r="AX222" s="1063">
        <f t="shared" si="183"/>
        <v>1</v>
      </c>
      <c r="AY222" s="1016">
        <f t="shared" si="201"/>
        <v>0</v>
      </c>
      <c r="AZ222" s="1017">
        <v>0</v>
      </c>
      <c r="BA222" s="1061"/>
      <c r="BB222" s="1062">
        <f t="shared" si="184"/>
        <v>0</v>
      </c>
      <c r="BC222" s="1063">
        <f t="shared" si="185"/>
        <v>1</v>
      </c>
      <c r="BD222" s="1016">
        <f t="shared" si="202"/>
        <v>0</v>
      </c>
      <c r="BE222" s="1017">
        <v>0</v>
      </c>
      <c r="BF222" s="1061"/>
      <c r="BG222" s="1062">
        <f t="shared" si="186"/>
        <v>0</v>
      </c>
      <c r="BH222" s="1039">
        <f t="shared" si="187"/>
        <v>0</v>
      </c>
      <c r="BI222" s="1038">
        <f t="shared" si="188"/>
        <v>0</v>
      </c>
      <c r="BJ222" s="1027"/>
      <c r="BK222" s="1060"/>
      <c r="BL222" s="1040">
        <f t="shared" si="164"/>
        <v>0</v>
      </c>
      <c r="BM222" s="1038">
        <f t="shared" si="189"/>
        <v>0</v>
      </c>
      <c r="BN222" s="1027"/>
      <c r="BO222" s="1060"/>
      <c r="BP222" s="95">
        <f t="shared" si="190"/>
        <v>0</v>
      </c>
      <c r="BQ222" s="640">
        <f t="shared" si="191"/>
        <v>0</v>
      </c>
      <c r="BS222" s="94">
        <f t="shared" si="192"/>
        <v>0</v>
      </c>
      <c r="BU222" s="632">
        <f t="shared" si="193"/>
        <v>0</v>
      </c>
      <c r="BV222" s="398"/>
      <c r="BW222" s="405"/>
      <c r="CI222" s="96"/>
    </row>
    <row r="223" spans="1:87" ht="14.25" thickTop="1" thickBot="1">
      <c r="A223" s="57"/>
      <c r="B223" s="92">
        <v>93</v>
      </c>
      <c r="C223" s="255">
        <f t="shared" si="204"/>
        <v>0</v>
      </c>
      <c r="D223" s="93">
        <f t="shared" si="204"/>
        <v>0</v>
      </c>
      <c r="E223" s="93">
        <f t="shared" si="204"/>
        <v>0</v>
      </c>
      <c r="F223" s="93">
        <f t="shared" si="204"/>
        <v>0</v>
      </c>
      <c r="G223" s="93"/>
      <c r="H223" s="678">
        <f t="shared" si="194"/>
        <v>1</v>
      </c>
      <c r="I223" s="679">
        <f t="shared" si="166"/>
        <v>0</v>
      </c>
      <c r="J223" s="633">
        <f t="shared" si="203"/>
        <v>1</v>
      </c>
      <c r="K223" s="1016">
        <f t="shared" si="195"/>
        <v>0</v>
      </c>
      <c r="L223" s="1017">
        <v>0</v>
      </c>
      <c r="M223" s="1061"/>
      <c r="N223" s="1062">
        <f t="shared" si="167"/>
        <v>0</v>
      </c>
      <c r="O223" s="1063">
        <f t="shared" si="168"/>
        <v>1</v>
      </c>
      <c r="P223" s="1016">
        <f t="shared" si="169"/>
        <v>0</v>
      </c>
      <c r="Q223" s="1017">
        <v>0</v>
      </c>
      <c r="R223" s="1061"/>
      <c r="S223" s="1062">
        <f t="shared" si="170"/>
        <v>0</v>
      </c>
      <c r="T223" s="1063">
        <f t="shared" si="171"/>
        <v>1</v>
      </c>
      <c r="U223" s="1016"/>
      <c r="V223" s="1017">
        <v>0</v>
      </c>
      <c r="W223" s="1061"/>
      <c r="X223" s="1062">
        <f t="shared" si="172"/>
        <v>0</v>
      </c>
      <c r="Y223" s="1063">
        <f t="shared" si="173"/>
        <v>1</v>
      </c>
      <c r="Z223" s="1016">
        <f t="shared" si="196"/>
        <v>0</v>
      </c>
      <c r="AA223" s="1017">
        <v>0</v>
      </c>
      <c r="AB223" s="1061"/>
      <c r="AC223" s="1062">
        <f t="shared" si="174"/>
        <v>0</v>
      </c>
      <c r="AD223" s="1063">
        <f t="shared" si="175"/>
        <v>1</v>
      </c>
      <c r="AE223" s="1016">
        <f t="shared" si="197"/>
        <v>0</v>
      </c>
      <c r="AF223" s="1017">
        <v>0</v>
      </c>
      <c r="AG223" s="1061"/>
      <c r="AH223" s="1062">
        <f t="shared" si="176"/>
        <v>0</v>
      </c>
      <c r="AI223" s="1063">
        <f t="shared" si="177"/>
        <v>1</v>
      </c>
      <c r="AJ223" s="1016">
        <f t="shared" si="198"/>
        <v>0</v>
      </c>
      <c r="AK223" s="1017">
        <v>0</v>
      </c>
      <c r="AL223" s="1061"/>
      <c r="AM223" s="1062">
        <f t="shared" si="178"/>
        <v>0</v>
      </c>
      <c r="AN223" s="1063">
        <f t="shared" si="179"/>
        <v>1</v>
      </c>
      <c r="AO223" s="1016">
        <f t="shared" si="199"/>
        <v>0</v>
      </c>
      <c r="AP223" s="1017">
        <v>0</v>
      </c>
      <c r="AQ223" s="1061"/>
      <c r="AR223" s="1062">
        <f t="shared" si="180"/>
        <v>0</v>
      </c>
      <c r="AS223" s="1063">
        <f t="shared" si="181"/>
        <v>1</v>
      </c>
      <c r="AT223" s="1016">
        <f t="shared" si="200"/>
        <v>0</v>
      </c>
      <c r="AU223" s="1017">
        <v>0</v>
      </c>
      <c r="AV223" s="1061"/>
      <c r="AW223" s="1062">
        <f t="shared" si="182"/>
        <v>0</v>
      </c>
      <c r="AX223" s="1063">
        <f t="shared" si="183"/>
        <v>1</v>
      </c>
      <c r="AY223" s="1016">
        <f t="shared" si="201"/>
        <v>0</v>
      </c>
      <c r="AZ223" s="1017">
        <v>0</v>
      </c>
      <c r="BA223" s="1061"/>
      <c r="BB223" s="1062">
        <f t="shared" si="184"/>
        <v>0</v>
      </c>
      <c r="BC223" s="1063">
        <f t="shared" si="185"/>
        <v>1</v>
      </c>
      <c r="BD223" s="1016">
        <f t="shared" si="202"/>
        <v>0</v>
      </c>
      <c r="BE223" s="1017">
        <v>0</v>
      </c>
      <c r="BF223" s="1061"/>
      <c r="BG223" s="1062">
        <f t="shared" si="186"/>
        <v>0</v>
      </c>
      <c r="BH223" s="1039">
        <f t="shared" si="187"/>
        <v>0</v>
      </c>
      <c r="BI223" s="1038">
        <f t="shared" si="188"/>
        <v>0</v>
      </c>
      <c r="BJ223" s="1027"/>
      <c r="BK223" s="1060"/>
      <c r="BL223" s="1040">
        <f t="shared" si="164"/>
        <v>0</v>
      </c>
      <c r="BM223" s="1038">
        <f t="shared" si="189"/>
        <v>0</v>
      </c>
      <c r="BN223" s="1027"/>
      <c r="BO223" s="1060"/>
      <c r="BP223" s="95">
        <f t="shared" si="190"/>
        <v>0</v>
      </c>
      <c r="BQ223" s="640">
        <f t="shared" si="191"/>
        <v>0</v>
      </c>
      <c r="BS223" s="94">
        <f t="shared" si="192"/>
        <v>0</v>
      </c>
      <c r="BU223" s="632">
        <f t="shared" si="193"/>
        <v>0</v>
      </c>
      <c r="BV223" s="398"/>
      <c r="BW223" s="405"/>
      <c r="CI223" s="96"/>
    </row>
    <row r="224" spans="1:87" ht="14.25" thickTop="1" thickBot="1">
      <c r="A224" s="57"/>
      <c r="B224" s="92">
        <v>94</v>
      </c>
      <c r="C224" s="255">
        <f t="shared" si="204"/>
        <v>0</v>
      </c>
      <c r="D224" s="93">
        <f t="shared" si="204"/>
        <v>0</v>
      </c>
      <c r="E224" s="93">
        <f t="shared" si="204"/>
        <v>0</v>
      </c>
      <c r="F224" s="93">
        <f t="shared" si="204"/>
        <v>0</v>
      </c>
      <c r="G224" s="93"/>
      <c r="H224" s="678">
        <f t="shared" si="194"/>
        <v>1</v>
      </c>
      <c r="I224" s="679">
        <f t="shared" si="166"/>
        <v>0</v>
      </c>
      <c r="J224" s="633">
        <f t="shared" si="203"/>
        <v>1</v>
      </c>
      <c r="K224" s="1016">
        <f t="shared" si="195"/>
        <v>0</v>
      </c>
      <c r="L224" s="1017">
        <v>0</v>
      </c>
      <c r="M224" s="1061"/>
      <c r="N224" s="1062">
        <f t="shared" si="167"/>
        <v>0</v>
      </c>
      <c r="O224" s="1063">
        <f t="shared" si="168"/>
        <v>1</v>
      </c>
      <c r="P224" s="1016">
        <f t="shared" si="169"/>
        <v>0</v>
      </c>
      <c r="Q224" s="1017">
        <v>0</v>
      </c>
      <c r="R224" s="1061"/>
      <c r="S224" s="1062">
        <f t="shared" si="170"/>
        <v>0</v>
      </c>
      <c r="T224" s="1063">
        <f t="shared" si="171"/>
        <v>1</v>
      </c>
      <c r="U224" s="1016"/>
      <c r="V224" s="1017">
        <v>0</v>
      </c>
      <c r="W224" s="1061"/>
      <c r="X224" s="1062">
        <f t="shared" si="172"/>
        <v>0</v>
      </c>
      <c r="Y224" s="1063">
        <f t="shared" si="173"/>
        <v>1</v>
      </c>
      <c r="Z224" s="1016">
        <f t="shared" si="196"/>
        <v>0</v>
      </c>
      <c r="AA224" s="1017">
        <v>0</v>
      </c>
      <c r="AB224" s="1061"/>
      <c r="AC224" s="1062">
        <f t="shared" si="174"/>
        <v>0</v>
      </c>
      <c r="AD224" s="1063">
        <f t="shared" si="175"/>
        <v>1</v>
      </c>
      <c r="AE224" s="1016">
        <f t="shared" si="197"/>
        <v>0</v>
      </c>
      <c r="AF224" s="1017">
        <v>0</v>
      </c>
      <c r="AG224" s="1061"/>
      <c r="AH224" s="1062">
        <f t="shared" si="176"/>
        <v>0</v>
      </c>
      <c r="AI224" s="1063">
        <f t="shared" si="177"/>
        <v>1</v>
      </c>
      <c r="AJ224" s="1016">
        <f t="shared" si="198"/>
        <v>0</v>
      </c>
      <c r="AK224" s="1017">
        <v>0</v>
      </c>
      <c r="AL224" s="1061"/>
      <c r="AM224" s="1062">
        <f t="shared" si="178"/>
        <v>0</v>
      </c>
      <c r="AN224" s="1063">
        <f t="shared" si="179"/>
        <v>1</v>
      </c>
      <c r="AO224" s="1016">
        <f t="shared" si="199"/>
        <v>0</v>
      </c>
      <c r="AP224" s="1017">
        <v>0</v>
      </c>
      <c r="AQ224" s="1061"/>
      <c r="AR224" s="1062">
        <f t="shared" si="180"/>
        <v>0</v>
      </c>
      <c r="AS224" s="1063">
        <f t="shared" si="181"/>
        <v>1</v>
      </c>
      <c r="AT224" s="1016">
        <f t="shared" si="200"/>
        <v>0</v>
      </c>
      <c r="AU224" s="1017">
        <v>0</v>
      </c>
      <c r="AV224" s="1061"/>
      <c r="AW224" s="1062">
        <f t="shared" si="182"/>
        <v>0</v>
      </c>
      <c r="AX224" s="1063">
        <f t="shared" si="183"/>
        <v>1</v>
      </c>
      <c r="AY224" s="1016">
        <f t="shared" si="201"/>
        <v>0</v>
      </c>
      <c r="AZ224" s="1017">
        <v>0</v>
      </c>
      <c r="BA224" s="1061"/>
      <c r="BB224" s="1062">
        <f t="shared" si="184"/>
        <v>0</v>
      </c>
      <c r="BC224" s="1063">
        <f t="shared" si="185"/>
        <v>1</v>
      </c>
      <c r="BD224" s="1016">
        <f t="shared" si="202"/>
        <v>0</v>
      </c>
      <c r="BE224" s="1017">
        <v>0</v>
      </c>
      <c r="BF224" s="1061"/>
      <c r="BG224" s="1062">
        <f t="shared" si="186"/>
        <v>0</v>
      </c>
      <c r="BH224" s="1039">
        <f t="shared" si="187"/>
        <v>0</v>
      </c>
      <c r="BI224" s="1038">
        <f t="shared" si="188"/>
        <v>0</v>
      </c>
      <c r="BJ224" s="1027"/>
      <c r="BK224" s="1060"/>
      <c r="BL224" s="1040">
        <f t="shared" si="164"/>
        <v>0</v>
      </c>
      <c r="BM224" s="1038">
        <f t="shared" si="189"/>
        <v>0</v>
      </c>
      <c r="BN224" s="1027"/>
      <c r="BO224" s="1060"/>
      <c r="BP224" s="95">
        <f t="shared" si="190"/>
        <v>0</v>
      </c>
      <c r="BQ224" s="640">
        <f t="shared" si="191"/>
        <v>0</v>
      </c>
      <c r="BS224" s="94">
        <f t="shared" si="192"/>
        <v>0</v>
      </c>
      <c r="BU224" s="632">
        <f t="shared" si="193"/>
        <v>0</v>
      </c>
      <c r="BV224" s="398"/>
      <c r="BW224" s="405"/>
      <c r="CI224" s="96"/>
    </row>
    <row r="225" spans="1:87" ht="14.25" thickTop="1" thickBot="1">
      <c r="A225" s="57"/>
      <c r="B225" s="92">
        <v>95</v>
      </c>
      <c r="C225" s="255">
        <f t="shared" si="204"/>
        <v>0</v>
      </c>
      <c r="D225" s="93">
        <f t="shared" si="204"/>
        <v>0</v>
      </c>
      <c r="E225" s="93">
        <f t="shared" si="204"/>
        <v>0</v>
      </c>
      <c r="F225" s="93">
        <f t="shared" si="204"/>
        <v>0</v>
      </c>
      <c r="G225" s="93"/>
      <c r="H225" s="678">
        <f t="shared" si="194"/>
        <v>1</v>
      </c>
      <c r="I225" s="679">
        <f t="shared" si="166"/>
        <v>0</v>
      </c>
      <c r="J225" s="633">
        <f t="shared" si="203"/>
        <v>1</v>
      </c>
      <c r="K225" s="1016">
        <f t="shared" si="195"/>
        <v>0</v>
      </c>
      <c r="L225" s="1017">
        <v>0</v>
      </c>
      <c r="M225" s="1061"/>
      <c r="N225" s="1062">
        <f t="shared" si="167"/>
        <v>0</v>
      </c>
      <c r="O225" s="1063">
        <f t="shared" si="168"/>
        <v>1</v>
      </c>
      <c r="P225" s="1016">
        <f t="shared" si="169"/>
        <v>0</v>
      </c>
      <c r="Q225" s="1017">
        <v>0</v>
      </c>
      <c r="R225" s="1061"/>
      <c r="S225" s="1062">
        <f t="shared" si="170"/>
        <v>0</v>
      </c>
      <c r="T225" s="1063">
        <f t="shared" si="171"/>
        <v>1</v>
      </c>
      <c r="U225" s="1016"/>
      <c r="V225" s="1017">
        <v>0</v>
      </c>
      <c r="W225" s="1061"/>
      <c r="X225" s="1062">
        <f t="shared" si="172"/>
        <v>0</v>
      </c>
      <c r="Y225" s="1063">
        <f t="shared" si="173"/>
        <v>1</v>
      </c>
      <c r="Z225" s="1016">
        <f t="shared" si="196"/>
        <v>0</v>
      </c>
      <c r="AA225" s="1017">
        <v>0</v>
      </c>
      <c r="AB225" s="1061"/>
      <c r="AC225" s="1062">
        <f t="shared" si="174"/>
        <v>0</v>
      </c>
      <c r="AD225" s="1063">
        <f t="shared" si="175"/>
        <v>1</v>
      </c>
      <c r="AE225" s="1016">
        <f t="shared" si="197"/>
        <v>0</v>
      </c>
      <c r="AF225" s="1017">
        <v>0</v>
      </c>
      <c r="AG225" s="1061"/>
      <c r="AH225" s="1062">
        <f t="shared" si="176"/>
        <v>0</v>
      </c>
      <c r="AI225" s="1063">
        <f t="shared" si="177"/>
        <v>1</v>
      </c>
      <c r="AJ225" s="1016">
        <f t="shared" si="198"/>
        <v>0</v>
      </c>
      <c r="AK225" s="1017">
        <v>0</v>
      </c>
      <c r="AL225" s="1061"/>
      <c r="AM225" s="1062">
        <f t="shared" si="178"/>
        <v>0</v>
      </c>
      <c r="AN225" s="1063">
        <f t="shared" si="179"/>
        <v>1</v>
      </c>
      <c r="AO225" s="1016">
        <f t="shared" si="199"/>
        <v>0</v>
      </c>
      <c r="AP225" s="1017">
        <v>0</v>
      </c>
      <c r="AQ225" s="1061"/>
      <c r="AR225" s="1062">
        <f t="shared" si="180"/>
        <v>0</v>
      </c>
      <c r="AS225" s="1063">
        <f t="shared" si="181"/>
        <v>1</v>
      </c>
      <c r="AT225" s="1016">
        <f t="shared" si="200"/>
        <v>0</v>
      </c>
      <c r="AU225" s="1017">
        <v>0</v>
      </c>
      <c r="AV225" s="1061"/>
      <c r="AW225" s="1062">
        <f t="shared" si="182"/>
        <v>0</v>
      </c>
      <c r="AX225" s="1063">
        <f t="shared" si="183"/>
        <v>1</v>
      </c>
      <c r="AY225" s="1016">
        <f t="shared" si="201"/>
        <v>0</v>
      </c>
      <c r="AZ225" s="1017">
        <v>0</v>
      </c>
      <c r="BA225" s="1061"/>
      <c r="BB225" s="1062">
        <f t="shared" si="184"/>
        <v>0</v>
      </c>
      <c r="BC225" s="1063">
        <f t="shared" si="185"/>
        <v>1</v>
      </c>
      <c r="BD225" s="1016">
        <f t="shared" si="202"/>
        <v>0</v>
      </c>
      <c r="BE225" s="1017">
        <v>0</v>
      </c>
      <c r="BF225" s="1061"/>
      <c r="BG225" s="1062">
        <f t="shared" si="186"/>
        <v>0</v>
      </c>
      <c r="BH225" s="1039">
        <f t="shared" si="187"/>
        <v>0</v>
      </c>
      <c r="BI225" s="1038">
        <f t="shared" si="188"/>
        <v>0</v>
      </c>
      <c r="BJ225" s="1027"/>
      <c r="BK225" s="1060"/>
      <c r="BL225" s="1040">
        <f t="shared" si="164"/>
        <v>0</v>
      </c>
      <c r="BM225" s="1038">
        <f t="shared" si="189"/>
        <v>0</v>
      </c>
      <c r="BN225" s="1027"/>
      <c r="BO225" s="1060"/>
      <c r="BP225" s="95">
        <f t="shared" si="190"/>
        <v>0</v>
      </c>
      <c r="BQ225" s="640">
        <f t="shared" si="191"/>
        <v>0</v>
      </c>
      <c r="BS225" s="94">
        <f t="shared" si="192"/>
        <v>0</v>
      </c>
      <c r="BU225" s="632">
        <f t="shared" si="193"/>
        <v>0</v>
      </c>
      <c r="BV225" s="398"/>
      <c r="BW225" s="405"/>
      <c r="CI225" s="96"/>
    </row>
    <row r="226" spans="1:87" ht="14.25" thickTop="1" thickBot="1">
      <c r="A226" s="57"/>
      <c r="B226" s="92">
        <v>96</v>
      </c>
      <c r="C226" s="255">
        <f t="shared" si="204"/>
        <v>0</v>
      </c>
      <c r="D226" s="93">
        <f t="shared" si="204"/>
        <v>0</v>
      </c>
      <c r="E226" s="93">
        <f t="shared" si="204"/>
        <v>0</v>
      </c>
      <c r="F226" s="93">
        <f t="shared" si="204"/>
        <v>0</v>
      </c>
      <c r="G226" s="93"/>
      <c r="H226" s="678">
        <f t="shared" si="194"/>
        <v>1</v>
      </c>
      <c r="I226" s="679">
        <f t="shared" si="166"/>
        <v>0</v>
      </c>
      <c r="J226" s="633">
        <f t="shared" si="203"/>
        <v>1</v>
      </c>
      <c r="K226" s="1016">
        <f t="shared" si="195"/>
        <v>0</v>
      </c>
      <c r="L226" s="1017">
        <v>0</v>
      </c>
      <c r="M226" s="1061"/>
      <c r="N226" s="1062">
        <f t="shared" si="167"/>
        <v>0</v>
      </c>
      <c r="O226" s="1063">
        <f t="shared" si="168"/>
        <v>1</v>
      </c>
      <c r="P226" s="1016">
        <f t="shared" si="169"/>
        <v>0</v>
      </c>
      <c r="Q226" s="1017">
        <v>0</v>
      </c>
      <c r="R226" s="1061"/>
      <c r="S226" s="1062">
        <f t="shared" si="170"/>
        <v>0</v>
      </c>
      <c r="T226" s="1063">
        <f t="shared" si="171"/>
        <v>1</v>
      </c>
      <c r="U226" s="1016"/>
      <c r="V226" s="1017">
        <v>0</v>
      </c>
      <c r="W226" s="1061"/>
      <c r="X226" s="1062">
        <f t="shared" si="172"/>
        <v>0</v>
      </c>
      <c r="Y226" s="1063">
        <f t="shared" si="173"/>
        <v>1</v>
      </c>
      <c r="Z226" s="1016">
        <f t="shared" si="196"/>
        <v>0</v>
      </c>
      <c r="AA226" s="1017">
        <v>0</v>
      </c>
      <c r="AB226" s="1061"/>
      <c r="AC226" s="1062">
        <f t="shared" si="174"/>
        <v>0</v>
      </c>
      <c r="AD226" s="1063">
        <f t="shared" si="175"/>
        <v>1</v>
      </c>
      <c r="AE226" s="1016">
        <f t="shared" si="197"/>
        <v>0</v>
      </c>
      <c r="AF226" s="1017">
        <v>0</v>
      </c>
      <c r="AG226" s="1061"/>
      <c r="AH226" s="1062">
        <f t="shared" si="176"/>
        <v>0</v>
      </c>
      <c r="AI226" s="1063">
        <f t="shared" si="177"/>
        <v>1</v>
      </c>
      <c r="AJ226" s="1016">
        <f t="shared" si="198"/>
        <v>0</v>
      </c>
      <c r="AK226" s="1017">
        <v>0</v>
      </c>
      <c r="AL226" s="1061"/>
      <c r="AM226" s="1062">
        <f t="shared" si="178"/>
        <v>0</v>
      </c>
      <c r="AN226" s="1063">
        <f t="shared" si="179"/>
        <v>1</v>
      </c>
      <c r="AO226" s="1016">
        <f t="shared" si="199"/>
        <v>0</v>
      </c>
      <c r="AP226" s="1017">
        <v>0</v>
      </c>
      <c r="AQ226" s="1061"/>
      <c r="AR226" s="1062">
        <f t="shared" si="180"/>
        <v>0</v>
      </c>
      <c r="AS226" s="1063">
        <f t="shared" si="181"/>
        <v>1</v>
      </c>
      <c r="AT226" s="1016">
        <f t="shared" si="200"/>
        <v>0</v>
      </c>
      <c r="AU226" s="1017">
        <v>0</v>
      </c>
      <c r="AV226" s="1061"/>
      <c r="AW226" s="1062">
        <f t="shared" si="182"/>
        <v>0</v>
      </c>
      <c r="AX226" s="1063">
        <f t="shared" si="183"/>
        <v>1</v>
      </c>
      <c r="AY226" s="1016">
        <f t="shared" si="201"/>
        <v>0</v>
      </c>
      <c r="AZ226" s="1017">
        <v>0</v>
      </c>
      <c r="BA226" s="1061"/>
      <c r="BB226" s="1062">
        <f t="shared" si="184"/>
        <v>0</v>
      </c>
      <c r="BC226" s="1063">
        <f t="shared" si="185"/>
        <v>1</v>
      </c>
      <c r="BD226" s="1016">
        <f t="shared" si="202"/>
        <v>0</v>
      </c>
      <c r="BE226" s="1017">
        <v>0</v>
      </c>
      <c r="BF226" s="1061"/>
      <c r="BG226" s="1062">
        <f t="shared" si="186"/>
        <v>0</v>
      </c>
      <c r="BH226" s="1039">
        <f t="shared" si="187"/>
        <v>0</v>
      </c>
      <c r="BI226" s="1038">
        <f t="shared" si="188"/>
        <v>0</v>
      </c>
      <c r="BJ226" s="1027"/>
      <c r="BK226" s="1060"/>
      <c r="BL226" s="1040">
        <f t="shared" si="164"/>
        <v>0</v>
      </c>
      <c r="BM226" s="1038">
        <f t="shared" si="189"/>
        <v>0</v>
      </c>
      <c r="BN226" s="1027"/>
      <c r="BO226" s="1060"/>
      <c r="BP226" s="95">
        <f t="shared" si="190"/>
        <v>0</v>
      </c>
      <c r="BQ226" s="640">
        <f t="shared" si="191"/>
        <v>0</v>
      </c>
      <c r="BS226" s="94">
        <f t="shared" si="192"/>
        <v>0</v>
      </c>
      <c r="BU226" s="632">
        <f t="shared" si="193"/>
        <v>0</v>
      </c>
      <c r="BV226" s="398"/>
      <c r="BW226" s="405"/>
      <c r="CI226" s="96"/>
    </row>
    <row r="227" spans="1:87" ht="14.25" thickTop="1" thickBot="1">
      <c r="A227" s="57"/>
      <c r="B227" s="92">
        <v>97</v>
      </c>
      <c r="C227" s="255">
        <f t="shared" si="204"/>
        <v>0</v>
      </c>
      <c r="D227" s="385">
        <f t="shared" si="204"/>
        <v>0</v>
      </c>
      <c r="E227" s="93">
        <f t="shared" si="204"/>
        <v>0</v>
      </c>
      <c r="F227" s="93">
        <f t="shared" si="204"/>
        <v>0</v>
      </c>
      <c r="G227" s="93"/>
      <c r="H227" s="678">
        <f t="shared" si="194"/>
        <v>1</v>
      </c>
      <c r="I227" s="679">
        <f t="shared" ref="I227:I230" si="205">I112</f>
        <v>0</v>
      </c>
      <c r="J227" s="633">
        <f t="shared" si="203"/>
        <v>1</v>
      </c>
      <c r="K227" s="1016">
        <f t="shared" si="195"/>
        <v>0</v>
      </c>
      <c r="L227" s="1017">
        <v>0</v>
      </c>
      <c r="M227" s="1061"/>
      <c r="N227" s="1062">
        <f t="shared" si="167"/>
        <v>0</v>
      </c>
      <c r="O227" s="1063">
        <f t="shared" si="168"/>
        <v>1</v>
      </c>
      <c r="P227" s="1016">
        <f t="shared" si="169"/>
        <v>0</v>
      </c>
      <c r="Q227" s="1017">
        <v>0</v>
      </c>
      <c r="R227" s="1061"/>
      <c r="S227" s="1062">
        <f t="shared" si="170"/>
        <v>0</v>
      </c>
      <c r="T227" s="1063">
        <f t="shared" si="171"/>
        <v>1</v>
      </c>
      <c r="U227" s="1016"/>
      <c r="V227" s="1017">
        <v>0</v>
      </c>
      <c r="W227" s="1061"/>
      <c r="X227" s="1062">
        <f t="shared" si="172"/>
        <v>0</v>
      </c>
      <c r="Y227" s="1063">
        <f t="shared" si="173"/>
        <v>1</v>
      </c>
      <c r="Z227" s="1016">
        <f t="shared" si="196"/>
        <v>0</v>
      </c>
      <c r="AA227" s="1017">
        <v>0</v>
      </c>
      <c r="AB227" s="1061"/>
      <c r="AC227" s="1062">
        <f t="shared" si="174"/>
        <v>0</v>
      </c>
      <c r="AD227" s="1063">
        <f t="shared" si="175"/>
        <v>1</v>
      </c>
      <c r="AE227" s="1016">
        <f t="shared" si="197"/>
        <v>0</v>
      </c>
      <c r="AF227" s="1017">
        <v>0</v>
      </c>
      <c r="AG227" s="1061"/>
      <c r="AH227" s="1062">
        <f t="shared" si="176"/>
        <v>0</v>
      </c>
      <c r="AI227" s="1063">
        <f t="shared" si="177"/>
        <v>1</v>
      </c>
      <c r="AJ227" s="1016">
        <f t="shared" si="198"/>
        <v>0</v>
      </c>
      <c r="AK227" s="1017">
        <v>0</v>
      </c>
      <c r="AL227" s="1061"/>
      <c r="AM227" s="1062">
        <f t="shared" si="178"/>
        <v>0</v>
      </c>
      <c r="AN227" s="1063">
        <f t="shared" si="179"/>
        <v>1</v>
      </c>
      <c r="AO227" s="1016">
        <f t="shared" si="199"/>
        <v>0</v>
      </c>
      <c r="AP227" s="1017">
        <v>0</v>
      </c>
      <c r="AQ227" s="1061"/>
      <c r="AR227" s="1062">
        <f t="shared" si="180"/>
        <v>0</v>
      </c>
      <c r="AS227" s="1063">
        <f t="shared" si="181"/>
        <v>1</v>
      </c>
      <c r="AT227" s="1016">
        <f t="shared" si="200"/>
        <v>0</v>
      </c>
      <c r="AU227" s="1017">
        <v>0</v>
      </c>
      <c r="AV227" s="1061"/>
      <c r="AW227" s="1062">
        <f t="shared" si="182"/>
        <v>0</v>
      </c>
      <c r="AX227" s="1063">
        <f t="shared" si="183"/>
        <v>1</v>
      </c>
      <c r="AY227" s="1016">
        <f t="shared" si="201"/>
        <v>0</v>
      </c>
      <c r="AZ227" s="1017">
        <v>0</v>
      </c>
      <c r="BA227" s="1061"/>
      <c r="BB227" s="1062">
        <f t="shared" si="184"/>
        <v>0</v>
      </c>
      <c r="BC227" s="1063">
        <f t="shared" si="185"/>
        <v>1</v>
      </c>
      <c r="BD227" s="1016">
        <f t="shared" si="202"/>
        <v>0</v>
      </c>
      <c r="BE227" s="1017">
        <v>0</v>
      </c>
      <c r="BF227" s="1061"/>
      <c r="BG227" s="1062">
        <f t="shared" si="186"/>
        <v>0</v>
      </c>
      <c r="BH227" s="1039">
        <f t="shared" si="187"/>
        <v>0</v>
      </c>
      <c r="BI227" s="1038">
        <f t="shared" si="188"/>
        <v>0</v>
      </c>
      <c r="BJ227" s="1027"/>
      <c r="BK227" s="1060"/>
      <c r="BL227" s="1040">
        <f t="shared" si="164"/>
        <v>0</v>
      </c>
      <c r="BM227" s="1038">
        <f t="shared" si="189"/>
        <v>0</v>
      </c>
      <c r="BN227" s="1027"/>
      <c r="BO227" s="1060"/>
      <c r="BP227" s="95">
        <f t="shared" si="190"/>
        <v>0</v>
      </c>
      <c r="BQ227" s="640">
        <f t="shared" si="191"/>
        <v>0</v>
      </c>
      <c r="BS227" s="94">
        <f t="shared" si="192"/>
        <v>0</v>
      </c>
      <c r="BU227" s="632">
        <f t="shared" si="193"/>
        <v>0</v>
      </c>
      <c r="BV227" s="398"/>
      <c r="BW227" s="405"/>
      <c r="CI227" s="96"/>
    </row>
    <row r="228" spans="1:87" ht="14.25" thickTop="1" thickBot="1">
      <c r="A228" s="57"/>
      <c r="B228" s="92">
        <v>98</v>
      </c>
      <c r="C228" s="255">
        <f t="shared" si="204"/>
        <v>0</v>
      </c>
      <c r="D228" s="93">
        <f t="shared" si="204"/>
        <v>0</v>
      </c>
      <c r="E228" s="93">
        <f t="shared" si="204"/>
        <v>0</v>
      </c>
      <c r="F228" s="93">
        <f t="shared" si="204"/>
        <v>0</v>
      </c>
      <c r="G228" s="93"/>
      <c r="H228" s="678">
        <f t="shared" si="194"/>
        <v>1</v>
      </c>
      <c r="I228" s="679">
        <f t="shared" si="205"/>
        <v>0</v>
      </c>
      <c r="J228" s="633">
        <f t="shared" si="203"/>
        <v>1</v>
      </c>
      <c r="K228" s="1016">
        <f t="shared" si="195"/>
        <v>0</v>
      </c>
      <c r="L228" s="1017">
        <v>0</v>
      </c>
      <c r="M228" s="1061"/>
      <c r="N228" s="1062">
        <f t="shared" si="167"/>
        <v>0</v>
      </c>
      <c r="O228" s="1063">
        <f t="shared" si="168"/>
        <v>1</v>
      </c>
      <c r="P228" s="1016">
        <f t="shared" si="169"/>
        <v>0</v>
      </c>
      <c r="Q228" s="1017">
        <v>0</v>
      </c>
      <c r="R228" s="1061"/>
      <c r="S228" s="1062">
        <f t="shared" si="170"/>
        <v>0</v>
      </c>
      <c r="T228" s="1063">
        <f t="shared" si="171"/>
        <v>1</v>
      </c>
      <c r="U228" s="1016"/>
      <c r="V228" s="1017">
        <v>0</v>
      </c>
      <c r="W228" s="1061"/>
      <c r="X228" s="1062">
        <f t="shared" si="172"/>
        <v>0</v>
      </c>
      <c r="Y228" s="1063">
        <f t="shared" si="173"/>
        <v>1</v>
      </c>
      <c r="Z228" s="1016">
        <f t="shared" si="196"/>
        <v>0</v>
      </c>
      <c r="AA228" s="1017">
        <v>0</v>
      </c>
      <c r="AB228" s="1061"/>
      <c r="AC228" s="1062">
        <f t="shared" si="174"/>
        <v>0</v>
      </c>
      <c r="AD228" s="1063">
        <f t="shared" si="175"/>
        <v>1</v>
      </c>
      <c r="AE228" s="1016">
        <f t="shared" si="197"/>
        <v>0</v>
      </c>
      <c r="AF228" s="1017">
        <v>0</v>
      </c>
      <c r="AG228" s="1061"/>
      <c r="AH228" s="1062">
        <f t="shared" si="176"/>
        <v>0</v>
      </c>
      <c r="AI228" s="1063">
        <f t="shared" si="177"/>
        <v>1</v>
      </c>
      <c r="AJ228" s="1016">
        <f t="shared" si="198"/>
        <v>0</v>
      </c>
      <c r="AK228" s="1017">
        <v>0</v>
      </c>
      <c r="AL228" s="1061"/>
      <c r="AM228" s="1062">
        <f t="shared" si="178"/>
        <v>0</v>
      </c>
      <c r="AN228" s="1063">
        <f t="shared" si="179"/>
        <v>1</v>
      </c>
      <c r="AO228" s="1016">
        <f t="shared" si="199"/>
        <v>0</v>
      </c>
      <c r="AP228" s="1017">
        <v>0</v>
      </c>
      <c r="AQ228" s="1061"/>
      <c r="AR228" s="1062">
        <f t="shared" si="180"/>
        <v>0</v>
      </c>
      <c r="AS228" s="1063">
        <f t="shared" si="181"/>
        <v>1</v>
      </c>
      <c r="AT228" s="1016">
        <f t="shared" si="200"/>
        <v>0</v>
      </c>
      <c r="AU228" s="1017">
        <v>0</v>
      </c>
      <c r="AV228" s="1061"/>
      <c r="AW228" s="1062">
        <f t="shared" si="182"/>
        <v>0</v>
      </c>
      <c r="AX228" s="1063">
        <f t="shared" si="183"/>
        <v>1</v>
      </c>
      <c r="AY228" s="1016">
        <f t="shared" si="201"/>
        <v>0</v>
      </c>
      <c r="AZ228" s="1017">
        <v>0</v>
      </c>
      <c r="BA228" s="1061"/>
      <c r="BB228" s="1062">
        <f t="shared" si="184"/>
        <v>0</v>
      </c>
      <c r="BC228" s="1063">
        <f t="shared" si="185"/>
        <v>1</v>
      </c>
      <c r="BD228" s="1016">
        <f t="shared" si="202"/>
        <v>0</v>
      </c>
      <c r="BE228" s="1017">
        <v>0</v>
      </c>
      <c r="BF228" s="1061"/>
      <c r="BG228" s="1062">
        <f t="shared" si="186"/>
        <v>0</v>
      </c>
      <c r="BH228" s="1039">
        <f t="shared" si="187"/>
        <v>0</v>
      </c>
      <c r="BI228" s="1038">
        <f t="shared" si="188"/>
        <v>0</v>
      </c>
      <c r="BJ228" s="1027"/>
      <c r="BK228" s="1060"/>
      <c r="BL228" s="1040">
        <f t="shared" si="164"/>
        <v>0</v>
      </c>
      <c r="BM228" s="1038">
        <f t="shared" si="189"/>
        <v>0</v>
      </c>
      <c r="BN228" s="1027"/>
      <c r="BO228" s="1060"/>
      <c r="BP228" s="95">
        <f t="shared" si="190"/>
        <v>0</v>
      </c>
      <c r="BQ228" s="640">
        <f t="shared" si="191"/>
        <v>0</v>
      </c>
      <c r="BS228" s="94">
        <f t="shared" si="192"/>
        <v>0</v>
      </c>
      <c r="BU228" s="632">
        <f t="shared" si="193"/>
        <v>0</v>
      </c>
      <c r="BV228" s="398"/>
      <c r="BW228" s="405"/>
      <c r="CI228" s="96"/>
    </row>
    <row r="229" spans="1:87" ht="14.25" thickTop="1" thickBot="1">
      <c r="A229" s="57"/>
      <c r="B229" s="92">
        <v>99</v>
      </c>
      <c r="C229" s="255">
        <f t="shared" si="204"/>
        <v>0</v>
      </c>
      <c r="D229" s="93">
        <f t="shared" si="204"/>
        <v>0</v>
      </c>
      <c r="E229" s="93">
        <f t="shared" si="204"/>
        <v>0</v>
      </c>
      <c r="F229" s="93">
        <f t="shared" si="204"/>
        <v>0</v>
      </c>
      <c r="G229" s="93"/>
      <c r="H229" s="678"/>
      <c r="I229" s="679">
        <f t="shared" si="205"/>
        <v>0</v>
      </c>
      <c r="J229" s="633">
        <f t="shared" si="203"/>
        <v>1</v>
      </c>
      <c r="K229" s="1016">
        <f t="shared" si="195"/>
        <v>0</v>
      </c>
      <c r="L229" s="1017">
        <v>0</v>
      </c>
      <c r="M229" s="1061"/>
      <c r="N229" s="1062">
        <f t="shared" si="167"/>
        <v>0</v>
      </c>
      <c r="O229" s="1063">
        <f t="shared" si="168"/>
        <v>1</v>
      </c>
      <c r="P229" s="1016">
        <f t="shared" si="169"/>
        <v>0</v>
      </c>
      <c r="Q229" s="1017">
        <v>0</v>
      </c>
      <c r="R229" s="1061"/>
      <c r="S229" s="1062">
        <f t="shared" si="170"/>
        <v>0</v>
      </c>
      <c r="T229" s="1063">
        <f t="shared" si="171"/>
        <v>1</v>
      </c>
      <c r="U229" s="1016"/>
      <c r="V229" s="1017">
        <v>0</v>
      </c>
      <c r="W229" s="1061"/>
      <c r="X229" s="1062">
        <f t="shared" si="172"/>
        <v>0</v>
      </c>
      <c r="Y229" s="1063">
        <f t="shared" si="173"/>
        <v>1</v>
      </c>
      <c r="Z229" s="1016">
        <f t="shared" si="196"/>
        <v>0</v>
      </c>
      <c r="AA229" s="1017">
        <v>0</v>
      </c>
      <c r="AB229" s="1061"/>
      <c r="AC229" s="1062">
        <f t="shared" si="174"/>
        <v>0</v>
      </c>
      <c r="AD229" s="1063">
        <f t="shared" si="175"/>
        <v>1</v>
      </c>
      <c r="AE229" s="1016">
        <f t="shared" si="197"/>
        <v>0</v>
      </c>
      <c r="AF229" s="1017">
        <v>0</v>
      </c>
      <c r="AG229" s="1061"/>
      <c r="AH229" s="1062">
        <f t="shared" si="176"/>
        <v>0</v>
      </c>
      <c r="AI229" s="1063">
        <f t="shared" si="177"/>
        <v>1</v>
      </c>
      <c r="AJ229" s="1016">
        <f t="shared" si="198"/>
        <v>0</v>
      </c>
      <c r="AK229" s="1017">
        <v>0</v>
      </c>
      <c r="AL229" s="1061"/>
      <c r="AM229" s="1062">
        <f t="shared" si="178"/>
        <v>0</v>
      </c>
      <c r="AN229" s="1063">
        <f t="shared" si="179"/>
        <v>1</v>
      </c>
      <c r="AO229" s="1016">
        <f t="shared" si="199"/>
        <v>0</v>
      </c>
      <c r="AP229" s="1017">
        <v>0</v>
      </c>
      <c r="AQ229" s="1061"/>
      <c r="AR229" s="1062">
        <f t="shared" si="180"/>
        <v>0</v>
      </c>
      <c r="AS229" s="1063">
        <f t="shared" si="181"/>
        <v>1</v>
      </c>
      <c r="AT229" s="1016">
        <f t="shared" si="200"/>
        <v>0</v>
      </c>
      <c r="AU229" s="1017">
        <v>0</v>
      </c>
      <c r="AV229" s="1061"/>
      <c r="AW229" s="1062">
        <f t="shared" si="182"/>
        <v>0</v>
      </c>
      <c r="AX229" s="1063">
        <f t="shared" si="183"/>
        <v>1</v>
      </c>
      <c r="AY229" s="1016">
        <f t="shared" si="201"/>
        <v>0</v>
      </c>
      <c r="AZ229" s="1017">
        <v>0</v>
      </c>
      <c r="BA229" s="1061"/>
      <c r="BB229" s="1062">
        <f t="shared" si="184"/>
        <v>0</v>
      </c>
      <c r="BC229" s="1063">
        <f t="shared" si="185"/>
        <v>1</v>
      </c>
      <c r="BD229" s="1016">
        <f t="shared" si="202"/>
        <v>0</v>
      </c>
      <c r="BE229" s="1017">
        <v>0</v>
      </c>
      <c r="BF229" s="1061"/>
      <c r="BG229" s="1062">
        <f t="shared" si="186"/>
        <v>0</v>
      </c>
      <c r="BH229" s="1039">
        <f t="shared" si="187"/>
        <v>0</v>
      </c>
      <c r="BI229" s="1038">
        <f t="shared" si="188"/>
        <v>0</v>
      </c>
      <c r="BJ229" s="1027"/>
      <c r="BK229" s="1060"/>
      <c r="BL229" s="1040">
        <f t="shared" si="164"/>
        <v>0</v>
      </c>
      <c r="BM229" s="1038">
        <f t="shared" si="189"/>
        <v>0</v>
      </c>
      <c r="BN229" s="1027"/>
      <c r="BO229" s="1060"/>
      <c r="BP229" s="95">
        <f t="shared" si="190"/>
        <v>0</v>
      </c>
      <c r="BQ229" s="640">
        <f t="shared" si="191"/>
        <v>0</v>
      </c>
      <c r="BS229" s="94">
        <f t="shared" si="192"/>
        <v>0</v>
      </c>
      <c r="BU229" s="632"/>
      <c r="BV229" s="398"/>
      <c r="BW229" s="405"/>
      <c r="CI229" s="96"/>
    </row>
    <row r="230" spans="1:87" ht="14.25" thickTop="1" thickBot="1">
      <c r="A230" s="57"/>
      <c r="B230" s="92">
        <v>100</v>
      </c>
      <c r="C230" s="255">
        <f t="shared" si="204"/>
        <v>0</v>
      </c>
      <c r="D230" s="93">
        <f t="shared" si="204"/>
        <v>0</v>
      </c>
      <c r="E230" s="93">
        <f t="shared" si="204"/>
        <v>0</v>
      </c>
      <c r="F230" s="93">
        <f t="shared" si="204"/>
        <v>0</v>
      </c>
      <c r="G230" s="93"/>
      <c r="H230" s="678"/>
      <c r="I230" s="679">
        <f t="shared" si="205"/>
        <v>0</v>
      </c>
      <c r="J230" s="633">
        <f t="shared" si="203"/>
        <v>1</v>
      </c>
      <c r="K230" s="1016">
        <f t="shared" si="195"/>
        <v>0</v>
      </c>
      <c r="L230" s="1017">
        <v>0</v>
      </c>
      <c r="M230" s="1061"/>
      <c r="N230" s="1062">
        <f t="shared" si="167"/>
        <v>0</v>
      </c>
      <c r="O230" s="1063">
        <f t="shared" si="168"/>
        <v>1</v>
      </c>
      <c r="P230" s="1016">
        <f t="shared" si="169"/>
        <v>0</v>
      </c>
      <c r="Q230" s="1017">
        <v>0</v>
      </c>
      <c r="R230" s="1061"/>
      <c r="S230" s="1062">
        <f t="shared" si="170"/>
        <v>0</v>
      </c>
      <c r="T230" s="1063">
        <f t="shared" si="171"/>
        <v>1</v>
      </c>
      <c r="U230" s="1016"/>
      <c r="V230" s="1017">
        <v>0</v>
      </c>
      <c r="W230" s="1061"/>
      <c r="X230" s="1062">
        <f t="shared" si="172"/>
        <v>0</v>
      </c>
      <c r="Y230" s="1063">
        <f t="shared" si="173"/>
        <v>1</v>
      </c>
      <c r="Z230" s="1016">
        <f t="shared" si="196"/>
        <v>0</v>
      </c>
      <c r="AA230" s="1017">
        <v>0</v>
      </c>
      <c r="AB230" s="1061"/>
      <c r="AC230" s="1062">
        <f t="shared" si="174"/>
        <v>0</v>
      </c>
      <c r="AD230" s="1063">
        <f t="shared" si="175"/>
        <v>1</v>
      </c>
      <c r="AE230" s="1016">
        <f t="shared" si="197"/>
        <v>0</v>
      </c>
      <c r="AF230" s="1017">
        <v>0</v>
      </c>
      <c r="AG230" s="1061"/>
      <c r="AH230" s="1062">
        <f t="shared" si="176"/>
        <v>0</v>
      </c>
      <c r="AI230" s="1063">
        <f t="shared" si="177"/>
        <v>1</v>
      </c>
      <c r="AJ230" s="1016">
        <f t="shared" si="198"/>
        <v>0</v>
      </c>
      <c r="AK230" s="1017">
        <v>0</v>
      </c>
      <c r="AL230" s="1061"/>
      <c r="AM230" s="1062">
        <f t="shared" si="178"/>
        <v>0</v>
      </c>
      <c r="AN230" s="1063">
        <f t="shared" si="179"/>
        <v>1</v>
      </c>
      <c r="AO230" s="1016">
        <f t="shared" si="199"/>
        <v>0</v>
      </c>
      <c r="AP230" s="1017">
        <v>0</v>
      </c>
      <c r="AQ230" s="1061"/>
      <c r="AR230" s="1062">
        <f t="shared" si="180"/>
        <v>0</v>
      </c>
      <c r="AS230" s="1063">
        <f t="shared" si="181"/>
        <v>1</v>
      </c>
      <c r="AT230" s="1016">
        <f t="shared" si="200"/>
        <v>0</v>
      </c>
      <c r="AU230" s="1017">
        <v>0</v>
      </c>
      <c r="AV230" s="1061"/>
      <c r="AW230" s="1062">
        <f t="shared" si="182"/>
        <v>0</v>
      </c>
      <c r="AX230" s="1063">
        <f t="shared" si="183"/>
        <v>1</v>
      </c>
      <c r="AY230" s="1016">
        <f t="shared" si="201"/>
        <v>0</v>
      </c>
      <c r="AZ230" s="1017">
        <v>0</v>
      </c>
      <c r="BA230" s="1061"/>
      <c r="BB230" s="1062">
        <f t="shared" si="184"/>
        <v>0</v>
      </c>
      <c r="BC230" s="1063">
        <f t="shared" si="185"/>
        <v>1</v>
      </c>
      <c r="BD230" s="1016">
        <f t="shared" si="202"/>
        <v>0</v>
      </c>
      <c r="BE230" s="1017">
        <v>0</v>
      </c>
      <c r="BF230" s="1061"/>
      <c r="BG230" s="1062">
        <f t="shared" si="186"/>
        <v>0</v>
      </c>
      <c r="BH230" s="1039">
        <f t="shared" si="187"/>
        <v>0</v>
      </c>
      <c r="BI230" s="1038">
        <f t="shared" si="188"/>
        <v>0</v>
      </c>
      <c r="BJ230" s="1027"/>
      <c r="BK230" s="1060"/>
      <c r="BL230" s="1040">
        <f t="shared" si="164"/>
        <v>0</v>
      </c>
      <c r="BM230" s="1038">
        <f t="shared" si="189"/>
        <v>0</v>
      </c>
      <c r="BN230" s="1027"/>
      <c r="BO230" s="1060"/>
      <c r="BP230" s="95">
        <f t="shared" si="190"/>
        <v>0</v>
      </c>
      <c r="BQ230" s="640">
        <f t="shared" si="191"/>
        <v>0</v>
      </c>
      <c r="BS230" s="94">
        <f t="shared" si="192"/>
        <v>0</v>
      </c>
      <c r="BU230" s="632"/>
      <c r="BV230" s="398"/>
      <c r="CI230" s="96"/>
    </row>
    <row r="231" spans="1:87" ht="14.25" thickTop="1" thickBot="1">
      <c r="A231" s="90"/>
      <c r="B231" s="90"/>
      <c r="C231" s="1171" t="s">
        <v>174</v>
      </c>
      <c r="D231" s="1172"/>
      <c r="E231" s="1172"/>
      <c r="F231" s="1172"/>
      <c r="G231" s="1172"/>
      <c r="H231" s="1173"/>
      <c r="I231" s="748"/>
      <c r="J231" s="377"/>
      <c r="K231" s="151">
        <f>SUM(K131:K230)</f>
        <v>0</v>
      </c>
      <c r="L231" s="151">
        <f>SUM(L131:L230)</f>
        <v>0</v>
      </c>
      <c r="M231" s="999"/>
      <c r="N231" s="151">
        <f>SUM(N131:N230)</f>
        <v>0</v>
      </c>
      <c r="O231" s="377"/>
      <c r="P231" s="151">
        <f>SUM(P131:P230)</f>
        <v>27437.999999999996</v>
      </c>
      <c r="Q231" s="151">
        <f>SUM(Q131:Q230)</f>
        <v>342.97499999999997</v>
      </c>
      <c r="R231" s="999"/>
      <c r="S231" s="151">
        <f>SUM(S131:S230)</f>
        <v>185.59253246753244</v>
      </c>
      <c r="T231" s="377"/>
      <c r="U231" s="151">
        <f>SUM(U131:U230)</f>
        <v>0</v>
      </c>
      <c r="V231" s="151">
        <f>SUM(V131:V230)</f>
        <v>0</v>
      </c>
      <c r="W231" s="999"/>
      <c r="X231" s="151">
        <f>SUM(X131:X230)</f>
        <v>0</v>
      </c>
      <c r="Y231" s="377"/>
      <c r="Z231" s="151">
        <f>SUM(Z131:Z230)</f>
        <v>0</v>
      </c>
      <c r="AA231" s="151">
        <f>SUM(AA131:AA230)</f>
        <v>0</v>
      </c>
      <c r="AB231" s="999"/>
      <c r="AC231" s="151">
        <f>SUM(AC131:AC230)</f>
        <v>0</v>
      </c>
      <c r="AD231" s="377"/>
      <c r="AE231" s="151">
        <f>SUM(AE131:AE230)</f>
        <v>0</v>
      </c>
      <c r="AF231" s="151">
        <f>SUM(AF131:AF230)</f>
        <v>0</v>
      </c>
      <c r="AG231" s="999"/>
      <c r="AH231" s="151">
        <f>SUM(AH131:AH230)</f>
        <v>0</v>
      </c>
      <c r="AI231" s="377"/>
      <c r="AJ231" s="151">
        <f>SUM(AJ131:AJ230)</f>
        <v>0</v>
      </c>
      <c r="AK231" s="151">
        <f>SUM(AK131:AK230)</f>
        <v>0</v>
      </c>
      <c r="AL231" s="999"/>
      <c r="AM231" s="151">
        <f>SUM(AM131:AM230)</f>
        <v>0</v>
      </c>
      <c r="AN231" s="377"/>
      <c r="AO231" s="151">
        <f>SUM(AO131:AO230)</f>
        <v>0</v>
      </c>
      <c r="AP231" s="151">
        <f>SUM(AP131:AP230)</f>
        <v>0</v>
      </c>
      <c r="AQ231" s="999"/>
      <c r="AR231" s="151">
        <f>SUM(AR131:AR230)</f>
        <v>0</v>
      </c>
      <c r="AS231" s="377"/>
      <c r="AT231" s="151">
        <f>SUM(AT131:AT230)</f>
        <v>0</v>
      </c>
      <c r="AU231" s="151">
        <f>SUM(AU131:AU230)</f>
        <v>0</v>
      </c>
      <c r="AV231" s="999"/>
      <c r="AW231" s="151">
        <f>SUM(AW131:AW230)</f>
        <v>0</v>
      </c>
      <c r="AX231" s="377"/>
      <c r="AY231" s="151">
        <f>SUM(AY131:AY230)</f>
        <v>0</v>
      </c>
      <c r="AZ231" s="151">
        <f>SUM(AZ131:AZ230)</f>
        <v>0</v>
      </c>
      <c r="BA231" s="999"/>
      <c r="BB231" s="151">
        <f>SUM(BB131:BB230)</f>
        <v>0</v>
      </c>
      <c r="BC231" s="377"/>
      <c r="BD231" s="151">
        <f t="shared" ref="BD231:BQ231" si="206">SUM(BD131:BD230)</f>
        <v>0</v>
      </c>
      <c r="BE231" s="151">
        <f t="shared" si="206"/>
        <v>0</v>
      </c>
      <c r="BF231" s="999"/>
      <c r="BG231" s="151">
        <f t="shared" si="206"/>
        <v>0</v>
      </c>
      <c r="BH231" s="151">
        <f t="shared" si="206"/>
        <v>0</v>
      </c>
      <c r="BI231" s="715">
        <f t="shared" si="206"/>
        <v>0</v>
      </c>
      <c r="BJ231" s="1007"/>
      <c r="BK231" s="1007"/>
      <c r="BL231" s="151">
        <f t="shared" si="206"/>
        <v>27437.999999999996</v>
      </c>
      <c r="BM231" s="151">
        <f t="shared" si="206"/>
        <v>342.97499999999997</v>
      </c>
      <c r="BN231" s="999"/>
      <c r="BO231" s="999"/>
      <c r="BP231" s="151">
        <f t="shared" si="206"/>
        <v>27437.999999999996</v>
      </c>
      <c r="BQ231" s="151">
        <f t="shared" si="206"/>
        <v>342.97499999999997</v>
      </c>
      <c r="BR231" s="397"/>
      <c r="BS231" s="166"/>
      <c r="BU231" s="151">
        <f>SUM(BU131:BU230)</f>
        <v>10975.199999999999</v>
      </c>
      <c r="BV231" s="641">
        <f>BP231/BU231</f>
        <v>2.5</v>
      </c>
    </row>
    <row r="232" spans="1:87" ht="5.45" customHeight="1" thickTop="1" thickBo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S232" s="90"/>
    </row>
    <row r="233" spans="1:87" ht="13.5" thickBot="1">
      <c r="A233" s="90"/>
      <c r="B233" s="90"/>
      <c r="C233" s="92" t="s">
        <v>167</v>
      </c>
      <c r="D233" s="90"/>
      <c r="E233" s="90"/>
      <c r="F233" s="90"/>
      <c r="G233" s="90"/>
      <c r="H233" s="90"/>
      <c r="I233" s="90"/>
      <c r="J233" s="396"/>
      <c r="K233" s="97" t="e">
        <f t="array" ref="K233">AVERAGE(IF(J131:J230&gt;1,J131:J230,""))</f>
        <v>#DIV/0!</v>
      </c>
      <c r="L233" s="631"/>
      <c r="M233" s="631"/>
      <c r="N233" s="631">
        <f>N231-N203</f>
        <v>0</v>
      </c>
      <c r="O233" s="90"/>
      <c r="P233" s="97">
        <f t="array" ref="P233">AVERAGE(IF(O131:O230&gt;1,O131:O230,""))</f>
        <v>1.8480000000000001</v>
      </c>
      <c r="Q233" s="631"/>
      <c r="R233" s="631"/>
      <c r="S233" s="631">
        <f>S231-S203</f>
        <v>185.59253246753244</v>
      </c>
      <c r="T233" s="363"/>
      <c r="U233" s="97" t="e">
        <f t="array" ref="U233">AVERAGE(IF(T131:T230&gt;1,T131:T230,""))</f>
        <v>#DIV/0!</v>
      </c>
      <c r="V233" s="631"/>
      <c r="W233" s="631"/>
      <c r="X233" s="631">
        <f>X231-X203</f>
        <v>0</v>
      </c>
      <c r="Y233" s="90"/>
      <c r="Z233" s="97" t="e">
        <f t="array" ref="Z233">AVERAGE(IF(Y131:Y230&gt;1,Y131:Y230,""))</f>
        <v>#DIV/0!</v>
      </c>
      <c r="AA233" s="631"/>
      <c r="AB233" s="631"/>
      <c r="AC233" s="631">
        <f>AC231-AC203</f>
        <v>0</v>
      </c>
      <c r="AD233" s="90"/>
      <c r="AE233" s="97" t="e">
        <f t="array" ref="AE233">AVERAGE(IF(AD131:AD230&gt;1,AD131:AD230,""))</f>
        <v>#DIV/0!</v>
      </c>
      <c r="AF233" s="631"/>
      <c r="AG233" s="631"/>
      <c r="AH233" s="631">
        <f>AH231-AH203</f>
        <v>0</v>
      </c>
      <c r="AI233" s="90"/>
      <c r="AJ233" s="97" t="e">
        <f t="array" ref="AJ233">AVERAGE(IF(AI131:AI230&gt;1,AI131:AI230,""))</f>
        <v>#DIV/0!</v>
      </c>
      <c r="AK233" s="631"/>
      <c r="AL233" s="631"/>
      <c r="AM233" s="631">
        <f>AM231-AM203</f>
        <v>0</v>
      </c>
      <c r="AN233" s="90"/>
      <c r="AO233" s="97" t="e">
        <f t="array" ref="AO233">AVERAGE(IF(AN131:AN230&gt;1,AN131:AN230,""))</f>
        <v>#DIV/0!</v>
      </c>
      <c r="AP233" s="631"/>
      <c r="AQ233" s="631"/>
      <c r="AR233" s="631"/>
      <c r="AS233" s="90"/>
      <c r="AT233" s="97" t="e">
        <f t="array" ref="AT233">AVERAGE(IF(AS131:AS230&gt;1,AS131:AS230,""))</f>
        <v>#DIV/0!</v>
      </c>
      <c r="AU233" s="631"/>
      <c r="AV233" s="631"/>
      <c r="AW233" s="631"/>
      <c r="AX233" s="97"/>
      <c r="AY233" s="97" t="e">
        <f t="array" ref="AY233">AVERAGE(IF(AX131:AX230&gt;1,AX131:AX230,""))</f>
        <v>#DIV/0!</v>
      </c>
      <c r="AZ233" s="631"/>
      <c r="BA233" s="631"/>
      <c r="BB233" s="631"/>
      <c r="BC233" s="90"/>
      <c r="BD233" s="97" t="e">
        <f t="array" ref="BD233">AVERAGE(IF(BC131:BC230&gt;1,BC131:BC230,""))</f>
        <v>#DIV/0!</v>
      </c>
      <c r="BE233" s="631"/>
      <c r="BF233" s="631"/>
      <c r="BG233" s="631"/>
      <c r="BH233" s="357" t="e">
        <f>231000000/BH231</f>
        <v>#DIV/0!</v>
      </c>
      <c r="BI233" s="97"/>
      <c r="BJ233" s="631"/>
      <c r="BK233" s="631"/>
      <c r="BL233" s="736">
        <f>BL231/65</f>
        <v>422.12307692307689</v>
      </c>
      <c r="BM233" s="691"/>
      <c r="BN233" s="1011"/>
      <c r="BO233" s="1011"/>
      <c r="BP233" s="319"/>
      <c r="BQ233" s="641">
        <f t="array" ref="BQ233">AVERAGE(IF(H131:H230&gt;1,H131:H230,""))</f>
        <v>2.368321513002364</v>
      </c>
      <c r="BS233" s="90"/>
      <c r="BV233" s="92" t="s">
        <v>420</v>
      </c>
    </row>
    <row r="234" spans="1:87">
      <c r="BI234" s="741"/>
      <c r="BJ234" s="741"/>
      <c r="BK234" s="741"/>
    </row>
    <row r="235" spans="1:87">
      <c r="BI235" s="741"/>
      <c r="BJ235" s="741"/>
      <c r="BK235" s="741"/>
    </row>
    <row r="236" spans="1:87" ht="13.5" thickBot="1">
      <c r="BI236" s="741"/>
      <c r="BJ236" s="741"/>
      <c r="BK236" s="741"/>
    </row>
    <row r="237" spans="1:87" s="140" customFormat="1" ht="14.25" thickTop="1" thickBot="1">
      <c r="A237" s="139"/>
      <c r="B237" s="139"/>
      <c r="C237" s="675" t="s">
        <v>166</v>
      </c>
      <c r="D237" s="676"/>
      <c r="E237" s="676"/>
      <c r="F237" s="676"/>
      <c r="G237" s="676"/>
      <c r="H237" s="676"/>
      <c r="I237" s="676"/>
      <c r="J237" s="1189" t="s">
        <v>646</v>
      </c>
      <c r="K237" s="1190"/>
      <c r="L237" s="1190"/>
      <c r="M237" s="1190"/>
      <c r="N237" s="1190"/>
      <c r="O237" s="1190"/>
      <c r="P237" s="1190"/>
      <c r="Q237" s="1190"/>
      <c r="R237" s="1190"/>
      <c r="S237" s="1191"/>
      <c r="T237" s="1189" t="s">
        <v>647</v>
      </c>
      <c r="U237" s="1190"/>
      <c r="V237" s="1190"/>
      <c r="W237" s="1192"/>
      <c r="X237" s="1190"/>
      <c r="Y237" s="1190"/>
      <c r="Z237" s="1190"/>
      <c r="AA237" s="1190"/>
      <c r="AB237" s="1192"/>
      <c r="AC237" s="1191"/>
      <c r="AD237" s="1189" t="s">
        <v>266</v>
      </c>
      <c r="AE237" s="1190"/>
      <c r="AF237" s="1190"/>
      <c r="AG237" s="1192"/>
      <c r="AH237" s="1190"/>
      <c r="AI237" s="1190"/>
      <c r="AJ237" s="1190"/>
      <c r="AK237" s="1190"/>
      <c r="AL237" s="1192"/>
      <c r="AM237" s="1191"/>
      <c r="AN237" s="1189"/>
      <c r="AO237" s="1190"/>
      <c r="AP237" s="1190"/>
      <c r="AQ237" s="1192"/>
      <c r="AR237" s="1190"/>
      <c r="AS237" s="1190"/>
      <c r="AT237" s="1190"/>
      <c r="AU237" s="1193"/>
      <c r="AV237" s="1194"/>
      <c r="AW237" s="1195"/>
      <c r="AX237" s="1189"/>
      <c r="AY237" s="1190"/>
      <c r="AZ237" s="1190"/>
      <c r="BA237" s="1192"/>
      <c r="BB237" s="1190"/>
      <c r="BC237" s="1190"/>
      <c r="BD237" s="1190"/>
      <c r="BE237" s="1193"/>
      <c r="BF237" s="1194"/>
      <c r="BG237" s="1193"/>
      <c r="BH237" s="147"/>
      <c r="BI237" s="147"/>
      <c r="BJ237" s="1002"/>
      <c r="BK237" s="1002"/>
      <c r="BL237" s="147"/>
      <c r="BM237" s="147"/>
      <c r="BN237" s="1008"/>
      <c r="BO237" s="1008"/>
      <c r="BP237" s="148"/>
      <c r="BQ237" s="149"/>
      <c r="BR237" s="362"/>
      <c r="BS237" s="147"/>
      <c r="BU237" s="147"/>
      <c r="BX237" s="362"/>
      <c r="CD237" s="739"/>
    </row>
    <row r="238" spans="1:87" s="140" customFormat="1" ht="13.5" customHeight="1" thickTop="1" thickBot="1">
      <c r="A238" s="73"/>
      <c r="B238" s="73"/>
      <c r="C238" s="1196" t="s">
        <v>77</v>
      </c>
      <c r="D238" s="1196" t="s">
        <v>78</v>
      </c>
      <c r="E238" s="1179" t="s">
        <v>530</v>
      </c>
      <c r="F238" s="1179" t="s">
        <v>163</v>
      </c>
      <c r="G238" s="1179" t="s">
        <v>653</v>
      </c>
      <c r="H238" s="1179" t="s">
        <v>416</v>
      </c>
      <c r="I238" s="1179" t="s">
        <v>421</v>
      </c>
      <c r="J238" s="1199">
        <f>'Mark Up Validation'!M263</f>
        <v>0</v>
      </c>
      <c r="K238" s="1200"/>
      <c r="L238" s="1200"/>
      <c r="M238" s="1200"/>
      <c r="N238" s="1201"/>
      <c r="O238" s="1199">
        <f>'Mark Up Validation'!S263</f>
        <v>0</v>
      </c>
      <c r="P238" s="1200"/>
      <c r="Q238" s="1200"/>
      <c r="R238" s="1200"/>
      <c r="S238" s="1201"/>
      <c r="T238" s="1199">
        <f>'Mark Up Validation'!M296</f>
        <v>0</v>
      </c>
      <c r="U238" s="1200"/>
      <c r="V238" s="1200"/>
      <c r="W238" s="1202"/>
      <c r="X238" s="1201"/>
      <c r="Y238" s="1199">
        <f>'Mark Up Validation'!S296</f>
        <v>0</v>
      </c>
      <c r="Z238" s="1200"/>
      <c r="AA238" s="1200"/>
      <c r="AB238" s="1202"/>
      <c r="AC238" s="1201"/>
      <c r="AD238" s="1199">
        <f>'Mark Up Validation'!M324</f>
        <v>0</v>
      </c>
      <c r="AE238" s="1200"/>
      <c r="AF238" s="1200"/>
      <c r="AG238" s="1202"/>
      <c r="AH238" s="1201"/>
      <c r="AI238" s="1199">
        <f>'Mark Up Validation'!S324</f>
        <v>0</v>
      </c>
      <c r="AJ238" s="1200"/>
      <c r="AK238" s="1200"/>
      <c r="AL238" s="1202"/>
      <c r="AM238" s="1201"/>
      <c r="AN238" s="1199">
        <f>'Mark Up Validation'!M352</f>
        <v>0</v>
      </c>
      <c r="AO238" s="1200"/>
      <c r="AP238" s="1193"/>
      <c r="AQ238" s="1194"/>
      <c r="AR238" s="1195"/>
      <c r="AS238" s="1199">
        <f>'Mark Up Validation'!S352</f>
        <v>0</v>
      </c>
      <c r="AT238" s="1200"/>
      <c r="AU238" s="1193"/>
      <c r="AV238" s="1194"/>
      <c r="AW238" s="1203"/>
      <c r="AX238" s="1204">
        <v>1</v>
      </c>
      <c r="AY238" s="1193"/>
      <c r="AZ238" s="1193"/>
      <c r="BA238" s="1194"/>
      <c r="BB238" s="1203"/>
      <c r="BC238" s="1204">
        <v>1</v>
      </c>
      <c r="BD238" s="1193"/>
      <c r="BE238" s="1193"/>
      <c r="BF238" s="1194"/>
      <c r="BG238" s="1195"/>
      <c r="BH238" s="1174" t="s">
        <v>696</v>
      </c>
      <c r="BI238" s="1175"/>
      <c r="BJ238" s="1003"/>
      <c r="BK238" s="1003"/>
      <c r="BL238" s="1174" t="s">
        <v>697</v>
      </c>
      <c r="BM238" s="1176"/>
      <c r="BN238" s="1009"/>
      <c r="BO238" s="1009"/>
      <c r="BP238" s="1177" t="s">
        <v>698</v>
      </c>
      <c r="BQ238" s="1178"/>
      <c r="BR238" s="362"/>
      <c r="BS238" s="1179" t="s">
        <v>79</v>
      </c>
      <c r="BU238" s="1179" t="s">
        <v>419</v>
      </c>
      <c r="BX238" s="362"/>
      <c r="CD238" s="739"/>
    </row>
    <row r="239" spans="1:87" s="140" customFormat="1" ht="14.25" customHeight="1" thickTop="1" thickBot="1">
      <c r="A239" s="73"/>
      <c r="B239" s="73"/>
      <c r="C239" s="1197"/>
      <c r="D239" s="1197"/>
      <c r="E239" s="1180"/>
      <c r="F239" s="1180"/>
      <c r="G239" s="1180"/>
      <c r="H239" s="1180"/>
      <c r="I239" s="1180"/>
      <c r="J239" s="1182" t="s">
        <v>694</v>
      </c>
      <c r="K239" s="1183"/>
      <c r="L239" s="1183"/>
      <c r="M239" s="1183"/>
      <c r="N239" s="1184"/>
      <c r="O239" s="1182" t="s">
        <v>695</v>
      </c>
      <c r="P239" s="1183"/>
      <c r="Q239" s="1183"/>
      <c r="R239" s="1183"/>
      <c r="S239" s="1184"/>
      <c r="T239" s="1182" t="s">
        <v>694</v>
      </c>
      <c r="U239" s="1183"/>
      <c r="V239" s="1183"/>
      <c r="W239" s="1185"/>
      <c r="X239" s="1184"/>
      <c r="Y239" s="1182" t="s">
        <v>695</v>
      </c>
      <c r="Z239" s="1183"/>
      <c r="AA239" s="1183"/>
      <c r="AB239" s="1185"/>
      <c r="AC239" s="1184"/>
      <c r="AD239" s="1182" t="s">
        <v>694</v>
      </c>
      <c r="AE239" s="1183"/>
      <c r="AF239" s="1183"/>
      <c r="AG239" s="1185"/>
      <c r="AH239" s="1184"/>
      <c r="AI239" s="1182" t="s">
        <v>695</v>
      </c>
      <c r="AJ239" s="1183"/>
      <c r="AK239" s="1183"/>
      <c r="AL239" s="1185"/>
      <c r="AM239" s="1184"/>
      <c r="AN239" s="1182" t="s">
        <v>694</v>
      </c>
      <c r="AO239" s="1183"/>
      <c r="AP239" s="1183"/>
      <c r="AQ239" s="1185"/>
      <c r="AR239" s="1184"/>
      <c r="AS239" s="1182" t="s">
        <v>695</v>
      </c>
      <c r="AT239" s="1183"/>
      <c r="AU239" s="1183"/>
      <c r="AV239" s="1185"/>
      <c r="AW239" s="1184"/>
      <c r="AX239" s="1182" t="s">
        <v>694</v>
      </c>
      <c r="AY239" s="1183"/>
      <c r="AZ239" s="1183"/>
      <c r="BA239" s="1185"/>
      <c r="BB239" s="1184"/>
      <c r="BC239" s="1182" t="s">
        <v>695</v>
      </c>
      <c r="BD239" s="1183"/>
      <c r="BE239" s="1183"/>
      <c r="BF239" s="1185"/>
      <c r="BG239" s="1184"/>
      <c r="BH239" s="1186" t="s">
        <v>445</v>
      </c>
      <c r="BI239" s="1186" t="s">
        <v>612</v>
      </c>
      <c r="BJ239" s="1186" t="s">
        <v>699</v>
      </c>
      <c r="BK239" s="1186" t="s">
        <v>615</v>
      </c>
      <c r="BL239" s="1186" t="s">
        <v>445</v>
      </c>
      <c r="BM239" s="1186" t="s">
        <v>612</v>
      </c>
      <c r="BN239" s="1186" t="s">
        <v>699</v>
      </c>
      <c r="BO239" s="1186" t="s">
        <v>615</v>
      </c>
      <c r="BP239" s="1187" t="s">
        <v>445</v>
      </c>
      <c r="BQ239" s="1169" t="s">
        <v>613</v>
      </c>
      <c r="BR239" s="362"/>
      <c r="BS239" s="1180"/>
      <c r="BU239" s="1180"/>
      <c r="BX239" s="362"/>
      <c r="CD239" s="739"/>
    </row>
    <row r="240" spans="1:87" s="140" customFormat="1" ht="38.25" customHeight="1" thickTop="1" thickBot="1">
      <c r="A240" s="73"/>
      <c r="B240" s="73"/>
      <c r="C240" s="1198"/>
      <c r="D240" s="1198"/>
      <c r="E240" s="1181"/>
      <c r="F240" s="1181"/>
      <c r="G240" s="1181"/>
      <c r="H240" s="1181"/>
      <c r="I240" s="1181"/>
      <c r="J240" s="150" t="s">
        <v>415</v>
      </c>
      <c r="K240" s="150" t="s">
        <v>417</v>
      </c>
      <c r="L240" s="150" t="s">
        <v>614</v>
      </c>
      <c r="M240" s="997" t="s">
        <v>699</v>
      </c>
      <c r="N240" s="150" t="s">
        <v>615</v>
      </c>
      <c r="O240" s="150" t="s">
        <v>415</v>
      </c>
      <c r="P240" s="150" t="s">
        <v>417</v>
      </c>
      <c r="Q240" s="150" t="s">
        <v>614</v>
      </c>
      <c r="R240" s="997" t="s">
        <v>699</v>
      </c>
      <c r="S240" s="150" t="s">
        <v>615</v>
      </c>
      <c r="T240" s="150" t="s">
        <v>415</v>
      </c>
      <c r="U240" s="150" t="s">
        <v>417</v>
      </c>
      <c r="V240" s="150" t="s">
        <v>614</v>
      </c>
      <c r="W240" s="1001" t="s">
        <v>699</v>
      </c>
      <c r="X240" s="150" t="s">
        <v>615</v>
      </c>
      <c r="Y240" s="150" t="s">
        <v>415</v>
      </c>
      <c r="Z240" s="150" t="s">
        <v>417</v>
      </c>
      <c r="AA240" s="150" t="s">
        <v>614</v>
      </c>
      <c r="AB240" s="1001" t="s">
        <v>699</v>
      </c>
      <c r="AC240" s="150" t="s">
        <v>615</v>
      </c>
      <c r="AD240" s="150" t="s">
        <v>415</v>
      </c>
      <c r="AE240" s="150" t="s">
        <v>417</v>
      </c>
      <c r="AF240" s="150" t="s">
        <v>614</v>
      </c>
      <c r="AG240" s="1001" t="s">
        <v>699</v>
      </c>
      <c r="AH240" s="150" t="s">
        <v>615</v>
      </c>
      <c r="AI240" s="150" t="s">
        <v>415</v>
      </c>
      <c r="AJ240" s="150" t="s">
        <v>417</v>
      </c>
      <c r="AK240" s="150" t="s">
        <v>614</v>
      </c>
      <c r="AL240" s="1001" t="s">
        <v>699</v>
      </c>
      <c r="AM240" s="150" t="s">
        <v>615</v>
      </c>
      <c r="AN240" s="150" t="s">
        <v>415</v>
      </c>
      <c r="AO240" s="150" t="s">
        <v>417</v>
      </c>
      <c r="AP240" s="150" t="s">
        <v>614</v>
      </c>
      <c r="AQ240" s="1001" t="s">
        <v>699</v>
      </c>
      <c r="AR240" s="150" t="s">
        <v>615</v>
      </c>
      <c r="AS240" s="150" t="s">
        <v>415</v>
      </c>
      <c r="AT240" s="150" t="s">
        <v>417</v>
      </c>
      <c r="AU240" s="150" t="s">
        <v>614</v>
      </c>
      <c r="AV240" s="1001" t="s">
        <v>699</v>
      </c>
      <c r="AW240" s="150" t="s">
        <v>615</v>
      </c>
      <c r="AX240" s="150" t="s">
        <v>415</v>
      </c>
      <c r="AY240" s="150" t="s">
        <v>417</v>
      </c>
      <c r="AZ240" s="150" t="s">
        <v>614</v>
      </c>
      <c r="BA240" s="1001" t="s">
        <v>699</v>
      </c>
      <c r="BB240" s="150" t="s">
        <v>615</v>
      </c>
      <c r="BC240" s="150" t="s">
        <v>415</v>
      </c>
      <c r="BD240" s="150" t="s">
        <v>417</v>
      </c>
      <c r="BE240" s="150" t="s">
        <v>614</v>
      </c>
      <c r="BF240" s="1001" t="s">
        <v>699</v>
      </c>
      <c r="BG240" s="150" t="s">
        <v>615</v>
      </c>
      <c r="BH240" s="1181"/>
      <c r="BI240" s="1181"/>
      <c r="BJ240" s="1181"/>
      <c r="BK240" s="1181"/>
      <c r="BL240" s="1181"/>
      <c r="BM240" s="1181"/>
      <c r="BN240" s="1181"/>
      <c r="BO240" s="1181"/>
      <c r="BP240" s="1188"/>
      <c r="BQ240" s="1170"/>
      <c r="BR240" s="362"/>
      <c r="BS240" s="1181"/>
      <c r="BU240" s="1181"/>
      <c r="BW240" s="140" t="s">
        <v>447</v>
      </c>
      <c r="BX240" s="362" t="s">
        <v>448</v>
      </c>
      <c r="CD240" s="739" t="s">
        <v>525</v>
      </c>
    </row>
    <row r="241" spans="1:87" ht="14.25" thickTop="1" thickBot="1">
      <c r="A241" s="57"/>
      <c r="B241" s="92">
        <v>1</v>
      </c>
      <c r="C241" s="1012" t="s">
        <v>570</v>
      </c>
      <c r="D241" s="1013" t="s">
        <v>451</v>
      </c>
      <c r="E241" s="1014" t="s">
        <v>544</v>
      </c>
      <c r="F241" s="1013" t="s">
        <v>686</v>
      </c>
      <c r="G241" s="1012" t="s">
        <v>187</v>
      </c>
      <c r="H241" s="1032">
        <f>1/(1-I241)</f>
        <v>2.2222222222222223</v>
      </c>
      <c r="I241" s="1033">
        <v>0.55000000000000004</v>
      </c>
      <c r="J241" s="1015">
        <f>IF(K241=0,1,K241/(K241/($J$13*(1/H241))))</f>
        <v>2.0789999999999997</v>
      </c>
      <c r="K241" s="1016">
        <f>K16/J16</f>
        <v>854953.07142857159</v>
      </c>
      <c r="L241" s="1017"/>
      <c r="M241" s="1059">
        <f>M16</f>
        <v>1867.8000000000002</v>
      </c>
      <c r="N241" s="1019">
        <f>L241/($J$13*(100%-I241))</f>
        <v>0</v>
      </c>
      <c r="O241" s="1015">
        <f t="shared" ref="O241:O298" si="207">IF(P241=0,1,P241/(P241/($O$13*(1/H241))))</f>
        <v>1</v>
      </c>
      <c r="P241" s="1016">
        <f t="shared" ref="P241:P248" si="208">Q241*$D$8</f>
        <v>0</v>
      </c>
      <c r="Q241" s="1017">
        <v>0</v>
      </c>
      <c r="R241" s="1018"/>
      <c r="S241" s="1020">
        <f t="shared" ref="S241:S250" si="209">Q241/($O$13*(100%-I241))</f>
        <v>0</v>
      </c>
      <c r="T241" s="1015">
        <f t="shared" ref="T241:T298" si="210">IF(U241=0,1,U241/(U241/($T$13*(1/H241))))</f>
        <v>1</v>
      </c>
      <c r="U241" s="1016">
        <f>V241*$D$8</f>
        <v>0</v>
      </c>
      <c r="V241" s="1017">
        <v>0</v>
      </c>
      <c r="W241" s="1018"/>
      <c r="X241" s="1019">
        <f t="shared" ref="X241:X244" si="211">V241/($T$13*(100%-I241))</f>
        <v>0</v>
      </c>
      <c r="Y241" s="1015">
        <f t="shared" ref="Y241:Y298" si="212">IF(Z241=0,1,Z241/(Z241/($Y$13*(1/H241))))</f>
        <v>1</v>
      </c>
      <c r="Z241" s="1016">
        <f>AA241*$D$8</f>
        <v>0</v>
      </c>
      <c r="AA241" s="1017">
        <v>0</v>
      </c>
      <c r="AB241" s="1018"/>
      <c r="AC241" s="1021">
        <f t="shared" ref="AC241:AC298" si="213">AA241/($Y$13*(100%-I241))</f>
        <v>0</v>
      </c>
      <c r="AD241" s="1015">
        <f t="shared" ref="AD241:AD298" si="214">IF(AE241=0,1,AE241/(AE241/($AD$13*(1/H241))))</f>
        <v>1</v>
      </c>
      <c r="AE241" s="1016">
        <f>AF241*$D$8</f>
        <v>0</v>
      </c>
      <c r="AF241" s="1017">
        <v>0</v>
      </c>
      <c r="AG241" s="1018"/>
      <c r="AH241" s="1019">
        <f t="shared" ref="AH241:AH298" si="215">AF241/($AD$13*(100%-I241))</f>
        <v>0</v>
      </c>
      <c r="AI241" s="1015">
        <f t="shared" ref="AI241:AI298" si="216">IF(AJ241=0,1,AJ241/(AJ241/($AI$13*(1/H241))))</f>
        <v>1</v>
      </c>
      <c r="AJ241" s="1016">
        <f>AK241*$D$8</f>
        <v>0</v>
      </c>
      <c r="AK241" s="1017">
        <v>0</v>
      </c>
      <c r="AL241" s="1018"/>
      <c r="AM241" s="1022">
        <f t="shared" ref="AM241:AM298" si="217">AK241/($AI$13*(100%-I241))</f>
        <v>0</v>
      </c>
      <c r="AN241" s="1015">
        <f t="shared" ref="AN241:AN298" si="218">IF(AO241=0,1,AO241/(AO241/($AN$13*(1/H241))))</f>
        <v>1</v>
      </c>
      <c r="AO241" s="1016">
        <f>AP241*$D$8</f>
        <v>0</v>
      </c>
      <c r="AP241" s="1017">
        <v>0</v>
      </c>
      <c r="AQ241" s="1017"/>
      <c r="AR241" s="1019">
        <f t="shared" ref="AR241:AR298" si="219">AP241/($AN$13*(100%-I241))</f>
        <v>0</v>
      </c>
      <c r="AS241" s="1015">
        <f t="shared" ref="AS241:AS298" si="220">IF(AT241=0,1,AT241/(AT241/($AS$13*(1/H241))))</f>
        <v>1</v>
      </c>
      <c r="AT241" s="1016">
        <f>AU241*$D$8</f>
        <v>0</v>
      </c>
      <c r="AU241" s="1017">
        <v>0</v>
      </c>
      <c r="AV241" s="1018"/>
      <c r="AW241" s="1021">
        <f t="shared" ref="AW241:AW298" si="221">AU241/($AS$13*(100%-I241))</f>
        <v>0</v>
      </c>
      <c r="AX241" s="1015">
        <f t="shared" ref="AX241:AX298" si="222">IF(AY241=0,1,AY241/(AY241/($AX$13*(1/H241))))</f>
        <v>1</v>
      </c>
      <c r="AY241" s="1016">
        <f>AZ241*$D$8</f>
        <v>0</v>
      </c>
      <c r="AZ241" s="1017">
        <v>0</v>
      </c>
      <c r="BA241" s="1017"/>
      <c r="BB241" s="1022">
        <f t="shared" ref="BB241:BB298" si="223">AZ241/($AX$13*(100%-I241))</f>
        <v>0</v>
      </c>
      <c r="BC241" s="1015">
        <f t="shared" ref="BC241:BC298" si="224">IF(BD241=0,1,BD241/(BD241/($BC$13*(1/H241))))</f>
        <v>1</v>
      </c>
      <c r="BD241" s="1016">
        <f>BE241*$D$8</f>
        <v>0</v>
      </c>
      <c r="BE241" s="1017">
        <v>0</v>
      </c>
      <c r="BF241" s="1018"/>
      <c r="BG241" s="1021">
        <f t="shared" ref="BG241:BG298" si="225">BE241/($BC$13*(100%-I241))</f>
        <v>0</v>
      </c>
      <c r="BH241" s="1023">
        <f t="shared" ref="BH241:BH298" si="226">K241+U241+AE241+AO241++AY241</f>
        <v>854953.07142857159</v>
      </c>
      <c r="BI241" s="1024">
        <f t="shared" ref="BI241:BI298" si="227">L241+V241+AF241+AP241+AZ241</f>
        <v>0</v>
      </c>
      <c r="BJ241" s="1025">
        <f t="shared" ref="BJ241:BJ304" si="228">M241+W241+AG241+AQ241+BA241</f>
        <v>1867.8000000000002</v>
      </c>
      <c r="BK241" s="1022">
        <f t="shared" ref="BK241:BK304" si="229">N241+X241+AH241+AR241+BB241</f>
        <v>0</v>
      </c>
      <c r="BL241" s="1026">
        <f t="shared" ref="BL241:BL295" si="230">P241+Z241+AJ241+AT241+BD241</f>
        <v>0</v>
      </c>
      <c r="BM241" s="1024">
        <f t="shared" ref="BM241:BM298" si="231">Q241+AA241+AK241+AU241+BE241</f>
        <v>0</v>
      </c>
      <c r="BN241" s="1027"/>
      <c r="BO241" s="1028"/>
      <c r="BP241" s="95">
        <f>SUM(BH241,BL241)</f>
        <v>854953.07142857159</v>
      </c>
      <c r="BQ241" s="842">
        <f>BI241+BM241</f>
        <v>0</v>
      </c>
      <c r="BS241" s="94">
        <f t="shared" ref="BS241:BS304" si="232">I241</f>
        <v>0.55000000000000004</v>
      </c>
      <c r="BU241" s="632">
        <f t="shared" ref="BU241:BU304" si="233">BP241/H241</f>
        <v>384728.88214285718</v>
      </c>
      <c r="BV241" s="398"/>
      <c r="BW241" s="405" t="s">
        <v>453</v>
      </c>
      <c r="CI241" s="96"/>
    </row>
    <row r="242" spans="1:87" s="750" customFormat="1" ht="14.25" thickTop="1" thickBot="1">
      <c r="B242" s="751">
        <v>2</v>
      </c>
      <c r="C242" s="1029" t="s">
        <v>570</v>
      </c>
      <c r="D242" s="1031" t="s">
        <v>455</v>
      </c>
      <c r="E242" s="1031" t="s">
        <v>546</v>
      </c>
      <c r="F242" s="1031" t="s">
        <v>456</v>
      </c>
      <c r="G242" s="1029" t="s">
        <v>187</v>
      </c>
      <c r="H242" s="1032">
        <f t="shared" ref="H242:H298" si="234">1/(1-I242)</f>
        <v>2.2222222222222223</v>
      </c>
      <c r="I242" s="1033">
        <v>0.55000000000000004</v>
      </c>
      <c r="J242" s="1034">
        <f t="shared" ref="J242:J298" si="235">IF(K242=0,1,K242/(K242/($J$13*(1/H242))))</f>
        <v>2.0789999999999997</v>
      </c>
      <c r="K242" s="1016">
        <f t="shared" ref="K242:K253" si="236">K17/J17</f>
        <v>1095254.8051948051</v>
      </c>
      <c r="L242" s="1017"/>
      <c r="M242" s="1059">
        <f t="shared" ref="M242:M253" si="237">M17</f>
        <v>1917</v>
      </c>
      <c r="N242" s="1037">
        <f>L242/($J$13*(100%-I242))</f>
        <v>0</v>
      </c>
      <c r="O242" s="1034">
        <f t="shared" si="207"/>
        <v>1</v>
      </c>
      <c r="P242" s="1035">
        <f t="shared" si="208"/>
        <v>0</v>
      </c>
      <c r="Q242" s="1036"/>
      <c r="R242" s="1018"/>
      <c r="S242" s="1020">
        <f t="shared" si="209"/>
        <v>0</v>
      </c>
      <c r="T242" s="1034">
        <f t="shared" si="210"/>
        <v>1</v>
      </c>
      <c r="U242" s="1035">
        <f t="shared" ref="U242:U298" si="238">V242*$D$8</f>
        <v>0</v>
      </c>
      <c r="V242" s="1036">
        <v>0</v>
      </c>
      <c r="W242" s="1018"/>
      <c r="X242" s="1037">
        <f t="shared" si="211"/>
        <v>0</v>
      </c>
      <c r="Y242" s="1034">
        <f t="shared" si="212"/>
        <v>1</v>
      </c>
      <c r="Z242" s="1035">
        <f t="shared" ref="Z242:Z298" si="239">AA242*$D$8</f>
        <v>0</v>
      </c>
      <c r="AA242" s="1036">
        <v>0</v>
      </c>
      <c r="AB242" s="1018"/>
      <c r="AC242" s="1021">
        <f t="shared" si="213"/>
        <v>0</v>
      </c>
      <c r="AD242" s="1034">
        <f t="shared" si="214"/>
        <v>1</v>
      </c>
      <c r="AE242" s="1035">
        <f t="shared" ref="AE242:AE298" si="240">AF242*$D$8</f>
        <v>0</v>
      </c>
      <c r="AF242" s="1036">
        <v>0</v>
      </c>
      <c r="AG242" s="1018"/>
      <c r="AH242" s="1037">
        <f t="shared" si="215"/>
        <v>0</v>
      </c>
      <c r="AI242" s="1034">
        <f t="shared" si="216"/>
        <v>1</v>
      </c>
      <c r="AJ242" s="1035">
        <f t="shared" ref="AJ242:AJ298" si="241">AK242*$D$8</f>
        <v>0</v>
      </c>
      <c r="AK242" s="1036">
        <v>0</v>
      </c>
      <c r="AL242" s="1018"/>
      <c r="AM242" s="1021">
        <f t="shared" si="217"/>
        <v>0</v>
      </c>
      <c r="AN242" s="1034">
        <f t="shared" si="218"/>
        <v>1</v>
      </c>
      <c r="AO242" s="1035">
        <f t="shared" ref="AO242:AO298" si="242">AP242*$D$8</f>
        <v>0</v>
      </c>
      <c r="AP242" s="1036">
        <v>0</v>
      </c>
      <c r="AQ242" s="1018"/>
      <c r="AR242" s="1037">
        <f t="shared" si="219"/>
        <v>0</v>
      </c>
      <c r="AS242" s="1034">
        <f t="shared" si="220"/>
        <v>1</v>
      </c>
      <c r="AT242" s="1035">
        <f t="shared" ref="AT242:AT298" si="243">AU242*$D$8</f>
        <v>0</v>
      </c>
      <c r="AU242" s="1036">
        <v>0</v>
      </c>
      <c r="AV242" s="1018"/>
      <c r="AW242" s="1021">
        <f t="shared" si="221"/>
        <v>0</v>
      </c>
      <c r="AX242" s="1034">
        <f t="shared" si="222"/>
        <v>1</v>
      </c>
      <c r="AY242" s="1035">
        <f t="shared" ref="AY242:AY298" si="244">AZ242*$D$8</f>
        <v>0</v>
      </c>
      <c r="AZ242" s="1036">
        <v>0</v>
      </c>
      <c r="BA242" s="1036"/>
      <c r="BB242" s="1021">
        <f t="shared" si="223"/>
        <v>0</v>
      </c>
      <c r="BC242" s="1034">
        <f t="shared" si="224"/>
        <v>1</v>
      </c>
      <c r="BD242" s="1035">
        <f t="shared" ref="BD242:BD298" si="245">BE242*$D$8</f>
        <v>0</v>
      </c>
      <c r="BE242" s="1038">
        <v>0</v>
      </c>
      <c r="BF242" s="1018"/>
      <c r="BG242" s="1021">
        <f t="shared" si="225"/>
        <v>0</v>
      </c>
      <c r="BH242" s="1039">
        <f t="shared" si="226"/>
        <v>1095254.8051948051</v>
      </c>
      <c r="BI242" s="1038">
        <f t="shared" si="227"/>
        <v>0</v>
      </c>
      <c r="BJ242" s="1027">
        <f t="shared" si="228"/>
        <v>1917</v>
      </c>
      <c r="BK242" s="1021">
        <f t="shared" si="229"/>
        <v>0</v>
      </c>
      <c r="BL242" s="1040">
        <f t="shared" si="230"/>
        <v>0</v>
      </c>
      <c r="BM242" s="1038">
        <f t="shared" si="231"/>
        <v>0</v>
      </c>
      <c r="BN242" s="1027"/>
      <c r="BO242" s="1041"/>
      <c r="BP242" s="95">
        <f>SUM(BH242,BL242)</f>
        <v>1095254.8051948051</v>
      </c>
      <c r="BQ242" s="842">
        <f>BI242+BM242</f>
        <v>0</v>
      </c>
      <c r="BR242" s="323"/>
      <c r="BS242" s="757">
        <f t="shared" si="232"/>
        <v>0.55000000000000004</v>
      </c>
      <c r="BU242" s="754">
        <f t="shared" si="233"/>
        <v>492864.6623376623</v>
      </c>
      <c r="BV242" s="758"/>
      <c r="BW242" s="759" t="s">
        <v>453</v>
      </c>
      <c r="BX242" s="756"/>
      <c r="CD242" s="758"/>
      <c r="CI242" s="760"/>
    </row>
    <row r="243" spans="1:87" s="750" customFormat="1" ht="14.25" thickTop="1" thickBot="1">
      <c r="B243" s="751">
        <v>3</v>
      </c>
      <c r="C243" s="1029" t="s">
        <v>573</v>
      </c>
      <c r="D243" s="1031" t="s">
        <v>678</v>
      </c>
      <c r="E243" s="1031" t="s">
        <v>682</v>
      </c>
      <c r="F243" s="1031" t="s">
        <v>456</v>
      </c>
      <c r="G243" s="1029" t="s">
        <v>187</v>
      </c>
      <c r="H243" s="1032">
        <f t="shared" si="234"/>
        <v>2.5</v>
      </c>
      <c r="I243" s="1033">
        <v>0.6</v>
      </c>
      <c r="J243" s="1034">
        <f t="shared" si="235"/>
        <v>1.8480000000000001</v>
      </c>
      <c r="K243" s="1016">
        <f t="shared" si="236"/>
        <v>472412.63571428577</v>
      </c>
      <c r="L243" s="1017"/>
      <c r="M243" s="1059">
        <f t="shared" si="237"/>
        <v>914.1</v>
      </c>
      <c r="N243" s="1037">
        <f t="shared" ref="N243:N244" si="246">L243/($J$13*(100%-I243))</f>
        <v>0</v>
      </c>
      <c r="O243" s="1034">
        <f t="shared" si="207"/>
        <v>1</v>
      </c>
      <c r="P243" s="1035">
        <f t="shared" si="208"/>
        <v>0</v>
      </c>
      <c r="Q243" s="1036"/>
      <c r="R243" s="1018"/>
      <c r="S243" s="1020">
        <f t="shared" si="209"/>
        <v>0</v>
      </c>
      <c r="T243" s="1034">
        <f t="shared" si="210"/>
        <v>1</v>
      </c>
      <c r="U243" s="1035">
        <f t="shared" si="238"/>
        <v>0</v>
      </c>
      <c r="V243" s="1036">
        <v>0</v>
      </c>
      <c r="W243" s="1018"/>
      <c r="X243" s="1037">
        <f t="shared" si="211"/>
        <v>0</v>
      </c>
      <c r="Y243" s="1034">
        <f t="shared" si="212"/>
        <v>1</v>
      </c>
      <c r="Z243" s="1035">
        <f t="shared" si="239"/>
        <v>0</v>
      </c>
      <c r="AA243" s="1036">
        <v>0</v>
      </c>
      <c r="AB243" s="1018"/>
      <c r="AC243" s="1021">
        <f t="shared" si="213"/>
        <v>0</v>
      </c>
      <c r="AD243" s="1034">
        <f t="shared" si="214"/>
        <v>1</v>
      </c>
      <c r="AE243" s="1035">
        <f t="shared" si="240"/>
        <v>0</v>
      </c>
      <c r="AF243" s="1036">
        <v>0</v>
      </c>
      <c r="AG243" s="1018"/>
      <c r="AH243" s="1037">
        <f t="shared" si="215"/>
        <v>0</v>
      </c>
      <c r="AI243" s="1034">
        <f t="shared" si="216"/>
        <v>1</v>
      </c>
      <c r="AJ243" s="1035">
        <f t="shared" si="241"/>
        <v>0</v>
      </c>
      <c r="AK243" s="1036">
        <v>0</v>
      </c>
      <c r="AL243" s="1018"/>
      <c r="AM243" s="1021">
        <f t="shared" si="217"/>
        <v>0</v>
      </c>
      <c r="AN243" s="1034">
        <f t="shared" si="218"/>
        <v>1</v>
      </c>
      <c r="AO243" s="1035">
        <f t="shared" si="242"/>
        <v>0</v>
      </c>
      <c r="AP243" s="1036">
        <v>0</v>
      </c>
      <c r="AQ243" s="1018"/>
      <c r="AR243" s="1037">
        <f t="shared" si="219"/>
        <v>0</v>
      </c>
      <c r="AS243" s="1034">
        <f t="shared" si="220"/>
        <v>1</v>
      </c>
      <c r="AT243" s="1035">
        <f t="shared" si="243"/>
        <v>0</v>
      </c>
      <c r="AU243" s="1038">
        <v>0</v>
      </c>
      <c r="AV243" s="1018"/>
      <c r="AW243" s="1021">
        <f t="shared" si="221"/>
        <v>0</v>
      </c>
      <c r="AX243" s="1034">
        <f t="shared" si="222"/>
        <v>1</v>
      </c>
      <c r="AY243" s="1035">
        <f t="shared" si="244"/>
        <v>0</v>
      </c>
      <c r="AZ243" s="1036">
        <v>0</v>
      </c>
      <c r="BA243" s="1036"/>
      <c r="BB243" s="1021">
        <f t="shared" si="223"/>
        <v>0</v>
      </c>
      <c r="BC243" s="1034">
        <f t="shared" si="224"/>
        <v>1</v>
      </c>
      <c r="BD243" s="1035">
        <f t="shared" si="245"/>
        <v>0</v>
      </c>
      <c r="BE243" s="1038">
        <v>0</v>
      </c>
      <c r="BF243" s="1018"/>
      <c r="BG243" s="1021">
        <f t="shared" si="225"/>
        <v>0</v>
      </c>
      <c r="BH243" s="1039">
        <f t="shared" si="226"/>
        <v>472412.63571428577</v>
      </c>
      <c r="BI243" s="1038">
        <f t="shared" si="227"/>
        <v>0</v>
      </c>
      <c r="BJ243" s="1027">
        <f t="shared" si="228"/>
        <v>914.1</v>
      </c>
      <c r="BK243" s="1021">
        <f t="shared" si="229"/>
        <v>0</v>
      </c>
      <c r="BL243" s="1040">
        <f t="shared" si="230"/>
        <v>0</v>
      </c>
      <c r="BM243" s="1038">
        <f t="shared" si="231"/>
        <v>0</v>
      </c>
      <c r="BN243" s="1027"/>
      <c r="BO243" s="1041"/>
      <c r="BP243" s="95">
        <f>SUM(BH243,BL243)</f>
        <v>472412.63571428577</v>
      </c>
      <c r="BQ243" s="842">
        <f>BI243+BM243</f>
        <v>0</v>
      </c>
      <c r="BR243" s="323"/>
      <c r="BS243" s="757">
        <f t="shared" si="232"/>
        <v>0.6</v>
      </c>
      <c r="BU243" s="754">
        <f t="shared" si="233"/>
        <v>188965.05428571432</v>
      </c>
      <c r="BV243" s="758"/>
      <c r="BW243" s="759" t="s">
        <v>450</v>
      </c>
      <c r="BX243" s="756"/>
      <c r="CD243" s="758"/>
      <c r="CI243" s="760"/>
    </row>
    <row r="244" spans="1:87" ht="14.25" thickTop="1" thickBot="1">
      <c r="A244" s="57"/>
      <c r="B244" s="92">
        <v>4</v>
      </c>
      <c r="C244" s="1029" t="s">
        <v>570</v>
      </c>
      <c r="D244" s="1031" t="s">
        <v>352</v>
      </c>
      <c r="E244" s="1031" t="s">
        <v>683</v>
      </c>
      <c r="F244" s="1031" t="s">
        <v>456</v>
      </c>
      <c r="G244" s="1029" t="s">
        <v>187</v>
      </c>
      <c r="H244" s="1032">
        <f t="shared" si="234"/>
        <v>2.2222222222222223</v>
      </c>
      <c r="I244" s="1033">
        <v>0.55000000000000004</v>
      </c>
      <c r="J244" s="1034">
        <f t="shared" si="235"/>
        <v>2.0789999999999997</v>
      </c>
      <c r="K244" s="1016">
        <f t="shared" si="236"/>
        <v>172324.80519480517</v>
      </c>
      <c r="L244" s="1017"/>
      <c r="M244" s="1059">
        <f t="shared" si="237"/>
        <v>306</v>
      </c>
      <c r="N244" s="1037">
        <f t="shared" si="246"/>
        <v>0</v>
      </c>
      <c r="O244" s="1034">
        <f t="shared" si="207"/>
        <v>1</v>
      </c>
      <c r="P244" s="1035">
        <f t="shared" si="208"/>
        <v>0</v>
      </c>
      <c r="Q244" s="1036"/>
      <c r="R244" s="1018"/>
      <c r="S244" s="1020">
        <f t="shared" si="209"/>
        <v>0</v>
      </c>
      <c r="T244" s="1034">
        <f t="shared" si="210"/>
        <v>1</v>
      </c>
      <c r="U244" s="1035">
        <f t="shared" si="238"/>
        <v>0</v>
      </c>
      <c r="V244" s="1036">
        <v>0</v>
      </c>
      <c r="W244" s="1018"/>
      <c r="X244" s="1037">
        <f t="shared" si="211"/>
        <v>0</v>
      </c>
      <c r="Y244" s="1034">
        <f t="shared" si="212"/>
        <v>1</v>
      </c>
      <c r="Z244" s="1035">
        <f t="shared" si="239"/>
        <v>0</v>
      </c>
      <c r="AA244" s="1036">
        <v>0</v>
      </c>
      <c r="AB244" s="1018"/>
      <c r="AC244" s="1021">
        <f t="shared" si="213"/>
        <v>0</v>
      </c>
      <c r="AD244" s="1034">
        <f t="shared" si="214"/>
        <v>1</v>
      </c>
      <c r="AE244" s="1035">
        <f t="shared" si="240"/>
        <v>0</v>
      </c>
      <c r="AF244" s="1036">
        <v>0</v>
      </c>
      <c r="AG244" s="1018"/>
      <c r="AH244" s="1037">
        <f t="shared" si="215"/>
        <v>0</v>
      </c>
      <c r="AI244" s="1034">
        <f t="shared" si="216"/>
        <v>1</v>
      </c>
      <c r="AJ244" s="1035">
        <f t="shared" si="241"/>
        <v>0</v>
      </c>
      <c r="AK244" s="1036">
        <v>0</v>
      </c>
      <c r="AL244" s="1018"/>
      <c r="AM244" s="1021">
        <f t="shared" si="217"/>
        <v>0</v>
      </c>
      <c r="AN244" s="1034">
        <f t="shared" si="218"/>
        <v>1</v>
      </c>
      <c r="AO244" s="1035">
        <f t="shared" si="242"/>
        <v>0</v>
      </c>
      <c r="AP244" s="1036">
        <v>0</v>
      </c>
      <c r="AQ244" s="1018"/>
      <c r="AR244" s="1037">
        <f t="shared" si="219"/>
        <v>0</v>
      </c>
      <c r="AS244" s="1034">
        <f t="shared" si="220"/>
        <v>1</v>
      </c>
      <c r="AT244" s="1035">
        <f t="shared" si="243"/>
        <v>0</v>
      </c>
      <c r="AU244" s="1036">
        <v>0</v>
      </c>
      <c r="AV244" s="1018"/>
      <c r="AW244" s="1021">
        <f t="shared" si="221"/>
        <v>0</v>
      </c>
      <c r="AX244" s="1034">
        <f t="shared" si="222"/>
        <v>1</v>
      </c>
      <c r="AY244" s="1035">
        <f t="shared" si="244"/>
        <v>0</v>
      </c>
      <c r="AZ244" s="1036">
        <v>0</v>
      </c>
      <c r="BA244" s="1036"/>
      <c r="BB244" s="1021">
        <f t="shared" si="223"/>
        <v>0</v>
      </c>
      <c r="BC244" s="1034">
        <f t="shared" si="224"/>
        <v>1</v>
      </c>
      <c r="BD244" s="1035">
        <f t="shared" si="245"/>
        <v>0</v>
      </c>
      <c r="BE244" s="1038">
        <v>0</v>
      </c>
      <c r="BF244" s="1018"/>
      <c r="BG244" s="1021">
        <f t="shared" si="225"/>
        <v>0</v>
      </c>
      <c r="BH244" s="1039">
        <f t="shared" si="226"/>
        <v>172324.80519480517</v>
      </c>
      <c r="BI244" s="1038">
        <f t="shared" si="227"/>
        <v>0</v>
      </c>
      <c r="BJ244" s="1027">
        <f t="shared" si="228"/>
        <v>306</v>
      </c>
      <c r="BK244" s="1021">
        <f t="shared" si="229"/>
        <v>0</v>
      </c>
      <c r="BL244" s="1040">
        <f t="shared" si="230"/>
        <v>0</v>
      </c>
      <c r="BM244" s="1038">
        <f t="shared" si="231"/>
        <v>0</v>
      </c>
      <c r="BN244" s="1027"/>
      <c r="BO244" s="1041"/>
      <c r="BP244" s="95">
        <f>SUM(BH244,BL244)</f>
        <v>172324.80519480517</v>
      </c>
      <c r="BQ244" s="842">
        <f>BI244+BM244</f>
        <v>0</v>
      </c>
      <c r="BS244" s="94">
        <f t="shared" si="232"/>
        <v>0.55000000000000004</v>
      </c>
      <c r="BU244" s="632">
        <f t="shared" si="233"/>
        <v>77546.162337662317</v>
      </c>
      <c r="BV244" s="398"/>
      <c r="BW244" s="405" t="s">
        <v>450</v>
      </c>
      <c r="CI244" s="96"/>
    </row>
    <row r="245" spans="1:87" s="334" customFormat="1" ht="14.25" thickTop="1" thickBot="1">
      <c r="B245" s="612">
        <v>5</v>
      </c>
      <c r="C245" s="1029" t="s">
        <v>570</v>
      </c>
      <c r="D245" s="1031" t="s">
        <v>586</v>
      </c>
      <c r="E245" s="1031" t="s">
        <v>684</v>
      </c>
      <c r="F245" s="1031" t="s">
        <v>456</v>
      </c>
      <c r="G245" s="1029" t="s">
        <v>187</v>
      </c>
      <c r="H245" s="1032">
        <f t="shared" si="234"/>
        <v>2.2222222222222223</v>
      </c>
      <c r="I245" s="1033">
        <v>0.55000000000000004</v>
      </c>
      <c r="J245" s="1034">
        <f t="shared" si="235"/>
        <v>2.0789999999999997</v>
      </c>
      <c r="K245" s="1016">
        <f t="shared" si="236"/>
        <v>57376.103896103901</v>
      </c>
      <c r="L245" s="1017"/>
      <c r="M245" s="1059">
        <f t="shared" si="237"/>
        <v>112</v>
      </c>
      <c r="N245" s="1037">
        <f>L245/($J$13*(100%-I245))</f>
        <v>0</v>
      </c>
      <c r="O245" s="1034">
        <f t="shared" si="207"/>
        <v>1</v>
      </c>
      <c r="P245" s="1035">
        <f t="shared" si="208"/>
        <v>0</v>
      </c>
      <c r="Q245" s="1036"/>
      <c r="R245" s="1018"/>
      <c r="S245" s="1020">
        <f t="shared" si="209"/>
        <v>0</v>
      </c>
      <c r="T245" s="1034">
        <f t="shared" si="210"/>
        <v>1</v>
      </c>
      <c r="U245" s="1035">
        <f t="shared" si="238"/>
        <v>0</v>
      </c>
      <c r="V245" s="1036">
        <v>0</v>
      </c>
      <c r="W245" s="1018"/>
      <c r="X245" s="1037">
        <f>V245/($T$13*(100%-I245))</f>
        <v>0</v>
      </c>
      <c r="Y245" s="1034">
        <f t="shared" si="212"/>
        <v>1</v>
      </c>
      <c r="Z245" s="1035">
        <f t="shared" si="239"/>
        <v>0</v>
      </c>
      <c r="AA245" s="1036">
        <v>0</v>
      </c>
      <c r="AB245" s="1018"/>
      <c r="AC245" s="1021">
        <f t="shared" si="213"/>
        <v>0</v>
      </c>
      <c r="AD245" s="1034">
        <f t="shared" si="214"/>
        <v>1</v>
      </c>
      <c r="AE245" s="1035">
        <f t="shared" si="240"/>
        <v>0</v>
      </c>
      <c r="AF245" s="1036">
        <v>0</v>
      </c>
      <c r="AG245" s="1018"/>
      <c r="AH245" s="1037">
        <f t="shared" si="215"/>
        <v>0</v>
      </c>
      <c r="AI245" s="1034">
        <f t="shared" si="216"/>
        <v>1</v>
      </c>
      <c r="AJ245" s="1035">
        <f t="shared" si="241"/>
        <v>0</v>
      </c>
      <c r="AK245" s="1036">
        <v>0</v>
      </c>
      <c r="AL245" s="1018"/>
      <c r="AM245" s="1021">
        <f t="shared" si="217"/>
        <v>0</v>
      </c>
      <c r="AN245" s="1034">
        <f t="shared" si="218"/>
        <v>1</v>
      </c>
      <c r="AO245" s="1035">
        <f t="shared" si="242"/>
        <v>0</v>
      </c>
      <c r="AP245" s="1036">
        <v>0</v>
      </c>
      <c r="AQ245" s="1018"/>
      <c r="AR245" s="1037">
        <f t="shared" si="219"/>
        <v>0</v>
      </c>
      <c r="AS245" s="1034">
        <f t="shared" si="220"/>
        <v>1</v>
      </c>
      <c r="AT245" s="1035">
        <f t="shared" si="243"/>
        <v>0</v>
      </c>
      <c r="AU245" s="1038">
        <v>0</v>
      </c>
      <c r="AV245" s="1018"/>
      <c r="AW245" s="1021">
        <f t="shared" si="221"/>
        <v>0</v>
      </c>
      <c r="AX245" s="1034">
        <f t="shared" si="222"/>
        <v>1</v>
      </c>
      <c r="AY245" s="1035">
        <f t="shared" si="244"/>
        <v>0</v>
      </c>
      <c r="AZ245" s="1036">
        <v>0</v>
      </c>
      <c r="BA245" s="1036"/>
      <c r="BB245" s="1021">
        <f t="shared" si="223"/>
        <v>0</v>
      </c>
      <c r="BC245" s="1034">
        <f t="shared" si="224"/>
        <v>1</v>
      </c>
      <c r="BD245" s="1035">
        <f t="shared" si="245"/>
        <v>0</v>
      </c>
      <c r="BE245" s="1038">
        <v>0</v>
      </c>
      <c r="BF245" s="1018"/>
      <c r="BG245" s="1021">
        <f t="shared" si="225"/>
        <v>0</v>
      </c>
      <c r="BH245" s="1039">
        <f t="shared" si="226"/>
        <v>57376.103896103901</v>
      </c>
      <c r="BI245" s="1038">
        <f t="shared" si="227"/>
        <v>0</v>
      </c>
      <c r="BJ245" s="1027">
        <f t="shared" si="228"/>
        <v>112</v>
      </c>
      <c r="BK245" s="1021">
        <f t="shared" si="229"/>
        <v>0</v>
      </c>
      <c r="BL245" s="1040">
        <f t="shared" si="230"/>
        <v>0</v>
      </c>
      <c r="BM245" s="1038">
        <f t="shared" si="231"/>
        <v>0</v>
      </c>
      <c r="BN245" s="1027"/>
      <c r="BO245" s="1041"/>
      <c r="BP245" s="95">
        <f t="shared" ref="BP245:BP308" si="247">SUM(BH245,BL245)</f>
        <v>57376.103896103901</v>
      </c>
      <c r="BQ245" s="842">
        <f t="shared" ref="BQ245:BQ308" si="248">BI245+BM245</f>
        <v>0</v>
      </c>
      <c r="BR245" s="793"/>
      <c r="BS245" s="94">
        <f t="shared" si="232"/>
        <v>0.55000000000000004</v>
      </c>
      <c r="BU245" s="632">
        <f t="shared" si="233"/>
        <v>25819.246753246753</v>
      </c>
      <c r="BV245" s="793"/>
      <c r="BW245" s="737" t="s">
        <v>453</v>
      </c>
      <c r="BX245" s="793"/>
      <c r="CD245" s="693"/>
    </row>
    <row r="246" spans="1:87" ht="14.25" thickTop="1" thickBot="1">
      <c r="A246" s="57"/>
      <c r="B246" s="92">
        <v>6</v>
      </c>
      <c r="C246" s="1029" t="s">
        <v>570</v>
      </c>
      <c r="D246" s="1031" t="s">
        <v>688</v>
      </c>
      <c r="E246" s="1030"/>
      <c r="F246" s="1031"/>
      <c r="G246" s="1029"/>
      <c r="H246" s="1032">
        <f t="shared" si="234"/>
        <v>1</v>
      </c>
      <c r="I246" s="1033"/>
      <c r="J246" s="1034">
        <f t="shared" si="235"/>
        <v>4.62</v>
      </c>
      <c r="K246" s="1016">
        <f t="shared" si="236"/>
        <v>59389.610389610389</v>
      </c>
      <c r="L246" s="1017"/>
      <c r="M246" s="1059">
        <f t="shared" si="237"/>
        <v>127</v>
      </c>
      <c r="N246" s="1037">
        <f t="shared" ref="N246" si="249">L246/($J$13*(100%-I246))</f>
        <v>0</v>
      </c>
      <c r="O246" s="1034">
        <f t="shared" si="207"/>
        <v>1</v>
      </c>
      <c r="P246" s="1035">
        <f t="shared" si="208"/>
        <v>0</v>
      </c>
      <c r="Q246" s="1036"/>
      <c r="R246" s="1018"/>
      <c r="S246" s="1020">
        <f t="shared" si="209"/>
        <v>0</v>
      </c>
      <c r="T246" s="1034">
        <f t="shared" si="210"/>
        <v>1</v>
      </c>
      <c r="U246" s="1035">
        <f t="shared" si="238"/>
        <v>0</v>
      </c>
      <c r="V246" s="1036">
        <v>0</v>
      </c>
      <c r="W246" s="1018"/>
      <c r="X246" s="1037">
        <f t="shared" ref="X246:X298" si="250">V246/($T$13*(100%-I246))</f>
        <v>0</v>
      </c>
      <c r="Y246" s="1034">
        <f t="shared" si="212"/>
        <v>1</v>
      </c>
      <c r="Z246" s="1035">
        <f t="shared" si="239"/>
        <v>0</v>
      </c>
      <c r="AA246" s="1036">
        <v>0</v>
      </c>
      <c r="AB246" s="1018"/>
      <c r="AC246" s="1021">
        <f t="shared" si="213"/>
        <v>0</v>
      </c>
      <c r="AD246" s="1034">
        <f t="shared" si="214"/>
        <v>1</v>
      </c>
      <c r="AE246" s="1035">
        <f t="shared" si="240"/>
        <v>0</v>
      </c>
      <c r="AF246" s="1036">
        <v>0</v>
      </c>
      <c r="AG246" s="1018"/>
      <c r="AH246" s="1037">
        <f t="shared" si="215"/>
        <v>0</v>
      </c>
      <c r="AI246" s="1034">
        <f t="shared" si="216"/>
        <v>1</v>
      </c>
      <c r="AJ246" s="1035">
        <f t="shared" si="241"/>
        <v>0</v>
      </c>
      <c r="AK246" s="1036">
        <v>0</v>
      </c>
      <c r="AL246" s="1018"/>
      <c r="AM246" s="1021">
        <f t="shared" si="217"/>
        <v>0</v>
      </c>
      <c r="AN246" s="1034">
        <f t="shared" si="218"/>
        <v>1</v>
      </c>
      <c r="AO246" s="1035">
        <f t="shared" si="242"/>
        <v>0</v>
      </c>
      <c r="AP246" s="1036">
        <v>0</v>
      </c>
      <c r="AQ246" s="1018"/>
      <c r="AR246" s="1037">
        <f t="shared" si="219"/>
        <v>0</v>
      </c>
      <c r="AS246" s="1034">
        <f t="shared" si="220"/>
        <v>1</v>
      </c>
      <c r="AT246" s="1035">
        <f t="shared" si="243"/>
        <v>0</v>
      </c>
      <c r="AU246" s="1036">
        <v>0</v>
      </c>
      <c r="AV246" s="1018"/>
      <c r="AW246" s="1021">
        <f t="shared" si="221"/>
        <v>0</v>
      </c>
      <c r="AX246" s="1034">
        <f t="shared" si="222"/>
        <v>1</v>
      </c>
      <c r="AY246" s="1035">
        <f t="shared" si="244"/>
        <v>0</v>
      </c>
      <c r="AZ246" s="1036">
        <v>0</v>
      </c>
      <c r="BA246" s="1036"/>
      <c r="BB246" s="1021">
        <f t="shared" si="223"/>
        <v>0</v>
      </c>
      <c r="BC246" s="1034">
        <f t="shared" si="224"/>
        <v>1</v>
      </c>
      <c r="BD246" s="1035">
        <f t="shared" si="245"/>
        <v>0</v>
      </c>
      <c r="BE246" s="1038">
        <v>0</v>
      </c>
      <c r="BF246" s="1018"/>
      <c r="BG246" s="1021">
        <f t="shared" si="225"/>
        <v>0</v>
      </c>
      <c r="BH246" s="1039">
        <f t="shared" si="226"/>
        <v>59389.610389610389</v>
      </c>
      <c r="BI246" s="1038">
        <f t="shared" si="227"/>
        <v>0</v>
      </c>
      <c r="BJ246" s="1027">
        <f t="shared" si="228"/>
        <v>127</v>
      </c>
      <c r="BK246" s="1021">
        <f t="shared" si="229"/>
        <v>0</v>
      </c>
      <c r="BL246" s="1040">
        <f t="shared" si="230"/>
        <v>0</v>
      </c>
      <c r="BM246" s="1038">
        <f t="shared" si="231"/>
        <v>0</v>
      </c>
      <c r="BN246" s="1027"/>
      <c r="BO246" s="1041"/>
      <c r="BP246" s="95">
        <f t="shared" si="247"/>
        <v>59389.610389610389</v>
      </c>
      <c r="BQ246" s="842">
        <f t="shared" si="248"/>
        <v>0</v>
      </c>
      <c r="BS246" s="94">
        <f t="shared" si="232"/>
        <v>0</v>
      </c>
      <c r="BU246" s="632">
        <f t="shared" si="233"/>
        <v>59389.610389610389</v>
      </c>
      <c r="BV246" s="398"/>
      <c r="BW246" s="405" t="s">
        <v>450</v>
      </c>
      <c r="CI246" s="96"/>
    </row>
    <row r="247" spans="1:87" ht="14.25" outlineLevel="1" thickTop="1" thickBot="1">
      <c r="A247" s="57"/>
      <c r="B247" s="92">
        <v>7</v>
      </c>
      <c r="C247" s="1029" t="s">
        <v>570</v>
      </c>
      <c r="D247" s="1013" t="s">
        <v>707</v>
      </c>
      <c r="E247" s="1014" t="s">
        <v>710</v>
      </c>
      <c r="F247" s="1031"/>
      <c r="G247" s="1029"/>
      <c r="H247" s="1032">
        <f t="shared" si="234"/>
        <v>1</v>
      </c>
      <c r="I247" s="1033"/>
      <c r="J247" s="1034">
        <f t="shared" si="235"/>
        <v>4.62</v>
      </c>
      <c r="K247" s="1016">
        <f t="shared" si="236"/>
        <v>98982.683982683971</v>
      </c>
      <c r="L247" s="1017"/>
      <c r="M247" s="1059">
        <f t="shared" si="237"/>
        <v>212</v>
      </c>
      <c r="N247" s="1037">
        <v>0</v>
      </c>
      <c r="O247" s="1034">
        <f t="shared" si="207"/>
        <v>1</v>
      </c>
      <c r="P247" s="1035">
        <f t="shared" si="208"/>
        <v>0</v>
      </c>
      <c r="Q247" s="1036"/>
      <c r="R247" s="1018"/>
      <c r="S247" s="1020">
        <f t="shared" si="209"/>
        <v>0</v>
      </c>
      <c r="T247" s="1034">
        <f t="shared" si="210"/>
        <v>1</v>
      </c>
      <c r="U247" s="1035">
        <f t="shared" si="238"/>
        <v>0</v>
      </c>
      <c r="V247" s="1036">
        <v>0</v>
      </c>
      <c r="W247" s="1018"/>
      <c r="X247" s="1037">
        <f t="shared" si="250"/>
        <v>0</v>
      </c>
      <c r="Y247" s="1034">
        <f t="shared" si="212"/>
        <v>1</v>
      </c>
      <c r="Z247" s="1035">
        <f t="shared" si="239"/>
        <v>0</v>
      </c>
      <c r="AA247" s="1036">
        <v>0</v>
      </c>
      <c r="AB247" s="1018"/>
      <c r="AC247" s="1021">
        <f t="shared" si="213"/>
        <v>0</v>
      </c>
      <c r="AD247" s="1034">
        <f t="shared" si="214"/>
        <v>1</v>
      </c>
      <c r="AE247" s="1035">
        <f t="shared" si="240"/>
        <v>0</v>
      </c>
      <c r="AF247" s="1036">
        <v>0</v>
      </c>
      <c r="AG247" s="1018"/>
      <c r="AH247" s="1037">
        <f t="shared" si="215"/>
        <v>0</v>
      </c>
      <c r="AI247" s="1034">
        <f t="shared" si="216"/>
        <v>1</v>
      </c>
      <c r="AJ247" s="1035">
        <f t="shared" si="241"/>
        <v>0</v>
      </c>
      <c r="AK247" s="1036">
        <v>0</v>
      </c>
      <c r="AL247" s="1018"/>
      <c r="AM247" s="1021">
        <f t="shared" si="217"/>
        <v>0</v>
      </c>
      <c r="AN247" s="1034">
        <f t="shared" si="218"/>
        <v>1</v>
      </c>
      <c r="AO247" s="1035">
        <f t="shared" si="242"/>
        <v>0</v>
      </c>
      <c r="AP247" s="1036">
        <v>0</v>
      </c>
      <c r="AQ247" s="1018"/>
      <c r="AR247" s="1037">
        <f t="shared" si="219"/>
        <v>0</v>
      </c>
      <c r="AS247" s="1034">
        <f t="shared" si="220"/>
        <v>1</v>
      </c>
      <c r="AT247" s="1035">
        <f t="shared" si="243"/>
        <v>0</v>
      </c>
      <c r="AU247" s="1038">
        <v>0</v>
      </c>
      <c r="AV247" s="1018"/>
      <c r="AW247" s="1021">
        <f t="shared" si="221"/>
        <v>0</v>
      </c>
      <c r="AX247" s="1034">
        <f t="shared" si="222"/>
        <v>1</v>
      </c>
      <c r="AY247" s="1035">
        <f t="shared" si="244"/>
        <v>0</v>
      </c>
      <c r="AZ247" s="1036">
        <v>0</v>
      </c>
      <c r="BA247" s="1036"/>
      <c r="BB247" s="1021">
        <f t="shared" si="223"/>
        <v>0</v>
      </c>
      <c r="BC247" s="1034">
        <f t="shared" si="224"/>
        <v>1</v>
      </c>
      <c r="BD247" s="1035">
        <f t="shared" si="245"/>
        <v>0</v>
      </c>
      <c r="BE247" s="1038">
        <v>0</v>
      </c>
      <c r="BF247" s="1018"/>
      <c r="BG247" s="1021">
        <f t="shared" si="225"/>
        <v>0</v>
      </c>
      <c r="BH247" s="1039">
        <f t="shared" si="226"/>
        <v>98982.683982683971</v>
      </c>
      <c r="BI247" s="1038">
        <f t="shared" si="227"/>
        <v>0</v>
      </c>
      <c r="BJ247" s="1027">
        <f t="shared" si="228"/>
        <v>212</v>
      </c>
      <c r="BK247" s="1021">
        <f t="shared" si="229"/>
        <v>0</v>
      </c>
      <c r="BL247" s="1040">
        <f t="shared" si="230"/>
        <v>0</v>
      </c>
      <c r="BM247" s="1038">
        <f t="shared" si="231"/>
        <v>0</v>
      </c>
      <c r="BN247" s="1027"/>
      <c r="BO247" s="1041"/>
      <c r="BP247" s="95">
        <f t="shared" si="247"/>
        <v>98982.683982683971</v>
      </c>
      <c r="BQ247" s="842">
        <f t="shared" si="248"/>
        <v>0</v>
      </c>
      <c r="BS247" s="94">
        <f t="shared" si="232"/>
        <v>0</v>
      </c>
      <c r="BU247" s="632">
        <f t="shared" si="233"/>
        <v>98982.683982683971</v>
      </c>
      <c r="BV247" s="398"/>
      <c r="BW247" s="405" t="s">
        <v>450</v>
      </c>
      <c r="CI247" s="96"/>
    </row>
    <row r="248" spans="1:87" ht="14.25" outlineLevel="1" thickTop="1" thickBot="1">
      <c r="A248" s="57"/>
      <c r="B248" s="92">
        <v>8</v>
      </c>
      <c r="C248" s="1029"/>
      <c r="D248" s="1031"/>
      <c r="E248" s="1014"/>
      <c r="F248" s="1031"/>
      <c r="G248" s="1029"/>
      <c r="H248" s="1032">
        <f t="shared" si="234"/>
        <v>1</v>
      </c>
      <c r="I248" s="1033"/>
      <c r="J248" s="1034">
        <f t="shared" si="235"/>
        <v>4.62</v>
      </c>
      <c r="K248" s="1016">
        <f t="shared" si="236"/>
        <v>98982.683982683986</v>
      </c>
      <c r="L248" s="1017"/>
      <c r="M248" s="1059">
        <f t="shared" si="237"/>
        <v>214</v>
      </c>
      <c r="N248" s="1037">
        <f t="shared" ref="N248:N250" si="251">L248/($J$13*(100%-I248))</f>
        <v>0</v>
      </c>
      <c r="O248" s="1034">
        <f t="shared" si="207"/>
        <v>1</v>
      </c>
      <c r="P248" s="1035">
        <f t="shared" si="208"/>
        <v>0</v>
      </c>
      <c r="Q248" s="1036"/>
      <c r="R248" s="1018"/>
      <c r="S248" s="1020">
        <f t="shared" si="209"/>
        <v>0</v>
      </c>
      <c r="T248" s="1034">
        <f t="shared" si="210"/>
        <v>1</v>
      </c>
      <c r="U248" s="1035">
        <f t="shared" si="238"/>
        <v>0</v>
      </c>
      <c r="V248" s="1036">
        <v>0</v>
      </c>
      <c r="W248" s="1018"/>
      <c r="X248" s="1037">
        <f t="shared" si="250"/>
        <v>0</v>
      </c>
      <c r="Y248" s="1034">
        <f t="shared" si="212"/>
        <v>1</v>
      </c>
      <c r="Z248" s="1035">
        <f t="shared" si="239"/>
        <v>0</v>
      </c>
      <c r="AA248" s="1036">
        <v>0</v>
      </c>
      <c r="AB248" s="1018"/>
      <c r="AC248" s="1021">
        <f t="shared" si="213"/>
        <v>0</v>
      </c>
      <c r="AD248" s="1034">
        <f t="shared" si="214"/>
        <v>1</v>
      </c>
      <c r="AE248" s="1035">
        <f t="shared" si="240"/>
        <v>0</v>
      </c>
      <c r="AF248" s="1036">
        <v>0</v>
      </c>
      <c r="AG248" s="1018"/>
      <c r="AH248" s="1037">
        <f t="shared" si="215"/>
        <v>0</v>
      </c>
      <c r="AI248" s="1034">
        <f t="shared" si="216"/>
        <v>1</v>
      </c>
      <c r="AJ248" s="1035">
        <f t="shared" si="241"/>
        <v>0</v>
      </c>
      <c r="AK248" s="1036">
        <v>0</v>
      </c>
      <c r="AL248" s="1018"/>
      <c r="AM248" s="1021">
        <f t="shared" si="217"/>
        <v>0</v>
      </c>
      <c r="AN248" s="1034">
        <f t="shared" si="218"/>
        <v>1</v>
      </c>
      <c r="AO248" s="1035">
        <f t="shared" si="242"/>
        <v>0</v>
      </c>
      <c r="AP248" s="1036">
        <v>0</v>
      </c>
      <c r="AQ248" s="1018"/>
      <c r="AR248" s="1037">
        <f t="shared" si="219"/>
        <v>0</v>
      </c>
      <c r="AS248" s="1034">
        <f t="shared" si="220"/>
        <v>1</v>
      </c>
      <c r="AT248" s="1035">
        <f t="shared" si="243"/>
        <v>0</v>
      </c>
      <c r="AU248" s="1036">
        <v>0</v>
      </c>
      <c r="AV248" s="1018"/>
      <c r="AW248" s="1021">
        <f t="shared" si="221"/>
        <v>0</v>
      </c>
      <c r="AX248" s="1034">
        <f t="shared" si="222"/>
        <v>1</v>
      </c>
      <c r="AY248" s="1035">
        <f t="shared" si="244"/>
        <v>0</v>
      </c>
      <c r="AZ248" s="1036">
        <v>0</v>
      </c>
      <c r="BA248" s="1036"/>
      <c r="BB248" s="1021">
        <f t="shared" si="223"/>
        <v>0</v>
      </c>
      <c r="BC248" s="1034">
        <f t="shared" si="224"/>
        <v>1</v>
      </c>
      <c r="BD248" s="1035">
        <f t="shared" si="245"/>
        <v>0</v>
      </c>
      <c r="BE248" s="1038">
        <v>0</v>
      </c>
      <c r="BF248" s="1018"/>
      <c r="BG248" s="1021">
        <f t="shared" si="225"/>
        <v>0</v>
      </c>
      <c r="BH248" s="1039">
        <f t="shared" si="226"/>
        <v>98982.683982683986</v>
      </c>
      <c r="BI248" s="1038">
        <f t="shared" si="227"/>
        <v>0</v>
      </c>
      <c r="BJ248" s="1027">
        <f t="shared" si="228"/>
        <v>214</v>
      </c>
      <c r="BK248" s="1021">
        <f t="shared" si="229"/>
        <v>0</v>
      </c>
      <c r="BL248" s="1040">
        <f t="shared" si="230"/>
        <v>0</v>
      </c>
      <c r="BM248" s="1038">
        <f t="shared" si="231"/>
        <v>0</v>
      </c>
      <c r="BN248" s="1027"/>
      <c r="BO248" s="1041"/>
      <c r="BP248" s="95">
        <f t="shared" si="247"/>
        <v>98982.683982683986</v>
      </c>
      <c r="BQ248" s="842">
        <f t="shared" si="248"/>
        <v>0</v>
      </c>
      <c r="BS248" s="94">
        <f t="shared" si="232"/>
        <v>0</v>
      </c>
      <c r="BU248" s="632">
        <f t="shared" si="233"/>
        <v>98982.683982683986</v>
      </c>
      <c r="BV248" s="398"/>
      <c r="BW248" s="405" t="s">
        <v>453</v>
      </c>
      <c r="CI248" s="96"/>
    </row>
    <row r="249" spans="1:87" s="795" customFormat="1" ht="14.25" hidden="1" outlineLevel="1" thickTop="1" thickBot="1">
      <c r="A249" s="794"/>
      <c r="B249" s="92">
        <v>9</v>
      </c>
      <c r="C249" s="1029"/>
      <c r="D249" s="1031"/>
      <c r="E249" s="1031"/>
      <c r="F249" s="1031"/>
      <c r="G249" s="1029"/>
      <c r="H249" s="1032">
        <f t="shared" si="234"/>
        <v>1</v>
      </c>
      <c r="I249" s="1033"/>
      <c r="J249" s="1034">
        <f t="shared" si="235"/>
        <v>4.620000000000001</v>
      </c>
      <c r="K249" s="1016">
        <f t="shared" si="236"/>
        <v>158372.29437229436</v>
      </c>
      <c r="L249" s="1017"/>
      <c r="M249" s="1059">
        <f t="shared" si="237"/>
        <v>340</v>
      </c>
      <c r="N249" s="1037">
        <f t="shared" si="251"/>
        <v>0</v>
      </c>
      <c r="O249" s="1034">
        <f t="shared" si="207"/>
        <v>1</v>
      </c>
      <c r="P249" s="1035">
        <f>Q249*$D$8</f>
        <v>0</v>
      </c>
      <c r="Q249" s="1036"/>
      <c r="R249" s="1018"/>
      <c r="S249" s="1020">
        <f t="shared" si="209"/>
        <v>0</v>
      </c>
      <c r="T249" s="1034">
        <f t="shared" si="210"/>
        <v>1</v>
      </c>
      <c r="U249" s="1035">
        <f t="shared" si="238"/>
        <v>0</v>
      </c>
      <c r="V249" s="1036">
        <v>0</v>
      </c>
      <c r="W249" s="1018"/>
      <c r="X249" s="1037">
        <f t="shared" si="250"/>
        <v>0</v>
      </c>
      <c r="Y249" s="1034">
        <f t="shared" si="212"/>
        <v>1</v>
      </c>
      <c r="Z249" s="1035">
        <f t="shared" si="239"/>
        <v>0</v>
      </c>
      <c r="AA249" s="1036">
        <v>0</v>
      </c>
      <c r="AB249" s="1018"/>
      <c r="AC249" s="1021">
        <f t="shared" si="213"/>
        <v>0</v>
      </c>
      <c r="AD249" s="1034">
        <f t="shared" si="214"/>
        <v>1</v>
      </c>
      <c r="AE249" s="1035">
        <f t="shared" si="240"/>
        <v>0</v>
      </c>
      <c r="AF249" s="1036">
        <v>0</v>
      </c>
      <c r="AG249" s="1018"/>
      <c r="AH249" s="1037">
        <f t="shared" si="215"/>
        <v>0</v>
      </c>
      <c r="AI249" s="1034">
        <f t="shared" si="216"/>
        <v>1</v>
      </c>
      <c r="AJ249" s="1035">
        <f t="shared" si="241"/>
        <v>0</v>
      </c>
      <c r="AK249" s="1036">
        <v>0</v>
      </c>
      <c r="AL249" s="1018"/>
      <c r="AM249" s="1021">
        <f t="shared" si="217"/>
        <v>0</v>
      </c>
      <c r="AN249" s="1034">
        <f t="shared" si="218"/>
        <v>1</v>
      </c>
      <c r="AO249" s="1035">
        <f t="shared" si="242"/>
        <v>0</v>
      </c>
      <c r="AP249" s="1036">
        <v>0</v>
      </c>
      <c r="AQ249" s="1018"/>
      <c r="AR249" s="1037">
        <f t="shared" si="219"/>
        <v>0</v>
      </c>
      <c r="AS249" s="1034">
        <f t="shared" si="220"/>
        <v>1</v>
      </c>
      <c r="AT249" s="1035">
        <f t="shared" si="243"/>
        <v>0</v>
      </c>
      <c r="AU249" s="1038">
        <v>0</v>
      </c>
      <c r="AV249" s="1018"/>
      <c r="AW249" s="1021">
        <f t="shared" si="221"/>
        <v>0</v>
      </c>
      <c r="AX249" s="1034">
        <f t="shared" si="222"/>
        <v>1</v>
      </c>
      <c r="AY249" s="1035">
        <f t="shared" si="244"/>
        <v>0</v>
      </c>
      <c r="AZ249" s="1036">
        <v>0</v>
      </c>
      <c r="BA249" s="1036"/>
      <c r="BB249" s="1021">
        <f t="shared" si="223"/>
        <v>0</v>
      </c>
      <c r="BC249" s="1034">
        <f t="shared" si="224"/>
        <v>1</v>
      </c>
      <c r="BD249" s="1035">
        <f t="shared" si="245"/>
        <v>0</v>
      </c>
      <c r="BE249" s="1038">
        <v>0</v>
      </c>
      <c r="BF249" s="1018"/>
      <c r="BG249" s="1021">
        <f t="shared" si="225"/>
        <v>0</v>
      </c>
      <c r="BH249" s="1039">
        <f t="shared" si="226"/>
        <v>158372.29437229436</v>
      </c>
      <c r="BI249" s="1038">
        <f t="shared" si="227"/>
        <v>0</v>
      </c>
      <c r="BJ249" s="1027">
        <f t="shared" si="228"/>
        <v>340</v>
      </c>
      <c r="BK249" s="1021">
        <f t="shared" si="229"/>
        <v>0</v>
      </c>
      <c r="BL249" s="1040">
        <f t="shared" si="230"/>
        <v>0</v>
      </c>
      <c r="BM249" s="1038">
        <f t="shared" si="231"/>
        <v>0</v>
      </c>
      <c r="BN249" s="1027"/>
      <c r="BO249" s="1041"/>
      <c r="BP249" s="95">
        <f t="shared" si="247"/>
        <v>158372.29437229436</v>
      </c>
      <c r="BQ249" s="842">
        <f t="shared" si="248"/>
        <v>0</v>
      </c>
      <c r="BR249" s="323"/>
      <c r="BS249" s="94">
        <f t="shared" si="232"/>
        <v>0</v>
      </c>
      <c r="BU249" s="632">
        <f t="shared" si="233"/>
        <v>158372.29437229436</v>
      </c>
      <c r="BV249" s="398"/>
      <c r="BW249" s="737"/>
      <c r="BX249" s="323"/>
      <c r="CD249" s="398"/>
      <c r="CI249" s="796"/>
    </row>
    <row r="250" spans="1:87" ht="14.25" hidden="1" outlineLevel="1" thickTop="1" thickBot="1">
      <c r="A250" s="57"/>
      <c r="B250" s="92">
        <v>10</v>
      </c>
      <c r="C250" s="1029"/>
      <c r="D250" s="1031"/>
      <c r="E250" s="1031"/>
      <c r="F250" s="1031"/>
      <c r="G250" s="1029"/>
      <c r="H250" s="1032">
        <f t="shared" si="234"/>
        <v>1</v>
      </c>
      <c r="I250" s="1033"/>
      <c r="J250" s="1034">
        <f t="shared" si="235"/>
        <v>1</v>
      </c>
      <c r="K250" s="1016">
        <f t="shared" si="236"/>
        <v>0</v>
      </c>
      <c r="L250" s="1017"/>
      <c r="M250" s="1059">
        <f t="shared" si="237"/>
        <v>0</v>
      </c>
      <c r="N250" s="1037">
        <f t="shared" si="251"/>
        <v>0</v>
      </c>
      <c r="O250" s="1034">
        <f t="shared" si="207"/>
        <v>1</v>
      </c>
      <c r="P250" s="1035">
        <f t="shared" ref="P250:P298" si="252">Q250*$D$8</f>
        <v>0</v>
      </c>
      <c r="Q250" s="1036"/>
      <c r="R250" s="1018"/>
      <c r="S250" s="1020">
        <f t="shared" si="209"/>
        <v>0</v>
      </c>
      <c r="T250" s="1034">
        <f t="shared" si="210"/>
        <v>1</v>
      </c>
      <c r="U250" s="1035">
        <f t="shared" si="238"/>
        <v>0</v>
      </c>
      <c r="V250" s="1036">
        <v>0</v>
      </c>
      <c r="W250" s="1018"/>
      <c r="X250" s="1037">
        <f t="shared" si="250"/>
        <v>0</v>
      </c>
      <c r="Y250" s="1034">
        <f t="shared" si="212"/>
        <v>1</v>
      </c>
      <c r="Z250" s="1035">
        <f t="shared" si="239"/>
        <v>0</v>
      </c>
      <c r="AA250" s="1036">
        <v>0</v>
      </c>
      <c r="AB250" s="1018"/>
      <c r="AC250" s="1021">
        <f t="shared" si="213"/>
        <v>0</v>
      </c>
      <c r="AD250" s="1034">
        <f t="shared" si="214"/>
        <v>1</v>
      </c>
      <c r="AE250" s="1035">
        <f t="shared" si="240"/>
        <v>0</v>
      </c>
      <c r="AF250" s="1036">
        <v>0</v>
      </c>
      <c r="AG250" s="1018"/>
      <c r="AH250" s="1037">
        <f t="shared" si="215"/>
        <v>0</v>
      </c>
      <c r="AI250" s="1034">
        <f t="shared" si="216"/>
        <v>1</v>
      </c>
      <c r="AJ250" s="1035">
        <f t="shared" si="241"/>
        <v>0</v>
      </c>
      <c r="AK250" s="1036">
        <v>0</v>
      </c>
      <c r="AL250" s="1018"/>
      <c r="AM250" s="1021">
        <f t="shared" si="217"/>
        <v>0</v>
      </c>
      <c r="AN250" s="1034">
        <f t="shared" si="218"/>
        <v>1</v>
      </c>
      <c r="AO250" s="1035">
        <f t="shared" si="242"/>
        <v>0</v>
      </c>
      <c r="AP250" s="1036">
        <v>0</v>
      </c>
      <c r="AQ250" s="1018"/>
      <c r="AR250" s="1037">
        <f t="shared" si="219"/>
        <v>0</v>
      </c>
      <c r="AS250" s="1034">
        <f t="shared" si="220"/>
        <v>1</v>
      </c>
      <c r="AT250" s="1035">
        <f t="shared" si="243"/>
        <v>0</v>
      </c>
      <c r="AU250" s="1036">
        <v>0</v>
      </c>
      <c r="AV250" s="1018"/>
      <c r="AW250" s="1021">
        <f t="shared" si="221"/>
        <v>0</v>
      </c>
      <c r="AX250" s="1034">
        <f t="shared" si="222"/>
        <v>1</v>
      </c>
      <c r="AY250" s="1035">
        <f t="shared" si="244"/>
        <v>0</v>
      </c>
      <c r="AZ250" s="1036">
        <v>0</v>
      </c>
      <c r="BA250" s="1036"/>
      <c r="BB250" s="1021">
        <f t="shared" si="223"/>
        <v>0</v>
      </c>
      <c r="BC250" s="1034">
        <f t="shared" si="224"/>
        <v>1</v>
      </c>
      <c r="BD250" s="1035">
        <f t="shared" si="245"/>
        <v>0</v>
      </c>
      <c r="BE250" s="1038">
        <v>0</v>
      </c>
      <c r="BF250" s="1018"/>
      <c r="BG250" s="1021">
        <f t="shared" si="225"/>
        <v>0</v>
      </c>
      <c r="BH250" s="1039">
        <f t="shared" si="226"/>
        <v>0</v>
      </c>
      <c r="BI250" s="1038">
        <f t="shared" si="227"/>
        <v>0</v>
      </c>
      <c r="BJ250" s="1027">
        <f t="shared" si="228"/>
        <v>0</v>
      </c>
      <c r="BK250" s="1021">
        <f t="shared" si="229"/>
        <v>0</v>
      </c>
      <c r="BL250" s="1040">
        <f t="shared" si="230"/>
        <v>0</v>
      </c>
      <c r="BM250" s="1038">
        <f t="shared" si="231"/>
        <v>0</v>
      </c>
      <c r="BN250" s="1027"/>
      <c r="BO250" s="1041"/>
      <c r="BP250" s="95">
        <f t="shared" si="247"/>
        <v>0</v>
      </c>
      <c r="BQ250" s="842">
        <f t="shared" si="248"/>
        <v>0</v>
      </c>
      <c r="BS250" s="94">
        <f t="shared" si="232"/>
        <v>0</v>
      </c>
      <c r="BU250" s="632">
        <f t="shared" si="233"/>
        <v>0</v>
      </c>
      <c r="BV250" s="398"/>
      <c r="BW250" s="405"/>
      <c r="CI250" s="96"/>
    </row>
    <row r="251" spans="1:87" s="795" customFormat="1" ht="14.25" hidden="1" outlineLevel="1" thickTop="1" thickBot="1">
      <c r="A251" s="794"/>
      <c r="B251" s="92">
        <v>11</v>
      </c>
      <c r="C251" s="1029"/>
      <c r="D251" s="1031"/>
      <c r="E251" s="1030"/>
      <c r="F251" s="1031"/>
      <c r="G251" s="1029"/>
      <c r="H251" s="1032">
        <f t="shared" si="234"/>
        <v>1</v>
      </c>
      <c r="I251" s="1033"/>
      <c r="J251" s="1034">
        <f t="shared" si="235"/>
        <v>1</v>
      </c>
      <c r="K251" s="1016">
        <f t="shared" si="236"/>
        <v>0</v>
      </c>
      <c r="L251" s="1017"/>
      <c r="M251" s="1059">
        <f t="shared" si="237"/>
        <v>0</v>
      </c>
      <c r="N251" s="1037">
        <v>0</v>
      </c>
      <c r="O251" s="1034">
        <f t="shared" si="207"/>
        <v>1</v>
      </c>
      <c r="P251" s="1035">
        <f t="shared" si="252"/>
        <v>0</v>
      </c>
      <c r="Q251" s="1036"/>
      <c r="R251" s="1018"/>
      <c r="S251" s="1020">
        <v>0</v>
      </c>
      <c r="T251" s="1034">
        <f t="shared" si="210"/>
        <v>1</v>
      </c>
      <c r="U251" s="1035">
        <f t="shared" si="238"/>
        <v>0</v>
      </c>
      <c r="V251" s="1036">
        <v>0</v>
      </c>
      <c r="W251" s="1018"/>
      <c r="X251" s="1037">
        <f t="shared" si="250"/>
        <v>0</v>
      </c>
      <c r="Y251" s="1034">
        <f t="shared" si="212"/>
        <v>1</v>
      </c>
      <c r="Z251" s="1035">
        <f t="shared" si="239"/>
        <v>0</v>
      </c>
      <c r="AA251" s="1036">
        <v>0</v>
      </c>
      <c r="AB251" s="1018"/>
      <c r="AC251" s="1021">
        <f t="shared" si="213"/>
        <v>0</v>
      </c>
      <c r="AD251" s="1034">
        <f t="shared" si="214"/>
        <v>1</v>
      </c>
      <c r="AE251" s="1035">
        <f t="shared" si="240"/>
        <v>0</v>
      </c>
      <c r="AF251" s="1036">
        <v>0</v>
      </c>
      <c r="AG251" s="1018"/>
      <c r="AH251" s="1037">
        <f t="shared" si="215"/>
        <v>0</v>
      </c>
      <c r="AI251" s="1034">
        <f t="shared" si="216"/>
        <v>1</v>
      </c>
      <c r="AJ251" s="1035">
        <f t="shared" si="241"/>
        <v>0</v>
      </c>
      <c r="AK251" s="1036">
        <v>0</v>
      </c>
      <c r="AL251" s="1018"/>
      <c r="AM251" s="1021">
        <f t="shared" si="217"/>
        <v>0</v>
      </c>
      <c r="AN251" s="1034">
        <f t="shared" si="218"/>
        <v>1</v>
      </c>
      <c r="AO251" s="1035">
        <f t="shared" si="242"/>
        <v>0</v>
      </c>
      <c r="AP251" s="1036">
        <v>0</v>
      </c>
      <c r="AQ251" s="1018"/>
      <c r="AR251" s="1037">
        <f t="shared" si="219"/>
        <v>0</v>
      </c>
      <c r="AS251" s="1034">
        <f t="shared" si="220"/>
        <v>1</v>
      </c>
      <c r="AT251" s="1035">
        <f t="shared" si="243"/>
        <v>0</v>
      </c>
      <c r="AU251" s="1038">
        <v>0</v>
      </c>
      <c r="AV251" s="1018"/>
      <c r="AW251" s="1021">
        <f t="shared" si="221"/>
        <v>0</v>
      </c>
      <c r="AX251" s="1034">
        <f t="shared" si="222"/>
        <v>1</v>
      </c>
      <c r="AY251" s="1035">
        <f t="shared" si="244"/>
        <v>0</v>
      </c>
      <c r="AZ251" s="1036">
        <v>0</v>
      </c>
      <c r="BA251" s="1036"/>
      <c r="BB251" s="1021">
        <f t="shared" si="223"/>
        <v>0</v>
      </c>
      <c r="BC251" s="1034">
        <f t="shared" si="224"/>
        <v>1</v>
      </c>
      <c r="BD251" s="1035">
        <f t="shared" si="245"/>
        <v>0</v>
      </c>
      <c r="BE251" s="1038">
        <v>0</v>
      </c>
      <c r="BF251" s="1018"/>
      <c r="BG251" s="1021">
        <f t="shared" si="225"/>
        <v>0</v>
      </c>
      <c r="BH251" s="1039">
        <f t="shared" si="226"/>
        <v>0</v>
      </c>
      <c r="BI251" s="1038">
        <f t="shared" si="227"/>
        <v>0</v>
      </c>
      <c r="BJ251" s="1027">
        <f t="shared" si="228"/>
        <v>0</v>
      </c>
      <c r="BK251" s="1021">
        <f t="shared" si="229"/>
        <v>0</v>
      </c>
      <c r="BL251" s="1040">
        <f t="shared" si="230"/>
        <v>0</v>
      </c>
      <c r="BM251" s="1038">
        <f t="shared" si="231"/>
        <v>0</v>
      </c>
      <c r="BN251" s="1027"/>
      <c r="BO251" s="1041"/>
      <c r="BP251" s="972">
        <f t="shared" si="247"/>
        <v>0</v>
      </c>
      <c r="BQ251" s="973">
        <f t="shared" si="248"/>
        <v>0</v>
      </c>
      <c r="BR251" s="323"/>
      <c r="BS251" s="94">
        <f t="shared" si="232"/>
        <v>0</v>
      </c>
      <c r="BU251" s="632">
        <f t="shared" si="233"/>
        <v>0</v>
      </c>
      <c r="BV251" s="398"/>
      <c r="BW251" s="737"/>
      <c r="BX251" s="323"/>
      <c r="CD251" s="398"/>
      <c r="CI251" s="796"/>
    </row>
    <row r="252" spans="1:87" ht="14.25" hidden="1" outlineLevel="1" thickTop="1" thickBot="1">
      <c r="A252" s="57"/>
      <c r="B252" s="92">
        <v>12</v>
      </c>
      <c r="C252" s="1029"/>
      <c r="D252" s="1031"/>
      <c r="E252" s="1030"/>
      <c r="F252" s="1031"/>
      <c r="G252" s="1029"/>
      <c r="H252" s="1032">
        <f t="shared" si="234"/>
        <v>1</v>
      </c>
      <c r="I252" s="1033"/>
      <c r="J252" s="1034">
        <f t="shared" si="235"/>
        <v>1</v>
      </c>
      <c r="K252" s="1016">
        <f t="shared" si="236"/>
        <v>0</v>
      </c>
      <c r="L252" s="1017"/>
      <c r="M252" s="1059">
        <f t="shared" si="237"/>
        <v>0</v>
      </c>
      <c r="N252" s="1037">
        <f t="shared" ref="N252:N298" si="253">L252/($J$13*(100%-I252))</f>
        <v>0</v>
      </c>
      <c r="O252" s="1034">
        <f t="shared" si="207"/>
        <v>1</v>
      </c>
      <c r="P252" s="1035">
        <f t="shared" si="252"/>
        <v>0</v>
      </c>
      <c r="Q252" s="1036"/>
      <c r="R252" s="1018"/>
      <c r="S252" s="1020">
        <f t="shared" ref="S252:S298" si="254">Q252/($O$13*(100%-I252))</f>
        <v>0</v>
      </c>
      <c r="T252" s="1034">
        <f t="shared" si="210"/>
        <v>1</v>
      </c>
      <c r="U252" s="1035">
        <f t="shared" si="238"/>
        <v>0</v>
      </c>
      <c r="V252" s="1036">
        <v>0</v>
      </c>
      <c r="W252" s="1018"/>
      <c r="X252" s="1037">
        <f t="shared" si="250"/>
        <v>0</v>
      </c>
      <c r="Y252" s="1034">
        <f t="shared" si="212"/>
        <v>1</v>
      </c>
      <c r="Z252" s="1035">
        <f t="shared" si="239"/>
        <v>0</v>
      </c>
      <c r="AA252" s="1036">
        <v>0</v>
      </c>
      <c r="AB252" s="1018"/>
      <c r="AC252" s="1021">
        <f t="shared" si="213"/>
        <v>0</v>
      </c>
      <c r="AD252" s="1034">
        <f t="shared" si="214"/>
        <v>1</v>
      </c>
      <c r="AE252" s="1035">
        <f t="shared" si="240"/>
        <v>0</v>
      </c>
      <c r="AF252" s="1036">
        <v>0</v>
      </c>
      <c r="AG252" s="1018"/>
      <c r="AH252" s="1037">
        <f t="shared" si="215"/>
        <v>0</v>
      </c>
      <c r="AI252" s="1034">
        <f t="shared" si="216"/>
        <v>1</v>
      </c>
      <c r="AJ252" s="1035">
        <f t="shared" si="241"/>
        <v>0</v>
      </c>
      <c r="AK252" s="1036">
        <v>0</v>
      </c>
      <c r="AL252" s="1018"/>
      <c r="AM252" s="1021">
        <f t="shared" si="217"/>
        <v>0</v>
      </c>
      <c r="AN252" s="1034">
        <f t="shared" si="218"/>
        <v>1</v>
      </c>
      <c r="AO252" s="1035">
        <f t="shared" si="242"/>
        <v>0</v>
      </c>
      <c r="AP252" s="1036">
        <v>0</v>
      </c>
      <c r="AQ252" s="1018"/>
      <c r="AR252" s="1037">
        <f t="shared" si="219"/>
        <v>0</v>
      </c>
      <c r="AS252" s="1034">
        <f t="shared" si="220"/>
        <v>1</v>
      </c>
      <c r="AT252" s="1035">
        <f t="shared" si="243"/>
        <v>0</v>
      </c>
      <c r="AU252" s="1036">
        <v>0</v>
      </c>
      <c r="AV252" s="1018"/>
      <c r="AW252" s="1021">
        <f t="shared" si="221"/>
        <v>0</v>
      </c>
      <c r="AX252" s="1034">
        <f t="shared" si="222"/>
        <v>1</v>
      </c>
      <c r="AY252" s="1035">
        <f t="shared" si="244"/>
        <v>0</v>
      </c>
      <c r="AZ252" s="1036">
        <v>0</v>
      </c>
      <c r="BA252" s="1036"/>
      <c r="BB252" s="1021">
        <f t="shared" si="223"/>
        <v>0</v>
      </c>
      <c r="BC252" s="1034">
        <f t="shared" si="224"/>
        <v>1</v>
      </c>
      <c r="BD252" s="1035">
        <f t="shared" si="245"/>
        <v>0</v>
      </c>
      <c r="BE252" s="1038">
        <v>0</v>
      </c>
      <c r="BF252" s="1018"/>
      <c r="BG252" s="1021">
        <f t="shared" si="225"/>
        <v>0</v>
      </c>
      <c r="BH252" s="1039">
        <f t="shared" si="226"/>
        <v>0</v>
      </c>
      <c r="BI252" s="1038">
        <f t="shared" si="227"/>
        <v>0</v>
      </c>
      <c r="BJ252" s="1027">
        <f t="shared" si="228"/>
        <v>0</v>
      </c>
      <c r="BK252" s="1021">
        <f t="shared" si="229"/>
        <v>0</v>
      </c>
      <c r="BL252" s="1040">
        <f t="shared" si="230"/>
        <v>0</v>
      </c>
      <c r="BM252" s="1038">
        <f t="shared" si="231"/>
        <v>0</v>
      </c>
      <c r="BN252" s="1027"/>
      <c r="BO252" s="1041"/>
      <c r="BP252" s="95">
        <f t="shared" si="247"/>
        <v>0</v>
      </c>
      <c r="BQ252" s="842">
        <f t="shared" si="248"/>
        <v>0</v>
      </c>
      <c r="BS252" s="94">
        <f t="shared" si="232"/>
        <v>0</v>
      </c>
      <c r="BU252" s="632">
        <f t="shared" si="233"/>
        <v>0</v>
      </c>
      <c r="BV252" s="398"/>
      <c r="BW252" s="405"/>
      <c r="CI252" s="96"/>
    </row>
    <row r="253" spans="1:87" ht="14.25" hidden="1" outlineLevel="1" thickTop="1" thickBot="1">
      <c r="A253" s="57"/>
      <c r="B253" s="92">
        <v>13</v>
      </c>
      <c r="C253" s="1029"/>
      <c r="D253" s="1031"/>
      <c r="E253" s="1031"/>
      <c r="F253" s="1031"/>
      <c r="G253" s="1029"/>
      <c r="H253" s="1032">
        <f t="shared" si="234"/>
        <v>1</v>
      </c>
      <c r="I253" s="1033"/>
      <c r="J253" s="1034">
        <f t="shared" si="235"/>
        <v>1</v>
      </c>
      <c r="K253" s="1016">
        <f t="shared" si="236"/>
        <v>0</v>
      </c>
      <c r="L253" s="1017"/>
      <c r="M253" s="1059">
        <f t="shared" si="237"/>
        <v>0</v>
      </c>
      <c r="N253" s="1037">
        <f t="shared" si="253"/>
        <v>0</v>
      </c>
      <c r="O253" s="1034">
        <f t="shared" si="207"/>
        <v>1</v>
      </c>
      <c r="P253" s="1035">
        <f t="shared" si="252"/>
        <v>0</v>
      </c>
      <c r="Q253" s="1036"/>
      <c r="R253" s="1018"/>
      <c r="S253" s="1020">
        <f t="shared" si="254"/>
        <v>0</v>
      </c>
      <c r="T253" s="1034">
        <f t="shared" si="210"/>
        <v>1</v>
      </c>
      <c r="U253" s="1035">
        <f t="shared" si="238"/>
        <v>0</v>
      </c>
      <c r="V253" s="1036">
        <v>0</v>
      </c>
      <c r="W253" s="1018"/>
      <c r="X253" s="1037">
        <f t="shared" si="250"/>
        <v>0</v>
      </c>
      <c r="Y253" s="1034">
        <f t="shared" si="212"/>
        <v>1</v>
      </c>
      <c r="Z253" s="1035">
        <f t="shared" si="239"/>
        <v>0</v>
      </c>
      <c r="AA253" s="1036">
        <v>0</v>
      </c>
      <c r="AB253" s="1018"/>
      <c r="AC253" s="1021">
        <f t="shared" si="213"/>
        <v>0</v>
      </c>
      <c r="AD253" s="1034">
        <f t="shared" si="214"/>
        <v>1</v>
      </c>
      <c r="AE253" s="1035">
        <f t="shared" si="240"/>
        <v>0</v>
      </c>
      <c r="AF253" s="1036">
        <v>0</v>
      </c>
      <c r="AG253" s="1018"/>
      <c r="AH253" s="1037">
        <f t="shared" si="215"/>
        <v>0</v>
      </c>
      <c r="AI253" s="1034">
        <f t="shared" si="216"/>
        <v>1</v>
      </c>
      <c r="AJ253" s="1035">
        <f t="shared" si="241"/>
        <v>0</v>
      </c>
      <c r="AK253" s="1036">
        <v>0</v>
      </c>
      <c r="AL253" s="1018"/>
      <c r="AM253" s="1021">
        <f t="shared" si="217"/>
        <v>0</v>
      </c>
      <c r="AN253" s="1034">
        <f t="shared" si="218"/>
        <v>1</v>
      </c>
      <c r="AO253" s="1035">
        <f t="shared" si="242"/>
        <v>0</v>
      </c>
      <c r="AP253" s="1036">
        <v>0</v>
      </c>
      <c r="AQ253" s="1018"/>
      <c r="AR253" s="1037">
        <f t="shared" si="219"/>
        <v>0</v>
      </c>
      <c r="AS253" s="1034">
        <f t="shared" si="220"/>
        <v>1</v>
      </c>
      <c r="AT253" s="1035">
        <f t="shared" si="243"/>
        <v>0</v>
      </c>
      <c r="AU253" s="1038">
        <v>0</v>
      </c>
      <c r="AV253" s="1018"/>
      <c r="AW253" s="1021">
        <f t="shared" si="221"/>
        <v>0</v>
      </c>
      <c r="AX253" s="1034">
        <f t="shared" si="222"/>
        <v>1</v>
      </c>
      <c r="AY253" s="1035">
        <f t="shared" si="244"/>
        <v>0</v>
      </c>
      <c r="AZ253" s="1036">
        <v>0</v>
      </c>
      <c r="BA253" s="1036"/>
      <c r="BB253" s="1021">
        <f t="shared" si="223"/>
        <v>0</v>
      </c>
      <c r="BC253" s="1034">
        <f t="shared" si="224"/>
        <v>1</v>
      </c>
      <c r="BD253" s="1035">
        <f t="shared" si="245"/>
        <v>0</v>
      </c>
      <c r="BE253" s="1038">
        <v>0</v>
      </c>
      <c r="BF253" s="1018"/>
      <c r="BG253" s="1021">
        <f t="shared" si="225"/>
        <v>0</v>
      </c>
      <c r="BH253" s="1039">
        <f t="shared" si="226"/>
        <v>0</v>
      </c>
      <c r="BI253" s="1038">
        <f t="shared" si="227"/>
        <v>0</v>
      </c>
      <c r="BJ253" s="1027">
        <f t="shared" si="228"/>
        <v>0</v>
      </c>
      <c r="BK253" s="1021">
        <f t="shared" si="229"/>
        <v>0</v>
      </c>
      <c r="BL253" s="1040">
        <f t="shared" si="230"/>
        <v>0</v>
      </c>
      <c r="BM253" s="1038">
        <f t="shared" si="231"/>
        <v>0</v>
      </c>
      <c r="BN253" s="1027"/>
      <c r="BO253" s="1041"/>
      <c r="BP253" s="95">
        <f t="shared" si="247"/>
        <v>0</v>
      </c>
      <c r="BQ253" s="842">
        <f t="shared" si="248"/>
        <v>0</v>
      </c>
      <c r="BS253" s="94">
        <f t="shared" si="232"/>
        <v>0</v>
      </c>
      <c r="BU253" s="632">
        <f t="shared" si="233"/>
        <v>0</v>
      </c>
      <c r="BV253" s="398"/>
      <c r="BW253" s="405"/>
      <c r="CI253" s="96"/>
    </row>
    <row r="254" spans="1:87" ht="14.25" hidden="1" outlineLevel="1" thickTop="1" thickBot="1">
      <c r="A254" s="57"/>
      <c r="B254" s="92">
        <v>14</v>
      </c>
      <c r="C254" s="1029"/>
      <c r="D254" s="1031"/>
      <c r="E254" s="1031"/>
      <c r="F254" s="1031"/>
      <c r="G254" s="1029"/>
      <c r="H254" s="1032">
        <f t="shared" si="234"/>
        <v>1</v>
      </c>
      <c r="I254" s="1032"/>
      <c r="J254" s="1034">
        <f t="shared" si="235"/>
        <v>1</v>
      </c>
      <c r="K254" s="1035">
        <f t="shared" ref="K254:K298" si="255">L254*$D$8</f>
        <v>0</v>
      </c>
      <c r="L254" s="1036"/>
      <c r="M254" s="1018"/>
      <c r="N254" s="1037">
        <f t="shared" si="253"/>
        <v>0</v>
      </c>
      <c r="O254" s="1034">
        <f t="shared" si="207"/>
        <v>1</v>
      </c>
      <c r="P254" s="1035">
        <f t="shared" si="252"/>
        <v>0</v>
      </c>
      <c r="Q254" s="1036"/>
      <c r="R254" s="1018"/>
      <c r="S254" s="1020">
        <f t="shared" si="254"/>
        <v>0</v>
      </c>
      <c r="T254" s="1034">
        <f t="shared" si="210"/>
        <v>1</v>
      </c>
      <c r="U254" s="1035">
        <f t="shared" si="238"/>
        <v>0</v>
      </c>
      <c r="V254" s="1036">
        <v>0</v>
      </c>
      <c r="W254" s="1018"/>
      <c r="X254" s="1037">
        <f t="shared" si="250"/>
        <v>0</v>
      </c>
      <c r="Y254" s="1034">
        <f t="shared" si="212"/>
        <v>1</v>
      </c>
      <c r="Z254" s="1035">
        <f t="shared" si="239"/>
        <v>0</v>
      </c>
      <c r="AA254" s="1036">
        <v>0</v>
      </c>
      <c r="AB254" s="1018"/>
      <c r="AC254" s="1021">
        <f t="shared" si="213"/>
        <v>0</v>
      </c>
      <c r="AD254" s="1034">
        <f t="shared" si="214"/>
        <v>1</v>
      </c>
      <c r="AE254" s="1035">
        <f t="shared" si="240"/>
        <v>0</v>
      </c>
      <c r="AF254" s="1036">
        <v>0</v>
      </c>
      <c r="AG254" s="1018"/>
      <c r="AH254" s="1037">
        <f t="shared" si="215"/>
        <v>0</v>
      </c>
      <c r="AI254" s="1034">
        <f t="shared" si="216"/>
        <v>1</v>
      </c>
      <c r="AJ254" s="1035">
        <f t="shared" si="241"/>
        <v>0</v>
      </c>
      <c r="AK254" s="1036">
        <v>0</v>
      </c>
      <c r="AL254" s="1018"/>
      <c r="AM254" s="1021">
        <f t="shared" si="217"/>
        <v>0</v>
      </c>
      <c r="AN254" s="1034">
        <f t="shared" si="218"/>
        <v>1</v>
      </c>
      <c r="AO254" s="1035">
        <f t="shared" si="242"/>
        <v>0</v>
      </c>
      <c r="AP254" s="1036">
        <v>0</v>
      </c>
      <c r="AQ254" s="1018"/>
      <c r="AR254" s="1037">
        <f t="shared" si="219"/>
        <v>0</v>
      </c>
      <c r="AS254" s="1034">
        <f t="shared" si="220"/>
        <v>1</v>
      </c>
      <c r="AT254" s="1035">
        <f t="shared" si="243"/>
        <v>0</v>
      </c>
      <c r="AU254" s="1036">
        <v>0</v>
      </c>
      <c r="AV254" s="1018"/>
      <c r="AW254" s="1021">
        <f t="shared" si="221"/>
        <v>0</v>
      </c>
      <c r="AX254" s="1034">
        <f t="shared" si="222"/>
        <v>1</v>
      </c>
      <c r="AY254" s="1035">
        <f t="shared" si="244"/>
        <v>0</v>
      </c>
      <c r="AZ254" s="1036">
        <v>0</v>
      </c>
      <c r="BA254" s="1036"/>
      <c r="BB254" s="1021">
        <f t="shared" si="223"/>
        <v>0</v>
      </c>
      <c r="BC254" s="1034">
        <f t="shared" si="224"/>
        <v>1</v>
      </c>
      <c r="BD254" s="1035">
        <f t="shared" si="245"/>
        <v>0</v>
      </c>
      <c r="BE254" s="1038">
        <v>0</v>
      </c>
      <c r="BF254" s="1018"/>
      <c r="BG254" s="1021">
        <f t="shared" si="225"/>
        <v>0</v>
      </c>
      <c r="BH254" s="1039">
        <f t="shared" si="226"/>
        <v>0</v>
      </c>
      <c r="BI254" s="1038">
        <f t="shared" si="227"/>
        <v>0</v>
      </c>
      <c r="BJ254" s="1027">
        <f t="shared" si="228"/>
        <v>0</v>
      </c>
      <c r="BK254" s="1021">
        <f t="shared" si="229"/>
        <v>0</v>
      </c>
      <c r="BL254" s="1040">
        <f t="shared" si="230"/>
        <v>0</v>
      </c>
      <c r="BM254" s="1038">
        <f t="shared" si="231"/>
        <v>0</v>
      </c>
      <c r="BN254" s="1027"/>
      <c r="BO254" s="1041"/>
      <c r="BP254" s="95">
        <f t="shared" si="247"/>
        <v>0</v>
      </c>
      <c r="BQ254" s="842">
        <f t="shared" si="248"/>
        <v>0</v>
      </c>
      <c r="BS254" s="94">
        <f t="shared" si="232"/>
        <v>0</v>
      </c>
      <c r="BU254" s="632">
        <f t="shared" si="233"/>
        <v>0</v>
      </c>
      <c r="BV254" s="398"/>
      <c r="BW254" s="405"/>
      <c r="CI254" s="96"/>
    </row>
    <row r="255" spans="1:87" ht="14.25" hidden="1" outlineLevel="1" thickTop="1" thickBot="1">
      <c r="A255" s="57"/>
      <c r="B255" s="92">
        <v>15</v>
      </c>
      <c r="C255" s="1029"/>
      <c r="D255" s="1031"/>
      <c r="E255" s="1031"/>
      <c r="F255" s="1031"/>
      <c r="G255" s="1029"/>
      <c r="H255" s="1032">
        <f t="shared" si="234"/>
        <v>1</v>
      </c>
      <c r="I255" s="1033"/>
      <c r="J255" s="1034">
        <f t="shared" si="235"/>
        <v>1</v>
      </c>
      <c r="K255" s="1035">
        <f t="shared" si="255"/>
        <v>0</v>
      </c>
      <c r="L255" s="1036"/>
      <c r="M255" s="1018"/>
      <c r="N255" s="1037">
        <f t="shared" si="253"/>
        <v>0</v>
      </c>
      <c r="O255" s="1034">
        <f t="shared" si="207"/>
        <v>1</v>
      </c>
      <c r="P255" s="1035">
        <f t="shared" si="252"/>
        <v>0</v>
      </c>
      <c r="Q255" s="1036"/>
      <c r="R255" s="1018"/>
      <c r="S255" s="1020">
        <f t="shared" si="254"/>
        <v>0</v>
      </c>
      <c r="T255" s="1034">
        <f t="shared" si="210"/>
        <v>1</v>
      </c>
      <c r="U255" s="1035">
        <f t="shared" si="238"/>
        <v>0</v>
      </c>
      <c r="V255" s="1036">
        <v>0</v>
      </c>
      <c r="W255" s="1018"/>
      <c r="X255" s="1037">
        <f t="shared" si="250"/>
        <v>0</v>
      </c>
      <c r="Y255" s="1034">
        <f t="shared" si="212"/>
        <v>1</v>
      </c>
      <c r="Z255" s="1035">
        <f t="shared" si="239"/>
        <v>0</v>
      </c>
      <c r="AA255" s="1036">
        <v>0</v>
      </c>
      <c r="AB255" s="1018"/>
      <c r="AC255" s="1021">
        <f t="shared" si="213"/>
        <v>0</v>
      </c>
      <c r="AD255" s="1034">
        <f t="shared" si="214"/>
        <v>1</v>
      </c>
      <c r="AE255" s="1035">
        <f t="shared" si="240"/>
        <v>0</v>
      </c>
      <c r="AF255" s="1036">
        <v>0</v>
      </c>
      <c r="AG255" s="1018"/>
      <c r="AH255" s="1037">
        <f t="shared" si="215"/>
        <v>0</v>
      </c>
      <c r="AI255" s="1034">
        <f t="shared" si="216"/>
        <v>1</v>
      </c>
      <c r="AJ255" s="1035">
        <f t="shared" si="241"/>
        <v>0</v>
      </c>
      <c r="AK255" s="1036">
        <v>0</v>
      </c>
      <c r="AL255" s="1018"/>
      <c r="AM255" s="1021">
        <f t="shared" si="217"/>
        <v>0</v>
      </c>
      <c r="AN255" s="1034">
        <f t="shared" si="218"/>
        <v>1</v>
      </c>
      <c r="AO255" s="1035">
        <f t="shared" si="242"/>
        <v>0</v>
      </c>
      <c r="AP255" s="1036">
        <v>0</v>
      </c>
      <c r="AQ255" s="1018"/>
      <c r="AR255" s="1037">
        <f t="shared" si="219"/>
        <v>0</v>
      </c>
      <c r="AS255" s="1034">
        <f t="shared" si="220"/>
        <v>1</v>
      </c>
      <c r="AT255" s="1035">
        <f t="shared" si="243"/>
        <v>0</v>
      </c>
      <c r="AU255" s="1038">
        <v>0</v>
      </c>
      <c r="AV255" s="1018"/>
      <c r="AW255" s="1021">
        <f t="shared" si="221"/>
        <v>0</v>
      </c>
      <c r="AX255" s="1034">
        <f t="shared" si="222"/>
        <v>1</v>
      </c>
      <c r="AY255" s="1035">
        <f t="shared" si="244"/>
        <v>0</v>
      </c>
      <c r="AZ255" s="1036">
        <v>0</v>
      </c>
      <c r="BA255" s="1036"/>
      <c r="BB255" s="1021">
        <f t="shared" si="223"/>
        <v>0</v>
      </c>
      <c r="BC255" s="1034">
        <f t="shared" si="224"/>
        <v>1</v>
      </c>
      <c r="BD255" s="1035">
        <f t="shared" si="245"/>
        <v>0</v>
      </c>
      <c r="BE255" s="1038">
        <v>0</v>
      </c>
      <c r="BF255" s="1018"/>
      <c r="BG255" s="1021">
        <f t="shared" si="225"/>
        <v>0</v>
      </c>
      <c r="BH255" s="1039">
        <f t="shared" si="226"/>
        <v>0</v>
      </c>
      <c r="BI255" s="1038">
        <f t="shared" si="227"/>
        <v>0</v>
      </c>
      <c r="BJ255" s="1027">
        <f t="shared" si="228"/>
        <v>0</v>
      </c>
      <c r="BK255" s="1021">
        <f t="shared" si="229"/>
        <v>0</v>
      </c>
      <c r="BL255" s="1040">
        <f t="shared" si="230"/>
        <v>0</v>
      </c>
      <c r="BM255" s="1038">
        <f t="shared" si="231"/>
        <v>0</v>
      </c>
      <c r="BN255" s="1027"/>
      <c r="BO255" s="1041"/>
      <c r="BP255" s="95">
        <f t="shared" si="247"/>
        <v>0</v>
      </c>
      <c r="BQ255" s="842">
        <f t="shared" si="248"/>
        <v>0</v>
      </c>
      <c r="BS255" s="94">
        <f t="shared" si="232"/>
        <v>0</v>
      </c>
      <c r="BU255" s="632">
        <f t="shared" si="233"/>
        <v>0</v>
      </c>
      <c r="BV255" s="398"/>
      <c r="BW255" s="405"/>
      <c r="CI255" s="96"/>
    </row>
    <row r="256" spans="1:87" ht="14.25" hidden="1" outlineLevel="1" thickTop="1" thickBot="1">
      <c r="A256" s="57"/>
      <c r="B256" s="92">
        <v>16</v>
      </c>
      <c r="C256" s="1029"/>
      <c r="D256" s="1031"/>
      <c r="E256" s="1030"/>
      <c r="F256" s="1031"/>
      <c r="G256" s="1029"/>
      <c r="H256" s="1032">
        <f t="shared" si="234"/>
        <v>1</v>
      </c>
      <c r="I256" s="1033"/>
      <c r="J256" s="1034">
        <f t="shared" si="235"/>
        <v>1</v>
      </c>
      <c r="K256" s="1035">
        <f t="shared" si="255"/>
        <v>0</v>
      </c>
      <c r="L256" s="1036"/>
      <c r="M256" s="1018"/>
      <c r="N256" s="1037">
        <f t="shared" si="253"/>
        <v>0</v>
      </c>
      <c r="O256" s="1034">
        <f t="shared" si="207"/>
        <v>1</v>
      </c>
      <c r="P256" s="1035">
        <f t="shared" si="252"/>
        <v>0</v>
      </c>
      <c r="Q256" s="1036"/>
      <c r="R256" s="1018"/>
      <c r="S256" s="1020">
        <f t="shared" si="254"/>
        <v>0</v>
      </c>
      <c r="T256" s="1034">
        <f t="shared" si="210"/>
        <v>1</v>
      </c>
      <c r="U256" s="1035">
        <f t="shared" si="238"/>
        <v>0</v>
      </c>
      <c r="V256" s="1036">
        <v>0</v>
      </c>
      <c r="W256" s="1018"/>
      <c r="X256" s="1037">
        <f t="shared" si="250"/>
        <v>0</v>
      </c>
      <c r="Y256" s="1034">
        <f t="shared" si="212"/>
        <v>1</v>
      </c>
      <c r="Z256" s="1035">
        <f t="shared" si="239"/>
        <v>0</v>
      </c>
      <c r="AA256" s="1036">
        <v>0</v>
      </c>
      <c r="AB256" s="1018"/>
      <c r="AC256" s="1021">
        <f t="shared" si="213"/>
        <v>0</v>
      </c>
      <c r="AD256" s="1034">
        <f t="shared" si="214"/>
        <v>1</v>
      </c>
      <c r="AE256" s="1035">
        <f t="shared" si="240"/>
        <v>0</v>
      </c>
      <c r="AF256" s="1036">
        <v>0</v>
      </c>
      <c r="AG256" s="1018"/>
      <c r="AH256" s="1037">
        <f t="shared" si="215"/>
        <v>0</v>
      </c>
      <c r="AI256" s="1034">
        <f t="shared" si="216"/>
        <v>1</v>
      </c>
      <c r="AJ256" s="1035">
        <f t="shared" si="241"/>
        <v>0</v>
      </c>
      <c r="AK256" s="1036">
        <v>0</v>
      </c>
      <c r="AL256" s="1018"/>
      <c r="AM256" s="1021">
        <f t="shared" si="217"/>
        <v>0</v>
      </c>
      <c r="AN256" s="1034">
        <f t="shared" si="218"/>
        <v>1</v>
      </c>
      <c r="AO256" s="1035">
        <f t="shared" si="242"/>
        <v>0</v>
      </c>
      <c r="AP256" s="1036">
        <v>0</v>
      </c>
      <c r="AQ256" s="1018"/>
      <c r="AR256" s="1037">
        <f t="shared" si="219"/>
        <v>0</v>
      </c>
      <c r="AS256" s="1034">
        <f t="shared" si="220"/>
        <v>1</v>
      </c>
      <c r="AT256" s="1035">
        <f t="shared" si="243"/>
        <v>0</v>
      </c>
      <c r="AU256" s="1036">
        <v>0</v>
      </c>
      <c r="AV256" s="1018"/>
      <c r="AW256" s="1021">
        <f t="shared" si="221"/>
        <v>0</v>
      </c>
      <c r="AX256" s="1034">
        <f t="shared" si="222"/>
        <v>1</v>
      </c>
      <c r="AY256" s="1035">
        <f t="shared" si="244"/>
        <v>0</v>
      </c>
      <c r="AZ256" s="1036">
        <v>0</v>
      </c>
      <c r="BA256" s="1036"/>
      <c r="BB256" s="1021">
        <f t="shared" si="223"/>
        <v>0</v>
      </c>
      <c r="BC256" s="1034">
        <f t="shared" si="224"/>
        <v>1</v>
      </c>
      <c r="BD256" s="1035">
        <f t="shared" si="245"/>
        <v>0</v>
      </c>
      <c r="BE256" s="1038">
        <v>0</v>
      </c>
      <c r="BF256" s="1018"/>
      <c r="BG256" s="1021">
        <f t="shared" si="225"/>
        <v>0</v>
      </c>
      <c r="BH256" s="1039">
        <f t="shared" si="226"/>
        <v>0</v>
      </c>
      <c r="BI256" s="1038">
        <f t="shared" si="227"/>
        <v>0</v>
      </c>
      <c r="BJ256" s="1027">
        <f t="shared" si="228"/>
        <v>0</v>
      </c>
      <c r="BK256" s="1021">
        <f t="shared" si="229"/>
        <v>0</v>
      </c>
      <c r="BL256" s="1040">
        <f t="shared" si="230"/>
        <v>0</v>
      </c>
      <c r="BM256" s="1038">
        <f t="shared" si="231"/>
        <v>0</v>
      </c>
      <c r="BN256" s="1027"/>
      <c r="BO256" s="1041"/>
      <c r="BP256" s="95">
        <f t="shared" si="247"/>
        <v>0</v>
      </c>
      <c r="BQ256" s="842">
        <f t="shared" si="248"/>
        <v>0</v>
      </c>
      <c r="BS256" s="94">
        <f t="shared" si="232"/>
        <v>0</v>
      </c>
      <c r="BU256" s="632">
        <f t="shared" si="233"/>
        <v>0</v>
      </c>
      <c r="BV256" s="398"/>
      <c r="BW256" s="405"/>
      <c r="CI256" s="96"/>
    </row>
    <row r="257" spans="1:87" ht="14.25" hidden="1" outlineLevel="1" thickTop="1" thickBot="1">
      <c r="A257" s="57"/>
      <c r="B257" s="92">
        <v>17</v>
      </c>
      <c r="C257" s="1029"/>
      <c r="D257" s="1031"/>
      <c r="E257" s="1030"/>
      <c r="F257" s="1031"/>
      <c r="G257" s="1029"/>
      <c r="H257" s="1032">
        <f t="shared" si="234"/>
        <v>1</v>
      </c>
      <c r="I257" s="1033"/>
      <c r="J257" s="1034">
        <f t="shared" si="235"/>
        <v>1</v>
      </c>
      <c r="K257" s="1035">
        <f t="shared" si="255"/>
        <v>0</v>
      </c>
      <c r="L257" s="1036"/>
      <c r="M257" s="1018"/>
      <c r="N257" s="1037">
        <f t="shared" si="253"/>
        <v>0</v>
      </c>
      <c r="O257" s="1034">
        <f t="shared" si="207"/>
        <v>1</v>
      </c>
      <c r="P257" s="1035">
        <f t="shared" si="252"/>
        <v>0</v>
      </c>
      <c r="Q257" s="1036"/>
      <c r="R257" s="1018"/>
      <c r="S257" s="1020">
        <f t="shared" si="254"/>
        <v>0</v>
      </c>
      <c r="T257" s="1034">
        <f t="shared" si="210"/>
        <v>1</v>
      </c>
      <c r="U257" s="1035">
        <f t="shared" si="238"/>
        <v>0</v>
      </c>
      <c r="V257" s="1036">
        <v>0</v>
      </c>
      <c r="W257" s="1018"/>
      <c r="X257" s="1037">
        <f t="shared" si="250"/>
        <v>0</v>
      </c>
      <c r="Y257" s="1034">
        <f t="shared" si="212"/>
        <v>1</v>
      </c>
      <c r="Z257" s="1035">
        <f t="shared" si="239"/>
        <v>0</v>
      </c>
      <c r="AA257" s="1036">
        <v>0</v>
      </c>
      <c r="AB257" s="1018"/>
      <c r="AC257" s="1021">
        <f t="shared" si="213"/>
        <v>0</v>
      </c>
      <c r="AD257" s="1034">
        <f t="shared" si="214"/>
        <v>1</v>
      </c>
      <c r="AE257" s="1035">
        <f t="shared" si="240"/>
        <v>0</v>
      </c>
      <c r="AF257" s="1036">
        <v>0</v>
      </c>
      <c r="AG257" s="1018"/>
      <c r="AH257" s="1037">
        <f t="shared" si="215"/>
        <v>0</v>
      </c>
      <c r="AI257" s="1034">
        <f t="shared" si="216"/>
        <v>1</v>
      </c>
      <c r="AJ257" s="1035">
        <f t="shared" si="241"/>
        <v>0</v>
      </c>
      <c r="AK257" s="1036">
        <v>0</v>
      </c>
      <c r="AL257" s="1018"/>
      <c r="AM257" s="1021">
        <f t="shared" si="217"/>
        <v>0</v>
      </c>
      <c r="AN257" s="1034">
        <f t="shared" si="218"/>
        <v>1</v>
      </c>
      <c r="AO257" s="1035">
        <f t="shared" si="242"/>
        <v>0</v>
      </c>
      <c r="AP257" s="1036">
        <v>0</v>
      </c>
      <c r="AQ257" s="1018"/>
      <c r="AR257" s="1037">
        <f t="shared" si="219"/>
        <v>0</v>
      </c>
      <c r="AS257" s="1034">
        <f t="shared" si="220"/>
        <v>1</v>
      </c>
      <c r="AT257" s="1035">
        <f t="shared" si="243"/>
        <v>0</v>
      </c>
      <c r="AU257" s="1038">
        <v>0</v>
      </c>
      <c r="AV257" s="1018"/>
      <c r="AW257" s="1021">
        <f t="shared" si="221"/>
        <v>0</v>
      </c>
      <c r="AX257" s="1034">
        <f t="shared" si="222"/>
        <v>1</v>
      </c>
      <c r="AY257" s="1035">
        <f t="shared" si="244"/>
        <v>0</v>
      </c>
      <c r="AZ257" s="1036">
        <v>0</v>
      </c>
      <c r="BA257" s="1036"/>
      <c r="BB257" s="1021">
        <f t="shared" si="223"/>
        <v>0</v>
      </c>
      <c r="BC257" s="1034">
        <f t="shared" si="224"/>
        <v>1</v>
      </c>
      <c r="BD257" s="1035">
        <f t="shared" si="245"/>
        <v>0</v>
      </c>
      <c r="BE257" s="1038">
        <v>0</v>
      </c>
      <c r="BF257" s="1018"/>
      <c r="BG257" s="1021">
        <f t="shared" si="225"/>
        <v>0</v>
      </c>
      <c r="BH257" s="1039">
        <f t="shared" si="226"/>
        <v>0</v>
      </c>
      <c r="BI257" s="1038">
        <f t="shared" si="227"/>
        <v>0</v>
      </c>
      <c r="BJ257" s="1027">
        <f t="shared" si="228"/>
        <v>0</v>
      </c>
      <c r="BK257" s="1021">
        <f t="shared" si="229"/>
        <v>0</v>
      </c>
      <c r="BL257" s="1040">
        <f t="shared" si="230"/>
        <v>0</v>
      </c>
      <c r="BM257" s="1038">
        <f t="shared" si="231"/>
        <v>0</v>
      </c>
      <c r="BN257" s="1027"/>
      <c r="BO257" s="1041"/>
      <c r="BP257" s="95">
        <f t="shared" si="247"/>
        <v>0</v>
      </c>
      <c r="BQ257" s="842">
        <f t="shared" si="248"/>
        <v>0</v>
      </c>
      <c r="BS257" s="94">
        <f t="shared" si="232"/>
        <v>0</v>
      </c>
      <c r="BU257" s="632">
        <f t="shared" si="233"/>
        <v>0</v>
      </c>
      <c r="BV257" s="398"/>
      <c r="BW257" s="405"/>
      <c r="CI257" s="96"/>
    </row>
    <row r="258" spans="1:87" ht="14.25" hidden="1" outlineLevel="1" thickTop="1" thickBot="1">
      <c r="A258" s="57"/>
      <c r="B258" s="92">
        <v>18</v>
      </c>
      <c r="C258" s="1029"/>
      <c r="D258" s="1031"/>
      <c r="E258" s="1030"/>
      <c r="F258" s="1031"/>
      <c r="G258" s="1029"/>
      <c r="H258" s="1032">
        <f t="shared" si="234"/>
        <v>1</v>
      </c>
      <c r="I258" s="1033"/>
      <c r="J258" s="1034">
        <f t="shared" si="235"/>
        <v>1</v>
      </c>
      <c r="K258" s="1035">
        <f t="shared" si="255"/>
        <v>0</v>
      </c>
      <c r="L258" s="1036"/>
      <c r="M258" s="1018"/>
      <c r="N258" s="1037">
        <f t="shared" si="253"/>
        <v>0</v>
      </c>
      <c r="O258" s="1034">
        <f t="shared" si="207"/>
        <v>1</v>
      </c>
      <c r="P258" s="1035">
        <f t="shared" si="252"/>
        <v>0</v>
      </c>
      <c r="Q258" s="1036"/>
      <c r="R258" s="1018"/>
      <c r="S258" s="1020">
        <f t="shared" si="254"/>
        <v>0</v>
      </c>
      <c r="T258" s="1034">
        <f t="shared" si="210"/>
        <v>1</v>
      </c>
      <c r="U258" s="1035">
        <f t="shared" si="238"/>
        <v>0</v>
      </c>
      <c r="V258" s="1036">
        <v>0</v>
      </c>
      <c r="W258" s="1018"/>
      <c r="X258" s="1037">
        <f t="shared" si="250"/>
        <v>0</v>
      </c>
      <c r="Y258" s="1034">
        <f t="shared" si="212"/>
        <v>1</v>
      </c>
      <c r="Z258" s="1035">
        <f t="shared" si="239"/>
        <v>0</v>
      </c>
      <c r="AA258" s="1036">
        <v>0</v>
      </c>
      <c r="AB258" s="1018"/>
      <c r="AC258" s="1021">
        <f t="shared" si="213"/>
        <v>0</v>
      </c>
      <c r="AD258" s="1034">
        <f t="shared" si="214"/>
        <v>1</v>
      </c>
      <c r="AE258" s="1035">
        <f t="shared" si="240"/>
        <v>0</v>
      </c>
      <c r="AF258" s="1036">
        <v>0</v>
      </c>
      <c r="AG258" s="1018"/>
      <c r="AH258" s="1037">
        <f t="shared" si="215"/>
        <v>0</v>
      </c>
      <c r="AI258" s="1034">
        <f t="shared" si="216"/>
        <v>1</v>
      </c>
      <c r="AJ258" s="1035">
        <f t="shared" si="241"/>
        <v>0</v>
      </c>
      <c r="AK258" s="1036">
        <v>0</v>
      </c>
      <c r="AL258" s="1018"/>
      <c r="AM258" s="1021">
        <f t="shared" si="217"/>
        <v>0</v>
      </c>
      <c r="AN258" s="1034">
        <f t="shared" si="218"/>
        <v>1</v>
      </c>
      <c r="AO258" s="1035">
        <f t="shared" si="242"/>
        <v>0</v>
      </c>
      <c r="AP258" s="1036">
        <v>0</v>
      </c>
      <c r="AQ258" s="1018"/>
      <c r="AR258" s="1037">
        <f t="shared" si="219"/>
        <v>0</v>
      </c>
      <c r="AS258" s="1034">
        <f t="shared" si="220"/>
        <v>1</v>
      </c>
      <c r="AT258" s="1035">
        <f t="shared" si="243"/>
        <v>0</v>
      </c>
      <c r="AU258" s="1036">
        <v>0</v>
      </c>
      <c r="AV258" s="1018"/>
      <c r="AW258" s="1021">
        <f t="shared" si="221"/>
        <v>0</v>
      </c>
      <c r="AX258" s="1034">
        <f t="shared" si="222"/>
        <v>1</v>
      </c>
      <c r="AY258" s="1035">
        <f t="shared" si="244"/>
        <v>0</v>
      </c>
      <c r="AZ258" s="1036">
        <v>0</v>
      </c>
      <c r="BA258" s="1036"/>
      <c r="BB258" s="1021">
        <f t="shared" si="223"/>
        <v>0</v>
      </c>
      <c r="BC258" s="1034">
        <f t="shared" si="224"/>
        <v>1</v>
      </c>
      <c r="BD258" s="1035">
        <f t="shared" si="245"/>
        <v>0</v>
      </c>
      <c r="BE258" s="1038">
        <v>0</v>
      </c>
      <c r="BF258" s="1018"/>
      <c r="BG258" s="1021">
        <f t="shared" si="225"/>
        <v>0</v>
      </c>
      <c r="BH258" s="1039">
        <f t="shared" si="226"/>
        <v>0</v>
      </c>
      <c r="BI258" s="1038">
        <f t="shared" si="227"/>
        <v>0</v>
      </c>
      <c r="BJ258" s="1027">
        <f t="shared" si="228"/>
        <v>0</v>
      </c>
      <c r="BK258" s="1021">
        <f t="shared" si="229"/>
        <v>0</v>
      </c>
      <c r="BL258" s="1040">
        <f t="shared" si="230"/>
        <v>0</v>
      </c>
      <c r="BM258" s="1038">
        <f t="shared" si="231"/>
        <v>0</v>
      </c>
      <c r="BN258" s="1027"/>
      <c r="BO258" s="1041"/>
      <c r="BP258" s="95">
        <f t="shared" si="247"/>
        <v>0</v>
      </c>
      <c r="BQ258" s="842">
        <f t="shared" si="248"/>
        <v>0</v>
      </c>
      <c r="BS258" s="94">
        <f t="shared" si="232"/>
        <v>0</v>
      </c>
      <c r="BU258" s="632">
        <f t="shared" si="233"/>
        <v>0</v>
      </c>
      <c r="BV258" s="398"/>
      <c r="BW258" s="405"/>
      <c r="CI258" s="96"/>
    </row>
    <row r="259" spans="1:87" ht="14.25" hidden="1" outlineLevel="1" thickTop="1" thickBot="1">
      <c r="A259" s="57"/>
      <c r="B259" s="92">
        <v>19</v>
      </c>
      <c r="C259" s="1029"/>
      <c r="D259" s="1031"/>
      <c r="E259" s="1030"/>
      <c r="F259" s="1031"/>
      <c r="G259" s="1029"/>
      <c r="H259" s="1032">
        <f t="shared" si="234"/>
        <v>1</v>
      </c>
      <c r="I259" s="1033"/>
      <c r="J259" s="1034">
        <f t="shared" si="235"/>
        <v>1</v>
      </c>
      <c r="K259" s="1035">
        <f t="shared" si="255"/>
        <v>0</v>
      </c>
      <c r="L259" s="1036"/>
      <c r="M259" s="1018"/>
      <c r="N259" s="1037">
        <f t="shared" si="253"/>
        <v>0</v>
      </c>
      <c r="O259" s="1034">
        <f t="shared" si="207"/>
        <v>1</v>
      </c>
      <c r="P259" s="1035">
        <f t="shared" si="252"/>
        <v>0</v>
      </c>
      <c r="Q259" s="1036"/>
      <c r="R259" s="1018"/>
      <c r="S259" s="1020">
        <f t="shared" si="254"/>
        <v>0</v>
      </c>
      <c r="T259" s="1034">
        <f t="shared" si="210"/>
        <v>1</v>
      </c>
      <c r="U259" s="1035">
        <f t="shared" si="238"/>
        <v>0</v>
      </c>
      <c r="V259" s="1036">
        <v>0</v>
      </c>
      <c r="W259" s="1018"/>
      <c r="X259" s="1037">
        <f t="shared" si="250"/>
        <v>0</v>
      </c>
      <c r="Y259" s="1034">
        <f t="shared" si="212"/>
        <v>1</v>
      </c>
      <c r="Z259" s="1035">
        <f t="shared" si="239"/>
        <v>0</v>
      </c>
      <c r="AA259" s="1036">
        <v>0</v>
      </c>
      <c r="AB259" s="1018"/>
      <c r="AC259" s="1021">
        <f t="shared" si="213"/>
        <v>0</v>
      </c>
      <c r="AD259" s="1034">
        <f t="shared" si="214"/>
        <v>1</v>
      </c>
      <c r="AE259" s="1035">
        <f t="shared" si="240"/>
        <v>0</v>
      </c>
      <c r="AF259" s="1036">
        <v>0</v>
      </c>
      <c r="AG259" s="1018"/>
      <c r="AH259" s="1037">
        <f t="shared" si="215"/>
        <v>0</v>
      </c>
      <c r="AI259" s="1034">
        <f t="shared" si="216"/>
        <v>1</v>
      </c>
      <c r="AJ259" s="1035">
        <f t="shared" si="241"/>
        <v>0</v>
      </c>
      <c r="AK259" s="1036">
        <v>0</v>
      </c>
      <c r="AL259" s="1018"/>
      <c r="AM259" s="1021">
        <f t="shared" si="217"/>
        <v>0</v>
      </c>
      <c r="AN259" s="1034">
        <f t="shared" si="218"/>
        <v>1</v>
      </c>
      <c r="AO259" s="1035">
        <f t="shared" si="242"/>
        <v>0</v>
      </c>
      <c r="AP259" s="1036">
        <v>0</v>
      </c>
      <c r="AQ259" s="1018"/>
      <c r="AR259" s="1037">
        <f t="shared" si="219"/>
        <v>0</v>
      </c>
      <c r="AS259" s="1034">
        <f t="shared" si="220"/>
        <v>1</v>
      </c>
      <c r="AT259" s="1035">
        <f t="shared" si="243"/>
        <v>0</v>
      </c>
      <c r="AU259" s="1038">
        <v>0</v>
      </c>
      <c r="AV259" s="1018"/>
      <c r="AW259" s="1021">
        <f t="shared" si="221"/>
        <v>0</v>
      </c>
      <c r="AX259" s="1034">
        <f t="shared" si="222"/>
        <v>1</v>
      </c>
      <c r="AY259" s="1035">
        <f t="shared" si="244"/>
        <v>0</v>
      </c>
      <c r="AZ259" s="1036">
        <v>0</v>
      </c>
      <c r="BA259" s="1036"/>
      <c r="BB259" s="1021">
        <f t="shared" si="223"/>
        <v>0</v>
      </c>
      <c r="BC259" s="1034">
        <f t="shared" si="224"/>
        <v>1</v>
      </c>
      <c r="BD259" s="1035">
        <f t="shared" si="245"/>
        <v>0</v>
      </c>
      <c r="BE259" s="1038">
        <v>0</v>
      </c>
      <c r="BF259" s="1018"/>
      <c r="BG259" s="1021">
        <f t="shared" si="225"/>
        <v>0</v>
      </c>
      <c r="BH259" s="1039">
        <f t="shared" si="226"/>
        <v>0</v>
      </c>
      <c r="BI259" s="1038">
        <f t="shared" si="227"/>
        <v>0</v>
      </c>
      <c r="BJ259" s="1027">
        <f t="shared" si="228"/>
        <v>0</v>
      </c>
      <c r="BK259" s="1021">
        <f t="shared" si="229"/>
        <v>0</v>
      </c>
      <c r="BL259" s="1040">
        <f t="shared" si="230"/>
        <v>0</v>
      </c>
      <c r="BM259" s="1038">
        <f t="shared" si="231"/>
        <v>0</v>
      </c>
      <c r="BN259" s="1027"/>
      <c r="BO259" s="1041"/>
      <c r="BP259" s="95">
        <f t="shared" si="247"/>
        <v>0</v>
      </c>
      <c r="BQ259" s="842">
        <f t="shared" si="248"/>
        <v>0</v>
      </c>
      <c r="BS259" s="94">
        <f t="shared" si="232"/>
        <v>0</v>
      </c>
      <c r="BU259" s="632">
        <f t="shared" si="233"/>
        <v>0</v>
      </c>
      <c r="BV259" s="398"/>
      <c r="BW259" s="405"/>
      <c r="CI259" s="96"/>
    </row>
    <row r="260" spans="1:87" ht="14.25" hidden="1" outlineLevel="1" thickTop="1" thickBot="1">
      <c r="A260" s="57"/>
      <c r="B260" s="92">
        <v>20</v>
      </c>
      <c r="C260" s="1029"/>
      <c r="D260" s="1031"/>
      <c r="E260" s="1030"/>
      <c r="F260" s="1031"/>
      <c r="G260" s="1029"/>
      <c r="H260" s="1032">
        <f t="shared" si="234"/>
        <v>1</v>
      </c>
      <c r="I260" s="1033"/>
      <c r="J260" s="1034">
        <f t="shared" si="235"/>
        <v>1</v>
      </c>
      <c r="K260" s="1035">
        <f t="shared" si="255"/>
        <v>0</v>
      </c>
      <c r="L260" s="1036"/>
      <c r="M260" s="1018"/>
      <c r="N260" s="1037">
        <f t="shared" si="253"/>
        <v>0</v>
      </c>
      <c r="O260" s="1034">
        <f t="shared" si="207"/>
        <v>1</v>
      </c>
      <c r="P260" s="1035">
        <f t="shared" si="252"/>
        <v>0</v>
      </c>
      <c r="Q260" s="1036"/>
      <c r="R260" s="1018"/>
      <c r="S260" s="1020">
        <f t="shared" si="254"/>
        <v>0</v>
      </c>
      <c r="T260" s="1034">
        <f t="shared" si="210"/>
        <v>1</v>
      </c>
      <c r="U260" s="1035">
        <f t="shared" si="238"/>
        <v>0</v>
      </c>
      <c r="V260" s="1036">
        <v>0</v>
      </c>
      <c r="W260" s="1018"/>
      <c r="X260" s="1037">
        <f t="shared" si="250"/>
        <v>0</v>
      </c>
      <c r="Y260" s="1034">
        <f t="shared" si="212"/>
        <v>1</v>
      </c>
      <c r="Z260" s="1035">
        <f t="shared" si="239"/>
        <v>0</v>
      </c>
      <c r="AA260" s="1036">
        <v>0</v>
      </c>
      <c r="AB260" s="1018"/>
      <c r="AC260" s="1021">
        <f t="shared" si="213"/>
        <v>0</v>
      </c>
      <c r="AD260" s="1034">
        <f t="shared" si="214"/>
        <v>1</v>
      </c>
      <c r="AE260" s="1035">
        <f t="shared" si="240"/>
        <v>0</v>
      </c>
      <c r="AF260" s="1036">
        <v>0</v>
      </c>
      <c r="AG260" s="1018"/>
      <c r="AH260" s="1037">
        <f t="shared" si="215"/>
        <v>0</v>
      </c>
      <c r="AI260" s="1034">
        <f t="shared" si="216"/>
        <v>1</v>
      </c>
      <c r="AJ260" s="1035">
        <f t="shared" si="241"/>
        <v>0</v>
      </c>
      <c r="AK260" s="1036">
        <v>0</v>
      </c>
      <c r="AL260" s="1018"/>
      <c r="AM260" s="1021">
        <f t="shared" si="217"/>
        <v>0</v>
      </c>
      <c r="AN260" s="1034">
        <f t="shared" si="218"/>
        <v>1</v>
      </c>
      <c r="AO260" s="1035">
        <f t="shared" si="242"/>
        <v>0</v>
      </c>
      <c r="AP260" s="1036">
        <v>0</v>
      </c>
      <c r="AQ260" s="1018"/>
      <c r="AR260" s="1037">
        <f t="shared" si="219"/>
        <v>0</v>
      </c>
      <c r="AS260" s="1034">
        <f t="shared" si="220"/>
        <v>1</v>
      </c>
      <c r="AT260" s="1035">
        <f t="shared" si="243"/>
        <v>0</v>
      </c>
      <c r="AU260" s="1036">
        <v>0</v>
      </c>
      <c r="AV260" s="1018"/>
      <c r="AW260" s="1021">
        <f t="shared" si="221"/>
        <v>0</v>
      </c>
      <c r="AX260" s="1034">
        <f t="shared" si="222"/>
        <v>1</v>
      </c>
      <c r="AY260" s="1035">
        <f t="shared" si="244"/>
        <v>0</v>
      </c>
      <c r="AZ260" s="1036">
        <v>0</v>
      </c>
      <c r="BA260" s="1036"/>
      <c r="BB260" s="1021">
        <f t="shared" si="223"/>
        <v>0</v>
      </c>
      <c r="BC260" s="1034">
        <f t="shared" si="224"/>
        <v>1</v>
      </c>
      <c r="BD260" s="1035">
        <f t="shared" si="245"/>
        <v>0</v>
      </c>
      <c r="BE260" s="1038">
        <v>0</v>
      </c>
      <c r="BF260" s="1018"/>
      <c r="BG260" s="1021">
        <f t="shared" si="225"/>
        <v>0</v>
      </c>
      <c r="BH260" s="1039">
        <f t="shared" si="226"/>
        <v>0</v>
      </c>
      <c r="BI260" s="1038">
        <f t="shared" si="227"/>
        <v>0</v>
      </c>
      <c r="BJ260" s="1027">
        <f t="shared" si="228"/>
        <v>0</v>
      </c>
      <c r="BK260" s="1021">
        <f t="shared" si="229"/>
        <v>0</v>
      </c>
      <c r="BL260" s="1040">
        <f t="shared" si="230"/>
        <v>0</v>
      </c>
      <c r="BM260" s="1038">
        <f t="shared" si="231"/>
        <v>0</v>
      </c>
      <c r="BN260" s="1027"/>
      <c r="BO260" s="1041"/>
      <c r="BP260" s="95">
        <f t="shared" si="247"/>
        <v>0</v>
      </c>
      <c r="BQ260" s="842">
        <f t="shared" si="248"/>
        <v>0</v>
      </c>
      <c r="BS260" s="94">
        <f t="shared" si="232"/>
        <v>0</v>
      </c>
      <c r="BU260" s="632">
        <f t="shared" si="233"/>
        <v>0</v>
      </c>
      <c r="BV260" s="398"/>
      <c r="BW260" s="405"/>
      <c r="CI260" s="96"/>
    </row>
    <row r="261" spans="1:87" ht="14.25" hidden="1" outlineLevel="1" thickTop="1" thickBot="1">
      <c r="A261" s="57"/>
      <c r="B261" s="92">
        <v>21</v>
      </c>
      <c r="C261" s="1029"/>
      <c r="D261" s="1031"/>
      <c r="E261" s="1030"/>
      <c r="F261" s="1031"/>
      <c r="G261" s="1029"/>
      <c r="H261" s="1032">
        <f t="shared" si="234"/>
        <v>1</v>
      </c>
      <c r="I261" s="1033"/>
      <c r="J261" s="1034">
        <f t="shared" si="235"/>
        <v>1</v>
      </c>
      <c r="K261" s="1035">
        <f t="shared" si="255"/>
        <v>0</v>
      </c>
      <c r="L261" s="1036"/>
      <c r="M261" s="1018"/>
      <c r="N261" s="1037">
        <f t="shared" si="253"/>
        <v>0</v>
      </c>
      <c r="O261" s="1034">
        <f t="shared" si="207"/>
        <v>1</v>
      </c>
      <c r="P261" s="1035">
        <f t="shared" si="252"/>
        <v>0</v>
      </c>
      <c r="Q261" s="1036"/>
      <c r="R261" s="1018"/>
      <c r="S261" s="1020">
        <f t="shared" si="254"/>
        <v>0</v>
      </c>
      <c r="T261" s="1034">
        <f t="shared" si="210"/>
        <v>1</v>
      </c>
      <c r="U261" s="1035">
        <f t="shared" si="238"/>
        <v>0</v>
      </c>
      <c r="V261" s="1036">
        <v>0</v>
      </c>
      <c r="W261" s="1018"/>
      <c r="X261" s="1037">
        <f t="shared" si="250"/>
        <v>0</v>
      </c>
      <c r="Y261" s="1034">
        <f t="shared" si="212"/>
        <v>1</v>
      </c>
      <c r="Z261" s="1035">
        <f t="shared" si="239"/>
        <v>0</v>
      </c>
      <c r="AA261" s="1036">
        <v>0</v>
      </c>
      <c r="AB261" s="1018"/>
      <c r="AC261" s="1021">
        <f t="shared" si="213"/>
        <v>0</v>
      </c>
      <c r="AD261" s="1034">
        <f t="shared" si="214"/>
        <v>1</v>
      </c>
      <c r="AE261" s="1035">
        <f t="shared" si="240"/>
        <v>0</v>
      </c>
      <c r="AF261" s="1036">
        <v>0</v>
      </c>
      <c r="AG261" s="1018"/>
      <c r="AH261" s="1037">
        <f t="shared" si="215"/>
        <v>0</v>
      </c>
      <c r="AI261" s="1034">
        <f t="shared" si="216"/>
        <v>1</v>
      </c>
      <c r="AJ261" s="1035">
        <f t="shared" si="241"/>
        <v>0</v>
      </c>
      <c r="AK261" s="1036">
        <v>0</v>
      </c>
      <c r="AL261" s="1018"/>
      <c r="AM261" s="1021">
        <f t="shared" si="217"/>
        <v>0</v>
      </c>
      <c r="AN261" s="1034">
        <f t="shared" si="218"/>
        <v>1</v>
      </c>
      <c r="AO261" s="1035">
        <f t="shared" si="242"/>
        <v>0</v>
      </c>
      <c r="AP261" s="1036">
        <v>0</v>
      </c>
      <c r="AQ261" s="1018"/>
      <c r="AR261" s="1037">
        <f t="shared" si="219"/>
        <v>0</v>
      </c>
      <c r="AS261" s="1034">
        <f t="shared" si="220"/>
        <v>1</v>
      </c>
      <c r="AT261" s="1035">
        <f t="shared" si="243"/>
        <v>0</v>
      </c>
      <c r="AU261" s="1038">
        <v>0</v>
      </c>
      <c r="AV261" s="1018"/>
      <c r="AW261" s="1021">
        <f t="shared" si="221"/>
        <v>0</v>
      </c>
      <c r="AX261" s="1034">
        <f t="shared" si="222"/>
        <v>1</v>
      </c>
      <c r="AY261" s="1035">
        <f t="shared" si="244"/>
        <v>0</v>
      </c>
      <c r="AZ261" s="1036">
        <v>0</v>
      </c>
      <c r="BA261" s="1036"/>
      <c r="BB261" s="1021">
        <f t="shared" si="223"/>
        <v>0</v>
      </c>
      <c r="BC261" s="1034">
        <f t="shared" si="224"/>
        <v>1</v>
      </c>
      <c r="BD261" s="1035">
        <f t="shared" si="245"/>
        <v>0</v>
      </c>
      <c r="BE261" s="1038">
        <v>0</v>
      </c>
      <c r="BF261" s="1018"/>
      <c r="BG261" s="1021">
        <f t="shared" si="225"/>
        <v>0</v>
      </c>
      <c r="BH261" s="1039">
        <f t="shared" si="226"/>
        <v>0</v>
      </c>
      <c r="BI261" s="1038">
        <f t="shared" si="227"/>
        <v>0</v>
      </c>
      <c r="BJ261" s="1027">
        <f t="shared" si="228"/>
        <v>0</v>
      </c>
      <c r="BK261" s="1021">
        <f t="shared" si="229"/>
        <v>0</v>
      </c>
      <c r="BL261" s="1040">
        <f t="shared" si="230"/>
        <v>0</v>
      </c>
      <c r="BM261" s="1038">
        <f t="shared" si="231"/>
        <v>0</v>
      </c>
      <c r="BN261" s="1027"/>
      <c r="BO261" s="1041"/>
      <c r="BP261" s="95">
        <f t="shared" si="247"/>
        <v>0</v>
      </c>
      <c r="BQ261" s="842">
        <f t="shared" si="248"/>
        <v>0</v>
      </c>
      <c r="BS261" s="94">
        <f t="shared" si="232"/>
        <v>0</v>
      </c>
      <c r="BU261" s="632">
        <f t="shared" si="233"/>
        <v>0</v>
      </c>
      <c r="BV261" s="398"/>
      <c r="BW261" s="405"/>
      <c r="CI261" s="96"/>
    </row>
    <row r="262" spans="1:87" ht="14.25" hidden="1" outlineLevel="1" thickTop="1" thickBot="1">
      <c r="A262" s="57"/>
      <c r="B262" s="92">
        <v>22</v>
      </c>
      <c r="C262" s="1029"/>
      <c r="D262" s="1031"/>
      <c r="E262" s="1030"/>
      <c r="F262" s="1031"/>
      <c r="G262" s="1029"/>
      <c r="H262" s="1032">
        <f t="shared" si="234"/>
        <v>1</v>
      </c>
      <c r="I262" s="1033"/>
      <c r="J262" s="1034">
        <f t="shared" si="235"/>
        <v>1</v>
      </c>
      <c r="K262" s="1035">
        <f t="shared" si="255"/>
        <v>0</v>
      </c>
      <c r="L262" s="1036"/>
      <c r="M262" s="1018"/>
      <c r="N262" s="1037">
        <f t="shared" si="253"/>
        <v>0</v>
      </c>
      <c r="O262" s="1034">
        <f t="shared" si="207"/>
        <v>1</v>
      </c>
      <c r="P262" s="1035">
        <f t="shared" si="252"/>
        <v>0</v>
      </c>
      <c r="Q262" s="1036"/>
      <c r="R262" s="1018"/>
      <c r="S262" s="1020">
        <f t="shared" si="254"/>
        <v>0</v>
      </c>
      <c r="T262" s="1034">
        <f t="shared" si="210"/>
        <v>1</v>
      </c>
      <c r="U262" s="1035">
        <f t="shared" si="238"/>
        <v>0</v>
      </c>
      <c r="V262" s="1036">
        <v>0</v>
      </c>
      <c r="W262" s="1018"/>
      <c r="X262" s="1037">
        <f t="shared" si="250"/>
        <v>0</v>
      </c>
      <c r="Y262" s="1034">
        <f t="shared" si="212"/>
        <v>1</v>
      </c>
      <c r="Z262" s="1035">
        <f t="shared" si="239"/>
        <v>0</v>
      </c>
      <c r="AA262" s="1036">
        <v>0</v>
      </c>
      <c r="AB262" s="1018"/>
      <c r="AC262" s="1021">
        <f t="shared" si="213"/>
        <v>0</v>
      </c>
      <c r="AD262" s="1034">
        <f t="shared" si="214"/>
        <v>1</v>
      </c>
      <c r="AE262" s="1035">
        <f t="shared" si="240"/>
        <v>0</v>
      </c>
      <c r="AF262" s="1036">
        <v>0</v>
      </c>
      <c r="AG262" s="1018"/>
      <c r="AH262" s="1037">
        <f t="shared" si="215"/>
        <v>0</v>
      </c>
      <c r="AI262" s="1034">
        <f t="shared" si="216"/>
        <v>1</v>
      </c>
      <c r="AJ262" s="1035">
        <f t="shared" si="241"/>
        <v>0</v>
      </c>
      <c r="AK262" s="1036">
        <v>0</v>
      </c>
      <c r="AL262" s="1018"/>
      <c r="AM262" s="1021">
        <f t="shared" si="217"/>
        <v>0</v>
      </c>
      <c r="AN262" s="1034">
        <f t="shared" si="218"/>
        <v>1</v>
      </c>
      <c r="AO262" s="1035">
        <f t="shared" si="242"/>
        <v>0</v>
      </c>
      <c r="AP262" s="1036">
        <v>0</v>
      </c>
      <c r="AQ262" s="1018"/>
      <c r="AR262" s="1037">
        <f t="shared" si="219"/>
        <v>0</v>
      </c>
      <c r="AS262" s="1034">
        <f t="shared" si="220"/>
        <v>1</v>
      </c>
      <c r="AT262" s="1035">
        <f t="shared" si="243"/>
        <v>0</v>
      </c>
      <c r="AU262" s="1036">
        <v>0</v>
      </c>
      <c r="AV262" s="1018"/>
      <c r="AW262" s="1021">
        <f t="shared" si="221"/>
        <v>0</v>
      </c>
      <c r="AX262" s="1034">
        <f t="shared" si="222"/>
        <v>1</v>
      </c>
      <c r="AY262" s="1035">
        <f t="shared" si="244"/>
        <v>0</v>
      </c>
      <c r="AZ262" s="1036">
        <v>0</v>
      </c>
      <c r="BA262" s="1036"/>
      <c r="BB262" s="1021">
        <f t="shared" si="223"/>
        <v>0</v>
      </c>
      <c r="BC262" s="1034">
        <f t="shared" si="224"/>
        <v>1</v>
      </c>
      <c r="BD262" s="1035">
        <f t="shared" si="245"/>
        <v>0</v>
      </c>
      <c r="BE262" s="1038">
        <v>0</v>
      </c>
      <c r="BF262" s="1018"/>
      <c r="BG262" s="1021">
        <f t="shared" si="225"/>
        <v>0</v>
      </c>
      <c r="BH262" s="1039">
        <f t="shared" si="226"/>
        <v>0</v>
      </c>
      <c r="BI262" s="1038">
        <f t="shared" si="227"/>
        <v>0</v>
      </c>
      <c r="BJ262" s="1027">
        <f t="shared" si="228"/>
        <v>0</v>
      </c>
      <c r="BK262" s="1021">
        <f t="shared" si="229"/>
        <v>0</v>
      </c>
      <c r="BL262" s="1040">
        <f t="shared" si="230"/>
        <v>0</v>
      </c>
      <c r="BM262" s="1038">
        <f t="shared" si="231"/>
        <v>0</v>
      </c>
      <c r="BN262" s="1027"/>
      <c r="BO262" s="1041"/>
      <c r="BP262" s="95">
        <f t="shared" si="247"/>
        <v>0</v>
      </c>
      <c r="BQ262" s="842">
        <f t="shared" si="248"/>
        <v>0</v>
      </c>
      <c r="BS262" s="94">
        <f t="shared" si="232"/>
        <v>0</v>
      </c>
      <c r="BU262" s="632">
        <f t="shared" si="233"/>
        <v>0</v>
      </c>
      <c r="BV262" s="398"/>
      <c r="BW262" s="405"/>
      <c r="CI262" s="96"/>
    </row>
    <row r="263" spans="1:87" ht="14.25" hidden="1" outlineLevel="1" thickTop="1" thickBot="1">
      <c r="A263" s="57"/>
      <c r="B263" s="92">
        <v>23</v>
      </c>
      <c r="C263" s="1029"/>
      <c r="D263" s="1031"/>
      <c r="E263" s="1030"/>
      <c r="F263" s="1031"/>
      <c r="G263" s="1029"/>
      <c r="H263" s="1032">
        <f t="shared" si="234"/>
        <v>1</v>
      </c>
      <c r="I263" s="1033"/>
      <c r="J263" s="1034">
        <f t="shared" si="235"/>
        <v>1</v>
      </c>
      <c r="K263" s="1035">
        <f t="shared" si="255"/>
        <v>0</v>
      </c>
      <c r="L263" s="1036"/>
      <c r="M263" s="1018"/>
      <c r="N263" s="1037">
        <f t="shared" si="253"/>
        <v>0</v>
      </c>
      <c r="O263" s="1034">
        <f t="shared" si="207"/>
        <v>1</v>
      </c>
      <c r="P263" s="1035">
        <f t="shared" si="252"/>
        <v>0</v>
      </c>
      <c r="Q263" s="1036"/>
      <c r="R263" s="1018"/>
      <c r="S263" s="1020">
        <f t="shared" si="254"/>
        <v>0</v>
      </c>
      <c r="T263" s="1034">
        <f t="shared" si="210"/>
        <v>1</v>
      </c>
      <c r="U263" s="1035">
        <f t="shared" si="238"/>
        <v>0</v>
      </c>
      <c r="V263" s="1036">
        <v>0</v>
      </c>
      <c r="W263" s="1018"/>
      <c r="X263" s="1037">
        <f t="shared" si="250"/>
        <v>0</v>
      </c>
      <c r="Y263" s="1034">
        <f t="shared" si="212"/>
        <v>1</v>
      </c>
      <c r="Z263" s="1035">
        <f t="shared" si="239"/>
        <v>0</v>
      </c>
      <c r="AA263" s="1036">
        <v>0</v>
      </c>
      <c r="AB263" s="1018"/>
      <c r="AC263" s="1021">
        <f t="shared" si="213"/>
        <v>0</v>
      </c>
      <c r="AD263" s="1034">
        <f t="shared" si="214"/>
        <v>1</v>
      </c>
      <c r="AE263" s="1035">
        <f t="shared" si="240"/>
        <v>0</v>
      </c>
      <c r="AF263" s="1036">
        <v>0</v>
      </c>
      <c r="AG263" s="1018"/>
      <c r="AH263" s="1037">
        <f t="shared" si="215"/>
        <v>0</v>
      </c>
      <c r="AI263" s="1034">
        <f t="shared" si="216"/>
        <v>1</v>
      </c>
      <c r="AJ263" s="1035">
        <f t="shared" si="241"/>
        <v>0</v>
      </c>
      <c r="AK263" s="1036">
        <v>0</v>
      </c>
      <c r="AL263" s="1018"/>
      <c r="AM263" s="1021">
        <f t="shared" si="217"/>
        <v>0</v>
      </c>
      <c r="AN263" s="1034">
        <f t="shared" si="218"/>
        <v>1</v>
      </c>
      <c r="AO263" s="1035">
        <f t="shared" si="242"/>
        <v>0</v>
      </c>
      <c r="AP263" s="1036">
        <v>0</v>
      </c>
      <c r="AQ263" s="1018"/>
      <c r="AR263" s="1037">
        <f t="shared" si="219"/>
        <v>0</v>
      </c>
      <c r="AS263" s="1034">
        <f t="shared" si="220"/>
        <v>1</v>
      </c>
      <c r="AT263" s="1035">
        <f t="shared" si="243"/>
        <v>0</v>
      </c>
      <c r="AU263" s="1038">
        <v>0</v>
      </c>
      <c r="AV263" s="1018"/>
      <c r="AW263" s="1021">
        <f t="shared" si="221"/>
        <v>0</v>
      </c>
      <c r="AX263" s="1034">
        <f t="shared" si="222"/>
        <v>1</v>
      </c>
      <c r="AY263" s="1035">
        <f t="shared" si="244"/>
        <v>0</v>
      </c>
      <c r="AZ263" s="1036">
        <v>0</v>
      </c>
      <c r="BA263" s="1036"/>
      <c r="BB263" s="1021">
        <f t="shared" si="223"/>
        <v>0</v>
      </c>
      <c r="BC263" s="1034">
        <f t="shared" si="224"/>
        <v>1</v>
      </c>
      <c r="BD263" s="1035">
        <f t="shared" si="245"/>
        <v>0</v>
      </c>
      <c r="BE263" s="1038">
        <v>0</v>
      </c>
      <c r="BF263" s="1018"/>
      <c r="BG263" s="1021">
        <f t="shared" si="225"/>
        <v>0</v>
      </c>
      <c r="BH263" s="1039">
        <f t="shared" si="226"/>
        <v>0</v>
      </c>
      <c r="BI263" s="1038">
        <f t="shared" si="227"/>
        <v>0</v>
      </c>
      <c r="BJ263" s="1027">
        <f t="shared" si="228"/>
        <v>0</v>
      </c>
      <c r="BK263" s="1021">
        <f t="shared" si="229"/>
        <v>0</v>
      </c>
      <c r="BL263" s="1040">
        <f t="shared" si="230"/>
        <v>0</v>
      </c>
      <c r="BM263" s="1038">
        <f t="shared" si="231"/>
        <v>0</v>
      </c>
      <c r="BN263" s="1027"/>
      <c r="BO263" s="1041"/>
      <c r="BP263" s="95">
        <f t="shared" si="247"/>
        <v>0</v>
      </c>
      <c r="BQ263" s="842">
        <f t="shared" si="248"/>
        <v>0</v>
      </c>
      <c r="BS263" s="94">
        <f t="shared" si="232"/>
        <v>0</v>
      </c>
      <c r="BU263" s="632">
        <f t="shared" si="233"/>
        <v>0</v>
      </c>
      <c r="BV263" s="398"/>
      <c r="BW263" s="405"/>
      <c r="CI263" s="96"/>
    </row>
    <row r="264" spans="1:87" ht="13.5" hidden="1" customHeight="1" outlineLevel="1" thickTop="1" thickBot="1">
      <c r="A264" s="57"/>
      <c r="B264" s="92">
        <v>24</v>
      </c>
      <c r="C264" s="1029"/>
      <c r="D264" s="1031"/>
      <c r="E264" s="1030"/>
      <c r="F264" s="1031"/>
      <c r="G264" s="1029"/>
      <c r="H264" s="1032">
        <f t="shared" si="234"/>
        <v>1</v>
      </c>
      <c r="I264" s="1033"/>
      <c r="J264" s="1034">
        <f t="shared" si="235"/>
        <v>1</v>
      </c>
      <c r="K264" s="1035">
        <f t="shared" si="255"/>
        <v>0</v>
      </c>
      <c r="L264" s="1036"/>
      <c r="M264" s="1018"/>
      <c r="N264" s="1037">
        <f t="shared" si="253"/>
        <v>0</v>
      </c>
      <c r="O264" s="1034">
        <f t="shared" si="207"/>
        <v>1</v>
      </c>
      <c r="P264" s="1035">
        <f t="shared" si="252"/>
        <v>0</v>
      </c>
      <c r="Q264" s="1036"/>
      <c r="R264" s="1018"/>
      <c r="S264" s="1020">
        <f t="shared" si="254"/>
        <v>0</v>
      </c>
      <c r="T264" s="1034">
        <f t="shared" si="210"/>
        <v>1</v>
      </c>
      <c r="U264" s="1035">
        <f t="shared" si="238"/>
        <v>0</v>
      </c>
      <c r="V264" s="1036">
        <v>0</v>
      </c>
      <c r="W264" s="1018"/>
      <c r="X264" s="1037">
        <f t="shared" si="250"/>
        <v>0</v>
      </c>
      <c r="Y264" s="1034">
        <f t="shared" si="212"/>
        <v>1</v>
      </c>
      <c r="Z264" s="1035">
        <f t="shared" si="239"/>
        <v>0</v>
      </c>
      <c r="AA264" s="1036">
        <v>0</v>
      </c>
      <c r="AB264" s="1018"/>
      <c r="AC264" s="1021">
        <f t="shared" si="213"/>
        <v>0</v>
      </c>
      <c r="AD264" s="1034">
        <f t="shared" si="214"/>
        <v>1</v>
      </c>
      <c r="AE264" s="1035">
        <f t="shared" si="240"/>
        <v>0</v>
      </c>
      <c r="AF264" s="1036">
        <v>0</v>
      </c>
      <c r="AG264" s="1018"/>
      <c r="AH264" s="1037">
        <f t="shared" si="215"/>
        <v>0</v>
      </c>
      <c r="AI264" s="1034">
        <f t="shared" si="216"/>
        <v>1</v>
      </c>
      <c r="AJ264" s="1035">
        <f t="shared" si="241"/>
        <v>0</v>
      </c>
      <c r="AK264" s="1036">
        <v>0</v>
      </c>
      <c r="AL264" s="1018"/>
      <c r="AM264" s="1021">
        <f t="shared" si="217"/>
        <v>0</v>
      </c>
      <c r="AN264" s="1034">
        <f t="shared" si="218"/>
        <v>1</v>
      </c>
      <c r="AO264" s="1035">
        <f t="shared" si="242"/>
        <v>0</v>
      </c>
      <c r="AP264" s="1036">
        <v>0</v>
      </c>
      <c r="AQ264" s="1018"/>
      <c r="AR264" s="1037">
        <f t="shared" si="219"/>
        <v>0</v>
      </c>
      <c r="AS264" s="1034">
        <f t="shared" si="220"/>
        <v>1</v>
      </c>
      <c r="AT264" s="1035">
        <f t="shared" si="243"/>
        <v>0</v>
      </c>
      <c r="AU264" s="1036">
        <v>0</v>
      </c>
      <c r="AV264" s="1018"/>
      <c r="AW264" s="1021">
        <f t="shared" si="221"/>
        <v>0</v>
      </c>
      <c r="AX264" s="1034">
        <f t="shared" si="222"/>
        <v>1</v>
      </c>
      <c r="AY264" s="1035">
        <f t="shared" si="244"/>
        <v>0</v>
      </c>
      <c r="AZ264" s="1036">
        <v>0</v>
      </c>
      <c r="BA264" s="1036"/>
      <c r="BB264" s="1021">
        <f t="shared" si="223"/>
        <v>0</v>
      </c>
      <c r="BC264" s="1034">
        <f t="shared" si="224"/>
        <v>1</v>
      </c>
      <c r="BD264" s="1035">
        <f t="shared" si="245"/>
        <v>0</v>
      </c>
      <c r="BE264" s="1038">
        <v>0</v>
      </c>
      <c r="BF264" s="1018"/>
      <c r="BG264" s="1021">
        <f t="shared" si="225"/>
        <v>0</v>
      </c>
      <c r="BH264" s="1039">
        <f t="shared" si="226"/>
        <v>0</v>
      </c>
      <c r="BI264" s="1038">
        <f t="shared" si="227"/>
        <v>0</v>
      </c>
      <c r="BJ264" s="1027">
        <f t="shared" si="228"/>
        <v>0</v>
      </c>
      <c r="BK264" s="1021">
        <f t="shared" si="229"/>
        <v>0</v>
      </c>
      <c r="BL264" s="1040">
        <f t="shared" si="230"/>
        <v>0</v>
      </c>
      <c r="BM264" s="1038">
        <f t="shared" si="231"/>
        <v>0</v>
      </c>
      <c r="BN264" s="1027"/>
      <c r="BO264" s="1041"/>
      <c r="BP264" s="95">
        <f t="shared" si="247"/>
        <v>0</v>
      </c>
      <c r="BQ264" s="842">
        <f t="shared" si="248"/>
        <v>0</v>
      </c>
      <c r="BS264" s="94">
        <f t="shared" si="232"/>
        <v>0</v>
      </c>
      <c r="BU264" s="632">
        <f t="shared" si="233"/>
        <v>0</v>
      </c>
      <c r="BV264" s="398"/>
      <c r="BW264" s="405"/>
      <c r="CI264" s="96"/>
    </row>
    <row r="265" spans="1:87" ht="14.25" hidden="1" outlineLevel="1" thickTop="1" thickBot="1">
      <c r="A265" s="57"/>
      <c r="B265" s="92">
        <v>25</v>
      </c>
      <c r="C265" s="1029"/>
      <c r="D265" s="1031"/>
      <c r="E265" s="1030"/>
      <c r="F265" s="1031"/>
      <c r="G265" s="1029"/>
      <c r="H265" s="1032">
        <f t="shared" si="234"/>
        <v>1</v>
      </c>
      <c r="I265" s="1033"/>
      <c r="J265" s="1034">
        <f t="shared" si="235"/>
        <v>1</v>
      </c>
      <c r="K265" s="1035">
        <f t="shared" si="255"/>
        <v>0</v>
      </c>
      <c r="L265" s="1036"/>
      <c r="M265" s="1018"/>
      <c r="N265" s="1037">
        <f t="shared" si="253"/>
        <v>0</v>
      </c>
      <c r="O265" s="1034">
        <f t="shared" si="207"/>
        <v>1</v>
      </c>
      <c r="P265" s="1035">
        <f t="shared" si="252"/>
        <v>0</v>
      </c>
      <c r="Q265" s="1036"/>
      <c r="R265" s="1018"/>
      <c r="S265" s="1020">
        <f t="shared" si="254"/>
        <v>0</v>
      </c>
      <c r="T265" s="1034">
        <f t="shared" si="210"/>
        <v>1</v>
      </c>
      <c r="U265" s="1035">
        <f t="shared" si="238"/>
        <v>0</v>
      </c>
      <c r="V265" s="1036">
        <v>0</v>
      </c>
      <c r="W265" s="1018"/>
      <c r="X265" s="1037">
        <f t="shared" si="250"/>
        <v>0</v>
      </c>
      <c r="Y265" s="1034">
        <f t="shared" si="212"/>
        <v>1</v>
      </c>
      <c r="Z265" s="1035">
        <f t="shared" si="239"/>
        <v>0</v>
      </c>
      <c r="AA265" s="1036">
        <v>0</v>
      </c>
      <c r="AB265" s="1018"/>
      <c r="AC265" s="1021">
        <f t="shared" si="213"/>
        <v>0</v>
      </c>
      <c r="AD265" s="1034">
        <f t="shared" si="214"/>
        <v>1</v>
      </c>
      <c r="AE265" s="1035">
        <f t="shared" si="240"/>
        <v>0</v>
      </c>
      <c r="AF265" s="1036">
        <v>0</v>
      </c>
      <c r="AG265" s="1018"/>
      <c r="AH265" s="1037">
        <f t="shared" si="215"/>
        <v>0</v>
      </c>
      <c r="AI265" s="1034">
        <f t="shared" si="216"/>
        <v>1</v>
      </c>
      <c r="AJ265" s="1035">
        <f t="shared" si="241"/>
        <v>0</v>
      </c>
      <c r="AK265" s="1036">
        <v>0</v>
      </c>
      <c r="AL265" s="1018"/>
      <c r="AM265" s="1021">
        <f t="shared" si="217"/>
        <v>0</v>
      </c>
      <c r="AN265" s="1034">
        <f t="shared" si="218"/>
        <v>1</v>
      </c>
      <c r="AO265" s="1035">
        <f t="shared" si="242"/>
        <v>0</v>
      </c>
      <c r="AP265" s="1036">
        <v>0</v>
      </c>
      <c r="AQ265" s="1018"/>
      <c r="AR265" s="1037">
        <f t="shared" si="219"/>
        <v>0</v>
      </c>
      <c r="AS265" s="1034">
        <f t="shared" si="220"/>
        <v>1</v>
      </c>
      <c r="AT265" s="1035">
        <f t="shared" si="243"/>
        <v>0</v>
      </c>
      <c r="AU265" s="1038">
        <v>0</v>
      </c>
      <c r="AV265" s="1018"/>
      <c r="AW265" s="1021">
        <f t="shared" si="221"/>
        <v>0</v>
      </c>
      <c r="AX265" s="1034">
        <f t="shared" si="222"/>
        <v>1</v>
      </c>
      <c r="AY265" s="1035">
        <f t="shared" si="244"/>
        <v>0</v>
      </c>
      <c r="AZ265" s="1036">
        <v>0</v>
      </c>
      <c r="BA265" s="1036"/>
      <c r="BB265" s="1021">
        <f t="shared" si="223"/>
        <v>0</v>
      </c>
      <c r="BC265" s="1034">
        <f t="shared" si="224"/>
        <v>1</v>
      </c>
      <c r="BD265" s="1035">
        <f t="shared" si="245"/>
        <v>0</v>
      </c>
      <c r="BE265" s="1038">
        <v>0</v>
      </c>
      <c r="BF265" s="1018"/>
      <c r="BG265" s="1021">
        <f t="shared" si="225"/>
        <v>0</v>
      </c>
      <c r="BH265" s="1039">
        <f t="shared" si="226"/>
        <v>0</v>
      </c>
      <c r="BI265" s="1038">
        <f t="shared" si="227"/>
        <v>0</v>
      </c>
      <c r="BJ265" s="1027">
        <f t="shared" si="228"/>
        <v>0</v>
      </c>
      <c r="BK265" s="1021">
        <f t="shared" si="229"/>
        <v>0</v>
      </c>
      <c r="BL265" s="1040">
        <f t="shared" si="230"/>
        <v>0</v>
      </c>
      <c r="BM265" s="1038">
        <f t="shared" si="231"/>
        <v>0</v>
      </c>
      <c r="BN265" s="1027"/>
      <c r="BO265" s="1041"/>
      <c r="BP265" s="95">
        <f t="shared" si="247"/>
        <v>0</v>
      </c>
      <c r="BQ265" s="842">
        <f t="shared" si="248"/>
        <v>0</v>
      </c>
      <c r="BS265" s="94">
        <f t="shared" si="232"/>
        <v>0</v>
      </c>
      <c r="BU265" s="632">
        <f t="shared" si="233"/>
        <v>0</v>
      </c>
      <c r="BV265" s="398"/>
      <c r="BW265" s="405"/>
      <c r="CI265" s="96"/>
    </row>
    <row r="266" spans="1:87" ht="14.25" hidden="1" outlineLevel="1" thickTop="1" thickBot="1">
      <c r="A266" s="57"/>
      <c r="B266" s="92">
        <v>26</v>
      </c>
      <c r="C266" s="1029"/>
      <c r="D266" s="1031"/>
      <c r="E266" s="1030"/>
      <c r="F266" s="1031"/>
      <c r="G266" s="1029"/>
      <c r="H266" s="1032">
        <f t="shared" si="234"/>
        <v>1</v>
      </c>
      <c r="I266" s="1033"/>
      <c r="J266" s="1034">
        <f t="shared" si="235"/>
        <v>1</v>
      </c>
      <c r="K266" s="1035">
        <f t="shared" si="255"/>
        <v>0</v>
      </c>
      <c r="L266" s="1036"/>
      <c r="M266" s="1018"/>
      <c r="N266" s="1037">
        <f t="shared" si="253"/>
        <v>0</v>
      </c>
      <c r="O266" s="1034">
        <f t="shared" si="207"/>
        <v>1</v>
      </c>
      <c r="P266" s="1035">
        <f t="shared" si="252"/>
        <v>0</v>
      </c>
      <c r="Q266" s="1036"/>
      <c r="R266" s="1018"/>
      <c r="S266" s="1020">
        <f t="shared" si="254"/>
        <v>0</v>
      </c>
      <c r="T266" s="1034">
        <f t="shared" si="210"/>
        <v>1</v>
      </c>
      <c r="U266" s="1035">
        <f t="shared" si="238"/>
        <v>0</v>
      </c>
      <c r="V266" s="1036">
        <v>0</v>
      </c>
      <c r="W266" s="1018"/>
      <c r="X266" s="1037">
        <f t="shared" si="250"/>
        <v>0</v>
      </c>
      <c r="Y266" s="1034">
        <f t="shared" si="212"/>
        <v>1</v>
      </c>
      <c r="Z266" s="1035">
        <f t="shared" si="239"/>
        <v>0</v>
      </c>
      <c r="AA266" s="1036">
        <v>0</v>
      </c>
      <c r="AB266" s="1018"/>
      <c r="AC266" s="1021">
        <f t="shared" si="213"/>
        <v>0</v>
      </c>
      <c r="AD266" s="1034">
        <f t="shared" si="214"/>
        <v>1</v>
      </c>
      <c r="AE266" s="1035">
        <f t="shared" si="240"/>
        <v>0</v>
      </c>
      <c r="AF266" s="1036">
        <v>0</v>
      </c>
      <c r="AG266" s="1018"/>
      <c r="AH266" s="1037">
        <f t="shared" si="215"/>
        <v>0</v>
      </c>
      <c r="AI266" s="1034">
        <f t="shared" si="216"/>
        <v>1</v>
      </c>
      <c r="AJ266" s="1035">
        <f t="shared" si="241"/>
        <v>0</v>
      </c>
      <c r="AK266" s="1036">
        <v>0</v>
      </c>
      <c r="AL266" s="1018"/>
      <c r="AM266" s="1021">
        <f t="shared" si="217"/>
        <v>0</v>
      </c>
      <c r="AN266" s="1034">
        <f t="shared" si="218"/>
        <v>1</v>
      </c>
      <c r="AO266" s="1035">
        <f t="shared" si="242"/>
        <v>0</v>
      </c>
      <c r="AP266" s="1036">
        <v>0</v>
      </c>
      <c r="AQ266" s="1018"/>
      <c r="AR266" s="1037">
        <f t="shared" si="219"/>
        <v>0</v>
      </c>
      <c r="AS266" s="1034">
        <f t="shared" si="220"/>
        <v>1</v>
      </c>
      <c r="AT266" s="1035">
        <f t="shared" si="243"/>
        <v>0</v>
      </c>
      <c r="AU266" s="1036">
        <v>0</v>
      </c>
      <c r="AV266" s="1018"/>
      <c r="AW266" s="1021">
        <f t="shared" si="221"/>
        <v>0</v>
      </c>
      <c r="AX266" s="1034">
        <f t="shared" si="222"/>
        <v>1</v>
      </c>
      <c r="AY266" s="1035">
        <f t="shared" si="244"/>
        <v>0</v>
      </c>
      <c r="AZ266" s="1036">
        <v>0</v>
      </c>
      <c r="BA266" s="1036"/>
      <c r="BB266" s="1021">
        <f t="shared" si="223"/>
        <v>0</v>
      </c>
      <c r="BC266" s="1034">
        <f t="shared" si="224"/>
        <v>1</v>
      </c>
      <c r="BD266" s="1035">
        <f t="shared" si="245"/>
        <v>0</v>
      </c>
      <c r="BE266" s="1038">
        <v>0</v>
      </c>
      <c r="BF266" s="1018"/>
      <c r="BG266" s="1021">
        <f t="shared" si="225"/>
        <v>0</v>
      </c>
      <c r="BH266" s="1039">
        <f t="shared" si="226"/>
        <v>0</v>
      </c>
      <c r="BI266" s="1038">
        <f t="shared" si="227"/>
        <v>0</v>
      </c>
      <c r="BJ266" s="1027">
        <f t="shared" si="228"/>
        <v>0</v>
      </c>
      <c r="BK266" s="1021">
        <f t="shared" si="229"/>
        <v>0</v>
      </c>
      <c r="BL266" s="1040">
        <f t="shared" si="230"/>
        <v>0</v>
      </c>
      <c r="BM266" s="1038">
        <f t="shared" si="231"/>
        <v>0</v>
      </c>
      <c r="BN266" s="1027"/>
      <c r="BO266" s="1041"/>
      <c r="BP266" s="95">
        <f t="shared" si="247"/>
        <v>0</v>
      </c>
      <c r="BQ266" s="842">
        <f t="shared" si="248"/>
        <v>0</v>
      </c>
      <c r="BS266" s="94">
        <f t="shared" si="232"/>
        <v>0</v>
      </c>
      <c r="BU266" s="632">
        <f t="shared" si="233"/>
        <v>0</v>
      </c>
      <c r="BV266" s="398"/>
      <c r="BW266" s="405"/>
      <c r="CI266" s="96"/>
    </row>
    <row r="267" spans="1:87" ht="14.25" hidden="1" outlineLevel="1" thickTop="1" thickBot="1">
      <c r="A267" s="57"/>
      <c r="B267" s="92">
        <v>27</v>
      </c>
      <c r="C267" s="1029"/>
      <c r="D267" s="1031"/>
      <c r="E267" s="1030"/>
      <c r="F267" s="1031"/>
      <c r="G267" s="1029"/>
      <c r="H267" s="1032">
        <f t="shared" si="234"/>
        <v>1</v>
      </c>
      <c r="I267" s="1033"/>
      <c r="J267" s="1034">
        <f t="shared" si="235"/>
        <v>1</v>
      </c>
      <c r="K267" s="1035">
        <f t="shared" si="255"/>
        <v>0</v>
      </c>
      <c r="L267" s="1036"/>
      <c r="M267" s="1018"/>
      <c r="N267" s="1037">
        <f t="shared" si="253"/>
        <v>0</v>
      </c>
      <c r="O267" s="1034">
        <f t="shared" si="207"/>
        <v>1</v>
      </c>
      <c r="P267" s="1035">
        <f t="shared" si="252"/>
        <v>0</v>
      </c>
      <c r="Q267" s="1036"/>
      <c r="R267" s="1018"/>
      <c r="S267" s="1020">
        <f t="shared" si="254"/>
        <v>0</v>
      </c>
      <c r="T267" s="1034">
        <f t="shared" si="210"/>
        <v>1</v>
      </c>
      <c r="U267" s="1035">
        <f t="shared" si="238"/>
        <v>0</v>
      </c>
      <c r="V267" s="1036">
        <v>0</v>
      </c>
      <c r="W267" s="1018"/>
      <c r="X267" s="1037">
        <f t="shared" si="250"/>
        <v>0</v>
      </c>
      <c r="Y267" s="1034">
        <f t="shared" si="212"/>
        <v>1</v>
      </c>
      <c r="Z267" s="1035">
        <f t="shared" si="239"/>
        <v>0</v>
      </c>
      <c r="AA267" s="1036">
        <v>0</v>
      </c>
      <c r="AB267" s="1018"/>
      <c r="AC267" s="1021">
        <f t="shared" si="213"/>
        <v>0</v>
      </c>
      <c r="AD267" s="1034">
        <f t="shared" si="214"/>
        <v>1</v>
      </c>
      <c r="AE267" s="1035">
        <f t="shared" si="240"/>
        <v>0</v>
      </c>
      <c r="AF267" s="1036">
        <v>0</v>
      </c>
      <c r="AG267" s="1018"/>
      <c r="AH267" s="1037">
        <f t="shared" si="215"/>
        <v>0</v>
      </c>
      <c r="AI267" s="1034">
        <f t="shared" si="216"/>
        <v>1</v>
      </c>
      <c r="AJ267" s="1035">
        <f t="shared" si="241"/>
        <v>0</v>
      </c>
      <c r="AK267" s="1036">
        <v>0</v>
      </c>
      <c r="AL267" s="1018"/>
      <c r="AM267" s="1021">
        <f t="shared" si="217"/>
        <v>0</v>
      </c>
      <c r="AN267" s="1034">
        <f t="shared" si="218"/>
        <v>1</v>
      </c>
      <c r="AO267" s="1035">
        <f t="shared" si="242"/>
        <v>0</v>
      </c>
      <c r="AP267" s="1036">
        <v>0</v>
      </c>
      <c r="AQ267" s="1018"/>
      <c r="AR267" s="1037">
        <f t="shared" si="219"/>
        <v>0</v>
      </c>
      <c r="AS267" s="1034">
        <f t="shared" si="220"/>
        <v>1</v>
      </c>
      <c r="AT267" s="1035">
        <f t="shared" si="243"/>
        <v>0</v>
      </c>
      <c r="AU267" s="1038">
        <v>0</v>
      </c>
      <c r="AV267" s="1018"/>
      <c r="AW267" s="1021">
        <f t="shared" si="221"/>
        <v>0</v>
      </c>
      <c r="AX267" s="1034">
        <f t="shared" si="222"/>
        <v>1</v>
      </c>
      <c r="AY267" s="1035">
        <f t="shared" si="244"/>
        <v>0</v>
      </c>
      <c r="AZ267" s="1036">
        <v>0</v>
      </c>
      <c r="BA267" s="1036"/>
      <c r="BB267" s="1021">
        <f t="shared" si="223"/>
        <v>0</v>
      </c>
      <c r="BC267" s="1034">
        <f t="shared" si="224"/>
        <v>1</v>
      </c>
      <c r="BD267" s="1035">
        <f t="shared" si="245"/>
        <v>0</v>
      </c>
      <c r="BE267" s="1038">
        <v>0</v>
      </c>
      <c r="BF267" s="1018"/>
      <c r="BG267" s="1021">
        <f t="shared" si="225"/>
        <v>0</v>
      </c>
      <c r="BH267" s="1039">
        <f t="shared" si="226"/>
        <v>0</v>
      </c>
      <c r="BI267" s="1038">
        <f t="shared" si="227"/>
        <v>0</v>
      </c>
      <c r="BJ267" s="1027">
        <f t="shared" si="228"/>
        <v>0</v>
      </c>
      <c r="BK267" s="1021">
        <f t="shared" si="229"/>
        <v>0</v>
      </c>
      <c r="BL267" s="1040">
        <f t="shared" si="230"/>
        <v>0</v>
      </c>
      <c r="BM267" s="1038">
        <f t="shared" si="231"/>
        <v>0</v>
      </c>
      <c r="BN267" s="1027"/>
      <c r="BO267" s="1041"/>
      <c r="BP267" s="95">
        <f t="shared" si="247"/>
        <v>0</v>
      </c>
      <c r="BQ267" s="842">
        <f t="shared" si="248"/>
        <v>0</v>
      </c>
      <c r="BS267" s="94">
        <f t="shared" si="232"/>
        <v>0</v>
      </c>
      <c r="BU267" s="632">
        <f t="shared" si="233"/>
        <v>0</v>
      </c>
      <c r="BV267" s="398"/>
      <c r="BW267" s="405"/>
      <c r="CI267" s="96"/>
    </row>
    <row r="268" spans="1:87" ht="14.25" hidden="1" outlineLevel="1" thickTop="1" thickBot="1">
      <c r="A268" s="57"/>
      <c r="B268" s="92">
        <v>28</v>
      </c>
      <c r="C268" s="1029"/>
      <c r="D268" s="1031"/>
      <c r="E268" s="1030"/>
      <c r="F268" s="1031"/>
      <c r="G268" s="1029"/>
      <c r="H268" s="1032">
        <f t="shared" si="234"/>
        <v>1</v>
      </c>
      <c r="I268" s="1033"/>
      <c r="J268" s="1034">
        <f t="shared" si="235"/>
        <v>1</v>
      </c>
      <c r="K268" s="1035">
        <f t="shared" si="255"/>
        <v>0</v>
      </c>
      <c r="L268" s="1036"/>
      <c r="M268" s="1018"/>
      <c r="N268" s="1037">
        <f t="shared" si="253"/>
        <v>0</v>
      </c>
      <c r="O268" s="1034">
        <f t="shared" si="207"/>
        <v>1</v>
      </c>
      <c r="P268" s="1035">
        <f t="shared" si="252"/>
        <v>0</v>
      </c>
      <c r="Q268" s="1036"/>
      <c r="R268" s="1018"/>
      <c r="S268" s="1020">
        <f t="shared" si="254"/>
        <v>0</v>
      </c>
      <c r="T268" s="1034">
        <f t="shared" si="210"/>
        <v>1</v>
      </c>
      <c r="U268" s="1035">
        <f t="shared" si="238"/>
        <v>0</v>
      </c>
      <c r="V268" s="1036">
        <v>0</v>
      </c>
      <c r="W268" s="1018"/>
      <c r="X268" s="1037">
        <f t="shared" si="250"/>
        <v>0</v>
      </c>
      <c r="Y268" s="1034">
        <f t="shared" si="212"/>
        <v>1</v>
      </c>
      <c r="Z268" s="1035">
        <f t="shared" si="239"/>
        <v>0</v>
      </c>
      <c r="AA268" s="1036">
        <v>0</v>
      </c>
      <c r="AB268" s="1018"/>
      <c r="AC268" s="1021">
        <f t="shared" si="213"/>
        <v>0</v>
      </c>
      <c r="AD268" s="1034">
        <f t="shared" si="214"/>
        <v>1</v>
      </c>
      <c r="AE268" s="1035">
        <f t="shared" si="240"/>
        <v>0</v>
      </c>
      <c r="AF268" s="1036">
        <v>0</v>
      </c>
      <c r="AG268" s="1018"/>
      <c r="AH268" s="1037">
        <f t="shared" si="215"/>
        <v>0</v>
      </c>
      <c r="AI268" s="1034">
        <f t="shared" si="216"/>
        <v>1</v>
      </c>
      <c r="AJ268" s="1035">
        <f t="shared" si="241"/>
        <v>0</v>
      </c>
      <c r="AK268" s="1036">
        <v>0</v>
      </c>
      <c r="AL268" s="1018"/>
      <c r="AM268" s="1021">
        <f t="shared" si="217"/>
        <v>0</v>
      </c>
      <c r="AN268" s="1034">
        <f t="shared" si="218"/>
        <v>1</v>
      </c>
      <c r="AO268" s="1035">
        <f t="shared" si="242"/>
        <v>0</v>
      </c>
      <c r="AP268" s="1036">
        <v>0</v>
      </c>
      <c r="AQ268" s="1018"/>
      <c r="AR268" s="1037">
        <f t="shared" si="219"/>
        <v>0</v>
      </c>
      <c r="AS268" s="1034">
        <f t="shared" si="220"/>
        <v>1</v>
      </c>
      <c r="AT268" s="1035">
        <f t="shared" si="243"/>
        <v>0</v>
      </c>
      <c r="AU268" s="1036">
        <v>0</v>
      </c>
      <c r="AV268" s="1018"/>
      <c r="AW268" s="1021">
        <f t="shared" si="221"/>
        <v>0</v>
      </c>
      <c r="AX268" s="1034">
        <f t="shared" si="222"/>
        <v>1</v>
      </c>
      <c r="AY268" s="1035">
        <f t="shared" si="244"/>
        <v>0</v>
      </c>
      <c r="AZ268" s="1036">
        <v>0</v>
      </c>
      <c r="BA268" s="1036"/>
      <c r="BB268" s="1021">
        <f t="shared" si="223"/>
        <v>0</v>
      </c>
      <c r="BC268" s="1034">
        <f t="shared" si="224"/>
        <v>1</v>
      </c>
      <c r="BD268" s="1035">
        <f t="shared" si="245"/>
        <v>0</v>
      </c>
      <c r="BE268" s="1038">
        <v>0</v>
      </c>
      <c r="BF268" s="1018"/>
      <c r="BG268" s="1021">
        <f t="shared" si="225"/>
        <v>0</v>
      </c>
      <c r="BH268" s="1039">
        <f t="shared" si="226"/>
        <v>0</v>
      </c>
      <c r="BI268" s="1038">
        <f t="shared" si="227"/>
        <v>0</v>
      </c>
      <c r="BJ268" s="1027">
        <f t="shared" si="228"/>
        <v>0</v>
      </c>
      <c r="BK268" s="1021">
        <f t="shared" si="229"/>
        <v>0</v>
      </c>
      <c r="BL268" s="1040">
        <f t="shared" si="230"/>
        <v>0</v>
      </c>
      <c r="BM268" s="1038">
        <f t="shared" si="231"/>
        <v>0</v>
      </c>
      <c r="BN268" s="1027"/>
      <c r="BO268" s="1041"/>
      <c r="BP268" s="95">
        <f t="shared" si="247"/>
        <v>0</v>
      </c>
      <c r="BQ268" s="842">
        <f t="shared" si="248"/>
        <v>0</v>
      </c>
      <c r="BS268" s="94">
        <f t="shared" si="232"/>
        <v>0</v>
      </c>
      <c r="BU268" s="632">
        <f t="shared" si="233"/>
        <v>0</v>
      </c>
      <c r="BV268" s="398"/>
      <c r="BW268" s="405"/>
      <c r="CI268" s="96"/>
    </row>
    <row r="269" spans="1:87" ht="14.25" hidden="1" outlineLevel="1" thickTop="1" thickBot="1">
      <c r="A269" s="57"/>
      <c r="B269" s="92">
        <v>29</v>
      </c>
      <c r="C269" s="1029"/>
      <c r="D269" s="1031"/>
      <c r="E269" s="1030"/>
      <c r="F269" s="1031"/>
      <c r="G269" s="1029"/>
      <c r="H269" s="1032">
        <f t="shared" si="234"/>
        <v>1</v>
      </c>
      <c r="I269" s="1033"/>
      <c r="J269" s="1034">
        <f t="shared" si="235"/>
        <v>1</v>
      </c>
      <c r="K269" s="1035">
        <f t="shared" si="255"/>
        <v>0</v>
      </c>
      <c r="L269" s="1036"/>
      <c r="M269" s="1018"/>
      <c r="N269" s="1037">
        <f t="shared" si="253"/>
        <v>0</v>
      </c>
      <c r="O269" s="1034">
        <f t="shared" si="207"/>
        <v>1</v>
      </c>
      <c r="P269" s="1035">
        <f t="shared" si="252"/>
        <v>0</v>
      </c>
      <c r="Q269" s="1036"/>
      <c r="R269" s="1018"/>
      <c r="S269" s="1020">
        <f t="shared" si="254"/>
        <v>0</v>
      </c>
      <c r="T269" s="1034">
        <f t="shared" si="210"/>
        <v>1</v>
      </c>
      <c r="U269" s="1035">
        <f t="shared" si="238"/>
        <v>0</v>
      </c>
      <c r="V269" s="1036">
        <v>0</v>
      </c>
      <c r="W269" s="1018"/>
      <c r="X269" s="1037">
        <f t="shared" si="250"/>
        <v>0</v>
      </c>
      <c r="Y269" s="1034">
        <f t="shared" si="212"/>
        <v>1</v>
      </c>
      <c r="Z269" s="1035">
        <f t="shared" si="239"/>
        <v>0</v>
      </c>
      <c r="AA269" s="1036">
        <v>0</v>
      </c>
      <c r="AB269" s="1018"/>
      <c r="AC269" s="1021">
        <f t="shared" si="213"/>
        <v>0</v>
      </c>
      <c r="AD269" s="1034">
        <f t="shared" si="214"/>
        <v>1</v>
      </c>
      <c r="AE269" s="1035">
        <f t="shared" si="240"/>
        <v>0</v>
      </c>
      <c r="AF269" s="1036">
        <v>0</v>
      </c>
      <c r="AG269" s="1018"/>
      <c r="AH269" s="1037">
        <f t="shared" si="215"/>
        <v>0</v>
      </c>
      <c r="AI269" s="1034">
        <f t="shared" si="216"/>
        <v>1</v>
      </c>
      <c r="AJ269" s="1035">
        <f t="shared" si="241"/>
        <v>0</v>
      </c>
      <c r="AK269" s="1036">
        <v>0</v>
      </c>
      <c r="AL269" s="1018"/>
      <c r="AM269" s="1021">
        <f t="shared" si="217"/>
        <v>0</v>
      </c>
      <c r="AN269" s="1034">
        <f t="shared" si="218"/>
        <v>1</v>
      </c>
      <c r="AO269" s="1035">
        <f t="shared" si="242"/>
        <v>0</v>
      </c>
      <c r="AP269" s="1036">
        <v>0</v>
      </c>
      <c r="AQ269" s="1018"/>
      <c r="AR269" s="1037">
        <f t="shared" si="219"/>
        <v>0</v>
      </c>
      <c r="AS269" s="1034">
        <f t="shared" si="220"/>
        <v>1</v>
      </c>
      <c r="AT269" s="1035">
        <f t="shared" si="243"/>
        <v>0</v>
      </c>
      <c r="AU269" s="1038">
        <v>0</v>
      </c>
      <c r="AV269" s="1018"/>
      <c r="AW269" s="1021">
        <f t="shared" si="221"/>
        <v>0</v>
      </c>
      <c r="AX269" s="1034">
        <f t="shared" si="222"/>
        <v>1</v>
      </c>
      <c r="AY269" s="1035">
        <f t="shared" si="244"/>
        <v>0</v>
      </c>
      <c r="AZ269" s="1036">
        <v>0</v>
      </c>
      <c r="BA269" s="1036"/>
      <c r="BB269" s="1021">
        <f t="shared" si="223"/>
        <v>0</v>
      </c>
      <c r="BC269" s="1034">
        <f t="shared" si="224"/>
        <v>1</v>
      </c>
      <c r="BD269" s="1035">
        <f t="shared" si="245"/>
        <v>0</v>
      </c>
      <c r="BE269" s="1038">
        <v>0</v>
      </c>
      <c r="BF269" s="1018"/>
      <c r="BG269" s="1021">
        <f t="shared" si="225"/>
        <v>0</v>
      </c>
      <c r="BH269" s="1039">
        <f t="shared" si="226"/>
        <v>0</v>
      </c>
      <c r="BI269" s="1038">
        <f t="shared" si="227"/>
        <v>0</v>
      </c>
      <c r="BJ269" s="1027">
        <f t="shared" si="228"/>
        <v>0</v>
      </c>
      <c r="BK269" s="1021">
        <f t="shared" si="229"/>
        <v>0</v>
      </c>
      <c r="BL269" s="1040">
        <f t="shared" si="230"/>
        <v>0</v>
      </c>
      <c r="BM269" s="1038">
        <f t="shared" si="231"/>
        <v>0</v>
      </c>
      <c r="BN269" s="1027"/>
      <c r="BO269" s="1041"/>
      <c r="BP269" s="95">
        <f t="shared" si="247"/>
        <v>0</v>
      </c>
      <c r="BQ269" s="842">
        <f t="shared" si="248"/>
        <v>0</v>
      </c>
      <c r="BS269" s="94">
        <f t="shared" si="232"/>
        <v>0</v>
      </c>
      <c r="BU269" s="632">
        <f t="shared" si="233"/>
        <v>0</v>
      </c>
      <c r="BV269" s="398"/>
      <c r="BW269" s="405"/>
      <c r="CI269" s="96"/>
    </row>
    <row r="270" spans="1:87" ht="14.25" hidden="1" outlineLevel="1" thickTop="1" thickBot="1">
      <c r="A270" s="57"/>
      <c r="B270" s="92">
        <v>30</v>
      </c>
      <c r="C270" s="1029"/>
      <c r="D270" s="1031"/>
      <c r="E270" s="1030"/>
      <c r="F270" s="1031"/>
      <c r="G270" s="1029"/>
      <c r="H270" s="1032">
        <f t="shared" si="234"/>
        <v>1</v>
      </c>
      <c r="I270" s="1033"/>
      <c r="J270" s="1034">
        <f t="shared" si="235"/>
        <v>1</v>
      </c>
      <c r="K270" s="1035">
        <f t="shared" si="255"/>
        <v>0</v>
      </c>
      <c r="L270" s="1036"/>
      <c r="M270" s="1018"/>
      <c r="N270" s="1037">
        <f t="shared" si="253"/>
        <v>0</v>
      </c>
      <c r="O270" s="1034">
        <f t="shared" si="207"/>
        <v>1</v>
      </c>
      <c r="P270" s="1035">
        <f t="shared" si="252"/>
        <v>0</v>
      </c>
      <c r="Q270" s="1036"/>
      <c r="R270" s="1018"/>
      <c r="S270" s="1020">
        <f t="shared" si="254"/>
        <v>0</v>
      </c>
      <c r="T270" s="1034">
        <f t="shared" si="210"/>
        <v>1</v>
      </c>
      <c r="U270" s="1035">
        <f t="shared" si="238"/>
        <v>0</v>
      </c>
      <c r="V270" s="1036">
        <v>0</v>
      </c>
      <c r="W270" s="1018"/>
      <c r="X270" s="1037">
        <f t="shared" si="250"/>
        <v>0</v>
      </c>
      <c r="Y270" s="1034">
        <f t="shared" si="212"/>
        <v>1</v>
      </c>
      <c r="Z270" s="1035">
        <f t="shared" si="239"/>
        <v>0</v>
      </c>
      <c r="AA270" s="1036">
        <v>0</v>
      </c>
      <c r="AB270" s="1018"/>
      <c r="AC270" s="1021">
        <f t="shared" si="213"/>
        <v>0</v>
      </c>
      <c r="AD270" s="1034">
        <f t="shared" si="214"/>
        <v>1</v>
      </c>
      <c r="AE270" s="1035">
        <f t="shared" si="240"/>
        <v>0</v>
      </c>
      <c r="AF270" s="1036">
        <v>0</v>
      </c>
      <c r="AG270" s="1018"/>
      <c r="AH270" s="1037">
        <f t="shared" si="215"/>
        <v>0</v>
      </c>
      <c r="AI270" s="1034">
        <f t="shared" si="216"/>
        <v>1</v>
      </c>
      <c r="AJ270" s="1035">
        <f t="shared" si="241"/>
        <v>0</v>
      </c>
      <c r="AK270" s="1036">
        <v>0</v>
      </c>
      <c r="AL270" s="1018"/>
      <c r="AM270" s="1021">
        <f t="shared" si="217"/>
        <v>0</v>
      </c>
      <c r="AN270" s="1034">
        <f t="shared" si="218"/>
        <v>1</v>
      </c>
      <c r="AO270" s="1035">
        <f t="shared" si="242"/>
        <v>0</v>
      </c>
      <c r="AP270" s="1036">
        <v>0</v>
      </c>
      <c r="AQ270" s="1018"/>
      <c r="AR270" s="1037">
        <f t="shared" si="219"/>
        <v>0</v>
      </c>
      <c r="AS270" s="1034">
        <f t="shared" si="220"/>
        <v>1</v>
      </c>
      <c r="AT270" s="1035">
        <f t="shared" si="243"/>
        <v>0</v>
      </c>
      <c r="AU270" s="1036">
        <v>0</v>
      </c>
      <c r="AV270" s="1018"/>
      <c r="AW270" s="1021">
        <f t="shared" si="221"/>
        <v>0</v>
      </c>
      <c r="AX270" s="1034">
        <f t="shared" si="222"/>
        <v>1</v>
      </c>
      <c r="AY270" s="1035">
        <f t="shared" si="244"/>
        <v>0</v>
      </c>
      <c r="AZ270" s="1036">
        <v>0</v>
      </c>
      <c r="BA270" s="1036"/>
      <c r="BB270" s="1021">
        <f t="shared" si="223"/>
        <v>0</v>
      </c>
      <c r="BC270" s="1034">
        <f t="shared" si="224"/>
        <v>1</v>
      </c>
      <c r="BD270" s="1035">
        <f t="shared" si="245"/>
        <v>0</v>
      </c>
      <c r="BE270" s="1038">
        <v>0</v>
      </c>
      <c r="BF270" s="1018"/>
      <c r="BG270" s="1021">
        <f t="shared" si="225"/>
        <v>0</v>
      </c>
      <c r="BH270" s="1039">
        <f t="shared" si="226"/>
        <v>0</v>
      </c>
      <c r="BI270" s="1038">
        <f t="shared" si="227"/>
        <v>0</v>
      </c>
      <c r="BJ270" s="1027">
        <f t="shared" si="228"/>
        <v>0</v>
      </c>
      <c r="BK270" s="1021">
        <f t="shared" si="229"/>
        <v>0</v>
      </c>
      <c r="BL270" s="1040">
        <f t="shared" si="230"/>
        <v>0</v>
      </c>
      <c r="BM270" s="1038">
        <f t="shared" si="231"/>
        <v>0</v>
      </c>
      <c r="BN270" s="1027"/>
      <c r="BO270" s="1041"/>
      <c r="BP270" s="95">
        <f t="shared" si="247"/>
        <v>0</v>
      </c>
      <c r="BQ270" s="842">
        <f t="shared" si="248"/>
        <v>0</v>
      </c>
      <c r="BS270" s="94">
        <f t="shared" si="232"/>
        <v>0</v>
      </c>
      <c r="BU270" s="632">
        <f t="shared" si="233"/>
        <v>0</v>
      </c>
      <c r="BV270" s="398"/>
      <c r="BW270" s="405"/>
      <c r="CI270" s="96"/>
    </row>
    <row r="271" spans="1:87" s="458" customFormat="1" ht="14.25" hidden="1" outlineLevel="1" thickTop="1" thickBot="1">
      <c r="A271" s="453"/>
      <c r="B271" s="454">
        <v>31</v>
      </c>
      <c r="C271" s="1029"/>
      <c r="D271" s="1031"/>
      <c r="E271" s="1030"/>
      <c r="F271" s="1031"/>
      <c r="G271" s="1029"/>
      <c r="H271" s="1032">
        <f t="shared" si="234"/>
        <v>1</v>
      </c>
      <c r="I271" s="1033"/>
      <c r="J271" s="1034">
        <f t="shared" si="235"/>
        <v>1</v>
      </c>
      <c r="K271" s="1035">
        <f t="shared" si="255"/>
        <v>0</v>
      </c>
      <c r="L271" s="1036"/>
      <c r="M271" s="1018"/>
      <c r="N271" s="1037">
        <f t="shared" si="253"/>
        <v>0</v>
      </c>
      <c r="O271" s="1034">
        <f t="shared" si="207"/>
        <v>1</v>
      </c>
      <c r="P271" s="1035">
        <f t="shared" si="252"/>
        <v>0</v>
      </c>
      <c r="Q271" s="1036"/>
      <c r="R271" s="1018"/>
      <c r="S271" s="1020">
        <f t="shared" si="254"/>
        <v>0</v>
      </c>
      <c r="T271" s="1034">
        <f t="shared" si="210"/>
        <v>1</v>
      </c>
      <c r="U271" s="1035">
        <f t="shared" si="238"/>
        <v>0</v>
      </c>
      <c r="V271" s="1036">
        <v>0</v>
      </c>
      <c r="W271" s="1018"/>
      <c r="X271" s="1037">
        <f t="shared" si="250"/>
        <v>0</v>
      </c>
      <c r="Y271" s="1034">
        <f t="shared" si="212"/>
        <v>1</v>
      </c>
      <c r="Z271" s="1035">
        <f t="shared" si="239"/>
        <v>0</v>
      </c>
      <c r="AA271" s="1036">
        <v>0</v>
      </c>
      <c r="AB271" s="1018"/>
      <c r="AC271" s="1021">
        <f t="shared" si="213"/>
        <v>0</v>
      </c>
      <c r="AD271" s="1034">
        <f t="shared" si="214"/>
        <v>1</v>
      </c>
      <c r="AE271" s="1035">
        <f t="shared" si="240"/>
        <v>0</v>
      </c>
      <c r="AF271" s="1036">
        <v>0</v>
      </c>
      <c r="AG271" s="1018"/>
      <c r="AH271" s="1037">
        <f t="shared" si="215"/>
        <v>0</v>
      </c>
      <c r="AI271" s="1034">
        <f t="shared" si="216"/>
        <v>1</v>
      </c>
      <c r="AJ271" s="1035">
        <f t="shared" si="241"/>
        <v>0</v>
      </c>
      <c r="AK271" s="1036">
        <v>0</v>
      </c>
      <c r="AL271" s="1018"/>
      <c r="AM271" s="1021">
        <f t="shared" si="217"/>
        <v>0</v>
      </c>
      <c r="AN271" s="1034">
        <f t="shared" si="218"/>
        <v>1</v>
      </c>
      <c r="AO271" s="1035">
        <f t="shared" si="242"/>
        <v>0</v>
      </c>
      <c r="AP271" s="1036">
        <v>0</v>
      </c>
      <c r="AQ271" s="1018"/>
      <c r="AR271" s="1037">
        <f t="shared" si="219"/>
        <v>0</v>
      </c>
      <c r="AS271" s="1034">
        <f t="shared" si="220"/>
        <v>1</v>
      </c>
      <c r="AT271" s="1035">
        <f t="shared" si="243"/>
        <v>0</v>
      </c>
      <c r="AU271" s="1038">
        <v>0</v>
      </c>
      <c r="AV271" s="1018"/>
      <c r="AW271" s="1021">
        <f t="shared" si="221"/>
        <v>0</v>
      </c>
      <c r="AX271" s="1034">
        <f t="shared" si="222"/>
        <v>1</v>
      </c>
      <c r="AY271" s="1035">
        <f t="shared" si="244"/>
        <v>0</v>
      </c>
      <c r="AZ271" s="1036">
        <v>0</v>
      </c>
      <c r="BA271" s="1036"/>
      <c r="BB271" s="1021">
        <f t="shared" si="223"/>
        <v>0</v>
      </c>
      <c r="BC271" s="1034">
        <f t="shared" si="224"/>
        <v>1</v>
      </c>
      <c r="BD271" s="1035">
        <f t="shared" si="245"/>
        <v>0</v>
      </c>
      <c r="BE271" s="1038">
        <v>0</v>
      </c>
      <c r="BF271" s="1018"/>
      <c r="BG271" s="1021">
        <f t="shared" si="225"/>
        <v>0</v>
      </c>
      <c r="BH271" s="1039">
        <f t="shared" si="226"/>
        <v>0</v>
      </c>
      <c r="BI271" s="1038">
        <f t="shared" si="227"/>
        <v>0</v>
      </c>
      <c r="BJ271" s="1027">
        <f t="shared" si="228"/>
        <v>0</v>
      </c>
      <c r="BK271" s="1021">
        <f t="shared" si="229"/>
        <v>0</v>
      </c>
      <c r="BL271" s="1040">
        <f t="shared" si="230"/>
        <v>0</v>
      </c>
      <c r="BM271" s="1038">
        <f t="shared" si="231"/>
        <v>0</v>
      </c>
      <c r="BN271" s="1027"/>
      <c r="BO271" s="1041"/>
      <c r="BP271" s="95">
        <f t="shared" si="247"/>
        <v>0</v>
      </c>
      <c r="BQ271" s="842">
        <f t="shared" si="248"/>
        <v>0</v>
      </c>
      <c r="BR271" s="323"/>
      <c r="BS271" s="94">
        <f t="shared" si="232"/>
        <v>0</v>
      </c>
      <c r="BU271" s="632">
        <f t="shared" si="233"/>
        <v>0</v>
      </c>
      <c r="BV271" s="459"/>
      <c r="BW271" s="405"/>
      <c r="BX271" s="323"/>
      <c r="CD271" s="459"/>
      <c r="CI271" s="460"/>
    </row>
    <row r="272" spans="1:87" ht="14.25" hidden="1" outlineLevel="1" thickTop="1" thickBot="1">
      <c r="A272" s="57"/>
      <c r="B272" s="92">
        <v>32</v>
      </c>
      <c r="C272" s="1029"/>
      <c r="D272" s="1031"/>
      <c r="E272" s="1030"/>
      <c r="F272" s="1031"/>
      <c r="G272" s="1029"/>
      <c r="H272" s="1032">
        <f t="shared" si="234"/>
        <v>1</v>
      </c>
      <c r="I272" s="1033"/>
      <c r="J272" s="1034">
        <f t="shared" si="235"/>
        <v>1</v>
      </c>
      <c r="K272" s="1035">
        <f t="shared" si="255"/>
        <v>0</v>
      </c>
      <c r="L272" s="1036"/>
      <c r="M272" s="1018"/>
      <c r="N272" s="1037">
        <f t="shared" si="253"/>
        <v>0</v>
      </c>
      <c r="O272" s="1034">
        <f t="shared" si="207"/>
        <v>1</v>
      </c>
      <c r="P272" s="1035">
        <f t="shared" si="252"/>
        <v>0</v>
      </c>
      <c r="Q272" s="1036"/>
      <c r="R272" s="1018"/>
      <c r="S272" s="1020">
        <f t="shared" si="254"/>
        <v>0</v>
      </c>
      <c r="T272" s="1034">
        <f t="shared" si="210"/>
        <v>1</v>
      </c>
      <c r="U272" s="1035">
        <f t="shared" si="238"/>
        <v>0</v>
      </c>
      <c r="V272" s="1036">
        <v>0</v>
      </c>
      <c r="W272" s="1018"/>
      <c r="X272" s="1037">
        <f t="shared" si="250"/>
        <v>0</v>
      </c>
      <c r="Y272" s="1034">
        <f t="shared" si="212"/>
        <v>1</v>
      </c>
      <c r="Z272" s="1035">
        <f t="shared" si="239"/>
        <v>0</v>
      </c>
      <c r="AA272" s="1036">
        <v>0</v>
      </c>
      <c r="AB272" s="1018"/>
      <c r="AC272" s="1021">
        <f t="shared" si="213"/>
        <v>0</v>
      </c>
      <c r="AD272" s="1034">
        <f t="shared" si="214"/>
        <v>1</v>
      </c>
      <c r="AE272" s="1035">
        <f t="shared" si="240"/>
        <v>0</v>
      </c>
      <c r="AF272" s="1036">
        <v>0</v>
      </c>
      <c r="AG272" s="1018"/>
      <c r="AH272" s="1037">
        <f t="shared" si="215"/>
        <v>0</v>
      </c>
      <c r="AI272" s="1034">
        <f t="shared" si="216"/>
        <v>1</v>
      </c>
      <c r="AJ272" s="1035">
        <f t="shared" si="241"/>
        <v>0</v>
      </c>
      <c r="AK272" s="1036">
        <v>0</v>
      </c>
      <c r="AL272" s="1018"/>
      <c r="AM272" s="1021">
        <f t="shared" si="217"/>
        <v>0</v>
      </c>
      <c r="AN272" s="1034">
        <f t="shared" si="218"/>
        <v>1</v>
      </c>
      <c r="AO272" s="1035">
        <f t="shared" si="242"/>
        <v>0</v>
      </c>
      <c r="AP272" s="1036">
        <v>0</v>
      </c>
      <c r="AQ272" s="1018"/>
      <c r="AR272" s="1037">
        <f t="shared" si="219"/>
        <v>0</v>
      </c>
      <c r="AS272" s="1034">
        <f t="shared" si="220"/>
        <v>1</v>
      </c>
      <c r="AT272" s="1035">
        <f t="shared" si="243"/>
        <v>0</v>
      </c>
      <c r="AU272" s="1036">
        <v>0</v>
      </c>
      <c r="AV272" s="1018"/>
      <c r="AW272" s="1021">
        <f t="shared" si="221"/>
        <v>0</v>
      </c>
      <c r="AX272" s="1034">
        <f t="shared" si="222"/>
        <v>1</v>
      </c>
      <c r="AY272" s="1035">
        <f t="shared" si="244"/>
        <v>0</v>
      </c>
      <c r="AZ272" s="1036">
        <v>0</v>
      </c>
      <c r="BA272" s="1036"/>
      <c r="BB272" s="1021">
        <f t="shared" si="223"/>
        <v>0</v>
      </c>
      <c r="BC272" s="1034">
        <f t="shared" si="224"/>
        <v>1</v>
      </c>
      <c r="BD272" s="1035">
        <f t="shared" si="245"/>
        <v>0</v>
      </c>
      <c r="BE272" s="1038">
        <v>0</v>
      </c>
      <c r="BF272" s="1018"/>
      <c r="BG272" s="1021">
        <f t="shared" si="225"/>
        <v>0</v>
      </c>
      <c r="BH272" s="1039">
        <f t="shared" si="226"/>
        <v>0</v>
      </c>
      <c r="BI272" s="1038">
        <f t="shared" si="227"/>
        <v>0</v>
      </c>
      <c r="BJ272" s="1027">
        <f t="shared" si="228"/>
        <v>0</v>
      </c>
      <c r="BK272" s="1021">
        <f t="shared" si="229"/>
        <v>0</v>
      </c>
      <c r="BL272" s="1040">
        <f t="shared" si="230"/>
        <v>0</v>
      </c>
      <c r="BM272" s="1038">
        <f t="shared" si="231"/>
        <v>0</v>
      </c>
      <c r="BN272" s="1027"/>
      <c r="BO272" s="1041"/>
      <c r="BP272" s="95">
        <f t="shared" si="247"/>
        <v>0</v>
      </c>
      <c r="BQ272" s="842">
        <f t="shared" si="248"/>
        <v>0</v>
      </c>
      <c r="BS272" s="94">
        <f t="shared" si="232"/>
        <v>0</v>
      </c>
      <c r="BU272" s="632">
        <f t="shared" si="233"/>
        <v>0</v>
      </c>
      <c r="BV272" s="398"/>
      <c r="BW272" s="405"/>
      <c r="CI272" s="96"/>
    </row>
    <row r="273" spans="1:87" ht="14.25" hidden="1" outlineLevel="1" thickTop="1" thickBot="1">
      <c r="A273" s="57"/>
      <c r="B273" s="92">
        <v>33</v>
      </c>
      <c r="C273" s="1029"/>
      <c r="D273" s="1031"/>
      <c r="E273" s="1030"/>
      <c r="F273" s="1031"/>
      <c r="G273" s="1029"/>
      <c r="H273" s="1032">
        <f t="shared" si="234"/>
        <v>1</v>
      </c>
      <c r="I273" s="1033"/>
      <c r="J273" s="1034">
        <f t="shared" si="235"/>
        <v>1</v>
      </c>
      <c r="K273" s="1035">
        <f t="shared" si="255"/>
        <v>0</v>
      </c>
      <c r="L273" s="1036"/>
      <c r="M273" s="1018"/>
      <c r="N273" s="1037">
        <f t="shared" si="253"/>
        <v>0</v>
      </c>
      <c r="O273" s="1034">
        <f t="shared" si="207"/>
        <v>1</v>
      </c>
      <c r="P273" s="1035">
        <f t="shared" si="252"/>
        <v>0</v>
      </c>
      <c r="Q273" s="1036"/>
      <c r="R273" s="1018"/>
      <c r="S273" s="1020">
        <f t="shared" si="254"/>
        <v>0</v>
      </c>
      <c r="T273" s="1034">
        <f t="shared" si="210"/>
        <v>1</v>
      </c>
      <c r="U273" s="1035">
        <f t="shared" si="238"/>
        <v>0</v>
      </c>
      <c r="V273" s="1036">
        <v>0</v>
      </c>
      <c r="W273" s="1018"/>
      <c r="X273" s="1037">
        <f t="shared" si="250"/>
        <v>0</v>
      </c>
      <c r="Y273" s="1034">
        <f t="shared" si="212"/>
        <v>1</v>
      </c>
      <c r="Z273" s="1035">
        <f t="shared" si="239"/>
        <v>0</v>
      </c>
      <c r="AA273" s="1036">
        <v>0</v>
      </c>
      <c r="AB273" s="1018"/>
      <c r="AC273" s="1021">
        <f t="shared" si="213"/>
        <v>0</v>
      </c>
      <c r="AD273" s="1034">
        <f t="shared" si="214"/>
        <v>1</v>
      </c>
      <c r="AE273" s="1035">
        <f t="shared" si="240"/>
        <v>0</v>
      </c>
      <c r="AF273" s="1036">
        <v>0</v>
      </c>
      <c r="AG273" s="1018"/>
      <c r="AH273" s="1037">
        <f t="shared" si="215"/>
        <v>0</v>
      </c>
      <c r="AI273" s="1034">
        <f t="shared" si="216"/>
        <v>1</v>
      </c>
      <c r="AJ273" s="1035">
        <f t="shared" si="241"/>
        <v>0</v>
      </c>
      <c r="AK273" s="1036">
        <v>0</v>
      </c>
      <c r="AL273" s="1018"/>
      <c r="AM273" s="1021">
        <f t="shared" si="217"/>
        <v>0</v>
      </c>
      <c r="AN273" s="1034">
        <f t="shared" si="218"/>
        <v>1</v>
      </c>
      <c r="AO273" s="1035">
        <f t="shared" si="242"/>
        <v>0</v>
      </c>
      <c r="AP273" s="1036">
        <v>0</v>
      </c>
      <c r="AQ273" s="1018"/>
      <c r="AR273" s="1037">
        <f t="shared" si="219"/>
        <v>0</v>
      </c>
      <c r="AS273" s="1034">
        <f t="shared" si="220"/>
        <v>1</v>
      </c>
      <c r="AT273" s="1035">
        <f t="shared" si="243"/>
        <v>0</v>
      </c>
      <c r="AU273" s="1038">
        <v>0</v>
      </c>
      <c r="AV273" s="1018"/>
      <c r="AW273" s="1021">
        <f t="shared" si="221"/>
        <v>0</v>
      </c>
      <c r="AX273" s="1034">
        <f t="shared" si="222"/>
        <v>1</v>
      </c>
      <c r="AY273" s="1035">
        <f t="shared" si="244"/>
        <v>0</v>
      </c>
      <c r="AZ273" s="1036">
        <v>0</v>
      </c>
      <c r="BA273" s="1036"/>
      <c r="BB273" s="1021">
        <f t="shared" si="223"/>
        <v>0</v>
      </c>
      <c r="BC273" s="1034">
        <f t="shared" si="224"/>
        <v>1</v>
      </c>
      <c r="BD273" s="1035">
        <f t="shared" si="245"/>
        <v>0</v>
      </c>
      <c r="BE273" s="1038">
        <v>0</v>
      </c>
      <c r="BF273" s="1018"/>
      <c r="BG273" s="1021">
        <f t="shared" si="225"/>
        <v>0</v>
      </c>
      <c r="BH273" s="1039">
        <f t="shared" si="226"/>
        <v>0</v>
      </c>
      <c r="BI273" s="1038">
        <f t="shared" si="227"/>
        <v>0</v>
      </c>
      <c r="BJ273" s="1027">
        <f t="shared" si="228"/>
        <v>0</v>
      </c>
      <c r="BK273" s="1021">
        <f t="shared" si="229"/>
        <v>0</v>
      </c>
      <c r="BL273" s="1040">
        <f t="shared" si="230"/>
        <v>0</v>
      </c>
      <c r="BM273" s="1038">
        <f t="shared" si="231"/>
        <v>0</v>
      </c>
      <c r="BN273" s="1027"/>
      <c r="BO273" s="1041"/>
      <c r="BP273" s="95">
        <f t="shared" si="247"/>
        <v>0</v>
      </c>
      <c r="BQ273" s="842">
        <f t="shared" si="248"/>
        <v>0</v>
      </c>
      <c r="BS273" s="94">
        <f t="shared" si="232"/>
        <v>0</v>
      </c>
      <c r="BU273" s="632">
        <f t="shared" si="233"/>
        <v>0</v>
      </c>
      <c r="BV273" s="398"/>
      <c r="BW273" s="405"/>
      <c r="CI273" s="96"/>
    </row>
    <row r="274" spans="1:87" ht="14.25" hidden="1" outlineLevel="1" thickTop="1" thickBot="1">
      <c r="A274" s="57"/>
      <c r="B274" s="92">
        <v>34</v>
      </c>
      <c r="C274" s="1029"/>
      <c r="D274" s="1031"/>
      <c r="E274" s="1030"/>
      <c r="F274" s="1031"/>
      <c r="G274" s="1029"/>
      <c r="H274" s="1032">
        <f t="shared" si="234"/>
        <v>1</v>
      </c>
      <c r="I274" s="1033"/>
      <c r="J274" s="1034">
        <f t="shared" si="235"/>
        <v>1</v>
      </c>
      <c r="K274" s="1035">
        <f t="shared" si="255"/>
        <v>0</v>
      </c>
      <c r="L274" s="1036"/>
      <c r="M274" s="1018"/>
      <c r="N274" s="1037">
        <f t="shared" si="253"/>
        <v>0</v>
      </c>
      <c r="O274" s="1034">
        <f t="shared" si="207"/>
        <v>1</v>
      </c>
      <c r="P274" s="1035">
        <f t="shared" si="252"/>
        <v>0</v>
      </c>
      <c r="Q274" s="1036"/>
      <c r="R274" s="1018"/>
      <c r="S274" s="1020">
        <f t="shared" si="254"/>
        <v>0</v>
      </c>
      <c r="T274" s="1034">
        <f t="shared" si="210"/>
        <v>1</v>
      </c>
      <c r="U274" s="1035">
        <f t="shared" si="238"/>
        <v>0</v>
      </c>
      <c r="V274" s="1036">
        <v>0</v>
      </c>
      <c r="W274" s="1018"/>
      <c r="X274" s="1037">
        <f t="shared" si="250"/>
        <v>0</v>
      </c>
      <c r="Y274" s="1034">
        <f t="shared" si="212"/>
        <v>1</v>
      </c>
      <c r="Z274" s="1035">
        <f t="shared" si="239"/>
        <v>0</v>
      </c>
      <c r="AA274" s="1036">
        <v>0</v>
      </c>
      <c r="AB274" s="1018"/>
      <c r="AC274" s="1021">
        <f t="shared" si="213"/>
        <v>0</v>
      </c>
      <c r="AD274" s="1034">
        <f t="shared" si="214"/>
        <v>1</v>
      </c>
      <c r="AE274" s="1035">
        <f t="shared" si="240"/>
        <v>0</v>
      </c>
      <c r="AF274" s="1036">
        <v>0</v>
      </c>
      <c r="AG274" s="1018"/>
      <c r="AH274" s="1037">
        <f t="shared" si="215"/>
        <v>0</v>
      </c>
      <c r="AI274" s="1034">
        <f t="shared" si="216"/>
        <v>1</v>
      </c>
      <c r="AJ274" s="1035">
        <f t="shared" si="241"/>
        <v>0</v>
      </c>
      <c r="AK274" s="1036">
        <v>0</v>
      </c>
      <c r="AL274" s="1018"/>
      <c r="AM274" s="1021">
        <f t="shared" si="217"/>
        <v>0</v>
      </c>
      <c r="AN274" s="1034">
        <f t="shared" si="218"/>
        <v>1</v>
      </c>
      <c r="AO274" s="1035">
        <f t="shared" si="242"/>
        <v>0</v>
      </c>
      <c r="AP274" s="1036">
        <v>0</v>
      </c>
      <c r="AQ274" s="1018"/>
      <c r="AR274" s="1037">
        <f t="shared" si="219"/>
        <v>0</v>
      </c>
      <c r="AS274" s="1034">
        <f t="shared" si="220"/>
        <v>1</v>
      </c>
      <c r="AT274" s="1035">
        <f t="shared" si="243"/>
        <v>0</v>
      </c>
      <c r="AU274" s="1036">
        <v>0</v>
      </c>
      <c r="AV274" s="1018"/>
      <c r="AW274" s="1021">
        <f t="shared" si="221"/>
        <v>0</v>
      </c>
      <c r="AX274" s="1034">
        <f t="shared" si="222"/>
        <v>1</v>
      </c>
      <c r="AY274" s="1035">
        <f t="shared" si="244"/>
        <v>0</v>
      </c>
      <c r="AZ274" s="1036">
        <v>0</v>
      </c>
      <c r="BA274" s="1036"/>
      <c r="BB274" s="1021">
        <f t="shared" si="223"/>
        <v>0</v>
      </c>
      <c r="BC274" s="1034">
        <f t="shared" si="224"/>
        <v>1</v>
      </c>
      <c r="BD274" s="1035">
        <f t="shared" si="245"/>
        <v>0</v>
      </c>
      <c r="BE274" s="1038">
        <v>0</v>
      </c>
      <c r="BF274" s="1018"/>
      <c r="BG274" s="1021">
        <f t="shared" si="225"/>
        <v>0</v>
      </c>
      <c r="BH274" s="1039">
        <f t="shared" si="226"/>
        <v>0</v>
      </c>
      <c r="BI274" s="1038">
        <f t="shared" si="227"/>
        <v>0</v>
      </c>
      <c r="BJ274" s="1027">
        <f t="shared" si="228"/>
        <v>0</v>
      </c>
      <c r="BK274" s="1021">
        <f t="shared" si="229"/>
        <v>0</v>
      </c>
      <c r="BL274" s="1040">
        <f t="shared" si="230"/>
        <v>0</v>
      </c>
      <c r="BM274" s="1038">
        <f t="shared" si="231"/>
        <v>0</v>
      </c>
      <c r="BN274" s="1027"/>
      <c r="BO274" s="1041"/>
      <c r="BP274" s="95">
        <f t="shared" si="247"/>
        <v>0</v>
      </c>
      <c r="BQ274" s="842">
        <f t="shared" si="248"/>
        <v>0</v>
      </c>
      <c r="BS274" s="94">
        <f t="shared" si="232"/>
        <v>0</v>
      </c>
      <c r="BU274" s="632">
        <f t="shared" si="233"/>
        <v>0</v>
      </c>
      <c r="BV274" s="398"/>
      <c r="BW274" s="405"/>
      <c r="CI274" s="96"/>
    </row>
    <row r="275" spans="1:87" ht="14.25" hidden="1" outlineLevel="1" thickTop="1" thickBot="1">
      <c r="A275" s="57"/>
      <c r="B275" s="92">
        <v>35</v>
      </c>
      <c r="C275" s="1029"/>
      <c r="D275" s="1031"/>
      <c r="E275" s="1030"/>
      <c r="F275" s="1031"/>
      <c r="G275" s="1029"/>
      <c r="H275" s="1032">
        <f t="shared" si="234"/>
        <v>1</v>
      </c>
      <c r="I275" s="1033"/>
      <c r="J275" s="1034">
        <f t="shared" si="235"/>
        <v>1</v>
      </c>
      <c r="K275" s="1035">
        <f t="shared" si="255"/>
        <v>0</v>
      </c>
      <c r="L275" s="1036"/>
      <c r="M275" s="1018"/>
      <c r="N275" s="1037">
        <f t="shared" si="253"/>
        <v>0</v>
      </c>
      <c r="O275" s="1034">
        <f t="shared" si="207"/>
        <v>1</v>
      </c>
      <c r="P275" s="1035">
        <f t="shared" si="252"/>
        <v>0</v>
      </c>
      <c r="Q275" s="1036"/>
      <c r="R275" s="1018"/>
      <c r="S275" s="1020">
        <f t="shared" si="254"/>
        <v>0</v>
      </c>
      <c r="T275" s="1034">
        <f t="shared" si="210"/>
        <v>1</v>
      </c>
      <c r="U275" s="1035">
        <f t="shared" si="238"/>
        <v>0</v>
      </c>
      <c r="V275" s="1036">
        <v>0</v>
      </c>
      <c r="W275" s="1018"/>
      <c r="X275" s="1037">
        <f t="shared" si="250"/>
        <v>0</v>
      </c>
      <c r="Y275" s="1034">
        <f t="shared" si="212"/>
        <v>1</v>
      </c>
      <c r="Z275" s="1035">
        <f t="shared" si="239"/>
        <v>0</v>
      </c>
      <c r="AA275" s="1036">
        <v>0</v>
      </c>
      <c r="AB275" s="1018"/>
      <c r="AC275" s="1021">
        <f t="shared" si="213"/>
        <v>0</v>
      </c>
      <c r="AD275" s="1034">
        <f t="shared" si="214"/>
        <v>1</v>
      </c>
      <c r="AE275" s="1035">
        <f t="shared" si="240"/>
        <v>0</v>
      </c>
      <c r="AF275" s="1036">
        <v>0</v>
      </c>
      <c r="AG275" s="1018"/>
      <c r="AH275" s="1037">
        <f t="shared" si="215"/>
        <v>0</v>
      </c>
      <c r="AI275" s="1034">
        <f t="shared" si="216"/>
        <v>1</v>
      </c>
      <c r="AJ275" s="1035">
        <f t="shared" si="241"/>
        <v>0</v>
      </c>
      <c r="AK275" s="1036">
        <v>0</v>
      </c>
      <c r="AL275" s="1018"/>
      <c r="AM275" s="1021">
        <f t="shared" si="217"/>
        <v>0</v>
      </c>
      <c r="AN275" s="1034">
        <f t="shared" si="218"/>
        <v>1</v>
      </c>
      <c r="AO275" s="1035">
        <f t="shared" si="242"/>
        <v>0</v>
      </c>
      <c r="AP275" s="1036">
        <v>0</v>
      </c>
      <c r="AQ275" s="1018"/>
      <c r="AR275" s="1037">
        <f t="shared" si="219"/>
        <v>0</v>
      </c>
      <c r="AS275" s="1034">
        <f t="shared" si="220"/>
        <v>1</v>
      </c>
      <c r="AT275" s="1035">
        <f t="shared" si="243"/>
        <v>0</v>
      </c>
      <c r="AU275" s="1038">
        <v>0</v>
      </c>
      <c r="AV275" s="1018"/>
      <c r="AW275" s="1021">
        <f t="shared" si="221"/>
        <v>0</v>
      </c>
      <c r="AX275" s="1034">
        <f t="shared" si="222"/>
        <v>1</v>
      </c>
      <c r="AY275" s="1035">
        <f t="shared" si="244"/>
        <v>0</v>
      </c>
      <c r="AZ275" s="1036">
        <v>0</v>
      </c>
      <c r="BA275" s="1036"/>
      <c r="BB275" s="1021">
        <f t="shared" si="223"/>
        <v>0</v>
      </c>
      <c r="BC275" s="1034">
        <f t="shared" si="224"/>
        <v>1</v>
      </c>
      <c r="BD275" s="1035">
        <f t="shared" si="245"/>
        <v>0</v>
      </c>
      <c r="BE275" s="1038">
        <v>0</v>
      </c>
      <c r="BF275" s="1018"/>
      <c r="BG275" s="1021">
        <f t="shared" si="225"/>
        <v>0</v>
      </c>
      <c r="BH275" s="1039">
        <f t="shared" si="226"/>
        <v>0</v>
      </c>
      <c r="BI275" s="1038">
        <f t="shared" si="227"/>
        <v>0</v>
      </c>
      <c r="BJ275" s="1027">
        <f t="shared" si="228"/>
        <v>0</v>
      </c>
      <c r="BK275" s="1021">
        <f t="shared" si="229"/>
        <v>0</v>
      </c>
      <c r="BL275" s="1040">
        <f t="shared" si="230"/>
        <v>0</v>
      </c>
      <c r="BM275" s="1038">
        <f t="shared" si="231"/>
        <v>0</v>
      </c>
      <c r="BN275" s="1027"/>
      <c r="BO275" s="1041"/>
      <c r="BP275" s="95">
        <f t="shared" si="247"/>
        <v>0</v>
      </c>
      <c r="BQ275" s="842">
        <f t="shared" si="248"/>
        <v>0</v>
      </c>
      <c r="BS275" s="94">
        <f t="shared" si="232"/>
        <v>0</v>
      </c>
      <c r="BU275" s="632">
        <f t="shared" si="233"/>
        <v>0</v>
      </c>
      <c r="BV275" s="398"/>
      <c r="BW275" s="405"/>
      <c r="CI275" s="96"/>
    </row>
    <row r="276" spans="1:87" s="795" customFormat="1" ht="14.25" hidden="1" outlineLevel="1" thickTop="1" thickBot="1">
      <c r="A276" s="794"/>
      <c r="B276" s="92">
        <v>36</v>
      </c>
      <c r="C276" s="1029"/>
      <c r="D276" s="1031"/>
      <c r="E276" s="1030"/>
      <c r="F276" s="1031"/>
      <c r="G276" s="1029"/>
      <c r="H276" s="1032">
        <f t="shared" si="234"/>
        <v>1</v>
      </c>
      <c r="I276" s="1033"/>
      <c r="J276" s="1034">
        <f t="shared" si="235"/>
        <v>1</v>
      </c>
      <c r="K276" s="1035">
        <f t="shared" si="255"/>
        <v>0</v>
      </c>
      <c r="L276" s="1036"/>
      <c r="M276" s="1018"/>
      <c r="N276" s="1037">
        <f t="shared" si="253"/>
        <v>0</v>
      </c>
      <c r="O276" s="1034">
        <f t="shared" si="207"/>
        <v>1</v>
      </c>
      <c r="P276" s="1035">
        <f t="shared" si="252"/>
        <v>0</v>
      </c>
      <c r="Q276" s="1036"/>
      <c r="R276" s="1018"/>
      <c r="S276" s="1020">
        <f t="shared" si="254"/>
        <v>0</v>
      </c>
      <c r="T276" s="1034">
        <f t="shared" si="210"/>
        <v>1</v>
      </c>
      <c r="U276" s="1035">
        <f t="shared" si="238"/>
        <v>0</v>
      </c>
      <c r="V276" s="1036">
        <v>0</v>
      </c>
      <c r="W276" s="1018"/>
      <c r="X276" s="1037">
        <f t="shared" si="250"/>
        <v>0</v>
      </c>
      <c r="Y276" s="1034">
        <f t="shared" si="212"/>
        <v>1</v>
      </c>
      <c r="Z276" s="1035">
        <f t="shared" si="239"/>
        <v>0</v>
      </c>
      <c r="AA276" s="1036">
        <v>0</v>
      </c>
      <c r="AB276" s="1018"/>
      <c r="AC276" s="1021">
        <f t="shared" si="213"/>
        <v>0</v>
      </c>
      <c r="AD276" s="1034">
        <f t="shared" si="214"/>
        <v>1</v>
      </c>
      <c r="AE276" s="1035">
        <f t="shared" si="240"/>
        <v>0</v>
      </c>
      <c r="AF276" s="1036">
        <v>0</v>
      </c>
      <c r="AG276" s="1018"/>
      <c r="AH276" s="1037">
        <f t="shared" si="215"/>
        <v>0</v>
      </c>
      <c r="AI276" s="1034">
        <f t="shared" si="216"/>
        <v>1</v>
      </c>
      <c r="AJ276" s="1035">
        <f t="shared" si="241"/>
        <v>0</v>
      </c>
      <c r="AK276" s="1036">
        <v>0</v>
      </c>
      <c r="AL276" s="1018"/>
      <c r="AM276" s="1021">
        <f t="shared" si="217"/>
        <v>0</v>
      </c>
      <c r="AN276" s="1034">
        <f t="shared" si="218"/>
        <v>1</v>
      </c>
      <c r="AO276" s="1035">
        <f t="shared" si="242"/>
        <v>0</v>
      </c>
      <c r="AP276" s="1036">
        <v>0</v>
      </c>
      <c r="AQ276" s="1018"/>
      <c r="AR276" s="1037">
        <f t="shared" si="219"/>
        <v>0</v>
      </c>
      <c r="AS276" s="1034">
        <f t="shared" si="220"/>
        <v>1</v>
      </c>
      <c r="AT276" s="1035">
        <f t="shared" si="243"/>
        <v>0</v>
      </c>
      <c r="AU276" s="1036">
        <v>0</v>
      </c>
      <c r="AV276" s="1018"/>
      <c r="AW276" s="1021">
        <f t="shared" si="221"/>
        <v>0</v>
      </c>
      <c r="AX276" s="1034">
        <f t="shared" si="222"/>
        <v>1</v>
      </c>
      <c r="AY276" s="1035">
        <f t="shared" si="244"/>
        <v>0</v>
      </c>
      <c r="AZ276" s="1036">
        <v>0</v>
      </c>
      <c r="BA276" s="1036"/>
      <c r="BB276" s="1021">
        <f t="shared" si="223"/>
        <v>0</v>
      </c>
      <c r="BC276" s="1034">
        <f t="shared" si="224"/>
        <v>1</v>
      </c>
      <c r="BD276" s="1035">
        <f t="shared" si="245"/>
        <v>0</v>
      </c>
      <c r="BE276" s="1038">
        <v>0</v>
      </c>
      <c r="BF276" s="1018"/>
      <c r="BG276" s="1021">
        <f t="shared" si="225"/>
        <v>0</v>
      </c>
      <c r="BH276" s="1039">
        <f t="shared" si="226"/>
        <v>0</v>
      </c>
      <c r="BI276" s="1038">
        <f t="shared" si="227"/>
        <v>0</v>
      </c>
      <c r="BJ276" s="1027">
        <f t="shared" si="228"/>
        <v>0</v>
      </c>
      <c r="BK276" s="1021">
        <f t="shared" si="229"/>
        <v>0</v>
      </c>
      <c r="BL276" s="1040">
        <f t="shared" si="230"/>
        <v>0</v>
      </c>
      <c r="BM276" s="1038">
        <f t="shared" si="231"/>
        <v>0</v>
      </c>
      <c r="BN276" s="1027"/>
      <c r="BO276" s="1041"/>
      <c r="BP276" s="95">
        <f t="shared" si="247"/>
        <v>0</v>
      </c>
      <c r="BQ276" s="842">
        <f t="shared" si="248"/>
        <v>0</v>
      </c>
      <c r="BR276" s="323"/>
      <c r="BS276" s="94">
        <f t="shared" si="232"/>
        <v>0</v>
      </c>
      <c r="BU276" s="632">
        <f t="shared" si="233"/>
        <v>0</v>
      </c>
      <c r="BV276" s="398"/>
      <c r="BW276" s="737"/>
      <c r="BX276" s="323"/>
      <c r="CD276" s="398"/>
      <c r="CI276" s="796"/>
    </row>
    <row r="277" spans="1:87" s="795" customFormat="1" ht="14.25" hidden="1" outlineLevel="1" thickTop="1" thickBot="1">
      <c r="A277" s="794"/>
      <c r="B277" s="92">
        <v>37</v>
      </c>
      <c r="C277" s="1029"/>
      <c r="D277" s="1031"/>
      <c r="E277" s="1030"/>
      <c r="F277" s="1031"/>
      <c r="G277" s="1029"/>
      <c r="H277" s="1032">
        <f t="shared" si="234"/>
        <v>1</v>
      </c>
      <c r="I277" s="1033"/>
      <c r="J277" s="1034">
        <f t="shared" si="235"/>
        <v>1</v>
      </c>
      <c r="K277" s="1035">
        <f t="shared" si="255"/>
        <v>0</v>
      </c>
      <c r="L277" s="1036"/>
      <c r="M277" s="1018"/>
      <c r="N277" s="1037">
        <f t="shared" si="253"/>
        <v>0</v>
      </c>
      <c r="O277" s="1034">
        <f t="shared" si="207"/>
        <v>1</v>
      </c>
      <c r="P277" s="1035">
        <f t="shared" si="252"/>
        <v>0</v>
      </c>
      <c r="Q277" s="1036"/>
      <c r="R277" s="1018"/>
      <c r="S277" s="1020">
        <f t="shared" si="254"/>
        <v>0</v>
      </c>
      <c r="T277" s="1034">
        <f t="shared" si="210"/>
        <v>1</v>
      </c>
      <c r="U277" s="1035">
        <f t="shared" si="238"/>
        <v>0</v>
      </c>
      <c r="V277" s="1036">
        <v>0</v>
      </c>
      <c r="W277" s="1018"/>
      <c r="X277" s="1037">
        <f t="shared" si="250"/>
        <v>0</v>
      </c>
      <c r="Y277" s="1034">
        <f t="shared" si="212"/>
        <v>1</v>
      </c>
      <c r="Z277" s="1035">
        <f t="shared" si="239"/>
        <v>0</v>
      </c>
      <c r="AA277" s="1036">
        <v>0</v>
      </c>
      <c r="AB277" s="1018"/>
      <c r="AC277" s="1021">
        <f t="shared" si="213"/>
        <v>0</v>
      </c>
      <c r="AD277" s="1034">
        <f t="shared" si="214"/>
        <v>1</v>
      </c>
      <c r="AE277" s="1035">
        <f t="shared" si="240"/>
        <v>0</v>
      </c>
      <c r="AF277" s="1036">
        <v>0</v>
      </c>
      <c r="AG277" s="1018"/>
      <c r="AH277" s="1037">
        <f t="shared" si="215"/>
        <v>0</v>
      </c>
      <c r="AI277" s="1034">
        <f t="shared" si="216"/>
        <v>1</v>
      </c>
      <c r="AJ277" s="1035">
        <f t="shared" si="241"/>
        <v>0</v>
      </c>
      <c r="AK277" s="1036">
        <v>0</v>
      </c>
      <c r="AL277" s="1018"/>
      <c r="AM277" s="1021">
        <f t="shared" si="217"/>
        <v>0</v>
      </c>
      <c r="AN277" s="1034">
        <f t="shared" si="218"/>
        <v>1</v>
      </c>
      <c r="AO277" s="1035">
        <f t="shared" si="242"/>
        <v>0</v>
      </c>
      <c r="AP277" s="1036">
        <v>0</v>
      </c>
      <c r="AQ277" s="1018"/>
      <c r="AR277" s="1037">
        <f t="shared" si="219"/>
        <v>0</v>
      </c>
      <c r="AS277" s="1034">
        <f t="shared" si="220"/>
        <v>1</v>
      </c>
      <c r="AT277" s="1035">
        <f t="shared" si="243"/>
        <v>0</v>
      </c>
      <c r="AU277" s="1038">
        <v>0</v>
      </c>
      <c r="AV277" s="1018"/>
      <c r="AW277" s="1021">
        <f t="shared" si="221"/>
        <v>0</v>
      </c>
      <c r="AX277" s="1034">
        <f t="shared" si="222"/>
        <v>1</v>
      </c>
      <c r="AY277" s="1035">
        <f t="shared" si="244"/>
        <v>0</v>
      </c>
      <c r="AZ277" s="1036">
        <v>0</v>
      </c>
      <c r="BA277" s="1036"/>
      <c r="BB277" s="1021">
        <f t="shared" si="223"/>
        <v>0</v>
      </c>
      <c r="BC277" s="1034">
        <f t="shared" si="224"/>
        <v>1</v>
      </c>
      <c r="BD277" s="1035">
        <f t="shared" si="245"/>
        <v>0</v>
      </c>
      <c r="BE277" s="1038">
        <v>0</v>
      </c>
      <c r="BF277" s="1018"/>
      <c r="BG277" s="1021">
        <f t="shared" si="225"/>
        <v>0</v>
      </c>
      <c r="BH277" s="1039">
        <f t="shared" si="226"/>
        <v>0</v>
      </c>
      <c r="BI277" s="1038">
        <f t="shared" si="227"/>
        <v>0</v>
      </c>
      <c r="BJ277" s="1027">
        <f t="shared" si="228"/>
        <v>0</v>
      </c>
      <c r="BK277" s="1021">
        <f t="shared" si="229"/>
        <v>0</v>
      </c>
      <c r="BL277" s="1040">
        <f t="shared" si="230"/>
        <v>0</v>
      </c>
      <c r="BM277" s="1038">
        <f t="shared" si="231"/>
        <v>0</v>
      </c>
      <c r="BN277" s="1027"/>
      <c r="BO277" s="1041"/>
      <c r="BP277" s="95">
        <f t="shared" si="247"/>
        <v>0</v>
      </c>
      <c r="BQ277" s="842">
        <f t="shared" si="248"/>
        <v>0</v>
      </c>
      <c r="BR277" s="323"/>
      <c r="BS277" s="94">
        <f t="shared" si="232"/>
        <v>0</v>
      </c>
      <c r="BU277" s="632">
        <f t="shared" si="233"/>
        <v>0</v>
      </c>
      <c r="BV277" s="398"/>
      <c r="BW277" s="737"/>
      <c r="BX277" s="323"/>
      <c r="CD277" s="398"/>
      <c r="CI277" s="796"/>
    </row>
    <row r="278" spans="1:87" ht="14.25" hidden="1" outlineLevel="1" thickTop="1" thickBot="1">
      <c r="A278" s="57"/>
      <c r="B278" s="92">
        <v>38</v>
      </c>
      <c r="C278" s="1029"/>
      <c r="D278" s="1031"/>
      <c r="E278" s="1030"/>
      <c r="F278" s="1031"/>
      <c r="G278" s="1029"/>
      <c r="H278" s="1032">
        <f t="shared" si="234"/>
        <v>1</v>
      </c>
      <c r="I278" s="1033"/>
      <c r="J278" s="1034">
        <f t="shared" si="235"/>
        <v>1</v>
      </c>
      <c r="K278" s="1035">
        <f t="shared" si="255"/>
        <v>0</v>
      </c>
      <c r="L278" s="1036"/>
      <c r="M278" s="1018"/>
      <c r="N278" s="1037">
        <f t="shared" si="253"/>
        <v>0</v>
      </c>
      <c r="O278" s="1034">
        <f t="shared" si="207"/>
        <v>1</v>
      </c>
      <c r="P278" s="1035">
        <f t="shared" si="252"/>
        <v>0</v>
      </c>
      <c r="Q278" s="1036"/>
      <c r="R278" s="1018"/>
      <c r="S278" s="1020">
        <f t="shared" si="254"/>
        <v>0</v>
      </c>
      <c r="T278" s="1034">
        <f t="shared" si="210"/>
        <v>1</v>
      </c>
      <c r="U278" s="1035">
        <f t="shared" si="238"/>
        <v>0</v>
      </c>
      <c r="V278" s="1036">
        <v>0</v>
      </c>
      <c r="W278" s="1018"/>
      <c r="X278" s="1037">
        <f t="shared" si="250"/>
        <v>0</v>
      </c>
      <c r="Y278" s="1034">
        <f t="shared" si="212"/>
        <v>1</v>
      </c>
      <c r="Z278" s="1035">
        <f t="shared" si="239"/>
        <v>0</v>
      </c>
      <c r="AA278" s="1036">
        <v>0</v>
      </c>
      <c r="AB278" s="1018"/>
      <c r="AC278" s="1021">
        <f t="shared" si="213"/>
        <v>0</v>
      </c>
      <c r="AD278" s="1034">
        <f t="shared" si="214"/>
        <v>1</v>
      </c>
      <c r="AE278" s="1035">
        <f t="shared" si="240"/>
        <v>0</v>
      </c>
      <c r="AF278" s="1036">
        <v>0</v>
      </c>
      <c r="AG278" s="1018"/>
      <c r="AH278" s="1037">
        <f t="shared" si="215"/>
        <v>0</v>
      </c>
      <c r="AI278" s="1034">
        <f t="shared" si="216"/>
        <v>1</v>
      </c>
      <c r="AJ278" s="1035">
        <f t="shared" si="241"/>
        <v>0</v>
      </c>
      <c r="AK278" s="1036">
        <v>0</v>
      </c>
      <c r="AL278" s="1018"/>
      <c r="AM278" s="1021">
        <f t="shared" si="217"/>
        <v>0</v>
      </c>
      <c r="AN278" s="1034">
        <f t="shared" si="218"/>
        <v>1</v>
      </c>
      <c r="AO278" s="1035">
        <f t="shared" si="242"/>
        <v>0</v>
      </c>
      <c r="AP278" s="1036">
        <v>0</v>
      </c>
      <c r="AQ278" s="1018"/>
      <c r="AR278" s="1037">
        <f t="shared" si="219"/>
        <v>0</v>
      </c>
      <c r="AS278" s="1034">
        <f t="shared" si="220"/>
        <v>1</v>
      </c>
      <c r="AT278" s="1035">
        <f t="shared" si="243"/>
        <v>0</v>
      </c>
      <c r="AU278" s="1036">
        <v>0</v>
      </c>
      <c r="AV278" s="1018"/>
      <c r="AW278" s="1021">
        <f t="shared" si="221"/>
        <v>0</v>
      </c>
      <c r="AX278" s="1034">
        <f t="shared" si="222"/>
        <v>1</v>
      </c>
      <c r="AY278" s="1035">
        <f t="shared" si="244"/>
        <v>0</v>
      </c>
      <c r="AZ278" s="1036">
        <v>0</v>
      </c>
      <c r="BA278" s="1036"/>
      <c r="BB278" s="1021">
        <f t="shared" si="223"/>
        <v>0</v>
      </c>
      <c r="BC278" s="1034">
        <f t="shared" si="224"/>
        <v>1</v>
      </c>
      <c r="BD278" s="1035">
        <f t="shared" si="245"/>
        <v>0</v>
      </c>
      <c r="BE278" s="1038">
        <v>0</v>
      </c>
      <c r="BF278" s="1018"/>
      <c r="BG278" s="1021">
        <f t="shared" si="225"/>
        <v>0</v>
      </c>
      <c r="BH278" s="1039">
        <f t="shared" si="226"/>
        <v>0</v>
      </c>
      <c r="BI278" s="1038">
        <f t="shared" si="227"/>
        <v>0</v>
      </c>
      <c r="BJ278" s="1027">
        <f t="shared" si="228"/>
        <v>0</v>
      </c>
      <c r="BK278" s="1021">
        <f t="shared" si="229"/>
        <v>0</v>
      </c>
      <c r="BL278" s="1040">
        <f t="shared" si="230"/>
        <v>0</v>
      </c>
      <c r="BM278" s="1038">
        <f t="shared" si="231"/>
        <v>0</v>
      </c>
      <c r="BN278" s="1027"/>
      <c r="BO278" s="1041"/>
      <c r="BP278" s="95">
        <f t="shared" si="247"/>
        <v>0</v>
      </c>
      <c r="BQ278" s="842">
        <f t="shared" si="248"/>
        <v>0</v>
      </c>
      <c r="BS278" s="94">
        <f t="shared" si="232"/>
        <v>0</v>
      </c>
      <c r="BU278" s="632">
        <f t="shared" si="233"/>
        <v>0</v>
      </c>
      <c r="BV278" s="398"/>
      <c r="BW278" s="405"/>
      <c r="CI278" s="96"/>
    </row>
    <row r="279" spans="1:87" s="762" customFormat="1" ht="14.25" hidden="1" outlineLevel="1" thickTop="1" thickBot="1">
      <c r="A279" s="761"/>
      <c r="B279" s="751">
        <v>39</v>
      </c>
      <c r="C279" s="1029"/>
      <c r="D279" s="1031"/>
      <c r="E279" s="1030"/>
      <c r="F279" s="1031"/>
      <c r="G279" s="1029"/>
      <c r="H279" s="1032">
        <f t="shared" si="234"/>
        <v>1</v>
      </c>
      <c r="I279" s="1033"/>
      <c r="J279" s="1034">
        <f t="shared" si="235"/>
        <v>1</v>
      </c>
      <c r="K279" s="1035">
        <f t="shared" si="255"/>
        <v>0</v>
      </c>
      <c r="L279" s="1036"/>
      <c r="M279" s="1018"/>
      <c r="N279" s="1037">
        <f t="shared" si="253"/>
        <v>0</v>
      </c>
      <c r="O279" s="1034">
        <f t="shared" si="207"/>
        <v>1</v>
      </c>
      <c r="P279" s="1035">
        <f t="shared" si="252"/>
        <v>0</v>
      </c>
      <c r="Q279" s="1036"/>
      <c r="R279" s="1018"/>
      <c r="S279" s="1020">
        <f t="shared" si="254"/>
        <v>0</v>
      </c>
      <c r="T279" s="1034">
        <f t="shared" si="210"/>
        <v>1</v>
      </c>
      <c r="U279" s="1035">
        <f t="shared" si="238"/>
        <v>0</v>
      </c>
      <c r="V279" s="1036">
        <v>0</v>
      </c>
      <c r="W279" s="1018"/>
      <c r="X279" s="1037">
        <f t="shared" si="250"/>
        <v>0</v>
      </c>
      <c r="Y279" s="1034">
        <f t="shared" si="212"/>
        <v>1</v>
      </c>
      <c r="Z279" s="1035">
        <f t="shared" si="239"/>
        <v>0</v>
      </c>
      <c r="AA279" s="1036">
        <v>0</v>
      </c>
      <c r="AB279" s="1018"/>
      <c r="AC279" s="1021">
        <f t="shared" si="213"/>
        <v>0</v>
      </c>
      <c r="AD279" s="1034">
        <f t="shared" si="214"/>
        <v>1</v>
      </c>
      <c r="AE279" s="1035">
        <f t="shared" si="240"/>
        <v>0</v>
      </c>
      <c r="AF279" s="1036">
        <v>0</v>
      </c>
      <c r="AG279" s="1018"/>
      <c r="AH279" s="1037">
        <f t="shared" si="215"/>
        <v>0</v>
      </c>
      <c r="AI279" s="1034">
        <f t="shared" si="216"/>
        <v>1</v>
      </c>
      <c r="AJ279" s="1035">
        <f t="shared" si="241"/>
        <v>0</v>
      </c>
      <c r="AK279" s="1036">
        <v>0</v>
      </c>
      <c r="AL279" s="1018"/>
      <c r="AM279" s="1021">
        <f t="shared" si="217"/>
        <v>0</v>
      </c>
      <c r="AN279" s="1034">
        <f t="shared" si="218"/>
        <v>1</v>
      </c>
      <c r="AO279" s="1035">
        <f t="shared" si="242"/>
        <v>0</v>
      </c>
      <c r="AP279" s="1036">
        <v>0</v>
      </c>
      <c r="AQ279" s="1018"/>
      <c r="AR279" s="1037">
        <f t="shared" si="219"/>
        <v>0</v>
      </c>
      <c r="AS279" s="1034">
        <f t="shared" si="220"/>
        <v>1</v>
      </c>
      <c r="AT279" s="1035">
        <f t="shared" si="243"/>
        <v>0</v>
      </c>
      <c r="AU279" s="1038">
        <v>0</v>
      </c>
      <c r="AV279" s="1018"/>
      <c r="AW279" s="1021">
        <f t="shared" si="221"/>
        <v>0</v>
      </c>
      <c r="AX279" s="1034">
        <f t="shared" si="222"/>
        <v>1</v>
      </c>
      <c r="AY279" s="1035">
        <f t="shared" si="244"/>
        <v>0</v>
      </c>
      <c r="AZ279" s="1036">
        <v>0</v>
      </c>
      <c r="BA279" s="1036"/>
      <c r="BB279" s="1021">
        <f t="shared" si="223"/>
        <v>0</v>
      </c>
      <c r="BC279" s="1034">
        <f t="shared" si="224"/>
        <v>1</v>
      </c>
      <c r="BD279" s="1035">
        <f t="shared" si="245"/>
        <v>0</v>
      </c>
      <c r="BE279" s="1038">
        <v>0</v>
      </c>
      <c r="BF279" s="1018"/>
      <c r="BG279" s="1021">
        <f t="shared" si="225"/>
        <v>0</v>
      </c>
      <c r="BH279" s="1039">
        <f t="shared" si="226"/>
        <v>0</v>
      </c>
      <c r="BI279" s="1038">
        <f t="shared" si="227"/>
        <v>0</v>
      </c>
      <c r="BJ279" s="1027">
        <f t="shared" si="228"/>
        <v>0</v>
      </c>
      <c r="BK279" s="1021">
        <f t="shared" si="229"/>
        <v>0</v>
      </c>
      <c r="BL279" s="1040">
        <f t="shared" si="230"/>
        <v>0</v>
      </c>
      <c r="BM279" s="1038">
        <f t="shared" si="231"/>
        <v>0</v>
      </c>
      <c r="BN279" s="1027"/>
      <c r="BO279" s="1041"/>
      <c r="BP279" s="95">
        <f t="shared" si="247"/>
        <v>0</v>
      </c>
      <c r="BQ279" s="842">
        <f t="shared" si="248"/>
        <v>0</v>
      </c>
      <c r="BR279" s="323"/>
      <c r="BS279" s="757">
        <f t="shared" si="232"/>
        <v>0</v>
      </c>
      <c r="BU279" s="754">
        <f t="shared" si="233"/>
        <v>0</v>
      </c>
      <c r="BV279" s="758"/>
      <c r="BW279" s="763"/>
      <c r="BX279" s="756"/>
      <c r="CD279" s="758"/>
      <c r="CI279" s="764"/>
    </row>
    <row r="280" spans="1:87" s="795" customFormat="1" ht="14.25" hidden="1" outlineLevel="1" thickTop="1" thickBot="1">
      <c r="A280" s="794"/>
      <c r="B280" s="92">
        <v>40</v>
      </c>
      <c r="C280" s="1029"/>
      <c r="D280" s="1031"/>
      <c r="E280" s="1030"/>
      <c r="F280" s="1031"/>
      <c r="G280" s="1029"/>
      <c r="H280" s="1032">
        <f t="shared" si="234"/>
        <v>1</v>
      </c>
      <c r="I280" s="1033"/>
      <c r="J280" s="1034">
        <f t="shared" si="235"/>
        <v>1</v>
      </c>
      <c r="K280" s="1035">
        <f t="shared" si="255"/>
        <v>0</v>
      </c>
      <c r="L280" s="1036"/>
      <c r="M280" s="1018"/>
      <c r="N280" s="1037">
        <f t="shared" si="253"/>
        <v>0</v>
      </c>
      <c r="O280" s="1034">
        <f t="shared" si="207"/>
        <v>1</v>
      </c>
      <c r="P280" s="1035">
        <f t="shared" si="252"/>
        <v>0</v>
      </c>
      <c r="Q280" s="1036"/>
      <c r="R280" s="1018"/>
      <c r="S280" s="1020">
        <f t="shared" si="254"/>
        <v>0</v>
      </c>
      <c r="T280" s="1034">
        <f t="shared" si="210"/>
        <v>1</v>
      </c>
      <c r="U280" s="1035">
        <f t="shared" si="238"/>
        <v>0</v>
      </c>
      <c r="V280" s="1036">
        <v>0</v>
      </c>
      <c r="W280" s="1018"/>
      <c r="X280" s="1037">
        <f t="shared" si="250"/>
        <v>0</v>
      </c>
      <c r="Y280" s="1034">
        <f t="shared" si="212"/>
        <v>1</v>
      </c>
      <c r="Z280" s="1035">
        <f t="shared" si="239"/>
        <v>0</v>
      </c>
      <c r="AA280" s="1036">
        <v>0</v>
      </c>
      <c r="AB280" s="1018"/>
      <c r="AC280" s="1021">
        <f t="shared" si="213"/>
        <v>0</v>
      </c>
      <c r="AD280" s="1034">
        <f t="shared" si="214"/>
        <v>1</v>
      </c>
      <c r="AE280" s="1035">
        <f t="shared" si="240"/>
        <v>0</v>
      </c>
      <c r="AF280" s="1036">
        <v>0</v>
      </c>
      <c r="AG280" s="1018"/>
      <c r="AH280" s="1037">
        <f t="shared" si="215"/>
        <v>0</v>
      </c>
      <c r="AI280" s="1034">
        <f t="shared" si="216"/>
        <v>1</v>
      </c>
      <c r="AJ280" s="1035">
        <f t="shared" si="241"/>
        <v>0</v>
      </c>
      <c r="AK280" s="1036">
        <v>0</v>
      </c>
      <c r="AL280" s="1018"/>
      <c r="AM280" s="1021">
        <f t="shared" si="217"/>
        <v>0</v>
      </c>
      <c r="AN280" s="1034">
        <f t="shared" si="218"/>
        <v>1</v>
      </c>
      <c r="AO280" s="1035">
        <f t="shared" si="242"/>
        <v>0</v>
      </c>
      <c r="AP280" s="1036">
        <v>0</v>
      </c>
      <c r="AQ280" s="1018"/>
      <c r="AR280" s="1037">
        <f t="shared" si="219"/>
        <v>0</v>
      </c>
      <c r="AS280" s="1034">
        <f t="shared" si="220"/>
        <v>1</v>
      </c>
      <c r="AT280" s="1035">
        <f t="shared" si="243"/>
        <v>0</v>
      </c>
      <c r="AU280" s="1036">
        <v>0</v>
      </c>
      <c r="AV280" s="1018"/>
      <c r="AW280" s="1021">
        <f t="shared" si="221"/>
        <v>0</v>
      </c>
      <c r="AX280" s="1034">
        <f t="shared" si="222"/>
        <v>1</v>
      </c>
      <c r="AY280" s="1035">
        <f t="shared" si="244"/>
        <v>0</v>
      </c>
      <c r="AZ280" s="1036">
        <v>0</v>
      </c>
      <c r="BA280" s="1036"/>
      <c r="BB280" s="1021">
        <f t="shared" si="223"/>
        <v>0</v>
      </c>
      <c r="BC280" s="1034">
        <f t="shared" si="224"/>
        <v>1</v>
      </c>
      <c r="BD280" s="1035">
        <f t="shared" si="245"/>
        <v>0</v>
      </c>
      <c r="BE280" s="1038">
        <v>0</v>
      </c>
      <c r="BF280" s="1018"/>
      <c r="BG280" s="1021">
        <f t="shared" si="225"/>
        <v>0</v>
      </c>
      <c r="BH280" s="1039">
        <f t="shared" si="226"/>
        <v>0</v>
      </c>
      <c r="BI280" s="1038">
        <f t="shared" si="227"/>
        <v>0</v>
      </c>
      <c r="BJ280" s="1027">
        <f t="shared" si="228"/>
        <v>0</v>
      </c>
      <c r="BK280" s="1021">
        <f t="shared" si="229"/>
        <v>0</v>
      </c>
      <c r="BL280" s="1040">
        <f t="shared" si="230"/>
        <v>0</v>
      </c>
      <c r="BM280" s="1038">
        <f t="shared" si="231"/>
        <v>0</v>
      </c>
      <c r="BN280" s="1027"/>
      <c r="BO280" s="1041"/>
      <c r="BP280" s="95">
        <f t="shared" si="247"/>
        <v>0</v>
      </c>
      <c r="BQ280" s="842">
        <f t="shared" si="248"/>
        <v>0</v>
      </c>
      <c r="BR280" s="323"/>
      <c r="BS280" s="94">
        <f t="shared" si="232"/>
        <v>0</v>
      </c>
      <c r="BU280" s="632">
        <f t="shared" si="233"/>
        <v>0</v>
      </c>
      <c r="BV280" s="398"/>
      <c r="BW280" s="737"/>
      <c r="BX280" s="323"/>
      <c r="CD280" s="398"/>
      <c r="CI280" s="796"/>
    </row>
    <row r="281" spans="1:87" s="795" customFormat="1" ht="14.25" hidden="1" outlineLevel="1" thickTop="1" thickBot="1">
      <c r="A281" s="794"/>
      <c r="B281" s="92">
        <v>41</v>
      </c>
      <c r="C281" s="1029"/>
      <c r="D281" s="1031"/>
      <c r="E281" s="1030"/>
      <c r="F281" s="1031"/>
      <c r="G281" s="1029"/>
      <c r="H281" s="1032">
        <f t="shared" si="234"/>
        <v>1</v>
      </c>
      <c r="I281" s="1033"/>
      <c r="J281" s="1034">
        <f t="shared" si="235"/>
        <v>1</v>
      </c>
      <c r="K281" s="1035">
        <f t="shared" si="255"/>
        <v>0</v>
      </c>
      <c r="L281" s="1036"/>
      <c r="M281" s="1018"/>
      <c r="N281" s="1037">
        <f t="shared" si="253"/>
        <v>0</v>
      </c>
      <c r="O281" s="1034">
        <f t="shared" si="207"/>
        <v>1</v>
      </c>
      <c r="P281" s="1035">
        <f t="shared" si="252"/>
        <v>0</v>
      </c>
      <c r="Q281" s="1036"/>
      <c r="R281" s="1018"/>
      <c r="S281" s="1020">
        <f t="shared" si="254"/>
        <v>0</v>
      </c>
      <c r="T281" s="1034">
        <f t="shared" si="210"/>
        <v>1</v>
      </c>
      <c r="U281" s="1035">
        <f t="shared" si="238"/>
        <v>0</v>
      </c>
      <c r="V281" s="1036">
        <v>0</v>
      </c>
      <c r="W281" s="1018"/>
      <c r="X281" s="1037">
        <f t="shared" si="250"/>
        <v>0</v>
      </c>
      <c r="Y281" s="1034">
        <f t="shared" si="212"/>
        <v>1</v>
      </c>
      <c r="Z281" s="1035">
        <f t="shared" si="239"/>
        <v>0</v>
      </c>
      <c r="AA281" s="1036">
        <v>0</v>
      </c>
      <c r="AB281" s="1018"/>
      <c r="AC281" s="1021">
        <f t="shared" si="213"/>
        <v>0</v>
      </c>
      <c r="AD281" s="1034">
        <f t="shared" si="214"/>
        <v>1</v>
      </c>
      <c r="AE281" s="1035">
        <f t="shared" si="240"/>
        <v>0</v>
      </c>
      <c r="AF281" s="1036">
        <v>0</v>
      </c>
      <c r="AG281" s="1018"/>
      <c r="AH281" s="1037">
        <f t="shared" si="215"/>
        <v>0</v>
      </c>
      <c r="AI281" s="1034">
        <f t="shared" si="216"/>
        <v>1</v>
      </c>
      <c r="AJ281" s="1035">
        <f t="shared" si="241"/>
        <v>0</v>
      </c>
      <c r="AK281" s="1036">
        <v>0</v>
      </c>
      <c r="AL281" s="1018"/>
      <c r="AM281" s="1021">
        <f t="shared" si="217"/>
        <v>0</v>
      </c>
      <c r="AN281" s="1034">
        <f t="shared" si="218"/>
        <v>1</v>
      </c>
      <c r="AO281" s="1035">
        <f t="shared" si="242"/>
        <v>0</v>
      </c>
      <c r="AP281" s="1036">
        <v>0</v>
      </c>
      <c r="AQ281" s="1018"/>
      <c r="AR281" s="1037">
        <f t="shared" si="219"/>
        <v>0</v>
      </c>
      <c r="AS281" s="1034">
        <f t="shared" si="220"/>
        <v>1</v>
      </c>
      <c r="AT281" s="1035">
        <f t="shared" si="243"/>
        <v>0</v>
      </c>
      <c r="AU281" s="1038">
        <v>0</v>
      </c>
      <c r="AV281" s="1018"/>
      <c r="AW281" s="1021">
        <f t="shared" si="221"/>
        <v>0</v>
      </c>
      <c r="AX281" s="1034">
        <f t="shared" si="222"/>
        <v>1</v>
      </c>
      <c r="AY281" s="1035">
        <f t="shared" si="244"/>
        <v>0</v>
      </c>
      <c r="AZ281" s="1036">
        <v>0</v>
      </c>
      <c r="BA281" s="1036"/>
      <c r="BB281" s="1021">
        <f t="shared" si="223"/>
        <v>0</v>
      </c>
      <c r="BC281" s="1034">
        <f t="shared" si="224"/>
        <v>1</v>
      </c>
      <c r="BD281" s="1035">
        <f t="shared" si="245"/>
        <v>0</v>
      </c>
      <c r="BE281" s="1038">
        <v>0</v>
      </c>
      <c r="BF281" s="1018"/>
      <c r="BG281" s="1021">
        <f t="shared" si="225"/>
        <v>0</v>
      </c>
      <c r="BH281" s="1039">
        <f t="shared" si="226"/>
        <v>0</v>
      </c>
      <c r="BI281" s="1038">
        <f t="shared" si="227"/>
        <v>0</v>
      </c>
      <c r="BJ281" s="1027">
        <f t="shared" si="228"/>
        <v>0</v>
      </c>
      <c r="BK281" s="1021">
        <f t="shared" si="229"/>
        <v>0</v>
      </c>
      <c r="BL281" s="1040">
        <f t="shared" si="230"/>
        <v>0</v>
      </c>
      <c r="BM281" s="1038">
        <f t="shared" si="231"/>
        <v>0</v>
      </c>
      <c r="BN281" s="1027"/>
      <c r="BO281" s="1041"/>
      <c r="BP281" s="95">
        <f t="shared" si="247"/>
        <v>0</v>
      </c>
      <c r="BQ281" s="842">
        <f t="shared" si="248"/>
        <v>0</v>
      </c>
      <c r="BR281" s="323"/>
      <c r="BS281" s="94">
        <f t="shared" si="232"/>
        <v>0</v>
      </c>
      <c r="BU281" s="632">
        <f t="shared" si="233"/>
        <v>0</v>
      </c>
      <c r="BV281" s="398"/>
      <c r="BW281" s="737"/>
      <c r="BX281" s="323"/>
      <c r="CD281" s="398"/>
      <c r="CI281" s="796"/>
    </row>
    <row r="282" spans="1:87" s="795" customFormat="1" ht="14.25" hidden="1" outlineLevel="1" thickTop="1" thickBot="1">
      <c r="A282" s="794"/>
      <c r="B282" s="92">
        <v>42</v>
      </c>
      <c r="C282" s="1029"/>
      <c r="D282" s="1031"/>
      <c r="E282" s="1030"/>
      <c r="F282" s="1031"/>
      <c r="G282" s="1029"/>
      <c r="H282" s="1032">
        <f t="shared" si="234"/>
        <v>1</v>
      </c>
      <c r="I282" s="1033"/>
      <c r="J282" s="1034">
        <f t="shared" si="235"/>
        <v>1</v>
      </c>
      <c r="K282" s="1035">
        <f t="shared" si="255"/>
        <v>0</v>
      </c>
      <c r="L282" s="1036"/>
      <c r="M282" s="1018"/>
      <c r="N282" s="1037">
        <f t="shared" si="253"/>
        <v>0</v>
      </c>
      <c r="O282" s="1034">
        <f t="shared" si="207"/>
        <v>1</v>
      </c>
      <c r="P282" s="1035">
        <f t="shared" si="252"/>
        <v>0</v>
      </c>
      <c r="Q282" s="1036"/>
      <c r="R282" s="1018"/>
      <c r="S282" s="1020">
        <f t="shared" si="254"/>
        <v>0</v>
      </c>
      <c r="T282" s="1034">
        <f t="shared" si="210"/>
        <v>1</v>
      </c>
      <c r="U282" s="1035">
        <f t="shared" si="238"/>
        <v>0</v>
      </c>
      <c r="V282" s="1036">
        <v>0</v>
      </c>
      <c r="W282" s="1018"/>
      <c r="X282" s="1037">
        <f t="shared" si="250"/>
        <v>0</v>
      </c>
      <c r="Y282" s="1034">
        <f t="shared" si="212"/>
        <v>1</v>
      </c>
      <c r="Z282" s="1035">
        <f t="shared" si="239"/>
        <v>0</v>
      </c>
      <c r="AA282" s="1036">
        <v>0</v>
      </c>
      <c r="AB282" s="1018"/>
      <c r="AC282" s="1021">
        <f t="shared" si="213"/>
        <v>0</v>
      </c>
      <c r="AD282" s="1034">
        <f t="shared" si="214"/>
        <v>1</v>
      </c>
      <c r="AE282" s="1035">
        <f t="shared" si="240"/>
        <v>0</v>
      </c>
      <c r="AF282" s="1036">
        <v>0</v>
      </c>
      <c r="AG282" s="1018"/>
      <c r="AH282" s="1037">
        <f t="shared" si="215"/>
        <v>0</v>
      </c>
      <c r="AI282" s="1034">
        <f t="shared" si="216"/>
        <v>1</v>
      </c>
      <c r="AJ282" s="1035">
        <f t="shared" si="241"/>
        <v>0</v>
      </c>
      <c r="AK282" s="1036">
        <v>0</v>
      </c>
      <c r="AL282" s="1018"/>
      <c r="AM282" s="1021">
        <f t="shared" si="217"/>
        <v>0</v>
      </c>
      <c r="AN282" s="1034">
        <f t="shared" si="218"/>
        <v>1</v>
      </c>
      <c r="AO282" s="1035">
        <f t="shared" si="242"/>
        <v>0</v>
      </c>
      <c r="AP282" s="1036">
        <v>0</v>
      </c>
      <c r="AQ282" s="1018"/>
      <c r="AR282" s="1037">
        <f t="shared" si="219"/>
        <v>0</v>
      </c>
      <c r="AS282" s="1034">
        <f t="shared" si="220"/>
        <v>1</v>
      </c>
      <c r="AT282" s="1035">
        <f t="shared" si="243"/>
        <v>0</v>
      </c>
      <c r="AU282" s="1036">
        <v>0</v>
      </c>
      <c r="AV282" s="1018"/>
      <c r="AW282" s="1021">
        <f t="shared" si="221"/>
        <v>0</v>
      </c>
      <c r="AX282" s="1034">
        <f t="shared" si="222"/>
        <v>1</v>
      </c>
      <c r="AY282" s="1035">
        <f t="shared" si="244"/>
        <v>0</v>
      </c>
      <c r="AZ282" s="1036">
        <v>0</v>
      </c>
      <c r="BA282" s="1036"/>
      <c r="BB282" s="1021">
        <f t="shared" si="223"/>
        <v>0</v>
      </c>
      <c r="BC282" s="1034">
        <f t="shared" si="224"/>
        <v>1</v>
      </c>
      <c r="BD282" s="1035">
        <f t="shared" si="245"/>
        <v>0</v>
      </c>
      <c r="BE282" s="1038">
        <v>0</v>
      </c>
      <c r="BF282" s="1018"/>
      <c r="BG282" s="1021">
        <f t="shared" si="225"/>
        <v>0</v>
      </c>
      <c r="BH282" s="1039">
        <f t="shared" si="226"/>
        <v>0</v>
      </c>
      <c r="BI282" s="1038">
        <f t="shared" si="227"/>
        <v>0</v>
      </c>
      <c r="BJ282" s="1027">
        <f t="shared" si="228"/>
        <v>0</v>
      </c>
      <c r="BK282" s="1021">
        <f t="shared" si="229"/>
        <v>0</v>
      </c>
      <c r="BL282" s="1040">
        <f t="shared" si="230"/>
        <v>0</v>
      </c>
      <c r="BM282" s="1038">
        <f t="shared" si="231"/>
        <v>0</v>
      </c>
      <c r="BN282" s="1027"/>
      <c r="BO282" s="1041"/>
      <c r="BP282" s="95">
        <f t="shared" si="247"/>
        <v>0</v>
      </c>
      <c r="BQ282" s="842">
        <f t="shared" si="248"/>
        <v>0</v>
      </c>
      <c r="BR282" s="323"/>
      <c r="BS282" s="94">
        <f t="shared" si="232"/>
        <v>0</v>
      </c>
      <c r="BU282" s="632">
        <f t="shared" si="233"/>
        <v>0</v>
      </c>
      <c r="BV282" s="398"/>
      <c r="BW282" s="737"/>
      <c r="BX282" s="323"/>
      <c r="CD282" s="398"/>
      <c r="CI282" s="796"/>
    </row>
    <row r="283" spans="1:87" s="795" customFormat="1" ht="14.25" hidden="1" outlineLevel="1" thickTop="1" thickBot="1">
      <c r="A283" s="794"/>
      <c r="B283" s="92">
        <v>43</v>
      </c>
      <c r="C283" s="1029"/>
      <c r="D283" s="1031"/>
      <c r="E283" s="1030"/>
      <c r="F283" s="1031"/>
      <c r="G283" s="1029"/>
      <c r="H283" s="1032">
        <f t="shared" si="234"/>
        <v>1</v>
      </c>
      <c r="I283" s="1033"/>
      <c r="J283" s="1034">
        <f t="shared" si="235"/>
        <v>1</v>
      </c>
      <c r="K283" s="1035">
        <f t="shared" si="255"/>
        <v>0</v>
      </c>
      <c r="L283" s="1036"/>
      <c r="M283" s="1018"/>
      <c r="N283" s="1037">
        <f t="shared" si="253"/>
        <v>0</v>
      </c>
      <c r="O283" s="1034">
        <f t="shared" si="207"/>
        <v>1</v>
      </c>
      <c r="P283" s="1035">
        <f t="shared" si="252"/>
        <v>0</v>
      </c>
      <c r="Q283" s="1036"/>
      <c r="R283" s="1018"/>
      <c r="S283" s="1020">
        <f t="shared" si="254"/>
        <v>0</v>
      </c>
      <c r="T283" s="1034">
        <f t="shared" si="210"/>
        <v>1</v>
      </c>
      <c r="U283" s="1035">
        <f t="shared" si="238"/>
        <v>0</v>
      </c>
      <c r="V283" s="1036">
        <v>0</v>
      </c>
      <c r="W283" s="1018"/>
      <c r="X283" s="1037">
        <f t="shared" si="250"/>
        <v>0</v>
      </c>
      <c r="Y283" s="1034">
        <f t="shared" si="212"/>
        <v>1</v>
      </c>
      <c r="Z283" s="1035">
        <f t="shared" si="239"/>
        <v>0</v>
      </c>
      <c r="AA283" s="1036">
        <v>0</v>
      </c>
      <c r="AB283" s="1018"/>
      <c r="AC283" s="1021">
        <f t="shared" si="213"/>
        <v>0</v>
      </c>
      <c r="AD283" s="1034">
        <f t="shared" si="214"/>
        <v>1</v>
      </c>
      <c r="AE283" s="1035">
        <f t="shared" si="240"/>
        <v>0</v>
      </c>
      <c r="AF283" s="1036">
        <v>0</v>
      </c>
      <c r="AG283" s="1018"/>
      <c r="AH283" s="1037">
        <f t="shared" si="215"/>
        <v>0</v>
      </c>
      <c r="AI283" s="1034">
        <f t="shared" si="216"/>
        <v>1</v>
      </c>
      <c r="AJ283" s="1035">
        <f t="shared" si="241"/>
        <v>0</v>
      </c>
      <c r="AK283" s="1036">
        <v>0</v>
      </c>
      <c r="AL283" s="1018"/>
      <c r="AM283" s="1021">
        <f t="shared" si="217"/>
        <v>0</v>
      </c>
      <c r="AN283" s="1034">
        <f t="shared" si="218"/>
        <v>1</v>
      </c>
      <c r="AO283" s="1035">
        <f t="shared" si="242"/>
        <v>0</v>
      </c>
      <c r="AP283" s="1036">
        <v>0</v>
      </c>
      <c r="AQ283" s="1018"/>
      <c r="AR283" s="1037">
        <f t="shared" si="219"/>
        <v>0</v>
      </c>
      <c r="AS283" s="1034">
        <f t="shared" si="220"/>
        <v>1</v>
      </c>
      <c r="AT283" s="1035">
        <f t="shared" si="243"/>
        <v>0</v>
      </c>
      <c r="AU283" s="1038">
        <v>0</v>
      </c>
      <c r="AV283" s="1018"/>
      <c r="AW283" s="1021">
        <f t="shared" si="221"/>
        <v>0</v>
      </c>
      <c r="AX283" s="1034">
        <f t="shared" si="222"/>
        <v>1</v>
      </c>
      <c r="AY283" s="1035">
        <f t="shared" si="244"/>
        <v>0</v>
      </c>
      <c r="AZ283" s="1036">
        <v>0</v>
      </c>
      <c r="BA283" s="1036"/>
      <c r="BB283" s="1021">
        <f t="shared" si="223"/>
        <v>0</v>
      </c>
      <c r="BC283" s="1034">
        <f t="shared" si="224"/>
        <v>1</v>
      </c>
      <c r="BD283" s="1035">
        <f t="shared" si="245"/>
        <v>0</v>
      </c>
      <c r="BE283" s="1038">
        <v>0</v>
      </c>
      <c r="BF283" s="1018"/>
      <c r="BG283" s="1021">
        <f t="shared" si="225"/>
        <v>0</v>
      </c>
      <c r="BH283" s="1039">
        <f t="shared" si="226"/>
        <v>0</v>
      </c>
      <c r="BI283" s="1038">
        <f t="shared" si="227"/>
        <v>0</v>
      </c>
      <c r="BJ283" s="1027">
        <f t="shared" si="228"/>
        <v>0</v>
      </c>
      <c r="BK283" s="1021">
        <f t="shared" si="229"/>
        <v>0</v>
      </c>
      <c r="BL283" s="1040">
        <f t="shared" si="230"/>
        <v>0</v>
      </c>
      <c r="BM283" s="1038">
        <f t="shared" si="231"/>
        <v>0</v>
      </c>
      <c r="BN283" s="1027"/>
      <c r="BO283" s="1041"/>
      <c r="BP283" s="95">
        <f t="shared" si="247"/>
        <v>0</v>
      </c>
      <c r="BQ283" s="842">
        <f t="shared" si="248"/>
        <v>0</v>
      </c>
      <c r="BR283" s="323"/>
      <c r="BS283" s="94">
        <f t="shared" si="232"/>
        <v>0</v>
      </c>
      <c r="BU283" s="632">
        <f t="shared" si="233"/>
        <v>0</v>
      </c>
      <c r="BV283" s="398"/>
      <c r="BW283" s="737"/>
      <c r="BX283" s="323"/>
      <c r="CD283" s="398"/>
      <c r="CI283" s="796"/>
    </row>
    <row r="284" spans="1:87" s="795" customFormat="1" ht="14.25" hidden="1" outlineLevel="1" thickTop="1" thickBot="1">
      <c r="A284" s="794"/>
      <c r="B284" s="92">
        <v>44</v>
      </c>
      <c r="C284" s="1029"/>
      <c r="D284" s="1031"/>
      <c r="E284" s="1030"/>
      <c r="F284" s="1031"/>
      <c r="G284" s="1029"/>
      <c r="H284" s="1032">
        <f t="shared" si="234"/>
        <v>1</v>
      </c>
      <c r="I284" s="1033"/>
      <c r="J284" s="1034">
        <f t="shared" si="235"/>
        <v>1</v>
      </c>
      <c r="K284" s="1035">
        <f t="shared" si="255"/>
        <v>0</v>
      </c>
      <c r="L284" s="1036"/>
      <c r="M284" s="1018"/>
      <c r="N284" s="1037">
        <f t="shared" si="253"/>
        <v>0</v>
      </c>
      <c r="O284" s="1034">
        <f t="shared" si="207"/>
        <v>1</v>
      </c>
      <c r="P284" s="1035">
        <f t="shared" si="252"/>
        <v>0</v>
      </c>
      <c r="Q284" s="1036"/>
      <c r="R284" s="1018"/>
      <c r="S284" s="1020">
        <f t="shared" si="254"/>
        <v>0</v>
      </c>
      <c r="T284" s="1034">
        <f t="shared" si="210"/>
        <v>1</v>
      </c>
      <c r="U284" s="1035">
        <f t="shared" si="238"/>
        <v>0</v>
      </c>
      <c r="V284" s="1036">
        <v>0</v>
      </c>
      <c r="W284" s="1018"/>
      <c r="X284" s="1037">
        <f t="shared" si="250"/>
        <v>0</v>
      </c>
      <c r="Y284" s="1034">
        <f t="shared" si="212"/>
        <v>1</v>
      </c>
      <c r="Z284" s="1035">
        <f t="shared" si="239"/>
        <v>0</v>
      </c>
      <c r="AA284" s="1036">
        <v>0</v>
      </c>
      <c r="AB284" s="1018"/>
      <c r="AC284" s="1021">
        <f t="shared" si="213"/>
        <v>0</v>
      </c>
      <c r="AD284" s="1034">
        <f t="shared" si="214"/>
        <v>1</v>
      </c>
      <c r="AE284" s="1035">
        <f t="shared" si="240"/>
        <v>0</v>
      </c>
      <c r="AF284" s="1036">
        <v>0</v>
      </c>
      <c r="AG284" s="1018"/>
      <c r="AH284" s="1037">
        <f t="shared" si="215"/>
        <v>0</v>
      </c>
      <c r="AI284" s="1034">
        <f t="shared" si="216"/>
        <v>1</v>
      </c>
      <c r="AJ284" s="1035">
        <f t="shared" si="241"/>
        <v>0</v>
      </c>
      <c r="AK284" s="1036">
        <v>0</v>
      </c>
      <c r="AL284" s="1018"/>
      <c r="AM284" s="1021">
        <f t="shared" si="217"/>
        <v>0</v>
      </c>
      <c r="AN284" s="1034">
        <f t="shared" si="218"/>
        <v>1</v>
      </c>
      <c r="AO284" s="1035">
        <f t="shared" si="242"/>
        <v>0</v>
      </c>
      <c r="AP284" s="1036">
        <v>0</v>
      </c>
      <c r="AQ284" s="1018"/>
      <c r="AR284" s="1037">
        <f t="shared" si="219"/>
        <v>0</v>
      </c>
      <c r="AS284" s="1034">
        <f t="shared" si="220"/>
        <v>1</v>
      </c>
      <c r="AT284" s="1035">
        <f t="shared" si="243"/>
        <v>0</v>
      </c>
      <c r="AU284" s="1036">
        <v>0</v>
      </c>
      <c r="AV284" s="1018"/>
      <c r="AW284" s="1021">
        <f t="shared" si="221"/>
        <v>0</v>
      </c>
      <c r="AX284" s="1034">
        <f t="shared" si="222"/>
        <v>1</v>
      </c>
      <c r="AY284" s="1035">
        <f t="shared" si="244"/>
        <v>0</v>
      </c>
      <c r="AZ284" s="1036">
        <v>0</v>
      </c>
      <c r="BA284" s="1036"/>
      <c r="BB284" s="1021">
        <f t="shared" si="223"/>
        <v>0</v>
      </c>
      <c r="BC284" s="1034">
        <f t="shared" si="224"/>
        <v>1</v>
      </c>
      <c r="BD284" s="1035">
        <f t="shared" si="245"/>
        <v>0</v>
      </c>
      <c r="BE284" s="1038">
        <v>0</v>
      </c>
      <c r="BF284" s="1018"/>
      <c r="BG284" s="1021">
        <f t="shared" si="225"/>
        <v>0</v>
      </c>
      <c r="BH284" s="1039">
        <f t="shared" si="226"/>
        <v>0</v>
      </c>
      <c r="BI284" s="1038">
        <f t="shared" si="227"/>
        <v>0</v>
      </c>
      <c r="BJ284" s="1027">
        <f t="shared" si="228"/>
        <v>0</v>
      </c>
      <c r="BK284" s="1021">
        <f t="shared" si="229"/>
        <v>0</v>
      </c>
      <c r="BL284" s="1040">
        <f t="shared" si="230"/>
        <v>0</v>
      </c>
      <c r="BM284" s="1038">
        <f t="shared" si="231"/>
        <v>0</v>
      </c>
      <c r="BN284" s="1027"/>
      <c r="BO284" s="1041"/>
      <c r="BP284" s="95">
        <f t="shared" si="247"/>
        <v>0</v>
      </c>
      <c r="BQ284" s="842">
        <f t="shared" si="248"/>
        <v>0</v>
      </c>
      <c r="BR284" s="323"/>
      <c r="BS284" s="94">
        <f t="shared" si="232"/>
        <v>0</v>
      </c>
      <c r="BU284" s="632">
        <f t="shared" si="233"/>
        <v>0</v>
      </c>
      <c r="BV284" s="398"/>
      <c r="BW284" s="737"/>
      <c r="BX284" s="323"/>
      <c r="CD284" s="398"/>
      <c r="CI284" s="796"/>
    </row>
    <row r="285" spans="1:87" s="795" customFormat="1" ht="14.25" hidden="1" outlineLevel="1" thickTop="1" thickBot="1">
      <c r="A285" s="794"/>
      <c r="B285" s="92">
        <v>45</v>
      </c>
      <c r="C285" s="1029"/>
      <c r="D285" s="1031"/>
      <c r="E285" s="1030"/>
      <c r="F285" s="1031"/>
      <c r="G285" s="1029"/>
      <c r="H285" s="1032">
        <f t="shared" si="234"/>
        <v>1</v>
      </c>
      <c r="I285" s="1033"/>
      <c r="J285" s="1034">
        <f t="shared" si="235"/>
        <v>1</v>
      </c>
      <c r="K285" s="1035">
        <f t="shared" si="255"/>
        <v>0</v>
      </c>
      <c r="L285" s="1036"/>
      <c r="M285" s="1018"/>
      <c r="N285" s="1037">
        <f t="shared" si="253"/>
        <v>0</v>
      </c>
      <c r="O285" s="1034">
        <f t="shared" si="207"/>
        <v>1</v>
      </c>
      <c r="P285" s="1035">
        <f t="shared" si="252"/>
        <v>0</v>
      </c>
      <c r="Q285" s="1036"/>
      <c r="R285" s="1018"/>
      <c r="S285" s="1020">
        <f t="shared" si="254"/>
        <v>0</v>
      </c>
      <c r="T285" s="1034">
        <f t="shared" si="210"/>
        <v>1</v>
      </c>
      <c r="U285" s="1035">
        <f t="shared" si="238"/>
        <v>0</v>
      </c>
      <c r="V285" s="1036">
        <v>0</v>
      </c>
      <c r="W285" s="1018"/>
      <c r="X285" s="1037">
        <f t="shared" si="250"/>
        <v>0</v>
      </c>
      <c r="Y285" s="1034">
        <f t="shared" si="212"/>
        <v>1</v>
      </c>
      <c r="Z285" s="1035">
        <f t="shared" si="239"/>
        <v>0</v>
      </c>
      <c r="AA285" s="1036">
        <v>0</v>
      </c>
      <c r="AB285" s="1018"/>
      <c r="AC285" s="1021">
        <f t="shared" si="213"/>
        <v>0</v>
      </c>
      <c r="AD285" s="1034">
        <f t="shared" si="214"/>
        <v>1</v>
      </c>
      <c r="AE285" s="1035">
        <f t="shared" si="240"/>
        <v>0</v>
      </c>
      <c r="AF285" s="1036">
        <v>0</v>
      </c>
      <c r="AG285" s="1018"/>
      <c r="AH285" s="1037">
        <f t="shared" si="215"/>
        <v>0</v>
      </c>
      <c r="AI285" s="1034">
        <f t="shared" si="216"/>
        <v>1</v>
      </c>
      <c r="AJ285" s="1035">
        <f t="shared" si="241"/>
        <v>0</v>
      </c>
      <c r="AK285" s="1036">
        <v>0</v>
      </c>
      <c r="AL285" s="1018"/>
      <c r="AM285" s="1021">
        <f t="shared" si="217"/>
        <v>0</v>
      </c>
      <c r="AN285" s="1034">
        <f t="shared" si="218"/>
        <v>1</v>
      </c>
      <c r="AO285" s="1035">
        <f t="shared" si="242"/>
        <v>0</v>
      </c>
      <c r="AP285" s="1036">
        <v>0</v>
      </c>
      <c r="AQ285" s="1018"/>
      <c r="AR285" s="1037">
        <f t="shared" si="219"/>
        <v>0</v>
      </c>
      <c r="AS285" s="1034">
        <f t="shared" si="220"/>
        <v>1</v>
      </c>
      <c r="AT285" s="1035">
        <f t="shared" si="243"/>
        <v>0</v>
      </c>
      <c r="AU285" s="1038">
        <v>0</v>
      </c>
      <c r="AV285" s="1018"/>
      <c r="AW285" s="1021">
        <f t="shared" si="221"/>
        <v>0</v>
      </c>
      <c r="AX285" s="1034">
        <f t="shared" si="222"/>
        <v>1</v>
      </c>
      <c r="AY285" s="1035">
        <f t="shared" si="244"/>
        <v>0</v>
      </c>
      <c r="AZ285" s="1036">
        <v>0</v>
      </c>
      <c r="BA285" s="1036"/>
      <c r="BB285" s="1021">
        <f t="shared" si="223"/>
        <v>0</v>
      </c>
      <c r="BC285" s="1034">
        <f t="shared" si="224"/>
        <v>1</v>
      </c>
      <c r="BD285" s="1035">
        <f t="shared" si="245"/>
        <v>0</v>
      </c>
      <c r="BE285" s="1038">
        <v>0</v>
      </c>
      <c r="BF285" s="1018"/>
      <c r="BG285" s="1021">
        <f t="shared" si="225"/>
        <v>0</v>
      </c>
      <c r="BH285" s="1039">
        <f t="shared" si="226"/>
        <v>0</v>
      </c>
      <c r="BI285" s="1038">
        <f t="shared" si="227"/>
        <v>0</v>
      </c>
      <c r="BJ285" s="1027">
        <f t="shared" si="228"/>
        <v>0</v>
      </c>
      <c r="BK285" s="1021">
        <f t="shared" si="229"/>
        <v>0</v>
      </c>
      <c r="BL285" s="1040">
        <f t="shared" si="230"/>
        <v>0</v>
      </c>
      <c r="BM285" s="1038">
        <f t="shared" si="231"/>
        <v>0</v>
      </c>
      <c r="BN285" s="1027"/>
      <c r="BO285" s="1041"/>
      <c r="BP285" s="95">
        <f t="shared" si="247"/>
        <v>0</v>
      </c>
      <c r="BQ285" s="842">
        <f t="shared" si="248"/>
        <v>0</v>
      </c>
      <c r="BR285" s="323"/>
      <c r="BS285" s="94">
        <f t="shared" si="232"/>
        <v>0</v>
      </c>
      <c r="BU285" s="632">
        <f t="shared" si="233"/>
        <v>0</v>
      </c>
      <c r="BV285" s="398"/>
      <c r="BW285" s="737"/>
      <c r="BX285" s="323"/>
      <c r="CD285" s="398"/>
      <c r="CI285" s="796"/>
    </row>
    <row r="286" spans="1:87" s="795" customFormat="1" ht="14.25" hidden="1" outlineLevel="1" thickTop="1" thickBot="1">
      <c r="A286" s="794"/>
      <c r="B286" s="92">
        <v>46</v>
      </c>
      <c r="C286" s="1029"/>
      <c r="D286" s="1031"/>
      <c r="E286" s="1030"/>
      <c r="F286" s="1031"/>
      <c r="G286" s="1029"/>
      <c r="H286" s="1032">
        <f t="shared" si="234"/>
        <v>1</v>
      </c>
      <c r="I286" s="1033"/>
      <c r="J286" s="1034">
        <f t="shared" si="235"/>
        <v>1</v>
      </c>
      <c r="K286" s="1035">
        <f t="shared" si="255"/>
        <v>0</v>
      </c>
      <c r="L286" s="1036"/>
      <c r="M286" s="1018"/>
      <c r="N286" s="1037">
        <f t="shared" si="253"/>
        <v>0</v>
      </c>
      <c r="O286" s="1034">
        <f t="shared" si="207"/>
        <v>1</v>
      </c>
      <c r="P286" s="1035">
        <f t="shared" si="252"/>
        <v>0</v>
      </c>
      <c r="Q286" s="1036"/>
      <c r="R286" s="1018"/>
      <c r="S286" s="1020">
        <f t="shared" si="254"/>
        <v>0</v>
      </c>
      <c r="T286" s="1034">
        <f t="shared" si="210"/>
        <v>1</v>
      </c>
      <c r="U286" s="1035">
        <f t="shared" si="238"/>
        <v>0</v>
      </c>
      <c r="V286" s="1036">
        <v>0</v>
      </c>
      <c r="W286" s="1018"/>
      <c r="X286" s="1037">
        <f t="shared" si="250"/>
        <v>0</v>
      </c>
      <c r="Y286" s="1034">
        <f t="shared" si="212"/>
        <v>1</v>
      </c>
      <c r="Z286" s="1035">
        <f t="shared" si="239"/>
        <v>0</v>
      </c>
      <c r="AA286" s="1036">
        <v>0</v>
      </c>
      <c r="AB286" s="1018"/>
      <c r="AC286" s="1021">
        <f t="shared" si="213"/>
        <v>0</v>
      </c>
      <c r="AD286" s="1034">
        <f t="shared" si="214"/>
        <v>1</v>
      </c>
      <c r="AE286" s="1035">
        <f t="shared" si="240"/>
        <v>0</v>
      </c>
      <c r="AF286" s="1036">
        <v>0</v>
      </c>
      <c r="AG286" s="1018"/>
      <c r="AH286" s="1037">
        <f t="shared" si="215"/>
        <v>0</v>
      </c>
      <c r="AI286" s="1034">
        <f t="shared" si="216"/>
        <v>1</v>
      </c>
      <c r="AJ286" s="1035">
        <f t="shared" si="241"/>
        <v>0</v>
      </c>
      <c r="AK286" s="1036">
        <v>0</v>
      </c>
      <c r="AL286" s="1018"/>
      <c r="AM286" s="1021">
        <f t="shared" si="217"/>
        <v>0</v>
      </c>
      <c r="AN286" s="1034">
        <f t="shared" si="218"/>
        <v>1</v>
      </c>
      <c r="AO286" s="1035">
        <f t="shared" si="242"/>
        <v>0</v>
      </c>
      <c r="AP286" s="1036">
        <v>0</v>
      </c>
      <c r="AQ286" s="1018"/>
      <c r="AR286" s="1037">
        <f t="shared" si="219"/>
        <v>0</v>
      </c>
      <c r="AS286" s="1034">
        <f t="shared" si="220"/>
        <v>1</v>
      </c>
      <c r="AT286" s="1035">
        <f t="shared" si="243"/>
        <v>0</v>
      </c>
      <c r="AU286" s="1036">
        <v>0</v>
      </c>
      <c r="AV286" s="1018"/>
      <c r="AW286" s="1021">
        <f t="shared" si="221"/>
        <v>0</v>
      </c>
      <c r="AX286" s="1034">
        <f t="shared" si="222"/>
        <v>1</v>
      </c>
      <c r="AY286" s="1035">
        <f t="shared" si="244"/>
        <v>0</v>
      </c>
      <c r="AZ286" s="1036">
        <v>0</v>
      </c>
      <c r="BA286" s="1036"/>
      <c r="BB286" s="1021">
        <f t="shared" si="223"/>
        <v>0</v>
      </c>
      <c r="BC286" s="1034">
        <f t="shared" si="224"/>
        <v>1</v>
      </c>
      <c r="BD286" s="1035">
        <f t="shared" si="245"/>
        <v>0</v>
      </c>
      <c r="BE286" s="1038">
        <v>0</v>
      </c>
      <c r="BF286" s="1018"/>
      <c r="BG286" s="1021">
        <f t="shared" si="225"/>
        <v>0</v>
      </c>
      <c r="BH286" s="1039">
        <f t="shared" si="226"/>
        <v>0</v>
      </c>
      <c r="BI286" s="1038">
        <f t="shared" si="227"/>
        <v>0</v>
      </c>
      <c r="BJ286" s="1027">
        <f t="shared" si="228"/>
        <v>0</v>
      </c>
      <c r="BK286" s="1021">
        <f t="shared" si="229"/>
        <v>0</v>
      </c>
      <c r="BL286" s="1040">
        <f t="shared" si="230"/>
        <v>0</v>
      </c>
      <c r="BM286" s="1038">
        <f t="shared" si="231"/>
        <v>0</v>
      </c>
      <c r="BN286" s="1027"/>
      <c r="BO286" s="1041"/>
      <c r="BP286" s="95">
        <f t="shared" si="247"/>
        <v>0</v>
      </c>
      <c r="BQ286" s="842">
        <f t="shared" si="248"/>
        <v>0</v>
      </c>
      <c r="BR286" s="323"/>
      <c r="BS286" s="94">
        <f t="shared" si="232"/>
        <v>0</v>
      </c>
      <c r="BU286" s="632">
        <f t="shared" si="233"/>
        <v>0</v>
      </c>
      <c r="BV286" s="398"/>
      <c r="BW286" s="737"/>
      <c r="BX286" s="323"/>
      <c r="CD286" s="398"/>
      <c r="CI286" s="796"/>
    </row>
    <row r="287" spans="1:87" s="795" customFormat="1" ht="14.25" hidden="1" outlineLevel="1" thickTop="1" thickBot="1">
      <c r="A287" s="794"/>
      <c r="B287" s="92">
        <v>47</v>
      </c>
      <c r="C287" s="1029"/>
      <c r="D287" s="1031"/>
      <c r="E287" s="1030"/>
      <c r="F287" s="1031"/>
      <c r="G287" s="1029"/>
      <c r="H287" s="1032">
        <f t="shared" si="234"/>
        <v>1</v>
      </c>
      <c r="I287" s="1033"/>
      <c r="J287" s="1034">
        <f t="shared" si="235"/>
        <v>1</v>
      </c>
      <c r="K287" s="1035">
        <f t="shared" si="255"/>
        <v>0</v>
      </c>
      <c r="L287" s="1036"/>
      <c r="M287" s="1018"/>
      <c r="N287" s="1037">
        <f t="shared" si="253"/>
        <v>0</v>
      </c>
      <c r="O287" s="1034">
        <f t="shared" si="207"/>
        <v>1</v>
      </c>
      <c r="P287" s="1035">
        <f t="shared" si="252"/>
        <v>0</v>
      </c>
      <c r="Q287" s="1036"/>
      <c r="R287" s="1018"/>
      <c r="S287" s="1020">
        <f t="shared" si="254"/>
        <v>0</v>
      </c>
      <c r="T287" s="1034">
        <f t="shared" si="210"/>
        <v>1</v>
      </c>
      <c r="U287" s="1035">
        <f t="shared" si="238"/>
        <v>0</v>
      </c>
      <c r="V287" s="1036">
        <v>0</v>
      </c>
      <c r="W287" s="1018"/>
      <c r="X287" s="1037">
        <f t="shared" si="250"/>
        <v>0</v>
      </c>
      <c r="Y287" s="1034">
        <f t="shared" si="212"/>
        <v>1</v>
      </c>
      <c r="Z287" s="1035">
        <f t="shared" si="239"/>
        <v>0</v>
      </c>
      <c r="AA287" s="1036">
        <v>0</v>
      </c>
      <c r="AB287" s="1018"/>
      <c r="AC287" s="1021">
        <f t="shared" si="213"/>
        <v>0</v>
      </c>
      <c r="AD287" s="1034">
        <f t="shared" si="214"/>
        <v>1</v>
      </c>
      <c r="AE287" s="1035">
        <f t="shared" si="240"/>
        <v>0</v>
      </c>
      <c r="AF287" s="1036">
        <v>0</v>
      </c>
      <c r="AG287" s="1018"/>
      <c r="AH287" s="1037">
        <f t="shared" si="215"/>
        <v>0</v>
      </c>
      <c r="AI287" s="1034">
        <f t="shared" si="216"/>
        <v>1</v>
      </c>
      <c r="AJ287" s="1035">
        <f t="shared" si="241"/>
        <v>0</v>
      </c>
      <c r="AK287" s="1036">
        <v>0</v>
      </c>
      <c r="AL287" s="1018"/>
      <c r="AM287" s="1021">
        <f t="shared" si="217"/>
        <v>0</v>
      </c>
      <c r="AN287" s="1034">
        <f t="shared" si="218"/>
        <v>1</v>
      </c>
      <c r="AO287" s="1035">
        <f t="shared" si="242"/>
        <v>0</v>
      </c>
      <c r="AP287" s="1036">
        <v>0</v>
      </c>
      <c r="AQ287" s="1018"/>
      <c r="AR287" s="1037">
        <f t="shared" si="219"/>
        <v>0</v>
      </c>
      <c r="AS287" s="1034">
        <f t="shared" si="220"/>
        <v>1</v>
      </c>
      <c r="AT287" s="1035">
        <f t="shared" si="243"/>
        <v>0</v>
      </c>
      <c r="AU287" s="1038">
        <v>0</v>
      </c>
      <c r="AV287" s="1018"/>
      <c r="AW287" s="1021">
        <f t="shared" si="221"/>
        <v>0</v>
      </c>
      <c r="AX287" s="1034">
        <f t="shared" si="222"/>
        <v>1</v>
      </c>
      <c r="AY287" s="1035">
        <f t="shared" si="244"/>
        <v>0</v>
      </c>
      <c r="AZ287" s="1036">
        <v>0</v>
      </c>
      <c r="BA287" s="1036"/>
      <c r="BB287" s="1021">
        <f t="shared" si="223"/>
        <v>0</v>
      </c>
      <c r="BC287" s="1034">
        <f t="shared" si="224"/>
        <v>1</v>
      </c>
      <c r="BD287" s="1035">
        <f t="shared" si="245"/>
        <v>0</v>
      </c>
      <c r="BE287" s="1038">
        <v>0</v>
      </c>
      <c r="BF287" s="1018"/>
      <c r="BG287" s="1021">
        <f t="shared" si="225"/>
        <v>0</v>
      </c>
      <c r="BH287" s="1039">
        <f t="shared" si="226"/>
        <v>0</v>
      </c>
      <c r="BI287" s="1038">
        <f t="shared" si="227"/>
        <v>0</v>
      </c>
      <c r="BJ287" s="1027">
        <f t="shared" si="228"/>
        <v>0</v>
      </c>
      <c r="BK287" s="1021">
        <f t="shared" si="229"/>
        <v>0</v>
      </c>
      <c r="BL287" s="1040">
        <f t="shared" si="230"/>
        <v>0</v>
      </c>
      <c r="BM287" s="1038">
        <f t="shared" si="231"/>
        <v>0</v>
      </c>
      <c r="BN287" s="1027"/>
      <c r="BO287" s="1041"/>
      <c r="BP287" s="95">
        <f t="shared" si="247"/>
        <v>0</v>
      </c>
      <c r="BQ287" s="842">
        <f t="shared" si="248"/>
        <v>0</v>
      </c>
      <c r="BR287" s="323"/>
      <c r="BS287" s="94">
        <f t="shared" si="232"/>
        <v>0</v>
      </c>
      <c r="BU287" s="632">
        <f t="shared" si="233"/>
        <v>0</v>
      </c>
      <c r="BV287" s="398"/>
      <c r="BW287" s="737"/>
      <c r="BX287" s="323"/>
      <c r="CD287" s="398"/>
      <c r="CI287" s="796"/>
    </row>
    <row r="288" spans="1:87" s="750" customFormat="1" ht="14.25" hidden="1" outlineLevel="1" thickTop="1" thickBot="1">
      <c r="B288" s="751">
        <v>48</v>
      </c>
      <c r="C288" s="1029"/>
      <c r="D288" s="1031"/>
      <c r="E288" s="1030"/>
      <c r="F288" s="1031"/>
      <c r="G288" s="1029"/>
      <c r="H288" s="1032">
        <f t="shared" si="234"/>
        <v>1</v>
      </c>
      <c r="I288" s="1033"/>
      <c r="J288" s="1034">
        <f t="shared" si="235"/>
        <v>1</v>
      </c>
      <c r="K288" s="1035">
        <f t="shared" si="255"/>
        <v>0</v>
      </c>
      <c r="L288" s="1036"/>
      <c r="M288" s="1018"/>
      <c r="N288" s="1037">
        <f t="shared" si="253"/>
        <v>0</v>
      </c>
      <c r="O288" s="1034">
        <f t="shared" si="207"/>
        <v>1</v>
      </c>
      <c r="P288" s="1035">
        <f t="shared" si="252"/>
        <v>0</v>
      </c>
      <c r="Q288" s="1036"/>
      <c r="R288" s="1018"/>
      <c r="S288" s="1020">
        <f t="shared" si="254"/>
        <v>0</v>
      </c>
      <c r="T288" s="1034">
        <f t="shared" si="210"/>
        <v>1</v>
      </c>
      <c r="U288" s="1035">
        <f t="shared" si="238"/>
        <v>0</v>
      </c>
      <c r="V288" s="1036">
        <v>0</v>
      </c>
      <c r="W288" s="1018"/>
      <c r="X288" s="1037">
        <f t="shared" si="250"/>
        <v>0</v>
      </c>
      <c r="Y288" s="1034">
        <f t="shared" si="212"/>
        <v>1</v>
      </c>
      <c r="Z288" s="1035">
        <f t="shared" si="239"/>
        <v>0</v>
      </c>
      <c r="AA288" s="1036">
        <v>0</v>
      </c>
      <c r="AB288" s="1018"/>
      <c r="AC288" s="1021">
        <f t="shared" si="213"/>
        <v>0</v>
      </c>
      <c r="AD288" s="1034">
        <f t="shared" si="214"/>
        <v>1</v>
      </c>
      <c r="AE288" s="1035">
        <f t="shared" si="240"/>
        <v>0</v>
      </c>
      <c r="AF288" s="1036">
        <v>0</v>
      </c>
      <c r="AG288" s="1018"/>
      <c r="AH288" s="1037">
        <f t="shared" si="215"/>
        <v>0</v>
      </c>
      <c r="AI288" s="1034">
        <f t="shared" si="216"/>
        <v>1</v>
      </c>
      <c r="AJ288" s="1035">
        <f t="shared" si="241"/>
        <v>0</v>
      </c>
      <c r="AK288" s="1036">
        <v>0</v>
      </c>
      <c r="AL288" s="1018"/>
      <c r="AM288" s="1021">
        <f t="shared" si="217"/>
        <v>0</v>
      </c>
      <c r="AN288" s="1034">
        <f t="shared" si="218"/>
        <v>1</v>
      </c>
      <c r="AO288" s="1035">
        <f t="shared" si="242"/>
        <v>0</v>
      </c>
      <c r="AP288" s="1036">
        <v>0</v>
      </c>
      <c r="AQ288" s="1018"/>
      <c r="AR288" s="1037">
        <f t="shared" si="219"/>
        <v>0</v>
      </c>
      <c r="AS288" s="1034">
        <f t="shared" si="220"/>
        <v>1</v>
      </c>
      <c r="AT288" s="1035">
        <f t="shared" si="243"/>
        <v>0</v>
      </c>
      <c r="AU288" s="1036">
        <v>0</v>
      </c>
      <c r="AV288" s="1018"/>
      <c r="AW288" s="1021">
        <f t="shared" si="221"/>
        <v>0</v>
      </c>
      <c r="AX288" s="1034">
        <f t="shared" si="222"/>
        <v>1</v>
      </c>
      <c r="AY288" s="1035">
        <f t="shared" si="244"/>
        <v>0</v>
      </c>
      <c r="AZ288" s="1036">
        <v>0</v>
      </c>
      <c r="BA288" s="1036"/>
      <c r="BB288" s="1021">
        <f t="shared" si="223"/>
        <v>0</v>
      </c>
      <c r="BC288" s="1034">
        <f t="shared" si="224"/>
        <v>1</v>
      </c>
      <c r="BD288" s="1035">
        <f t="shared" si="245"/>
        <v>0</v>
      </c>
      <c r="BE288" s="1038">
        <v>0</v>
      </c>
      <c r="BF288" s="1018"/>
      <c r="BG288" s="1021">
        <f t="shared" si="225"/>
        <v>0</v>
      </c>
      <c r="BH288" s="1039">
        <f t="shared" si="226"/>
        <v>0</v>
      </c>
      <c r="BI288" s="1038">
        <f t="shared" si="227"/>
        <v>0</v>
      </c>
      <c r="BJ288" s="1027">
        <f t="shared" si="228"/>
        <v>0</v>
      </c>
      <c r="BK288" s="1021">
        <f t="shared" si="229"/>
        <v>0</v>
      </c>
      <c r="BL288" s="1040">
        <f t="shared" si="230"/>
        <v>0</v>
      </c>
      <c r="BM288" s="1038">
        <f t="shared" si="231"/>
        <v>0</v>
      </c>
      <c r="BN288" s="1027"/>
      <c r="BO288" s="1041"/>
      <c r="BP288" s="95">
        <f t="shared" si="247"/>
        <v>0</v>
      </c>
      <c r="BQ288" s="842">
        <f t="shared" si="248"/>
        <v>0</v>
      </c>
      <c r="BR288" s="323"/>
      <c r="BS288" s="757">
        <f t="shared" si="232"/>
        <v>0</v>
      </c>
      <c r="BU288" s="754">
        <f t="shared" si="233"/>
        <v>0</v>
      </c>
      <c r="BV288" s="758"/>
      <c r="BW288" s="759"/>
      <c r="BX288" s="756"/>
      <c r="CD288" s="758"/>
      <c r="CI288" s="760"/>
    </row>
    <row r="289" spans="1:87" s="795" customFormat="1" ht="14.25" hidden="1" outlineLevel="1" thickTop="1" thickBot="1">
      <c r="A289" s="794"/>
      <c r="B289" s="92">
        <v>49</v>
      </c>
      <c r="C289" s="1029"/>
      <c r="D289" s="1031"/>
      <c r="E289" s="1030"/>
      <c r="F289" s="1031"/>
      <c r="G289" s="1029"/>
      <c r="H289" s="1032">
        <f t="shared" si="234"/>
        <v>1</v>
      </c>
      <c r="I289" s="1033"/>
      <c r="J289" s="1034">
        <f t="shared" si="235"/>
        <v>1</v>
      </c>
      <c r="K289" s="1035">
        <f t="shared" si="255"/>
        <v>0</v>
      </c>
      <c r="L289" s="1036"/>
      <c r="M289" s="1018"/>
      <c r="N289" s="1037">
        <f t="shared" si="253"/>
        <v>0</v>
      </c>
      <c r="O289" s="1034">
        <f t="shared" si="207"/>
        <v>1</v>
      </c>
      <c r="P289" s="1035">
        <f t="shared" si="252"/>
        <v>0</v>
      </c>
      <c r="Q289" s="1036"/>
      <c r="R289" s="1018"/>
      <c r="S289" s="1020">
        <f t="shared" si="254"/>
        <v>0</v>
      </c>
      <c r="T289" s="1034">
        <f t="shared" si="210"/>
        <v>1</v>
      </c>
      <c r="U289" s="1035">
        <f t="shared" si="238"/>
        <v>0</v>
      </c>
      <c r="V289" s="1036">
        <v>0</v>
      </c>
      <c r="W289" s="1018"/>
      <c r="X289" s="1037">
        <f t="shared" si="250"/>
        <v>0</v>
      </c>
      <c r="Y289" s="1034">
        <f t="shared" si="212"/>
        <v>1</v>
      </c>
      <c r="Z289" s="1035">
        <f t="shared" si="239"/>
        <v>0</v>
      </c>
      <c r="AA289" s="1036">
        <v>0</v>
      </c>
      <c r="AB289" s="1018"/>
      <c r="AC289" s="1021">
        <f t="shared" si="213"/>
        <v>0</v>
      </c>
      <c r="AD289" s="1034">
        <f t="shared" si="214"/>
        <v>1</v>
      </c>
      <c r="AE289" s="1035">
        <f t="shared" si="240"/>
        <v>0</v>
      </c>
      <c r="AF289" s="1036">
        <v>0</v>
      </c>
      <c r="AG289" s="1018"/>
      <c r="AH289" s="1037">
        <f t="shared" si="215"/>
        <v>0</v>
      </c>
      <c r="AI289" s="1034">
        <f t="shared" si="216"/>
        <v>1</v>
      </c>
      <c r="AJ289" s="1035">
        <f t="shared" si="241"/>
        <v>0</v>
      </c>
      <c r="AK289" s="1036">
        <v>0</v>
      </c>
      <c r="AL289" s="1018"/>
      <c r="AM289" s="1021">
        <f t="shared" si="217"/>
        <v>0</v>
      </c>
      <c r="AN289" s="1034">
        <f t="shared" si="218"/>
        <v>1</v>
      </c>
      <c r="AO289" s="1035">
        <f t="shared" si="242"/>
        <v>0</v>
      </c>
      <c r="AP289" s="1036">
        <v>0</v>
      </c>
      <c r="AQ289" s="1018"/>
      <c r="AR289" s="1037">
        <f t="shared" si="219"/>
        <v>0</v>
      </c>
      <c r="AS289" s="1034">
        <f t="shared" si="220"/>
        <v>1</v>
      </c>
      <c r="AT289" s="1035">
        <f t="shared" si="243"/>
        <v>0</v>
      </c>
      <c r="AU289" s="1038">
        <v>0</v>
      </c>
      <c r="AV289" s="1018"/>
      <c r="AW289" s="1021">
        <f t="shared" si="221"/>
        <v>0</v>
      </c>
      <c r="AX289" s="1034">
        <f t="shared" si="222"/>
        <v>1</v>
      </c>
      <c r="AY289" s="1035">
        <f t="shared" si="244"/>
        <v>0</v>
      </c>
      <c r="AZ289" s="1036">
        <v>0</v>
      </c>
      <c r="BA289" s="1036"/>
      <c r="BB289" s="1021">
        <f t="shared" si="223"/>
        <v>0</v>
      </c>
      <c r="BC289" s="1034">
        <f t="shared" si="224"/>
        <v>1</v>
      </c>
      <c r="BD289" s="1035">
        <f t="shared" si="245"/>
        <v>0</v>
      </c>
      <c r="BE289" s="1038">
        <v>0</v>
      </c>
      <c r="BF289" s="1018"/>
      <c r="BG289" s="1021">
        <f t="shared" si="225"/>
        <v>0</v>
      </c>
      <c r="BH289" s="1039">
        <f t="shared" si="226"/>
        <v>0</v>
      </c>
      <c r="BI289" s="1038">
        <f t="shared" si="227"/>
        <v>0</v>
      </c>
      <c r="BJ289" s="1027">
        <f t="shared" si="228"/>
        <v>0</v>
      </c>
      <c r="BK289" s="1021">
        <f t="shared" si="229"/>
        <v>0</v>
      </c>
      <c r="BL289" s="1040">
        <f t="shared" si="230"/>
        <v>0</v>
      </c>
      <c r="BM289" s="1038">
        <f t="shared" si="231"/>
        <v>0</v>
      </c>
      <c r="BN289" s="1027"/>
      <c r="BO289" s="1041"/>
      <c r="BP289" s="95">
        <f t="shared" si="247"/>
        <v>0</v>
      </c>
      <c r="BQ289" s="842">
        <f t="shared" si="248"/>
        <v>0</v>
      </c>
      <c r="BR289" s="323"/>
      <c r="BS289" s="94">
        <f t="shared" si="232"/>
        <v>0</v>
      </c>
      <c r="BU289" s="632">
        <f t="shared" si="233"/>
        <v>0</v>
      </c>
      <c r="BV289" s="398"/>
      <c r="BW289" s="737"/>
      <c r="BX289" s="323"/>
      <c r="CD289" s="398"/>
      <c r="CI289" s="796"/>
    </row>
    <row r="290" spans="1:87" ht="14.25" hidden="1" outlineLevel="1" thickTop="1" thickBot="1">
      <c r="A290" s="57"/>
      <c r="B290" s="92">
        <v>50</v>
      </c>
      <c r="C290" s="1029"/>
      <c r="D290" s="1031"/>
      <c r="E290" s="1030"/>
      <c r="F290" s="1031"/>
      <c r="G290" s="1029"/>
      <c r="H290" s="1032">
        <f t="shared" si="234"/>
        <v>1</v>
      </c>
      <c r="I290" s="1033"/>
      <c r="J290" s="1034">
        <f t="shared" si="235"/>
        <v>1</v>
      </c>
      <c r="K290" s="1035">
        <f t="shared" si="255"/>
        <v>0</v>
      </c>
      <c r="L290" s="1036"/>
      <c r="M290" s="1018"/>
      <c r="N290" s="1037">
        <f t="shared" si="253"/>
        <v>0</v>
      </c>
      <c r="O290" s="1034">
        <f t="shared" si="207"/>
        <v>1</v>
      </c>
      <c r="P290" s="1035">
        <f t="shared" si="252"/>
        <v>0</v>
      </c>
      <c r="Q290" s="1036"/>
      <c r="R290" s="1018"/>
      <c r="S290" s="1020">
        <f t="shared" si="254"/>
        <v>0</v>
      </c>
      <c r="T290" s="1034">
        <f t="shared" si="210"/>
        <v>1</v>
      </c>
      <c r="U290" s="1035">
        <f t="shared" si="238"/>
        <v>0</v>
      </c>
      <c r="V290" s="1036">
        <v>0</v>
      </c>
      <c r="W290" s="1018"/>
      <c r="X290" s="1037">
        <f t="shared" si="250"/>
        <v>0</v>
      </c>
      <c r="Y290" s="1034">
        <f t="shared" si="212"/>
        <v>1</v>
      </c>
      <c r="Z290" s="1035">
        <f t="shared" si="239"/>
        <v>0</v>
      </c>
      <c r="AA290" s="1036">
        <v>0</v>
      </c>
      <c r="AB290" s="1018"/>
      <c r="AC290" s="1021">
        <f t="shared" si="213"/>
        <v>0</v>
      </c>
      <c r="AD290" s="1034">
        <f t="shared" si="214"/>
        <v>1</v>
      </c>
      <c r="AE290" s="1035">
        <f t="shared" si="240"/>
        <v>0</v>
      </c>
      <c r="AF290" s="1036">
        <v>0</v>
      </c>
      <c r="AG290" s="1018"/>
      <c r="AH290" s="1037">
        <f t="shared" si="215"/>
        <v>0</v>
      </c>
      <c r="AI290" s="1034">
        <f t="shared" si="216"/>
        <v>1</v>
      </c>
      <c r="AJ290" s="1035">
        <f t="shared" si="241"/>
        <v>0</v>
      </c>
      <c r="AK290" s="1036">
        <v>0</v>
      </c>
      <c r="AL290" s="1018"/>
      <c r="AM290" s="1021">
        <f t="shared" si="217"/>
        <v>0</v>
      </c>
      <c r="AN290" s="1034">
        <f t="shared" si="218"/>
        <v>1</v>
      </c>
      <c r="AO290" s="1035">
        <f t="shared" si="242"/>
        <v>0</v>
      </c>
      <c r="AP290" s="1036">
        <v>0</v>
      </c>
      <c r="AQ290" s="1018"/>
      <c r="AR290" s="1037">
        <f t="shared" si="219"/>
        <v>0</v>
      </c>
      <c r="AS290" s="1034">
        <f t="shared" si="220"/>
        <v>1</v>
      </c>
      <c r="AT290" s="1035">
        <f t="shared" si="243"/>
        <v>0</v>
      </c>
      <c r="AU290" s="1036">
        <v>0</v>
      </c>
      <c r="AV290" s="1018"/>
      <c r="AW290" s="1021">
        <f t="shared" si="221"/>
        <v>0</v>
      </c>
      <c r="AX290" s="1034">
        <f t="shared" si="222"/>
        <v>1</v>
      </c>
      <c r="AY290" s="1035">
        <f t="shared" si="244"/>
        <v>0</v>
      </c>
      <c r="AZ290" s="1036">
        <v>0</v>
      </c>
      <c r="BA290" s="1036"/>
      <c r="BB290" s="1021">
        <f t="shared" si="223"/>
        <v>0</v>
      </c>
      <c r="BC290" s="1034">
        <f t="shared" si="224"/>
        <v>1</v>
      </c>
      <c r="BD290" s="1035">
        <f t="shared" si="245"/>
        <v>0</v>
      </c>
      <c r="BE290" s="1038">
        <v>0</v>
      </c>
      <c r="BF290" s="1018"/>
      <c r="BG290" s="1021">
        <f t="shared" si="225"/>
        <v>0</v>
      </c>
      <c r="BH290" s="1039">
        <f t="shared" si="226"/>
        <v>0</v>
      </c>
      <c r="BI290" s="1038">
        <f t="shared" si="227"/>
        <v>0</v>
      </c>
      <c r="BJ290" s="1027">
        <f t="shared" si="228"/>
        <v>0</v>
      </c>
      <c r="BK290" s="1021">
        <f t="shared" si="229"/>
        <v>0</v>
      </c>
      <c r="BL290" s="1040">
        <f t="shared" si="230"/>
        <v>0</v>
      </c>
      <c r="BM290" s="1038">
        <f t="shared" si="231"/>
        <v>0</v>
      </c>
      <c r="BN290" s="1027"/>
      <c r="BO290" s="1041"/>
      <c r="BP290" s="95">
        <f t="shared" si="247"/>
        <v>0</v>
      </c>
      <c r="BQ290" s="842">
        <f t="shared" si="248"/>
        <v>0</v>
      </c>
      <c r="BS290" s="94">
        <f t="shared" si="232"/>
        <v>0</v>
      </c>
      <c r="BU290" s="632">
        <f t="shared" si="233"/>
        <v>0</v>
      </c>
      <c r="BV290" s="398"/>
      <c r="BW290" s="405"/>
      <c r="CI290" s="96"/>
    </row>
    <row r="291" spans="1:87" ht="14.25" hidden="1" outlineLevel="1" thickTop="1" thickBot="1">
      <c r="A291" s="57"/>
      <c r="B291" s="92">
        <v>51</v>
      </c>
      <c r="C291" s="1029"/>
      <c r="D291" s="1031"/>
      <c r="E291" s="1030"/>
      <c r="F291" s="1031"/>
      <c r="G291" s="1029"/>
      <c r="H291" s="1032">
        <f t="shared" si="234"/>
        <v>1</v>
      </c>
      <c r="I291" s="1033"/>
      <c r="J291" s="1034">
        <f t="shared" si="235"/>
        <v>1</v>
      </c>
      <c r="K291" s="1035">
        <f t="shared" si="255"/>
        <v>0</v>
      </c>
      <c r="L291" s="1036"/>
      <c r="M291" s="1018"/>
      <c r="N291" s="1037">
        <f t="shared" si="253"/>
        <v>0</v>
      </c>
      <c r="O291" s="1034">
        <f t="shared" si="207"/>
        <v>1</v>
      </c>
      <c r="P291" s="1035">
        <f t="shared" si="252"/>
        <v>0</v>
      </c>
      <c r="Q291" s="1036"/>
      <c r="R291" s="1018"/>
      <c r="S291" s="1020">
        <f t="shared" si="254"/>
        <v>0</v>
      </c>
      <c r="T291" s="1034">
        <f t="shared" si="210"/>
        <v>1</v>
      </c>
      <c r="U291" s="1035">
        <f t="shared" si="238"/>
        <v>0</v>
      </c>
      <c r="V291" s="1036">
        <v>0</v>
      </c>
      <c r="W291" s="1018"/>
      <c r="X291" s="1037">
        <f t="shared" si="250"/>
        <v>0</v>
      </c>
      <c r="Y291" s="1034">
        <f t="shared" si="212"/>
        <v>1</v>
      </c>
      <c r="Z291" s="1035">
        <f t="shared" si="239"/>
        <v>0</v>
      </c>
      <c r="AA291" s="1036">
        <v>0</v>
      </c>
      <c r="AB291" s="1018"/>
      <c r="AC291" s="1021">
        <f t="shared" si="213"/>
        <v>0</v>
      </c>
      <c r="AD291" s="1034">
        <f t="shared" si="214"/>
        <v>1</v>
      </c>
      <c r="AE291" s="1035">
        <f t="shared" si="240"/>
        <v>0</v>
      </c>
      <c r="AF291" s="1036">
        <v>0</v>
      </c>
      <c r="AG291" s="1018"/>
      <c r="AH291" s="1037">
        <f t="shared" si="215"/>
        <v>0</v>
      </c>
      <c r="AI291" s="1034">
        <f t="shared" si="216"/>
        <v>1</v>
      </c>
      <c r="AJ291" s="1035">
        <f t="shared" si="241"/>
        <v>0</v>
      </c>
      <c r="AK291" s="1036">
        <v>0</v>
      </c>
      <c r="AL291" s="1018"/>
      <c r="AM291" s="1021">
        <f t="shared" si="217"/>
        <v>0</v>
      </c>
      <c r="AN291" s="1034">
        <f t="shared" si="218"/>
        <v>1</v>
      </c>
      <c r="AO291" s="1035">
        <f t="shared" si="242"/>
        <v>0</v>
      </c>
      <c r="AP291" s="1036">
        <v>0</v>
      </c>
      <c r="AQ291" s="1018"/>
      <c r="AR291" s="1037">
        <f t="shared" si="219"/>
        <v>0</v>
      </c>
      <c r="AS291" s="1034">
        <f t="shared" si="220"/>
        <v>1</v>
      </c>
      <c r="AT291" s="1035">
        <f t="shared" si="243"/>
        <v>0</v>
      </c>
      <c r="AU291" s="1038">
        <v>0</v>
      </c>
      <c r="AV291" s="1018"/>
      <c r="AW291" s="1021">
        <f t="shared" si="221"/>
        <v>0</v>
      </c>
      <c r="AX291" s="1034">
        <f t="shared" si="222"/>
        <v>1</v>
      </c>
      <c r="AY291" s="1035">
        <f t="shared" si="244"/>
        <v>0</v>
      </c>
      <c r="AZ291" s="1036">
        <v>0</v>
      </c>
      <c r="BA291" s="1036"/>
      <c r="BB291" s="1021">
        <f t="shared" si="223"/>
        <v>0</v>
      </c>
      <c r="BC291" s="1034">
        <f t="shared" si="224"/>
        <v>1</v>
      </c>
      <c r="BD291" s="1035">
        <f t="shared" si="245"/>
        <v>0</v>
      </c>
      <c r="BE291" s="1038">
        <v>0</v>
      </c>
      <c r="BF291" s="1018"/>
      <c r="BG291" s="1021">
        <f t="shared" si="225"/>
        <v>0</v>
      </c>
      <c r="BH291" s="1039">
        <f t="shared" si="226"/>
        <v>0</v>
      </c>
      <c r="BI291" s="1038">
        <f t="shared" si="227"/>
        <v>0</v>
      </c>
      <c r="BJ291" s="1027">
        <f t="shared" si="228"/>
        <v>0</v>
      </c>
      <c r="BK291" s="1021">
        <f t="shared" si="229"/>
        <v>0</v>
      </c>
      <c r="BL291" s="1040">
        <f t="shared" si="230"/>
        <v>0</v>
      </c>
      <c r="BM291" s="1038">
        <f t="shared" si="231"/>
        <v>0</v>
      </c>
      <c r="BN291" s="1027"/>
      <c r="BO291" s="1041"/>
      <c r="BP291" s="95">
        <f t="shared" si="247"/>
        <v>0</v>
      </c>
      <c r="BQ291" s="842">
        <f t="shared" si="248"/>
        <v>0</v>
      </c>
      <c r="BS291" s="94">
        <f t="shared" si="232"/>
        <v>0</v>
      </c>
      <c r="BU291" s="632">
        <f t="shared" si="233"/>
        <v>0</v>
      </c>
      <c r="BV291" s="398"/>
      <c r="BW291" s="405"/>
      <c r="CI291" s="96"/>
    </row>
    <row r="292" spans="1:87" ht="14.25" hidden="1" outlineLevel="1" thickTop="1" thickBot="1">
      <c r="A292" s="57"/>
      <c r="B292" s="92">
        <v>52</v>
      </c>
      <c r="C292" s="1029"/>
      <c r="D292" s="1031"/>
      <c r="E292" s="1030"/>
      <c r="F292" s="1031"/>
      <c r="G292" s="1029"/>
      <c r="H292" s="1032">
        <f t="shared" si="234"/>
        <v>1</v>
      </c>
      <c r="I292" s="1033"/>
      <c r="J292" s="1034">
        <f t="shared" si="235"/>
        <v>1</v>
      </c>
      <c r="K292" s="1035">
        <f t="shared" si="255"/>
        <v>0</v>
      </c>
      <c r="L292" s="1036"/>
      <c r="M292" s="1018"/>
      <c r="N292" s="1037">
        <f t="shared" si="253"/>
        <v>0</v>
      </c>
      <c r="O292" s="1034">
        <f t="shared" si="207"/>
        <v>1</v>
      </c>
      <c r="P292" s="1035">
        <f t="shared" si="252"/>
        <v>0</v>
      </c>
      <c r="Q292" s="1036"/>
      <c r="R292" s="1018"/>
      <c r="S292" s="1020">
        <f t="shared" si="254"/>
        <v>0</v>
      </c>
      <c r="T292" s="1034">
        <f t="shared" si="210"/>
        <v>1</v>
      </c>
      <c r="U292" s="1035">
        <f t="shared" si="238"/>
        <v>0</v>
      </c>
      <c r="V292" s="1036">
        <v>0</v>
      </c>
      <c r="W292" s="1018"/>
      <c r="X292" s="1037">
        <f t="shared" si="250"/>
        <v>0</v>
      </c>
      <c r="Y292" s="1034">
        <f t="shared" si="212"/>
        <v>1</v>
      </c>
      <c r="Z292" s="1035">
        <f t="shared" si="239"/>
        <v>0</v>
      </c>
      <c r="AA292" s="1036">
        <v>0</v>
      </c>
      <c r="AB292" s="1018"/>
      <c r="AC292" s="1021">
        <f t="shared" si="213"/>
        <v>0</v>
      </c>
      <c r="AD292" s="1034">
        <f t="shared" si="214"/>
        <v>1</v>
      </c>
      <c r="AE292" s="1035">
        <f t="shared" si="240"/>
        <v>0</v>
      </c>
      <c r="AF292" s="1036">
        <v>0</v>
      </c>
      <c r="AG292" s="1018"/>
      <c r="AH292" s="1037">
        <f t="shared" si="215"/>
        <v>0</v>
      </c>
      <c r="AI292" s="1034">
        <f t="shared" si="216"/>
        <v>1</v>
      </c>
      <c r="AJ292" s="1035">
        <f t="shared" si="241"/>
        <v>0</v>
      </c>
      <c r="AK292" s="1036">
        <v>0</v>
      </c>
      <c r="AL292" s="1018"/>
      <c r="AM292" s="1021">
        <f t="shared" si="217"/>
        <v>0</v>
      </c>
      <c r="AN292" s="1034">
        <f t="shared" si="218"/>
        <v>1</v>
      </c>
      <c r="AO292" s="1035">
        <f t="shared" si="242"/>
        <v>0</v>
      </c>
      <c r="AP292" s="1036">
        <v>0</v>
      </c>
      <c r="AQ292" s="1018"/>
      <c r="AR292" s="1037">
        <f t="shared" si="219"/>
        <v>0</v>
      </c>
      <c r="AS292" s="1034">
        <f t="shared" si="220"/>
        <v>1</v>
      </c>
      <c r="AT292" s="1035">
        <f t="shared" si="243"/>
        <v>0</v>
      </c>
      <c r="AU292" s="1036">
        <v>0</v>
      </c>
      <c r="AV292" s="1018"/>
      <c r="AW292" s="1021">
        <f t="shared" si="221"/>
        <v>0</v>
      </c>
      <c r="AX292" s="1034">
        <f t="shared" si="222"/>
        <v>1</v>
      </c>
      <c r="AY292" s="1035">
        <f t="shared" si="244"/>
        <v>0</v>
      </c>
      <c r="AZ292" s="1036">
        <v>0</v>
      </c>
      <c r="BA292" s="1036"/>
      <c r="BB292" s="1021">
        <f t="shared" si="223"/>
        <v>0</v>
      </c>
      <c r="BC292" s="1034">
        <f t="shared" si="224"/>
        <v>1</v>
      </c>
      <c r="BD292" s="1035">
        <f t="shared" si="245"/>
        <v>0</v>
      </c>
      <c r="BE292" s="1038">
        <v>0</v>
      </c>
      <c r="BF292" s="1018"/>
      <c r="BG292" s="1021">
        <f t="shared" si="225"/>
        <v>0</v>
      </c>
      <c r="BH292" s="1039">
        <f t="shared" si="226"/>
        <v>0</v>
      </c>
      <c r="BI292" s="1038">
        <f t="shared" si="227"/>
        <v>0</v>
      </c>
      <c r="BJ292" s="1027">
        <f t="shared" si="228"/>
        <v>0</v>
      </c>
      <c r="BK292" s="1021">
        <f t="shared" si="229"/>
        <v>0</v>
      </c>
      <c r="BL292" s="1040">
        <f t="shared" si="230"/>
        <v>0</v>
      </c>
      <c r="BM292" s="1038">
        <f t="shared" si="231"/>
        <v>0</v>
      </c>
      <c r="BN292" s="1027"/>
      <c r="BO292" s="1041"/>
      <c r="BP292" s="95">
        <f t="shared" si="247"/>
        <v>0</v>
      </c>
      <c r="BQ292" s="842">
        <f t="shared" si="248"/>
        <v>0</v>
      </c>
      <c r="BS292" s="94">
        <f t="shared" si="232"/>
        <v>0</v>
      </c>
      <c r="BU292" s="632">
        <f t="shared" si="233"/>
        <v>0</v>
      </c>
      <c r="BV292" s="398"/>
      <c r="BW292" s="405"/>
      <c r="CI292" s="96"/>
    </row>
    <row r="293" spans="1:87" ht="14.25" hidden="1" outlineLevel="1" thickTop="1" thickBot="1">
      <c r="A293" s="57"/>
      <c r="B293" s="92">
        <v>53</v>
      </c>
      <c r="C293" s="1029"/>
      <c r="D293" s="1031"/>
      <c r="E293" s="1030"/>
      <c r="F293" s="1031"/>
      <c r="G293" s="1029"/>
      <c r="H293" s="1032">
        <f t="shared" si="234"/>
        <v>1</v>
      </c>
      <c r="I293" s="1033"/>
      <c r="J293" s="1034">
        <f t="shared" si="235"/>
        <v>1</v>
      </c>
      <c r="K293" s="1035">
        <f t="shared" si="255"/>
        <v>0</v>
      </c>
      <c r="L293" s="1036"/>
      <c r="M293" s="1018"/>
      <c r="N293" s="1037">
        <f t="shared" si="253"/>
        <v>0</v>
      </c>
      <c r="O293" s="1034">
        <f t="shared" si="207"/>
        <v>1</v>
      </c>
      <c r="P293" s="1035">
        <f t="shared" si="252"/>
        <v>0</v>
      </c>
      <c r="Q293" s="1036"/>
      <c r="R293" s="1018"/>
      <c r="S293" s="1020">
        <f t="shared" si="254"/>
        <v>0</v>
      </c>
      <c r="T293" s="1034">
        <f t="shared" si="210"/>
        <v>1</v>
      </c>
      <c r="U293" s="1035">
        <f t="shared" si="238"/>
        <v>0</v>
      </c>
      <c r="V293" s="1036">
        <v>0</v>
      </c>
      <c r="W293" s="1018"/>
      <c r="X293" s="1037">
        <f t="shared" si="250"/>
        <v>0</v>
      </c>
      <c r="Y293" s="1034">
        <f t="shared" si="212"/>
        <v>1</v>
      </c>
      <c r="Z293" s="1035">
        <f t="shared" si="239"/>
        <v>0</v>
      </c>
      <c r="AA293" s="1036">
        <v>0</v>
      </c>
      <c r="AB293" s="1018"/>
      <c r="AC293" s="1021">
        <f t="shared" si="213"/>
        <v>0</v>
      </c>
      <c r="AD293" s="1034">
        <f t="shared" si="214"/>
        <v>1</v>
      </c>
      <c r="AE293" s="1035">
        <f t="shared" si="240"/>
        <v>0</v>
      </c>
      <c r="AF293" s="1036">
        <v>0</v>
      </c>
      <c r="AG293" s="1018"/>
      <c r="AH293" s="1037">
        <f t="shared" si="215"/>
        <v>0</v>
      </c>
      <c r="AI293" s="1034">
        <f t="shared" si="216"/>
        <v>1</v>
      </c>
      <c r="AJ293" s="1035">
        <f t="shared" si="241"/>
        <v>0</v>
      </c>
      <c r="AK293" s="1036">
        <v>0</v>
      </c>
      <c r="AL293" s="1018"/>
      <c r="AM293" s="1021">
        <f t="shared" si="217"/>
        <v>0</v>
      </c>
      <c r="AN293" s="1034">
        <f t="shared" si="218"/>
        <v>1</v>
      </c>
      <c r="AO293" s="1035">
        <f t="shared" si="242"/>
        <v>0</v>
      </c>
      <c r="AP293" s="1036">
        <v>0</v>
      </c>
      <c r="AQ293" s="1018"/>
      <c r="AR293" s="1037">
        <f t="shared" si="219"/>
        <v>0</v>
      </c>
      <c r="AS293" s="1034">
        <f t="shared" si="220"/>
        <v>1</v>
      </c>
      <c r="AT293" s="1035">
        <f t="shared" si="243"/>
        <v>0</v>
      </c>
      <c r="AU293" s="1038">
        <v>0</v>
      </c>
      <c r="AV293" s="1018"/>
      <c r="AW293" s="1021">
        <f t="shared" si="221"/>
        <v>0</v>
      </c>
      <c r="AX293" s="1034">
        <f t="shared" si="222"/>
        <v>1</v>
      </c>
      <c r="AY293" s="1035">
        <f t="shared" si="244"/>
        <v>0</v>
      </c>
      <c r="AZ293" s="1036">
        <v>0</v>
      </c>
      <c r="BA293" s="1036"/>
      <c r="BB293" s="1021">
        <f t="shared" si="223"/>
        <v>0</v>
      </c>
      <c r="BC293" s="1034">
        <f t="shared" si="224"/>
        <v>1</v>
      </c>
      <c r="BD293" s="1035">
        <f t="shared" si="245"/>
        <v>0</v>
      </c>
      <c r="BE293" s="1038">
        <v>0</v>
      </c>
      <c r="BF293" s="1018"/>
      <c r="BG293" s="1021">
        <f t="shared" si="225"/>
        <v>0</v>
      </c>
      <c r="BH293" s="1039">
        <f t="shared" si="226"/>
        <v>0</v>
      </c>
      <c r="BI293" s="1038">
        <f t="shared" si="227"/>
        <v>0</v>
      </c>
      <c r="BJ293" s="1027">
        <f t="shared" si="228"/>
        <v>0</v>
      </c>
      <c r="BK293" s="1021">
        <f t="shared" si="229"/>
        <v>0</v>
      </c>
      <c r="BL293" s="1040">
        <f t="shared" si="230"/>
        <v>0</v>
      </c>
      <c r="BM293" s="1038">
        <f t="shared" si="231"/>
        <v>0</v>
      </c>
      <c r="BN293" s="1027"/>
      <c r="BO293" s="1041"/>
      <c r="BP293" s="95">
        <f t="shared" si="247"/>
        <v>0</v>
      </c>
      <c r="BQ293" s="842">
        <f t="shared" si="248"/>
        <v>0</v>
      </c>
      <c r="BS293" s="94">
        <f t="shared" si="232"/>
        <v>0</v>
      </c>
      <c r="BU293" s="632">
        <f t="shared" si="233"/>
        <v>0</v>
      </c>
      <c r="BV293" s="398"/>
      <c r="BW293" s="405"/>
      <c r="CI293" s="96"/>
    </row>
    <row r="294" spans="1:87" ht="14.25" hidden="1" outlineLevel="1" thickTop="1" thickBot="1">
      <c r="A294" s="57"/>
      <c r="B294" s="92">
        <v>54</v>
      </c>
      <c r="C294" s="1029"/>
      <c r="D294" s="1031"/>
      <c r="E294" s="1030"/>
      <c r="F294" s="1031"/>
      <c r="G294" s="1029"/>
      <c r="H294" s="1032">
        <f t="shared" si="234"/>
        <v>1</v>
      </c>
      <c r="I294" s="1033"/>
      <c r="J294" s="1034">
        <f t="shared" si="235"/>
        <v>1</v>
      </c>
      <c r="K294" s="1035">
        <f t="shared" si="255"/>
        <v>0</v>
      </c>
      <c r="L294" s="1036"/>
      <c r="M294" s="1018"/>
      <c r="N294" s="1037">
        <f t="shared" si="253"/>
        <v>0</v>
      </c>
      <c r="O294" s="1034">
        <f t="shared" si="207"/>
        <v>1</v>
      </c>
      <c r="P294" s="1035">
        <f t="shared" si="252"/>
        <v>0</v>
      </c>
      <c r="Q294" s="1036"/>
      <c r="R294" s="1018"/>
      <c r="S294" s="1020">
        <f t="shared" si="254"/>
        <v>0</v>
      </c>
      <c r="T294" s="1034">
        <f t="shared" si="210"/>
        <v>1</v>
      </c>
      <c r="U294" s="1035">
        <f t="shared" si="238"/>
        <v>0</v>
      </c>
      <c r="V294" s="1036">
        <v>0</v>
      </c>
      <c r="W294" s="1018"/>
      <c r="X294" s="1037">
        <f t="shared" si="250"/>
        <v>0</v>
      </c>
      <c r="Y294" s="1034">
        <f t="shared" si="212"/>
        <v>1</v>
      </c>
      <c r="Z294" s="1035">
        <f t="shared" si="239"/>
        <v>0</v>
      </c>
      <c r="AA294" s="1036">
        <v>0</v>
      </c>
      <c r="AB294" s="1018"/>
      <c r="AC294" s="1021">
        <f t="shared" si="213"/>
        <v>0</v>
      </c>
      <c r="AD294" s="1034">
        <f t="shared" si="214"/>
        <v>1</v>
      </c>
      <c r="AE294" s="1035">
        <f t="shared" si="240"/>
        <v>0</v>
      </c>
      <c r="AF294" s="1036">
        <v>0</v>
      </c>
      <c r="AG294" s="1018"/>
      <c r="AH294" s="1037">
        <f t="shared" si="215"/>
        <v>0</v>
      </c>
      <c r="AI294" s="1034">
        <f t="shared" si="216"/>
        <v>1</v>
      </c>
      <c r="AJ294" s="1035">
        <f t="shared" si="241"/>
        <v>0</v>
      </c>
      <c r="AK294" s="1036">
        <v>0</v>
      </c>
      <c r="AL294" s="1018"/>
      <c r="AM294" s="1021">
        <f t="shared" si="217"/>
        <v>0</v>
      </c>
      <c r="AN294" s="1034">
        <f t="shared" si="218"/>
        <v>1</v>
      </c>
      <c r="AO294" s="1035">
        <f t="shared" si="242"/>
        <v>0</v>
      </c>
      <c r="AP294" s="1036">
        <v>0</v>
      </c>
      <c r="AQ294" s="1018"/>
      <c r="AR294" s="1037">
        <f t="shared" si="219"/>
        <v>0</v>
      </c>
      <c r="AS294" s="1034">
        <f t="shared" si="220"/>
        <v>1</v>
      </c>
      <c r="AT294" s="1035">
        <f t="shared" si="243"/>
        <v>0</v>
      </c>
      <c r="AU294" s="1036">
        <v>0</v>
      </c>
      <c r="AV294" s="1018"/>
      <c r="AW294" s="1021">
        <f t="shared" si="221"/>
        <v>0</v>
      </c>
      <c r="AX294" s="1034">
        <f t="shared" si="222"/>
        <v>1</v>
      </c>
      <c r="AY294" s="1035">
        <f t="shared" si="244"/>
        <v>0</v>
      </c>
      <c r="AZ294" s="1036">
        <v>0</v>
      </c>
      <c r="BA294" s="1036"/>
      <c r="BB294" s="1021">
        <f t="shared" si="223"/>
        <v>0</v>
      </c>
      <c r="BC294" s="1034">
        <f t="shared" si="224"/>
        <v>1</v>
      </c>
      <c r="BD294" s="1035">
        <f t="shared" si="245"/>
        <v>0</v>
      </c>
      <c r="BE294" s="1038">
        <v>0</v>
      </c>
      <c r="BF294" s="1018"/>
      <c r="BG294" s="1021">
        <f t="shared" si="225"/>
        <v>0</v>
      </c>
      <c r="BH294" s="1039">
        <f t="shared" si="226"/>
        <v>0</v>
      </c>
      <c r="BI294" s="1038">
        <f t="shared" si="227"/>
        <v>0</v>
      </c>
      <c r="BJ294" s="1027">
        <f t="shared" si="228"/>
        <v>0</v>
      </c>
      <c r="BK294" s="1021">
        <f t="shared" si="229"/>
        <v>0</v>
      </c>
      <c r="BL294" s="1040">
        <f t="shared" si="230"/>
        <v>0</v>
      </c>
      <c r="BM294" s="1038">
        <f t="shared" si="231"/>
        <v>0</v>
      </c>
      <c r="BN294" s="1027"/>
      <c r="BO294" s="1041"/>
      <c r="BP294" s="95">
        <f t="shared" si="247"/>
        <v>0</v>
      </c>
      <c r="BQ294" s="842">
        <f t="shared" si="248"/>
        <v>0</v>
      </c>
      <c r="BS294" s="94">
        <f t="shared" si="232"/>
        <v>0</v>
      </c>
      <c r="BU294" s="632">
        <f t="shared" si="233"/>
        <v>0</v>
      </c>
      <c r="BV294" s="398"/>
      <c r="BW294" s="405"/>
      <c r="CI294" s="96"/>
    </row>
    <row r="295" spans="1:87" s="696" customFormat="1" ht="14.25" hidden="1" outlineLevel="1" thickTop="1" thickBot="1">
      <c r="B295" s="324">
        <v>55</v>
      </c>
      <c r="C295" s="1029"/>
      <c r="D295" s="1031"/>
      <c r="E295" s="1030"/>
      <c r="F295" s="1031"/>
      <c r="G295" s="1029"/>
      <c r="H295" s="1032">
        <f t="shared" si="234"/>
        <v>1</v>
      </c>
      <c r="I295" s="1033"/>
      <c r="J295" s="1034">
        <f t="shared" si="235"/>
        <v>1</v>
      </c>
      <c r="K295" s="1035">
        <f t="shared" si="255"/>
        <v>0</v>
      </c>
      <c r="L295" s="1036"/>
      <c r="M295" s="1018"/>
      <c r="N295" s="1037">
        <f t="shared" si="253"/>
        <v>0</v>
      </c>
      <c r="O295" s="1034">
        <f t="shared" si="207"/>
        <v>1</v>
      </c>
      <c r="P295" s="1035">
        <f t="shared" si="252"/>
        <v>0</v>
      </c>
      <c r="Q295" s="1036"/>
      <c r="R295" s="1018"/>
      <c r="S295" s="1020">
        <f t="shared" si="254"/>
        <v>0</v>
      </c>
      <c r="T295" s="1034">
        <f t="shared" si="210"/>
        <v>1</v>
      </c>
      <c r="U295" s="1035">
        <f t="shared" si="238"/>
        <v>0</v>
      </c>
      <c r="V295" s="1036">
        <v>0</v>
      </c>
      <c r="W295" s="1018"/>
      <c r="X295" s="1037">
        <f t="shared" si="250"/>
        <v>0</v>
      </c>
      <c r="Y295" s="1034">
        <f t="shared" si="212"/>
        <v>1</v>
      </c>
      <c r="Z295" s="1035">
        <f t="shared" si="239"/>
        <v>0</v>
      </c>
      <c r="AA295" s="1036">
        <v>0</v>
      </c>
      <c r="AB295" s="1018"/>
      <c r="AC295" s="1021">
        <f t="shared" si="213"/>
        <v>0</v>
      </c>
      <c r="AD295" s="1034">
        <f t="shared" si="214"/>
        <v>1</v>
      </c>
      <c r="AE295" s="1035">
        <f t="shared" si="240"/>
        <v>0</v>
      </c>
      <c r="AF295" s="1036">
        <v>0</v>
      </c>
      <c r="AG295" s="1018"/>
      <c r="AH295" s="1037">
        <f t="shared" si="215"/>
        <v>0</v>
      </c>
      <c r="AI295" s="1034">
        <f t="shared" si="216"/>
        <v>1</v>
      </c>
      <c r="AJ295" s="1035">
        <f t="shared" si="241"/>
        <v>0</v>
      </c>
      <c r="AK295" s="1036">
        <v>0</v>
      </c>
      <c r="AL295" s="1018"/>
      <c r="AM295" s="1021">
        <f t="shared" si="217"/>
        <v>0</v>
      </c>
      <c r="AN295" s="1034">
        <f t="shared" si="218"/>
        <v>1</v>
      </c>
      <c r="AO295" s="1035">
        <f t="shared" si="242"/>
        <v>0</v>
      </c>
      <c r="AP295" s="1036">
        <v>0</v>
      </c>
      <c r="AQ295" s="1018"/>
      <c r="AR295" s="1037">
        <f t="shared" si="219"/>
        <v>0</v>
      </c>
      <c r="AS295" s="1034">
        <f t="shared" si="220"/>
        <v>1</v>
      </c>
      <c r="AT295" s="1035">
        <f t="shared" si="243"/>
        <v>0</v>
      </c>
      <c r="AU295" s="1038">
        <v>0</v>
      </c>
      <c r="AV295" s="1018"/>
      <c r="AW295" s="1021">
        <f t="shared" si="221"/>
        <v>0</v>
      </c>
      <c r="AX295" s="1034">
        <f t="shared" si="222"/>
        <v>1</v>
      </c>
      <c r="AY295" s="1035">
        <f t="shared" si="244"/>
        <v>0</v>
      </c>
      <c r="AZ295" s="1036">
        <v>0</v>
      </c>
      <c r="BA295" s="1036"/>
      <c r="BB295" s="1021">
        <f t="shared" si="223"/>
        <v>0</v>
      </c>
      <c r="BC295" s="1034">
        <f t="shared" si="224"/>
        <v>1</v>
      </c>
      <c r="BD295" s="1035">
        <f t="shared" si="245"/>
        <v>0</v>
      </c>
      <c r="BE295" s="1038">
        <v>0</v>
      </c>
      <c r="BF295" s="1018"/>
      <c r="BG295" s="1021">
        <f t="shared" si="225"/>
        <v>0</v>
      </c>
      <c r="BH295" s="1039">
        <f t="shared" si="226"/>
        <v>0</v>
      </c>
      <c r="BI295" s="1038">
        <f t="shared" si="227"/>
        <v>0</v>
      </c>
      <c r="BJ295" s="1027">
        <f t="shared" si="228"/>
        <v>0</v>
      </c>
      <c r="BK295" s="1021">
        <f t="shared" si="229"/>
        <v>0</v>
      </c>
      <c r="BL295" s="1040">
        <f t="shared" si="230"/>
        <v>0</v>
      </c>
      <c r="BM295" s="1038">
        <f t="shared" si="231"/>
        <v>0</v>
      </c>
      <c r="BN295" s="1027"/>
      <c r="BO295" s="1041"/>
      <c r="BP295" s="95">
        <f t="shared" si="247"/>
        <v>0</v>
      </c>
      <c r="BQ295" s="842">
        <f t="shared" si="248"/>
        <v>0</v>
      </c>
      <c r="BR295" s="615"/>
      <c r="BS295" s="94">
        <f t="shared" si="232"/>
        <v>0</v>
      </c>
      <c r="BU295" s="632">
        <f t="shared" si="233"/>
        <v>0</v>
      </c>
      <c r="BV295" s="694"/>
      <c r="BW295" s="797"/>
      <c r="BX295" s="615"/>
      <c r="CD295" s="694"/>
      <c r="CI295" s="738"/>
    </row>
    <row r="296" spans="1:87" s="808" customFormat="1" ht="14.25" hidden="1" outlineLevel="1" thickTop="1" thickBot="1">
      <c r="B296" s="809">
        <v>56</v>
      </c>
      <c r="C296" s="1029"/>
      <c r="D296" s="1031"/>
      <c r="E296" s="1030"/>
      <c r="F296" s="1031"/>
      <c r="G296" s="1029"/>
      <c r="H296" s="1032">
        <f t="shared" si="234"/>
        <v>1</v>
      </c>
      <c r="I296" s="1033"/>
      <c r="J296" s="1034">
        <f t="shared" si="235"/>
        <v>1</v>
      </c>
      <c r="K296" s="1035">
        <f t="shared" si="255"/>
        <v>0</v>
      </c>
      <c r="L296" s="1036"/>
      <c r="M296" s="1018"/>
      <c r="N296" s="1037">
        <f t="shared" si="253"/>
        <v>0</v>
      </c>
      <c r="O296" s="1034">
        <f t="shared" si="207"/>
        <v>1</v>
      </c>
      <c r="P296" s="1035">
        <f t="shared" si="252"/>
        <v>0</v>
      </c>
      <c r="Q296" s="1036"/>
      <c r="R296" s="1018"/>
      <c r="S296" s="1020">
        <f t="shared" si="254"/>
        <v>0</v>
      </c>
      <c r="T296" s="1034">
        <f t="shared" si="210"/>
        <v>1</v>
      </c>
      <c r="U296" s="1035">
        <f t="shared" si="238"/>
        <v>0</v>
      </c>
      <c r="V296" s="1036">
        <v>0</v>
      </c>
      <c r="W296" s="1018"/>
      <c r="X296" s="1037">
        <f t="shared" si="250"/>
        <v>0</v>
      </c>
      <c r="Y296" s="1034">
        <f t="shared" si="212"/>
        <v>1</v>
      </c>
      <c r="Z296" s="1035">
        <f t="shared" si="239"/>
        <v>0</v>
      </c>
      <c r="AA296" s="1036">
        <v>0</v>
      </c>
      <c r="AB296" s="1018"/>
      <c r="AC296" s="1021">
        <f t="shared" si="213"/>
        <v>0</v>
      </c>
      <c r="AD296" s="1034">
        <f t="shared" si="214"/>
        <v>1</v>
      </c>
      <c r="AE296" s="1035">
        <f t="shared" si="240"/>
        <v>0</v>
      </c>
      <c r="AF296" s="1036">
        <v>0</v>
      </c>
      <c r="AG296" s="1018"/>
      <c r="AH296" s="1037">
        <f t="shared" si="215"/>
        <v>0</v>
      </c>
      <c r="AI296" s="1034">
        <f t="shared" si="216"/>
        <v>1</v>
      </c>
      <c r="AJ296" s="1035">
        <f t="shared" si="241"/>
        <v>0</v>
      </c>
      <c r="AK296" s="1036">
        <v>0</v>
      </c>
      <c r="AL296" s="1018"/>
      <c r="AM296" s="1021">
        <f t="shared" si="217"/>
        <v>0</v>
      </c>
      <c r="AN296" s="1034">
        <f t="shared" si="218"/>
        <v>1</v>
      </c>
      <c r="AO296" s="1035">
        <f t="shared" si="242"/>
        <v>0</v>
      </c>
      <c r="AP296" s="1036">
        <v>0</v>
      </c>
      <c r="AQ296" s="1018"/>
      <c r="AR296" s="1037">
        <f t="shared" si="219"/>
        <v>0</v>
      </c>
      <c r="AS296" s="1034">
        <f t="shared" si="220"/>
        <v>1</v>
      </c>
      <c r="AT296" s="1035">
        <f t="shared" si="243"/>
        <v>0</v>
      </c>
      <c r="AU296" s="1036">
        <v>0</v>
      </c>
      <c r="AV296" s="1018"/>
      <c r="AW296" s="1021">
        <f t="shared" si="221"/>
        <v>0</v>
      </c>
      <c r="AX296" s="1034">
        <f t="shared" si="222"/>
        <v>1</v>
      </c>
      <c r="AY296" s="1035">
        <f t="shared" si="244"/>
        <v>0</v>
      </c>
      <c r="AZ296" s="1036">
        <v>0</v>
      </c>
      <c r="BA296" s="1036"/>
      <c r="BB296" s="1021">
        <f t="shared" si="223"/>
        <v>0</v>
      </c>
      <c r="BC296" s="1034">
        <f t="shared" si="224"/>
        <v>1</v>
      </c>
      <c r="BD296" s="1035">
        <f t="shared" si="245"/>
        <v>0</v>
      </c>
      <c r="BE296" s="1038">
        <v>0</v>
      </c>
      <c r="BF296" s="1018"/>
      <c r="BG296" s="1021">
        <f t="shared" si="225"/>
        <v>0</v>
      </c>
      <c r="BH296" s="1039">
        <f t="shared" si="226"/>
        <v>0</v>
      </c>
      <c r="BI296" s="1038">
        <f t="shared" si="227"/>
        <v>0</v>
      </c>
      <c r="BJ296" s="1027">
        <f t="shared" si="228"/>
        <v>0</v>
      </c>
      <c r="BK296" s="1021">
        <f t="shared" si="229"/>
        <v>0</v>
      </c>
      <c r="BL296" s="1040">
        <f>P296+Z296+AJ296+AT296+BD296</f>
        <v>0</v>
      </c>
      <c r="BM296" s="1038">
        <f t="shared" si="231"/>
        <v>0</v>
      </c>
      <c r="BN296" s="1027"/>
      <c r="BO296" s="1041"/>
      <c r="BP296" s="95">
        <f t="shared" si="247"/>
        <v>0</v>
      </c>
      <c r="BQ296" s="842">
        <f t="shared" si="248"/>
        <v>0</v>
      </c>
      <c r="BR296" s="810"/>
      <c r="BS296" s="811">
        <f t="shared" si="232"/>
        <v>0</v>
      </c>
      <c r="BU296" s="812">
        <f t="shared" si="233"/>
        <v>0</v>
      </c>
      <c r="BV296" s="813"/>
      <c r="BW296" s="814"/>
      <c r="BX296" s="810"/>
      <c r="CD296" s="815"/>
      <c r="CI296" s="816"/>
    </row>
    <row r="297" spans="1:87" s="696" customFormat="1" ht="14.25" hidden="1" outlineLevel="1" thickTop="1" thickBot="1">
      <c r="B297" s="324">
        <v>57</v>
      </c>
      <c r="C297" s="1029"/>
      <c r="D297" s="1031"/>
      <c r="E297" s="1030"/>
      <c r="F297" s="1031"/>
      <c r="G297" s="1029"/>
      <c r="H297" s="1032">
        <f t="shared" si="234"/>
        <v>1</v>
      </c>
      <c r="I297" s="1033"/>
      <c r="J297" s="1034">
        <f t="shared" si="235"/>
        <v>1</v>
      </c>
      <c r="K297" s="1035">
        <f t="shared" si="255"/>
        <v>0</v>
      </c>
      <c r="L297" s="1036"/>
      <c r="M297" s="1018"/>
      <c r="N297" s="1037">
        <f t="shared" si="253"/>
        <v>0</v>
      </c>
      <c r="O297" s="1034">
        <f t="shared" si="207"/>
        <v>1</v>
      </c>
      <c r="P297" s="1035">
        <f t="shared" si="252"/>
        <v>0</v>
      </c>
      <c r="Q297" s="1036"/>
      <c r="R297" s="1018"/>
      <c r="S297" s="1020">
        <f t="shared" si="254"/>
        <v>0</v>
      </c>
      <c r="T297" s="1034">
        <f t="shared" si="210"/>
        <v>1</v>
      </c>
      <c r="U297" s="1035">
        <f t="shared" si="238"/>
        <v>0</v>
      </c>
      <c r="V297" s="1036">
        <v>0</v>
      </c>
      <c r="W297" s="1018"/>
      <c r="X297" s="1037">
        <f t="shared" si="250"/>
        <v>0</v>
      </c>
      <c r="Y297" s="1034">
        <f t="shared" si="212"/>
        <v>1</v>
      </c>
      <c r="Z297" s="1035">
        <f t="shared" si="239"/>
        <v>0</v>
      </c>
      <c r="AA297" s="1036">
        <v>0</v>
      </c>
      <c r="AB297" s="1018"/>
      <c r="AC297" s="1021">
        <f t="shared" si="213"/>
        <v>0</v>
      </c>
      <c r="AD297" s="1034">
        <f t="shared" si="214"/>
        <v>1</v>
      </c>
      <c r="AE297" s="1035">
        <f t="shared" si="240"/>
        <v>0</v>
      </c>
      <c r="AF297" s="1036">
        <v>0</v>
      </c>
      <c r="AG297" s="1018"/>
      <c r="AH297" s="1037">
        <f t="shared" si="215"/>
        <v>0</v>
      </c>
      <c r="AI297" s="1034">
        <f t="shared" si="216"/>
        <v>1</v>
      </c>
      <c r="AJ297" s="1035">
        <f t="shared" si="241"/>
        <v>0</v>
      </c>
      <c r="AK297" s="1036">
        <v>0</v>
      </c>
      <c r="AL297" s="1018"/>
      <c r="AM297" s="1021">
        <f t="shared" si="217"/>
        <v>0</v>
      </c>
      <c r="AN297" s="1034">
        <f t="shared" si="218"/>
        <v>1</v>
      </c>
      <c r="AO297" s="1035">
        <f t="shared" si="242"/>
        <v>0</v>
      </c>
      <c r="AP297" s="1036">
        <v>0</v>
      </c>
      <c r="AQ297" s="1018"/>
      <c r="AR297" s="1037">
        <f t="shared" si="219"/>
        <v>0</v>
      </c>
      <c r="AS297" s="1034">
        <f t="shared" si="220"/>
        <v>1</v>
      </c>
      <c r="AT297" s="1035">
        <f t="shared" si="243"/>
        <v>0</v>
      </c>
      <c r="AU297" s="1038">
        <v>0</v>
      </c>
      <c r="AV297" s="1018"/>
      <c r="AW297" s="1021">
        <f t="shared" si="221"/>
        <v>0</v>
      </c>
      <c r="AX297" s="1034">
        <f t="shared" si="222"/>
        <v>1</v>
      </c>
      <c r="AY297" s="1035">
        <f t="shared" si="244"/>
        <v>0</v>
      </c>
      <c r="AZ297" s="1036">
        <v>0</v>
      </c>
      <c r="BA297" s="1036"/>
      <c r="BB297" s="1021">
        <f t="shared" si="223"/>
        <v>0</v>
      </c>
      <c r="BC297" s="1034">
        <f t="shared" si="224"/>
        <v>1</v>
      </c>
      <c r="BD297" s="1035">
        <f t="shared" si="245"/>
        <v>0</v>
      </c>
      <c r="BE297" s="1038">
        <v>0</v>
      </c>
      <c r="BF297" s="1018"/>
      <c r="BG297" s="1021">
        <f t="shared" si="225"/>
        <v>0</v>
      </c>
      <c r="BH297" s="1039">
        <f t="shared" si="226"/>
        <v>0</v>
      </c>
      <c r="BI297" s="1038">
        <f t="shared" si="227"/>
        <v>0</v>
      </c>
      <c r="BJ297" s="1027">
        <f t="shared" si="228"/>
        <v>0</v>
      </c>
      <c r="BK297" s="1021">
        <f t="shared" si="229"/>
        <v>0</v>
      </c>
      <c r="BL297" s="1040">
        <f t="shared" ref="BL297:BL298" si="256">P297+Z297+AJ297+AT297+BD297</f>
        <v>0</v>
      </c>
      <c r="BM297" s="1038">
        <f t="shared" si="231"/>
        <v>0</v>
      </c>
      <c r="BN297" s="1027"/>
      <c r="BO297" s="1041"/>
      <c r="BP297" s="95">
        <f t="shared" si="247"/>
        <v>0</v>
      </c>
      <c r="BQ297" s="842">
        <f t="shared" si="248"/>
        <v>0</v>
      </c>
      <c r="BR297" s="323"/>
      <c r="BS297" s="94">
        <f t="shared" si="232"/>
        <v>0</v>
      </c>
      <c r="BU297" s="632">
        <f t="shared" si="233"/>
        <v>0</v>
      </c>
      <c r="BV297" s="398"/>
      <c r="BW297" s="737"/>
      <c r="BX297" s="323"/>
      <c r="CD297" s="694"/>
      <c r="CI297" s="738"/>
    </row>
    <row r="298" spans="1:87" s="696" customFormat="1" ht="14.25" hidden="1" outlineLevel="1" thickTop="1" thickBot="1">
      <c r="B298" s="324">
        <v>58</v>
      </c>
      <c r="C298" s="1029"/>
      <c r="D298" s="1031"/>
      <c r="E298" s="1030"/>
      <c r="F298" s="1031"/>
      <c r="G298" s="1029"/>
      <c r="H298" s="1032">
        <f t="shared" si="234"/>
        <v>1</v>
      </c>
      <c r="I298" s="1033"/>
      <c r="J298" s="1034">
        <f t="shared" si="235"/>
        <v>1</v>
      </c>
      <c r="K298" s="1035">
        <f t="shared" si="255"/>
        <v>0</v>
      </c>
      <c r="L298" s="1036"/>
      <c r="M298" s="1018"/>
      <c r="N298" s="1037">
        <f t="shared" si="253"/>
        <v>0</v>
      </c>
      <c r="O298" s="1034">
        <f t="shared" si="207"/>
        <v>1</v>
      </c>
      <c r="P298" s="1035">
        <f t="shared" si="252"/>
        <v>0</v>
      </c>
      <c r="Q298" s="1036"/>
      <c r="R298" s="1018"/>
      <c r="S298" s="1020">
        <f t="shared" si="254"/>
        <v>0</v>
      </c>
      <c r="T298" s="1034">
        <f t="shared" si="210"/>
        <v>1</v>
      </c>
      <c r="U298" s="1035">
        <f t="shared" si="238"/>
        <v>0</v>
      </c>
      <c r="V298" s="1036">
        <v>0</v>
      </c>
      <c r="W298" s="1018"/>
      <c r="X298" s="1037">
        <f t="shared" si="250"/>
        <v>0</v>
      </c>
      <c r="Y298" s="1034">
        <f t="shared" si="212"/>
        <v>1</v>
      </c>
      <c r="Z298" s="1035">
        <f t="shared" si="239"/>
        <v>0</v>
      </c>
      <c r="AA298" s="1036">
        <v>0</v>
      </c>
      <c r="AB298" s="1018"/>
      <c r="AC298" s="1021">
        <f t="shared" si="213"/>
        <v>0</v>
      </c>
      <c r="AD298" s="1034">
        <f t="shared" si="214"/>
        <v>1</v>
      </c>
      <c r="AE298" s="1035">
        <f t="shared" si="240"/>
        <v>0</v>
      </c>
      <c r="AF298" s="1036">
        <v>0</v>
      </c>
      <c r="AG298" s="1018"/>
      <c r="AH298" s="1037">
        <f t="shared" si="215"/>
        <v>0</v>
      </c>
      <c r="AI298" s="1034">
        <f t="shared" si="216"/>
        <v>1</v>
      </c>
      <c r="AJ298" s="1035">
        <f t="shared" si="241"/>
        <v>0</v>
      </c>
      <c r="AK298" s="1036">
        <v>0</v>
      </c>
      <c r="AL298" s="1018"/>
      <c r="AM298" s="1021">
        <f t="shared" si="217"/>
        <v>0</v>
      </c>
      <c r="AN298" s="1034">
        <f t="shared" si="218"/>
        <v>1</v>
      </c>
      <c r="AO298" s="1035">
        <f t="shared" si="242"/>
        <v>0</v>
      </c>
      <c r="AP298" s="1036">
        <v>0</v>
      </c>
      <c r="AQ298" s="1018"/>
      <c r="AR298" s="1037">
        <f t="shared" si="219"/>
        <v>0</v>
      </c>
      <c r="AS298" s="1034">
        <f t="shared" si="220"/>
        <v>1</v>
      </c>
      <c r="AT298" s="1035">
        <f t="shared" si="243"/>
        <v>0</v>
      </c>
      <c r="AU298" s="1036">
        <v>0</v>
      </c>
      <c r="AV298" s="1018"/>
      <c r="AW298" s="1021">
        <f t="shared" si="221"/>
        <v>0</v>
      </c>
      <c r="AX298" s="1034">
        <f t="shared" si="222"/>
        <v>1</v>
      </c>
      <c r="AY298" s="1035">
        <f t="shared" si="244"/>
        <v>0</v>
      </c>
      <c r="AZ298" s="1036">
        <v>0</v>
      </c>
      <c r="BA298" s="1036"/>
      <c r="BB298" s="1021">
        <f t="shared" si="223"/>
        <v>0</v>
      </c>
      <c r="BC298" s="1034">
        <f t="shared" si="224"/>
        <v>1</v>
      </c>
      <c r="BD298" s="1035">
        <f t="shared" si="245"/>
        <v>0</v>
      </c>
      <c r="BE298" s="1038">
        <v>0</v>
      </c>
      <c r="BF298" s="1018"/>
      <c r="BG298" s="1021">
        <f t="shared" si="225"/>
        <v>0</v>
      </c>
      <c r="BH298" s="1039">
        <f t="shared" si="226"/>
        <v>0</v>
      </c>
      <c r="BI298" s="1038">
        <f t="shared" si="227"/>
        <v>0</v>
      </c>
      <c r="BJ298" s="1027">
        <f t="shared" si="228"/>
        <v>0</v>
      </c>
      <c r="BK298" s="1021">
        <f t="shared" si="229"/>
        <v>0</v>
      </c>
      <c r="BL298" s="1040">
        <f t="shared" si="256"/>
        <v>0</v>
      </c>
      <c r="BM298" s="1038">
        <f t="shared" si="231"/>
        <v>0</v>
      </c>
      <c r="BN298" s="1027"/>
      <c r="BO298" s="1041"/>
      <c r="BP298" s="95">
        <f t="shared" si="247"/>
        <v>0</v>
      </c>
      <c r="BQ298" s="842">
        <f t="shared" si="248"/>
        <v>0</v>
      </c>
      <c r="BR298" s="323"/>
      <c r="BS298" s="94">
        <f t="shared" si="232"/>
        <v>0</v>
      </c>
      <c r="BU298" s="632">
        <f t="shared" si="233"/>
        <v>0</v>
      </c>
      <c r="BV298" s="398"/>
      <c r="BW298" s="737"/>
      <c r="BX298" s="323"/>
      <c r="CD298" s="694"/>
      <c r="CI298" s="738"/>
    </row>
    <row r="299" spans="1:87" s="696" customFormat="1" ht="14.25" hidden="1" outlineLevel="1" thickTop="1" thickBot="1">
      <c r="B299" s="324">
        <v>59</v>
      </c>
      <c r="C299" s="1029"/>
      <c r="D299" s="1031"/>
      <c r="E299" s="1030"/>
      <c r="F299" s="1031"/>
      <c r="G299" s="1029"/>
      <c r="H299" s="1032">
        <f>1/(1-I299)</f>
        <v>1</v>
      </c>
      <c r="I299" s="1033"/>
      <c r="J299" s="1034">
        <f>IF(K299=0,1,K299/(K299/($J$13*(1/H299))))</f>
        <v>1</v>
      </c>
      <c r="K299" s="1035">
        <f>L299*$D$8</f>
        <v>0</v>
      </c>
      <c r="L299" s="1036"/>
      <c r="M299" s="1018"/>
      <c r="N299" s="1037">
        <f>L299/($J$13*(100%-I299))</f>
        <v>0</v>
      </c>
      <c r="O299" s="1034">
        <f>IF(P299=0,1,P299/(P299/($O$13*(1/H299))))</f>
        <v>1</v>
      </c>
      <c r="P299" s="1035">
        <f>Q299*$D$8</f>
        <v>0</v>
      </c>
      <c r="Q299" s="1036"/>
      <c r="R299" s="1018"/>
      <c r="S299" s="1020">
        <f>Q299/($O$13*(100%-I299))</f>
        <v>0</v>
      </c>
      <c r="T299" s="1034">
        <f>IF(U299=0,1,U299/(U299/($T$13*(1/H299))))</f>
        <v>1</v>
      </c>
      <c r="U299" s="1035">
        <f>V299*$D$8</f>
        <v>0</v>
      </c>
      <c r="V299" s="1036">
        <v>0</v>
      </c>
      <c r="W299" s="1018"/>
      <c r="X299" s="1037">
        <f>V299/($T$13*(100%-I299))</f>
        <v>0</v>
      </c>
      <c r="Y299" s="1034">
        <f>IF(Z299=0,1,Z299/(Z299/($Y$13*(1/H299))))</f>
        <v>1</v>
      </c>
      <c r="Z299" s="1035">
        <f>AA299*$D$8</f>
        <v>0</v>
      </c>
      <c r="AA299" s="1036">
        <v>0</v>
      </c>
      <c r="AB299" s="1018"/>
      <c r="AC299" s="1021">
        <f>AA299/($Y$13*(100%-I299))</f>
        <v>0</v>
      </c>
      <c r="AD299" s="1034">
        <f>IF(AE299=0,1,AE299/(AE299/($AD$13*(1/H299))))</f>
        <v>1</v>
      </c>
      <c r="AE299" s="1035">
        <f>AF299*$D$8</f>
        <v>0</v>
      </c>
      <c r="AF299" s="1036">
        <v>0</v>
      </c>
      <c r="AG299" s="1018"/>
      <c r="AH299" s="1037">
        <f>AF299/($AD$13*(100%-I299))</f>
        <v>0</v>
      </c>
      <c r="AI299" s="1034">
        <f>IF(AJ299=0,1,AJ299/(AJ299/($AI$13*(1/H299))))</f>
        <v>1</v>
      </c>
      <c r="AJ299" s="1035">
        <f>AK299*$D$8</f>
        <v>0</v>
      </c>
      <c r="AK299" s="1036">
        <v>0</v>
      </c>
      <c r="AL299" s="1018"/>
      <c r="AM299" s="1021">
        <f>AK299/($AI$13*(100%-I299))</f>
        <v>0</v>
      </c>
      <c r="AN299" s="1034">
        <f>IF(AO299=0,1,AO299/(AO299/($AN$13*(1/H299))))</f>
        <v>1</v>
      </c>
      <c r="AO299" s="1035">
        <f>AP299*$D$8</f>
        <v>0</v>
      </c>
      <c r="AP299" s="1036">
        <v>0</v>
      </c>
      <c r="AQ299" s="1018"/>
      <c r="AR299" s="1037">
        <f>AP299/($AN$13*(100%-I299))</f>
        <v>0</v>
      </c>
      <c r="AS299" s="1034">
        <f>IF(AT299=0,1,AT299/(AT299/($AS$13*(1/H299))))</f>
        <v>1</v>
      </c>
      <c r="AT299" s="1035">
        <f>AU299*$D$8</f>
        <v>0</v>
      </c>
      <c r="AU299" s="1038">
        <v>0</v>
      </c>
      <c r="AV299" s="1018"/>
      <c r="AW299" s="1021">
        <f>AU299/($AS$13*(100%-I299))</f>
        <v>0</v>
      </c>
      <c r="AX299" s="1034">
        <f>IF(AY299=0,1,AY299/(AY299/($AX$13*(1/H299))))</f>
        <v>1</v>
      </c>
      <c r="AY299" s="1035">
        <f>AZ299*$D$8</f>
        <v>0</v>
      </c>
      <c r="AZ299" s="1036">
        <v>0</v>
      </c>
      <c r="BA299" s="1036"/>
      <c r="BB299" s="1021">
        <f>AZ299/($AX$13*(100%-I299))</f>
        <v>0</v>
      </c>
      <c r="BC299" s="1034">
        <f>IF(BD299=0,1,BD299/(BD299/($BC$13*(1/H299))))</f>
        <v>1</v>
      </c>
      <c r="BD299" s="1035">
        <f>BE299*$D$8</f>
        <v>0</v>
      </c>
      <c r="BE299" s="1038">
        <v>0</v>
      </c>
      <c r="BF299" s="1018"/>
      <c r="BG299" s="1021">
        <f>BE299/($BC$13*(100%-I299))</f>
        <v>0</v>
      </c>
      <c r="BH299" s="1039">
        <f>K299+U299+AE299+AO299++AY299</f>
        <v>0</v>
      </c>
      <c r="BI299" s="1038">
        <f>L299+V299+AF299+AP299+AZ299</f>
        <v>0</v>
      </c>
      <c r="BJ299" s="1027">
        <f t="shared" si="228"/>
        <v>0</v>
      </c>
      <c r="BK299" s="1021">
        <f t="shared" si="229"/>
        <v>0</v>
      </c>
      <c r="BL299" s="1040">
        <f>P299+Z299+AJ299+AT299+BD299</f>
        <v>0</v>
      </c>
      <c r="BM299" s="1038">
        <f>Q299+AA299+AK299+AU299+BE299</f>
        <v>0</v>
      </c>
      <c r="BN299" s="1027"/>
      <c r="BO299" s="1041"/>
      <c r="BP299" s="95">
        <f t="shared" si="247"/>
        <v>0</v>
      </c>
      <c r="BQ299" s="842">
        <f t="shared" si="248"/>
        <v>0</v>
      </c>
      <c r="BR299" s="323"/>
      <c r="BS299" s="94">
        <f t="shared" si="232"/>
        <v>0</v>
      </c>
      <c r="BU299" s="632">
        <f t="shared" si="233"/>
        <v>0</v>
      </c>
      <c r="BV299" s="398"/>
      <c r="BW299" s="737"/>
      <c r="BX299" s="323"/>
      <c r="CD299" s="694"/>
      <c r="CI299" s="738"/>
    </row>
    <row r="300" spans="1:87" s="166" customFormat="1" ht="14.25" hidden="1" outlineLevel="1" thickTop="1" thickBot="1">
      <c r="A300" s="56"/>
      <c r="B300" s="324">
        <v>60</v>
      </c>
      <c r="C300" s="1029"/>
      <c r="D300" s="1031"/>
      <c r="E300" s="1030"/>
      <c r="F300" s="1031"/>
      <c r="G300" s="1029"/>
      <c r="H300" s="1032">
        <f t="shared" ref="H300:H338" si="257">1/(1-I300)</f>
        <v>1</v>
      </c>
      <c r="I300" s="1033"/>
      <c r="J300" s="1034">
        <f t="shared" ref="J300:J340" si="258">IF(K300=0,1,K300/(K300/($J$13*(1/H300))))</f>
        <v>1</v>
      </c>
      <c r="K300" s="1035">
        <f t="shared" ref="K300:K340" si="259">L300*$D$8</f>
        <v>0</v>
      </c>
      <c r="L300" s="1036"/>
      <c r="M300" s="1018"/>
      <c r="N300" s="1037">
        <f t="shared" ref="N300:N336" si="260">L300/($J$13*(100%-I300))</f>
        <v>0</v>
      </c>
      <c r="O300" s="1034">
        <f t="shared" ref="O300:O336" si="261">IF(P300=0,1,P300/(P300/($O$13*(1/H300))))</f>
        <v>1</v>
      </c>
      <c r="P300" s="1035">
        <f t="shared" ref="P300:P304" si="262">Q300*$D$8</f>
        <v>0</v>
      </c>
      <c r="Q300" s="1036"/>
      <c r="R300" s="1018"/>
      <c r="S300" s="1020">
        <f t="shared" ref="S300:S336" si="263">Q300/($O$13*(100%-I300))</f>
        <v>0</v>
      </c>
      <c r="T300" s="1034">
        <f t="shared" ref="T300:T336" si="264">IF(U300=0,1,U300/(U300/($T$13*(1/H300))))</f>
        <v>1</v>
      </c>
      <c r="U300" s="1035"/>
      <c r="V300" s="1036">
        <v>0</v>
      </c>
      <c r="W300" s="1018"/>
      <c r="X300" s="1037">
        <f t="shared" ref="X300:X336" si="265">V300/($T$13*(100%-I300))</f>
        <v>0</v>
      </c>
      <c r="Y300" s="1034">
        <f t="shared" ref="Y300:Y336" si="266">IF(Z300=0,1,Z300/(Z300/($Y$13*(1/H300))))</f>
        <v>1</v>
      </c>
      <c r="Z300" s="1035">
        <f t="shared" ref="Z300:Z306" si="267">AA300*$D$8</f>
        <v>0</v>
      </c>
      <c r="AA300" s="1036">
        <v>0</v>
      </c>
      <c r="AB300" s="1018"/>
      <c r="AC300" s="1021">
        <f t="shared" ref="AC300:AC336" si="268">AA300/($Y$13*(100%-I300))</f>
        <v>0</v>
      </c>
      <c r="AD300" s="1034">
        <f t="shared" ref="AD300:AD336" si="269">IF(AE300=0,1,AE300/(AE300/($AD$13*(1/H300))))</f>
        <v>1</v>
      </c>
      <c r="AE300" s="1035">
        <f t="shared" ref="AE300:AE306" si="270">AF300*$D$8</f>
        <v>0</v>
      </c>
      <c r="AF300" s="1036">
        <v>0</v>
      </c>
      <c r="AG300" s="1018"/>
      <c r="AH300" s="1037">
        <f t="shared" ref="AH300:AH336" si="271">AF300/($AD$13*(100%-I300))</f>
        <v>0</v>
      </c>
      <c r="AI300" s="1034">
        <f t="shared" ref="AI300:AI336" si="272">IF(AJ300=0,1,AJ300/(AJ300/($AI$13*(1/H300))))</f>
        <v>1</v>
      </c>
      <c r="AJ300" s="1035">
        <f t="shared" ref="AJ300:AJ340" si="273">AK300*$D$8</f>
        <v>0</v>
      </c>
      <c r="AK300" s="1036">
        <v>0</v>
      </c>
      <c r="AL300" s="1018"/>
      <c r="AM300" s="1021">
        <f t="shared" ref="AM300:AM336" si="274">AK300/($AI$13*(100%-I300))</f>
        <v>0</v>
      </c>
      <c r="AN300" s="1034">
        <f t="shared" ref="AN300:AN336" si="275">IF(AO300=0,1,AO300/(AO300/($AN$13*(1/H300))))</f>
        <v>1</v>
      </c>
      <c r="AO300" s="1035">
        <f t="shared" ref="AO300:AO340" si="276">AP300*$D$8</f>
        <v>0</v>
      </c>
      <c r="AP300" s="1036">
        <v>0</v>
      </c>
      <c r="AQ300" s="1018"/>
      <c r="AR300" s="1037">
        <f t="shared" ref="AR300:AR336" si="277">AP300/($AN$13*(100%-I300))</f>
        <v>0</v>
      </c>
      <c r="AS300" s="1034">
        <f t="shared" ref="AS300:AS336" si="278">IF(AT300=0,1,AT300/(AT300/($AS$13*(1/H300))))</f>
        <v>1</v>
      </c>
      <c r="AT300" s="1035">
        <f t="shared" ref="AT300:AT340" si="279">AU300*$D$8</f>
        <v>0</v>
      </c>
      <c r="AU300" s="1036">
        <v>0</v>
      </c>
      <c r="AV300" s="1018"/>
      <c r="AW300" s="1021">
        <f t="shared" ref="AW300:AW336" si="280">AU300/($AS$13*(100%-I300))</f>
        <v>0</v>
      </c>
      <c r="AX300" s="1034">
        <f t="shared" ref="AX300:AX336" si="281">IF(AY300=0,1,AY300/(AY300/($AX$13*(1/H300))))</f>
        <v>1</v>
      </c>
      <c r="AY300" s="1035">
        <f t="shared" ref="AY300:AY340" si="282">AZ300*$D$8</f>
        <v>0</v>
      </c>
      <c r="AZ300" s="1036">
        <v>0</v>
      </c>
      <c r="BA300" s="1036"/>
      <c r="BB300" s="1021">
        <f t="shared" ref="BB300:BB336" si="283">AZ300/($AX$13*(100%-I300))</f>
        <v>0</v>
      </c>
      <c r="BC300" s="1034">
        <f t="shared" ref="BC300:BC336" si="284">IF(BD300=0,1,BD300/(BD300/($BC$13*(1/H300))))</f>
        <v>1</v>
      </c>
      <c r="BD300" s="1035">
        <f t="shared" ref="BD300:BD340" si="285">BE300*$D$8</f>
        <v>0</v>
      </c>
      <c r="BE300" s="1038">
        <v>0</v>
      </c>
      <c r="BF300" s="1018"/>
      <c r="BG300" s="1021">
        <f t="shared" ref="BG300:BG336" si="286">BE300/($BC$13*(100%-I300))</f>
        <v>0</v>
      </c>
      <c r="BH300" s="1039">
        <f t="shared" ref="BH300:BH340" si="287">K300+U300+AE300+AO300++AY300</f>
        <v>0</v>
      </c>
      <c r="BI300" s="1038">
        <f t="shared" ref="BI300:BI340" si="288">L300+V300+AF300+AP300+AZ300</f>
        <v>0</v>
      </c>
      <c r="BJ300" s="1027">
        <f t="shared" si="228"/>
        <v>0</v>
      </c>
      <c r="BK300" s="1021">
        <f t="shared" si="229"/>
        <v>0</v>
      </c>
      <c r="BL300" s="1040">
        <f t="shared" ref="BL300:BL340" si="289">P300+Z300+AJ300+AT300+BD300</f>
        <v>0</v>
      </c>
      <c r="BM300" s="1038">
        <f t="shared" ref="BM300:BM340" si="290">Q300+AA300+AK300+AU300+BE300</f>
        <v>0</v>
      </c>
      <c r="BN300" s="1027"/>
      <c r="BO300" s="1041"/>
      <c r="BP300" s="95">
        <f t="shared" si="247"/>
        <v>0</v>
      </c>
      <c r="BQ300" s="842">
        <f t="shared" si="248"/>
        <v>0</v>
      </c>
      <c r="BR300" s="323"/>
      <c r="BS300" s="94">
        <f t="shared" si="232"/>
        <v>0</v>
      </c>
      <c r="BU300" s="632">
        <f t="shared" si="233"/>
        <v>0</v>
      </c>
      <c r="BV300" s="398"/>
      <c r="BW300" s="405"/>
      <c r="BX300" s="323"/>
      <c r="CD300" s="694"/>
      <c r="CI300" s="320"/>
    </row>
    <row r="301" spans="1:87" s="166" customFormat="1" ht="14.25" hidden="1" outlineLevel="1" thickTop="1" thickBot="1">
      <c r="A301" s="56"/>
      <c r="B301" s="324">
        <v>61</v>
      </c>
      <c r="C301" s="1029"/>
      <c r="D301" s="1031"/>
      <c r="E301" s="1030"/>
      <c r="F301" s="1031"/>
      <c r="G301" s="1029"/>
      <c r="H301" s="1032">
        <f t="shared" si="257"/>
        <v>1</v>
      </c>
      <c r="I301" s="1033"/>
      <c r="J301" s="1034">
        <f t="shared" si="258"/>
        <v>1</v>
      </c>
      <c r="K301" s="1035">
        <f t="shared" si="259"/>
        <v>0</v>
      </c>
      <c r="L301" s="1036"/>
      <c r="M301" s="1018"/>
      <c r="N301" s="1037">
        <f t="shared" si="260"/>
        <v>0</v>
      </c>
      <c r="O301" s="1034">
        <f t="shared" si="261"/>
        <v>1</v>
      </c>
      <c r="P301" s="1035">
        <f t="shared" si="262"/>
        <v>0</v>
      </c>
      <c r="Q301" s="1036"/>
      <c r="R301" s="1018"/>
      <c r="S301" s="1020">
        <f t="shared" si="263"/>
        <v>0</v>
      </c>
      <c r="T301" s="1034">
        <f t="shared" si="264"/>
        <v>1</v>
      </c>
      <c r="U301" s="1035"/>
      <c r="V301" s="1036">
        <v>0</v>
      </c>
      <c r="W301" s="1018"/>
      <c r="X301" s="1037">
        <f t="shared" si="265"/>
        <v>0</v>
      </c>
      <c r="Y301" s="1034">
        <f t="shared" si="266"/>
        <v>1</v>
      </c>
      <c r="Z301" s="1035">
        <f t="shared" si="267"/>
        <v>0</v>
      </c>
      <c r="AA301" s="1036">
        <v>0</v>
      </c>
      <c r="AB301" s="1018"/>
      <c r="AC301" s="1021">
        <f t="shared" si="268"/>
        <v>0</v>
      </c>
      <c r="AD301" s="1034">
        <f t="shared" si="269"/>
        <v>1</v>
      </c>
      <c r="AE301" s="1035">
        <f t="shared" si="270"/>
        <v>0</v>
      </c>
      <c r="AF301" s="1036">
        <v>0</v>
      </c>
      <c r="AG301" s="1018"/>
      <c r="AH301" s="1037">
        <f t="shared" si="271"/>
        <v>0</v>
      </c>
      <c r="AI301" s="1034">
        <f t="shared" si="272"/>
        <v>1</v>
      </c>
      <c r="AJ301" s="1035">
        <f t="shared" si="273"/>
        <v>0</v>
      </c>
      <c r="AK301" s="1036">
        <v>0</v>
      </c>
      <c r="AL301" s="1018"/>
      <c r="AM301" s="1021">
        <f t="shared" si="274"/>
        <v>0</v>
      </c>
      <c r="AN301" s="1034">
        <f t="shared" si="275"/>
        <v>1</v>
      </c>
      <c r="AO301" s="1035">
        <f t="shared" si="276"/>
        <v>0</v>
      </c>
      <c r="AP301" s="1036">
        <v>0</v>
      </c>
      <c r="AQ301" s="1018"/>
      <c r="AR301" s="1037">
        <f t="shared" si="277"/>
        <v>0</v>
      </c>
      <c r="AS301" s="1034">
        <f t="shared" si="278"/>
        <v>1</v>
      </c>
      <c r="AT301" s="1035">
        <f t="shared" si="279"/>
        <v>0</v>
      </c>
      <c r="AU301" s="1038">
        <v>0</v>
      </c>
      <c r="AV301" s="1018"/>
      <c r="AW301" s="1021">
        <f t="shared" si="280"/>
        <v>0</v>
      </c>
      <c r="AX301" s="1034">
        <f t="shared" si="281"/>
        <v>1</v>
      </c>
      <c r="AY301" s="1035">
        <f t="shared" si="282"/>
        <v>0</v>
      </c>
      <c r="AZ301" s="1036">
        <v>0</v>
      </c>
      <c r="BA301" s="1036"/>
      <c r="BB301" s="1021">
        <f t="shared" si="283"/>
        <v>0</v>
      </c>
      <c r="BC301" s="1034">
        <f t="shared" si="284"/>
        <v>1</v>
      </c>
      <c r="BD301" s="1035">
        <f t="shared" si="285"/>
        <v>0</v>
      </c>
      <c r="BE301" s="1038">
        <v>0</v>
      </c>
      <c r="BF301" s="1018"/>
      <c r="BG301" s="1021">
        <f t="shared" si="286"/>
        <v>0</v>
      </c>
      <c r="BH301" s="1039">
        <f t="shared" si="287"/>
        <v>0</v>
      </c>
      <c r="BI301" s="1038">
        <f t="shared" si="288"/>
        <v>0</v>
      </c>
      <c r="BJ301" s="1027">
        <f t="shared" si="228"/>
        <v>0</v>
      </c>
      <c r="BK301" s="1021">
        <f t="shared" si="229"/>
        <v>0</v>
      </c>
      <c r="BL301" s="1040">
        <f t="shared" si="289"/>
        <v>0</v>
      </c>
      <c r="BM301" s="1038">
        <f t="shared" si="290"/>
        <v>0</v>
      </c>
      <c r="BN301" s="1027"/>
      <c r="BO301" s="1041"/>
      <c r="BP301" s="95">
        <f t="shared" si="247"/>
        <v>0</v>
      </c>
      <c r="BQ301" s="842">
        <f t="shared" si="248"/>
        <v>0</v>
      </c>
      <c r="BR301" s="323"/>
      <c r="BS301" s="94">
        <f t="shared" si="232"/>
        <v>0</v>
      </c>
      <c r="BU301" s="632">
        <f t="shared" si="233"/>
        <v>0</v>
      </c>
      <c r="BV301" s="398"/>
      <c r="BW301" s="405"/>
      <c r="BX301" s="323"/>
      <c r="CD301" s="694"/>
      <c r="CI301" s="320"/>
    </row>
    <row r="302" spans="1:87" s="166" customFormat="1" ht="14.25" hidden="1" outlineLevel="1" thickTop="1" thickBot="1">
      <c r="A302" s="56">
        <v>1</v>
      </c>
      <c r="B302" s="324">
        <v>62</v>
      </c>
      <c r="C302" s="1029"/>
      <c r="D302" s="1031"/>
      <c r="E302" s="1030"/>
      <c r="F302" s="1031"/>
      <c r="G302" s="1029"/>
      <c r="H302" s="1032">
        <f t="shared" si="257"/>
        <v>1</v>
      </c>
      <c r="I302" s="1033"/>
      <c r="J302" s="1034">
        <f t="shared" si="258"/>
        <v>1</v>
      </c>
      <c r="K302" s="1035">
        <f t="shared" si="259"/>
        <v>0</v>
      </c>
      <c r="L302" s="1036"/>
      <c r="M302" s="1018"/>
      <c r="N302" s="1037">
        <f t="shared" si="260"/>
        <v>0</v>
      </c>
      <c r="O302" s="1034">
        <f t="shared" si="261"/>
        <v>1</v>
      </c>
      <c r="P302" s="1035">
        <f t="shared" si="262"/>
        <v>0</v>
      </c>
      <c r="Q302" s="1036"/>
      <c r="R302" s="1018"/>
      <c r="S302" s="1020">
        <f t="shared" si="263"/>
        <v>0</v>
      </c>
      <c r="T302" s="1034">
        <f t="shared" si="264"/>
        <v>1</v>
      </c>
      <c r="U302" s="1035"/>
      <c r="V302" s="1036">
        <v>0</v>
      </c>
      <c r="W302" s="1018"/>
      <c r="X302" s="1037">
        <f t="shared" si="265"/>
        <v>0</v>
      </c>
      <c r="Y302" s="1034">
        <f t="shared" si="266"/>
        <v>1</v>
      </c>
      <c r="Z302" s="1035">
        <f t="shared" si="267"/>
        <v>0</v>
      </c>
      <c r="AA302" s="1036">
        <v>0</v>
      </c>
      <c r="AB302" s="1018"/>
      <c r="AC302" s="1021">
        <f t="shared" si="268"/>
        <v>0</v>
      </c>
      <c r="AD302" s="1034">
        <f t="shared" si="269"/>
        <v>1</v>
      </c>
      <c r="AE302" s="1035">
        <f t="shared" si="270"/>
        <v>0</v>
      </c>
      <c r="AF302" s="1036">
        <v>0</v>
      </c>
      <c r="AG302" s="1018"/>
      <c r="AH302" s="1037">
        <f t="shared" si="271"/>
        <v>0</v>
      </c>
      <c r="AI302" s="1034">
        <f t="shared" si="272"/>
        <v>1</v>
      </c>
      <c r="AJ302" s="1035">
        <f t="shared" si="273"/>
        <v>0</v>
      </c>
      <c r="AK302" s="1036">
        <v>0</v>
      </c>
      <c r="AL302" s="1018"/>
      <c r="AM302" s="1021">
        <f t="shared" si="274"/>
        <v>0</v>
      </c>
      <c r="AN302" s="1034">
        <f t="shared" si="275"/>
        <v>1</v>
      </c>
      <c r="AO302" s="1035">
        <f t="shared" si="276"/>
        <v>0</v>
      </c>
      <c r="AP302" s="1036">
        <v>0</v>
      </c>
      <c r="AQ302" s="1018"/>
      <c r="AR302" s="1037">
        <f t="shared" si="277"/>
        <v>0</v>
      </c>
      <c r="AS302" s="1034">
        <f t="shared" si="278"/>
        <v>1</v>
      </c>
      <c r="AT302" s="1035">
        <f t="shared" si="279"/>
        <v>0</v>
      </c>
      <c r="AU302" s="1036">
        <v>0</v>
      </c>
      <c r="AV302" s="1018"/>
      <c r="AW302" s="1021">
        <f t="shared" si="280"/>
        <v>0</v>
      </c>
      <c r="AX302" s="1034">
        <f t="shared" si="281"/>
        <v>1</v>
      </c>
      <c r="AY302" s="1035">
        <f t="shared" si="282"/>
        <v>0</v>
      </c>
      <c r="AZ302" s="1036">
        <v>0</v>
      </c>
      <c r="BA302" s="1036"/>
      <c r="BB302" s="1021">
        <f t="shared" si="283"/>
        <v>0</v>
      </c>
      <c r="BC302" s="1034">
        <f t="shared" si="284"/>
        <v>1</v>
      </c>
      <c r="BD302" s="1035">
        <f t="shared" si="285"/>
        <v>0</v>
      </c>
      <c r="BE302" s="1038">
        <v>0</v>
      </c>
      <c r="BF302" s="1018"/>
      <c r="BG302" s="1021">
        <f t="shared" si="286"/>
        <v>0</v>
      </c>
      <c r="BH302" s="1039">
        <f t="shared" si="287"/>
        <v>0</v>
      </c>
      <c r="BI302" s="1038">
        <f t="shared" si="288"/>
        <v>0</v>
      </c>
      <c r="BJ302" s="1027">
        <f t="shared" si="228"/>
        <v>0</v>
      </c>
      <c r="BK302" s="1021">
        <f t="shared" si="229"/>
        <v>0</v>
      </c>
      <c r="BL302" s="1040">
        <f t="shared" si="289"/>
        <v>0</v>
      </c>
      <c r="BM302" s="1038">
        <f t="shared" si="290"/>
        <v>0</v>
      </c>
      <c r="BN302" s="1027"/>
      <c r="BO302" s="1041"/>
      <c r="BP302" s="95">
        <f t="shared" si="247"/>
        <v>0</v>
      </c>
      <c r="BQ302" s="842">
        <f t="shared" si="248"/>
        <v>0</v>
      </c>
      <c r="BR302" s="323"/>
      <c r="BS302" s="94">
        <f t="shared" si="232"/>
        <v>0</v>
      </c>
      <c r="BU302" s="632">
        <f t="shared" si="233"/>
        <v>0</v>
      </c>
      <c r="BV302" s="398"/>
      <c r="BW302" s="405"/>
      <c r="BX302" s="323"/>
      <c r="CD302" s="694"/>
      <c r="CI302" s="320"/>
    </row>
    <row r="303" spans="1:87" s="166" customFormat="1" ht="14.25" hidden="1" outlineLevel="1" thickTop="1" thickBot="1">
      <c r="A303" s="56"/>
      <c r="B303" s="324">
        <v>63</v>
      </c>
      <c r="C303" s="1029"/>
      <c r="D303" s="1031"/>
      <c r="E303" s="1030"/>
      <c r="F303" s="1031"/>
      <c r="G303" s="1029"/>
      <c r="H303" s="1032">
        <f t="shared" si="257"/>
        <v>1</v>
      </c>
      <c r="I303" s="1033"/>
      <c r="J303" s="1034">
        <f t="shared" si="258"/>
        <v>1</v>
      </c>
      <c r="K303" s="1035">
        <f t="shared" si="259"/>
        <v>0</v>
      </c>
      <c r="L303" s="1036"/>
      <c r="M303" s="1018"/>
      <c r="N303" s="1037">
        <f t="shared" si="260"/>
        <v>0</v>
      </c>
      <c r="O303" s="1034">
        <f t="shared" si="261"/>
        <v>1</v>
      </c>
      <c r="P303" s="1035">
        <f t="shared" si="262"/>
        <v>0</v>
      </c>
      <c r="Q303" s="1036"/>
      <c r="R303" s="1018"/>
      <c r="S303" s="1020">
        <f t="shared" si="263"/>
        <v>0</v>
      </c>
      <c r="T303" s="1034">
        <f t="shared" si="264"/>
        <v>1</v>
      </c>
      <c r="U303" s="1035"/>
      <c r="V303" s="1036">
        <v>0</v>
      </c>
      <c r="W303" s="1018"/>
      <c r="X303" s="1037">
        <f t="shared" si="265"/>
        <v>0</v>
      </c>
      <c r="Y303" s="1034">
        <f t="shared" si="266"/>
        <v>1</v>
      </c>
      <c r="Z303" s="1035">
        <f t="shared" si="267"/>
        <v>0</v>
      </c>
      <c r="AA303" s="1036">
        <v>0</v>
      </c>
      <c r="AB303" s="1018"/>
      <c r="AC303" s="1021">
        <f t="shared" si="268"/>
        <v>0</v>
      </c>
      <c r="AD303" s="1034">
        <f t="shared" si="269"/>
        <v>1</v>
      </c>
      <c r="AE303" s="1035">
        <f t="shared" si="270"/>
        <v>0</v>
      </c>
      <c r="AF303" s="1036">
        <v>0</v>
      </c>
      <c r="AG303" s="1018"/>
      <c r="AH303" s="1037">
        <f t="shared" si="271"/>
        <v>0</v>
      </c>
      <c r="AI303" s="1034">
        <f t="shared" si="272"/>
        <v>1</v>
      </c>
      <c r="AJ303" s="1035">
        <f t="shared" si="273"/>
        <v>0</v>
      </c>
      <c r="AK303" s="1036">
        <v>0</v>
      </c>
      <c r="AL303" s="1018"/>
      <c r="AM303" s="1021">
        <f t="shared" si="274"/>
        <v>0</v>
      </c>
      <c r="AN303" s="1034">
        <f t="shared" si="275"/>
        <v>1</v>
      </c>
      <c r="AO303" s="1035">
        <f t="shared" si="276"/>
        <v>0</v>
      </c>
      <c r="AP303" s="1036">
        <v>0</v>
      </c>
      <c r="AQ303" s="1018"/>
      <c r="AR303" s="1037">
        <f t="shared" si="277"/>
        <v>0</v>
      </c>
      <c r="AS303" s="1034">
        <f t="shared" si="278"/>
        <v>1</v>
      </c>
      <c r="AT303" s="1035">
        <f t="shared" si="279"/>
        <v>0</v>
      </c>
      <c r="AU303" s="1038">
        <v>0</v>
      </c>
      <c r="AV303" s="1018"/>
      <c r="AW303" s="1021">
        <f t="shared" si="280"/>
        <v>0</v>
      </c>
      <c r="AX303" s="1034">
        <f t="shared" si="281"/>
        <v>1</v>
      </c>
      <c r="AY303" s="1035">
        <f t="shared" si="282"/>
        <v>0</v>
      </c>
      <c r="AZ303" s="1036">
        <v>0</v>
      </c>
      <c r="BA303" s="1036"/>
      <c r="BB303" s="1021">
        <f t="shared" si="283"/>
        <v>0</v>
      </c>
      <c r="BC303" s="1034">
        <f t="shared" si="284"/>
        <v>1</v>
      </c>
      <c r="BD303" s="1035">
        <f t="shared" si="285"/>
        <v>0</v>
      </c>
      <c r="BE303" s="1038">
        <v>0</v>
      </c>
      <c r="BF303" s="1018"/>
      <c r="BG303" s="1021">
        <f t="shared" si="286"/>
        <v>0</v>
      </c>
      <c r="BH303" s="1039">
        <f t="shared" si="287"/>
        <v>0</v>
      </c>
      <c r="BI303" s="1038">
        <f t="shared" si="288"/>
        <v>0</v>
      </c>
      <c r="BJ303" s="1027">
        <f t="shared" si="228"/>
        <v>0</v>
      </c>
      <c r="BK303" s="1021">
        <f t="shared" si="229"/>
        <v>0</v>
      </c>
      <c r="BL303" s="1040">
        <f t="shared" si="289"/>
        <v>0</v>
      </c>
      <c r="BM303" s="1038">
        <f t="shared" si="290"/>
        <v>0</v>
      </c>
      <c r="BN303" s="1027"/>
      <c r="BO303" s="1041"/>
      <c r="BP303" s="95">
        <f t="shared" si="247"/>
        <v>0</v>
      </c>
      <c r="BQ303" s="842">
        <f t="shared" si="248"/>
        <v>0</v>
      </c>
      <c r="BR303" s="323"/>
      <c r="BS303" s="94">
        <f t="shared" si="232"/>
        <v>0</v>
      </c>
      <c r="BU303" s="632">
        <f t="shared" si="233"/>
        <v>0</v>
      </c>
      <c r="BV303" s="398"/>
      <c r="BW303" s="405"/>
      <c r="BX303" s="323"/>
      <c r="CD303" s="694"/>
      <c r="CI303" s="320"/>
    </row>
    <row r="304" spans="1:87" s="166" customFormat="1" ht="14.25" hidden="1" outlineLevel="1" thickTop="1" thickBot="1">
      <c r="A304" s="56"/>
      <c r="B304" s="324">
        <v>64</v>
      </c>
      <c r="C304" s="1029"/>
      <c r="D304" s="1031"/>
      <c r="E304" s="1030"/>
      <c r="F304" s="1031"/>
      <c r="G304" s="1029"/>
      <c r="H304" s="1032">
        <f t="shared" si="257"/>
        <v>1</v>
      </c>
      <c r="I304" s="1033"/>
      <c r="J304" s="1034">
        <f t="shared" si="258"/>
        <v>1</v>
      </c>
      <c r="K304" s="1035">
        <f t="shared" si="259"/>
        <v>0</v>
      </c>
      <c r="L304" s="1036"/>
      <c r="M304" s="1018"/>
      <c r="N304" s="1037">
        <f t="shared" si="260"/>
        <v>0</v>
      </c>
      <c r="O304" s="1034">
        <f t="shared" si="261"/>
        <v>1</v>
      </c>
      <c r="P304" s="1035">
        <f t="shared" si="262"/>
        <v>0</v>
      </c>
      <c r="Q304" s="1036"/>
      <c r="R304" s="1018"/>
      <c r="S304" s="1020">
        <f t="shared" si="263"/>
        <v>0</v>
      </c>
      <c r="T304" s="1034">
        <f t="shared" si="264"/>
        <v>1</v>
      </c>
      <c r="U304" s="1035"/>
      <c r="V304" s="1036">
        <v>0</v>
      </c>
      <c r="W304" s="1018"/>
      <c r="X304" s="1037">
        <f t="shared" si="265"/>
        <v>0</v>
      </c>
      <c r="Y304" s="1034">
        <f t="shared" si="266"/>
        <v>1</v>
      </c>
      <c r="Z304" s="1035">
        <f t="shared" si="267"/>
        <v>0</v>
      </c>
      <c r="AA304" s="1036">
        <v>0</v>
      </c>
      <c r="AB304" s="1018"/>
      <c r="AC304" s="1021">
        <f t="shared" si="268"/>
        <v>0</v>
      </c>
      <c r="AD304" s="1034">
        <f t="shared" si="269"/>
        <v>1</v>
      </c>
      <c r="AE304" s="1035">
        <f t="shared" si="270"/>
        <v>0</v>
      </c>
      <c r="AF304" s="1036">
        <v>0</v>
      </c>
      <c r="AG304" s="1018"/>
      <c r="AH304" s="1037">
        <f t="shared" si="271"/>
        <v>0</v>
      </c>
      <c r="AI304" s="1034">
        <f t="shared" si="272"/>
        <v>1</v>
      </c>
      <c r="AJ304" s="1035">
        <f t="shared" si="273"/>
        <v>0</v>
      </c>
      <c r="AK304" s="1036">
        <v>0</v>
      </c>
      <c r="AL304" s="1018"/>
      <c r="AM304" s="1021">
        <f t="shared" si="274"/>
        <v>0</v>
      </c>
      <c r="AN304" s="1034">
        <f t="shared" si="275"/>
        <v>1</v>
      </c>
      <c r="AO304" s="1035">
        <f t="shared" si="276"/>
        <v>0</v>
      </c>
      <c r="AP304" s="1036">
        <v>0</v>
      </c>
      <c r="AQ304" s="1018"/>
      <c r="AR304" s="1037">
        <f t="shared" si="277"/>
        <v>0</v>
      </c>
      <c r="AS304" s="1034">
        <f t="shared" si="278"/>
        <v>1</v>
      </c>
      <c r="AT304" s="1035">
        <f t="shared" si="279"/>
        <v>0</v>
      </c>
      <c r="AU304" s="1036">
        <v>0</v>
      </c>
      <c r="AV304" s="1018"/>
      <c r="AW304" s="1021">
        <f t="shared" si="280"/>
        <v>0</v>
      </c>
      <c r="AX304" s="1034">
        <f t="shared" si="281"/>
        <v>1</v>
      </c>
      <c r="AY304" s="1035">
        <f t="shared" si="282"/>
        <v>0</v>
      </c>
      <c r="AZ304" s="1036">
        <v>0</v>
      </c>
      <c r="BA304" s="1036"/>
      <c r="BB304" s="1021">
        <f t="shared" si="283"/>
        <v>0</v>
      </c>
      <c r="BC304" s="1034">
        <f t="shared" si="284"/>
        <v>1</v>
      </c>
      <c r="BD304" s="1035">
        <f t="shared" si="285"/>
        <v>0</v>
      </c>
      <c r="BE304" s="1038">
        <v>0</v>
      </c>
      <c r="BF304" s="1018"/>
      <c r="BG304" s="1021">
        <f t="shared" si="286"/>
        <v>0</v>
      </c>
      <c r="BH304" s="1039">
        <f t="shared" si="287"/>
        <v>0</v>
      </c>
      <c r="BI304" s="1038">
        <f t="shared" si="288"/>
        <v>0</v>
      </c>
      <c r="BJ304" s="1027">
        <f t="shared" si="228"/>
        <v>0</v>
      </c>
      <c r="BK304" s="1021">
        <f t="shared" si="229"/>
        <v>0</v>
      </c>
      <c r="BL304" s="1040">
        <f t="shared" si="289"/>
        <v>0</v>
      </c>
      <c r="BM304" s="1038">
        <f t="shared" si="290"/>
        <v>0</v>
      </c>
      <c r="BN304" s="1027"/>
      <c r="BO304" s="1041"/>
      <c r="BP304" s="95">
        <f t="shared" si="247"/>
        <v>0</v>
      </c>
      <c r="BQ304" s="842">
        <f t="shared" si="248"/>
        <v>0</v>
      </c>
      <c r="BR304" s="323"/>
      <c r="BS304" s="94">
        <f t="shared" si="232"/>
        <v>0</v>
      </c>
      <c r="BU304" s="632">
        <f t="shared" si="233"/>
        <v>0</v>
      </c>
      <c r="BV304" s="398"/>
      <c r="BW304" s="405"/>
      <c r="BX304" s="323"/>
      <c r="CD304" s="694"/>
      <c r="CI304" s="320"/>
    </row>
    <row r="305" spans="1:87" s="324" customFormat="1" ht="14.25" hidden="1" outlineLevel="1" thickTop="1" thickBot="1">
      <c r="B305" s="92">
        <v>65</v>
      </c>
      <c r="C305" s="1029"/>
      <c r="D305" s="1031"/>
      <c r="E305" s="1030"/>
      <c r="F305" s="1031"/>
      <c r="G305" s="1029"/>
      <c r="H305" s="1032">
        <f t="shared" si="257"/>
        <v>1</v>
      </c>
      <c r="I305" s="1033"/>
      <c r="J305" s="1034">
        <f t="shared" si="258"/>
        <v>1</v>
      </c>
      <c r="K305" s="1035">
        <f t="shared" si="259"/>
        <v>0</v>
      </c>
      <c r="L305" s="1036"/>
      <c r="M305" s="1018"/>
      <c r="N305" s="1037">
        <f t="shared" si="260"/>
        <v>0</v>
      </c>
      <c r="O305" s="1034">
        <f t="shared" si="261"/>
        <v>1</v>
      </c>
      <c r="P305" s="1035">
        <f>Q305*$D$8</f>
        <v>0</v>
      </c>
      <c r="Q305" s="1036"/>
      <c r="R305" s="1018"/>
      <c r="S305" s="1020">
        <f t="shared" si="263"/>
        <v>0</v>
      </c>
      <c r="T305" s="1034">
        <f t="shared" si="264"/>
        <v>1</v>
      </c>
      <c r="U305" s="1035"/>
      <c r="V305" s="1036">
        <v>0</v>
      </c>
      <c r="W305" s="1018"/>
      <c r="X305" s="1037">
        <f t="shared" si="265"/>
        <v>0</v>
      </c>
      <c r="Y305" s="1034">
        <f t="shared" si="266"/>
        <v>1</v>
      </c>
      <c r="Z305" s="1035">
        <f t="shared" si="267"/>
        <v>0</v>
      </c>
      <c r="AA305" s="1036">
        <v>0</v>
      </c>
      <c r="AB305" s="1018"/>
      <c r="AC305" s="1021">
        <f t="shared" si="268"/>
        <v>0</v>
      </c>
      <c r="AD305" s="1034">
        <f t="shared" si="269"/>
        <v>1</v>
      </c>
      <c r="AE305" s="1035">
        <f t="shared" si="270"/>
        <v>0</v>
      </c>
      <c r="AF305" s="1036">
        <v>0</v>
      </c>
      <c r="AG305" s="1018"/>
      <c r="AH305" s="1037">
        <f t="shared" si="271"/>
        <v>0</v>
      </c>
      <c r="AI305" s="1034">
        <f t="shared" si="272"/>
        <v>1</v>
      </c>
      <c r="AJ305" s="1035">
        <f t="shared" si="273"/>
        <v>0</v>
      </c>
      <c r="AK305" s="1036">
        <v>0</v>
      </c>
      <c r="AL305" s="1018"/>
      <c r="AM305" s="1021">
        <f t="shared" si="274"/>
        <v>0</v>
      </c>
      <c r="AN305" s="1034">
        <f t="shared" si="275"/>
        <v>1</v>
      </c>
      <c r="AO305" s="1035">
        <f t="shared" si="276"/>
        <v>0</v>
      </c>
      <c r="AP305" s="1036">
        <v>0</v>
      </c>
      <c r="AQ305" s="1018"/>
      <c r="AR305" s="1037">
        <f t="shared" si="277"/>
        <v>0</v>
      </c>
      <c r="AS305" s="1034">
        <f t="shared" si="278"/>
        <v>1</v>
      </c>
      <c r="AT305" s="1035">
        <f t="shared" si="279"/>
        <v>0</v>
      </c>
      <c r="AU305" s="1038">
        <v>0</v>
      </c>
      <c r="AV305" s="1018"/>
      <c r="AW305" s="1021">
        <f t="shared" si="280"/>
        <v>0</v>
      </c>
      <c r="AX305" s="1034">
        <f t="shared" si="281"/>
        <v>1</v>
      </c>
      <c r="AY305" s="1035">
        <f t="shared" si="282"/>
        <v>0</v>
      </c>
      <c r="AZ305" s="1036">
        <v>0</v>
      </c>
      <c r="BA305" s="1036"/>
      <c r="BB305" s="1021">
        <f t="shared" si="283"/>
        <v>0</v>
      </c>
      <c r="BC305" s="1034">
        <f t="shared" si="284"/>
        <v>1</v>
      </c>
      <c r="BD305" s="1035">
        <f t="shared" si="285"/>
        <v>0</v>
      </c>
      <c r="BE305" s="1038">
        <v>0</v>
      </c>
      <c r="BF305" s="1018"/>
      <c r="BG305" s="1021">
        <f t="shared" si="286"/>
        <v>0</v>
      </c>
      <c r="BH305" s="1039">
        <f t="shared" si="287"/>
        <v>0</v>
      </c>
      <c r="BI305" s="1038">
        <f t="shared" si="288"/>
        <v>0</v>
      </c>
      <c r="BJ305" s="1027">
        <f t="shared" ref="BJ305:BJ340" si="291">M305+W305+AG305+AQ305+BA305</f>
        <v>0</v>
      </c>
      <c r="BK305" s="1021">
        <f t="shared" ref="BK305:BK340" si="292">N305+X305+AH305+AR305+BB305</f>
        <v>0</v>
      </c>
      <c r="BL305" s="1040">
        <f t="shared" si="289"/>
        <v>0</v>
      </c>
      <c r="BM305" s="1038">
        <f t="shared" si="290"/>
        <v>0</v>
      </c>
      <c r="BN305" s="1027"/>
      <c r="BO305" s="1041"/>
      <c r="BP305" s="95">
        <f t="shared" si="247"/>
        <v>0</v>
      </c>
      <c r="BQ305" s="842">
        <f t="shared" si="248"/>
        <v>0</v>
      </c>
      <c r="BR305" s="803"/>
      <c r="BS305" s="94">
        <f t="shared" ref="BS305:BS340" si="293">I305</f>
        <v>0</v>
      </c>
      <c r="BU305" s="632">
        <f t="shared" ref="BU305:BU338" si="294">BP305/H305</f>
        <v>0</v>
      </c>
      <c r="BV305" s="804"/>
      <c r="BW305" s="805"/>
      <c r="BX305" s="803"/>
      <c r="CD305" s="806"/>
      <c r="CI305" s="807"/>
    </row>
    <row r="306" spans="1:87" ht="14.25" hidden="1" outlineLevel="1" thickTop="1" thickBot="1">
      <c r="A306" s="57"/>
      <c r="B306" s="92">
        <v>66</v>
      </c>
      <c r="C306" s="1029"/>
      <c r="D306" s="1031"/>
      <c r="E306" s="1030"/>
      <c r="F306" s="1031"/>
      <c r="G306" s="1029"/>
      <c r="H306" s="1032">
        <f t="shared" si="257"/>
        <v>1</v>
      </c>
      <c r="I306" s="1033"/>
      <c r="J306" s="1034">
        <f t="shared" si="258"/>
        <v>1</v>
      </c>
      <c r="K306" s="1035">
        <f t="shared" si="259"/>
        <v>0</v>
      </c>
      <c r="L306" s="1036"/>
      <c r="M306" s="1018"/>
      <c r="N306" s="1037">
        <f t="shared" si="260"/>
        <v>0</v>
      </c>
      <c r="O306" s="1034">
        <f t="shared" si="261"/>
        <v>1</v>
      </c>
      <c r="P306" s="1035">
        <f t="shared" ref="P306:P340" si="295">Q306*$D$8</f>
        <v>0</v>
      </c>
      <c r="Q306" s="1036"/>
      <c r="R306" s="1018"/>
      <c r="S306" s="1020">
        <f t="shared" si="263"/>
        <v>0</v>
      </c>
      <c r="T306" s="1034">
        <f t="shared" si="264"/>
        <v>1</v>
      </c>
      <c r="U306" s="1035"/>
      <c r="V306" s="1036">
        <v>0</v>
      </c>
      <c r="W306" s="1018"/>
      <c r="X306" s="1037">
        <f t="shared" si="265"/>
        <v>0</v>
      </c>
      <c r="Y306" s="1034">
        <f t="shared" si="266"/>
        <v>1</v>
      </c>
      <c r="Z306" s="1035">
        <f t="shared" si="267"/>
        <v>0</v>
      </c>
      <c r="AA306" s="1036">
        <v>0</v>
      </c>
      <c r="AB306" s="1018"/>
      <c r="AC306" s="1021">
        <f t="shared" si="268"/>
        <v>0</v>
      </c>
      <c r="AD306" s="1034">
        <f t="shared" si="269"/>
        <v>1</v>
      </c>
      <c r="AE306" s="1035">
        <f t="shared" si="270"/>
        <v>0</v>
      </c>
      <c r="AF306" s="1036">
        <v>0</v>
      </c>
      <c r="AG306" s="1018"/>
      <c r="AH306" s="1037">
        <f t="shared" si="271"/>
        <v>0</v>
      </c>
      <c r="AI306" s="1034">
        <f t="shared" si="272"/>
        <v>1</v>
      </c>
      <c r="AJ306" s="1035">
        <f t="shared" si="273"/>
        <v>0</v>
      </c>
      <c r="AK306" s="1036">
        <v>0</v>
      </c>
      <c r="AL306" s="1018"/>
      <c r="AM306" s="1021">
        <f t="shared" si="274"/>
        <v>0</v>
      </c>
      <c r="AN306" s="1034">
        <f t="shared" si="275"/>
        <v>1</v>
      </c>
      <c r="AO306" s="1035">
        <f t="shared" si="276"/>
        <v>0</v>
      </c>
      <c r="AP306" s="1036">
        <v>0</v>
      </c>
      <c r="AQ306" s="1018"/>
      <c r="AR306" s="1037">
        <f t="shared" si="277"/>
        <v>0</v>
      </c>
      <c r="AS306" s="1034">
        <f t="shared" si="278"/>
        <v>1</v>
      </c>
      <c r="AT306" s="1035">
        <f t="shared" si="279"/>
        <v>0</v>
      </c>
      <c r="AU306" s="1036">
        <v>0</v>
      </c>
      <c r="AV306" s="1018"/>
      <c r="AW306" s="1021">
        <f t="shared" si="280"/>
        <v>0</v>
      </c>
      <c r="AX306" s="1034">
        <f t="shared" si="281"/>
        <v>1</v>
      </c>
      <c r="AY306" s="1035">
        <f t="shared" si="282"/>
        <v>0</v>
      </c>
      <c r="AZ306" s="1036">
        <v>0</v>
      </c>
      <c r="BA306" s="1036"/>
      <c r="BB306" s="1021">
        <f t="shared" si="283"/>
        <v>0</v>
      </c>
      <c r="BC306" s="1034">
        <f t="shared" si="284"/>
        <v>1</v>
      </c>
      <c r="BD306" s="1035">
        <f t="shared" si="285"/>
        <v>0</v>
      </c>
      <c r="BE306" s="1038">
        <v>0</v>
      </c>
      <c r="BF306" s="1018"/>
      <c r="BG306" s="1021">
        <f t="shared" si="286"/>
        <v>0</v>
      </c>
      <c r="BH306" s="1039">
        <f t="shared" si="287"/>
        <v>0</v>
      </c>
      <c r="BI306" s="1038">
        <f t="shared" si="288"/>
        <v>0</v>
      </c>
      <c r="BJ306" s="1027">
        <f t="shared" si="291"/>
        <v>0</v>
      </c>
      <c r="BK306" s="1021">
        <f t="shared" si="292"/>
        <v>0</v>
      </c>
      <c r="BL306" s="1040">
        <f t="shared" si="289"/>
        <v>0</v>
      </c>
      <c r="BM306" s="1038">
        <f t="shared" si="290"/>
        <v>0</v>
      </c>
      <c r="BN306" s="1027"/>
      <c r="BO306" s="1041"/>
      <c r="BP306" s="95">
        <f t="shared" si="247"/>
        <v>0</v>
      </c>
      <c r="BQ306" s="842">
        <f t="shared" si="248"/>
        <v>0</v>
      </c>
      <c r="BS306" s="94">
        <f t="shared" si="293"/>
        <v>0</v>
      </c>
      <c r="BU306" s="632">
        <f t="shared" si="294"/>
        <v>0</v>
      </c>
      <c r="BV306" s="398"/>
      <c r="BW306" s="405"/>
      <c r="CI306" s="96"/>
    </row>
    <row r="307" spans="1:87" s="324" customFormat="1" ht="14.25" hidden="1" outlineLevel="1" thickTop="1" thickBot="1">
      <c r="B307" s="324">
        <v>67</v>
      </c>
      <c r="C307" s="1029"/>
      <c r="D307" s="1031"/>
      <c r="E307" s="1030"/>
      <c r="F307" s="1031"/>
      <c r="G307" s="1029"/>
      <c r="H307" s="1032">
        <f t="shared" si="257"/>
        <v>1</v>
      </c>
      <c r="I307" s="1033"/>
      <c r="J307" s="1034">
        <f t="shared" si="258"/>
        <v>1</v>
      </c>
      <c r="K307" s="1035">
        <f t="shared" si="259"/>
        <v>0</v>
      </c>
      <c r="L307" s="1036"/>
      <c r="M307" s="1018"/>
      <c r="N307" s="1037">
        <f t="shared" si="260"/>
        <v>0</v>
      </c>
      <c r="O307" s="1034">
        <f t="shared" si="261"/>
        <v>1</v>
      </c>
      <c r="P307" s="1035">
        <f t="shared" si="295"/>
        <v>0</v>
      </c>
      <c r="Q307" s="1036"/>
      <c r="R307" s="1018"/>
      <c r="S307" s="1020">
        <f t="shared" si="263"/>
        <v>0</v>
      </c>
      <c r="T307" s="1034">
        <f t="shared" si="264"/>
        <v>1</v>
      </c>
      <c r="U307" s="1035"/>
      <c r="V307" s="1036">
        <v>0</v>
      </c>
      <c r="W307" s="1018"/>
      <c r="X307" s="1037">
        <f t="shared" si="265"/>
        <v>0</v>
      </c>
      <c r="Y307" s="1034">
        <f t="shared" si="266"/>
        <v>1</v>
      </c>
      <c r="Z307" s="1035">
        <v>0</v>
      </c>
      <c r="AA307" s="1036">
        <v>0</v>
      </c>
      <c r="AB307" s="1018"/>
      <c r="AC307" s="1021">
        <f t="shared" si="268"/>
        <v>0</v>
      </c>
      <c r="AD307" s="1034">
        <f t="shared" si="269"/>
        <v>1</v>
      </c>
      <c r="AE307" s="1035">
        <f>AF307*$D$8</f>
        <v>0</v>
      </c>
      <c r="AF307" s="1036">
        <v>0</v>
      </c>
      <c r="AG307" s="1018"/>
      <c r="AH307" s="1037">
        <f t="shared" si="271"/>
        <v>0</v>
      </c>
      <c r="AI307" s="1034">
        <f t="shared" si="272"/>
        <v>1</v>
      </c>
      <c r="AJ307" s="1035">
        <f t="shared" si="273"/>
        <v>0</v>
      </c>
      <c r="AK307" s="1036">
        <v>0</v>
      </c>
      <c r="AL307" s="1018"/>
      <c r="AM307" s="1021">
        <f t="shared" si="274"/>
        <v>0</v>
      </c>
      <c r="AN307" s="1034">
        <f t="shared" si="275"/>
        <v>1</v>
      </c>
      <c r="AO307" s="1035">
        <f t="shared" si="276"/>
        <v>0</v>
      </c>
      <c r="AP307" s="1036">
        <v>0</v>
      </c>
      <c r="AQ307" s="1018"/>
      <c r="AR307" s="1037">
        <f t="shared" si="277"/>
        <v>0</v>
      </c>
      <c r="AS307" s="1034">
        <f t="shared" si="278"/>
        <v>1</v>
      </c>
      <c r="AT307" s="1035">
        <f t="shared" si="279"/>
        <v>0</v>
      </c>
      <c r="AU307" s="1038">
        <v>0</v>
      </c>
      <c r="AV307" s="1018"/>
      <c r="AW307" s="1021">
        <f t="shared" si="280"/>
        <v>0</v>
      </c>
      <c r="AX307" s="1034">
        <f t="shared" si="281"/>
        <v>1</v>
      </c>
      <c r="AY307" s="1035">
        <f t="shared" si="282"/>
        <v>0</v>
      </c>
      <c r="AZ307" s="1036">
        <v>0</v>
      </c>
      <c r="BA307" s="1036"/>
      <c r="BB307" s="1021">
        <f t="shared" si="283"/>
        <v>0</v>
      </c>
      <c r="BC307" s="1034">
        <f t="shared" si="284"/>
        <v>1</v>
      </c>
      <c r="BD307" s="1035">
        <f t="shared" si="285"/>
        <v>0</v>
      </c>
      <c r="BE307" s="1038">
        <v>0</v>
      </c>
      <c r="BF307" s="1018"/>
      <c r="BG307" s="1021">
        <f t="shared" si="286"/>
        <v>0</v>
      </c>
      <c r="BH307" s="1039">
        <f t="shared" si="287"/>
        <v>0</v>
      </c>
      <c r="BI307" s="1038">
        <f t="shared" si="288"/>
        <v>0</v>
      </c>
      <c r="BJ307" s="1027">
        <f t="shared" si="291"/>
        <v>0</v>
      </c>
      <c r="BK307" s="1021">
        <f t="shared" si="292"/>
        <v>0</v>
      </c>
      <c r="BL307" s="1040">
        <f t="shared" si="289"/>
        <v>0</v>
      </c>
      <c r="BM307" s="1038">
        <f t="shared" si="290"/>
        <v>0</v>
      </c>
      <c r="BN307" s="1027"/>
      <c r="BO307" s="1041"/>
      <c r="BP307" s="95">
        <f t="shared" si="247"/>
        <v>0</v>
      </c>
      <c r="BQ307" s="842">
        <f t="shared" si="248"/>
        <v>0</v>
      </c>
      <c r="BR307" s="692"/>
      <c r="BS307" s="94">
        <f t="shared" si="293"/>
        <v>0</v>
      </c>
      <c r="BU307" s="632">
        <f t="shared" si="294"/>
        <v>0</v>
      </c>
      <c r="BV307" s="806"/>
      <c r="BW307" s="843"/>
      <c r="BX307" s="692"/>
      <c r="CD307" s="806"/>
      <c r="CI307" s="807"/>
    </row>
    <row r="308" spans="1:87" s="795" customFormat="1" ht="14.25" hidden="1" outlineLevel="1" thickTop="1" thickBot="1">
      <c r="A308" s="794"/>
      <c r="B308" s="92">
        <v>68</v>
      </c>
      <c r="C308" s="1029"/>
      <c r="D308" s="1031"/>
      <c r="E308" s="1030"/>
      <c r="F308" s="1031"/>
      <c r="G308" s="1029"/>
      <c r="H308" s="1032">
        <f t="shared" si="257"/>
        <v>1</v>
      </c>
      <c r="I308" s="1033"/>
      <c r="J308" s="1034">
        <f t="shared" si="258"/>
        <v>1</v>
      </c>
      <c r="K308" s="1035">
        <f t="shared" si="259"/>
        <v>0</v>
      </c>
      <c r="L308" s="1036"/>
      <c r="M308" s="1018"/>
      <c r="N308" s="1037">
        <f t="shared" si="260"/>
        <v>0</v>
      </c>
      <c r="O308" s="1034">
        <f t="shared" si="261"/>
        <v>1</v>
      </c>
      <c r="P308" s="1035">
        <f t="shared" si="295"/>
        <v>0</v>
      </c>
      <c r="Q308" s="1036"/>
      <c r="R308" s="1018"/>
      <c r="S308" s="1020">
        <f t="shared" si="263"/>
        <v>0</v>
      </c>
      <c r="T308" s="1034">
        <f t="shared" si="264"/>
        <v>1</v>
      </c>
      <c r="U308" s="1035"/>
      <c r="V308" s="1036">
        <v>0</v>
      </c>
      <c r="W308" s="1018"/>
      <c r="X308" s="1037">
        <f t="shared" si="265"/>
        <v>0</v>
      </c>
      <c r="Y308" s="1034">
        <f t="shared" si="266"/>
        <v>1</v>
      </c>
      <c r="Z308" s="1035">
        <v>0</v>
      </c>
      <c r="AA308" s="1036">
        <v>0</v>
      </c>
      <c r="AB308" s="1018"/>
      <c r="AC308" s="1021">
        <f t="shared" si="268"/>
        <v>0</v>
      </c>
      <c r="AD308" s="1034">
        <f t="shared" si="269"/>
        <v>1</v>
      </c>
      <c r="AE308" s="1035">
        <f>AF308*$D$8</f>
        <v>0</v>
      </c>
      <c r="AF308" s="1036">
        <v>0</v>
      </c>
      <c r="AG308" s="1018"/>
      <c r="AH308" s="1037">
        <f t="shared" si="271"/>
        <v>0</v>
      </c>
      <c r="AI308" s="1034">
        <f t="shared" si="272"/>
        <v>1</v>
      </c>
      <c r="AJ308" s="1035">
        <f t="shared" si="273"/>
        <v>0</v>
      </c>
      <c r="AK308" s="1036">
        <v>0</v>
      </c>
      <c r="AL308" s="1018"/>
      <c r="AM308" s="1021">
        <f t="shared" si="274"/>
        <v>0</v>
      </c>
      <c r="AN308" s="1034">
        <f t="shared" si="275"/>
        <v>1</v>
      </c>
      <c r="AO308" s="1035">
        <f t="shared" si="276"/>
        <v>0</v>
      </c>
      <c r="AP308" s="1036">
        <v>0</v>
      </c>
      <c r="AQ308" s="1018"/>
      <c r="AR308" s="1037">
        <f t="shared" si="277"/>
        <v>0</v>
      </c>
      <c r="AS308" s="1034">
        <f t="shared" si="278"/>
        <v>1</v>
      </c>
      <c r="AT308" s="1035">
        <f t="shared" si="279"/>
        <v>0</v>
      </c>
      <c r="AU308" s="1036">
        <v>0</v>
      </c>
      <c r="AV308" s="1018"/>
      <c r="AW308" s="1021">
        <f t="shared" si="280"/>
        <v>0</v>
      </c>
      <c r="AX308" s="1034">
        <f t="shared" si="281"/>
        <v>1</v>
      </c>
      <c r="AY308" s="1035">
        <f t="shared" si="282"/>
        <v>0</v>
      </c>
      <c r="AZ308" s="1036">
        <v>0</v>
      </c>
      <c r="BA308" s="1036"/>
      <c r="BB308" s="1021">
        <f t="shared" si="283"/>
        <v>0</v>
      </c>
      <c r="BC308" s="1034">
        <f t="shared" si="284"/>
        <v>1</v>
      </c>
      <c r="BD308" s="1035">
        <f t="shared" si="285"/>
        <v>0</v>
      </c>
      <c r="BE308" s="1038">
        <v>0</v>
      </c>
      <c r="BF308" s="1018"/>
      <c r="BG308" s="1021">
        <f t="shared" si="286"/>
        <v>0</v>
      </c>
      <c r="BH308" s="1039">
        <f t="shared" si="287"/>
        <v>0</v>
      </c>
      <c r="BI308" s="1038">
        <f t="shared" si="288"/>
        <v>0</v>
      </c>
      <c r="BJ308" s="1027">
        <f t="shared" si="291"/>
        <v>0</v>
      </c>
      <c r="BK308" s="1021">
        <f t="shared" si="292"/>
        <v>0</v>
      </c>
      <c r="BL308" s="1040">
        <f t="shared" si="289"/>
        <v>0</v>
      </c>
      <c r="BM308" s="1038">
        <f t="shared" si="290"/>
        <v>0</v>
      </c>
      <c r="BN308" s="1027"/>
      <c r="BO308" s="1041"/>
      <c r="BP308" s="95">
        <f t="shared" si="247"/>
        <v>0</v>
      </c>
      <c r="BQ308" s="842">
        <f t="shared" si="248"/>
        <v>0</v>
      </c>
      <c r="BR308" s="323"/>
      <c r="BS308" s="94">
        <f t="shared" si="293"/>
        <v>0</v>
      </c>
      <c r="BU308" s="632">
        <f t="shared" si="294"/>
        <v>0</v>
      </c>
      <c r="BV308" s="398"/>
      <c r="BW308" s="737"/>
      <c r="BX308" s="323"/>
      <c r="CD308" s="398"/>
      <c r="CI308" s="796"/>
    </row>
    <row r="309" spans="1:87" s="795" customFormat="1" ht="14.25" hidden="1" outlineLevel="1" thickTop="1" thickBot="1">
      <c r="A309" s="794"/>
      <c r="B309" s="92">
        <v>69</v>
      </c>
      <c r="C309" s="1029"/>
      <c r="D309" s="1031"/>
      <c r="E309" s="1030"/>
      <c r="F309" s="1031"/>
      <c r="G309" s="1029"/>
      <c r="H309" s="1032">
        <f t="shared" si="257"/>
        <v>1</v>
      </c>
      <c r="I309" s="1033"/>
      <c r="J309" s="1034">
        <f t="shared" si="258"/>
        <v>1</v>
      </c>
      <c r="K309" s="1035">
        <f t="shared" si="259"/>
        <v>0</v>
      </c>
      <c r="L309" s="1036"/>
      <c r="M309" s="1018"/>
      <c r="N309" s="1037">
        <f t="shared" si="260"/>
        <v>0</v>
      </c>
      <c r="O309" s="1034">
        <f t="shared" si="261"/>
        <v>1</v>
      </c>
      <c r="P309" s="1035">
        <f t="shared" si="295"/>
        <v>0</v>
      </c>
      <c r="Q309" s="1036"/>
      <c r="R309" s="1018"/>
      <c r="S309" s="1020">
        <f t="shared" si="263"/>
        <v>0</v>
      </c>
      <c r="T309" s="1034">
        <f t="shared" si="264"/>
        <v>1</v>
      </c>
      <c r="U309" s="1035"/>
      <c r="V309" s="1036">
        <v>0</v>
      </c>
      <c r="W309" s="1018"/>
      <c r="X309" s="1037">
        <f t="shared" si="265"/>
        <v>0</v>
      </c>
      <c r="Y309" s="1034">
        <f t="shared" si="266"/>
        <v>1</v>
      </c>
      <c r="Z309" s="1035">
        <v>0</v>
      </c>
      <c r="AA309" s="1036">
        <v>0</v>
      </c>
      <c r="AB309" s="1018"/>
      <c r="AC309" s="1021">
        <f t="shared" si="268"/>
        <v>0</v>
      </c>
      <c r="AD309" s="1034">
        <f t="shared" si="269"/>
        <v>1</v>
      </c>
      <c r="AE309" s="1035">
        <f>AF309*$D$8</f>
        <v>0</v>
      </c>
      <c r="AF309" s="1036">
        <v>0</v>
      </c>
      <c r="AG309" s="1018"/>
      <c r="AH309" s="1037">
        <f t="shared" si="271"/>
        <v>0</v>
      </c>
      <c r="AI309" s="1034">
        <f t="shared" si="272"/>
        <v>1</v>
      </c>
      <c r="AJ309" s="1035">
        <f t="shared" si="273"/>
        <v>0</v>
      </c>
      <c r="AK309" s="1036">
        <v>0</v>
      </c>
      <c r="AL309" s="1018"/>
      <c r="AM309" s="1021">
        <f t="shared" si="274"/>
        <v>0</v>
      </c>
      <c r="AN309" s="1034">
        <f t="shared" si="275"/>
        <v>1</v>
      </c>
      <c r="AO309" s="1035">
        <f t="shared" si="276"/>
        <v>0</v>
      </c>
      <c r="AP309" s="1036">
        <v>0</v>
      </c>
      <c r="AQ309" s="1018"/>
      <c r="AR309" s="1037">
        <f t="shared" si="277"/>
        <v>0</v>
      </c>
      <c r="AS309" s="1034">
        <f t="shared" si="278"/>
        <v>1</v>
      </c>
      <c r="AT309" s="1035">
        <f t="shared" si="279"/>
        <v>0</v>
      </c>
      <c r="AU309" s="1038">
        <v>0</v>
      </c>
      <c r="AV309" s="1018"/>
      <c r="AW309" s="1021">
        <f t="shared" si="280"/>
        <v>0</v>
      </c>
      <c r="AX309" s="1034">
        <f t="shared" si="281"/>
        <v>1</v>
      </c>
      <c r="AY309" s="1035">
        <f t="shared" si="282"/>
        <v>0</v>
      </c>
      <c r="AZ309" s="1036">
        <v>0</v>
      </c>
      <c r="BA309" s="1036"/>
      <c r="BB309" s="1021">
        <f t="shared" si="283"/>
        <v>0</v>
      </c>
      <c r="BC309" s="1034">
        <f t="shared" si="284"/>
        <v>1</v>
      </c>
      <c r="BD309" s="1035">
        <f t="shared" si="285"/>
        <v>0</v>
      </c>
      <c r="BE309" s="1038">
        <v>0</v>
      </c>
      <c r="BF309" s="1018"/>
      <c r="BG309" s="1021">
        <f t="shared" si="286"/>
        <v>0</v>
      </c>
      <c r="BH309" s="1039">
        <f t="shared" si="287"/>
        <v>0</v>
      </c>
      <c r="BI309" s="1038">
        <f t="shared" si="288"/>
        <v>0</v>
      </c>
      <c r="BJ309" s="1027">
        <f t="shared" si="291"/>
        <v>0</v>
      </c>
      <c r="BK309" s="1021">
        <f t="shared" si="292"/>
        <v>0</v>
      </c>
      <c r="BL309" s="1040">
        <f t="shared" si="289"/>
        <v>0</v>
      </c>
      <c r="BM309" s="1038">
        <f t="shared" si="290"/>
        <v>0</v>
      </c>
      <c r="BN309" s="1027"/>
      <c r="BO309" s="1041"/>
      <c r="BP309" s="95">
        <f t="shared" ref="BP309:BP323" si="296">SUM(BH309,BL309)</f>
        <v>0</v>
      </c>
      <c r="BQ309" s="842">
        <f t="shared" ref="BQ309:BQ323" si="297">BI309+BM309</f>
        <v>0</v>
      </c>
      <c r="BR309" s="323"/>
      <c r="BS309" s="94">
        <f t="shared" si="293"/>
        <v>0</v>
      </c>
      <c r="BU309" s="632">
        <f t="shared" si="294"/>
        <v>0</v>
      </c>
      <c r="BV309" s="398"/>
      <c r="BW309" s="737"/>
      <c r="BX309" s="323"/>
      <c r="CD309" s="398"/>
      <c r="CI309" s="796"/>
    </row>
    <row r="310" spans="1:87" s="795" customFormat="1" ht="14.25" hidden="1" outlineLevel="1" thickTop="1" thickBot="1">
      <c r="A310" s="794"/>
      <c r="B310" s="92">
        <v>70</v>
      </c>
      <c r="C310" s="1029"/>
      <c r="D310" s="1031"/>
      <c r="E310" s="1030"/>
      <c r="F310" s="1031"/>
      <c r="G310" s="1029"/>
      <c r="H310" s="1032">
        <f t="shared" si="257"/>
        <v>1</v>
      </c>
      <c r="I310" s="1033"/>
      <c r="J310" s="1034">
        <f t="shared" si="258"/>
        <v>1</v>
      </c>
      <c r="K310" s="1035">
        <f t="shared" si="259"/>
        <v>0</v>
      </c>
      <c r="L310" s="1036"/>
      <c r="M310" s="1018"/>
      <c r="N310" s="1037">
        <f t="shared" si="260"/>
        <v>0</v>
      </c>
      <c r="O310" s="1034">
        <f t="shared" si="261"/>
        <v>1</v>
      </c>
      <c r="P310" s="1035">
        <f t="shared" si="295"/>
        <v>0</v>
      </c>
      <c r="Q310" s="1036"/>
      <c r="R310" s="1018"/>
      <c r="S310" s="1020">
        <f t="shared" si="263"/>
        <v>0</v>
      </c>
      <c r="T310" s="1034">
        <f t="shared" si="264"/>
        <v>1</v>
      </c>
      <c r="U310" s="1035"/>
      <c r="V310" s="1036">
        <v>0</v>
      </c>
      <c r="W310" s="1018"/>
      <c r="X310" s="1037">
        <f t="shared" si="265"/>
        <v>0</v>
      </c>
      <c r="Y310" s="1034">
        <f t="shared" si="266"/>
        <v>1</v>
      </c>
      <c r="Z310" s="1035">
        <f t="shared" ref="Z310:Z340" si="298">AA310*$D$8</f>
        <v>0</v>
      </c>
      <c r="AA310" s="1036">
        <v>0</v>
      </c>
      <c r="AB310" s="1018"/>
      <c r="AC310" s="1021">
        <f t="shared" si="268"/>
        <v>0</v>
      </c>
      <c r="AD310" s="1034">
        <f t="shared" si="269"/>
        <v>1</v>
      </c>
      <c r="AE310" s="1035">
        <f>AF310*$D$8</f>
        <v>0</v>
      </c>
      <c r="AF310" s="1036">
        <v>0</v>
      </c>
      <c r="AG310" s="1018"/>
      <c r="AH310" s="1037">
        <f t="shared" si="271"/>
        <v>0</v>
      </c>
      <c r="AI310" s="1034">
        <f t="shared" si="272"/>
        <v>1</v>
      </c>
      <c r="AJ310" s="1035">
        <f t="shared" si="273"/>
        <v>0</v>
      </c>
      <c r="AK310" s="1036">
        <v>0</v>
      </c>
      <c r="AL310" s="1018"/>
      <c r="AM310" s="1021">
        <f t="shared" si="274"/>
        <v>0</v>
      </c>
      <c r="AN310" s="1034">
        <f t="shared" si="275"/>
        <v>1</v>
      </c>
      <c r="AO310" s="1035">
        <f t="shared" si="276"/>
        <v>0</v>
      </c>
      <c r="AP310" s="1036">
        <v>0</v>
      </c>
      <c r="AQ310" s="1018"/>
      <c r="AR310" s="1037">
        <f t="shared" si="277"/>
        <v>0</v>
      </c>
      <c r="AS310" s="1034">
        <f t="shared" si="278"/>
        <v>1</v>
      </c>
      <c r="AT310" s="1035">
        <f t="shared" si="279"/>
        <v>0</v>
      </c>
      <c r="AU310" s="1036">
        <v>0</v>
      </c>
      <c r="AV310" s="1018"/>
      <c r="AW310" s="1021">
        <f t="shared" si="280"/>
        <v>0</v>
      </c>
      <c r="AX310" s="1034">
        <f t="shared" si="281"/>
        <v>1</v>
      </c>
      <c r="AY310" s="1035">
        <f t="shared" si="282"/>
        <v>0</v>
      </c>
      <c r="AZ310" s="1036">
        <v>0</v>
      </c>
      <c r="BA310" s="1036"/>
      <c r="BB310" s="1021">
        <f t="shared" si="283"/>
        <v>0</v>
      </c>
      <c r="BC310" s="1034">
        <f t="shared" si="284"/>
        <v>1</v>
      </c>
      <c r="BD310" s="1035">
        <f t="shared" si="285"/>
        <v>0</v>
      </c>
      <c r="BE310" s="1038">
        <v>0</v>
      </c>
      <c r="BF310" s="1018"/>
      <c r="BG310" s="1021">
        <f t="shared" si="286"/>
        <v>0</v>
      </c>
      <c r="BH310" s="1039">
        <f t="shared" si="287"/>
        <v>0</v>
      </c>
      <c r="BI310" s="1038">
        <f t="shared" si="288"/>
        <v>0</v>
      </c>
      <c r="BJ310" s="1027">
        <f t="shared" si="291"/>
        <v>0</v>
      </c>
      <c r="BK310" s="1021">
        <f t="shared" si="292"/>
        <v>0</v>
      </c>
      <c r="BL310" s="1040">
        <f t="shared" si="289"/>
        <v>0</v>
      </c>
      <c r="BM310" s="1038">
        <f t="shared" si="290"/>
        <v>0</v>
      </c>
      <c r="BN310" s="1027"/>
      <c r="BO310" s="1041"/>
      <c r="BP310" s="95">
        <f t="shared" si="296"/>
        <v>0</v>
      </c>
      <c r="BQ310" s="842">
        <f t="shared" si="297"/>
        <v>0</v>
      </c>
      <c r="BR310" s="323"/>
      <c r="BS310" s="94">
        <f t="shared" si="293"/>
        <v>0</v>
      </c>
      <c r="BU310" s="632">
        <f t="shared" si="294"/>
        <v>0</v>
      </c>
      <c r="BV310" s="398"/>
      <c r="BW310" s="737"/>
      <c r="BX310" s="323"/>
      <c r="CD310" s="398"/>
      <c r="CI310" s="796"/>
    </row>
    <row r="311" spans="1:87" s="795" customFormat="1" ht="14.25" hidden="1" outlineLevel="1" thickTop="1" thickBot="1">
      <c r="A311" s="794"/>
      <c r="B311" s="92">
        <v>71</v>
      </c>
      <c r="C311" s="1029"/>
      <c r="D311" s="1031"/>
      <c r="E311" s="1030"/>
      <c r="F311" s="1031"/>
      <c r="G311" s="1029"/>
      <c r="H311" s="1032">
        <f t="shared" si="257"/>
        <v>1</v>
      </c>
      <c r="I311" s="1033"/>
      <c r="J311" s="1034">
        <f t="shared" si="258"/>
        <v>1</v>
      </c>
      <c r="K311" s="1035">
        <f t="shared" si="259"/>
        <v>0</v>
      </c>
      <c r="L311" s="1036"/>
      <c r="M311" s="1018"/>
      <c r="N311" s="1037">
        <f t="shared" si="260"/>
        <v>0</v>
      </c>
      <c r="O311" s="1034">
        <f t="shared" si="261"/>
        <v>1</v>
      </c>
      <c r="P311" s="1035">
        <f t="shared" si="295"/>
        <v>0</v>
      </c>
      <c r="Q311" s="1036"/>
      <c r="R311" s="1018"/>
      <c r="S311" s="1020">
        <f t="shared" si="263"/>
        <v>0</v>
      </c>
      <c r="T311" s="1034">
        <f t="shared" si="264"/>
        <v>1</v>
      </c>
      <c r="U311" s="1035"/>
      <c r="V311" s="1036">
        <v>0</v>
      </c>
      <c r="W311" s="1018"/>
      <c r="X311" s="1037">
        <f t="shared" si="265"/>
        <v>0</v>
      </c>
      <c r="Y311" s="1034">
        <f t="shared" si="266"/>
        <v>1</v>
      </c>
      <c r="Z311" s="1035">
        <f t="shared" si="298"/>
        <v>0</v>
      </c>
      <c r="AA311" s="1036">
        <v>0</v>
      </c>
      <c r="AB311" s="1018"/>
      <c r="AC311" s="1021">
        <f t="shared" si="268"/>
        <v>0</v>
      </c>
      <c r="AD311" s="1034">
        <f t="shared" si="269"/>
        <v>1</v>
      </c>
      <c r="AE311" s="1035">
        <f>AF311*$D$8</f>
        <v>0</v>
      </c>
      <c r="AF311" s="1036">
        <v>0</v>
      </c>
      <c r="AG311" s="1018"/>
      <c r="AH311" s="1037">
        <f t="shared" si="271"/>
        <v>0</v>
      </c>
      <c r="AI311" s="1034">
        <f t="shared" si="272"/>
        <v>1</v>
      </c>
      <c r="AJ311" s="1035">
        <f t="shared" si="273"/>
        <v>0</v>
      </c>
      <c r="AK311" s="1036">
        <v>0</v>
      </c>
      <c r="AL311" s="1018"/>
      <c r="AM311" s="1021">
        <f t="shared" si="274"/>
        <v>0</v>
      </c>
      <c r="AN311" s="1034">
        <f t="shared" si="275"/>
        <v>1</v>
      </c>
      <c r="AO311" s="1035">
        <f t="shared" si="276"/>
        <v>0</v>
      </c>
      <c r="AP311" s="1036">
        <v>0</v>
      </c>
      <c r="AQ311" s="1018"/>
      <c r="AR311" s="1037">
        <f t="shared" si="277"/>
        <v>0</v>
      </c>
      <c r="AS311" s="1034">
        <f t="shared" si="278"/>
        <v>1</v>
      </c>
      <c r="AT311" s="1035">
        <f t="shared" si="279"/>
        <v>0</v>
      </c>
      <c r="AU311" s="1038">
        <v>0</v>
      </c>
      <c r="AV311" s="1018"/>
      <c r="AW311" s="1021">
        <f t="shared" si="280"/>
        <v>0</v>
      </c>
      <c r="AX311" s="1034">
        <f t="shared" si="281"/>
        <v>1</v>
      </c>
      <c r="AY311" s="1035">
        <f t="shared" si="282"/>
        <v>0</v>
      </c>
      <c r="AZ311" s="1036">
        <v>0</v>
      </c>
      <c r="BA311" s="1036"/>
      <c r="BB311" s="1021">
        <f t="shared" si="283"/>
        <v>0</v>
      </c>
      <c r="BC311" s="1034">
        <f t="shared" si="284"/>
        <v>1</v>
      </c>
      <c r="BD311" s="1035">
        <f t="shared" si="285"/>
        <v>0</v>
      </c>
      <c r="BE311" s="1038">
        <v>0</v>
      </c>
      <c r="BF311" s="1018"/>
      <c r="BG311" s="1021">
        <f t="shared" si="286"/>
        <v>0</v>
      </c>
      <c r="BH311" s="1039">
        <f t="shared" si="287"/>
        <v>0</v>
      </c>
      <c r="BI311" s="1038">
        <f t="shared" si="288"/>
        <v>0</v>
      </c>
      <c r="BJ311" s="1027">
        <f t="shared" si="291"/>
        <v>0</v>
      </c>
      <c r="BK311" s="1021">
        <f t="shared" si="292"/>
        <v>0</v>
      </c>
      <c r="BL311" s="1040">
        <f t="shared" si="289"/>
        <v>0</v>
      </c>
      <c r="BM311" s="1038">
        <f t="shared" si="290"/>
        <v>0</v>
      </c>
      <c r="BN311" s="1027"/>
      <c r="BO311" s="1041"/>
      <c r="BP311" s="95">
        <f t="shared" si="296"/>
        <v>0</v>
      </c>
      <c r="BQ311" s="842">
        <f t="shared" si="297"/>
        <v>0</v>
      </c>
      <c r="BR311" s="323"/>
      <c r="BS311" s="94">
        <f t="shared" si="293"/>
        <v>0</v>
      </c>
      <c r="BU311" s="632">
        <f t="shared" si="294"/>
        <v>0</v>
      </c>
      <c r="BV311" s="398"/>
      <c r="BW311" s="737"/>
      <c r="BX311" s="323"/>
      <c r="CD311" s="398"/>
      <c r="CI311" s="796"/>
    </row>
    <row r="312" spans="1:87" s="795" customFormat="1" ht="14.25" hidden="1" outlineLevel="1" thickTop="1" thickBot="1">
      <c r="A312" s="794"/>
      <c r="B312" s="92">
        <v>72</v>
      </c>
      <c r="C312" s="1029"/>
      <c r="D312" s="1031"/>
      <c r="E312" s="1030"/>
      <c r="F312" s="1031"/>
      <c r="G312" s="1029"/>
      <c r="H312" s="1032">
        <f t="shared" si="257"/>
        <v>1</v>
      </c>
      <c r="I312" s="1033"/>
      <c r="J312" s="1034">
        <f t="shared" si="258"/>
        <v>1</v>
      </c>
      <c r="K312" s="1035">
        <f t="shared" si="259"/>
        <v>0</v>
      </c>
      <c r="L312" s="1036"/>
      <c r="M312" s="1018"/>
      <c r="N312" s="1037">
        <f t="shared" si="260"/>
        <v>0</v>
      </c>
      <c r="O312" s="1034">
        <f t="shared" si="261"/>
        <v>1</v>
      </c>
      <c r="P312" s="1035">
        <f t="shared" si="295"/>
        <v>0</v>
      </c>
      <c r="Q312" s="1036"/>
      <c r="R312" s="1018"/>
      <c r="S312" s="1020">
        <f t="shared" si="263"/>
        <v>0</v>
      </c>
      <c r="T312" s="1034">
        <f t="shared" si="264"/>
        <v>1</v>
      </c>
      <c r="U312" s="1035"/>
      <c r="V312" s="1036">
        <v>0</v>
      </c>
      <c r="W312" s="1018"/>
      <c r="X312" s="1037">
        <f t="shared" si="265"/>
        <v>0</v>
      </c>
      <c r="Y312" s="1034">
        <f t="shared" si="266"/>
        <v>1</v>
      </c>
      <c r="Z312" s="1035">
        <f t="shared" si="298"/>
        <v>0</v>
      </c>
      <c r="AA312" s="1036">
        <v>0</v>
      </c>
      <c r="AB312" s="1018"/>
      <c r="AC312" s="1021">
        <f t="shared" si="268"/>
        <v>0</v>
      </c>
      <c r="AD312" s="1034">
        <f t="shared" si="269"/>
        <v>1</v>
      </c>
      <c r="AE312" s="1035">
        <f t="shared" ref="AE312:AE340" si="299">AF312*$D$8</f>
        <v>0</v>
      </c>
      <c r="AF312" s="1036">
        <v>0</v>
      </c>
      <c r="AG312" s="1018"/>
      <c r="AH312" s="1037">
        <f t="shared" si="271"/>
        <v>0</v>
      </c>
      <c r="AI312" s="1034">
        <f t="shared" si="272"/>
        <v>1</v>
      </c>
      <c r="AJ312" s="1035">
        <f t="shared" si="273"/>
        <v>0</v>
      </c>
      <c r="AK312" s="1036">
        <v>0</v>
      </c>
      <c r="AL312" s="1018"/>
      <c r="AM312" s="1021">
        <f t="shared" si="274"/>
        <v>0</v>
      </c>
      <c r="AN312" s="1034">
        <f t="shared" si="275"/>
        <v>1</v>
      </c>
      <c r="AO312" s="1035">
        <f t="shared" si="276"/>
        <v>0</v>
      </c>
      <c r="AP312" s="1036">
        <v>0</v>
      </c>
      <c r="AQ312" s="1018"/>
      <c r="AR312" s="1037">
        <f t="shared" si="277"/>
        <v>0</v>
      </c>
      <c r="AS312" s="1034">
        <f t="shared" si="278"/>
        <v>1</v>
      </c>
      <c r="AT312" s="1035">
        <f t="shared" si="279"/>
        <v>0</v>
      </c>
      <c r="AU312" s="1036">
        <v>0</v>
      </c>
      <c r="AV312" s="1018"/>
      <c r="AW312" s="1021">
        <f t="shared" si="280"/>
        <v>0</v>
      </c>
      <c r="AX312" s="1034">
        <f t="shared" si="281"/>
        <v>1</v>
      </c>
      <c r="AY312" s="1035">
        <f t="shared" si="282"/>
        <v>0</v>
      </c>
      <c r="AZ312" s="1036">
        <v>0</v>
      </c>
      <c r="BA312" s="1036"/>
      <c r="BB312" s="1021">
        <f t="shared" si="283"/>
        <v>0</v>
      </c>
      <c r="BC312" s="1034">
        <f t="shared" si="284"/>
        <v>1</v>
      </c>
      <c r="BD312" s="1035">
        <f t="shared" si="285"/>
        <v>0</v>
      </c>
      <c r="BE312" s="1038">
        <v>0</v>
      </c>
      <c r="BF312" s="1018"/>
      <c r="BG312" s="1021">
        <f t="shared" si="286"/>
        <v>0</v>
      </c>
      <c r="BH312" s="1039">
        <f t="shared" si="287"/>
        <v>0</v>
      </c>
      <c r="BI312" s="1038">
        <f t="shared" si="288"/>
        <v>0</v>
      </c>
      <c r="BJ312" s="1027">
        <f t="shared" si="291"/>
        <v>0</v>
      </c>
      <c r="BK312" s="1021">
        <f t="shared" si="292"/>
        <v>0</v>
      </c>
      <c r="BL312" s="1040">
        <f t="shared" si="289"/>
        <v>0</v>
      </c>
      <c r="BM312" s="1038">
        <f t="shared" si="290"/>
        <v>0</v>
      </c>
      <c r="BN312" s="1027"/>
      <c r="BO312" s="1041"/>
      <c r="BP312" s="95">
        <f t="shared" si="296"/>
        <v>0</v>
      </c>
      <c r="BQ312" s="842">
        <f t="shared" si="297"/>
        <v>0</v>
      </c>
      <c r="BR312" s="323"/>
      <c r="BS312" s="94">
        <f t="shared" si="293"/>
        <v>0</v>
      </c>
      <c r="BU312" s="632">
        <f t="shared" si="294"/>
        <v>0</v>
      </c>
      <c r="BV312" s="398"/>
      <c r="BW312" s="737"/>
      <c r="BX312" s="323"/>
      <c r="CD312" s="398"/>
      <c r="CI312" s="796"/>
    </row>
    <row r="313" spans="1:87" s="795" customFormat="1" ht="14.25" hidden="1" outlineLevel="1" thickTop="1" thickBot="1">
      <c r="A313" s="794"/>
      <c r="B313" s="92">
        <v>73</v>
      </c>
      <c r="C313" s="1029"/>
      <c r="D313" s="1031"/>
      <c r="E313" s="1030"/>
      <c r="F313" s="1031"/>
      <c r="G313" s="1029"/>
      <c r="H313" s="1032">
        <f t="shared" si="257"/>
        <v>1</v>
      </c>
      <c r="I313" s="1033"/>
      <c r="J313" s="1034">
        <f t="shared" si="258"/>
        <v>1</v>
      </c>
      <c r="K313" s="1035">
        <f t="shared" si="259"/>
        <v>0</v>
      </c>
      <c r="L313" s="1036"/>
      <c r="M313" s="1018"/>
      <c r="N313" s="1037">
        <f t="shared" si="260"/>
        <v>0</v>
      </c>
      <c r="O313" s="1034">
        <f t="shared" si="261"/>
        <v>1</v>
      </c>
      <c r="P313" s="1035">
        <f t="shared" si="295"/>
        <v>0</v>
      </c>
      <c r="Q313" s="1036"/>
      <c r="R313" s="1018"/>
      <c r="S313" s="1020">
        <f t="shared" si="263"/>
        <v>0</v>
      </c>
      <c r="T313" s="1034">
        <f t="shared" si="264"/>
        <v>1</v>
      </c>
      <c r="U313" s="1035"/>
      <c r="V313" s="1036">
        <v>0</v>
      </c>
      <c r="W313" s="1018"/>
      <c r="X313" s="1037">
        <f t="shared" si="265"/>
        <v>0</v>
      </c>
      <c r="Y313" s="1034">
        <f t="shared" si="266"/>
        <v>1</v>
      </c>
      <c r="Z313" s="1035">
        <f t="shared" si="298"/>
        <v>0</v>
      </c>
      <c r="AA313" s="1036">
        <v>0</v>
      </c>
      <c r="AB313" s="1018"/>
      <c r="AC313" s="1021">
        <f t="shared" si="268"/>
        <v>0</v>
      </c>
      <c r="AD313" s="1034">
        <f t="shared" si="269"/>
        <v>1</v>
      </c>
      <c r="AE313" s="1035">
        <f t="shared" si="299"/>
        <v>0</v>
      </c>
      <c r="AF313" s="1036">
        <v>0</v>
      </c>
      <c r="AG313" s="1018"/>
      <c r="AH313" s="1037">
        <f t="shared" si="271"/>
        <v>0</v>
      </c>
      <c r="AI313" s="1034">
        <f t="shared" si="272"/>
        <v>1</v>
      </c>
      <c r="AJ313" s="1035">
        <f t="shared" si="273"/>
        <v>0</v>
      </c>
      <c r="AK313" s="1036">
        <v>0</v>
      </c>
      <c r="AL313" s="1018"/>
      <c r="AM313" s="1021">
        <f t="shared" si="274"/>
        <v>0</v>
      </c>
      <c r="AN313" s="1034">
        <f t="shared" si="275"/>
        <v>1</v>
      </c>
      <c r="AO313" s="1035">
        <f t="shared" si="276"/>
        <v>0</v>
      </c>
      <c r="AP313" s="1036">
        <v>0</v>
      </c>
      <c r="AQ313" s="1018"/>
      <c r="AR313" s="1037">
        <f t="shared" si="277"/>
        <v>0</v>
      </c>
      <c r="AS313" s="1034">
        <f t="shared" si="278"/>
        <v>1</v>
      </c>
      <c r="AT313" s="1035">
        <f t="shared" si="279"/>
        <v>0</v>
      </c>
      <c r="AU313" s="1038">
        <v>0</v>
      </c>
      <c r="AV313" s="1018"/>
      <c r="AW313" s="1021">
        <f t="shared" si="280"/>
        <v>0</v>
      </c>
      <c r="AX313" s="1034">
        <f t="shared" si="281"/>
        <v>1</v>
      </c>
      <c r="AY313" s="1035">
        <f t="shared" si="282"/>
        <v>0</v>
      </c>
      <c r="AZ313" s="1036">
        <v>0</v>
      </c>
      <c r="BA313" s="1036"/>
      <c r="BB313" s="1021">
        <f t="shared" si="283"/>
        <v>0</v>
      </c>
      <c r="BC313" s="1034">
        <f t="shared" si="284"/>
        <v>1</v>
      </c>
      <c r="BD313" s="1035">
        <f t="shared" si="285"/>
        <v>0</v>
      </c>
      <c r="BE313" s="1038">
        <v>0</v>
      </c>
      <c r="BF313" s="1018"/>
      <c r="BG313" s="1021">
        <f t="shared" si="286"/>
        <v>0</v>
      </c>
      <c r="BH313" s="1039">
        <f t="shared" si="287"/>
        <v>0</v>
      </c>
      <c r="BI313" s="1038">
        <f t="shared" si="288"/>
        <v>0</v>
      </c>
      <c r="BJ313" s="1027">
        <f t="shared" si="291"/>
        <v>0</v>
      </c>
      <c r="BK313" s="1021">
        <f t="shared" si="292"/>
        <v>0</v>
      </c>
      <c r="BL313" s="1040">
        <f t="shared" si="289"/>
        <v>0</v>
      </c>
      <c r="BM313" s="1038">
        <f t="shared" si="290"/>
        <v>0</v>
      </c>
      <c r="BN313" s="1027"/>
      <c r="BO313" s="1041"/>
      <c r="BP313" s="95">
        <f t="shared" si="296"/>
        <v>0</v>
      </c>
      <c r="BQ313" s="842">
        <f t="shared" si="297"/>
        <v>0</v>
      </c>
      <c r="BR313" s="323"/>
      <c r="BS313" s="94">
        <f t="shared" si="293"/>
        <v>0</v>
      </c>
      <c r="BU313" s="632">
        <f t="shared" si="294"/>
        <v>0</v>
      </c>
      <c r="BV313" s="398"/>
      <c r="BW313" s="737"/>
      <c r="BX313" s="323"/>
      <c r="CD313" s="398"/>
      <c r="CI313" s="796"/>
    </row>
    <row r="314" spans="1:87" s="795" customFormat="1" ht="14.25" hidden="1" outlineLevel="1" thickTop="1" thickBot="1">
      <c r="A314" s="794"/>
      <c r="B314" s="92">
        <v>74</v>
      </c>
      <c r="C314" s="1029"/>
      <c r="D314" s="1031"/>
      <c r="E314" s="1030"/>
      <c r="F314" s="1031"/>
      <c r="G314" s="1029"/>
      <c r="H314" s="1032">
        <f t="shared" si="257"/>
        <v>1</v>
      </c>
      <c r="I314" s="1033"/>
      <c r="J314" s="1034">
        <f t="shared" si="258"/>
        <v>1</v>
      </c>
      <c r="K314" s="1035">
        <f t="shared" si="259"/>
        <v>0</v>
      </c>
      <c r="L314" s="1036"/>
      <c r="M314" s="1018"/>
      <c r="N314" s="1037">
        <f t="shared" si="260"/>
        <v>0</v>
      </c>
      <c r="O314" s="1034">
        <f t="shared" si="261"/>
        <v>1</v>
      </c>
      <c r="P314" s="1035">
        <f t="shared" si="295"/>
        <v>0</v>
      </c>
      <c r="Q314" s="1036"/>
      <c r="R314" s="1018"/>
      <c r="S314" s="1020">
        <f t="shared" si="263"/>
        <v>0</v>
      </c>
      <c r="T314" s="1034">
        <f t="shared" si="264"/>
        <v>1</v>
      </c>
      <c r="U314" s="1035"/>
      <c r="V314" s="1036">
        <v>0</v>
      </c>
      <c r="W314" s="1018"/>
      <c r="X314" s="1037">
        <f t="shared" si="265"/>
        <v>0</v>
      </c>
      <c r="Y314" s="1034">
        <f t="shared" si="266"/>
        <v>1</v>
      </c>
      <c r="Z314" s="1035">
        <f t="shared" si="298"/>
        <v>0</v>
      </c>
      <c r="AA314" s="1036">
        <v>0</v>
      </c>
      <c r="AB314" s="1018"/>
      <c r="AC314" s="1021">
        <f t="shared" si="268"/>
        <v>0</v>
      </c>
      <c r="AD314" s="1034">
        <f t="shared" si="269"/>
        <v>1</v>
      </c>
      <c r="AE314" s="1035">
        <f t="shared" si="299"/>
        <v>0</v>
      </c>
      <c r="AF314" s="1036">
        <v>0</v>
      </c>
      <c r="AG314" s="1018"/>
      <c r="AH314" s="1037">
        <f t="shared" si="271"/>
        <v>0</v>
      </c>
      <c r="AI314" s="1034">
        <f t="shared" si="272"/>
        <v>1</v>
      </c>
      <c r="AJ314" s="1035">
        <f t="shared" si="273"/>
        <v>0</v>
      </c>
      <c r="AK314" s="1036">
        <v>0</v>
      </c>
      <c r="AL314" s="1018"/>
      <c r="AM314" s="1021">
        <f t="shared" si="274"/>
        <v>0</v>
      </c>
      <c r="AN314" s="1034">
        <f t="shared" si="275"/>
        <v>1</v>
      </c>
      <c r="AO314" s="1035">
        <f t="shared" si="276"/>
        <v>0</v>
      </c>
      <c r="AP314" s="1036">
        <v>0</v>
      </c>
      <c r="AQ314" s="1018"/>
      <c r="AR314" s="1037">
        <f t="shared" si="277"/>
        <v>0</v>
      </c>
      <c r="AS314" s="1034">
        <f t="shared" si="278"/>
        <v>1</v>
      </c>
      <c r="AT314" s="1035">
        <f t="shared" si="279"/>
        <v>0</v>
      </c>
      <c r="AU314" s="1036">
        <v>0</v>
      </c>
      <c r="AV314" s="1018"/>
      <c r="AW314" s="1021">
        <f t="shared" si="280"/>
        <v>0</v>
      </c>
      <c r="AX314" s="1034">
        <f t="shared" si="281"/>
        <v>1</v>
      </c>
      <c r="AY314" s="1035">
        <f t="shared" si="282"/>
        <v>0</v>
      </c>
      <c r="AZ314" s="1036">
        <v>0</v>
      </c>
      <c r="BA314" s="1036"/>
      <c r="BB314" s="1021">
        <f t="shared" si="283"/>
        <v>0</v>
      </c>
      <c r="BC314" s="1034">
        <f t="shared" si="284"/>
        <v>1</v>
      </c>
      <c r="BD314" s="1035">
        <f t="shared" si="285"/>
        <v>0</v>
      </c>
      <c r="BE314" s="1038">
        <v>0</v>
      </c>
      <c r="BF314" s="1018"/>
      <c r="BG314" s="1021">
        <f t="shared" si="286"/>
        <v>0</v>
      </c>
      <c r="BH314" s="1039">
        <f t="shared" si="287"/>
        <v>0</v>
      </c>
      <c r="BI314" s="1038">
        <f t="shared" si="288"/>
        <v>0</v>
      </c>
      <c r="BJ314" s="1027">
        <f t="shared" si="291"/>
        <v>0</v>
      </c>
      <c r="BK314" s="1021">
        <f t="shared" si="292"/>
        <v>0</v>
      </c>
      <c r="BL314" s="1040">
        <f t="shared" si="289"/>
        <v>0</v>
      </c>
      <c r="BM314" s="1038">
        <f t="shared" si="290"/>
        <v>0</v>
      </c>
      <c r="BN314" s="1027"/>
      <c r="BO314" s="1041"/>
      <c r="BP314" s="95">
        <f t="shared" si="296"/>
        <v>0</v>
      </c>
      <c r="BQ314" s="842">
        <f t="shared" si="297"/>
        <v>0</v>
      </c>
      <c r="BR314" s="323"/>
      <c r="BS314" s="94">
        <f t="shared" si="293"/>
        <v>0</v>
      </c>
      <c r="BU314" s="632">
        <f t="shared" si="294"/>
        <v>0</v>
      </c>
      <c r="BV314" s="398"/>
      <c r="BW314" s="737"/>
      <c r="BX314" s="323"/>
      <c r="CD314" s="398"/>
      <c r="CI314" s="796"/>
    </row>
    <row r="315" spans="1:87" ht="14.25" hidden="1" outlineLevel="1" thickTop="1" thickBot="1">
      <c r="A315" s="57"/>
      <c r="B315" s="92">
        <v>75</v>
      </c>
      <c r="C315" s="1029"/>
      <c r="D315" s="1031"/>
      <c r="E315" s="1030"/>
      <c r="F315" s="1031"/>
      <c r="G315" s="1029"/>
      <c r="H315" s="1032">
        <f t="shared" si="257"/>
        <v>1</v>
      </c>
      <c r="I315" s="1033"/>
      <c r="J315" s="1034">
        <f t="shared" si="258"/>
        <v>1</v>
      </c>
      <c r="K315" s="1035">
        <f t="shared" si="259"/>
        <v>0</v>
      </c>
      <c r="L315" s="1036"/>
      <c r="M315" s="1018"/>
      <c r="N315" s="1037">
        <f t="shared" si="260"/>
        <v>0</v>
      </c>
      <c r="O315" s="1034">
        <f t="shared" si="261"/>
        <v>1</v>
      </c>
      <c r="P315" s="1035">
        <f t="shared" si="295"/>
        <v>0</v>
      </c>
      <c r="Q315" s="1036"/>
      <c r="R315" s="1018"/>
      <c r="S315" s="1020">
        <f t="shared" si="263"/>
        <v>0</v>
      </c>
      <c r="T315" s="1034">
        <f t="shared" si="264"/>
        <v>1</v>
      </c>
      <c r="U315" s="1035"/>
      <c r="V315" s="1036">
        <v>0</v>
      </c>
      <c r="W315" s="1018"/>
      <c r="X315" s="1037">
        <f t="shared" si="265"/>
        <v>0</v>
      </c>
      <c r="Y315" s="1034">
        <f t="shared" si="266"/>
        <v>1</v>
      </c>
      <c r="Z315" s="1035">
        <f t="shared" si="298"/>
        <v>0</v>
      </c>
      <c r="AA315" s="1036">
        <v>0</v>
      </c>
      <c r="AB315" s="1018"/>
      <c r="AC315" s="1021">
        <f t="shared" si="268"/>
        <v>0</v>
      </c>
      <c r="AD315" s="1034">
        <f t="shared" si="269"/>
        <v>1</v>
      </c>
      <c r="AE315" s="1035">
        <f t="shared" si="299"/>
        <v>0</v>
      </c>
      <c r="AF315" s="1036">
        <v>0</v>
      </c>
      <c r="AG315" s="1018"/>
      <c r="AH315" s="1037">
        <f t="shared" si="271"/>
        <v>0</v>
      </c>
      <c r="AI315" s="1034">
        <f t="shared" si="272"/>
        <v>1</v>
      </c>
      <c r="AJ315" s="1035">
        <f t="shared" si="273"/>
        <v>0</v>
      </c>
      <c r="AK315" s="1036">
        <v>0</v>
      </c>
      <c r="AL315" s="1018"/>
      <c r="AM315" s="1021">
        <f t="shared" si="274"/>
        <v>0</v>
      </c>
      <c r="AN315" s="1034">
        <f t="shared" si="275"/>
        <v>1</v>
      </c>
      <c r="AO315" s="1035">
        <f t="shared" si="276"/>
        <v>0</v>
      </c>
      <c r="AP315" s="1036">
        <v>0</v>
      </c>
      <c r="AQ315" s="1018"/>
      <c r="AR315" s="1037">
        <f t="shared" si="277"/>
        <v>0</v>
      </c>
      <c r="AS315" s="1034">
        <f t="shared" si="278"/>
        <v>1</v>
      </c>
      <c r="AT315" s="1035">
        <f t="shared" si="279"/>
        <v>0</v>
      </c>
      <c r="AU315" s="1038">
        <v>0</v>
      </c>
      <c r="AV315" s="1018"/>
      <c r="AW315" s="1021">
        <f t="shared" si="280"/>
        <v>0</v>
      </c>
      <c r="AX315" s="1034">
        <f t="shared" si="281"/>
        <v>1</v>
      </c>
      <c r="AY315" s="1035">
        <f t="shared" si="282"/>
        <v>0</v>
      </c>
      <c r="AZ315" s="1036">
        <v>0</v>
      </c>
      <c r="BA315" s="1036"/>
      <c r="BB315" s="1021">
        <f t="shared" si="283"/>
        <v>0</v>
      </c>
      <c r="BC315" s="1034">
        <f t="shared" si="284"/>
        <v>1</v>
      </c>
      <c r="BD315" s="1035">
        <f t="shared" si="285"/>
        <v>0</v>
      </c>
      <c r="BE315" s="1038">
        <v>0</v>
      </c>
      <c r="BF315" s="1018"/>
      <c r="BG315" s="1021">
        <f t="shared" si="286"/>
        <v>0</v>
      </c>
      <c r="BH315" s="1039">
        <f t="shared" si="287"/>
        <v>0</v>
      </c>
      <c r="BI315" s="1038">
        <f t="shared" si="288"/>
        <v>0</v>
      </c>
      <c r="BJ315" s="1027">
        <f t="shared" si="291"/>
        <v>0</v>
      </c>
      <c r="BK315" s="1021">
        <f t="shared" si="292"/>
        <v>0</v>
      </c>
      <c r="BL315" s="1040">
        <f t="shared" si="289"/>
        <v>0</v>
      </c>
      <c r="BM315" s="1038">
        <f t="shared" si="290"/>
        <v>0</v>
      </c>
      <c r="BN315" s="1027"/>
      <c r="BO315" s="1041"/>
      <c r="BP315" s="95">
        <f t="shared" si="296"/>
        <v>0</v>
      </c>
      <c r="BQ315" s="842">
        <f t="shared" si="297"/>
        <v>0</v>
      </c>
      <c r="BS315" s="94">
        <f t="shared" si="293"/>
        <v>0</v>
      </c>
      <c r="BU315" s="632">
        <f t="shared" si="294"/>
        <v>0</v>
      </c>
      <c r="BV315" s="398"/>
      <c r="BW315" s="405"/>
      <c r="CI315" s="96"/>
    </row>
    <row r="316" spans="1:87" ht="14.25" hidden="1" outlineLevel="1" thickTop="1" thickBot="1">
      <c r="A316" s="57"/>
      <c r="B316" s="92">
        <v>76</v>
      </c>
      <c r="C316" s="1029"/>
      <c r="D316" s="1031"/>
      <c r="E316" s="1030"/>
      <c r="F316" s="1031"/>
      <c r="G316" s="1029"/>
      <c r="H316" s="1032">
        <f t="shared" si="257"/>
        <v>1</v>
      </c>
      <c r="I316" s="1033"/>
      <c r="J316" s="1034">
        <f t="shared" si="258"/>
        <v>1</v>
      </c>
      <c r="K316" s="1035">
        <f t="shared" si="259"/>
        <v>0</v>
      </c>
      <c r="L316" s="1036"/>
      <c r="M316" s="1018"/>
      <c r="N316" s="1037">
        <f t="shared" si="260"/>
        <v>0</v>
      </c>
      <c r="O316" s="1034">
        <f t="shared" si="261"/>
        <v>1</v>
      </c>
      <c r="P316" s="1035">
        <f t="shared" si="295"/>
        <v>0</v>
      </c>
      <c r="Q316" s="1036"/>
      <c r="R316" s="1018"/>
      <c r="S316" s="1020">
        <f t="shared" si="263"/>
        <v>0</v>
      </c>
      <c r="T316" s="1034">
        <f t="shared" si="264"/>
        <v>1</v>
      </c>
      <c r="U316" s="1035"/>
      <c r="V316" s="1036">
        <v>0</v>
      </c>
      <c r="W316" s="1018"/>
      <c r="X316" s="1037">
        <f t="shared" si="265"/>
        <v>0</v>
      </c>
      <c r="Y316" s="1034">
        <f t="shared" si="266"/>
        <v>1</v>
      </c>
      <c r="Z316" s="1035">
        <f t="shared" si="298"/>
        <v>0</v>
      </c>
      <c r="AA316" s="1036">
        <v>0</v>
      </c>
      <c r="AB316" s="1018"/>
      <c r="AC316" s="1021">
        <f t="shared" si="268"/>
        <v>0</v>
      </c>
      <c r="AD316" s="1034">
        <f t="shared" si="269"/>
        <v>1</v>
      </c>
      <c r="AE316" s="1035">
        <f t="shared" si="299"/>
        <v>0</v>
      </c>
      <c r="AF316" s="1036">
        <v>0</v>
      </c>
      <c r="AG316" s="1018"/>
      <c r="AH316" s="1037">
        <f t="shared" si="271"/>
        <v>0</v>
      </c>
      <c r="AI316" s="1034">
        <f t="shared" si="272"/>
        <v>1</v>
      </c>
      <c r="AJ316" s="1035">
        <f t="shared" si="273"/>
        <v>0</v>
      </c>
      <c r="AK316" s="1036">
        <v>0</v>
      </c>
      <c r="AL316" s="1018"/>
      <c r="AM316" s="1021">
        <f t="shared" si="274"/>
        <v>0</v>
      </c>
      <c r="AN316" s="1034">
        <f t="shared" si="275"/>
        <v>1</v>
      </c>
      <c r="AO316" s="1035">
        <f t="shared" si="276"/>
        <v>0</v>
      </c>
      <c r="AP316" s="1036">
        <v>0</v>
      </c>
      <c r="AQ316" s="1018"/>
      <c r="AR316" s="1037">
        <f t="shared" si="277"/>
        <v>0</v>
      </c>
      <c r="AS316" s="1034">
        <f t="shared" si="278"/>
        <v>1</v>
      </c>
      <c r="AT316" s="1035">
        <f t="shared" si="279"/>
        <v>0</v>
      </c>
      <c r="AU316" s="1036">
        <v>0</v>
      </c>
      <c r="AV316" s="1018"/>
      <c r="AW316" s="1021">
        <f t="shared" si="280"/>
        <v>0</v>
      </c>
      <c r="AX316" s="1034">
        <f t="shared" si="281"/>
        <v>1</v>
      </c>
      <c r="AY316" s="1035">
        <f t="shared" si="282"/>
        <v>0</v>
      </c>
      <c r="AZ316" s="1036">
        <v>0</v>
      </c>
      <c r="BA316" s="1036"/>
      <c r="BB316" s="1021">
        <f t="shared" si="283"/>
        <v>0</v>
      </c>
      <c r="BC316" s="1034">
        <f t="shared" si="284"/>
        <v>1</v>
      </c>
      <c r="BD316" s="1035">
        <f t="shared" si="285"/>
        <v>0</v>
      </c>
      <c r="BE316" s="1038">
        <v>0</v>
      </c>
      <c r="BF316" s="1018"/>
      <c r="BG316" s="1021">
        <f t="shared" si="286"/>
        <v>0</v>
      </c>
      <c r="BH316" s="1039">
        <f t="shared" si="287"/>
        <v>0</v>
      </c>
      <c r="BI316" s="1038">
        <f t="shared" si="288"/>
        <v>0</v>
      </c>
      <c r="BJ316" s="1027">
        <f t="shared" si="291"/>
        <v>0</v>
      </c>
      <c r="BK316" s="1021">
        <f t="shared" si="292"/>
        <v>0</v>
      </c>
      <c r="BL316" s="1040">
        <f t="shared" si="289"/>
        <v>0</v>
      </c>
      <c r="BM316" s="1038">
        <f t="shared" si="290"/>
        <v>0</v>
      </c>
      <c r="BN316" s="1027"/>
      <c r="BO316" s="1041"/>
      <c r="BP316" s="95">
        <f t="shared" si="296"/>
        <v>0</v>
      </c>
      <c r="BQ316" s="842">
        <f t="shared" si="297"/>
        <v>0</v>
      </c>
      <c r="BS316" s="94">
        <f t="shared" si="293"/>
        <v>0</v>
      </c>
      <c r="BU316" s="632">
        <f t="shared" si="294"/>
        <v>0</v>
      </c>
      <c r="BV316" s="398"/>
      <c r="BW316" s="405"/>
      <c r="CI316" s="96"/>
    </row>
    <row r="317" spans="1:87" ht="14.25" hidden="1" outlineLevel="1" thickTop="1" thickBot="1">
      <c r="A317" s="57"/>
      <c r="B317" s="92">
        <v>77</v>
      </c>
      <c r="C317" s="1029"/>
      <c r="D317" s="1031"/>
      <c r="E317" s="1030"/>
      <c r="F317" s="1031"/>
      <c r="G317" s="1029"/>
      <c r="H317" s="1032">
        <f t="shared" si="257"/>
        <v>1</v>
      </c>
      <c r="I317" s="1033"/>
      <c r="J317" s="1034">
        <f t="shared" si="258"/>
        <v>1</v>
      </c>
      <c r="K317" s="1035">
        <f t="shared" si="259"/>
        <v>0</v>
      </c>
      <c r="L317" s="1036"/>
      <c r="M317" s="1018"/>
      <c r="N317" s="1037">
        <f t="shared" si="260"/>
        <v>0</v>
      </c>
      <c r="O317" s="1034">
        <f t="shared" si="261"/>
        <v>1</v>
      </c>
      <c r="P317" s="1035">
        <f t="shared" si="295"/>
        <v>0</v>
      </c>
      <c r="Q317" s="1036"/>
      <c r="R317" s="1018"/>
      <c r="S317" s="1020">
        <f t="shared" si="263"/>
        <v>0</v>
      </c>
      <c r="T317" s="1034">
        <f t="shared" si="264"/>
        <v>1</v>
      </c>
      <c r="U317" s="1035"/>
      <c r="V317" s="1036">
        <v>0</v>
      </c>
      <c r="W317" s="1018"/>
      <c r="X317" s="1037">
        <f t="shared" si="265"/>
        <v>0</v>
      </c>
      <c r="Y317" s="1034">
        <f t="shared" si="266"/>
        <v>1</v>
      </c>
      <c r="Z317" s="1035">
        <f t="shared" si="298"/>
        <v>0</v>
      </c>
      <c r="AA317" s="1036">
        <v>0</v>
      </c>
      <c r="AB317" s="1018"/>
      <c r="AC317" s="1021">
        <f t="shared" si="268"/>
        <v>0</v>
      </c>
      <c r="AD317" s="1034">
        <f t="shared" si="269"/>
        <v>1</v>
      </c>
      <c r="AE317" s="1035">
        <f t="shared" si="299"/>
        <v>0</v>
      </c>
      <c r="AF317" s="1036">
        <v>0</v>
      </c>
      <c r="AG317" s="1018"/>
      <c r="AH317" s="1037">
        <f t="shared" si="271"/>
        <v>0</v>
      </c>
      <c r="AI317" s="1034">
        <f t="shared" si="272"/>
        <v>1</v>
      </c>
      <c r="AJ317" s="1035">
        <f t="shared" si="273"/>
        <v>0</v>
      </c>
      <c r="AK317" s="1036">
        <v>0</v>
      </c>
      <c r="AL317" s="1018"/>
      <c r="AM317" s="1021">
        <f t="shared" si="274"/>
        <v>0</v>
      </c>
      <c r="AN317" s="1034">
        <f t="shared" si="275"/>
        <v>1</v>
      </c>
      <c r="AO317" s="1035">
        <f t="shared" si="276"/>
        <v>0</v>
      </c>
      <c r="AP317" s="1036">
        <v>0</v>
      </c>
      <c r="AQ317" s="1018"/>
      <c r="AR317" s="1037">
        <f t="shared" si="277"/>
        <v>0</v>
      </c>
      <c r="AS317" s="1034">
        <f t="shared" si="278"/>
        <v>1</v>
      </c>
      <c r="AT317" s="1035">
        <f t="shared" si="279"/>
        <v>0</v>
      </c>
      <c r="AU317" s="1038">
        <v>0</v>
      </c>
      <c r="AV317" s="1018"/>
      <c r="AW317" s="1021">
        <f t="shared" si="280"/>
        <v>0</v>
      </c>
      <c r="AX317" s="1034">
        <f t="shared" si="281"/>
        <v>1</v>
      </c>
      <c r="AY317" s="1035">
        <f t="shared" si="282"/>
        <v>0</v>
      </c>
      <c r="AZ317" s="1036">
        <v>0</v>
      </c>
      <c r="BA317" s="1036"/>
      <c r="BB317" s="1021">
        <f t="shared" si="283"/>
        <v>0</v>
      </c>
      <c r="BC317" s="1034">
        <f t="shared" si="284"/>
        <v>1</v>
      </c>
      <c r="BD317" s="1035">
        <f t="shared" si="285"/>
        <v>0</v>
      </c>
      <c r="BE317" s="1038">
        <v>0</v>
      </c>
      <c r="BF317" s="1018"/>
      <c r="BG317" s="1021">
        <f t="shared" si="286"/>
        <v>0</v>
      </c>
      <c r="BH317" s="1039">
        <f t="shared" si="287"/>
        <v>0</v>
      </c>
      <c r="BI317" s="1038">
        <f t="shared" si="288"/>
        <v>0</v>
      </c>
      <c r="BJ317" s="1027">
        <f t="shared" si="291"/>
        <v>0</v>
      </c>
      <c r="BK317" s="1021">
        <f t="shared" si="292"/>
        <v>0</v>
      </c>
      <c r="BL317" s="1040">
        <f t="shared" si="289"/>
        <v>0</v>
      </c>
      <c r="BM317" s="1038">
        <f t="shared" si="290"/>
        <v>0</v>
      </c>
      <c r="BN317" s="1027"/>
      <c r="BO317" s="1041"/>
      <c r="BP317" s="95">
        <f t="shared" si="296"/>
        <v>0</v>
      </c>
      <c r="BQ317" s="842">
        <f t="shared" si="297"/>
        <v>0</v>
      </c>
      <c r="BS317" s="94">
        <f t="shared" si="293"/>
        <v>0</v>
      </c>
      <c r="BU317" s="632">
        <f t="shared" si="294"/>
        <v>0</v>
      </c>
      <c r="BV317" s="398"/>
      <c r="BW317" s="405"/>
      <c r="CI317" s="96"/>
    </row>
    <row r="318" spans="1:87" ht="14.25" hidden="1" outlineLevel="1" thickTop="1" thickBot="1">
      <c r="A318" s="57"/>
      <c r="B318" s="92">
        <v>78</v>
      </c>
      <c r="C318" s="1029"/>
      <c r="D318" s="1031"/>
      <c r="E318" s="1030"/>
      <c r="F318" s="1031"/>
      <c r="G318" s="1029"/>
      <c r="H318" s="1032">
        <f t="shared" si="257"/>
        <v>1</v>
      </c>
      <c r="I318" s="1033"/>
      <c r="J318" s="1034">
        <f t="shared" si="258"/>
        <v>1</v>
      </c>
      <c r="K318" s="1035">
        <f t="shared" si="259"/>
        <v>0</v>
      </c>
      <c r="L318" s="1036"/>
      <c r="M318" s="1018"/>
      <c r="N318" s="1037">
        <f t="shared" si="260"/>
        <v>0</v>
      </c>
      <c r="O318" s="1034">
        <f t="shared" si="261"/>
        <v>1</v>
      </c>
      <c r="P318" s="1035">
        <f t="shared" si="295"/>
        <v>0</v>
      </c>
      <c r="Q318" s="1036"/>
      <c r="R318" s="1018"/>
      <c r="S318" s="1020">
        <f t="shared" si="263"/>
        <v>0</v>
      </c>
      <c r="T318" s="1034">
        <f t="shared" si="264"/>
        <v>1</v>
      </c>
      <c r="U318" s="1035"/>
      <c r="V318" s="1036">
        <v>0</v>
      </c>
      <c r="W318" s="1018"/>
      <c r="X318" s="1037">
        <f t="shared" si="265"/>
        <v>0</v>
      </c>
      <c r="Y318" s="1034">
        <f t="shared" si="266"/>
        <v>1</v>
      </c>
      <c r="Z318" s="1035">
        <f t="shared" si="298"/>
        <v>0</v>
      </c>
      <c r="AA318" s="1036">
        <v>0</v>
      </c>
      <c r="AB318" s="1018"/>
      <c r="AC318" s="1021">
        <f t="shared" si="268"/>
        <v>0</v>
      </c>
      <c r="AD318" s="1034">
        <f t="shared" si="269"/>
        <v>1</v>
      </c>
      <c r="AE318" s="1035">
        <f t="shared" si="299"/>
        <v>0</v>
      </c>
      <c r="AF318" s="1036">
        <v>0</v>
      </c>
      <c r="AG318" s="1018"/>
      <c r="AH318" s="1037">
        <f t="shared" si="271"/>
        <v>0</v>
      </c>
      <c r="AI318" s="1034">
        <f t="shared" si="272"/>
        <v>1</v>
      </c>
      <c r="AJ318" s="1035">
        <f t="shared" si="273"/>
        <v>0</v>
      </c>
      <c r="AK318" s="1036">
        <v>0</v>
      </c>
      <c r="AL318" s="1018"/>
      <c r="AM318" s="1021">
        <f t="shared" si="274"/>
        <v>0</v>
      </c>
      <c r="AN318" s="1034">
        <f t="shared" si="275"/>
        <v>1</v>
      </c>
      <c r="AO318" s="1035">
        <f t="shared" si="276"/>
        <v>0</v>
      </c>
      <c r="AP318" s="1036">
        <v>0</v>
      </c>
      <c r="AQ318" s="1018"/>
      <c r="AR318" s="1037">
        <f t="shared" si="277"/>
        <v>0</v>
      </c>
      <c r="AS318" s="1034">
        <f t="shared" si="278"/>
        <v>1</v>
      </c>
      <c r="AT318" s="1035">
        <f t="shared" si="279"/>
        <v>0</v>
      </c>
      <c r="AU318" s="1036">
        <v>0</v>
      </c>
      <c r="AV318" s="1018"/>
      <c r="AW318" s="1021">
        <f t="shared" si="280"/>
        <v>0</v>
      </c>
      <c r="AX318" s="1034">
        <f t="shared" si="281"/>
        <v>1</v>
      </c>
      <c r="AY318" s="1035">
        <f t="shared" si="282"/>
        <v>0</v>
      </c>
      <c r="AZ318" s="1036">
        <v>0</v>
      </c>
      <c r="BA318" s="1036"/>
      <c r="BB318" s="1021">
        <f t="shared" si="283"/>
        <v>0</v>
      </c>
      <c r="BC318" s="1034">
        <f t="shared" si="284"/>
        <v>1</v>
      </c>
      <c r="BD318" s="1035">
        <f t="shared" si="285"/>
        <v>0</v>
      </c>
      <c r="BE318" s="1038">
        <v>0</v>
      </c>
      <c r="BF318" s="1018"/>
      <c r="BG318" s="1021">
        <f t="shared" si="286"/>
        <v>0</v>
      </c>
      <c r="BH318" s="1039">
        <f t="shared" si="287"/>
        <v>0</v>
      </c>
      <c r="BI318" s="1038">
        <f t="shared" si="288"/>
        <v>0</v>
      </c>
      <c r="BJ318" s="1027">
        <f t="shared" si="291"/>
        <v>0</v>
      </c>
      <c r="BK318" s="1021">
        <f t="shared" si="292"/>
        <v>0</v>
      </c>
      <c r="BL318" s="1040">
        <f t="shared" si="289"/>
        <v>0</v>
      </c>
      <c r="BM318" s="1038">
        <f t="shared" si="290"/>
        <v>0</v>
      </c>
      <c r="BN318" s="1027"/>
      <c r="BO318" s="1041"/>
      <c r="BP318" s="95">
        <f t="shared" si="296"/>
        <v>0</v>
      </c>
      <c r="BQ318" s="842">
        <f t="shared" si="297"/>
        <v>0</v>
      </c>
      <c r="BS318" s="94">
        <f t="shared" si="293"/>
        <v>0</v>
      </c>
      <c r="BU318" s="632">
        <f t="shared" si="294"/>
        <v>0</v>
      </c>
      <c r="BV318" s="398"/>
      <c r="BW318" s="405"/>
      <c r="CI318" s="96"/>
    </row>
    <row r="319" spans="1:87" ht="14.25" hidden="1" outlineLevel="1" thickTop="1" thickBot="1">
      <c r="A319" s="57"/>
      <c r="B319" s="92">
        <v>79</v>
      </c>
      <c r="C319" s="1029"/>
      <c r="D319" s="1031"/>
      <c r="E319" s="1030"/>
      <c r="F319" s="1031"/>
      <c r="G319" s="1029"/>
      <c r="H319" s="1032">
        <f t="shared" si="257"/>
        <v>1</v>
      </c>
      <c r="I319" s="1033"/>
      <c r="J319" s="1034">
        <f t="shared" si="258"/>
        <v>1</v>
      </c>
      <c r="K319" s="1035">
        <f t="shared" si="259"/>
        <v>0</v>
      </c>
      <c r="L319" s="1036"/>
      <c r="M319" s="1018"/>
      <c r="N319" s="1037">
        <f t="shared" si="260"/>
        <v>0</v>
      </c>
      <c r="O319" s="1034">
        <f t="shared" si="261"/>
        <v>1</v>
      </c>
      <c r="P319" s="1035">
        <f t="shared" si="295"/>
        <v>0</v>
      </c>
      <c r="Q319" s="1036"/>
      <c r="R319" s="1018"/>
      <c r="S319" s="1020">
        <f t="shared" si="263"/>
        <v>0</v>
      </c>
      <c r="T319" s="1034">
        <f t="shared" si="264"/>
        <v>1</v>
      </c>
      <c r="U319" s="1035"/>
      <c r="V319" s="1036">
        <v>0</v>
      </c>
      <c r="W319" s="1018"/>
      <c r="X319" s="1037">
        <f t="shared" si="265"/>
        <v>0</v>
      </c>
      <c r="Y319" s="1034">
        <f t="shared" si="266"/>
        <v>1</v>
      </c>
      <c r="Z319" s="1035">
        <f t="shared" si="298"/>
        <v>0</v>
      </c>
      <c r="AA319" s="1036">
        <v>0</v>
      </c>
      <c r="AB319" s="1018"/>
      <c r="AC319" s="1021">
        <f t="shared" si="268"/>
        <v>0</v>
      </c>
      <c r="AD319" s="1034">
        <f t="shared" si="269"/>
        <v>1</v>
      </c>
      <c r="AE319" s="1035">
        <f t="shared" si="299"/>
        <v>0</v>
      </c>
      <c r="AF319" s="1036">
        <v>0</v>
      </c>
      <c r="AG319" s="1018"/>
      <c r="AH319" s="1037">
        <f t="shared" si="271"/>
        <v>0</v>
      </c>
      <c r="AI319" s="1034">
        <f t="shared" si="272"/>
        <v>1</v>
      </c>
      <c r="AJ319" s="1035">
        <f t="shared" si="273"/>
        <v>0</v>
      </c>
      <c r="AK319" s="1036">
        <v>0</v>
      </c>
      <c r="AL319" s="1018"/>
      <c r="AM319" s="1021">
        <f t="shared" si="274"/>
        <v>0</v>
      </c>
      <c r="AN319" s="1034">
        <f t="shared" si="275"/>
        <v>1</v>
      </c>
      <c r="AO319" s="1035">
        <f t="shared" si="276"/>
        <v>0</v>
      </c>
      <c r="AP319" s="1036">
        <v>0</v>
      </c>
      <c r="AQ319" s="1018"/>
      <c r="AR319" s="1037">
        <f t="shared" si="277"/>
        <v>0</v>
      </c>
      <c r="AS319" s="1034">
        <f t="shared" si="278"/>
        <v>1</v>
      </c>
      <c r="AT319" s="1035">
        <f t="shared" si="279"/>
        <v>0</v>
      </c>
      <c r="AU319" s="1038">
        <v>0</v>
      </c>
      <c r="AV319" s="1018"/>
      <c r="AW319" s="1021">
        <f t="shared" si="280"/>
        <v>0</v>
      </c>
      <c r="AX319" s="1034">
        <f t="shared" si="281"/>
        <v>1</v>
      </c>
      <c r="AY319" s="1035">
        <f t="shared" si="282"/>
        <v>0</v>
      </c>
      <c r="AZ319" s="1036">
        <v>0</v>
      </c>
      <c r="BA319" s="1036"/>
      <c r="BB319" s="1021">
        <f t="shared" si="283"/>
        <v>0</v>
      </c>
      <c r="BC319" s="1034">
        <f t="shared" si="284"/>
        <v>1</v>
      </c>
      <c r="BD319" s="1035">
        <f t="shared" si="285"/>
        <v>0</v>
      </c>
      <c r="BE319" s="1038">
        <v>0</v>
      </c>
      <c r="BF319" s="1018"/>
      <c r="BG319" s="1021">
        <f t="shared" si="286"/>
        <v>0</v>
      </c>
      <c r="BH319" s="1039">
        <f t="shared" si="287"/>
        <v>0</v>
      </c>
      <c r="BI319" s="1038">
        <f t="shared" si="288"/>
        <v>0</v>
      </c>
      <c r="BJ319" s="1027">
        <f t="shared" si="291"/>
        <v>0</v>
      </c>
      <c r="BK319" s="1021">
        <f t="shared" si="292"/>
        <v>0</v>
      </c>
      <c r="BL319" s="1040">
        <f t="shared" si="289"/>
        <v>0</v>
      </c>
      <c r="BM319" s="1038">
        <f t="shared" si="290"/>
        <v>0</v>
      </c>
      <c r="BN319" s="1027"/>
      <c r="BO319" s="1041"/>
      <c r="BP319" s="95">
        <f t="shared" si="296"/>
        <v>0</v>
      </c>
      <c r="BQ319" s="842">
        <f t="shared" si="297"/>
        <v>0</v>
      </c>
      <c r="BS319" s="94">
        <f t="shared" si="293"/>
        <v>0</v>
      </c>
      <c r="BU319" s="632">
        <f t="shared" si="294"/>
        <v>0</v>
      </c>
      <c r="BV319" s="398"/>
      <c r="BW319" s="405"/>
      <c r="CI319" s="96"/>
    </row>
    <row r="320" spans="1:87" ht="14.25" hidden="1" outlineLevel="1" thickTop="1" thickBot="1">
      <c r="A320" s="57"/>
      <c r="B320" s="92">
        <v>80</v>
      </c>
      <c r="C320" s="1029"/>
      <c r="D320" s="1031"/>
      <c r="E320" s="1030"/>
      <c r="F320" s="1031"/>
      <c r="G320" s="1029"/>
      <c r="H320" s="1032">
        <f t="shared" si="257"/>
        <v>1</v>
      </c>
      <c r="I320" s="1033"/>
      <c r="J320" s="1034">
        <f t="shared" si="258"/>
        <v>1</v>
      </c>
      <c r="K320" s="1035">
        <f t="shared" si="259"/>
        <v>0</v>
      </c>
      <c r="L320" s="1036"/>
      <c r="M320" s="1018"/>
      <c r="N320" s="1037">
        <f t="shared" si="260"/>
        <v>0</v>
      </c>
      <c r="O320" s="1034">
        <f t="shared" si="261"/>
        <v>1</v>
      </c>
      <c r="P320" s="1035">
        <f t="shared" si="295"/>
        <v>0</v>
      </c>
      <c r="Q320" s="1036"/>
      <c r="R320" s="1018"/>
      <c r="S320" s="1020">
        <f t="shared" si="263"/>
        <v>0</v>
      </c>
      <c r="T320" s="1034">
        <f t="shared" si="264"/>
        <v>1</v>
      </c>
      <c r="U320" s="1035"/>
      <c r="V320" s="1036">
        <v>0</v>
      </c>
      <c r="W320" s="1018"/>
      <c r="X320" s="1037">
        <f t="shared" si="265"/>
        <v>0</v>
      </c>
      <c r="Y320" s="1034">
        <f t="shared" si="266"/>
        <v>1</v>
      </c>
      <c r="Z320" s="1035">
        <f t="shared" si="298"/>
        <v>0</v>
      </c>
      <c r="AA320" s="1036">
        <v>0</v>
      </c>
      <c r="AB320" s="1018"/>
      <c r="AC320" s="1021">
        <f t="shared" si="268"/>
        <v>0</v>
      </c>
      <c r="AD320" s="1034">
        <f t="shared" si="269"/>
        <v>1</v>
      </c>
      <c r="AE320" s="1035">
        <f t="shared" si="299"/>
        <v>0</v>
      </c>
      <c r="AF320" s="1036">
        <v>0</v>
      </c>
      <c r="AG320" s="1018"/>
      <c r="AH320" s="1037">
        <f t="shared" si="271"/>
        <v>0</v>
      </c>
      <c r="AI320" s="1034">
        <f t="shared" si="272"/>
        <v>1</v>
      </c>
      <c r="AJ320" s="1035">
        <f t="shared" si="273"/>
        <v>0</v>
      </c>
      <c r="AK320" s="1036">
        <v>0</v>
      </c>
      <c r="AL320" s="1018"/>
      <c r="AM320" s="1021">
        <f t="shared" si="274"/>
        <v>0</v>
      </c>
      <c r="AN320" s="1034">
        <f t="shared" si="275"/>
        <v>1</v>
      </c>
      <c r="AO320" s="1035">
        <f t="shared" si="276"/>
        <v>0</v>
      </c>
      <c r="AP320" s="1036">
        <v>0</v>
      </c>
      <c r="AQ320" s="1018"/>
      <c r="AR320" s="1037">
        <f t="shared" si="277"/>
        <v>0</v>
      </c>
      <c r="AS320" s="1034">
        <f t="shared" si="278"/>
        <v>1</v>
      </c>
      <c r="AT320" s="1035">
        <f t="shared" si="279"/>
        <v>0</v>
      </c>
      <c r="AU320" s="1036">
        <v>0</v>
      </c>
      <c r="AV320" s="1018"/>
      <c r="AW320" s="1021">
        <f t="shared" si="280"/>
        <v>0</v>
      </c>
      <c r="AX320" s="1034">
        <f t="shared" si="281"/>
        <v>1</v>
      </c>
      <c r="AY320" s="1035">
        <f t="shared" si="282"/>
        <v>0</v>
      </c>
      <c r="AZ320" s="1036">
        <v>0</v>
      </c>
      <c r="BA320" s="1036"/>
      <c r="BB320" s="1021">
        <f t="shared" si="283"/>
        <v>0</v>
      </c>
      <c r="BC320" s="1034">
        <f t="shared" si="284"/>
        <v>1</v>
      </c>
      <c r="BD320" s="1035">
        <f t="shared" si="285"/>
        <v>0</v>
      </c>
      <c r="BE320" s="1038">
        <v>0</v>
      </c>
      <c r="BF320" s="1018"/>
      <c r="BG320" s="1021">
        <f t="shared" si="286"/>
        <v>0</v>
      </c>
      <c r="BH320" s="1039">
        <f t="shared" si="287"/>
        <v>0</v>
      </c>
      <c r="BI320" s="1038">
        <f t="shared" si="288"/>
        <v>0</v>
      </c>
      <c r="BJ320" s="1027">
        <f t="shared" si="291"/>
        <v>0</v>
      </c>
      <c r="BK320" s="1021">
        <f t="shared" si="292"/>
        <v>0</v>
      </c>
      <c r="BL320" s="1040">
        <f t="shared" si="289"/>
        <v>0</v>
      </c>
      <c r="BM320" s="1038">
        <f t="shared" si="290"/>
        <v>0</v>
      </c>
      <c r="BN320" s="1027"/>
      <c r="BO320" s="1041"/>
      <c r="BP320" s="95">
        <f t="shared" si="296"/>
        <v>0</v>
      </c>
      <c r="BQ320" s="842">
        <f t="shared" si="297"/>
        <v>0</v>
      </c>
      <c r="BS320" s="94">
        <f t="shared" si="293"/>
        <v>0</v>
      </c>
      <c r="BU320" s="632">
        <f t="shared" si="294"/>
        <v>0</v>
      </c>
      <c r="BV320" s="398"/>
      <c r="BW320" s="405"/>
      <c r="CI320" s="96"/>
    </row>
    <row r="321" spans="1:87" ht="14.25" hidden="1" outlineLevel="1" thickTop="1" thickBot="1">
      <c r="A321" s="57"/>
      <c r="B321" s="92">
        <v>81</v>
      </c>
      <c r="C321" s="1029"/>
      <c r="D321" s="1031"/>
      <c r="E321" s="1030"/>
      <c r="F321" s="1031"/>
      <c r="G321" s="1029"/>
      <c r="H321" s="1032">
        <f t="shared" si="257"/>
        <v>1</v>
      </c>
      <c r="I321" s="1033"/>
      <c r="J321" s="1034">
        <f t="shared" si="258"/>
        <v>1</v>
      </c>
      <c r="K321" s="1035">
        <f t="shared" si="259"/>
        <v>0</v>
      </c>
      <c r="L321" s="1036"/>
      <c r="M321" s="1018"/>
      <c r="N321" s="1037">
        <f t="shared" si="260"/>
        <v>0</v>
      </c>
      <c r="O321" s="1034">
        <f t="shared" si="261"/>
        <v>1</v>
      </c>
      <c r="P321" s="1035">
        <f t="shared" si="295"/>
        <v>0</v>
      </c>
      <c r="Q321" s="1036"/>
      <c r="R321" s="1018"/>
      <c r="S321" s="1020">
        <f t="shared" si="263"/>
        <v>0</v>
      </c>
      <c r="T321" s="1034">
        <f t="shared" si="264"/>
        <v>1</v>
      </c>
      <c r="U321" s="1035"/>
      <c r="V321" s="1036">
        <v>0</v>
      </c>
      <c r="W321" s="1018"/>
      <c r="X321" s="1037">
        <f t="shared" si="265"/>
        <v>0</v>
      </c>
      <c r="Y321" s="1034">
        <f t="shared" si="266"/>
        <v>1</v>
      </c>
      <c r="Z321" s="1035">
        <f t="shared" si="298"/>
        <v>0</v>
      </c>
      <c r="AA321" s="1036">
        <v>0</v>
      </c>
      <c r="AB321" s="1018"/>
      <c r="AC321" s="1021">
        <f t="shared" si="268"/>
        <v>0</v>
      </c>
      <c r="AD321" s="1034">
        <f t="shared" si="269"/>
        <v>1</v>
      </c>
      <c r="AE321" s="1035">
        <f t="shared" si="299"/>
        <v>0</v>
      </c>
      <c r="AF321" s="1036">
        <v>0</v>
      </c>
      <c r="AG321" s="1018"/>
      <c r="AH321" s="1037">
        <f t="shared" si="271"/>
        <v>0</v>
      </c>
      <c r="AI321" s="1034">
        <f t="shared" si="272"/>
        <v>1</v>
      </c>
      <c r="AJ321" s="1035">
        <f t="shared" si="273"/>
        <v>0</v>
      </c>
      <c r="AK321" s="1036">
        <v>0</v>
      </c>
      <c r="AL321" s="1018"/>
      <c r="AM321" s="1021">
        <f t="shared" si="274"/>
        <v>0</v>
      </c>
      <c r="AN321" s="1034">
        <f t="shared" si="275"/>
        <v>1</v>
      </c>
      <c r="AO321" s="1035">
        <f t="shared" si="276"/>
        <v>0</v>
      </c>
      <c r="AP321" s="1036">
        <v>0</v>
      </c>
      <c r="AQ321" s="1018"/>
      <c r="AR321" s="1037">
        <f t="shared" si="277"/>
        <v>0</v>
      </c>
      <c r="AS321" s="1034">
        <f t="shared" si="278"/>
        <v>1</v>
      </c>
      <c r="AT321" s="1035">
        <f t="shared" si="279"/>
        <v>0</v>
      </c>
      <c r="AU321" s="1038">
        <v>0</v>
      </c>
      <c r="AV321" s="1018"/>
      <c r="AW321" s="1021">
        <f t="shared" si="280"/>
        <v>0</v>
      </c>
      <c r="AX321" s="1034">
        <f t="shared" si="281"/>
        <v>1</v>
      </c>
      <c r="AY321" s="1035">
        <f t="shared" si="282"/>
        <v>0</v>
      </c>
      <c r="AZ321" s="1036">
        <v>0</v>
      </c>
      <c r="BA321" s="1036"/>
      <c r="BB321" s="1021">
        <f t="shared" si="283"/>
        <v>0</v>
      </c>
      <c r="BC321" s="1034">
        <f t="shared" si="284"/>
        <v>1</v>
      </c>
      <c r="BD321" s="1035">
        <f t="shared" si="285"/>
        <v>0</v>
      </c>
      <c r="BE321" s="1038">
        <v>0</v>
      </c>
      <c r="BF321" s="1018"/>
      <c r="BG321" s="1021">
        <f t="shared" si="286"/>
        <v>0</v>
      </c>
      <c r="BH321" s="1039">
        <f t="shared" si="287"/>
        <v>0</v>
      </c>
      <c r="BI321" s="1038">
        <f t="shared" si="288"/>
        <v>0</v>
      </c>
      <c r="BJ321" s="1027">
        <f t="shared" si="291"/>
        <v>0</v>
      </c>
      <c r="BK321" s="1021">
        <f t="shared" si="292"/>
        <v>0</v>
      </c>
      <c r="BL321" s="1040">
        <f t="shared" si="289"/>
        <v>0</v>
      </c>
      <c r="BM321" s="1038">
        <f t="shared" si="290"/>
        <v>0</v>
      </c>
      <c r="BN321" s="1027"/>
      <c r="BO321" s="1041"/>
      <c r="BP321" s="95">
        <f t="shared" si="296"/>
        <v>0</v>
      </c>
      <c r="BQ321" s="842">
        <f t="shared" si="297"/>
        <v>0</v>
      </c>
      <c r="BS321" s="94">
        <f t="shared" si="293"/>
        <v>0</v>
      </c>
      <c r="BU321" s="632">
        <f t="shared" si="294"/>
        <v>0</v>
      </c>
      <c r="BV321" s="398"/>
      <c r="BW321" s="405"/>
      <c r="CI321" s="96"/>
    </row>
    <row r="322" spans="1:87" ht="14.25" hidden="1" outlineLevel="1" thickTop="1" thickBot="1">
      <c r="A322" s="57"/>
      <c r="B322" s="92">
        <v>82</v>
      </c>
      <c r="C322" s="1029"/>
      <c r="D322" s="1031"/>
      <c r="E322" s="1030"/>
      <c r="F322" s="1031"/>
      <c r="G322" s="1029"/>
      <c r="H322" s="1032">
        <f t="shared" si="257"/>
        <v>1</v>
      </c>
      <c r="I322" s="1033"/>
      <c r="J322" s="1034">
        <f t="shared" si="258"/>
        <v>1</v>
      </c>
      <c r="K322" s="1035">
        <f t="shared" si="259"/>
        <v>0</v>
      </c>
      <c r="L322" s="1036"/>
      <c r="M322" s="1018"/>
      <c r="N322" s="1037">
        <f t="shared" si="260"/>
        <v>0</v>
      </c>
      <c r="O322" s="1034">
        <f t="shared" si="261"/>
        <v>1</v>
      </c>
      <c r="P322" s="1035">
        <f t="shared" si="295"/>
        <v>0</v>
      </c>
      <c r="Q322" s="1036"/>
      <c r="R322" s="1018"/>
      <c r="S322" s="1020">
        <f t="shared" si="263"/>
        <v>0</v>
      </c>
      <c r="T322" s="1034">
        <f t="shared" si="264"/>
        <v>1</v>
      </c>
      <c r="U322" s="1035"/>
      <c r="V322" s="1036">
        <v>0</v>
      </c>
      <c r="W322" s="1018"/>
      <c r="X322" s="1037">
        <f t="shared" si="265"/>
        <v>0</v>
      </c>
      <c r="Y322" s="1034">
        <f t="shared" si="266"/>
        <v>1</v>
      </c>
      <c r="Z322" s="1035">
        <f t="shared" si="298"/>
        <v>0</v>
      </c>
      <c r="AA322" s="1036">
        <v>0</v>
      </c>
      <c r="AB322" s="1018"/>
      <c r="AC322" s="1021">
        <f t="shared" si="268"/>
        <v>0</v>
      </c>
      <c r="AD322" s="1034">
        <f t="shared" si="269"/>
        <v>1</v>
      </c>
      <c r="AE322" s="1035">
        <f t="shared" si="299"/>
        <v>0</v>
      </c>
      <c r="AF322" s="1036">
        <v>0</v>
      </c>
      <c r="AG322" s="1018"/>
      <c r="AH322" s="1037">
        <f t="shared" si="271"/>
        <v>0</v>
      </c>
      <c r="AI322" s="1034">
        <f t="shared" si="272"/>
        <v>1</v>
      </c>
      <c r="AJ322" s="1035">
        <f t="shared" si="273"/>
        <v>0</v>
      </c>
      <c r="AK322" s="1036">
        <v>0</v>
      </c>
      <c r="AL322" s="1018"/>
      <c r="AM322" s="1021">
        <f t="shared" si="274"/>
        <v>0</v>
      </c>
      <c r="AN322" s="1034">
        <f t="shared" si="275"/>
        <v>1</v>
      </c>
      <c r="AO322" s="1035">
        <f t="shared" si="276"/>
        <v>0</v>
      </c>
      <c r="AP322" s="1036">
        <v>0</v>
      </c>
      <c r="AQ322" s="1018"/>
      <c r="AR322" s="1037">
        <f t="shared" si="277"/>
        <v>0</v>
      </c>
      <c r="AS322" s="1034">
        <f t="shared" si="278"/>
        <v>1</v>
      </c>
      <c r="AT322" s="1035">
        <f t="shared" si="279"/>
        <v>0</v>
      </c>
      <c r="AU322" s="1036">
        <v>0</v>
      </c>
      <c r="AV322" s="1018"/>
      <c r="AW322" s="1021">
        <f t="shared" si="280"/>
        <v>0</v>
      </c>
      <c r="AX322" s="1034">
        <f t="shared" si="281"/>
        <v>1</v>
      </c>
      <c r="AY322" s="1035">
        <f t="shared" si="282"/>
        <v>0</v>
      </c>
      <c r="AZ322" s="1036">
        <v>0</v>
      </c>
      <c r="BA322" s="1036"/>
      <c r="BB322" s="1021">
        <f t="shared" si="283"/>
        <v>0</v>
      </c>
      <c r="BC322" s="1034">
        <f t="shared" si="284"/>
        <v>1</v>
      </c>
      <c r="BD322" s="1035">
        <f t="shared" si="285"/>
        <v>0</v>
      </c>
      <c r="BE322" s="1038">
        <v>0</v>
      </c>
      <c r="BF322" s="1018"/>
      <c r="BG322" s="1021">
        <f t="shared" si="286"/>
        <v>0</v>
      </c>
      <c r="BH322" s="1039">
        <f t="shared" si="287"/>
        <v>0</v>
      </c>
      <c r="BI322" s="1038">
        <f t="shared" si="288"/>
        <v>0</v>
      </c>
      <c r="BJ322" s="1027">
        <f t="shared" si="291"/>
        <v>0</v>
      </c>
      <c r="BK322" s="1021">
        <f t="shared" si="292"/>
        <v>0</v>
      </c>
      <c r="BL322" s="1040">
        <f t="shared" si="289"/>
        <v>0</v>
      </c>
      <c r="BM322" s="1038">
        <f t="shared" si="290"/>
        <v>0</v>
      </c>
      <c r="BN322" s="1027"/>
      <c r="BO322" s="1041"/>
      <c r="BP322" s="95">
        <f t="shared" si="296"/>
        <v>0</v>
      </c>
      <c r="BQ322" s="842">
        <f t="shared" si="297"/>
        <v>0</v>
      </c>
      <c r="BS322" s="94">
        <f t="shared" si="293"/>
        <v>0</v>
      </c>
      <c r="BU322" s="632">
        <f t="shared" si="294"/>
        <v>0</v>
      </c>
      <c r="BV322" s="398"/>
      <c r="BW322" s="405"/>
      <c r="CI322" s="96"/>
    </row>
    <row r="323" spans="1:87" ht="14.25" hidden="1" outlineLevel="1" thickTop="1" thickBot="1">
      <c r="A323" s="57"/>
      <c r="B323" s="92">
        <v>83</v>
      </c>
      <c r="C323" s="1029"/>
      <c r="D323" s="1031"/>
      <c r="E323" s="1030"/>
      <c r="F323" s="1031"/>
      <c r="G323" s="1029"/>
      <c r="H323" s="1032">
        <f t="shared" si="257"/>
        <v>1</v>
      </c>
      <c r="I323" s="1033"/>
      <c r="J323" s="1034">
        <f t="shared" si="258"/>
        <v>1</v>
      </c>
      <c r="K323" s="1035">
        <f t="shared" si="259"/>
        <v>0</v>
      </c>
      <c r="L323" s="1036"/>
      <c r="M323" s="1018"/>
      <c r="N323" s="1037">
        <f t="shared" si="260"/>
        <v>0</v>
      </c>
      <c r="O323" s="1034">
        <f t="shared" si="261"/>
        <v>1</v>
      </c>
      <c r="P323" s="1035">
        <f t="shared" si="295"/>
        <v>0</v>
      </c>
      <c r="Q323" s="1036"/>
      <c r="R323" s="1018"/>
      <c r="S323" s="1020">
        <f t="shared" si="263"/>
        <v>0</v>
      </c>
      <c r="T323" s="1034">
        <f t="shared" si="264"/>
        <v>1</v>
      </c>
      <c r="U323" s="1035"/>
      <c r="V323" s="1036">
        <v>0</v>
      </c>
      <c r="W323" s="1018"/>
      <c r="X323" s="1037">
        <f t="shared" si="265"/>
        <v>0</v>
      </c>
      <c r="Y323" s="1034">
        <f t="shared" si="266"/>
        <v>1</v>
      </c>
      <c r="Z323" s="1035">
        <f t="shared" si="298"/>
        <v>0</v>
      </c>
      <c r="AA323" s="1036">
        <v>0</v>
      </c>
      <c r="AB323" s="1018"/>
      <c r="AC323" s="1021">
        <f t="shared" si="268"/>
        <v>0</v>
      </c>
      <c r="AD323" s="1034">
        <f t="shared" si="269"/>
        <v>1</v>
      </c>
      <c r="AE323" s="1035">
        <f t="shared" si="299"/>
        <v>0</v>
      </c>
      <c r="AF323" s="1036">
        <v>0</v>
      </c>
      <c r="AG323" s="1018"/>
      <c r="AH323" s="1037">
        <f t="shared" si="271"/>
        <v>0</v>
      </c>
      <c r="AI323" s="1034">
        <f t="shared" si="272"/>
        <v>1</v>
      </c>
      <c r="AJ323" s="1035">
        <f t="shared" si="273"/>
        <v>0</v>
      </c>
      <c r="AK323" s="1036">
        <v>0</v>
      </c>
      <c r="AL323" s="1018"/>
      <c r="AM323" s="1021">
        <f t="shared" si="274"/>
        <v>0</v>
      </c>
      <c r="AN323" s="1034">
        <f t="shared" si="275"/>
        <v>1</v>
      </c>
      <c r="AO323" s="1035">
        <f t="shared" si="276"/>
        <v>0</v>
      </c>
      <c r="AP323" s="1036">
        <v>0</v>
      </c>
      <c r="AQ323" s="1018"/>
      <c r="AR323" s="1037">
        <f t="shared" si="277"/>
        <v>0</v>
      </c>
      <c r="AS323" s="1034">
        <f t="shared" si="278"/>
        <v>1</v>
      </c>
      <c r="AT323" s="1035">
        <f t="shared" si="279"/>
        <v>0</v>
      </c>
      <c r="AU323" s="1038">
        <v>0</v>
      </c>
      <c r="AV323" s="1018"/>
      <c r="AW323" s="1021">
        <f t="shared" si="280"/>
        <v>0</v>
      </c>
      <c r="AX323" s="1034">
        <f t="shared" si="281"/>
        <v>1</v>
      </c>
      <c r="AY323" s="1035">
        <f t="shared" si="282"/>
        <v>0</v>
      </c>
      <c r="AZ323" s="1036">
        <v>0</v>
      </c>
      <c r="BA323" s="1036"/>
      <c r="BB323" s="1021">
        <f t="shared" si="283"/>
        <v>0</v>
      </c>
      <c r="BC323" s="1034">
        <f t="shared" si="284"/>
        <v>1</v>
      </c>
      <c r="BD323" s="1035">
        <f t="shared" si="285"/>
        <v>0</v>
      </c>
      <c r="BE323" s="1038">
        <v>0</v>
      </c>
      <c r="BF323" s="1018"/>
      <c r="BG323" s="1021">
        <f t="shared" si="286"/>
        <v>0</v>
      </c>
      <c r="BH323" s="1039">
        <f t="shared" si="287"/>
        <v>0</v>
      </c>
      <c r="BI323" s="1038">
        <f t="shared" si="288"/>
        <v>0</v>
      </c>
      <c r="BJ323" s="1027">
        <f t="shared" si="291"/>
        <v>0</v>
      </c>
      <c r="BK323" s="1021">
        <f t="shared" si="292"/>
        <v>0</v>
      </c>
      <c r="BL323" s="1040">
        <f t="shared" si="289"/>
        <v>0</v>
      </c>
      <c r="BM323" s="1038">
        <f t="shared" si="290"/>
        <v>0</v>
      </c>
      <c r="BN323" s="1027"/>
      <c r="BO323" s="1041"/>
      <c r="BP323" s="95">
        <f t="shared" si="296"/>
        <v>0</v>
      </c>
      <c r="BQ323" s="842">
        <f t="shared" si="297"/>
        <v>0</v>
      </c>
      <c r="BS323" s="94">
        <f t="shared" si="293"/>
        <v>0</v>
      </c>
      <c r="BU323" s="632">
        <f t="shared" si="294"/>
        <v>0</v>
      </c>
      <c r="BV323" s="398"/>
      <c r="BW323" s="405"/>
      <c r="CI323" s="96"/>
    </row>
    <row r="324" spans="1:87" ht="14.25" hidden="1" outlineLevel="1" thickTop="1" thickBot="1">
      <c r="A324" s="57"/>
      <c r="B324" s="92">
        <v>84</v>
      </c>
      <c r="C324" s="1029"/>
      <c r="D324" s="1031"/>
      <c r="E324" s="1030"/>
      <c r="F324" s="1031"/>
      <c r="G324" s="1029"/>
      <c r="H324" s="1032">
        <f t="shared" si="257"/>
        <v>1</v>
      </c>
      <c r="I324" s="1033"/>
      <c r="J324" s="1034">
        <f t="shared" si="258"/>
        <v>1</v>
      </c>
      <c r="K324" s="1035">
        <f t="shared" si="259"/>
        <v>0</v>
      </c>
      <c r="L324" s="1036"/>
      <c r="M324" s="1018"/>
      <c r="N324" s="1037">
        <f t="shared" si="260"/>
        <v>0</v>
      </c>
      <c r="O324" s="1034">
        <f t="shared" si="261"/>
        <v>1</v>
      </c>
      <c r="P324" s="1035">
        <f t="shared" si="295"/>
        <v>0</v>
      </c>
      <c r="Q324" s="1036"/>
      <c r="R324" s="1018"/>
      <c r="S324" s="1020">
        <f t="shared" si="263"/>
        <v>0</v>
      </c>
      <c r="T324" s="1034">
        <f t="shared" si="264"/>
        <v>1</v>
      </c>
      <c r="U324" s="1035"/>
      <c r="V324" s="1036">
        <v>0</v>
      </c>
      <c r="W324" s="1018"/>
      <c r="X324" s="1037">
        <f t="shared" si="265"/>
        <v>0</v>
      </c>
      <c r="Y324" s="1034">
        <f t="shared" si="266"/>
        <v>1</v>
      </c>
      <c r="Z324" s="1035">
        <f t="shared" si="298"/>
        <v>0</v>
      </c>
      <c r="AA324" s="1036">
        <v>0</v>
      </c>
      <c r="AB324" s="1018"/>
      <c r="AC324" s="1021">
        <f t="shared" si="268"/>
        <v>0</v>
      </c>
      <c r="AD324" s="1034">
        <f t="shared" si="269"/>
        <v>1</v>
      </c>
      <c r="AE324" s="1035">
        <f t="shared" si="299"/>
        <v>0</v>
      </c>
      <c r="AF324" s="1036">
        <v>0</v>
      </c>
      <c r="AG324" s="1018"/>
      <c r="AH324" s="1037">
        <f t="shared" si="271"/>
        <v>0</v>
      </c>
      <c r="AI324" s="1034">
        <f t="shared" si="272"/>
        <v>1</v>
      </c>
      <c r="AJ324" s="1035">
        <f t="shared" si="273"/>
        <v>0</v>
      </c>
      <c r="AK324" s="1036">
        <v>0</v>
      </c>
      <c r="AL324" s="1018"/>
      <c r="AM324" s="1021">
        <f t="shared" si="274"/>
        <v>0</v>
      </c>
      <c r="AN324" s="1034">
        <f t="shared" si="275"/>
        <v>1</v>
      </c>
      <c r="AO324" s="1035">
        <f t="shared" si="276"/>
        <v>0</v>
      </c>
      <c r="AP324" s="1036">
        <v>0</v>
      </c>
      <c r="AQ324" s="1018"/>
      <c r="AR324" s="1037">
        <f t="shared" si="277"/>
        <v>0</v>
      </c>
      <c r="AS324" s="1034">
        <f t="shared" si="278"/>
        <v>1</v>
      </c>
      <c r="AT324" s="1035">
        <f t="shared" si="279"/>
        <v>0</v>
      </c>
      <c r="AU324" s="1036">
        <v>0</v>
      </c>
      <c r="AV324" s="1018"/>
      <c r="AW324" s="1021">
        <f t="shared" si="280"/>
        <v>0</v>
      </c>
      <c r="AX324" s="1034">
        <f t="shared" si="281"/>
        <v>1</v>
      </c>
      <c r="AY324" s="1035">
        <f t="shared" si="282"/>
        <v>0</v>
      </c>
      <c r="AZ324" s="1036">
        <v>0</v>
      </c>
      <c r="BA324" s="1036"/>
      <c r="BB324" s="1021">
        <f t="shared" si="283"/>
        <v>0</v>
      </c>
      <c r="BC324" s="1034">
        <f t="shared" si="284"/>
        <v>1</v>
      </c>
      <c r="BD324" s="1035">
        <f t="shared" si="285"/>
        <v>0</v>
      </c>
      <c r="BE324" s="1038">
        <v>0</v>
      </c>
      <c r="BF324" s="1018"/>
      <c r="BG324" s="1021">
        <f t="shared" si="286"/>
        <v>0</v>
      </c>
      <c r="BH324" s="1039">
        <f t="shared" si="287"/>
        <v>0</v>
      </c>
      <c r="BI324" s="1038">
        <f t="shared" si="288"/>
        <v>0</v>
      </c>
      <c r="BJ324" s="1027">
        <f t="shared" si="291"/>
        <v>0</v>
      </c>
      <c r="BK324" s="1021">
        <f t="shared" si="292"/>
        <v>0</v>
      </c>
      <c r="BL324" s="1040">
        <f t="shared" si="289"/>
        <v>0</v>
      </c>
      <c r="BM324" s="1038">
        <f t="shared" si="290"/>
        <v>0</v>
      </c>
      <c r="BN324" s="1027"/>
      <c r="BO324" s="1041"/>
      <c r="BP324" s="95">
        <f>SUM(BH324,BL324)</f>
        <v>0</v>
      </c>
      <c r="BQ324" s="842">
        <f>BI324+BM324</f>
        <v>0</v>
      </c>
      <c r="BS324" s="94">
        <f t="shared" si="293"/>
        <v>0</v>
      </c>
      <c r="BU324" s="632">
        <f t="shared" si="294"/>
        <v>0</v>
      </c>
      <c r="BV324" s="398"/>
      <c r="BW324" s="405"/>
      <c r="CI324" s="96"/>
    </row>
    <row r="325" spans="1:87" ht="14.25" hidden="1" outlineLevel="1" thickTop="1" thickBot="1">
      <c r="A325" s="57"/>
      <c r="B325" s="92">
        <v>85</v>
      </c>
      <c r="C325" s="1029"/>
      <c r="D325" s="1031"/>
      <c r="E325" s="1030"/>
      <c r="F325" s="1031"/>
      <c r="G325" s="1029"/>
      <c r="H325" s="1032">
        <f t="shared" si="257"/>
        <v>1</v>
      </c>
      <c r="I325" s="1033"/>
      <c r="J325" s="1034">
        <f t="shared" si="258"/>
        <v>1</v>
      </c>
      <c r="K325" s="1035">
        <f t="shared" si="259"/>
        <v>0</v>
      </c>
      <c r="L325" s="1036"/>
      <c r="M325" s="1018"/>
      <c r="N325" s="1037">
        <f t="shared" si="260"/>
        <v>0</v>
      </c>
      <c r="O325" s="1034">
        <f t="shared" si="261"/>
        <v>1</v>
      </c>
      <c r="P325" s="1035">
        <f t="shared" si="295"/>
        <v>0</v>
      </c>
      <c r="Q325" s="1036"/>
      <c r="R325" s="1018"/>
      <c r="S325" s="1020">
        <f t="shared" si="263"/>
        <v>0</v>
      </c>
      <c r="T325" s="1034">
        <f t="shared" si="264"/>
        <v>1</v>
      </c>
      <c r="U325" s="1035"/>
      <c r="V325" s="1036">
        <v>0</v>
      </c>
      <c r="W325" s="1018"/>
      <c r="X325" s="1037">
        <f t="shared" si="265"/>
        <v>0</v>
      </c>
      <c r="Y325" s="1034">
        <f t="shared" si="266"/>
        <v>1</v>
      </c>
      <c r="Z325" s="1035">
        <f t="shared" si="298"/>
        <v>0</v>
      </c>
      <c r="AA325" s="1036">
        <v>0</v>
      </c>
      <c r="AB325" s="1018"/>
      <c r="AC325" s="1021">
        <f t="shared" si="268"/>
        <v>0</v>
      </c>
      <c r="AD325" s="1034">
        <f t="shared" si="269"/>
        <v>1</v>
      </c>
      <c r="AE325" s="1035">
        <f t="shared" si="299"/>
        <v>0</v>
      </c>
      <c r="AF325" s="1036">
        <v>0</v>
      </c>
      <c r="AG325" s="1018"/>
      <c r="AH325" s="1037">
        <f t="shared" si="271"/>
        <v>0</v>
      </c>
      <c r="AI325" s="1034">
        <f t="shared" si="272"/>
        <v>1</v>
      </c>
      <c r="AJ325" s="1035">
        <f t="shared" si="273"/>
        <v>0</v>
      </c>
      <c r="AK325" s="1036">
        <v>0</v>
      </c>
      <c r="AL325" s="1018"/>
      <c r="AM325" s="1021">
        <f t="shared" si="274"/>
        <v>0</v>
      </c>
      <c r="AN325" s="1034">
        <f t="shared" si="275"/>
        <v>1</v>
      </c>
      <c r="AO325" s="1035">
        <f t="shared" si="276"/>
        <v>0</v>
      </c>
      <c r="AP325" s="1036">
        <v>0</v>
      </c>
      <c r="AQ325" s="1018"/>
      <c r="AR325" s="1037">
        <f t="shared" si="277"/>
        <v>0</v>
      </c>
      <c r="AS325" s="1034">
        <f t="shared" si="278"/>
        <v>1</v>
      </c>
      <c r="AT325" s="1035">
        <f t="shared" si="279"/>
        <v>0</v>
      </c>
      <c r="AU325" s="1038">
        <v>0</v>
      </c>
      <c r="AV325" s="1018"/>
      <c r="AW325" s="1021">
        <f t="shared" si="280"/>
        <v>0</v>
      </c>
      <c r="AX325" s="1034">
        <f t="shared" si="281"/>
        <v>1</v>
      </c>
      <c r="AY325" s="1035">
        <f t="shared" si="282"/>
        <v>0</v>
      </c>
      <c r="AZ325" s="1036">
        <v>0</v>
      </c>
      <c r="BA325" s="1036"/>
      <c r="BB325" s="1021">
        <f t="shared" si="283"/>
        <v>0</v>
      </c>
      <c r="BC325" s="1034">
        <f t="shared" si="284"/>
        <v>1</v>
      </c>
      <c r="BD325" s="1035">
        <f t="shared" si="285"/>
        <v>0</v>
      </c>
      <c r="BE325" s="1038">
        <v>0</v>
      </c>
      <c r="BF325" s="1018"/>
      <c r="BG325" s="1021">
        <f t="shared" si="286"/>
        <v>0</v>
      </c>
      <c r="BH325" s="1039">
        <f t="shared" si="287"/>
        <v>0</v>
      </c>
      <c r="BI325" s="1038">
        <f t="shared" si="288"/>
        <v>0</v>
      </c>
      <c r="BJ325" s="1027">
        <f t="shared" si="291"/>
        <v>0</v>
      </c>
      <c r="BK325" s="1021">
        <f t="shared" si="292"/>
        <v>0</v>
      </c>
      <c r="BL325" s="1040">
        <f t="shared" si="289"/>
        <v>0</v>
      </c>
      <c r="BM325" s="1038">
        <f t="shared" si="290"/>
        <v>0</v>
      </c>
      <c r="BN325" s="1027"/>
      <c r="BO325" s="1041"/>
      <c r="BP325" s="95">
        <f>SUM(BH325,BL325)</f>
        <v>0</v>
      </c>
      <c r="BQ325" s="842">
        <f>BI325+BM325</f>
        <v>0</v>
      </c>
      <c r="BS325" s="94">
        <f t="shared" si="293"/>
        <v>0</v>
      </c>
      <c r="BU325" s="632">
        <f t="shared" si="294"/>
        <v>0</v>
      </c>
      <c r="BV325" s="398"/>
      <c r="BW325" s="405"/>
      <c r="CI325" s="96"/>
    </row>
    <row r="326" spans="1:87" ht="14.25" hidden="1" outlineLevel="1" thickTop="1" thickBot="1">
      <c r="A326" s="57"/>
      <c r="B326" s="92">
        <v>86</v>
      </c>
      <c r="C326" s="1029"/>
      <c r="D326" s="1031"/>
      <c r="E326" s="1030"/>
      <c r="F326" s="1031"/>
      <c r="G326" s="1029"/>
      <c r="H326" s="1032">
        <f t="shared" si="257"/>
        <v>1</v>
      </c>
      <c r="I326" s="1033"/>
      <c r="J326" s="1034">
        <f t="shared" si="258"/>
        <v>1</v>
      </c>
      <c r="K326" s="1035">
        <f t="shared" si="259"/>
        <v>0</v>
      </c>
      <c r="L326" s="1036"/>
      <c r="M326" s="1018"/>
      <c r="N326" s="1037">
        <f t="shared" si="260"/>
        <v>0</v>
      </c>
      <c r="O326" s="1034">
        <f t="shared" si="261"/>
        <v>1</v>
      </c>
      <c r="P326" s="1035">
        <f t="shared" si="295"/>
        <v>0</v>
      </c>
      <c r="Q326" s="1036"/>
      <c r="R326" s="1018"/>
      <c r="S326" s="1020">
        <f t="shared" si="263"/>
        <v>0</v>
      </c>
      <c r="T326" s="1034">
        <f t="shared" si="264"/>
        <v>1</v>
      </c>
      <c r="U326" s="1035"/>
      <c r="V326" s="1036">
        <v>0</v>
      </c>
      <c r="W326" s="1018"/>
      <c r="X326" s="1037">
        <f t="shared" si="265"/>
        <v>0</v>
      </c>
      <c r="Y326" s="1034">
        <f t="shared" si="266"/>
        <v>1</v>
      </c>
      <c r="Z326" s="1035">
        <f t="shared" si="298"/>
        <v>0</v>
      </c>
      <c r="AA326" s="1036">
        <v>0</v>
      </c>
      <c r="AB326" s="1018"/>
      <c r="AC326" s="1021">
        <f t="shared" si="268"/>
        <v>0</v>
      </c>
      <c r="AD326" s="1034">
        <f t="shared" si="269"/>
        <v>1</v>
      </c>
      <c r="AE326" s="1035">
        <f t="shared" si="299"/>
        <v>0</v>
      </c>
      <c r="AF326" s="1036">
        <v>0</v>
      </c>
      <c r="AG326" s="1018"/>
      <c r="AH326" s="1037">
        <f t="shared" si="271"/>
        <v>0</v>
      </c>
      <c r="AI326" s="1034">
        <f t="shared" si="272"/>
        <v>1</v>
      </c>
      <c r="AJ326" s="1035">
        <f t="shared" si="273"/>
        <v>0</v>
      </c>
      <c r="AK326" s="1036">
        <v>0</v>
      </c>
      <c r="AL326" s="1018"/>
      <c r="AM326" s="1021">
        <f t="shared" si="274"/>
        <v>0</v>
      </c>
      <c r="AN326" s="1034">
        <f t="shared" si="275"/>
        <v>1</v>
      </c>
      <c r="AO326" s="1035">
        <f t="shared" si="276"/>
        <v>0</v>
      </c>
      <c r="AP326" s="1036">
        <v>0</v>
      </c>
      <c r="AQ326" s="1018"/>
      <c r="AR326" s="1037">
        <f t="shared" si="277"/>
        <v>0</v>
      </c>
      <c r="AS326" s="1034">
        <f t="shared" si="278"/>
        <v>1</v>
      </c>
      <c r="AT326" s="1035">
        <f t="shared" si="279"/>
        <v>0</v>
      </c>
      <c r="AU326" s="1036">
        <v>0</v>
      </c>
      <c r="AV326" s="1018"/>
      <c r="AW326" s="1021">
        <f t="shared" si="280"/>
        <v>0</v>
      </c>
      <c r="AX326" s="1034">
        <f t="shared" si="281"/>
        <v>1</v>
      </c>
      <c r="AY326" s="1035">
        <f t="shared" si="282"/>
        <v>0</v>
      </c>
      <c r="AZ326" s="1036">
        <v>0</v>
      </c>
      <c r="BA326" s="1036"/>
      <c r="BB326" s="1021">
        <f t="shared" si="283"/>
        <v>0</v>
      </c>
      <c r="BC326" s="1034">
        <f t="shared" si="284"/>
        <v>1</v>
      </c>
      <c r="BD326" s="1035">
        <f t="shared" si="285"/>
        <v>0</v>
      </c>
      <c r="BE326" s="1038">
        <v>0</v>
      </c>
      <c r="BF326" s="1018"/>
      <c r="BG326" s="1021">
        <f t="shared" si="286"/>
        <v>0</v>
      </c>
      <c r="BH326" s="1039">
        <f t="shared" si="287"/>
        <v>0</v>
      </c>
      <c r="BI326" s="1038">
        <f t="shared" si="288"/>
        <v>0</v>
      </c>
      <c r="BJ326" s="1027">
        <f t="shared" si="291"/>
        <v>0</v>
      </c>
      <c r="BK326" s="1021">
        <f t="shared" si="292"/>
        <v>0</v>
      </c>
      <c r="BL326" s="1040">
        <f t="shared" si="289"/>
        <v>0</v>
      </c>
      <c r="BM326" s="1038">
        <f t="shared" si="290"/>
        <v>0</v>
      </c>
      <c r="BN326" s="1027"/>
      <c r="BO326" s="1041"/>
      <c r="BP326" s="95">
        <f>SUM(BH326,BL326)</f>
        <v>0</v>
      </c>
      <c r="BQ326" s="842">
        <f>BI326+BM326</f>
        <v>0</v>
      </c>
      <c r="BS326" s="94">
        <f t="shared" si="293"/>
        <v>0</v>
      </c>
      <c r="BU326" s="632">
        <f t="shared" si="294"/>
        <v>0</v>
      </c>
      <c r="BV326" s="398"/>
      <c r="BW326" s="405"/>
      <c r="CI326" s="96"/>
    </row>
    <row r="327" spans="1:87" ht="14.25" hidden="1" outlineLevel="1" thickTop="1" thickBot="1">
      <c r="A327" s="57"/>
      <c r="B327" s="92">
        <v>87</v>
      </c>
      <c r="C327" s="1029"/>
      <c r="D327" s="1031"/>
      <c r="E327" s="1030"/>
      <c r="F327" s="1031"/>
      <c r="G327" s="1029"/>
      <c r="H327" s="1032">
        <f t="shared" si="257"/>
        <v>1</v>
      </c>
      <c r="I327" s="1033"/>
      <c r="J327" s="1034">
        <f t="shared" si="258"/>
        <v>1</v>
      </c>
      <c r="K327" s="1035">
        <f t="shared" si="259"/>
        <v>0</v>
      </c>
      <c r="L327" s="1036"/>
      <c r="M327" s="1018"/>
      <c r="N327" s="1037">
        <f t="shared" si="260"/>
        <v>0</v>
      </c>
      <c r="O327" s="1034">
        <f t="shared" si="261"/>
        <v>1</v>
      </c>
      <c r="P327" s="1035">
        <f t="shared" si="295"/>
        <v>0</v>
      </c>
      <c r="Q327" s="1036"/>
      <c r="R327" s="1018"/>
      <c r="S327" s="1020">
        <f t="shared" si="263"/>
        <v>0</v>
      </c>
      <c r="T327" s="1034">
        <f t="shared" si="264"/>
        <v>1</v>
      </c>
      <c r="U327" s="1035"/>
      <c r="V327" s="1036">
        <v>0</v>
      </c>
      <c r="W327" s="1018"/>
      <c r="X327" s="1037">
        <f t="shared" si="265"/>
        <v>0</v>
      </c>
      <c r="Y327" s="1034">
        <f t="shared" si="266"/>
        <v>1</v>
      </c>
      <c r="Z327" s="1035">
        <f t="shared" si="298"/>
        <v>0</v>
      </c>
      <c r="AA327" s="1036">
        <v>0</v>
      </c>
      <c r="AB327" s="1018"/>
      <c r="AC327" s="1021">
        <f t="shared" si="268"/>
        <v>0</v>
      </c>
      <c r="AD327" s="1034">
        <f t="shared" si="269"/>
        <v>1</v>
      </c>
      <c r="AE327" s="1035">
        <f t="shared" si="299"/>
        <v>0</v>
      </c>
      <c r="AF327" s="1036">
        <v>0</v>
      </c>
      <c r="AG327" s="1018"/>
      <c r="AH327" s="1037">
        <f t="shared" si="271"/>
        <v>0</v>
      </c>
      <c r="AI327" s="1034">
        <f t="shared" si="272"/>
        <v>1</v>
      </c>
      <c r="AJ327" s="1035">
        <f t="shared" si="273"/>
        <v>0</v>
      </c>
      <c r="AK327" s="1036">
        <v>0</v>
      </c>
      <c r="AL327" s="1018"/>
      <c r="AM327" s="1021">
        <f t="shared" si="274"/>
        <v>0</v>
      </c>
      <c r="AN327" s="1034">
        <f t="shared" si="275"/>
        <v>1</v>
      </c>
      <c r="AO327" s="1035">
        <f t="shared" si="276"/>
        <v>0</v>
      </c>
      <c r="AP327" s="1036">
        <v>0</v>
      </c>
      <c r="AQ327" s="1018"/>
      <c r="AR327" s="1037">
        <f t="shared" si="277"/>
        <v>0</v>
      </c>
      <c r="AS327" s="1034">
        <f t="shared" si="278"/>
        <v>1</v>
      </c>
      <c r="AT327" s="1035">
        <f t="shared" si="279"/>
        <v>0</v>
      </c>
      <c r="AU327" s="1038">
        <v>0</v>
      </c>
      <c r="AV327" s="1018"/>
      <c r="AW327" s="1021">
        <f t="shared" si="280"/>
        <v>0</v>
      </c>
      <c r="AX327" s="1034">
        <f t="shared" si="281"/>
        <v>1</v>
      </c>
      <c r="AY327" s="1035">
        <f t="shared" si="282"/>
        <v>0</v>
      </c>
      <c r="AZ327" s="1036">
        <v>0</v>
      </c>
      <c r="BA327" s="1036"/>
      <c r="BB327" s="1021">
        <f t="shared" si="283"/>
        <v>0</v>
      </c>
      <c r="BC327" s="1034">
        <f t="shared" si="284"/>
        <v>1</v>
      </c>
      <c r="BD327" s="1035">
        <f t="shared" si="285"/>
        <v>0</v>
      </c>
      <c r="BE327" s="1038">
        <v>0</v>
      </c>
      <c r="BF327" s="1018"/>
      <c r="BG327" s="1021">
        <f t="shared" si="286"/>
        <v>0</v>
      </c>
      <c r="BH327" s="1039">
        <f t="shared" si="287"/>
        <v>0</v>
      </c>
      <c r="BI327" s="1038">
        <f t="shared" si="288"/>
        <v>0</v>
      </c>
      <c r="BJ327" s="1027">
        <f t="shared" si="291"/>
        <v>0</v>
      </c>
      <c r="BK327" s="1021">
        <f t="shared" si="292"/>
        <v>0</v>
      </c>
      <c r="BL327" s="1040">
        <f t="shared" si="289"/>
        <v>0</v>
      </c>
      <c r="BM327" s="1038">
        <f t="shared" si="290"/>
        <v>0</v>
      </c>
      <c r="BN327" s="1027"/>
      <c r="BO327" s="1041"/>
      <c r="BP327" s="95">
        <f>SUM(BH327,BL327)</f>
        <v>0</v>
      </c>
      <c r="BQ327" s="842">
        <f>BI327+BM327</f>
        <v>0</v>
      </c>
      <c r="BS327" s="94">
        <f t="shared" si="293"/>
        <v>0</v>
      </c>
      <c r="BU327" s="632">
        <f t="shared" si="294"/>
        <v>0</v>
      </c>
      <c r="BV327" s="398"/>
      <c r="BW327" s="405"/>
      <c r="CI327" s="96"/>
    </row>
    <row r="328" spans="1:87" ht="14.25" hidden="1" outlineLevel="1" thickTop="1" thickBot="1">
      <c r="A328" s="57"/>
      <c r="B328" s="92">
        <v>88</v>
      </c>
      <c r="C328" s="1029"/>
      <c r="D328" s="1031"/>
      <c r="E328" s="1030"/>
      <c r="F328" s="1031"/>
      <c r="G328" s="1029"/>
      <c r="H328" s="1032">
        <f t="shared" si="257"/>
        <v>1</v>
      </c>
      <c r="I328" s="1033"/>
      <c r="J328" s="1034">
        <f t="shared" si="258"/>
        <v>1</v>
      </c>
      <c r="K328" s="1035">
        <f t="shared" si="259"/>
        <v>0</v>
      </c>
      <c r="L328" s="1036"/>
      <c r="M328" s="1018"/>
      <c r="N328" s="1037">
        <f t="shared" si="260"/>
        <v>0</v>
      </c>
      <c r="O328" s="1034">
        <f t="shared" si="261"/>
        <v>1</v>
      </c>
      <c r="P328" s="1035">
        <f t="shared" si="295"/>
        <v>0</v>
      </c>
      <c r="Q328" s="1036"/>
      <c r="R328" s="1018"/>
      <c r="S328" s="1020">
        <f t="shared" si="263"/>
        <v>0</v>
      </c>
      <c r="T328" s="1034">
        <f t="shared" si="264"/>
        <v>1</v>
      </c>
      <c r="U328" s="1035"/>
      <c r="V328" s="1036">
        <v>0</v>
      </c>
      <c r="W328" s="1018"/>
      <c r="X328" s="1037">
        <f t="shared" si="265"/>
        <v>0</v>
      </c>
      <c r="Y328" s="1034">
        <f t="shared" si="266"/>
        <v>1</v>
      </c>
      <c r="Z328" s="1035">
        <f t="shared" si="298"/>
        <v>0</v>
      </c>
      <c r="AA328" s="1036">
        <v>0</v>
      </c>
      <c r="AB328" s="1018"/>
      <c r="AC328" s="1021">
        <f t="shared" si="268"/>
        <v>0</v>
      </c>
      <c r="AD328" s="1034">
        <f t="shared" si="269"/>
        <v>1</v>
      </c>
      <c r="AE328" s="1035">
        <f t="shared" si="299"/>
        <v>0</v>
      </c>
      <c r="AF328" s="1036">
        <v>0</v>
      </c>
      <c r="AG328" s="1018"/>
      <c r="AH328" s="1037">
        <f t="shared" si="271"/>
        <v>0</v>
      </c>
      <c r="AI328" s="1034">
        <f t="shared" si="272"/>
        <v>1</v>
      </c>
      <c r="AJ328" s="1035">
        <f t="shared" si="273"/>
        <v>0</v>
      </c>
      <c r="AK328" s="1036">
        <v>0</v>
      </c>
      <c r="AL328" s="1018"/>
      <c r="AM328" s="1021">
        <f t="shared" si="274"/>
        <v>0</v>
      </c>
      <c r="AN328" s="1034">
        <f t="shared" si="275"/>
        <v>1</v>
      </c>
      <c r="AO328" s="1035">
        <f t="shared" si="276"/>
        <v>0</v>
      </c>
      <c r="AP328" s="1036">
        <v>0</v>
      </c>
      <c r="AQ328" s="1018"/>
      <c r="AR328" s="1037">
        <f t="shared" si="277"/>
        <v>0</v>
      </c>
      <c r="AS328" s="1034">
        <f t="shared" si="278"/>
        <v>1</v>
      </c>
      <c r="AT328" s="1035">
        <f t="shared" si="279"/>
        <v>0</v>
      </c>
      <c r="AU328" s="1036">
        <v>0</v>
      </c>
      <c r="AV328" s="1018"/>
      <c r="AW328" s="1021">
        <f t="shared" si="280"/>
        <v>0</v>
      </c>
      <c r="AX328" s="1034">
        <f t="shared" si="281"/>
        <v>1</v>
      </c>
      <c r="AY328" s="1035">
        <f t="shared" si="282"/>
        <v>0</v>
      </c>
      <c r="AZ328" s="1036">
        <v>0</v>
      </c>
      <c r="BA328" s="1036"/>
      <c r="BB328" s="1021">
        <f t="shared" si="283"/>
        <v>0</v>
      </c>
      <c r="BC328" s="1034">
        <f t="shared" si="284"/>
        <v>1</v>
      </c>
      <c r="BD328" s="1035">
        <f t="shared" si="285"/>
        <v>0</v>
      </c>
      <c r="BE328" s="1038">
        <v>0</v>
      </c>
      <c r="BF328" s="1018"/>
      <c r="BG328" s="1021">
        <f t="shared" si="286"/>
        <v>0</v>
      </c>
      <c r="BH328" s="1039">
        <f t="shared" si="287"/>
        <v>0</v>
      </c>
      <c r="BI328" s="1038">
        <f t="shared" si="288"/>
        <v>0</v>
      </c>
      <c r="BJ328" s="1027">
        <f t="shared" si="291"/>
        <v>0</v>
      </c>
      <c r="BK328" s="1021">
        <f t="shared" si="292"/>
        <v>0</v>
      </c>
      <c r="BL328" s="1040">
        <f t="shared" si="289"/>
        <v>0</v>
      </c>
      <c r="BM328" s="1038">
        <f t="shared" si="290"/>
        <v>0</v>
      </c>
      <c r="BN328" s="1027"/>
      <c r="BO328" s="1041"/>
      <c r="BP328" s="95">
        <f>SUM(BH328,BL328)</f>
        <v>0</v>
      </c>
      <c r="BQ328" s="842">
        <f>BI328+BM328</f>
        <v>0</v>
      </c>
      <c r="BS328" s="94">
        <f t="shared" si="293"/>
        <v>0</v>
      </c>
      <c r="BU328" s="632">
        <f t="shared" si="294"/>
        <v>0</v>
      </c>
      <c r="BV328" s="398"/>
      <c r="BW328" s="405"/>
      <c r="CI328" s="96"/>
    </row>
    <row r="329" spans="1:87" ht="14.25" hidden="1" outlineLevel="1" thickTop="1" thickBot="1">
      <c r="A329" s="57"/>
      <c r="B329" s="92">
        <v>89</v>
      </c>
      <c r="C329" s="1029"/>
      <c r="D329" s="1031"/>
      <c r="E329" s="1030"/>
      <c r="F329" s="1031"/>
      <c r="G329" s="1029"/>
      <c r="H329" s="1032">
        <f t="shared" si="257"/>
        <v>1</v>
      </c>
      <c r="I329" s="1033"/>
      <c r="J329" s="1034">
        <f t="shared" si="258"/>
        <v>1</v>
      </c>
      <c r="K329" s="1035">
        <f t="shared" si="259"/>
        <v>0</v>
      </c>
      <c r="L329" s="1036"/>
      <c r="M329" s="1018"/>
      <c r="N329" s="1037">
        <f t="shared" si="260"/>
        <v>0</v>
      </c>
      <c r="O329" s="1034">
        <f t="shared" si="261"/>
        <v>1</v>
      </c>
      <c r="P329" s="1035">
        <f t="shared" si="295"/>
        <v>0</v>
      </c>
      <c r="Q329" s="1036"/>
      <c r="R329" s="1018"/>
      <c r="S329" s="1020">
        <f t="shared" si="263"/>
        <v>0</v>
      </c>
      <c r="T329" s="1034">
        <f t="shared" si="264"/>
        <v>1</v>
      </c>
      <c r="U329" s="1035"/>
      <c r="V329" s="1036">
        <v>0</v>
      </c>
      <c r="W329" s="1018"/>
      <c r="X329" s="1037">
        <f t="shared" si="265"/>
        <v>0</v>
      </c>
      <c r="Y329" s="1034">
        <f t="shared" si="266"/>
        <v>1</v>
      </c>
      <c r="Z329" s="1035">
        <f t="shared" si="298"/>
        <v>0</v>
      </c>
      <c r="AA329" s="1036">
        <v>0</v>
      </c>
      <c r="AB329" s="1018"/>
      <c r="AC329" s="1021">
        <f t="shared" si="268"/>
        <v>0</v>
      </c>
      <c r="AD329" s="1034">
        <f t="shared" si="269"/>
        <v>1</v>
      </c>
      <c r="AE329" s="1035">
        <f t="shared" si="299"/>
        <v>0</v>
      </c>
      <c r="AF329" s="1036">
        <v>0</v>
      </c>
      <c r="AG329" s="1018"/>
      <c r="AH329" s="1037">
        <f t="shared" si="271"/>
        <v>0</v>
      </c>
      <c r="AI329" s="1034">
        <f t="shared" si="272"/>
        <v>1</v>
      </c>
      <c r="AJ329" s="1035">
        <f t="shared" si="273"/>
        <v>0</v>
      </c>
      <c r="AK329" s="1036">
        <v>0</v>
      </c>
      <c r="AL329" s="1018"/>
      <c r="AM329" s="1021">
        <f t="shared" si="274"/>
        <v>0</v>
      </c>
      <c r="AN329" s="1034">
        <f t="shared" si="275"/>
        <v>1</v>
      </c>
      <c r="AO329" s="1035">
        <f t="shared" si="276"/>
        <v>0</v>
      </c>
      <c r="AP329" s="1036">
        <v>0</v>
      </c>
      <c r="AQ329" s="1018"/>
      <c r="AR329" s="1037">
        <f t="shared" si="277"/>
        <v>0</v>
      </c>
      <c r="AS329" s="1034">
        <f t="shared" si="278"/>
        <v>1</v>
      </c>
      <c r="AT329" s="1035">
        <f t="shared" si="279"/>
        <v>0</v>
      </c>
      <c r="AU329" s="1038">
        <v>0</v>
      </c>
      <c r="AV329" s="1018"/>
      <c r="AW329" s="1021">
        <f t="shared" si="280"/>
        <v>0</v>
      </c>
      <c r="AX329" s="1034">
        <f t="shared" si="281"/>
        <v>1</v>
      </c>
      <c r="AY329" s="1035">
        <f t="shared" si="282"/>
        <v>0</v>
      </c>
      <c r="AZ329" s="1036">
        <v>0</v>
      </c>
      <c r="BA329" s="1036"/>
      <c r="BB329" s="1021">
        <f t="shared" si="283"/>
        <v>0</v>
      </c>
      <c r="BC329" s="1034">
        <f t="shared" si="284"/>
        <v>1</v>
      </c>
      <c r="BD329" s="1035">
        <f t="shared" si="285"/>
        <v>0</v>
      </c>
      <c r="BE329" s="1038">
        <v>0</v>
      </c>
      <c r="BF329" s="1018"/>
      <c r="BG329" s="1021">
        <f t="shared" si="286"/>
        <v>0</v>
      </c>
      <c r="BH329" s="1039">
        <f t="shared" si="287"/>
        <v>0</v>
      </c>
      <c r="BI329" s="1038">
        <f t="shared" si="288"/>
        <v>0</v>
      </c>
      <c r="BJ329" s="1027">
        <f t="shared" si="291"/>
        <v>0</v>
      </c>
      <c r="BK329" s="1021">
        <f t="shared" si="292"/>
        <v>0</v>
      </c>
      <c r="BL329" s="1040">
        <f t="shared" si="289"/>
        <v>0</v>
      </c>
      <c r="BM329" s="1038">
        <f t="shared" si="290"/>
        <v>0</v>
      </c>
      <c r="BN329" s="1027"/>
      <c r="BO329" s="1041"/>
      <c r="BP329" s="95">
        <f t="shared" ref="BP329:BP340" si="300">SUM(BH329,BL329)</f>
        <v>0</v>
      </c>
      <c r="BQ329" s="842">
        <f t="shared" ref="BQ329:BQ340" si="301">BI329+BM329</f>
        <v>0</v>
      </c>
      <c r="BS329" s="94">
        <f t="shared" si="293"/>
        <v>0</v>
      </c>
      <c r="BU329" s="632">
        <f t="shared" si="294"/>
        <v>0</v>
      </c>
      <c r="BV329" s="398"/>
      <c r="BW329" s="405"/>
      <c r="CI329" s="96"/>
    </row>
    <row r="330" spans="1:87" ht="14.25" hidden="1" outlineLevel="1" thickTop="1" thickBot="1">
      <c r="A330" s="57"/>
      <c r="B330" s="92">
        <v>90</v>
      </c>
      <c r="C330" s="1029"/>
      <c r="D330" s="1031"/>
      <c r="E330" s="1030"/>
      <c r="F330" s="1031"/>
      <c r="G330" s="1029"/>
      <c r="H330" s="1032">
        <f t="shared" si="257"/>
        <v>1</v>
      </c>
      <c r="I330" s="1033"/>
      <c r="J330" s="1034">
        <f t="shared" si="258"/>
        <v>1</v>
      </c>
      <c r="K330" s="1035">
        <f t="shared" si="259"/>
        <v>0</v>
      </c>
      <c r="L330" s="1036"/>
      <c r="M330" s="1018"/>
      <c r="N330" s="1037">
        <f t="shared" si="260"/>
        <v>0</v>
      </c>
      <c r="O330" s="1034">
        <f t="shared" si="261"/>
        <v>1</v>
      </c>
      <c r="P330" s="1035">
        <f t="shared" si="295"/>
        <v>0</v>
      </c>
      <c r="Q330" s="1036"/>
      <c r="R330" s="1018"/>
      <c r="S330" s="1020">
        <f t="shared" si="263"/>
        <v>0</v>
      </c>
      <c r="T330" s="1034">
        <f t="shared" si="264"/>
        <v>1</v>
      </c>
      <c r="U330" s="1035"/>
      <c r="V330" s="1036">
        <v>0</v>
      </c>
      <c r="W330" s="1018"/>
      <c r="X330" s="1037">
        <f t="shared" si="265"/>
        <v>0</v>
      </c>
      <c r="Y330" s="1034">
        <f t="shared" si="266"/>
        <v>1</v>
      </c>
      <c r="Z330" s="1035">
        <f t="shared" si="298"/>
        <v>0</v>
      </c>
      <c r="AA330" s="1036">
        <v>0</v>
      </c>
      <c r="AB330" s="1018"/>
      <c r="AC330" s="1021">
        <f t="shared" si="268"/>
        <v>0</v>
      </c>
      <c r="AD330" s="1034">
        <f t="shared" si="269"/>
        <v>1</v>
      </c>
      <c r="AE330" s="1035">
        <f t="shared" si="299"/>
        <v>0</v>
      </c>
      <c r="AF330" s="1036">
        <v>0</v>
      </c>
      <c r="AG330" s="1018"/>
      <c r="AH330" s="1037">
        <f t="shared" si="271"/>
        <v>0</v>
      </c>
      <c r="AI330" s="1034">
        <f t="shared" si="272"/>
        <v>1</v>
      </c>
      <c r="AJ330" s="1035">
        <f t="shared" si="273"/>
        <v>0</v>
      </c>
      <c r="AK330" s="1036">
        <v>0</v>
      </c>
      <c r="AL330" s="1018"/>
      <c r="AM330" s="1021">
        <f t="shared" si="274"/>
        <v>0</v>
      </c>
      <c r="AN330" s="1034">
        <f t="shared" si="275"/>
        <v>1</v>
      </c>
      <c r="AO330" s="1035">
        <f t="shared" si="276"/>
        <v>0</v>
      </c>
      <c r="AP330" s="1036">
        <v>0</v>
      </c>
      <c r="AQ330" s="1018"/>
      <c r="AR330" s="1037">
        <f t="shared" si="277"/>
        <v>0</v>
      </c>
      <c r="AS330" s="1034">
        <f t="shared" si="278"/>
        <v>1</v>
      </c>
      <c r="AT330" s="1035">
        <f t="shared" si="279"/>
        <v>0</v>
      </c>
      <c r="AU330" s="1036">
        <v>0</v>
      </c>
      <c r="AV330" s="1018"/>
      <c r="AW330" s="1021">
        <f t="shared" si="280"/>
        <v>0</v>
      </c>
      <c r="AX330" s="1034">
        <f t="shared" si="281"/>
        <v>1</v>
      </c>
      <c r="AY330" s="1035">
        <f t="shared" si="282"/>
        <v>0</v>
      </c>
      <c r="AZ330" s="1036">
        <v>0</v>
      </c>
      <c r="BA330" s="1036"/>
      <c r="BB330" s="1021">
        <f t="shared" si="283"/>
        <v>0</v>
      </c>
      <c r="BC330" s="1034">
        <f t="shared" si="284"/>
        <v>1</v>
      </c>
      <c r="BD330" s="1035">
        <f t="shared" si="285"/>
        <v>0</v>
      </c>
      <c r="BE330" s="1038">
        <v>0</v>
      </c>
      <c r="BF330" s="1018"/>
      <c r="BG330" s="1021">
        <f t="shared" si="286"/>
        <v>0</v>
      </c>
      <c r="BH330" s="1039">
        <f t="shared" si="287"/>
        <v>0</v>
      </c>
      <c r="BI330" s="1038">
        <f t="shared" si="288"/>
        <v>0</v>
      </c>
      <c r="BJ330" s="1027">
        <f t="shared" si="291"/>
        <v>0</v>
      </c>
      <c r="BK330" s="1021">
        <f t="shared" si="292"/>
        <v>0</v>
      </c>
      <c r="BL330" s="1040">
        <f t="shared" si="289"/>
        <v>0</v>
      </c>
      <c r="BM330" s="1038">
        <f t="shared" si="290"/>
        <v>0</v>
      </c>
      <c r="BN330" s="1027"/>
      <c r="BO330" s="1041"/>
      <c r="BP330" s="95">
        <f t="shared" si="300"/>
        <v>0</v>
      </c>
      <c r="BQ330" s="842">
        <f t="shared" si="301"/>
        <v>0</v>
      </c>
      <c r="BS330" s="94">
        <f t="shared" si="293"/>
        <v>0</v>
      </c>
      <c r="BU330" s="632">
        <f t="shared" si="294"/>
        <v>0</v>
      </c>
      <c r="BV330" s="398"/>
      <c r="BW330" s="405"/>
      <c r="CI330" s="96"/>
    </row>
    <row r="331" spans="1:87" ht="14.25" hidden="1" outlineLevel="1" thickTop="1" thickBot="1">
      <c r="A331" s="57"/>
      <c r="B331" s="92">
        <v>91</v>
      </c>
      <c r="C331" s="1029"/>
      <c r="D331" s="1031"/>
      <c r="E331" s="1030"/>
      <c r="F331" s="1031"/>
      <c r="G331" s="1029"/>
      <c r="H331" s="1032">
        <f t="shared" si="257"/>
        <v>1</v>
      </c>
      <c r="I331" s="1033"/>
      <c r="J331" s="1034">
        <f t="shared" si="258"/>
        <v>1</v>
      </c>
      <c r="K331" s="1035">
        <f t="shared" si="259"/>
        <v>0</v>
      </c>
      <c r="L331" s="1036"/>
      <c r="M331" s="1018"/>
      <c r="N331" s="1037">
        <f t="shared" si="260"/>
        <v>0</v>
      </c>
      <c r="O331" s="1034">
        <f t="shared" si="261"/>
        <v>1</v>
      </c>
      <c r="P331" s="1035">
        <f t="shared" si="295"/>
        <v>0</v>
      </c>
      <c r="Q331" s="1036"/>
      <c r="R331" s="1018"/>
      <c r="S331" s="1020">
        <f t="shared" si="263"/>
        <v>0</v>
      </c>
      <c r="T331" s="1034">
        <f t="shared" si="264"/>
        <v>1</v>
      </c>
      <c r="U331" s="1035"/>
      <c r="V331" s="1036">
        <v>0</v>
      </c>
      <c r="W331" s="1018"/>
      <c r="X331" s="1037">
        <f t="shared" si="265"/>
        <v>0</v>
      </c>
      <c r="Y331" s="1034">
        <f t="shared" si="266"/>
        <v>1</v>
      </c>
      <c r="Z331" s="1035">
        <f t="shared" si="298"/>
        <v>0</v>
      </c>
      <c r="AA331" s="1036">
        <v>0</v>
      </c>
      <c r="AB331" s="1018"/>
      <c r="AC331" s="1021">
        <f t="shared" si="268"/>
        <v>0</v>
      </c>
      <c r="AD331" s="1034">
        <f t="shared" si="269"/>
        <v>1</v>
      </c>
      <c r="AE331" s="1035">
        <f t="shared" si="299"/>
        <v>0</v>
      </c>
      <c r="AF331" s="1036">
        <v>0</v>
      </c>
      <c r="AG331" s="1018"/>
      <c r="AH331" s="1037">
        <f t="shared" si="271"/>
        <v>0</v>
      </c>
      <c r="AI331" s="1034">
        <f t="shared" si="272"/>
        <v>1</v>
      </c>
      <c r="AJ331" s="1035">
        <f t="shared" si="273"/>
        <v>0</v>
      </c>
      <c r="AK331" s="1036">
        <v>0</v>
      </c>
      <c r="AL331" s="1018"/>
      <c r="AM331" s="1021">
        <f t="shared" si="274"/>
        <v>0</v>
      </c>
      <c r="AN331" s="1034">
        <f t="shared" si="275"/>
        <v>1</v>
      </c>
      <c r="AO331" s="1035">
        <f t="shared" si="276"/>
        <v>0</v>
      </c>
      <c r="AP331" s="1036">
        <v>0</v>
      </c>
      <c r="AQ331" s="1018"/>
      <c r="AR331" s="1037">
        <f t="shared" si="277"/>
        <v>0</v>
      </c>
      <c r="AS331" s="1034">
        <f t="shared" si="278"/>
        <v>1</v>
      </c>
      <c r="AT331" s="1035">
        <f t="shared" si="279"/>
        <v>0</v>
      </c>
      <c r="AU331" s="1038">
        <v>0</v>
      </c>
      <c r="AV331" s="1018"/>
      <c r="AW331" s="1021">
        <f t="shared" si="280"/>
        <v>0</v>
      </c>
      <c r="AX331" s="1034">
        <f t="shared" si="281"/>
        <v>1</v>
      </c>
      <c r="AY331" s="1035">
        <f t="shared" si="282"/>
        <v>0</v>
      </c>
      <c r="AZ331" s="1036">
        <v>0</v>
      </c>
      <c r="BA331" s="1036"/>
      <c r="BB331" s="1021">
        <f t="shared" si="283"/>
        <v>0</v>
      </c>
      <c r="BC331" s="1034">
        <f t="shared" si="284"/>
        <v>1</v>
      </c>
      <c r="BD331" s="1035">
        <f t="shared" si="285"/>
        <v>0</v>
      </c>
      <c r="BE331" s="1038">
        <v>0</v>
      </c>
      <c r="BF331" s="1018"/>
      <c r="BG331" s="1021">
        <f t="shared" si="286"/>
        <v>0</v>
      </c>
      <c r="BH331" s="1039">
        <f t="shared" si="287"/>
        <v>0</v>
      </c>
      <c r="BI331" s="1038">
        <f t="shared" si="288"/>
        <v>0</v>
      </c>
      <c r="BJ331" s="1027">
        <f t="shared" si="291"/>
        <v>0</v>
      </c>
      <c r="BK331" s="1021">
        <f t="shared" si="292"/>
        <v>0</v>
      </c>
      <c r="BL331" s="1040">
        <f t="shared" si="289"/>
        <v>0</v>
      </c>
      <c r="BM331" s="1038">
        <f t="shared" si="290"/>
        <v>0</v>
      </c>
      <c r="BN331" s="1027"/>
      <c r="BO331" s="1041"/>
      <c r="BP331" s="95">
        <f t="shared" si="300"/>
        <v>0</v>
      </c>
      <c r="BQ331" s="842">
        <f t="shared" si="301"/>
        <v>0</v>
      </c>
      <c r="BS331" s="94">
        <f t="shared" si="293"/>
        <v>0</v>
      </c>
      <c r="BU331" s="632">
        <f t="shared" si="294"/>
        <v>0</v>
      </c>
      <c r="BV331" s="398"/>
      <c r="BW331" s="405"/>
      <c r="CI331" s="96"/>
    </row>
    <row r="332" spans="1:87" ht="14.25" hidden="1" outlineLevel="1" thickTop="1" thickBot="1">
      <c r="A332" s="57"/>
      <c r="B332" s="92">
        <v>92</v>
      </c>
      <c r="C332" s="1029"/>
      <c r="D332" s="1031"/>
      <c r="E332" s="1030"/>
      <c r="F332" s="1031"/>
      <c r="G332" s="1029"/>
      <c r="H332" s="1032">
        <f t="shared" si="257"/>
        <v>1</v>
      </c>
      <c r="I332" s="1033"/>
      <c r="J332" s="1034">
        <f t="shared" si="258"/>
        <v>1</v>
      </c>
      <c r="K332" s="1035">
        <f t="shared" si="259"/>
        <v>0</v>
      </c>
      <c r="L332" s="1036"/>
      <c r="M332" s="1018"/>
      <c r="N332" s="1037">
        <f t="shared" si="260"/>
        <v>0</v>
      </c>
      <c r="O332" s="1034">
        <f t="shared" si="261"/>
        <v>1</v>
      </c>
      <c r="P332" s="1035">
        <f t="shared" si="295"/>
        <v>0</v>
      </c>
      <c r="Q332" s="1036"/>
      <c r="R332" s="1018"/>
      <c r="S332" s="1020">
        <f t="shared" si="263"/>
        <v>0</v>
      </c>
      <c r="T332" s="1034">
        <f t="shared" si="264"/>
        <v>1</v>
      </c>
      <c r="U332" s="1035"/>
      <c r="V332" s="1036">
        <v>0</v>
      </c>
      <c r="W332" s="1018"/>
      <c r="X332" s="1037">
        <f t="shared" si="265"/>
        <v>0</v>
      </c>
      <c r="Y332" s="1034">
        <f t="shared" si="266"/>
        <v>1</v>
      </c>
      <c r="Z332" s="1035">
        <f t="shared" si="298"/>
        <v>0</v>
      </c>
      <c r="AA332" s="1036">
        <v>0</v>
      </c>
      <c r="AB332" s="1018"/>
      <c r="AC332" s="1021">
        <f t="shared" si="268"/>
        <v>0</v>
      </c>
      <c r="AD332" s="1034">
        <f t="shared" si="269"/>
        <v>1</v>
      </c>
      <c r="AE332" s="1035">
        <f t="shared" si="299"/>
        <v>0</v>
      </c>
      <c r="AF332" s="1036">
        <v>0</v>
      </c>
      <c r="AG332" s="1018"/>
      <c r="AH332" s="1037">
        <f t="shared" si="271"/>
        <v>0</v>
      </c>
      <c r="AI332" s="1034">
        <f t="shared" si="272"/>
        <v>1</v>
      </c>
      <c r="AJ332" s="1035">
        <f t="shared" si="273"/>
        <v>0</v>
      </c>
      <c r="AK332" s="1036">
        <v>0</v>
      </c>
      <c r="AL332" s="1018"/>
      <c r="AM332" s="1021">
        <f t="shared" si="274"/>
        <v>0</v>
      </c>
      <c r="AN332" s="1034">
        <f t="shared" si="275"/>
        <v>1</v>
      </c>
      <c r="AO332" s="1035">
        <f t="shared" si="276"/>
        <v>0</v>
      </c>
      <c r="AP332" s="1036">
        <v>0</v>
      </c>
      <c r="AQ332" s="1018"/>
      <c r="AR332" s="1037">
        <f t="shared" si="277"/>
        <v>0</v>
      </c>
      <c r="AS332" s="1034">
        <f t="shared" si="278"/>
        <v>1</v>
      </c>
      <c r="AT332" s="1035">
        <f t="shared" si="279"/>
        <v>0</v>
      </c>
      <c r="AU332" s="1036">
        <v>0</v>
      </c>
      <c r="AV332" s="1018"/>
      <c r="AW332" s="1021">
        <f t="shared" si="280"/>
        <v>0</v>
      </c>
      <c r="AX332" s="1034">
        <f t="shared" si="281"/>
        <v>1</v>
      </c>
      <c r="AY332" s="1035">
        <f t="shared" si="282"/>
        <v>0</v>
      </c>
      <c r="AZ332" s="1036">
        <v>0</v>
      </c>
      <c r="BA332" s="1036"/>
      <c r="BB332" s="1021">
        <f t="shared" si="283"/>
        <v>0</v>
      </c>
      <c r="BC332" s="1034">
        <f t="shared" si="284"/>
        <v>1</v>
      </c>
      <c r="BD332" s="1035">
        <f t="shared" si="285"/>
        <v>0</v>
      </c>
      <c r="BE332" s="1038">
        <v>0</v>
      </c>
      <c r="BF332" s="1018"/>
      <c r="BG332" s="1021">
        <f t="shared" si="286"/>
        <v>0</v>
      </c>
      <c r="BH332" s="1039">
        <f t="shared" si="287"/>
        <v>0</v>
      </c>
      <c r="BI332" s="1038">
        <f t="shared" si="288"/>
        <v>0</v>
      </c>
      <c r="BJ332" s="1027">
        <f t="shared" si="291"/>
        <v>0</v>
      </c>
      <c r="BK332" s="1021">
        <f t="shared" si="292"/>
        <v>0</v>
      </c>
      <c r="BL332" s="1040">
        <f t="shared" si="289"/>
        <v>0</v>
      </c>
      <c r="BM332" s="1038">
        <f t="shared" si="290"/>
        <v>0</v>
      </c>
      <c r="BN332" s="1027"/>
      <c r="BO332" s="1041"/>
      <c r="BP332" s="95">
        <f t="shared" si="300"/>
        <v>0</v>
      </c>
      <c r="BQ332" s="842">
        <f t="shared" si="301"/>
        <v>0</v>
      </c>
      <c r="BS332" s="94">
        <f t="shared" si="293"/>
        <v>0</v>
      </c>
      <c r="BU332" s="632">
        <f t="shared" si="294"/>
        <v>0</v>
      </c>
      <c r="BV332" s="398"/>
      <c r="BW332" s="405"/>
      <c r="CI332" s="96"/>
    </row>
    <row r="333" spans="1:87" ht="14.25" hidden="1" outlineLevel="1" thickTop="1" thickBot="1">
      <c r="A333" s="57"/>
      <c r="B333" s="92">
        <v>93</v>
      </c>
      <c r="C333" s="1029"/>
      <c r="D333" s="1031"/>
      <c r="E333" s="1030"/>
      <c r="F333" s="1031"/>
      <c r="G333" s="1029"/>
      <c r="H333" s="1032">
        <f t="shared" si="257"/>
        <v>1</v>
      </c>
      <c r="I333" s="1033"/>
      <c r="J333" s="1034">
        <f t="shared" si="258"/>
        <v>1</v>
      </c>
      <c r="K333" s="1035">
        <f t="shared" si="259"/>
        <v>0</v>
      </c>
      <c r="L333" s="1036"/>
      <c r="M333" s="1018"/>
      <c r="N333" s="1037">
        <f t="shared" si="260"/>
        <v>0</v>
      </c>
      <c r="O333" s="1034">
        <f t="shared" si="261"/>
        <v>1</v>
      </c>
      <c r="P333" s="1035">
        <f t="shared" si="295"/>
        <v>0</v>
      </c>
      <c r="Q333" s="1036"/>
      <c r="R333" s="1018"/>
      <c r="S333" s="1020">
        <f t="shared" si="263"/>
        <v>0</v>
      </c>
      <c r="T333" s="1034">
        <f t="shared" si="264"/>
        <v>1</v>
      </c>
      <c r="U333" s="1035"/>
      <c r="V333" s="1036">
        <v>0</v>
      </c>
      <c r="W333" s="1018"/>
      <c r="X333" s="1037">
        <f t="shared" si="265"/>
        <v>0</v>
      </c>
      <c r="Y333" s="1034">
        <f t="shared" si="266"/>
        <v>1</v>
      </c>
      <c r="Z333" s="1035">
        <f t="shared" si="298"/>
        <v>0</v>
      </c>
      <c r="AA333" s="1036">
        <v>0</v>
      </c>
      <c r="AB333" s="1018"/>
      <c r="AC333" s="1021">
        <f t="shared" si="268"/>
        <v>0</v>
      </c>
      <c r="AD333" s="1034">
        <f t="shared" si="269"/>
        <v>1</v>
      </c>
      <c r="AE333" s="1035">
        <f t="shared" si="299"/>
        <v>0</v>
      </c>
      <c r="AF333" s="1036">
        <v>0</v>
      </c>
      <c r="AG333" s="1018"/>
      <c r="AH333" s="1037">
        <f t="shared" si="271"/>
        <v>0</v>
      </c>
      <c r="AI333" s="1034">
        <f t="shared" si="272"/>
        <v>1</v>
      </c>
      <c r="AJ333" s="1035">
        <f t="shared" si="273"/>
        <v>0</v>
      </c>
      <c r="AK333" s="1036">
        <v>0</v>
      </c>
      <c r="AL333" s="1018"/>
      <c r="AM333" s="1021">
        <f t="shared" si="274"/>
        <v>0</v>
      </c>
      <c r="AN333" s="1034">
        <f t="shared" si="275"/>
        <v>1</v>
      </c>
      <c r="AO333" s="1035">
        <f t="shared" si="276"/>
        <v>0</v>
      </c>
      <c r="AP333" s="1036">
        <v>0</v>
      </c>
      <c r="AQ333" s="1018"/>
      <c r="AR333" s="1037">
        <f t="shared" si="277"/>
        <v>0</v>
      </c>
      <c r="AS333" s="1034">
        <f t="shared" si="278"/>
        <v>1</v>
      </c>
      <c r="AT333" s="1035">
        <f t="shared" si="279"/>
        <v>0</v>
      </c>
      <c r="AU333" s="1038">
        <v>0</v>
      </c>
      <c r="AV333" s="1018"/>
      <c r="AW333" s="1021">
        <f t="shared" si="280"/>
        <v>0</v>
      </c>
      <c r="AX333" s="1034">
        <f t="shared" si="281"/>
        <v>1</v>
      </c>
      <c r="AY333" s="1035">
        <f t="shared" si="282"/>
        <v>0</v>
      </c>
      <c r="AZ333" s="1036">
        <v>0</v>
      </c>
      <c r="BA333" s="1036"/>
      <c r="BB333" s="1021">
        <f t="shared" si="283"/>
        <v>0</v>
      </c>
      <c r="BC333" s="1034">
        <f t="shared" si="284"/>
        <v>1</v>
      </c>
      <c r="BD333" s="1035">
        <f t="shared" si="285"/>
        <v>0</v>
      </c>
      <c r="BE333" s="1038">
        <v>0</v>
      </c>
      <c r="BF333" s="1018"/>
      <c r="BG333" s="1021">
        <f t="shared" si="286"/>
        <v>0</v>
      </c>
      <c r="BH333" s="1039">
        <f t="shared" si="287"/>
        <v>0</v>
      </c>
      <c r="BI333" s="1038">
        <f t="shared" si="288"/>
        <v>0</v>
      </c>
      <c r="BJ333" s="1027">
        <f t="shared" si="291"/>
        <v>0</v>
      </c>
      <c r="BK333" s="1021">
        <f t="shared" si="292"/>
        <v>0</v>
      </c>
      <c r="BL333" s="1040">
        <f t="shared" si="289"/>
        <v>0</v>
      </c>
      <c r="BM333" s="1038">
        <f t="shared" si="290"/>
        <v>0</v>
      </c>
      <c r="BN333" s="1027"/>
      <c r="BO333" s="1041"/>
      <c r="BP333" s="95">
        <f t="shared" si="300"/>
        <v>0</v>
      </c>
      <c r="BQ333" s="842">
        <f t="shared" si="301"/>
        <v>0</v>
      </c>
      <c r="BS333" s="94">
        <f t="shared" si="293"/>
        <v>0</v>
      </c>
      <c r="BU333" s="632">
        <f t="shared" si="294"/>
        <v>0</v>
      </c>
      <c r="BV333" s="398"/>
      <c r="BW333" s="405"/>
      <c r="CI333" s="96"/>
    </row>
    <row r="334" spans="1:87" ht="14.25" hidden="1" outlineLevel="1" thickTop="1" thickBot="1">
      <c r="A334" s="57"/>
      <c r="B334" s="92">
        <v>94</v>
      </c>
      <c r="C334" s="1029"/>
      <c r="D334" s="1031"/>
      <c r="E334" s="1030"/>
      <c r="F334" s="1031"/>
      <c r="G334" s="1029"/>
      <c r="H334" s="1032">
        <f t="shared" si="257"/>
        <v>1</v>
      </c>
      <c r="I334" s="1033"/>
      <c r="J334" s="1034">
        <f t="shared" si="258"/>
        <v>1</v>
      </c>
      <c r="K334" s="1035">
        <f t="shared" si="259"/>
        <v>0</v>
      </c>
      <c r="L334" s="1036"/>
      <c r="M334" s="1018"/>
      <c r="N334" s="1037">
        <f t="shared" si="260"/>
        <v>0</v>
      </c>
      <c r="O334" s="1034">
        <f t="shared" si="261"/>
        <v>1</v>
      </c>
      <c r="P334" s="1035">
        <f t="shared" si="295"/>
        <v>0</v>
      </c>
      <c r="Q334" s="1036"/>
      <c r="R334" s="1018"/>
      <c r="S334" s="1020">
        <f t="shared" si="263"/>
        <v>0</v>
      </c>
      <c r="T334" s="1034">
        <f t="shared" si="264"/>
        <v>1</v>
      </c>
      <c r="U334" s="1035"/>
      <c r="V334" s="1036">
        <v>0</v>
      </c>
      <c r="W334" s="1018"/>
      <c r="X334" s="1037">
        <f t="shared" si="265"/>
        <v>0</v>
      </c>
      <c r="Y334" s="1034">
        <f t="shared" si="266"/>
        <v>1</v>
      </c>
      <c r="Z334" s="1035">
        <f t="shared" si="298"/>
        <v>0</v>
      </c>
      <c r="AA334" s="1036">
        <v>0</v>
      </c>
      <c r="AB334" s="1018"/>
      <c r="AC334" s="1021">
        <f t="shared" si="268"/>
        <v>0</v>
      </c>
      <c r="AD334" s="1034">
        <f t="shared" si="269"/>
        <v>1</v>
      </c>
      <c r="AE334" s="1035">
        <f t="shared" si="299"/>
        <v>0</v>
      </c>
      <c r="AF334" s="1036">
        <v>0</v>
      </c>
      <c r="AG334" s="1018"/>
      <c r="AH334" s="1037">
        <f t="shared" si="271"/>
        <v>0</v>
      </c>
      <c r="AI334" s="1034">
        <f t="shared" si="272"/>
        <v>1</v>
      </c>
      <c r="AJ334" s="1035">
        <f t="shared" si="273"/>
        <v>0</v>
      </c>
      <c r="AK334" s="1036">
        <v>0</v>
      </c>
      <c r="AL334" s="1018"/>
      <c r="AM334" s="1021">
        <f t="shared" si="274"/>
        <v>0</v>
      </c>
      <c r="AN334" s="1034">
        <f t="shared" si="275"/>
        <v>1</v>
      </c>
      <c r="AO334" s="1035">
        <f t="shared" si="276"/>
        <v>0</v>
      </c>
      <c r="AP334" s="1036">
        <v>0</v>
      </c>
      <c r="AQ334" s="1018"/>
      <c r="AR334" s="1037">
        <f t="shared" si="277"/>
        <v>0</v>
      </c>
      <c r="AS334" s="1034">
        <f t="shared" si="278"/>
        <v>1</v>
      </c>
      <c r="AT334" s="1035">
        <f t="shared" si="279"/>
        <v>0</v>
      </c>
      <c r="AU334" s="1036">
        <v>0</v>
      </c>
      <c r="AV334" s="1018"/>
      <c r="AW334" s="1021">
        <f t="shared" si="280"/>
        <v>0</v>
      </c>
      <c r="AX334" s="1034">
        <f t="shared" si="281"/>
        <v>1</v>
      </c>
      <c r="AY334" s="1035">
        <f t="shared" si="282"/>
        <v>0</v>
      </c>
      <c r="AZ334" s="1036">
        <v>0</v>
      </c>
      <c r="BA334" s="1036"/>
      <c r="BB334" s="1021">
        <f t="shared" si="283"/>
        <v>0</v>
      </c>
      <c r="BC334" s="1034">
        <f t="shared" si="284"/>
        <v>1</v>
      </c>
      <c r="BD334" s="1035">
        <f t="shared" si="285"/>
        <v>0</v>
      </c>
      <c r="BE334" s="1038">
        <v>0</v>
      </c>
      <c r="BF334" s="1018"/>
      <c r="BG334" s="1021">
        <f t="shared" si="286"/>
        <v>0</v>
      </c>
      <c r="BH334" s="1039">
        <f t="shared" si="287"/>
        <v>0</v>
      </c>
      <c r="BI334" s="1038">
        <f t="shared" si="288"/>
        <v>0</v>
      </c>
      <c r="BJ334" s="1027">
        <f t="shared" si="291"/>
        <v>0</v>
      </c>
      <c r="BK334" s="1021">
        <f t="shared" si="292"/>
        <v>0</v>
      </c>
      <c r="BL334" s="1040">
        <f t="shared" si="289"/>
        <v>0</v>
      </c>
      <c r="BM334" s="1038">
        <f t="shared" si="290"/>
        <v>0</v>
      </c>
      <c r="BN334" s="1027"/>
      <c r="BO334" s="1041"/>
      <c r="BP334" s="95">
        <f t="shared" si="300"/>
        <v>0</v>
      </c>
      <c r="BQ334" s="842">
        <f t="shared" si="301"/>
        <v>0</v>
      </c>
      <c r="BS334" s="94">
        <f t="shared" si="293"/>
        <v>0</v>
      </c>
      <c r="BU334" s="632">
        <f t="shared" si="294"/>
        <v>0</v>
      </c>
      <c r="BV334" s="398"/>
      <c r="BW334" s="405"/>
      <c r="CI334" s="96"/>
    </row>
    <row r="335" spans="1:87" ht="14.25" hidden="1" outlineLevel="1" thickTop="1" thickBot="1">
      <c r="A335" s="57"/>
      <c r="B335" s="92">
        <v>95</v>
      </c>
      <c r="C335" s="1029"/>
      <c r="D335" s="1031"/>
      <c r="E335" s="1030"/>
      <c r="F335" s="1031"/>
      <c r="G335" s="1029"/>
      <c r="H335" s="1032">
        <f t="shared" si="257"/>
        <v>1</v>
      </c>
      <c r="I335" s="1033"/>
      <c r="J335" s="1034">
        <f t="shared" si="258"/>
        <v>1</v>
      </c>
      <c r="K335" s="1035">
        <f t="shared" si="259"/>
        <v>0</v>
      </c>
      <c r="L335" s="1036"/>
      <c r="M335" s="1018"/>
      <c r="N335" s="1037">
        <f t="shared" si="260"/>
        <v>0</v>
      </c>
      <c r="O335" s="1034">
        <f t="shared" si="261"/>
        <v>1</v>
      </c>
      <c r="P335" s="1035">
        <f t="shared" si="295"/>
        <v>0</v>
      </c>
      <c r="Q335" s="1036"/>
      <c r="R335" s="1018"/>
      <c r="S335" s="1020">
        <f t="shared" si="263"/>
        <v>0</v>
      </c>
      <c r="T335" s="1034">
        <f t="shared" si="264"/>
        <v>1</v>
      </c>
      <c r="U335" s="1035"/>
      <c r="V335" s="1036">
        <v>0</v>
      </c>
      <c r="W335" s="1018"/>
      <c r="X335" s="1037">
        <f t="shared" si="265"/>
        <v>0</v>
      </c>
      <c r="Y335" s="1034">
        <f t="shared" si="266"/>
        <v>1</v>
      </c>
      <c r="Z335" s="1035">
        <f t="shared" si="298"/>
        <v>0</v>
      </c>
      <c r="AA335" s="1036">
        <v>0</v>
      </c>
      <c r="AB335" s="1018"/>
      <c r="AC335" s="1021">
        <f t="shared" si="268"/>
        <v>0</v>
      </c>
      <c r="AD335" s="1034">
        <f t="shared" si="269"/>
        <v>1</v>
      </c>
      <c r="AE335" s="1035">
        <f t="shared" si="299"/>
        <v>0</v>
      </c>
      <c r="AF335" s="1036">
        <v>0</v>
      </c>
      <c r="AG335" s="1018"/>
      <c r="AH335" s="1037">
        <f t="shared" si="271"/>
        <v>0</v>
      </c>
      <c r="AI335" s="1034">
        <f t="shared" si="272"/>
        <v>1</v>
      </c>
      <c r="AJ335" s="1035">
        <f t="shared" si="273"/>
        <v>0</v>
      </c>
      <c r="AK335" s="1036">
        <v>0</v>
      </c>
      <c r="AL335" s="1018"/>
      <c r="AM335" s="1021">
        <f t="shared" si="274"/>
        <v>0</v>
      </c>
      <c r="AN335" s="1034">
        <f t="shared" si="275"/>
        <v>1</v>
      </c>
      <c r="AO335" s="1035">
        <f t="shared" si="276"/>
        <v>0</v>
      </c>
      <c r="AP335" s="1036">
        <v>0</v>
      </c>
      <c r="AQ335" s="1018"/>
      <c r="AR335" s="1037">
        <f t="shared" si="277"/>
        <v>0</v>
      </c>
      <c r="AS335" s="1034">
        <f t="shared" si="278"/>
        <v>1</v>
      </c>
      <c r="AT335" s="1035">
        <f t="shared" si="279"/>
        <v>0</v>
      </c>
      <c r="AU335" s="1038">
        <v>0</v>
      </c>
      <c r="AV335" s="1018"/>
      <c r="AW335" s="1021">
        <f t="shared" si="280"/>
        <v>0</v>
      </c>
      <c r="AX335" s="1034">
        <f t="shared" si="281"/>
        <v>1</v>
      </c>
      <c r="AY335" s="1035">
        <f t="shared" si="282"/>
        <v>0</v>
      </c>
      <c r="AZ335" s="1036">
        <v>0</v>
      </c>
      <c r="BA335" s="1036"/>
      <c r="BB335" s="1021">
        <f t="shared" si="283"/>
        <v>0</v>
      </c>
      <c r="BC335" s="1034">
        <f t="shared" si="284"/>
        <v>1</v>
      </c>
      <c r="BD335" s="1035">
        <f t="shared" si="285"/>
        <v>0</v>
      </c>
      <c r="BE335" s="1038">
        <v>0</v>
      </c>
      <c r="BF335" s="1018"/>
      <c r="BG335" s="1021">
        <f t="shared" si="286"/>
        <v>0</v>
      </c>
      <c r="BH335" s="1039">
        <f t="shared" si="287"/>
        <v>0</v>
      </c>
      <c r="BI335" s="1038">
        <f t="shared" si="288"/>
        <v>0</v>
      </c>
      <c r="BJ335" s="1027">
        <f t="shared" si="291"/>
        <v>0</v>
      </c>
      <c r="BK335" s="1021">
        <f t="shared" si="292"/>
        <v>0</v>
      </c>
      <c r="BL335" s="1040">
        <f t="shared" si="289"/>
        <v>0</v>
      </c>
      <c r="BM335" s="1038">
        <f t="shared" si="290"/>
        <v>0</v>
      </c>
      <c r="BN335" s="1027"/>
      <c r="BO335" s="1041"/>
      <c r="BP335" s="95">
        <f t="shared" si="300"/>
        <v>0</v>
      </c>
      <c r="BQ335" s="842">
        <f t="shared" si="301"/>
        <v>0</v>
      </c>
      <c r="BS335" s="94">
        <f t="shared" si="293"/>
        <v>0</v>
      </c>
      <c r="BU335" s="632">
        <f t="shared" si="294"/>
        <v>0</v>
      </c>
      <c r="BV335" s="398"/>
      <c r="BW335" s="405"/>
      <c r="CI335" s="96"/>
    </row>
    <row r="336" spans="1:87" ht="14.25" hidden="1" outlineLevel="1" thickTop="1" thickBot="1">
      <c r="A336" s="57"/>
      <c r="B336" s="92">
        <v>96</v>
      </c>
      <c r="C336" s="1029"/>
      <c r="D336" s="1031"/>
      <c r="E336" s="1030"/>
      <c r="F336" s="1031"/>
      <c r="G336" s="1029"/>
      <c r="H336" s="1032">
        <f t="shared" si="257"/>
        <v>1</v>
      </c>
      <c r="I336" s="1033"/>
      <c r="J336" s="1034">
        <f t="shared" si="258"/>
        <v>1</v>
      </c>
      <c r="K336" s="1035">
        <f t="shared" si="259"/>
        <v>0</v>
      </c>
      <c r="L336" s="1036"/>
      <c r="M336" s="1018"/>
      <c r="N336" s="1037">
        <f t="shared" si="260"/>
        <v>0</v>
      </c>
      <c r="O336" s="1034">
        <f t="shared" si="261"/>
        <v>1</v>
      </c>
      <c r="P336" s="1035">
        <f t="shared" si="295"/>
        <v>0</v>
      </c>
      <c r="Q336" s="1036"/>
      <c r="R336" s="1018"/>
      <c r="S336" s="1020">
        <f t="shared" si="263"/>
        <v>0</v>
      </c>
      <c r="T336" s="1034">
        <f t="shared" si="264"/>
        <v>1</v>
      </c>
      <c r="U336" s="1035"/>
      <c r="V336" s="1036">
        <v>0</v>
      </c>
      <c r="W336" s="1018"/>
      <c r="X336" s="1037">
        <f t="shared" si="265"/>
        <v>0</v>
      </c>
      <c r="Y336" s="1034">
        <f t="shared" si="266"/>
        <v>1</v>
      </c>
      <c r="Z336" s="1035">
        <f t="shared" si="298"/>
        <v>0</v>
      </c>
      <c r="AA336" s="1036">
        <v>0</v>
      </c>
      <c r="AB336" s="1018"/>
      <c r="AC336" s="1021">
        <f t="shared" si="268"/>
        <v>0</v>
      </c>
      <c r="AD336" s="1034">
        <f t="shared" si="269"/>
        <v>1</v>
      </c>
      <c r="AE336" s="1035">
        <f t="shared" si="299"/>
        <v>0</v>
      </c>
      <c r="AF336" s="1036">
        <v>0</v>
      </c>
      <c r="AG336" s="1018"/>
      <c r="AH336" s="1037">
        <f t="shared" si="271"/>
        <v>0</v>
      </c>
      <c r="AI336" s="1034">
        <f t="shared" si="272"/>
        <v>1</v>
      </c>
      <c r="AJ336" s="1035">
        <f t="shared" si="273"/>
        <v>0</v>
      </c>
      <c r="AK336" s="1036">
        <v>0</v>
      </c>
      <c r="AL336" s="1018"/>
      <c r="AM336" s="1021">
        <f t="shared" si="274"/>
        <v>0</v>
      </c>
      <c r="AN336" s="1034">
        <f t="shared" si="275"/>
        <v>1</v>
      </c>
      <c r="AO336" s="1035">
        <f t="shared" si="276"/>
        <v>0</v>
      </c>
      <c r="AP336" s="1036">
        <v>0</v>
      </c>
      <c r="AQ336" s="1018"/>
      <c r="AR336" s="1037">
        <f t="shared" si="277"/>
        <v>0</v>
      </c>
      <c r="AS336" s="1034">
        <f t="shared" si="278"/>
        <v>1</v>
      </c>
      <c r="AT336" s="1035">
        <f t="shared" si="279"/>
        <v>0</v>
      </c>
      <c r="AU336" s="1036">
        <v>0</v>
      </c>
      <c r="AV336" s="1018"/>
      <c r="AW336" s="1021">
        <f t="shared" si="280"/>
        <v>0</v>
      </c>
      <c r="AX336" s="1034">
        <f t="shared" si="281"/>
        <v>1</v>
      </c>
      <c r="AY336" s="1035">
        <f t="shared" si="282"/>
        <v>0</v>
      </c>
      <c r="AZ336" s="1036">
        <v>0</v>
      </c>
      <c r="BA336" s="1036"/>
      <c r="BB336" s="1021">
        <f t="shared" si="283"/>
        <v>0</v>
      </c>
      <c r="BC336" s="1034">
        <f t="shared" si="284"/>
        <v>1</v>
      </c>
      <c r="BD336" s="1035">
        <f t="shared" si="285"/>
        <v>0</v>
      </c>
      <c r="BE336" s="1038">
        <v>0</v>
      </c>
      <c r="BF336" s="1018"/>
      <c r="BG336" s="1021">
        <f t="shared" si="286"/>
        <v>0</v>
      </c>
      <c r="BH336" s="1039">
        <f t="shared" si="287"/>
        <v>0</v>
      </c>
      <c r="BI336" s="1038">
        <f t="shared" si="288"/>
        <v>0</v>
      </c>
      <c r="BJ336" s="1027">
        <f t="shared" si="291"/>
        <v>0</v>
      </c>
      <c r="BK336" s="1021">
        <f t="shared" si="292"/>
        <v>0</v>
      </c>
      <c r="BL336" s="1040">
        <f t="shared" si="289"/>
        <v>0</v>
      </c>
      <c r="BM336" s="1038">
        <f t="shared" si="290"/>
        <v>0</v>
      </c>
      <c r="BN336" s="1027"/>
      <c r="BO336" s="1041"/>
      <c r="BP336" s="95">
        <f t="shared" si="300"/>
        <v>0</v>
      </c>
      <c r="BQ336" s="842">
        <f t="shared" si="301"/>
        <v>0</v>
      </c>
      <c r="BS336" s="94">
        <f t="shared" si="293"/>
        <v>0</v>
      </c>
      <c r="BU336" s="632">
        <f t="shared" si="294"/>
        <v>0</v>
      </c>
      <c r="BV336" s="398"/>
      <c r="BW336" s="405"/>
      <c r="CI336" s="96"/>
    </row>
    <row r="337" spans="1:87" ht="14.25" hidden="1" outlineLevel="1" thickTop="1" thickBot="1">
      <c r="A337" s="57"/>
      <c r="B337" s="92">
        <v>97</v>
      </c>
      <c r="C337" s="1029"/>
      <c r="D337" s="1031"/>
      <c r="E337" s="1030"/>
      <c r="F337" s="1031"/>
      <c r="G337" s="1029"/>
      <c r="H337" s="1032">
        <f t="shared" si="257"/>
        <v>1</v>
      </c>
      <c r="I337" s="1033"/>
      <c r="J337" s="1034">
        <f t="shared" si="258"/>
        <v>1</v>
      </c>
      <c r="K337" s="1035">
        <f t="shared" si="259"/>
        <v>0</v>
      </c>
      <c r="L337" s="1036"/>
      <c r="M337" s="1018"/>
      <c r="N337" s="1037">
        <f>L337/($J$13*(100%-I337))</f>
        <v>0</v>
      </c>
      <c r="O337" s="1034">
        <f>IF(P337=0,1,P337/(P337/($O$13*(1/H337))))</f>
        <v>1</v>
      </c>
      <c r="P337" s="1035">
        <f t="shared" si="295"/>
        <v>0</v>
      </c>
      <c r="Q337" s="1036"/>
      <c r="R337" s="1018"/>
      <c r="S337" s="1020">
        <f>Q337/($O$13*(100%-I337))</f>
        <v>0</v>
      </c>
      <c r="T337" s="1034">
        <f>IF(U337=0,1,U337/(U337/($T$13*(1/H337))))</f>
        <v>1</v>
      </c>
      <c r="U337" s="1035"/>
      <c r="V337" s="1036">
        <v>0</v>
      </c>
      <c r="W337" s="1018"/>
      <c r="X337" s="1037">
        <f>V337/($T$13*(100%-I337))</f>
        <v>0</v>
      </c>
      <c r="Y337" s="1034">
        <f>IF(Z337=0,1,Z337/(Z337/($Y$13*(1/H337))))</f>
        <v>1</v>
      </c>
      <c r="Z337" s="1035">
        <f t="shared" si="298"/>
        <v>0</v>
      </c>
      <c r="AA337" s="1036">
        <v>0</v>
      </c>
      <c r="AB337" s="1018"/>
      <c r="AC337" s="1021">
        <f>AA337/($Y$13*(100%-I337))</f>
        <v>0</v>
      </c>
      <c r="AD337" s="1034">
        <f>IF(AE337=0,1,AE337/(AE337/($AD$13*(1/H337))))</f>
        <v>1</v>
      </c>
      <c r="AE337" s="1035">
        <f t="shared" si="299"/>
        <v>0</v>
      </c>
      <c r="AF337" s="1036">
        <v>0</v>
      </c>
      <c r="AG337" s="1018"/>
      <c r="AH337" s="1037">
        <f>AF337/($AD$13*(100%-I337))</f>
        <v>0</v>
      </c>
      <c r="AI337" s="1034">
        <f>IF(AJ337=0,1,AJ337/(AJ337/($AI$13*(1/H337))))</f>
        <v>1</v>
      </c>
      <c r="AJ337" s="1035">
        <f t="shared" si="273"/>
        <v>0</v>
      </c>
      <c r="AK337" s="1036">
        <v>0</v>
      </c>
      <c r="AL337" s="1018"/>
      <c r="AM337" s="1021">
        <f>AK337/($AI$13*(100%-I337))</f>
        <v>0</v>
      </c>
      <c r="AN337" s="1034">
        <f>IF(AO337=0,1,AO337/(AO337/($AN$13*(1/H337))))</f>
        <v>1</v>
      </c>
      <c r="AO337" s="1035">
        <f t="shared" si="276"/>
        <v>0</v>
      </c>
      <c r="AP337" s="1036">
        <v>0</v>
      </c>
      <c r="AQ337" s="1018"/>
      <c r="AR337" s="1037">
        <f>AP337/($AN$13*(100%-I337))</f>
        <v>0</v>
      </c>
      <c r="AS337" s="1034">
        <f>IF(AT337=0,1,AT337/(AT337/($AS$13*(1/H337))))</f>
        <v>1</v>
      </c>
      <c r="AT337" s="1035">
        <f t="shared" si="279"/>
        <v>0</v>
      </c>
      <c r="AU337" s="1038">
        <v>0</v>
      </c>
      <c r="AV337" s="1018"/>
      <c r="AW337" s="1021">
        <f>AU337/($AS$13*(100%-I337))</f>
        <v>0</v>
      </c>
      <c r="AX337" s="1034">
        <f>IF(AY337=0,1,AY337/(AY337/($AX$13*(1/H337))))</f>
        <v>1</v>
      </c>
      <c r="AY337" s="1035">
        <f t="shared" si="282"/>
        <v>0</v>
      </c>
      <c r="AZ337" s="1036">
        <v>0</v>
      </c>
      <c r="BA337" s="1036"/>
      <c r="BB337" s="1021">
        <f>AZ337/($AX$13*(100%-I337))</f>
        <v>0</v>
      </c>
      <c r="BC337" s="1034">
        <f>IF(BD337=0,1,BD337/(BD337/($BC$13*(1/H337))))</f>
        <v>1</v>
      </c>
      <c r="BD337" s="1035">
        <f t="shared" si="285"/>
        <v>0</v>
      </c>
      <c r="BE337" s="1038">
        <v>0</v>
      </c>
      <c r="BF337" s="1018"/>
      <c r="BG337" s="1021">
        <f>BE337/($BC$13*(100%-I337))</f>
        <v>0</v>
      </c>
      <c r="BH337" s="1039">
        <f t="shared" si="287"/>
        <v>0</v>
      </c>
      <c r="BI337" s="1038">
        <f t="shared" si="288"/>
        <v>0</v>
      </c>
      <c r="BJ337" s="1027">
        <f t="shared" si="291"/>
        <v>0</v>
      </c>
      <c r="BK337" s="1021">
        <f t="shared" si="292"/>
        <v>0</v>
      </c>
      <c r="BL337" s="1040">
        <f t="shared" si="289"/>
        <v>0</v>
      </c>
      <c r="BM337" s="1038">
        <f t="shared" si="290"/>
        <v>0</v>
      </c>
      <c r="BN337" s="1027"/>
      <c r="BO337" s="1041"/>
      <c r="BP337" s="95">
        <f t="shared" si="300"/>
        <v>0</v>
      </c>
      <c r="BQ337" s="842">
        <f t="shared" si="301"/>
        <v>0</v>
      </c>
      <c r="BS337" s="94">
        <f t="shared" si="293"/>
        <v>0</v>
      </c>
      <c r="BU337" s="632">
        <f t="shared" si="294"/>
        <v>0</v>
      </c>
      <c r="BV337" s="398"/>
      <c r="BW337" s="405"/>
      <c r="CI337" s="96"/>
    </row>
    <row r="338" spans="1:87" ht="14.25" hidden="1" outlineLevel="1" thickTop="1" thickBot="1">
      <c r="A338" s="57"/>
      <c r="B338" s="92">
        <v>98</v>
      </c>
      <c r="C338" s="1029"/>
      <c r="D338" s="1031"/>
      <c r="E338" s="1030"/>
      <c r="F338" s="1031"/>
      <c r="G338" s="1029"/>
      <c r="H338" s="1032">
        <f t="shared" si="257"/>
        <v>1</v>
      </c>
      <c r="I338" s="1033"/>
      <c r="J338" s="1034">
        <f t="shared" si="258"/>
        <v>1</v>
      </c>
      <c r="K338" s="1035">
        <f t="shared" si="259"/>
        <v>0</v>
      </c>
      <c r="L338" s="1036"/>
      <c r="M338" s="1018"/>
      <c r="N338" s="1037">
        <f>L338/($J$13*(100%-I338))</f>
        <v>0</v>
      </c>
      <c r="O338" s="1034">
        <f>IF(P338=0,1,P338/(P338/($O$13*(1/H338))))</f>
        <v>1</v>
      </c>
      <c r="P338" s="1035">
        <f t="shared" si="295"/>
        <v>0</v>
      </c>
      <c r="Q338" s="1036"/>
      <c r="R338" s="1018"/>
      <c r="S338" s="1020">
        <f>Q338/($O$13*(100%-I338))</f>
        <v>0</v>
      </c>
      <c r="T338" s="1034">
        <f>IF(U338=0,1,U338/(U338/($T$13*(1/H338))))</f>
        <v>1</v>
      </c>
      <c r="U338" s="1035"/>
      <c r="V338" s="1036">
        <v>0</v>
      </c>
      <c r="W338" s="1018"/>
      <c r="X338" s="1037">
        <f>V338/($T$13*(100%-I338))</f>
        <v>0</v>
      </c>
      <c r="Y338" s="1034">
        <f>IF(Z338=0,1,Z338/(Z338/($Y$13*(1/H338))))</f>
        <v>1</v>
      </c>
      <c r="Z338" s="1035">
        <f t="shared" si="298"/>
        <v>0</v>
      </c>
      <c r="AA338" s="1036">
        <v>0</v>
      </c>
      <c r="AB338" s="1018"/>
      <c r="AC338" s="1021">
        <f>AA338/($Y$13*(100%-I338))</f>
        <v>0</v>
      </c>
      <c r="AD338" s="1034">
        <f>IF(AE338=0,1,AE338/(AE338/($AD$13*(1/H338))))</f>
        <v>1</v>
      </c>
      <c r="AE338" s="1035">
        <f t="shared" si="299"/>
        <v>0</v>
      </c>
      <c r="AF338" s="1036">
        <v>0</v>
      </c>
      <c r="AG338" s="1018"/>
      <c r="AH338" s="1037">
        <f>AF338/($AD$13*(100%-I338))</f>
        <v>0</v>
      </c>
      <c r="AI338" s="1034">
        <f>IF(AJ338=0,1,AJ338/(AJ338/($AI$13*(1/H338))))</f>
        <v>1</v>
      </c>
      <c r="AJ338" s="1035">
        <f t="shared" si="273"/>
        <v>0</v>
      </c>
      <c r="AK338" s="1036">
        <v>0</v>
      </c>
      <c r="AL338" s="1018"/>
      <c r="AM338" s="1021">
        <f>AK338/($AI$13*(100%-I338))</f>
        <v>0</v>
      </c>
      <c r="AN338" s="1034">
        <f>IF(AO338=0,1,AO338/(AO338/($AN$13*(1/H338))))</f>
        <v>1</v>
      </c>
      <c r="AO338" s="1035">
        <f t="shared" si="276"/>
        <v>0</v>
      </c>
      <c r="AP338" s="1036">
        <v>0</v>
      </c>
      <c r="AQ338" s="1018"/>
      <c r="AR338" s="1037">
        <f>AP338/($AN$13*(100%-I338))</f>
        <v>0</v>
      </c>
      <c r="AS338" s="1034">
        <f>IF(AT338=0,1,AT338/(AT338/($AS$13*(1/H338))))</f>
        <v>1</v>
      </c>
      <c r="AT338" s="1035">
        <f t="shared" si="279"/>
        <v>0</v>
      </c>
      <c r="AU338" s="1036">
        <v>0</v>
      </c>
      <c r="AV338" s="1018"/>
      <c r="AW338" s="1021">
        <f>AU338/($AS$13*(100%-I338))</f>
        <v>0</v>
      </c>
      <c r="AX338" s="1034">
        <f>IF(AY338=0,1,AY338/(AY338/($AX$13*(1/H338))))</f>
        <v>1</v>
      </c>
      <c r="AY338" s="1035">
        <f t="shared" si="282"/>
        <v>0</v>
      </c>
      <c r="AZ338" s="1036">
        <v>0</v>
      </c>
      <c r="BA338" s="1036"/>
      <c r="BB338" s="1021">
        <f>AZ338/($AX$13*(100%-I338))</f>
        <v>0</v>
      </c>
      <c r="BC338" s="1034">
        <f>IF(BD338=0,1,BD338/(BD338/($BC$13*(1/H338))))</f>
        <v>1</v>
      </c>
      <c r="BD338" s="1035">
        <f t="shared" si="285"/>
        <v>0</v>
      </c>
      <c r="BE338" s="1038">
        <v>0</v>
      </c>
      <c r="BF338" s="1018"/>
      <c r="BG338" s="1021">
        <f>BE338/($BC$13*(100%-I338))</f>
        <v>0</v>
      </c>
      <c r="BH338" s="1039">
        <f t="shared" si="287"/>
        <v>0</v>
      </c>
      <c r="BI338" s="1038">
        <f t="shared" si="288"/>
        <v>0</v>
      </c>
      <c r="BJ338" s="1027">
        <f t="shared" si="291"/>
        <v>0</v>
      </c>
      <c r="BK338" s="1021">
        <f t="shared" si="292"/>
        <v>0</v>
      </c>
      <c r="BL338" s="1040">
        <f t="shared" si="289"/>
        <v>0</v>
      </c>
      <c r="BM338" s="1038">
        <f t="shared" si="290"/>
        <v>0</v>
      </c>
      <c r="BN338" s="1027"/>
      <c r="BO338" s="1041"/>
      <c r="BP338" s="95">
        <f t="shared" si="300"/>
        <v>0</v>
      </c>
      <c r="BQ338" s="842">
        <f t="shared" si="301"/>
        <v>0</v>
      </c>
      <c r="BS338" s="94">
        <f t="shared" si="293"/>
        <v>0</v>
      </c>
      <c r="BU338" s="632">
        <f t="shared" si="294"/>
        <v>0</v>
      </c>
      <c r="BV338" s="398"/>
      <c r="BW338" s="405"/>
      <c r="CI338" s="96"/>
    </row>
    <row r="339" spans="1:87" ht="14.25" hidden="1" outlineLevel="1" thickTop="1" thickBot="1">
      <c r="A339" s="57"/>
      <c r="B339" s="92">
        <v>99</v>
      </c>
      <c r="C339" s="1029"/>
      <c r="D339" s="1031"/>
      <c r="E339" s="1030"/>
      <c r="F339" s="1031"/>
      <c r="G339" s="1029"/>
      <c r="H339" s="1032"/>
      <c r="I339" s="1033"/>
      <c r="J339" s="1034">
        <f t="shared" si="258"/>
        <v>1</v>
      </c>
      <c r="K339" s="1035">
        <f t="shared" si="259"/>
        <v>0</v>
      </c>
      <c r="L339" s="1036"/>
      <c r="M339" s="1018"/>
      <c r="N339" s="1037">
        <f>L339/($J$13*(100%-I339))</f>
        <v>0</v>
      </c>
      <c r="O339" s="1034">
        <f>IF(P339=0,1,P339/(P339/($O$13*(1/H339))))</f>
        <v>1</v>
      </c>
      <c r="P339" s="1035">
        <f t="shared" si="295"/>
        <v>0</v>
      </c>
      <c r="Q339" s="1036"/>
      <c r="R339" s="1018"/>
      <c r="S339" s="1020">
        <f>Q339/($O$13*(100%-I339))</f>
        <v>0</v>
      </c>
      <c r="T339" s="1034">
        <f>IF(U339=0,1,U339/(U339/($T$13*(1/H339))))</f>
        <v>1</v>
      </c>
      <c r="U339" s="1035"/>
      <c r="V339" s="1036">
        <v>0</v>
      </c>
      <c r="W339" s="1018"/>
      <c r="X339" s="1037">
        <f>V339/($T$13*(100%-I339))</f>
        <v>0</v>
      </c>
      <c r="Y339" s="1034">
        <f>IF(Z339=0,1,Z339/(Z339/($Y$13*(1/H339))))</f>
        <v>1</v>
      </c>
      <c r="Z339" s="1035">
        <f t="shared" si="298"/>
        <v>0</v>
      </c>
      <c r="AA339" s="1036">
        <v>0</v>
      </c>
      <c r="AB339" s="1018"/>
      <c r="AC339" s="1021">
        <f>AA339/($Y$13*(100%-I339))</f>
        <v>0</v>
      </c>
      <c r="AD339" s="1034">
        <f>IF(AE339=0,1,AE339/(AE339/($AD$13*(1/H339))))</f>
        <v>1</v>
      </c>
      <c r="AE339" s="1035">
        <f t="shared" si="299"/>
        <v>0</v>
      </c>
      <c r="AF339" s="1036">
        <v>0</v>
      </c>
      <c r="AG339" s="1018"/>
      <c r="AH339" s="1037">
        <f>AF339/($AD$13*(100%-I339))</f>
        <v>0</v>
      </c>
      <c r="AI339" s="1034">
        <f>IF(AJ339=0,1,AJ339/(AJ339/($AI$13*(1/H339))))</f>
        <v>1</v>
      </c>
      <c r="AJ339" s="1035">
        <f t="shared" si="273"/>
        <v>0</v>
      </c>
      <c r="AK339" s="1036">
        <v>0</v>
      </c>
      <c r="AL339" s="1018"/>
      <c r="AM339" s="1021">
        <f>AK339/($AI$13*(100%-I339))</f>
        <v>0</v>
      </c>
      <c r="AN339" s="1034">
        <f>IF(AO339=0,1,AO339/(AO339/($AN$13*(1/H339))))</f>
        <v>1</v>
      </c>
      <c r="AO339" s="1035">
        <f t="shared" si="276"/>
        <v>0</v>
      </c>
      <c r="AP339" s="1036">
        <v>0</v>
      </c>
      <c r="AQ339" s="1018"/>
      <c r="AR339" s="1037">
        <f>AP339/($AN$13*(100%-I339))</f>
        <v>0</v>
      </c>
      <c r="AS339" s="1034">
        <f>IF(AT339=0,1,AT339/(AT339/($AS$13*(1/H339))))</f>
        <v>1</v>
      </c>
      <c r="AT339" s="1035">
        <f t="shared" si="279"/>
        <v>0</v>
      </c>
      <c r="AU339" s="1038">
        <v>0</v>
      </c>
      <c r="AV339" s="1018"/>
      <c r="AW339" s="1021">
        <f>AU339/($AS$13*(100%-I339))</f>
        <v>0</v>
      </c>
      <c r="AX339" s="1034">
        <f>IF(AY339=0,1,AY339/(AY339/($AX$13*(1/H339))))</f>
        <v>1</v>
      </c>
      <c r="AY339" s="1035">
        <f t="shared" si="282"/>
        <v>0</v>
      </c>
      <c r="AZ339" s="1036">
        <v>0</v>
      </c>
      <c r="BA339" s="1036"/>
      <c r="BB339" s="1021">
        <f>AZ339/($AX$13*(100%-I339))</f>
        <v>0</v>
      </c>
      <c r="BC339" s="1034">
        <f>IF(BD339=0,1,BD339/(BD339/($BC$13*(1/H339))))</f>
        <v>1</v>
      </c>
      <c r="BD339" s="1035">
        <f t="shared" si="285"/>
        <v>0</v>
      </c>
      <c r="BE339" s="1038">
        <v>0</v>
      </c>
      <c r="BF339" s="1018"/>
      <c r="BG339" s="1021">
        <f>BE339/($BC$13*(100%-I339))</f>
        <v>0</v>
      </c>
      <c r="BH339" s="1039">
        <f t="shared" si="287"/>
        <v>0</v>
      </c>
      <c r="BI339" s="1038">
        <f t="shared" si="288"/>
        <v>0</v>
      </c>
      <c r="BJ339" s="1027">
        <f t="shared" si="291"/>
        <v>0</v>
      </c>
      <c r="BK339" s="1021">
        <f t="shared" si="292"/>
        <v>0</v>
      </c>
      <c r="BL339" s="1040">
        <f t="shared" si="289"/>
        <v>0</v>
      </c>
      <c r="BM339" s="1038">
        <f t="shared" si="290"/>
        <v>0</v>
      </c>
      <c r="BN339" s="1027"/>
      <c r="BO339" s="1041"/>
      <c r="BP339" s="95">
        <f t="shared" si="300"/>
        <v>0</v>
      </c>
      <c r="BQ339" s="842">
        <f t="shared" si="301"/>
        <v>0</v>
      </c>
      <c r="BS339" s="94">
        <f t="shared" si="293"/>
        <v>0</v>
      </c>
      <c r="BU339" s="632"/>
      <c r="BV339" s="398"/>
      <c r="BW339" s="405"/>
      <c r="CI339" s="96"/>
    </row>
    <row r="340" spans="1:87" ht="14.25" hidden="1" outlineLevel="1" thickTop="1" thickBot="1">
      <c r="A340" s="57"/>
      <c r="B340" s="92">
        <v>100</v>
      </c>
      <c r="C340" s="1029"/>
      <c r="D340" s="1031"/>
      <c r="E340" s="1030"/>
      <c r="F340" s="1031"/>
      <c r="G340" s="1029"/>
      <c r="H340" s="1032"/>
      <c r="I340" s="1033"/>
      <c r="J340" s="1034">
        <f t="shared" si="258"/>
        <v>1</v>
      </c>
      <c r="K340" s="1035">
        <f t="shared" si="259"/>
        <v>0</v>
      </c>
      <c r="L340" s="1036"/>
      <c r="M340" s="1018"/>
      <c r="N340" s="1037">
        <f>L340/($J$13*(100%-I340))</f>
        <v>0</v>
      </c>
      <c r="O340" s="1034">
        <f>IF(P340=0,1,P340/(P340/($O$13*(1/H340))))</f>
        <v>1</v>
      </c>
      <c r="P340" s="1035">
        <f t="shared" si="295"/>
        <v>0</v>
      </c>
      <c r="Q340" s="1036"/>
      <c r="R340" s="1018"/>
      <c r="S340" s="1020">
        <f>Q340/($O$13*(100%-I340))</f>
        <v>0</v>
      </c>
      <c r="T340" s="1034">
        <f>IF(U340=0,1,U340/(U340/($T$13*(1/H340))))</f>
        <v>1</v>
      </c>
      <c r="U340" s="1035"/>
      <c r="V340" s="1036">
        <v>0</v>
      </c>
      <c r="W340" s="1018"/>
      <c r="X340" s="1037">
        <f>V340/($T$13*(100%-I340))</f>
        <v>0</v>
      </c>
      <c r="Y340" s="1034">
        <f>IF(Z340=0,1,Z340/(Z340/($Y$13*(1/H340))))</f>
        <v>1</v>
      </c>
      <c r="Z340" s="1035">
        <f t="shared" si="298"/>
        <v>0</v>
      </c>
      <c r="AA340" s="1036">
        <v>0</v>
      </c>
      <c r="AB340" s="1018"/>
      <c r="AC340" s="1021">
        <f>AA340/($Y$13*(100%-I340))</f>
        <v>0</v>
      </c>
      <c r="AD340" s="1034">
        <f>IF(AE340=0,1,AE340/(AE340/($AD$13*(1/H340))))</f>
        <v>1</v>
      </c>
      <c r="AE340" s="1035">
        <f t="shared" si="299"/>
        <v>0</v>
      </c>
      <c r="AF340" s="1036">
        <v>0</v>
      </c>
      <c r="AG340" s="1018"/>
      <c r="AH340" s="1037">
        <f>AF340/($AD$13*(100%-I340))</f>
        <v>0</v>
      </c>
      <c r="AI340" s="1034">
        <f>IF(AJ340=0,1,AJ340/(AJ340/($AI$13*(1/H340))))</f>
        <v>1</v>
      </c>
      <c r="AJ340" s="1035">
        <f t="shared" si="273"/>
        <v>0</v>
      </c>
      <c r="AK340" s="1036">
        <v>0</v>
      </c>
      <c r="AL340" s="1018"/>
      <c r="AM340" s="1021">
        <f>AK340/($AI$13*(100%-I340))</f>
        <v>0</v>
      </c>
      <c r="AN340" s="1034">
        <f>IF(AO340=0,1,AO340/(AO340/($AN$13*(1/H340))))</f>
        <v>1</v>
      </c>
      <c r="AO340" s="1035">
        <f t="shared" si="276"/>
        <v>0</v>
      </c>
      <c r="AP340" s="1036">
        <v>0</v>
      </c>
      <c r="AQ340" s="1018"/>
      <c r="AR340" s="1037">
        <f>AP340/($AN$13*(100%-I340))</f>
        <v>0</v>
      </c>
      <c r="AS340" s="1034">
        <f>IF(AT340=0,1,AT340/(AT340/($AS$13*(1/H340))))</f>
        <v>1</v>
      </c>
      <c r="AT340" s="1035">
        <f t="shared" si="279"/>
        <v>0</v>
      </c>
      <c r="AU340" s="1036">
        <v>0</v>
      </c>
      <c r="AV340" s="1018"/>
      <c r="AW340" s="1021">
        <f>AU340/($AS$13*(100%-I340))</f>
        <v>0</v>
      </c>
      <c r="AX340" s="1034">
        <f>IF(AY340=0,1,AY340/(AY340/($AX$13*(1/H340))))</f>
        <v>1</v>
      </c>
      <c r="AY340" s="1035">
        <f t="shared" si="282"/>
        <v>0</v>
      </c>
      <c r="AZ340" s="1036">
        <v>0</v>
      </c>
      <c r="BA340" s="1036"/>
      <c r="BB340" s="1021">
        <f>AZ340/($AX$13*(100%-I340))</f>
        <v>0</v>
      </c>
      <c r="BC340" s="1034">
        <f>IF(BD340=0,1,BD340/(BD340/($BC$13*(1/H340))))</f>
        <v>1</v>
      </c>
      <c r="BD340" s="1035">
        <f t="shared" si="285"/>
        <v>0</v>
      </c>
      <c r="BE340" s="1038">
        <v>0</v>
      </c>
      <c r="BF340" s="1018"/>
      <c r="BG340" s="1021">
        <f>BE340/($BC$13*(100%-I340))</f>
        <v>0</v>
      </c>
      <c r="BH340" s="1039">
        <f t="shared" si="287"/>
        <v>0</v>
      </c>
      <c r="BI340" s="1038">
        <f t="shared" si="288"/>
        <v>0</v>
      </c>
      <c r="BJ340" s="1027">
        <f t="shared" si="291"/>
        <v>0</v>
      </c>
      <c r="BK340" s="1021">
        <f t="shared" si="292"/>
        <v>0</v>
      </c>
      <c r="BL340" s="1040">
        <f t="shared" si="289"/>
        <v>0</v>
      </c>
      <c r="BM340" s="1038">
        <f t="shared" si="290"/>
        <v>0</v>
      </c>
      <c r="BN340" s="1027"/>
      <c r="BO340" s="1041"/>
      <c r="BP340" s="95">
        <f t="shared" si="300"/>
        <v>0</v>
      </c>
      <c r="BQ340" s="842">
        <f t="shared" si="301"/>
        <v>0</v>
      </c>
      <c r="BS340" s="94">
        <f t="shared" si="293"/>
        <v>0</v>
      </c>
      <c r="BU340" s="632"/>
      <c r="BV340" s="398"/>
      <c r="CI340" s="96"/>
    </row>
    <row r="341" spans="1:87" ht="14.25" collapsed="1" thickTop="1" thickBot="1">
      <c r="A341" s="90"/>
      <c r="B341" s="90"/>
      <c r="C341" s="1171" t="s">
        <v>174</v>
      </c>
      <c r="D341" s="1172"/>
      <c r="E341" s="1172"/>
      <c r="F341" s="1172"/>
      <c r="G341" s="1172"/>
      <c r="H341" s="1173"/>
      <c r="I341" s="1073"/>
      <c r="J341" s="377"/>
      <c r="K341" s="151">
        <f>SUM(K241:K340)</f>
        <v>3068048.6941558439</v>
      </c>
      <c r="L341" s="839">
        <f>SUM(L241:L340)</f>
        <v>0</v>
      </c>
      <c r="M341" s="1056">
        <f>SUM(M241:M340)</f>
        <v>6009.9000000000005</v>
      </c>
      <c r="N341" s="839">
        <f>SUM(N241:N340)</f>
        <v>0</v>
      </c>
      <c r="O341" s="377"/>
      <c r="P341" s="151">
        <f>SUM(P241:P340)</f>
        <v>0</v>
      </c>
      <c r="Q341" s="839">
        <f>SUM(Q241:Q340)</f>
        <v>0</v>
      </c>
      <c r="R341" s="1056">
        <f>SUM(R241:R340)</f>
        <v>0</v>
      </c>
      <c r="S341" s="839">
        <f>SUM(S241:S340)</f>
        <v>0</v>
      </c>
      <c r="T341" s="377"/>
      <c r="U341" s="151">
        <f>SUM(U241:U340)</f>
        <v>0</v>
      </c>
      <c r="V341" s="839">
        <f>SUM(V241:V340)</f>
        <v>0</v>
      </c>
      <c r="W341" s="1056">
        <f>SUM(W241:W340)</f>
        <v>0</v>
      </c>
      <c r="X341" s="839">
        <f>SUM(X241:X340)</f>
        <v>0</v>
      </c>
      <c r="Y341" s="377"/>
      <c r="Z341" s="151">
        <f>SUM(Z241:Z340)</f>
        <v>0</v>
      </c>
      <c r="AA341" s="839">
        <f>SUM(AA241:AA340)</f>
        <v>0</v>
      </c>
      <c r="AB341" s="1056">
        <f>SUM(AB241:AB340)</f>
        <v>0</v>
      </c>
      <c r="AC341" s="839">
        <f>SUM(AC241:AC340)</f>
        <v>0</v>
      </c>
      <c r="AD341" s="377"/>
      <c r="AE341" s="151">
        <f>SUM(AE241:AE340)</f>
        <v>0</v>
      </c>
      <c r="AF341" s="839">
        <f>SUM(AF241:AF340)</f>
        <v>0</v>
      </c>
      <c r="AG341" s="1056">
        <f>SUM(AG241:AG340)</f>
        <v>0</v>
      </c>
      <c r="AH341" s="839">
        <f>SUM(AH241:AH340)</f>
        <v>0</v>
      </c>
      <c r="AI341" s="377"/>
      <c r="AJ341" s="151">
        <f>SUM(AJ241:AJ340)</f>
        <v>0</v>
      </c>
      <c r="AK341" s="844">
        <f>SUM(AK241:AK340)</f>
        <v>0</v>
      </c>
      <c r="AL341" s="1056">
        <f>SUM(AL241:AL340)</f>
        <v>0</v>
      </c>
      <c r="AM341" s="839">
        <f>SUM(AM241:AM340)</f>
        <v>0</v>
      </c>
      <c r="AN341" s="377"/>
      <c r="AO341" s="151">
        <f>SUM(AO241:AO340)</f>
        <v>0</v>
      </c>
      <c r="AP341" s="844">
        <f>SUM(AP241:AP340)</f>
        <v>0</v>
      </c>
      <c r="AQ341" s="1056">
        <f>SUM(AQ241:AQ340)</f>
        <v>0</v>
      </c>
      <c r="AR341" s="839">
        <f>SUM(AR241:AR340)</f>
        <v>0</v>
      </c>
      <c r="AS341" s="377"/>
      <c r="AT341" s="151">
        <f>SUM(AT241:AT340)</f>
        <v>0</v>
      </c>
      <c r="AU341" s="839">
        <f>SUM(AU241:AU340)</f>
        <v>0</v>
      </c>
      <c r="AV341" s="1056">
        <f>SUM(AV241:AV340)</f>
        <v>0</v>
      </c>
      <c r="AW341" s="839">
        <f>SUM(AW241:AW340)</f>
        <v>0</v>
      </c>
      <c r="AX341" s="377"/>
      <c r="AY341" s="151">
        <f>SUM(AY241:AY340)</f>
        <v>0</v>
      </c>
      <c r="AZ341" s="844">
        <f>SUM(AZ241:AZ340)</f>
        <v>0</v>
      </c>
      <c r="BA341" s="1056">
        <f>SUM(BA241:BA340)</f>
        <v>0</v>
      </c>
      <c r="BB341" s="839">
        <f>SUM(BB241:BB340)</f>
        <v>0</v>
      </c>
      <c r="BC341" s="377"/>
      <c r="BD341" s="151">
        <f t="shared" ref="BD341" si="302">SUM(BD241:BD340)</f>
        <v>0</v>
      </c>
      <c r="BE341" s="839">
        <f>SUM(BE241:BE340)</f>
        <v>0</v>
      </c>
      <c r="BF341" s="1056">
        <f>SUM(BF241:BF340)</f>
        <v>0</v>
      </c>
      <c r="BG341" s="839">
        <f t="shared" ref="BG341:BI341" si="303">SUM(BG241:BG340)</f>
        <v>0</v>
      </c>
      <c r="BH341" s="151">
        <f t="shared" si="303"/>
        <v>3068048.6941558439</v>
      </c>
      <c r="BI341" s="839">
        <f t="shared" si="303"/>
        <v>0</v>
      </c>
      <c r="BJ341" s="1058">
        <f>SUM(BJ241:BJ340)</f>
        <v>6009.9000000000005</v>
      </c>
      <c r="BK341" s="1000">
        <f>SUM(BK241:BK340)</f>
        <v>0</v>
      </c>
      <c r="BL341" s="151">
        <f t="shared" ref="BL341:BM341" si="304">SUM(BL241:BL340)</f>
        <v>0</v>
      </c>
      <c r="BM341" s="839">
        <f t="shared" si="304"/>
        <v>0</v>
      </c>
      <c r="BN341" s="1000"/>
      <c r="BO341" s="1000"/>
      <c r="BP341" s="151">
        <f t="shared" ref="BP341:BQ341" si="305">SUM(BP241:BP340)</f>
        <v>3068048.6941558439</v>
      </c>
      <c r="BQ341" s="839">
        <f t="shared" si="305"/>
        <v>0</v>
      </c>
      <c r="BR341" s="397"/>
      <c r="BS341" s="166"/>
      <c r="BU341" s="151">
        <f>SUM(BU241:BU340)</f>
        <v>1585651.2805844157</v>
      </c>
      <c r="BV341" s="641">
        <f>BP341/BU341</f>
        <v>1.9348823614137078</v>
      </c>
    </row>
    <row r="342" spans="1:87" ht="13.5" customHeight="1" thickTop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1057">
        <f>M341</f>
        <v>6009.9000000000005</v>
      </c>
      <c r="N342" s="840"/>
      <c r="O342" s="90"/>
      <c r="P342" s="90"/>
      <c r="Q342" s="90"/>
      <c r="R342" s="1057">
        <f>R341</f>
        <v>0</v>
      </c>
      <c r="S342" s="840"/>
      <c r="T342" s="90"/>
      <c r="U342" s="90"/>
      <c r="V342" s="90"/>
      <c r="W342" s="1057">
        <f>W341</f>
        <v>0</v>
      </c>
      <c r="X342" s="840"/>
      <c r="Y342" s="90"/>
      <c r="Z342" s="90"/>
      <c r="AA342" s="90"/>
      <c r="AB342" s="1057">
        <f>AB341</f>
        <v>0</v>
      </c>
      <c r="AC342" s="840"/>
      <c r="AD342" s="90"/>
      <c r="AE342" s="90"/>
      <c r="AF342" s="90"/>
      <c r="AG342" s="1057">
        <f>AG341</f>
        <v>0</v>
      </c>
      <c r="AH342" s="840"/>
      <c r="AI342" s="90"/>
      <c r="AJ342" s="90"/>
      <c r="AK342" s="90"/>
      <c r="AL342" s="1057">
        <f>AL341</f>
        <v>0</v>
      </c>
      <c r="AM342" s="840"/>
      <c r="AN342" s="90"/>
      <c r="AO342" s="90"/>
      <c r="AP342" s="90"/>
      <c r="AQ342" s="1057">
        <f>AQ341</f>
        <v>0</v>
      </c>
      <c r="AR342" s="840"/>
      <c r="AS342" s="90"/>
      <c r="AT342" s="90"/>
      <c r="AU342" s="90"/>
      <c r="AV342" s="1057">
        <f>AV341</f>
        <v>0</v>
      </c>
      <c r="AW342" s="840"/>
      <c r="AX342" s="90"/>
      <c r="AY342" s="90"/>
      <c r="AZ342" s="90"/>
      <c r="BA342" s="1057">
        <f>BA341</f>
        <v>0</v>
      </c>
      <c r="BB342" s="840"/>
      <c r="BC342" s="90"/>
      <c r="BD342" s="90"/>
      <c r="BE342" s="90"/>
      <c r="BF342" s="1057">
        <f>BF341</f>
        <v>0</v>
      </c>
      <c r="BG342" s="840"/>
      <c r="BH342" s="90"/>
      <c r="BI342" s="840"/>
      <c r="BJ342" s="840"/>
      <c r="BK342" s="840"/>
      <c r="BL342" s="90"/>
      <c r="BM342" s="840"/>
      <c r="BN342" s="840"/>
      <c r="BO342" s="840"/>
      <c r="BP342" s="90"/>
      <c r="BQ342" s="90"/>
      <c r="BS342" s="90"/>
    </row>
    <row r="343" spans="1:87">
      <c r="K343" s="405">
        <f>K341*'Mark Up Validation'!M132</f>
        <v>3589616.972162337</v>
      </c>
      <c r="BI343" s="741"/>
      <c r="BJ343" s="741"/>
      <c r="BK343" s="741"/>
    </row>
    <row r="344" spans="1:87">
      <c r="BI344" s="741"/>
      <c r="BJ344" s="741"/>
      <c r="BK344" s="741"/>
    </row>
    <row r="345" spans="1:87" ht="28.5">
      <c r="I345" s="1075" t="s">
        <v>713</v>
      </c>
      <c r="J345" s="1076">
        <v>0.05</v>
      </c>
      <c r="K345" s="405">
        <f>J345*$K$343</f>
        <v>179480.84860811685</v>
      </c>
      <c r="BI345" s="741"/>
      <c r="BJ345" s="741"/>
      <c r="BK345" s="741"/>
    </row>
    <row r="346" spans="1:87" ht="14.25">
      <c r="I346" s="1075" t="s">
        <v>714</v>
      </c>
      <c r="J346" s="398">
        <v>0.02</v>
      </c>
      <c r="K346" s="405">
        <f t="shared" ref="K346:K349" si="306">J346*$K$343</f>
        <v>71792.339443246747</v>
      </c>
      <c r="BI346" s="741"/>
      <c r="BJ346" s="741"/>
      <c r="BK346" s="741"/>
    </row>
    <row r="347" spans="1:87" ht="14.25">
      <c r="I347" s="1075" t="s">
        <v>715</v>
      </c>
      <c r="J347" s="398">
        <v>0.02</v>
      </c>
      <c r="K347" s="405">
        <f t="shared" si="306"/>
        <v>71792.339443246747</v>
      </c>
      <c r="BI347" s="741"/>
      <c r="BJ347" s="741"/>
      <c r="BK347" s="741"/>
    </row>
    <row r="348" spans="1:87" ht="14.25">
      <c r="I348" s="1075" t="s">
        <v>691</v>
      </c>
      <c r="J348" s="398">
        <v>0.02</v>
      </c>
      <c r="K348" s="405">
        <f t="shared" si="306"/>
        <v>71792.339443246747</v>
      </c>
      <c r="BI348" s="741"/>
      <c r="BJ348" s="741"/>
      <c r="BK348" s="741"/>
    </row>
    <row r="349" spans="1:87" ht="14.25">
      <c r="I349" s="1075" t="s">
        <v>692</v>
      </c>
      <c r="J349" s="1076">
        <f>100%-J345-J346-J347-J348</f>
        <v>0.8899999999999999</v>
      </c>
      <c r="K349" s="405">
        <f t="shared" si="306"/>
        <v>3194759.1052244795</v>
      </c>
      <c r="BI349" s="741"/>
      <c r="BJ349" s="741"/>
      <c r="BK349" s="741"/>
    </row>
    <row r="350" spans="1:87">
      <c r="BI350" s="741"/>
      <c r="BJ350" s="741"/>
      <c r="BK350" s="741"/>
    </row>
    <row r="351" spans="1:87">
      <c r="BI351" s="741"/>
      <c r="BJ351" s="741"/>
      <c r="BK351" s="741"/>
    </row>
    <row r="352" spans="1:87">
      <c r="BI352" s="741"/>
      <c r="BJ352" s="741"/>
      <c r="BK352" s="741"/>
    </row>
    <row r="353" spans="3:64">
      <c r="BI353" s="741"/>
      <c r="BJ353" s="741"/>
      <c r="BK353" s="741"/>
    </row>
    <row r="354" spans="3:64">
      <c r="BI354" s="741"/>
      <c r="BJ354" s="741"/>
      <c r="BK354" s="741"/>
    </row>
    <row r="355" spans="3:64">
      <c r="BI355" s="741"/>
      <c r="BJ355" s="741"/>
      <c r="BK355" s="741"/>
    </row>
    <row r="356" spans="3:64">
      <c r="BI356" s="741"/>
      <c r="BJ356" s="741"/>
      <c r="BK356" s="741"/>
    </row>
    <row r="357" spans="3:64">
      <c r="BI357" s="741"/>
      <c r="BJ357" s="741"/>
      <c r="BK357" s="741"/>
    </row>
    <row r="358" spans="3:64" ht="13.5" thickBot="1">
      <c r="C358" s="256" t="s">
        <v>183</v>
      </c>
      <c r="AO358" s="405">
        <f>AO17+AO18+AO52+AO63+AO66+AO71</f>
        <v>0</v>
      </c>
      <c r="AP358" s="405">
        <f>AP17+AP18+AP52+AP63+AP66+AP71</f>
        <v>0</v>
      </c>
      <c r="AQ358" s="405"/>
      <c r="AT358" s="405">
        <f>AT17+AT18+AT52+AT63+AT66+AT71</f>
        <v>0</v>
      </c>
      <c r="AU358" s="405">
        <f>AU17+AU18+AU52+AU63+AU66+AU71</f>
        <v>0</v>
      </c>
      <c r="AV358" s="405"/>
      <c r="BI358" s="741">
        <f>BI359*1.15</f>
        <v>4180998.65</v>
      </c>
      <c r="BJ358" s="741"/>
      <c r="BK358" s="741"/>
      <c r="BL358" s="405">
        <f>BL359*1.15</f>
        <v>1334945.0529711535</v>
      </c>
    </row>
    <row r="359" spans="3:64" ht="14.25" thickTop="1" thickBot="1">
      <c r="C359" s="256" t="s">
        <v>184</v>
      </c>
      <c r="AP359" s="405">
        <f>AP358*60</f>
        <v>0</v>
      </c>
      <c r="AQ359" s="405"/>
      <c r="AU359" s="405">
        <f>AU358*60</f>
        <v>0</v>
      </c>
      <c r="AV359" s="405"/>
      <c r="BH359" s="91">
        <v>2016</v>
      </c>
      <c r="BI359" s="715">
        <v>3635651</v>
      </c>
      <c r="BJ359" s="1007"/>
      <c r="BK359" s="1007"/>
      <c r="BL359" s="151">
        <v>1160821.7851923076</v>
      </c>
    </row>
    <row r="360" spans="3:64" ht="13.5" thickTop="1">
      <c r="C360" s="256" t="s">
        <v>185</v>
      </c>
      <c r="AP360" s="91">
        <f>(AO358-AP359)/65</f>
        <v>0</v>
      </c>
      <c r="AU360" s="91">
        <f>(AT358-AU359)/65</f>
        <v>0</v>
      </c>
    </row>
    <row r="361" spans="3:64">
      <c r="C361" s="256" t="s">
        <v>186</v>
      </c>
    </row>
    <row r="362" spans="3:64">
      <c r="C362" s="256" t="s">
        <v>187</v>
      </c>
    </row>
    <row r="367" spans="3:64" ht="6.75" customHeight="1"/>
    <row r="369" ht="5.45" customHeight="1"/>
    <row r="372" outlineLevel="1"/>
    <row r="373" outlineLevel="1"/>
    <row r="374" outlineLevel="1"/>
    <row r="375" outlineLevel="1"/>
    <row r="376" outlineLevel="1"/>
  </sheetData>
  <autoFilter ref="A15:CE116"/>
  <mergeCells count="149">
    <mergeCell ref="G3:I3"/>
    <mergeCell ref="J3:L3"/>
    <mergeCell ref="O2:Q2"/>
    <mergeCell ref="R2:T2"/>
    <mergeCell ref="U2:W2"/>
    <mergeCell ref="C116:H116"/>
    <mergeCell ref="BL13:BM13"/>
    <mergeCell ref="BP13:BQ13"/>
    <mergeCell ref="I13:I15"/>
    <mergeCell ref="T13:X13"/>
    <mergeCell ref="Y13:AC13"/>
    <mergeCell ref="AD13:AH13"/>
    <mergeCell ref="AI13:AM13"/>
    <mergeCell ref="AN13:AR13"/>
    <mergeCell ref="AS13:AW13"/>
    <mergeCell ref="AX13:BB13"/>
    <mergeCell ref="C13:C15"/>
    <mergeCell ref="D13:D15"/>
    <mergeCell ref="E13:E15"/>
    <mergeCell ref="F13:F15"/>
    <mergeCell ref="BJ14:BJ15"/>
    <mergeCell ref="BK14:BK15"/>
    <mergeCell ref="BN14:BN15"/>
    <mergeCell ref="BO14:BO15"/>
    <mergeCell ref="H13:H15"/>
    <mergeCell ref="J12:S12"/>
    <mergeCell ref="T12:AC12"/>
    <mergeCell ref="AD12:AM12"/>
    <mergeCell ref="G13:G15"/>
    <mergeCell ref="AD14:AH14"/>
    <mergeCell ref="AI14:AM14"/>
    <mergeCell ref="BS13:BS15"/>
    <mergeCell ref="AN12:AW12"/>
    <mergeCell ref="AX12:BG12"/>
    <mergeCell ref="BU13:BU15"/>
    <mergeCell ref="J14:N14"/>
    <mergeCell ref="O14:S14"/>
    <mergeCell ref="T14:X14"/>
    <mergeCell ref="Y14:AC14"/>
    <mergeCell ref="AX14:BB14"/>
    <mergeCell ref="BC14:BG14"/>
    <mergeCell ref="BI14:BI15"/>
    <mergeCell ref="BL14:BL15"/>
    <mergeCell ref="BM14:BM15"/>
    <mergeCell ref="J13:N13"/>
    <mergeCell ref="O13:S13"/>
    <mergeCell ref="BH14:BH15"/>
    <mergeCell ref="BC13:BG13"/>
    <mergeCell ref="BH13:BI13"/>
    <mergeCell ref="BQ14:BQ15"/>
    <mergeCell ref="AN14:AR14"/>
    <mergeCell ref="AS14:AW14"/>
    <mergeCell ref="BP14:BP15"/>
    <mergeCell ref="J127:S127"/>
    <mergeCell ref="T127:AC127"/>
    <mergeCell ref="AD127:AM127"/>
    <mergeCell ref="AN127:AW127"/>
    <mergeCell ref="AX127:BG127"/>
    <mergeCell ref="I128:I130"/>
    <mergeCell ref="J128:N128"/>
    <mergeCell ref="O128:S128"/>
    <mergeCell ref="T128:X128"/>
    <mergeCell ref="Y128:AC128"/>
    <mergeCell ref="AX128:BB128"/>
    <mergeCell ref="BP129:BP130"/>
    <mergeCell ref="BC128:BG128"/>
    <mergeCell ref="BH128:BI128"/>
    <mergeCell ref="BL128:BM128"/>
    <mergeCell ref="BP128:BQ128"/>
    <mergeCell ref="AD129:AH129"/>
    <mergeCell ref="AI129:AM129"/>
    <mergeCell ref="AN129:AR129"/>
    <mergeCell ref="AS129:AW129"/>
    <mergeCell ref="BJ129:BJ130"/>
    <mergeCell ref="BK129:BK130"/>
    <mergeCell ref="BN129:BN130"/>
    <mergeCell ref="BO129:BO130"/>
    <mergeCell ref="C120:I120"/>
    <mergeCell ref="C231:H231"/>
    <mergeCell ref="BU128:BU130"/>
    <mergeCell ref="J129:N129"/>
    <mergeCell ref="O129:S129"/>
    <mergeCell ref="T129:X129"/>
    <mergeCell ref="Y129:AC129"/>
    <mergeCell ref="AX129:BB129"/>
    <mergeCell ref="BC129:BG129"/>
    <mergeCell ref="BH129:BH130"/>
    <mergeCell ref="BI129:BI130"/>
    <mergeCell ref="BL129:BL130"/>
    <mergeCell ref="BM129:BM130"/>
    <mergeCell ref="BS128:BS130"/>
    <mergeCell ref="BQ129:BQ130"/>
    <mergeCell ref="AD128:AH128"/>
    <mergeCell ref="AI128:AM128"/>
    <mergeCell ref="AN128:AR128"/>
    <mergeCell ref="AS128:AW128"/>
    <mergeCell ref="C128:C130"/>
    <mergeCell ref="D128:D130"/>
    <mergeCell ref="E128:E130"/>
    <mergeCell ref="F128:F130"/>
    <mergeCell ref="H128:H130"/>
    <mergeCell ref="BO239:BO240"/>
    <mergeCell ref="BP239:BP240"/>
    <mergeCell ref="J237:S237"/>
    <mergeCell ref="T237:AC237"/>
    <mergeCell ref="AD237:AM237"/>
    <mergeCell ref="AN237:AW237"/>
    <mergeCell ref="AX237:BG237"/>
    <mergeCell ref="C238:C240"/>
    <mergeCell ref="D238:D240"/>
    <mergeCell ref="E238:E240"/>
    <mergeCell ref="F238:F240"/>
    <mergeCell ref="G238:G240"/>
    <mergeCell ref="H238:H240"/>
    <mergeCell ref="I238:I240"/>
    <mergeCell ref="J238:N238"/>
    <mergeCell ref="O238:S238"/>
    <mergeCell ref="T238:X238"/>
    <mergeCell ref="Y238:AC238"/>
    <mergeCell ref="AD238:AH238"/>
    <mergeCell ref="AI238:AM238"/>
    <mergeCell ref="AN238:AR238"/>
    <mergeCell ref="AS238:AW238"/>
    <mergeCell ref="AX238:BB238"/>
    <mergeCell ref="BC238:BG238"/>
    <mergeCell ref="BQ239:BQ240"/>
    <mergeCell ref="C341:H341"/>
    <mergeCell ref="BH238:BI238"/>
    <mergeCell ref="BL238:BM238"/>
    <mergeCell ref="BP238:BQ238"/>
    <mergeCell ref="BS238:BS240"/>
    <mergeCell ref="BU238:BU240"/>
    <mergeCell ref="J239:N239"/>
    <mergeCell ref="O239:S239"/>
    <mergeCell ref="T239:X239"/>
    <mergeCell ref="Y239:AC239"/>
    <mergeCell ref="AD239:AH239"/>
    <mergeCell ref="AI239:AM239"/>
    <mergeCell ref="AN239:AR239"/>
    <mergeCell ref="AS239:AW239"/>
    <mergeCell ref="AX239:BB239"/>
    <mergeCell ref="BC239:BG239"/>
    <mergeCell ref="BH239:BH240"/>
    <mergeCell ref="BI239:BI240"/>
    <mergeCell ref="BJ239:BJ240"/>
    <mergeCell ref="BK239:BK240"/>
    <mergeCell ref="BL239:BL240"/>
    <mergeCell ref="BM239:BM240"/>
    <mergeCell ref="BN239:BN240"/>
  </mergeCells>
  <dataValidations count="1">
    <dataValidation type="list" allowBlank="1" showInputMessage="1" showErrorMessage="1" sqref="E131:E230 E299:E340 E241:E297">
      <formula1>Types</formula1>
    </dataValidation>
  </dataValidations>
  <pageMargins left="0.98425196850393704" right="0.39370078740157483" top="0.19685039370078741" bottom="0.39370078740157483" header="0.51181102362204722" footer="0.51181102362204722"/>
  <pageSetup paperSize="9" scale="58" orientation="landscape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'клиентская база'!$A$2:$A$370</xm:f>
          </x14:formula1>
          <xm:sqref>D16:D115</xm:sqref>
        </x14:dataValidation>
        <x14:dataValidation type="list" allowBlank="1" showInputMessage="1" showErrorMessage="1">
          <x14:formula1>
            <xm:f>'клиентская база'!$C$2:$C$6</xm:f>
          </x14:formula1>
          <xm:sqref>E16:E115</xm:sqref>
        </x14:dataValidation>
        <x14:dataValidation type="list" allowBlank="1" showInputMessage="1" showErrorMessage="1">
          <x14:formula1>
            <xm:f>'клиентская база'!$E$2:$E$6</xm:f>
          </x14:formula1>
          <xm:sqref>F21:F115</xm:sqref>
        </x14:dataValidation>
        <x14:dataValidation type="list" allowBlank="1" showInputMessage="1" showErrorMessage="1">
          <x14:formula1>
            <xm:f>'клиентская база'!$E$2:$E$7</xm:f>
          </x14:formula1>
          <xm:sqref>F16:F20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W3582"/>
  <sheetViews>
    <sheetView zoomScale="70" zoomScaleNormal="70" workbookViewId="0">
      <pane xSplit="4" ySplit="5" topLeftCell="O6" activePane="bottomRight" state="frozen"/>
      <selection activeCell="N15" sqref="N15"/>
      <selection pane="topRight" activeCell="N15" sqref="N15"/>
      <selection pane="bottomLeft" activeCell="N15" sqref="N15"/>
      <selection pane="bottomRight" activeCell="R20" sqref="R20"/>
    </sheetView>
  </sheetViews>
  <sheetFormatPr defaultColWidth="9.28515625" defaultRowHeight="12.75" outlineLevelRow="2"/>
  <cols>
    <col min="1" max="1" width="4.7109375" style="86" customWidth="1"/>
    <col min="2" max="2" width="4.28515625" style="86" bestFit="1" customWidth="1"/>
    <col min="3" max="3" width="21.28515625" style="86" customWidth="1"/>
    <col min="4" max="4" width="29.42578125" style="969" customWidth="1"/>
    <col min="5" max="5" width="24.42578125" style="86" customWidth="1"/>
    <col min="6" max="6" width="20.42578125" style="56" customWidth="1"/>
    <col min="7" max="7" width="14.42578125" style="56" customWidth="1"/>
    <col min="8" max="8" width="14.7109375" style="56" customWidth="1"/>
    <col min="9" max="9" width="14.42578125" style="56" customWidth="1"/>
    <col min="10" max="10" width="14.7109375" style="56" customWidth="1"/>
    <col min="11" max="11" width="14.42578125" style="56" customWidth="1"/>
    <col min="12" max="12" width="16" style="56" bestFit="1" customWidth="1"/>
    <col min="13" max="13" width="14.42578125" style="56" customWidth="1"/>
    <col min="14" max="14" width="16" style="56" bestFit="1" customWidth="1"/>
    <col min="15" max="15" width="14.42578125" style="56" customWidth="1"/>
    <col min="16" max="16" width="14.7109375" style="56" customWidth="1"/>
    <col min="17" max="17" width="14.42578125" style="56" customWidth="1"/>
    <col min="18" max="18" width="18.28515625" style="56" customWidth="1"/>
    <col min="19" max="19" width="15.42578125" style="56" customWidth="1"/>
    <col min="20" max="20" width="14.7109375" style="56" customWidth="1"/>
    <col min="21" max="21" width="15.42578125" style="56" customWidth="1"/>
    <col min="22" max="22" width="14.7109375" style="56" customWidth="1"/>
    <col min="23" max="23" width="15.42578125" style="56" customWidth="1"/>
    <col min="24" max="24" width="14.7109375" style="56" customWidth="1"/>
    <col min="25" max="25" width="14.42578125" style="56" customWidth="1"/>
    <col min="26" max="26" width="14.7109375" style="56" customWidth="1"/>
    <col min="27" max="27" width="8.42578125" style="56" customWidth="1"/>
    <col min="28" max="28" width="14.7109375" style="56" customWidth="1"/>
    <col min="29" max="29" width="8.42578125" style="56" bestFit="1" customWidth="1"/>
    <col min="30" max="30" width="14.7109375" style="56" customWidth="1"/>
    <col min="31" max="31" width="9.7109375" style="56" customWidth="1"/>
    <col min="32" max="32" width="17" style="56" customWidth="1"/>
    <col min="33" max="33" width="14.42578125" style="56" bestFit="1" customWidth="1"/>
    <col min="34" max="34" width="15.42578125" style="56" customWidth="1"/>
    <col min="35" max="35" width="17.7109375" style="56" bestFit="1" customWidth="1"/>
    <col min="36" max="36" width="2.42578125" style="56" customWidth="1"/>
    <col min="37" max="37" width="15.28515625" style="56" customWidth="1"/>
    <col min="38" max="38" width="15.42578125" style="56" bestFit="1" customWidth="1"/>
    <col min="39" max="39" width="15.7109375" style="56" bestFit="1" customWidth="1"/>
    <col min="40" max="40" width="20.28515625" style="692" bestFit="1" customWidth="1"/>
    <col min="41" max="41" width="14.42578125" style="324" bestFit="1" customWidth="1"/>
    <col min="42" max="42" width="14.42578125" style="324" customWidth="1"/>
    <col min="43" max="43" width="10.28515625" style="693" bestFit="1" customWidth="1"/>
    <col min="44" max="44" width="9.28515625" style="56"/>
    <col min="45" max="45" width="15.28515625" style="56" bestFit="1" customWidth="1"/>
    <col min="46" max="46" width="15.42578125" style="56" customWidth="1"/>
    <col min="47" max="47" width="18.42578125" style="745" customWidth="1"/>
    <col min="48" max="48" width="14.42578125" style="462" bestFit="1" customWidth="1"/>
    <col min="49" max="49" width="13.28515625" style="56" bestFit="1" customWidth="1"/>
    <col min="50" max="16384" width="9.28515625" style="56"/>
  </cols>
  <sheetData>
    <row r="1" spans="1:49" ht="18">
      <c r="B1" s="73"/>
      <c r="C1" s="73"/>
      <c r="D1" s="74" t="s">
        <v>168</v>
      </c>
      <c r="E1" s="75" t="s">
        <v>535</v>
      </c>
      <c r="F1" s="57"/>
      <c r="G1" s="57"/>
      <c r="H1" s="58"/>
      <c r="I1" s="57"/>
      <c r="J1" s="57"/>
      <c r="K1" s="58"/>
      <c r="L1" s="57"/>
      <c r="M1" s="58"/>
      <c r="N1" s="57"/>
      <c r="O1" s="59"/>
      <c r="P1" s="57"/>
      <c r="Q1" s="60" t="str">
        <f>Title!I17</f>
        <v>HAVAIANAS</v>
      </c>
      <c r="R1" s="58"/>
      <c r="S1" s="58"/>
      <c r="T1" s="61" t="s">
        <v>170</v>
      </c>
      <c r="U1" s="57"/>
      <c r="V1" s="57"/>
      <c r="W1" s="57"/>
      <c r="X1" s="57"/>
      <c r="Y1" s="57"/>
      <c r="Z1" s="57"/>
      <c r="AA1" s="57"/>
      <c r="AB1" s="58"/>
      <c r="AC1" s="57"/>
      <c r="AD1" s="57"/>
      <c r="AE1" s="57"/>
      <c r="AF1" s="58"/>
      <c r="AG1" s="58"/>
      <c r="AH1" s="58"/>
      <c r="AI1" s="58"/>
      <c r="AJ1" s="57"/>
    </row>
    <row r="2" spans="1:49" ht="16.5" thickBot="1">
      <c r="B2" s="76"/>
      <c r="C2" s="76"/>
      <c r="D2" s="77"/>
      <c r="E2" s="77"/>
      <c r="F2" s="57"/>
      <c r="G2" s="58"/>
      <c r="H2" s="57"/>
      <c r="I2" s="58"/>
      <c r="J2" s="57"/>
      <c r="K2" s="58"/>
      <c r="L2" s="57"/>
      <c r="M2" s="58"/>
      <c r="N2" s="57"/>
      <c r="O2" s="58"/>
      <c r="P2" s="57"/>
      <c r="Q2" s="58"/>
      <c r="R2" s="58"/>
      <c r="S2" s="58"/>
      <c r="T2" s="58"/>
      <c r="U2" s="58"/>
      <c r="V2" s="58"/>
      <c r="W2" s="58"/>
      <c r="X2" s="58"/>
      <c r="Y2" s="58"/>
      <c r="Z2" s="58"/>
      <c r="AA2" s="57"/>
      <c r="AB2" s="58"/>
      <c r="AC2" s="57"/>
      <c r="AD2" s="57"/>
      <c r="AE2" s="57"/>
      <c r="AF2" s="58"/>
      <c r="AG2" s="58"/>
      <c r="AH2" s="58"/>
      <c r="AI2" s="58"/>
      <c r="AJ2" s="57"/>
    </row>
    <row r="3" spans="1:49" ht="16.5" thickBot="1">
      <c r="A3" s="73"/>
      <c r="B3" s="78"/>
      <c r="C3" s="79"/>
      <c r="D3" s="80"/>
      <c r="E3" s="80"/>
      <c r="F3" s="62"/>
      <c r="G3" s="63"/>
      <c r="H3" s="62"/>
      <c r="I3" s="63"/>
      <c r="J3" s="62"/>
      <c r="K3" s="63"/>
      <c r="L3" s="62"/>
      <c r="M3" s="63"/>
      <c r="N3" s="62"/>
      <c r="O3" s="63"/>
      <c r="P3" s="62"/>
      <c r="Q3" s="63"/>
      <c r="R3" s="63"/>
      <c r="S3" s="63"/>
      <c r="T3" s="63"/>
      <c r="U3" s="63"/>
      <c r="V3" s="63"/>
      <c r="W3" s="63"/>
      <c r="X3" s="63"/>
      <c r="Y3" s="63"/>
      <c r="Z3" s="63"/>
      <c r="AA3" s="62"/>
      <c r="AB3" s="63"/>
      <c r="AC3" s="63"/>
      <c r="AD3" s="63"/>
      <c r="AE3" s="63"/>
      <c r="AF3" s="63"/>
      <c r="AG3" s="63"/>
      <c r="AH3" s="63"/>
      <c r="AI3" s="63"/>
      <c r="AJ3" s="64"/>
    </row>
    <row r="4" spans="1:49" ht="13.5" thickBot="1">
      <c r="A4" s="73"/>
      <c r="B4" s="81"/>
      <c r="C4" s="1242" t="s">
        <v>77</v>
      </c>
      <c r="D4" s="1242" t="s">
        <v>169</v>
      </c>
      <c r="E4" s="1242" t="s">
        <v>479</v>
      </c>
      <c r="F4" s="1236" t="s">
        <v>29</v>
      </c>
      <c r="G4" s="1237"/>
      <c r="H4" s="1236" t="s">
        <v>30</v>
      </c>
      <c r="I4" s="1237"/>
      <c r="J4" s="1236" t="s">
        <v>31</v>
      </c>
      <c r="K4" s="1237"/>
      <c r="L4" s="1236" t="s">
        <v>32</v>
      </c>
      <c r="M4" s="1237"/>
      <c r="N4" s="1236" t="s">
        <v>33</v>
      </c>
      <c r="O4" s="1237"/>
      <c r="P4" s="1236" t="s">
        <v>34</v>
      </c>
      <c r="Q4" s="1237"/>
      <c r="R4" s="1238" t="s">
        <v>726</v>
      </c>
      <c r="S4" s="1239"/>
      <c r="T4" s="1236" t="s">
        <v>37</v>
      </c>
      <c r="U4" s="1237"/>
      <c r="V4" s="1236" t="s">
        <v>38</v>
      </c>
      <c r="W4" s="1237"/>
      <c r="X4" s="1236" t="s">
        <v>39</v>
      </c>
      <c r="Y4" s="1237"/>
      <c r="Z4" s="1236" t="s">
        <v>40</v>
      </c>
      <c r="AA4" s="1237"/>
      <c r="AB4" s="1236" t="s">
        <v>41</v>
      </c>
      <c r="AC4" s="1237"/>
      <c r="AD4" s="1236" t="s">
        <v>42</v>
      </c>
      <c r="AE4" s="1237"/>
      <c r="AF4" s="1238" t="s">
        <v>725</v>
      </c>
      <c r="AG4" s="1239"/>
      <c r="AH4" s="1240" t="s">
        <v>724</v>
      </c>
      <c r="AI4" s="1241"/>
      <c r="AJ4" s="65"/>
    </row>
    <row r="5" spans="1:49" ht="13.5" thickBot="1">
      <c r="A5" s="73"/>
      <c r="B5" s="81"/>
      <c r="C5" s="1243"/>
      <c r="D5" s="1243"/>
      <c r="E5" s="1243"/>
      <c r="F5" s="66" t="s">
        <v>35</v>
      </c>
      <c r="G5" s="1100" t="s">
        <v>36</v>
      </c>
      <c r="H5" s="66" t="s">
        <v>35</v>
      </c>
      <c r="I5" s="1100" t="s">
        <v>36</v>
      </c>
      <c r="J5" s="66" t="s">
        <v>35</v>
      </c>
      <c r="K5" s="1100" t="s">
        <v>36</v>
      </c>
      <c r="L5" s="66" t="s">
        <v>35</v>
      </c>
      <c r="M5" s="1100" t="s">
        <v>36</v>
      </c>
      <c r="N5" s="66" t="s">
        <v>35</v>
      </c>
      <c r="O5" s="1100" t="s">
        <v>36</v>
      </c>
      <c r="P5" s="66" t="s">
        <v>35</v>
      </c>
      <c r="Q5" s="1101" t="s">
        <v>36</v>
      </c>
      <c r="R5" s="127" t="s">
        <v>35</v>
      </c>
      <c r="S5" s="127" t="s">
        <v>36</v>
      </c>
      <c r="T5" s="66" t="s">
        <v>35</v>
      </c>
      <c r="U5" s="1100" t="s">
        <v>36</v>
      </c>
      <c r="V5" s="66" t="s">
        <v>35</v>
      </c>
      <c r="W5" s="1100" t="s">
        <v>36</v>
      </c>
      <c r="X5" s="66" t="s">
        <v>35</v>
      </c>
      <c r="Y5" s="1100" t="s">
        <v>36</v>
      </c>
      <c r="Z5" s="66" t="s">
        <v>35</v>
      </c>
      <c r="AA5" s="1100" t="s">
        <v>36</v>
      </c>
      <c r="AB5" s="66" t="s">
        <v>35</v>
      </c>
      <c r="AC5" s="1100" t="s">
        <v>36</v>
      </c>
      <c r="AD5" s="66" t="s">
        <v>35</v>
      </c>
      <c r="AE5" s="1101" t="s">
        <v>36</v>
      </c>
      <c r="AF5" s="127" t="s">
        <v>35</v>
      </c>
      <c r="AG5" s="127" t="s">
        <v>36</v>
      </c>
      <c r="AH5" s="128" t="s">
        <v>35</v>
      </c>
      <c r="AI5" s="128" t="s">
        <v>36</v>
      </c>
      <c r="AJ5" s="65"/>
      <c r="AN5" s="692" t="s">
        <v>622</v>
      </c>
      <c r="AO5" s="324" t="s">
        <v>708</v>
      </c>
      <c r="AP5" s="324" t="s">
        <v>709</v>
      </c>
      <c r="AQ5" s="694" t="s">
        <v>483</v>
      </c>
      <c r="AS5" s="696" t="s">
        <v>529</v>
      </c>
      <c r="AT5" s="696" t="s">
        <v>528</v>
      </c>
    </row>
    <row r="6" spans="1:49" ht="13.5" customHeight="1" outlineLevel="1" thickBot="1">
      <c r="A6" s="82">
        <v>1</v>
      </c>
      <c r="B6" s="82">
        <f>'Terms and Turnovers'!B16</f>
        <v>1</v>
      </c>
      <c r="C6" s="1233">
        <f>'Terms and Turnovers'!C16</f>
        <v>0</v>
      </c>
      <c r="D6" s="1233" t="str">
        <f>'Terms and Turnovers'!D16</f>
        <v>Вайлдберриз ООО</v>
      </c>
      <c r="E6" s="83" t="str">
        <f>'Terms and Turnovers'!$J$12</f>
        <v>FLIP-FLOPS</v>
      </c>
      <c r="F6" s="118">
        <f>$R6*G6</f>
        <v>0</v>
      </c>
      <c r="G6" s="69"/>
      <c r="H6" s="314">
        <f>$R6*I6</f>
        <v>0</v>
      </c>
      <c r="I6" s="69">
        <v>0</v>
      </c>
      <c r="J6" s="118">
        <f>$R6*K6</f>
        <v>0</v>
      </c>
      <c r="K6" s="69">
        <v>0</v>
      </c>
      <c r="L6" s="314">
        <f>$R6*M6</f>
        <v>450286.6836600001</v>
      </c>
      <c r="M6" s="69">
        <v>0.19</v>
      </c>
      <c r="N6" s="314">
        <f>$R6*O6</f>
        <v>782076.87162000011</v>
      </c>
      <c r="O6" s="69">
        <v>0.33</v>
      </c>
      <c r="P6" s="118">
        <f>$R6*Q6</f>
        <v>1137566.3587200001</v>
      </c>
      <c r="Q6" s="69">
        <v>0.48</v>
      </c>
      <c r="R6" s="87">
        <f>'Terms and Turnovers'!K16</f>
        <v>2369929.9140000003</v>
      </c>
      <c r="S6" s="160">
        <f t="shared" ref="S6:S78" si="0">SUM(G6,I6,K6,M6,O6,Q6)</f>
        <v>1</v>
      </c>
      <c r="T6" s="118">
        <f>$AF6*U6</f>
        <v>736832.75508000015</v>
      </c>
      <c r="U6" s="69">
        <v>0.38</v>
      </c>
      <c r="V6" s="314">
        <f>$AF6*W6</f>
        <v>601100.40546000015</v>
      </c>
      <c r="W6" s="69">
        <v>0.31</v>
      </c>
      <c r="X6" s="118">
        <f>$AF6*Y6</f>
        <v>310245.37056000007</v>
      </c>
      <c r="Y6" s="69">
        <v>0.16</v>
      </c>
      <c r="Z6" s="314">
        <f>$AF6*AA6</f>
        <v>135732.34962000002</v>
      </c>
      <c r="AA6" s="69">
        <v>7.0000000000000007E-2</v>
      </c>
      <c r="AB6" s="314">
        <f>$AF6*AC6</f>
        <v>77561.342640000017</v>
      </c>
      <c r="AC6" s="69">
        <v>0.04</v>
      </c>
      <c r="AD6" s="118">
        <f>$AF6*AE6</f>
        <v>77561.342640000017</v>
      </c>
      <c r="AE6" s="69">
        <v>0.04</v>
      </c>
      <c r="AF6" s="87">
        <f>'Terms and Turnovers'!P16</f>
        <v>1939033.5660000003</v>
      </c>
      <c r="AG6" s="160">
        <f>SUM(U6,W6,Y6,AA6,AC6,AE6)</f>
        <v>1</v>
      </c>
      <c r="AH6" s="157">
        <f>SUM(R6,AF6)</f>
        <v>4308963.4800000004</v>
      </c>
      <c r="AI6" s="131">
        <f>S6+AG6</f>
        <v>2</v>
      </c>
      <c r="AJ6" s="65"/>
      <c r="AL6" s="461">
        <f>SUM(F6,H6,J6,L6,N6,P6,T6,V6,X6,Z6,AB6,AD6)</f>
        <v>4308963.4800000014</v>
      </c>
      <c r="AM6" s="462">
        <f>AL6-AH6</f>
        <v>0</v>
      </c>
      <c r="AV6" s="56"/>
    </row>
    <row r="7" spans="1:49" ht="13.5" customHeight="1" outlineLevel="1" thickBot="1">
      <c r="A7" s="119"/>
      <c r="B7" s="82"/>
      <c r="C7" s="1234"/>
      <c r="D7" s="1234"/>
      <c r="E7" s="84" t="str">
        <f>'Terms and Turnovers'!$T$12</f>
        <v>ORIGINALS</v>
      </c>
      <c r="F7" s="120">
        <f>$R7*G7</f>
        <v>0</v>
      </c>
      <c r="G7" s="723"/>
      <c r="H7" s="120">
        <f>$R7*I7</f>
        <v>0</v>
      </c>
      <c r="I7" s="69">
        <v>0</v>
      </c>
      <c r="J7" s="120">
        <f>$R7*K7</f>
        <v>0</v>
      </c>
      <c r="K7" s="69">
        <v>0</v>
      </c>
      <c r="L7" s="120">
        <f>$R7*M7</f>
        <v>0</v>
      </c>
      <c r="M7" s="69">
        <v>0</v>
      </c>
      <c r="N7" s="315">
        <f>$R7*O7</f>
        <v>0</v>
      </c>
      <c r="O7" s="69">
        <v>0</v>
      </c>
      <c r="P7" s="120">
        <f>$R7*Q7</f>
        <v>0</v>
      </c>
      <c r="Q7" s="69">
        <v>0</v>
      </c>
      <c r="R7" s="88">
        <f>'Terms and Turnovers'!U16</f>
        <v>0</v>
      </c>
      <c r="S7" s="161">
        <f t="shared" si="0"/>
        <v>0</v>
      </c>
      <c r="T7" s="120">
        <f t="shared" ref="T7:V10" si="1">$AF7*U7</f>
        <v>0</v>
      </c>
      <c r="U7" s="69">
        <v>0</v>
      </c>
      <c r="V7" s="120">
        <f t="shared" si="1"/>
        <v>0</v>
      </c>
      <c r="W7" s="69">
        <v>0</v>
      </c>
      <c r="X7" s="120">
        <f>$AF7*Y7</f>
        <v>0</v>
      </c>
      <c r="Y7" s="69">
        <v>0</v>
      </c>
      <c r="Z7" s="120">
        <f>$AF7*AA7</f>
        <v>0</v>
      </c>
      <c r="AA7" s="69">
        <v>0</v>
      </c>
      <c r="AB7" s="315">
        <f>$AF7*AC7</f>
        <v>0</v>
      </c>
      <c r="AC7" s="69">
        <v>0</v>
      </c>
      <c r="AD7" s="120">
        <f>$AF7*AE7</f>
        <v>0</v>
      </c>
      <c r="AE7" s="69">
        <v>0</v>
      </c>
      <c r="AF7" s="88">
        <f>'Terms and Turnovers'!Z16</f>
        <v>0</v>
      </c>
      <c r="AG7" s="161">
        <f t="shared" ref="AG7:AG79" si="2">SUM(U7,W7,Y7,AA7,AC7,AE7)</f>
        <v>0</v>
      </c>
      <c r="AH7" s="158">
        <f t="shared" ref="AH7:AH79" si="3">SUM(R7,AF7)</f>
        <v>0</v>
      </c>
      <c r="AI7" s="134">
        <f t="shared" ref="AI7:AI79" si="4">S7+AG7</f>
        <v>0</v>
      </c>
      <c r="AJ7" s="65"/>
      <c r="AL7" s="461">
        <f>SUM(F7,H7,J7,L7,N7,P7,T7,V7,X7,Z7,AB7,AD7)</f>
        <v>0</v>
      </c>
      <c r="AM7" s="462">
        <f>AL7-AH7</f>
        <v>0</v>
      </c>
      <c r="AV7" s="56"/>
    </row>
    <row r="8" spans="1:49" ht="13.5" customHeight="1" outlineLevel="1" thickBot="1">
      <c r="A8" s="119"/>
      <c r="B8" s="82"/>
      <c r="C8" s="1234"/>
      <c r="D8" s="1234"/>
      <c r="E8" s="84" t="str">
        <f>'Terms and Turnovers'!$AD$12</f>
        <v>ACCESSORIES</v>
      </c>
      <c r="F8" s="120">
        <f>$R8*G8</f>
        <v>0</v>
      </c>
      <c r="G8" s="723"/>
      <c r="H8" s="120">
        <f>$R8*I8</f>
        <v>0</v>
      </c>
      <c r="I8" s="69">
        <v>0</v>
      </c>
      <c r="J8" s="120">
        <f>$R8*K8</f>
        <v>0</v>
      </c>
      <c r="K8" s="69">
        <v>0</v>
      </c>
      <c r="L8" s="120">
        <f>$R8*M8</f>
        <v>0</v>
      </c>
      <c r="M8" s="69">
        <v>0</v>
      </c>
      <c r="N8" s="315">
        <f>$R8*O8</f>
        <v>0</v>
      </c>
      <c r="O8" s="69">
        <v>0</v>
      </c>
      <c r="P8" s="120">
        <f>$R8*Q8</f>
        <v>0</v>
      </c>
      <c r="Q8" s="69">
        <v>0</v>
      </c>
      <c r="R8" s="88">
        <f>'Terms and Turnovers'!AE16</f>
        <v>0</v>
      </c>
      <c r="S8" s="161">
        <f t="shared" si="0"/>
        <v>0</v>
      </c>
      <c r="T8" s="120">
        <f t="shared" si="1"/>
        <v>0</v>
      </c>
      <c r="U8" s="69">
        <v>0</v>
      </c>
      <c r="V8" s="120">
        <f t="shared" si="1"/>
        <v>0</v>
      </c>
      <c r="W8" s="69">
        <v>0</v>
      </c>
      <c r="X8" s="120">
        <f>$AF8*Y8</f>
        <v>0</v>
      </c>
      <c r="Y8" s="69">
        <v>0</v>
      </c>
      <c r="Z8" s="120">
        <f>$AF8*AA8</f>
        <v>0</v>
      </c>
      <c r="AA8" s="69">
        <v>0</v>
      </c>
      <c r="AB8" s="315">
        <f>$AF8*AC8</f>
        <v>0</v>
      </c>
      <c r="AC8" s="69">
        <v>0</v>
      </c>
      <c r="AD8" s="120">
        <f>$AF8*AE8</f>
        <v>0</v>
      </c>
      <c r="AE8" s="69">
        <v>0</v>
      </c>
      <c r="AF8" s="88">
        <f>'Terms and Turnovers'!AJ16</f>
        <v>0</v>
      </c>
      <c r="AG8" s="161">
        <f t="shared" si="2"/>
        <v>0</v>
      </c>
      <c r="AH8" s="158">
        <f t="shared" si="3"/>
        <v>0</v>
      </c>
      <c r="AI8" s="134">
        <f t="shared" si="4"/>
        <v>0</v>
      </c>
      <c r="AJ8" s="65"/>
      <c r="AL8" s="461">
        <f>SUM(F8,H8,J8,L8,N8,P8,T8,V8,X8,Z8,AB8,AD8)</f>
        <v>0</v>
      </c>
      <c r="AM8" s="462">
        <f>AL8-AH8</f>
        <v>0</v>
      </c>
      <c r="AV8" s="56"/>
    </row>
    <row r="9" spans="1:49" s="334" customFormat="1" ht="13.5" customHeight="1" outlineLevel="1" thickBot="1">
      <c r="A9" s="595"/>
      <c r="B9" s="596"/>
      <c r="C9" s="1234"/>
      <c r="D9" s="1234"/>
      <c r="E9" s="597">
        <f>'Terms and Turnovers'!$AN$12</f>
        <v>0</v>
      </c>
      <c r="F9" s="598">
        <f>$R9*G9</f>
        <v>0</v>
      </c>
      <c r="G9" s="724"/>
      <c r="H9" s="598">
        <f>$R9*I9</f>
        <v>0</v>
      </c>
      <c r="I9" s="69">
        <v>0</v>
      </c>
      <c r="J9" s="598">
        <f>$R9*K9</f>
        <v>0</v>
      </c>
      <c r="K9" s="69">
        <v>0</v>
      </c>
      <c r="L9" s="598">
        <f>$R9*M9</f>
        <v>0</v>
      </c>
      <c r="M9" s="69">
        <v>0</v>
      </c>
      <c r="N9" s="598">
        <f>$R9*O9</f>
        <v>0</v>
      </c>
      <c r="O9" s="69">
        <v>0</v>
      </c>
      <c r="P9" s="598">
        <f>$R9*Q9</f>
        <v>0</v>
      </c>
      <c r="Q9" s="69">
        <v>0</v>
      </c>
      <c r="R9" s="88">
        <f>'Terms and Turnovers'!AO16</f>
        <v>0</v>
      </c>
      <c r="S9" s="161">
        <f t="shared" si="0"/>
        <v>0</v>
      </c>
      <c r="T9" s="598">
        <f t="shared" si="1"/>
        <v>0</v>
      </c>
      <c r="U9" s="69">
        <v>0</v>
      </c>
      <c r="V9" s="598">
        <f t="shared" si="1"/>
        <v>0</v>
      </c>
      <c r="W9" s="69">
        <v>0</v>
      </c>
      <c r="X9" s="598">
        <f>$AF9*Y9</f>
        <v>0</v>
      </c>
      <c r="Y9" s="69">
        <v>0</v>
      </c>
      <c r="Z9" s="598">
        <f>$AF9*AA9</f>
        <v>0</v>
      </c>
      <c r="AA9" s="69">
        <v>0</v>
      </c>
      <c r="AB9" s="598">
        <f>$AF9*AC9</f>
        <v>0</v>
      </c>
      <c r="AC9" s="69">
        <v>0</v>
      </c>
      <c r="AD9" s="598">
        <f>$AF9*AE9</f>
        <v>0</v>
      </c>
      <c r="AE9" s="69">
        <v>0</v>
      </c>
      <c r="AF9" s="600">
        <f>'Terms and Turnovers'!AT16</f>
        <v>0</v>
      </c>
      <c r="AG9" s="161">
        <f t="shared" si="2"/>
        <v>0</v>
      </c>
      <c r="AH9" s="601">
        <f t="shared" si="3"/>
        <v>0</v>
      </c>
      <c r="AI9" s="134">
        <f t="shared" si="4"/>
        <v>0</v>
      </c>
      <c r="AJ9" s="603"/>
      <c r="AL9" s="334">
        <f>SUM(F9,H9,J9,L9,N9,P9,T9,V9,X9,Z9,AB9,AD9)</f>
        <v>0</v>
      </c>
      <c r="AM9" s="334">
        <f>AL9-AH9</f>
        <v>0</v>
      </c>
      <c r="AN9" s="692"/>
      <c r="AO9" s="692"/>
      <c r="AP9" s="692"/>
      <c r="AQ9" s="693"/>
      <c r="AU9" s="746"/>
    </row>
    <row r="10" spans="1:49" ht="13.5" customHeight="1" outlineLevel="1" thickBot="1">
      <c r="A10" s="119"/>
      <c r="B10" s="82"/>
      <c r="C10" s="1235"/>
      <c r="D10" s="1235"/>
      <c r="E10" s="85">
        <f>'Terms and Turnovers'!$AX$12</f>
        <v>0</v>
      </c>
      <c r="F10" s="121">
        <f>$R10*G10</f>
        <v>0</v>
      </c>
      <c r="G10" s="72"/>
      <c r="H10" s="121">
        <f>$R10*I10</f>
        <v>0</v>
      </c>
      <c r="I10" s="69">
        <v>0</v>
      </c>
      <c r="J10" s="121">
        <f>$R10*K10</f>
        <v>0</v>
      </c>
      <c r="K10" s="69">
        <v>0</v>
      </c>
      <c r="L10" s="121">
        <f>$R10*M10</f>
        <v>0</v>
      </c>
      <c r="M10" s="69">
        <v>0</v>
      </c>
      <c r="N10" s="316">
        <f>$R10*O10</f>
        <v>0</v>
      </c>
      <c r="O10" s="69">
        <v>0</v>
      </c>
      <c r="P10" s="121">
        <f>$R10*Q10</f>
        <v>0</v>
      </c>
      <c r="Q10" s="69">
        <v>0</v>
      </c>
      <c r="R10" s="89">
        <f>'Terms and Turnovers'!AY16</f>
        <v>0</v>
      </c>
      <c r="S10" s="162">
        <f t="shared" si="0"/>
        <v>0</v>
      </c>
      <c r="T10" s="121">
        <f t="shared" si="1"/>
        <v>0</v>
      </c>
      <c r="U10" s="69">
        <v>0</v>
      </c>
      <c r="V10" s="121">
        <f t="shared" si="1"/>
        <v>0</v>
      </c>
      <c r="W10" s="69">
        <v>0</v>
      </c>
      <c r="X10" s="121">
        <f>$AF10*Y10</f>
        <v>0</v>
      </c>
      <c r="Y10" s="69">
        <v>0</v>
      </c>
      <c r="Z10" s="121">
        <f>$AF10*AA10</f>
        <v>0</v>
      </c>
      <c r="AA10" s="69">
        <v>0</v>
      </c>
      <c r="AB10" s="316">
        <f>$AF10*AC10</f>
        <v>0</v>
      </c>
      <c r="AC10" s="69">
        <v>0</v>
      </c>
      <c r="AD10" s="121">
        <f>$AF10*AE10</f>
        <v>0</v>
      </c>
      <c r="AE10" s="69">
        <v>0</v>
      </c>
      <c r="AF10" s="89">
        <f>'Terms and Turnovers'!BD16</f>
        <v>0</v>
      </c>
      <c r="AG10" s="162">
        <f t="shared" si="2"/>
        <v>0</v>
      </c>
      <c r="AH10" s="159">
        <f t="shared" si="3"/>
        <v>0</v>
      </c>
      <c r="AI10" s="137">
        <f t="shared" si="4"/>
        <v>0</v>
      </c>
      <c r="AJ10" s="65"/>
      <c r="AL10" s="461">
        <f>SUM(F10,H10,J10,L10,N10,P10,T10,V10,X10,Z10,AB10,AD10)</f>
        <v>0</v>
      </c>
      <c r="AM10" s="462">
        <f>AL10-AH10</f>
        <v>0</v>
      </c>
      <c r="AV10" s="56"/>
    </row>
    <row r="11" spans="1:49" ht="13.5" customHeight="1" outlineLevel="1" thickBot="1">
      <c r="A11" s="119"/>
      <c r="B11" s="82"/>
      <c r="C11" s="425" t="s">
        <v>388</v>
      </c>
      <c r="D11" s="425" t="str">
        <f>D6</f>
        <v>Вайлдберриз ООО</v>
      </c>
      <c r="E11" s="426"/>
      <c r="F11" s="427">
        <f>SUM(F6:F10)</f>
        <v>0</v>
      </c>
      <c r="G11" s="428"/>
      <c r="H11" s="427">
        <f>SUM(H6:H10)</f>
        <v>0</v>
      </c>
      <c r="I11" s="69"/>
      <c r="J11" s="427">
        <f>SUM(J6:J10)</f>
        <v>0</v>
      </c>
      <c r="K11" s="69"/>
      <c r="L11" s="427">
        <f>SUM(L6:L10)</f>
        <v>450286.6836600001</v>
      </c>
      <c r="M11" s="69"/>
      <c r="N11" s="427">
        <f>SUM(N6:N10)</f>
        <v>782076.87162000011</v>
      </c>
      <c r="O11" s="69"/>
      <c r="P11" s="427">
        <f>SUM(P6:P10)</f>
        <v>1137566.3587200001</v>
      </c>
      <c r="Q11" s="69"/>
      <c r="R11" s="429"/>
      <c r="S11" s="430"/>
      <c r="T11" s="427">
        <f>SUM(T6:T10)</f>
        <v>736832.75508000015</v>
      </c>
      <c r="U11" s="428"/>
      <c r="V11" s="427">
        <f>SUM(V6:V10)</f>
        <v>601100.40546000015</v>
      </c>
      <c r="W11" s="69"/>
      <c r="X11" s="427">
        <f>SUM(X6:X10)</f>
        <v>310245.37056000007</v>
      </c>
      <c r="Y11" s="69"/>
      <c r="Z11" s="427">
        <f>SUM(Z6:Z10)</f>
        <v>135732.34962000002</v>
      </c>
      <c r="AA11" s="69"/>
      <c r="AB11" s="427">
        <f>SUM(AB6:AB10)</f>
        <v>77561.342640000017</v>
      </c>
      <c r="AC11" s="69"/>
      <c r="AD11" s="427">
        <f>SUM(AD6:AD10)</f>
        <v>77561.342640000017</v>
      </c>
      <c r="AE11" s="69"/>
      <c r="AF11" s="429"/>
      <c r="AG11" s="430"/>
      <c r="AH11" s="431"/>
      <c r="AI11" s="432"/>
      <c r="AJ11" s="65"/>
      <c r="AV11" s="56"/>
    </row>
    <row r="12" spans="1:49" s="680" customFormat="1" ht="13.5" customHeight="1" outlineLevel="1" thickBot="1">
      <c r="A12" s="974"/>
      <c r="B12" s="975"/>
      <c r="C12" s="1098" t="s">
        <v>484</v>
      </c>
      <c r="D12" s="770" t="str">
        <f>D6</f>
        <v>Вайлдберриз ООО</v>
      </c>
      <c r="E12" s="976"/>
      <c r="F12" s="1106"/>
      <c r="G12" s="846"/>
      <c r="H12" s="1106"/>
      <c r="I12" s="847"/>
      <c r="J12" s="1106"/>
      <c r="K12" s="847"/>
      <c r="L12" s="1106">
        <f>L11</f>
        <v>450286.6836600001</v>
      </c>
      <c r="M12" s="847"/>
      <c r="N12" s="1106">
        <f>N11</f>
        <v>782076.87162000011</v>
      </c>
      <c r="O12" s="847"/>
      <c r="P12" s="1106">
        <f>P11</f>
        <v>1137566.3587200001</v>
      </c>
      <c r="Q12" s="847"/>
      <c r="R12" s="977"/>
      <c r="S12" s="978"/>
      <c r="T12" s="1106">
        <f>T11</f>
        <v>736832.75508000015</v>
      </c>
      <c r="U12" s="846">
        <f t="shared" ref="U12:AC12" si="5">Q11</f>
        <v>0</v>
      </c>
      <c r="V12" s="1106">
        <f>V11</f>
        <v>601100.40546000015</v>
      </c>
      <c r="W12" s="847">
        <f t="shared" si="5"/>
        <v>0</v>
      </c>
      <c r="X12" s="1106">
        <f>X11</f>
        <v>310245.37056000007</v>
      </c>
      <c r="Y12" s="847">
        <f t="shared" si="5"/>
        <v>0</v>
      </c>
      <c r="Z12" s="1106">
        <f>Z11</f>
        <v>135732.34962000002</v>
      </c>
      <c r="AA12" s="847">
        <f t="shared" si="5"/>
        <v>0</v>
      </c>
      <c r="AB12" s="1106">
        <f>AB11</f>
        <v>77561.342640000017</v>
      </c>
      <c r="AC12" s="847">
        <f t="shared" si="5"/>
        <v>0</v>
      </c>
      <c r="AD12" s="1106">
        <f>AD11</f>
        <v>77561.342640000017</v>
      </c>
      <c r="AE12" s="847"/>
      <c r="AF12" s="977"/>
      <c r="AG12" s="978"/>
      <c r="AH12" s="979"/>
      <c r="AI12" s="980"/>
      <c r="AJ12" s="981"/>
      <c r="AN12" s="845">
        <f>SUM(AF6:AF10)*AQ12</f>
        <v>0</v>
      </c>
      <c r="AO12" s="845">
        <v>0</v>
      </c>
      <c r="AP12" s="845">
        <v>0</v>
      </c>
      <c r="AQ12" s="740">
        <v>0</v>
      </c>
      <c r="AS12" s="716">
        <f>SUM(AL6:AL10)</f>
        <v>4308963.4800000014</v>
      </c>
      <c r="AT12" s="982">
        <f>F12+H12+J12+L12+N12+P12+T12+V12+X12+Z12+AB12+AD12</f>
        <v>4308963.4800000014</v>
      </c>
      <c r="AU12" s="743">
        <f>AT12-AS12</f>
        <v>0</v>
      </c>
      <c r="AV12" s="983">
        <f>AT12/AS12</f>
        <v>1</v>
      </c>
      <c r="AW12" s="984"/>
    </row>
    <row r="13" spans="1:49" ht="13.5" customHeight="1" outlineLevel="1" thickBot="1">
      <c r="A13" s="73"/>
      <c r="B13" s="82">
        <f>B6+1</f>
        <v>2</v>
      </c>
      <c r="C13" s="1233">
        <f>'Terms and Turnovers'!C17</f>
        <v>0</v>
      </c>
      <c r="D13" s="1233" t="str">
        <f>'Terms and Turnovers'!D17</f>
        <v>Интернет решения ООО</v>
      </c>
      <c r="E13" s="83" t="str">
        <f>'Terms and Turnovers'!$J$12</f>
        <v>FLIP-FLOPS</v>
      </c>
      <c r="F13" s="118">
        <f>$R13*G13</f>
        <v>0</v>
      </c>
      <c r="G13" s="69"/>
      <c r="H13" s="314">
        <f>$R13*I13</f>
        <v>0</v>
      </c>
      <c r="I13" s="69">
        <v>0</v>
      </c>
      <c r="J13" s="118">
        <f>$R13*K13</f>
        <v>0</v>
      </c>
      <c r="K13" s="69">
        <v>0</v>
      </c>
      <c r="L13" s="314">
        <f>$R13*M13</f>
        <v>2277034.7399999998</v>
      </c>
      <c r="M13" s="69">
        <v>1</v>
      </c>
      <c r="N13" s="314">
        <f>$R13*O13</f>
        <v>0</v>
      </c>
      <c r="O13" s="69">
        <v>0</v>
      </c>
      <c r="P13" s="118">
        <f>$R13*Q13</f>
        <v>0</v>
      </c>
      <c r="Q13" s="69">
        <v>0</v>
      </c>
      <c r="R13" s="87">
        <f>'Terms and Turnovers'!K17</f>
        <v>2277034.7399999998</v>
      </c>
      <c r="S13" s="160">
        <f t="shared" si="0"/>
        <v>1</v>
      </c>
      <c r="T13" s="118">
        <f>$AF13*U13</f>
        <v>0</v>
      </c>
      <c r="U13" s="69">
        <v>0</v>
      </c>
      <c r="V13" s="314">
        <f>$AF13*W13</f>
        <v>0</v>
      </c>
      <c r="W13" s="69">
        <v>0</v>
      </c>
      <c r="X13" s="118">
        <f>$AF13*Y13</f>
        <v>0</v>
      </c>
      <c r="Y13" s="69">
        <v>0</v>
      </c>
      <c r="Z13" s="314">
        <f>$AF13*AA13</f>
        <v>0</v>
      </c>
      <c r="AA13" s="69">
        <v>0</v>
      </c>
      <c r="AB13" s="314">
        <f>$AF13*AC13</f>
        <v>0</v>
      </c>
      <c r="AC13" s="69">
        <v>0</v>
      </c>
      <c r="AD13" s="118">
        <f>$AF13*AE13</f>
        <v>0</v>
      </c>
      <c r="AE13" s="69">
        <v>0</v>
      </c>
      <c r="AF13" s="87">
        <f>'Terms and Turnovers'!P17</f>
        <v>0</v>
      </c>
      <c r="AG13" s="160">
        <f t="shared" si="2"/>
        <v>0</v>
      </c>
      <c r="AH13" s="157">
        <f t="shared" si="3"/>
        <v>2277034.7399999998</v>
      </c>
      <c r="AI13" s="131">
        <f t="shared" si="4"/>
        <v>1</v>
      </c>
      <c r="AJ13" s="65"/>
      <c r="AL13" s="461">
        <f>SUM(F13,H13,J13,L13,N13,P13,T13,V13,X13,Z13,AB13,AD13)</f>
        <v>2277034.7399999998</v>
      </c>
      <c r="AM13" s="462">
        <f>AL13-AH13</f>
        <v>0</v>
      </c>
      <c r="AO13" s="692"/>
      <c r="AP13" s="692"/>
      <c r="AS13" s="360"/>
      <c r="AT13" s="693"/>
      <c r="AV13" s="56"/>
    </row>
    <row r="14" spans="1:49" ht="13.5" customHeight="1" outlineLevel="1" thickBot="1">
      <c r="A14" s="73"/>
      <c r="B14" s="82"/>
      <c r="C14" s="1234"/>
      <c r="D14" s="1234"/>
      <c r="E14" s="84" t="str">
        <f>'Terms and Turnovers'!$T$12</f>
        <v>ORIGINALS</v>
      </c>
      <c r="F14" s="120">
        <f>$R14*G14</f>
        <v>0</v>
      </c>
      <c r="G14" s="723"/>
      <c r="H14" s="120">
        <f>$R14*I14</f>
        <v>0</v>
      </c>
      <c r="I14" s="69">
        <v>0</v>
      </c>
      <c r="J14" s="120">
        <f>$R14*K14</f>
        <v>0</v>
      </c>
      <c r="K14" s="69">
        <v>0</v>
      </c>
      <c r="L14" s="120">
        <f>$R14*M14</f>
        <v>0</v>
      </c>
      <c r="M14" s="69">
        <v>0</v>
      </c>
      <c r="N14" s="315">
        <f>$R14*O14</f>
        <v>0</v>
      </c>
      <c r="O14" s="69">
        <v>0</v>
      </c>
      <c r="P14" s="120">
        <f>$R14*Q14</f>
        <v>0</v>
      </c>
      <c r="Q14" s="69">
        <v>0</v>
      </c>
      <c r="R14" s="88">
        <f>'Terms and Turnovers'!U17</f>
        <v>0</v>
      </c>
      <c r="S14" s="161">
        <f t="shared" si="0"/>
        <v>0</v>
      </c>
      <c r="T14" s="120">
        <f>$AF14*U14</f>
        <v>0</v>
      </c>
      <c r="U14" s="69">
        <v>0</v>
      </c>
      <c r="V14" s="120">
        <f>$AF14*W14</f>
        <v>0</v>
      </c>
      <c r="W14" s="69">
        <v>0</v>
      </c>
      <c r="X14" s="120">
        <f>$AF14*Y14</f>
        <v>0</v>
      </c>
      <c r="Y14" s="69">
        <v>0</v>
      </c>
      <c r="Z14" s="120">
        <f>$AF14*AA14</f>
        <v>0</v>
      </c>
      <c r="AA14" s="69">
        <v>0</v>
      </c>
      <c r="AB14" s="315">
        <f>$AF14*AC14</f>
        <v>0</v>
      </c>
      <c r="AC14" s="69">
        <v>0</v>
      </c>
      <c r="AD14" s="120">
        <f>$AF14*AE14</f>
        <v>0</v>
      </c>
      <c r="AE14" s="69">
        <v>0</v>
      </c>
      <c r="AF14" s="88">
        <f>'Terms and Turnovers'!Z17</f>
        <v>0</v>
      </c>
      <c r="AG14" s="161">
        <f t="shared" si="2"/>
        <v>0</v>
      </c>
      <c r="AH14" s="158">
        <f t="shared" si="3"/>
        <v>0</v>
      </c>
      <c r="AI14" s="134">
        <f t="shared" si="4"/>
        <v>0</v>
      </c>
      <c r="AJ14" s="65"/>
      <c r="AL14" s="461">
        <f>SUM(F14,H14,J14,L14,N14,P14,T14,V14,X14,Z14,AB14,AD14)</f>
        <v>0</v>
      </c>
      <c r="AM14" s="462">
        <f>AL14-AH14</f>
        <v>0</v>
      </c>
      <c r="AO14" s="692"/>
      <c r="AP14" s="692"/>
      <c r="AV14" s="56"/>
    </row>
    <row r="15" spans="1:49" ht="13.5" customHeight="1" outlineLevel="1" thickBot="1">
      <c r="A15" s="73"/>
      <c r="B15" s="82"/>
      <c r="C15" s="1234"/>
      <c r="D15" s="1234"/>
      <c r="E15" s="84" t="str">
        <f>'Terms and Turnovers'!$AD$12</f>
        <v>ACCESSORIES</v>
      </c>
      <c r="F15" s="120">
        <f>$R15*G15</f>
        <v>0</v>
      </c>
      <c r="G15" s="723"/>
      <c r="H15" s="120">
        <f>$R15*I15</f>
        <v>0</v>
      </c>
      <c r="I15" s="69">
        <v>0</v>
      </c>
      <c r="J15" s="120">
        <f>$R15*K15</f>
        <v>0</v>
      </c>
      <c r="K15" s="69">
        <v>0</v>
      </c>
      <c r="L15" s="120">
        <f>$R15*M15</f>
        <v>0</v>
      </c>
      <c r="M15" s="69">
        <v>0</v>
      </c>
      <c r="N15" s="315">
        <f>$R15*O15</f>
        <v>0</v>
      </c>
      <c r="O15" s="69">
        <v>0</v>
      </c>
      <c r="P15" s="120">
        <f>$R15*Q15</f>
        <v>0</v>
      </c>
      <c r="Q15" s="69">
        <v>0</v>
      </c>
      <c r="R15" s="88">
        <f>'Terms and Turnovers'!AE17</f>
        <v>0</v>
      </c>
      <c r="S15" s="161">
        <f t="shared" si="0"/>
        <v>0</v>
      </c>
      <c r="T15" s="120">
        <f>$AF15*U15</f>
        <v>0</v>
      </c>
      <c r="U15" s="69">
        <v>0</v>
      </c>
      <c r="V15" s="120">
        <f>$AF15*W15</f>
        <v>0</v>
      </c>
      <c r="W15" s="69">
        <v>0</v>
      </c>
      <c r="X15" s="120">
        <f>$AF15*Y15</f>
        <v>0</v>
      </c>
      <c r="Y15" s="69">
        <v>0</v>
      </c>
      <c r="Z15" s="120">
        <f>$AF15*AA15</f>
        <v>0</v>
      </c>
      <c r="AA15" s="69">
        <v>0</v>
      </c>
      <c r="AB15" s="315">
        <f>$AF15*AC15</f>
        <v>0</v>
      </c>
      <c r="AC15" s="69">
        <v>0</v>
      </c>
      <c r="AD15" s="120">
        <f>$AF15*AE15</f>
        <v>0</v>
      </c>
      <c r="AE15" s="69">
        <v>0</v>
      </c>
      <c r="AF15" s="88">
        <f>'Terms and Turnovers'!AJ17</f>
        <v>0</v>
      </c>
      <c r="AG15" s="161">
        <f t="shared" si="2"/>
        <v>0</v>
      </c>
      <c r="AH15" s="158">
        <f t="shared" si="3"/>
        <v>0</v>
      </c>
      <c r="AI15" s="134">
        <f t="shared" si="4"/>
        <v>0</v>
      </c>
      <c r="AJ15" s="65"/>
      <c r="AL15" s="461">
        <f>SUM(F15,H15,J15,L15,N15,P15,T15,V15,X15,Z15,AB15,AD15)</f>
        <v>0</v>
      </c>
      <c r="AM15" s="462">
        <f>AL15-AH15</f>
        <v>0</v>
      </c>
      <c r="AO15" s="692"/>
      <c r="AP15" s="692"/>
      <c r="AV15" s="56"/>
    </row>
    <row r="16" spans="1:49" ht="13.5" customHeight="1" outlineLevel="1" thickBot="1">
      <c r="A16" s="73"/>
      <c r="B16" s="82"/>
      <c r="C16" s="1234"/>
      <c r="D16" s="1234"/>
      <c r="E16" s="84">
        <f>'Terms and Turnovers'!$AN$12</f>
        <v>0</v>
      </c>
      <c r="F16" s="120">
        <f>$R16*G16</f>
        <v>0</v>
      </c>
      <c r="G16" s="723"/>
      <c r="H16" s="120">
        <f>$R16*I16</f>
        <v>0</v>
      </c>
      <c r="I16" s="69">
        <v>0</v>
      </c>
      <c r="J16" s="120">
        <f>$R16*K16</f>
        <v>0</v>
      </c>
      <c r="K16" s="69">
        <v>0</v>
      </c>
      <c r="L16" s="120">
        <f>$R16*M16</f>
        <v>0</v>
      </c>
      <c r="M16" s="69">
        <v>0</v>
      </c>
      <c r="N16" s="315">
        <f>$R16*O16</f>
        <v>0</v>
      </c>
      <c r="O16" s="69">
        <v>0</v>
      </c>
      <c r="P16" s="120">
        <f>$R16*Q16</f>
        <v>0</v>
      </c>
      <c r="Q16" s="69">
        <v>0</v>
      </c>
      <c r="R16" s="88">
        <f>'Terms and Turnovers'!AO17</f>
        <v>0</v>
      </c>
      <c r="S16" s="161">
        <f t="shared" si="0"/>
        <v>0</v>
      </c>
      <c r="T16" s="120">
        <f>$AF16*U16</f>
        <v>0</v>
      </c>
      <c r="U16" s="69">
        <v>0</v>
      </c>
      <c r="V16" s="120">
        <f>$AF16*W16</f>
        <v>0</v>
      </c>
      <c r="W16" s="69">
        <v>0</v>
      </c>
      <c r="X16" s="120">
        <f>$AF16*Y16</f>
        <v>0</v>
      </c>
      <c r="Y16" s="69">
        <v>0</v>
      </c>
      <c r="Z16" s="120">
        <f>$AF16*AA16</f>
        <v>0</v>
      </c>
      <c r="AA16" s="69">
        <v>0</v>
      </c>
      <c r="AB16" s="315">
        <f>$AF16*AC16</f>
        <v>0</v>
      </c>
      <c r="AC16" s="69">
        <v>0</v>
      </c>
      <c r="AD16" s="120">
        <f>$AF16*AE16</f>
        <v>0</v>
      </c>
      <c r="AE16" s="69">
        <v>0</v>
      </c>
      <c r="AF16" s="88">
        <f>'Terms and Turnovers'!AT17</f>
        <v>0</v>
      </c>
      <c r="AG16" s="161">
        <f t="shared" si="2"/>
        <v>0</v>
      </c>
      <c r="AH16" s="158">
        <f t="shared" si="3"/>
        <v>0</v>
      </c>
      <c r="AI16" s="134">
        <f t="shared" si="4"/>
        <v>0</v>
      </c>
      <c r="AJ16" s="65"/>
      <c r="AL16" s="461">
        <f>SUM(F16,H16,J16,L16,N16,P16,T16,V16,X16,Z16,AB16,AD16)</f>
        <v>0</v>
      </c>
      <c r="AM16" s="462">
        <f>AL16-AH16</f>
        <v>0</v>
      </c>
      <c r="AO16" s="692"/>
      <c r="AP16" s="692"/>
      <c r="AV16" s="56"/>
    </row>
    <row r="17" spans="1:48" ht="13.5" customHeight="1" outlineLevel="1" thickBot="1">
      <c r="A17" s="73"/>
      <c r="B17" s="82"/>
      <c r="C17" s="1235"/>
      <c r="D17" s="1235"/>
      <c r="E17" s="85">
        <f>'Terms and Turnovers'!$AX$12</f>
        <v>0</v>
      </c>
      <c r="F17" s="121">
        <f>$R17*G17</f>
        <v>0</v>
      </c>
      <c r="G17" s="72"/>
      <c r="H17" s="121">
        <f>$R17*I17</f>
        <v>0</v>
      </c>
      <c r="I17" s="69">
        <v>0</v>
      </c>
      <c r="J17" s="121">
        <f>$R17*K17</f>
        <v>0</v>
      </c>
      <c r="K17" s="69">
        <v>0</v>
      </c>
      <c r="L17" s="121">
        <f>$R17*M17</f>
        <v>0</v>
      </c>
      <c r="M17" s="69">
        <v>0</v>
      </c>
      <c r="N17" s="316">
        <f>$R17*O17</f>
        <v>0</v>
      </c>
      <c r="O17" s="69">
        <v>0</v>
      </c>
      <c r="P17" s="121">
        <f>$R17*Q17</f>
        <v>0</v>
      </c>
      <c r="Q17" s="69">
        <v>0</v>
      </c>
      <c r="R17" s="89">
        <f>'Terms and Turnovers'!AY17</f>
        <v>0</v>
      </c>
      <c r="S17" s="162">
        <f t="shared" si="0"/>
        <v>0</v>
      </c>
      <c r="T17" s="121">
        <f>$AF17*U17</f>
        <v>0</v>
      </c>
      <c r="U17" s="69">
        <v>0</v>
      </c>
      <c r="V17" s="121">
        <f>$AF17*W17</f>
        <v>0</v>
      </c>
      <c r="W17" s="69">
        <v>0</v>
      </c>
      <c r="X17" s="121">
        <f>$AF17*Y17</f>
        <v>0</v>
      </c>
      <c r="Y17" s="69">
        <v>0</v>
      </c>
      <c r="Z17" s="121">
        <f>$AF17*AA17</f>
        <v>0</v>
      </c>
      <c r="AA17" s="69">
        <v>0</v>
      </c>
      <c r="AB17" s="316">
        <f>$AF17*AC17</f>
        <v>0</v>
      </c>
      <c r="AC17" s="69">
        <v>0</v>
      </c>
      <c r="AD17" s="121">
        <f>$AF17*AE17</f>
        <v>0</v>
      </c>
      <c r="AE17" s="69">
        <v>0</v>
      </c>
      <c r="AF17" s="89">
        <f>'Terms and Turnovers'!BD17</f>
        <v>0</v>
      </c>
      <c r="AG17" s="162">
        <f t="shared" si="2"/>
        <v>0</v>
      </c>
      <c r="AH17" s="159">
        <f t="shared" si="3"/>
        <v>0</v>
      </c>
      <c r="AI17" s="137">
        <f t="shared" si="4"/>
        <v>0</v>
      </c>
      <c r="AJ17" s="65"/>
      <c r="AL17" s="461">
        <f>SUM(F17,H17,J17,L17,N17,P17,T17,V17,X17,Z17,AB17,AD17)</f>
        <v>0</v>
      </c>
      <c r="AM17" s="462">
        <f>AL17-AH17</f>
        <v>0</v>
      </c>
      <c r="AO17" s="692"/>
      <c r="AP17" s="692"/>
      <c r="AV17" s="56"/>
    </row>
    <row r="18" spans="1:48" ht="13.5" customHeight="1" outlineLevel="1" thickBot="1">
      <c r="A18" s="119"/>
      <c r="B18" s="82"/>
      <c r="C18" s="425" t="s">
        <v>388</v>
      </c>
      <c r="D18" s="425" t="str">
        <f>D13</f>
        <v>Интернет решения ООО</v>
      </c>
      <c r="E18" s="426"/>
      <c r="F18" s="427">
        <f>SUM(F13:F17)</f>
        <v>0</v>
      </c>
      <c r="G18" s="428"/>
      <c r="H18" s="427">
        <f>SUM(H13:H17)</f>
        <v>0</v>
      </c>
      <c r="I18" s="69"/>
      <c r="J18" s="427">
        <f>SUM(J13:J17)</f>
        <v>0</v>
      </c>
      <c r="K18" s="69"/>
      <c r="L18" s="427">
        <f>SUM(L13:L17)</f>
        <v>2277034.7399999998</v>
      </c>
      <c r="M18" s="69"/>
      <c r="N18" s="427">
        <f>SUM(N13:N17)</f>
        <v>0</v>
      </c>
      <c r="O18" s="69"/>
      <c r="P18" s="427">
        <f>SUM(P13:P17)</f>
        <v>0</v>
      </c>
      <c r="Q18" s="69"/>
      <c r="R18" s="429"/>
      <c r="S18" s="430"/>
      <c r="T18" s="427">
        <f>SUM(T13:T17)</f>
        <v>0</v>
      </c>
      <c r="U18" s="428"/>
      <c r="V18" s="427">
        <f>SUM(V13:V17)</f>
        <v>0</v>
      </c>
      <c r="W18" s="69"/>
      <c r="X18" s="427">
        <f>SUM(X13:X17)</f>
        <v>0</v>
      </c>
      <c r="Y18" s="69"/>
      <c r="Z18" s="427">
        <f>SUM(Z13:Z17)</f>
        <v>0</v>
      </c>
      <c r="AA18" s="69"/>
      <c r="AB18" s="427">
        <f>SUM(AB13:AB17)</f>
        <v>0</v>
      </c>
      <c r="AC18" s="69"/>
      <c r="AD18" s="427">
        <f>SUM(AD13:AD17)</f>
        <v>0</v>
      </c>
      <c r="AE18" s="69"/>
      <c r="AF18" s="429"/>
      <c r="AG18" s="430"/>
      <c r="AH18" s="431"/>
      <c r="AI18" s="432"/>
      <c r="AJ18" s="65"/>
      <c r="AO18" s="692"/>
      <c r="AP18" s="692"/>
      <c r="AV18" s="56"/>
    </row>
    <row r="19" spans="1:48" s="995" customFormat="1" ht="13.5" customHeight="1" outlineLevel="1" thickBot="1">
      <c r="A19" s="985"/>
      <c r="B19" s="986"/>
      <c r="C19" s="1099" t="s">
        <v>484</v>
      </c>
      <c r="D19" s="971" t="str">
        <f>D13</f>
        <v>Интернет решения ООО</v>
      </c>
      <c r="E19" s="987"/>
      <c r="F19" s="1106"/>
      <c r="G19" s="988"/>
      <c r="H19" s="1107"/>
      <c r="I19" s="989"/>
      <c r="J19" s="1107"/>
      <c r="K19" s="989"/>
      <c r="L19" s="1107"/>
      <c r="M19" s="989"/>
      <c r="N19" s="1107"/>
      <c r="O19" s="989"/>
      <c r="P19" s="1107">
        <f>L18</f>
        <v>2277034.7399999998</v>
      </c>
      <c r="Q19" s="989"/>
      <c r="R19" s="990"/>
      <c r="S19" s="991"/>
      <c r="T19" s="1106"/>
      <c r="U19" s="988">
        <f>Q18</f>
        <v>0</v>
      </c>
      <c r="V19" s="1107"/>
      <c r="W19" s="989">
        <f>S18</f>
        <v>0</v>
      </c>
      <c r="X19" s="1107"/>
      <c r="Y19" s="989">
        <f>U18</f>
        <v>0</v>
      </c>
      <c r="Z19" s="1107"/>
      <c r="AA19" s="989">
        <f>W18</f>
        <v>0</v>
      </c>
      <c r="AB19" s="1107"/>
      <c r="AC19" s="989">
        <f>Y18</f>
        <v>0</v>
      </c>
      <c r="AD19" s="1107"/>
      <c r="AE19" s="989"/>
      <c r="AF19" s="990"/>
      <c r="AG19" s="991"/>
      <c r="AH19" s="992"/>
      <c r="AI19" s="993"/>
      <c r="AJ19" s="994"/>
      <c r="AN19" s="845">
        <f>SUM(AF13:AF17)*AQ19</f>
        <v>0</v>
      </c>
      <c r="AO19" s="845">
        <v>0</v>
      </c>
      <c r="AP19" s="845">
        <v>0</v>
      </c>
      <c r="AQ19" s="740">
        <v>0</v>
      </c>
      <c r="AS19" s="716">
        <f>SUM(AL13:AL17)</f>
        <v>2277034.7399999998</v>
      </c>
      <c r="AT19" s="982">
        <f>F19+H19+J19+L19+N19+P19+T19+V19+X19+Z19+AB19+AD19</f>
        <v>2277034.7399999998</v>
      </c>
      <c r="AU19" s="743">
        <f>AT19-AS19</f>
        <v>0</v>
      </c>
      <c r="AV19" s="983">
        <f>AT19/AS19</f>
        <v>1</v>
      </c>
    </row>
    <row r="20" spans="1:48" ht="13.5" customHeight="1" outlineLevel="1" thickBot="1">
      <c r="A20" s="73"/>
      <c r="B20" s="82">
        <f>B13+1</f>
        <v>3</v>
      </c>
      <c r="C20" s="1233">
        <f>'Terms and Turnovers'!C18</f>
        <v>0</v>
      </c>
      <c r="D20" s="1233" t="str">
        <f>'Terms and Turnovers'!D18</f>
        <v>Купишуз ООО</v>
      </c>
      <c r="E20" s="83" t="str">
        <f>'Terms and Turnovers'!$J$12</f>
        <v>FLIP-FLOPS</v>
      </c>
      <c r="F20" s="118">
        <f>$R20*G20</f>
        <v>0</v>
      </c>
      <c r="G20" s="69"/>
      <c r="H20" s="314">
        <f>$R20*I20</f>
        <v>0</v>
      </c>
      <c r="I20" s="69">
        <v>0</v>
      </c>
      <c r="J20" s="118">
        <v>0</v>
      </c>
      <c r="K20" s="69">
        <v>0</v>
      </c>
      <c r="L20" s="314">
        <f>$R20*M20</f>
        <v>207341.90581500003</v>
      </c>
      <c r="M20" s="69">
        <v>0.19</v>
      </c>
      <c r="N20" s="314">
        <f>$R20*O20</f>
        <v>360120.15220500005</v>
      </c>
      <c r="O20" s="69">
        <v>0.33</v>
      </c>
      <c r="P20" s="118">
        <f>$R20*Q20</f>
        <v>523811.13048000005</v>
      </c>
      <c r="Q20" s="69">
        <v>0.48</v>
      </c>
      <c r="R20" s="87">
        <f>'Terms and Turnovers'!K18</f>
        <v>1091273.1885000002</v>
      </c>
      <c r="S20" s="160">
        <f t="shared" si="0"/>
        <v>1</v>
      </c>
      <c r="T20" s="118">
        <f>$AF20*U20</f>
        <v>339286.75497000001</v>
      </c>
      <c r="U20" s="69">
        <v>0.38</v>
      </c>
      <c r="V20" s="314">
        <f>$AF20*W20</f>
        <v>276786.563265</v>
      </c>
      <c r="W20" s="69">
        <v>0.31</v>
      </c>
      <c r="X20" s="118">
        <f>$AF20*Y20</f>
        <v>142857.58104000002</v>
      </c>
      <c r="Y20" s="69">
        <v>0.16</v>
      </c>
      <c r="Z20" s="314">
        <f>$AF20*AA20</f>
        <v>62500.191705000005</v>
      </c>
      <c r="AA20" s="69">
        <v>7.0000000000000007E-2</v>
      </c>
      <c r="AB20" s="314">
        <f>$AF20*AC20</f>
        <v>35714.395260000005</v>
      </c>
      <c r="AC20" s="69">
        <v>0.04</v>
      </c>
      <c r="AD20" s="118">
        <f>$AF20*AE20</f>
        <v>35714.395260000005</v>
      </c>
      <c r="AE20" s="69">
        <v>0.04</v>
      </c>
      <c r="AF20" s="87">
        <f>'Terms and Turnovers'!P18</f>
        <v>892859.88150000002</v>
      </c>
      <c r="AG20" s="160">
        <f t="shared" si="2"/>
        <v>1</v>
      </c>
      <c r="AH20" s="157">
        <f t="shared" si="3"/>
        <v>1984133.0700000003</v>
      </c>
      <c r="AI20" s="131">
        <f t="shared" si="4"/>
        <v>2</v>
      </c>
      <c r="AJ20" s="65"/>
      <c r="AL20" s="461">
        <f>SUM(F20,H20,J20,L20,N20,P20,T20,V20,X20,Z20,AB20,AD20)</f>
        <v>1984133.0700000003</v>
      </c>
      <c r="AM20" s="462">
        <f>AL20-AH20</f>
        <v>0</v>
      </c>
      <c r="AO20" s="692"/>
      <c r="AP20" s="692"/>
      <c r="AV20" s="56"/>
    </row>
    <row r="21" spans="1:48" ht="13.5" customHeight="1" outlineLevel="1" thickBot="1">
      <c r="A21" s="73"/>
      <c r="B21" s="82"/>
      <c r="C21" s="1234"/>
      <c r="D21" s="1234"/>
      <c r="E21" s="84" t="str">
        <f>'Terms and Turnovers'!$T$12</f>
        <v>ORIGINALS</v>
      </c>
      <c r="F21" s="120">
        <f>$R21*G21</f>
        <v>0</v>
      </c>
      <c r="G21" s="723"/>
      <c r="H21" s="120">
        <f>$R21*I21</f>
        <v>0</v>
      </c>
      <c r="I21" s="69">
        <v>0</v>
      </c>
      <c r="J21" s="120">
        <f>$R21*K21</f>
        <v>0</v>
      </c>
      <c r="K21" s="69">
        <v>0</v>
      </c>
      <c r="L21" s="120">
        <f>$R21*M21</f>
        <v>0</v>
      </c>
      <c r="M21" s="69">
        <v>0</v>
      </c>
      <c r="N21" s="315">
        <f>$R21*O21</f>
        <v>0</v>
      </c>
      <c r="O21" s="69">
        <v>0</v>
      </c>
      <c r="P21" s="120">
        <f>$R21*Q21</f>
        <v>0</v>
      </c>
      <c r="Q21" s="69">
        <v>0</v>
      </c>
      <c r="R21" s="88">
        <f>'Terms and Turnovers'!U18</f>
        <v>0</v>
      </c>
      <c r="S21" s="161">
        <f t="shared" si="0"/>
        <v>0</v>
      </c>
      <c r="T21" s="120">
        <f>$AF21*U21</f>
        <v>0</v>
      </c>
      <c r="U21" s="69">
        <v>0</v>
      </c>
      <c r="V21" s="120">
        <f>$AF21*W21</f>
        <v>0</v>
      </c>
      <c r="W21" s="69">
        <v>0</v>
      </c>
      <c r="X21" s="120">
        <f>$AF21*Y21</f>
        <v>0</v>
      </c>
      <c r="Y21" s="69">
        <v>0</v>
      </c>
      <c r="Z21" s="120">
        <f>$AF21*AA21</f>
        <v>0</v>
      </c>
      <c r="AA21" s="69">
        <v>0</v>
      </c>
      <c r="AB21" s="315">
        <f>$AF21*AC21</f>
        <v>0</v>
      </c>
      <c r="AC21" s="69">
        <v>0</v>
      </c>
      <c r="AD21" s="120">
        <f>$AF21*AE21</f>
        <v>0</v>
      </c>
      <c r="AE21" s="69">
        <v>0</v>
      </c>
      <c r="AF21" s="88">
        <f>'Terms and Turnovers'!Z18</f>
        <v>0</v>
      </c>
      <c r="AG21" s="161">
        <f t="shared" si="2"/>
        <v>0</v>
      </c>
      <c r="AH21" s="158">
        <f t="shared" si="3"/>
        <v>0</v>
      </c>
      <c r="AI21" s="134">
        <f t="shared" si="4"/>
        <v>0</v>
      </c>
      <c r="AJ21" s="65"/>
      <c r="AL21" s="461">
        <f>SUM(F21,H21,J21,L21,N21,P21,T21,V21,X21,Z21,AB21,AD21)</f>
        <v>0</v>
      </c>
      <c r="AM21" s="462">
        <f>AL21-AH21</f>
        <v>0</v>
      </c>
      <c r="AO21" s="692"/>
      <c r="AP21" s="692"/>
      <c r="AV21" s="56"/>
    </row>
    <row r="22" spans="1:48" ht="13.5" customHeight="1" outlineLevel="1" thickBot="1">
      <c r="A22" s="73"/>
      <c r="B22" s="82"/>
      <c r="C22" s="1234"/>
      <c r="D22" s="1234"/>
      <c r="E22" s="84" t="str">
        <f>'Terms and Turnovers'!$AD$12</f>
        <v>ACCESSORIES</v>
      </c>
      <c r="F22" s="120">
        <f>$R22*G22</f>
        <v>0</v>
      </c>
      <c r="G22" s="723"/>
      <c r="H22" s="120">
        <f>$R22*I22</f>
        <v>0</v>
      </c>
      <c r="I22" s="69">
        <v>0</v>
      </c>
      <c r="J22" s="120">
        <f>$R22*K22</f>
        <v>0</v>
      </c>
      <c r="K22" s="69">
        <v>0</v>
      </c>
      <c r="L22" s="120">
        <f>$R22*M22</f>
        <v>0</v>
      </c>
      <c r="M22" s="69">
        <v>0</v>
      </c>
      <c r="N22" s="315">
        <f>$R22*O22</f>
        <v>0</v>
      </c>
      <c r="O22" s="69">
        <v>0</v>
      </c>
      <c r="P22" s="120">
        <f>$R22*Q22</f>
        <v>0</v>
      </c>
      <c r="Q22" s="69">
        <v>0</v>
      </c>
      <c r="R22" s="88">
        <f>'Terms and Turnovers'!AE18</f>
        <v>0</v>
      </c>
      <c r="S22" s="161">
        <f t="shared" si="0"/>
        <v>0</v>
      </c>
      <c r="T22" s="120">
        <f>$AF22*U22</f>
        <v>0</v>
      </c>
      <c r="U22" s="69">
        <v>0</v>
      </c>
      <c r="V22" s="120">
        <f>$AF22*W22</f>
        <v>0</v>
      </c>
      <c r="W22" s="69">
        <v>0</v>
      </c>
      <c r="X22" s="120">
        <f>$AF22*Y22</f>
        <v>0</v>
      </c>
      <c r="Y22" s="69">
        <v>0</v>
      </c>
      <c r="Z22" s="120">
        <f>$AF22*AA22</f>
        <v>0</v>
      </c>
      <c r="AA22" s="69">
        <v>0</v>
      </c>
      <c r="AB22" s="315">
        <f>$AF22*AC22</f>
        <v>0</v>
      </c>
      <c r="AC22" s="69">
        <v>0</v>
      </c>
      <c r="AD22" s="120">
        <f>$AF22*AE22</f>
        <v>0</v>
      </c>
      <c r="AE22" s="69">
        <v>0</v>
      </c>
      <c r="AF22" s="88">
        <f>'Terms and Turnovers'!AJ18</f>
        <v>0</v>
      </c>
      <c r="AG22" s="161">
        <f t="shared" si="2"/>
        <v>0</v>
      </c>
      <c r="AH22" s="158">
        <f t="shared" si="3"/>
        <v>0</v>
      </c>
      <c r="AI22" s="134">
        <f t="shared" si="4"/>
        <v>0</v>
      </c>
      <c r="AJ22" s="65"/>
      <c r="AL22" s="461">
        <f>SUM(F22,H22,J22,L22,N22,P22,T22,V22,X22,Z22,AB22,AD22)</f>
        <v>0</v>
      </c>
      <c r="AM22" s="462">
        <f>AL22-AH22</f>
        <v>0</v>
      </c>
      <c r="AO22" s="692"/>
      <c r="AP22" s="692"/>
      <c r="AV22" s="56"/>
    </row>
    <row r="23" spans="1:48" ht="13.5" customHeight="1" outlineLevel="1" thickBot="1">
      <c r="A23" s="73"/>
      <c r="B23" s="82"/>
      <c r="C23" s="1234"/>
      <c r="D23" s="1234"/>
      <c r="E23" s="84">
        <f>'Terms and Turnovers'!$AN$12</f>
        <v>0</v>
      </c>
      <c r="F23" s="120">
        <f>$R23*G23</f>
        <v>0</v>
      </c>
      <c r="G23" s="723"/>
      <c r="H23" s="120">
        <f>$R23*I23</f>
        <v>0</v>
      </c>
      <c r="I23" s="69">
        <v>0</v>
      </c>
      <c r="J23" s="120">
        <f>$R23*K23</f>
        <v>0</v>
      </c>
      <c r="K23" s="69">
        <v>0</v>
      </c>
      <c r="L23" s="120">
        <f>$R23*M23</f>
        <v>0</v>
      </c>
      <c r="M23" s="69">
        <v>0</v>
      </c>
      <c r="N23" s="315">
        <f>$R23*O23</f>
        <v>0</v>
      </c>
      <c r="O23" s="69">
        <v>0</v>
      </c>
      <c r="P23" s="120">
        <f>$R23*Q23</f>
        <v>0</v>
      </c>
      <c r="Q23" s="69">
        <v>0</v>
      </c>
      <c r="R23" s="88">
        <f>'Terms and Turnovers'!AO18</f>
        <v>0</v>
      </c>
      <c r="S23" s="161">
        <f t="shared" si="0"/>
        <v>0</v>
      </c>
      <c r="T23" s="120">
        <f>$AF23*U23</f>
        <v>0</v>
      </c>
      <c r="U23" s="69">
        <v>0</v>
      </c>
      <c r="V23" s="120">
        <f>$AF23*W23</f>
        <v>0</v>
      </c>
      <c r="W23" s="69">
        <v>0</v>
      </c>
      <c r="X23" s="120">
        <f>$AF23*Y23</f>
        <v>0</v>
      </c>
      <c r="Y23" s="69">
        <v>0</v>
      </c>
      <c r="Z23" s="120">
        <f>$AF23*AA23</f>
        <v>0</v>
      </c>
      <c r="AA23" s="69">
        <v>0</v>
      </c>
      <c r="AB23" s="315">
        <f>$AF23*AC23</f>
        <v>0</v>
      </c>
      <c r="AC23" s="69">
        <v>0</v>
      </c>
      <c r="AD23" s="120">
        <f>$AF23*AE23</f>
        <v>0</v>
      </c>
      <c r="AE23" s="69">
        <v>0</v>
      </c>
      <c r="AF23" s="88">
        <f>'Terms and Turnovers'!AT18</f>
        <v>0</v>
      </c>
      <c r="AG23" s="161">
        <f t="shared" si="2"/>
        <v>0</v>
      </c>
      <c r="AH23" s="158">
        <f t="shared" si="3"/>
        <v>0</v>
      </c>
      <c r="AI23" s="134">
        <f t="shared" si="4"/>
        <v>0</v>
      </c>
      <c r="AJ23" s="65"/>
      <c r="AL23" s="461">
        <f>SUM(F23,H23,J23,L23,N23,P23,T23,V23,X23,Z23,AB23,AD23)</f>
        <v>0</v>
      </c>
      <c r="AM23" s="462">
        <f>AL23-AH23</f>
        <v>0</v>
      </c>
      <c r="AO23" s="692"/>
      <c r="AP23" s="692"/>
      <c r="AV23" s="56"/>
    </row>
    <row r="24" spans="1:48" ht="13.5" customHeight="1" outlineLevel="1" thickBot="1">
      <c r="A24" s="73"/>
      <c r="B24" s="82"/>
      <c r="C24" s="1235"/>
      <c r="D24" s="1235"/>
      <c r="E24" s="85">
        <f>'Terms and Turnovers'!$AX$12</f>
        <v>0</v>
      </c>
      <c r="F24" s="121">
        <f>$R24*G24</f>
        <v>0</v>
      </c>
      <c r="G24" s="72"/>
      <c r="H24" s="121">
        <f>$R24*I24</f>
        <v>0</v>
      </c>
      <c r="I24" s="69">
        <v>0</v>
      </c>
      <c r="J24" s="121">
        <f>$R24*K24</f>
        <v>0</v>
      </c>
      <c r="K24" s="69">
        <v>0</v>
      </c>
      <c r="L24" s="121">
        <f>$R24*M24</f>
        <v>0</v>
      </c>
      <c r="M24" s="69">
        <v>0</v>
      </c>
      <c r="N24" s="316">
        <f>$R24*O24</f>
        <v>0</v>
      </c>
      <c r="O24" s="69">
        <v>0</v>
      </c>
      <c r="P24" s="121">
        <f>$R24*Q24</f>
        <v>0</v>
      </c>
      <c r="Q24" s="69">
        <v>0</v>
      </c>
      <c r="R24" s="89">
        <f>'Terms and Turnovers'!AY18</f>
        <v>0</v>
      </c>
      <c r="S24" s="162">
        <f t="shared" si="0"/>
        <v>0</v>
      </c>
      <c r="T24" s="121">
        <f>$AF24*U24</f>
        <v>0</v>
      </c>
      <c r="U24" s="69">
        <v>0</v>
      </c>
      <c r="V24" s="121">
        <f>$AF24*W24</f>
        <v>0</v>
      </c>
      <c r="W24" s="69">
        <v>0</v>
      </c>
      <c r="X24" s="121">
        <f>$AF24*Y24</f>
        <v>0</v>
      </c>
      <c r="Y24" s="69">
        <v>0</v>
      </c>
      <c r="Z24" s="121">
        <f>$AF24*AA24</f>
        <v>0</v>
      </c>
      <c r="AA24" s="69">
        <v>0</v>
      </c>
      <c r="AB24" s="316">
        <f>$AF24*AC24</f>
        <v>0</v>
      </c>
      <c r="AC24" s="69">
        <v>0</v>
      </c>
      <c r="AD24" s="121">
        <f>$AF24*AE24</f>
        <v>0</v>
      </c>
      <c r="AE24" s="69">
        <v>0</v>
      </c>
      <c r="AF24" s="89">
        <f>'Terms and Turnovers'!BD18</f>
        <v>0</v>
      </c>
      <c r="AG24" s="162">
        <f t="shared" si="2"/>
        <v>0</v>
      </c>
      <c r="AH24" s="159">
        <f t="shared" si="3"/>
        <v>0</v>
      </c>
      <c r="AI24" s="137">
        <f t="shared" si="4"/>
        <v>0</v>
      </c>
      <c r="AJ24" s="65"/>
      <c r="AL24" s="461">
        <f>SUM(F24,H24,J24,L24,N24,P24,T24,V24,X24,Z24,AB24,AD24)</f>
        <v>0</v>
      </c>
      <c r="AM24" s="462">
        <f>AL24-AH24</f>
        <v>0</v>
      </c>
      <c r="AO24" s="692"/>
      <c r="AP24" s="692"/>
      <c r="AV24" s="56"/>
    </row>
    <row r="25" spans="1:48" ht="13.5" customHeight="1" outlineLevel="1" thickBot="1">
      <c r="A25" s="119"/>
      <c r="B25" s="82"/>
      <c r="C25" s="425" t="s">
        <v>388</v>
      </c>
      <c r="D25" s="425" t="str">
        <f>D20</f>
        <v>Купишуз ООО</v>
      </c>
      <c r="E25" s="426"/>
      <c r="F25" s="427">
        <f>SUM(F20:F24)</f>
        <v>0</v>
      </c>
      <c r="G25" s="428"/>
      <c r="H25" s="427">
        <f>SUM(H20:H24)</f>
        <v>0</v>
      </c>
      <c r="I25" s="69"/>
      <c r="J25" s="427">
        <f>SUM(J20:J24)</f>
        <v>0</v>
      </c>
      <c r="K25" s="69"/>
      <c r="L25" s="427">
        <f>SUM(L20:L24)</f>
        <v>207341.90581500003</v>
      </c>
      <c r="M25" s="69"/>
      <c r="N25" s="427">
        <f>SUM(N20:N24)</f>
        <v>360120.15220500005</v>
      </c>
      <c r="O25" s="69"/>
      <c r="P25" s="427">
        <f>SUM(P20:P24)</f>
        <v>523811.13048000005</v>
      </c>
      <c r="Q25" s="69"/>
      <c r="R25" s="429"/>
      <c r="S25" s="430"/>
      <c r="T25" s="427">
        <f>SUM(T20:T24)</f>
        <v>339286.75497000001</v>
      </c>
      <c r="U25" s="428"/>
      <c r="V25" s="427">
        <f>SUM(V20:V24)</f>
        <v>276786.563265</v>
      </c>
      <c r="W25" s="69"/>
      <c r="X25" s="427">
        <f>SUM(X20:X24)</f>
        <v>142857.58104000002</v>
      </c>
      <c r="Y25" s="69"/>
      <c r="Z25" s="427">
        <f>SUM(Z20:Z24)</f>
        <v>62500.191705000005</v>
      </c>
      <c r="AA25" s="69"/>
      <c r="AB25" s="427">
        <f>SUM(AB20:AB24)</f>
        <v>35714.395260000005</v>
      </c>
      <c r="AC25" s="69"/>
      <c r="AD25" s="427">
        <f>SUM(AD20:AD24)</f>
        <v>35714.395260000005</v>
      </c>
      <c r="AE25" s="69"/>
      <c r="AF25" s="429"/>
      <c r="AG25" s="430"/>
      <c r="AH25" s="431"/>
      <c r="AI25" s="432"/>
      <c r="AJ25" s="65"/>
      <c r="AO25" s="692"/>
      <c r="AP25" s="692"/>
      <c r="AV25" s="56"/>
    </row>
    <row r="26" spans="1:48" s="680" customFormat="1" ht="13.5" customHeight="1" outlineLevel="1" thickBot="1">
      <c r="A26" s="974"/>
      <c r="B26" s="975"/>
      <c r="C26" s="1098" t="s">
        <v>484</v>
      </c>
      <c r="D26" s="770" t="str">
        <f>D20</f>
        <v>Купишуз ООО</v>
      </c>
      <c r="E26" s="976"/>
      <c r="F26" s="1106"/>
      <c r="G26" s="846"/>
      <c r="H26" s="1106"/>
      <c r="I26" s="847"/>
      <c r="J26" s="1106"/>
      <c r="K26" s="847"/>
      <c r="L26" s="1106">
        <f>L25</f>
        <v>207341.90581500003</v>
      </c>
      <c r="M26" s="847"/>
      <c r="N26" s="1106">
        <f>N25</f>
        <v>360120.15220500005</v>
      </c>
      <c r="O26" s="847"/>
      <c r="P26" s="1106">
        <f>P25</f>
        <v>523811.13048000005</v>
      </c>
      <c r="Q26" s="847"/>
      <c r="R26" s="977"/>
      <c r="S26" s="978"/>
      <c r="T26" s="1106">
        <f>T25</f>
        <v>339286.75497000001</v>
      </c>
      <c r="U26" s="846"/>
      <c r="V26" s="1106">
        <f>V25</f>
        <v>276786.563265</v>
      </c>
      <c r="W26" s="847"/>
      <c r="X26" s="1106">
        <f>X25</f>
        <v>142857.58104000002</v>
      </c>
      <c r="Y26" s="847"/>
      <c r="Z26" s="1106">
        <f>Z25</f>
        <v>62500.191705000005</v>
      </c>
      <c r="AA26" s="847"/>
      <c r="AB26" s="1106">
        <f>AB25</f>
        <v>35714.395260000005</v>
      </c>
      <c r="AC26" s="847"/>
      <c r="AD26" s="1106">
        <f>AD25</f>
        <v>35714.395260000005</v>
      </c>
      <c r="AE26" s="847"/>
      <c r="AF26" s="977"/>
      <c r="AG26" s="978"/>
      <c r="AH26" s="979"/>
      <c r="AI26" s="980"/>
      <c r="AJ26" s="981"/>
      <c r="AN26" s="845">
        <f>SUM(AF20:AF24)*AQ26</f>
        <v>0</v>
      </c>
      <c r="AO26" s="845">
        <v>0</v>
      </c>
      <c r="AP26" s="845">
        <v>0</v>
      </c>
      <c r="AQ26" s="740">
        <v>0</v>
      </c>
      <c r="AS26" s="716">
        <f>SUM(AL20:AL24)</f>
        <v>1984133.0700000003</v>
      </c>
      <c r="AT26" s="982">
        <f>F26+H26+J26+L26+N26+P26+T26+V26+X26+Z26+AB26+AD26</f>
        <v>1984133.0700000003</v>
      </c>
      <c r="AU26" s="743">
        <f>AT26-AS26</f>
        <v>0</v>
      </c>
      <c r="AV26" s="983">
        <f>AT26/AS26</f>
        <v>1</v>
      </c>
    </row>
    <row r="27" spans="1:48" ht="13.5" customHeight="1" outlineLevel="1" thickBot="1">
      <c r="A27" s="73"/>
      <c r="B27" s="82">
        <f>B20+1</f>
        <v>4</v>
      </c>
      <c r="C27" s="1233">
        <f>'Terms and Turnovers'!C19</f>
        <v>0</v>
      </c>
      <c r="D27" s="1233" t="str">
        <f>'Terms and Turnovers'!D19</f>
        <v>Траектория ООО</v>
      </c>
      <c r="E27" s="83" t="str">
        <f>'Terms and Turnovers'!$J$12</f>
        <v>FLIP-FLOPS</v>
      </c>
      <c r="F27" s="118">
        <f>$R27*G27</f>
        <v>0</v>
      </c>
      <c r="G27" s="69"/>
      <c r="H27" s="314">
        <f>$R27*I27</f>
        <v>0</v>
      </c>
      <c r="I27" s="69">
        <v>0</v>
      </c>
      <c r="J27" s="118">
        <f>$R27*K27</f>
        <v>0</v>
      </c>
      <c r="K27" s="69">
        <v>0</v>
      </c>
      <c r="L27" s="314">
        <f>$R27*M27</f>
        <v>374186.08199999999</v>
      </c>
      <c r="M27" s="69">
        <v>1</v>
      </c>
      <c r="N27" s="314">
        <f>$R27*O27</f>
        <v>0</v>
      </c>
      <c r="O27" s="69">
        <v>0</v>
      </c>
      <c r="P27" s="118">
        <f>$R27*Q27</f>
        <v>0</v>
      </c>
      <c r="Q27" s="69">
        <v>0</v>
      </c>
      <c r="R27" s="87">
        <f>'Terms and Turnovers'!K19</f>
        <v>374186.08199999999</v>
      </c>
      <c r="S27" s="160">
        <f t="shared" si="0"/>
        <v>1</v>
      </c>
      <c r="T27" s="118">
        <f>$AF27*U27</f>
        <v>0</v>
      </c>
      <c r="U27" s="69">
        <v>0</v>
      </c>
      <c r="V27" s="314">
        <f>$AF27*W27</f>
        <v>0</v>
      </c>
      <c r="W27" s="69">
        <v>0</v>
      </c>
      <c r="X27" s="118">
        <f>$AF27*Y27</f>
        <v>0</v>
      </c>
      <c r="Y27" s="69">
        <v>0</v>
      </c>
      <c r="Z27" s="314">
        <f>$AF27*AA27</f>
        <v>0</v>
      </c>
      <c r="AA27" s="69">
        <v>0</v>
      </c>
      <c r="AB27" s="314">
        <f>$AF27*AC27</f>
        <v>0</v>
      </c>
      <c r="AC27" s="69">
        <v>0</v>
      </c>
      <c r="AD27" s="118">
        <f>$AF27*AE27</f>
        <v>0</v>
      </c>
      <c r="AE27" s="69">
        <v>0</v>
      </c>
      <c r="AF27" s="87">
        <f>'Terms and Turnovers'!P19</f>
        <v>0</v>
      </c>
      <c r="AG27" s="160">
        <f t="shared" si="2"/>
        <v>0</v>
      </c>
      <c r="AH27" s="157">
        <f t="shared" si="3"/>
        <v>374186.08199999999</v>
      </c>
      <c r="AI27" s="131">
        <f t="shared" si="4"/>
        <v>1</v>
      </c>
      <c r="AJ27" s="65"/>
      <c r="AL27" s="461">
        <f>SUM(F27,H27,J27,L27,N27,P27,T27,V27,X27,Z27,AB27,AD27)</f>
        <v>374186.08199999999</v>
      </c>
      <c r="AM27" s="462">
        <f>AL27-AH27</f>
        <v>0</v>
      </c>
      <c r="AO27" s="692"/>
      <c r="AP27" s="692"/>
      <c r="AV27" s="56"/>
    </row>
    <row r="28" spans="1:48" ht="13.5" customHeight="1" outlineLevel="1" thickBot="1">
      <c r="A28" s="73"/>
      <c r="B28" s="82"/>
      <c r="C28" s="1234"/>
      <c r="D28" s="1234"/>
      <c r="E28" s="84" t="str">
        <f>'Terms and Turnovers'!$T$12</f>
        <v>ORIGINALS</v>
      </c>
      <c r="F28" s="120">
        <f>$R28*G28</f>
        <v>0</v>
      </c>
      <c r="G28" s="723"/>
      <c r="H28" s="120">
        <f>$R28*I28</f>
        <v>0</v>
      </c>
      <c r="I28" s="69">
        <v>0</v>
      </c>
      <c r="J28" s="120">
        <f>$R28*K28</f>
        <v>0</v>
      </c>
      <c r="K28" s="69">
        <v>0</v>
      </c>
      <c r="L28" s="120">
        <f>$R28*M28</f>
        <v>0</v>
      </c>
      <c r="M28" s="69">
        <v>0</v>
      </c>
      <c r="N28" s="315">
        <f>$R28*O28</f>
        <v>0</v>
      </c>
      <c r="O28" s="69">
        <v>0</v>
      </c>
      <c r="P28" s="120">
        <f>$R28*Q28</f>
        <v>0</v>
      </c>
      <c r="Q28" s="69">
        <v>0</v>
      </c>
      <c r="R28" s="88">
        <f>'Terms and Turnovers'!U19</f>
        <v>0</v>
      </c>
      <c r="S28" s="161">
        <f t="shared" si="0"/>
        <v>0</v>
      </c>
      <c r="T28" s="120">
        <f>$AF28*U28</f>
        <v>0</v>
      </c>
      <c r="U28" s="69">
        <v>0</v>
      </c>
      <c r="V28" s="120">
        <f>$AF28*W28</f>
        <v>0</v>
      </c>
      <c r="W28" s="69">
        <v>0</v>
      </c>
      <c r="X28" s="120">
        <f>$AF28*Y28</f>
        <v>0</v>
      </c>
      <c r="Y28" s="69">
        <v>0</v>
      </c>
      <c r="Z28" s="120">
        <f>$AF28*AA28</f>
        <v>0</v>
      </c>
      <c r="AA28" s="69">
        <v>0</v>
      </c>
      <c r="AB28" s="315">
        <f>$AF28*AC28</f>
        <v>0</v>
      </c>
      <c r="AC28" s="69">
        <v>0</v>
      </c>
      <c r="AD28" s="120">
        <f>$AF28*AE28</f>
        <v>0</v>
      </c>
      <c r="AE28" s="69">
        <v>0</v>
      </c>
      <c r="AF28" s="88">
        <f>'Terms and Turnovers'!Z19</f>
        <v>0</v>
      </c>
      <c r="AG28" s="161">
        <f t="shared" si="2"/>
        <v>0</v>
      </c>
      <c r="AH28" s="158">
        <f t="shared" si="3"/>
        <v>0</v>
      </c>
      <c r="AI28" s="134">
        <f t="shared" si="4"/>
        <v>0</v>
      </c>
      <c r="AJ28" s="65"/>
      <c r="AL28" s="461">
        <f>SUM(F28,H28,J28,L28,N28,P28,T28,V28,X28,Z28,AB28,AD28)</f>
        <v>0</v>
      </c>
      <c r="AM28" s="462">
        <f>AL28-AH28</f>
        <v>0</v>
      </c>
      <c r="AO28" s="692"/>
      <c r="AP28" s="692"/>
      <c r="AV28" s="56"/>
    </row>
    <row r="29" spans="1:48" ht="13.5" customHeight="1" outlineLevel="1" thickBot="1">
      <c r="A29" s="73"/>
      <c r="B29" s="82"/>
      <c r="C29" s="1234"/>
      <c r="D29" s="1234"/>
      <c r="E29" s="84" t="str">
        <f>'Terms and Turnovers'!$AD$12</f>
        <v>ACCESSORIES</v>
      </c>
      <c r="F29" s="120">
        <f>$R29*G29</f>
        <v>0</v>
      </c>
      <c r="G29" s="723"/>
      <c r="H29" s="120">
        <f>$R29*I29</f>
        <v>0</v>
      </c>
      <c r="I29" s="69">
        <v>0</v>
      </c>
      <c r="J29" s="120">
        <f>$R29*K29</f>
        <v>0</v>
      </c>
      <c r="K29" s="69">
        <v>0</v>
      </c>
      <c r="L29" s="120">
        <f>$R29*M29</f>
        <v>0</v>
      </c>
      <c r="M29" s="69">
        <v>0</v>
      </c>
      <c r="N29" s="315">
        <f>$R29*O29</f>
        <v>0</v>
      </c>
      <c r="O29" s="69">
        <v>0</v>
      </c>
      <c r="P29" s="120">
        <f>$R29*Q29</f>
        <v>0</v>
      </c>
      <c r="Q29" s="69">
        <v>0</v>
      </c>
      <c r="R29" s="88">
        <f>'Terms and Turnovers'!AE19</f>
        <v>0</v>
      </c>
      <c r="S29" s="161">
        <f t="shared" si="0"/>
        <v>0</v>
      </c>
      <c r="T29" s="120">
        <f>$AF29*U29</f>
        <v>0</v>
      </c>
      <c r="U29" s="69">
        <v>0</v>
      </c>
      <c r="V29" s="120">
        <f>$AF29*W29</f>
        <v>0</v>
      </c>
      <c r="W29" s="69">
        <v>0</v>
      </c>
      <c r="X29" s="120">
        <f>$AF29*Y29</f>
        <v>0</v>
      </c>
      <c r="Y29" s="69">
        <v>0</v>
      </c>
      <c r="Z29" s="120">
        <f>$AF29*AA29</f>
        <v>0</v>
      </c>
      <c r="AA29" s="69">
        <v>0</v>
      </c>
      <c r="AB29" s="315">
        <f>$AF29*AC29</f>
        <v>0</v>
      </c>
      <c r="AC29" s="69">
        <v>0</v>
      </c>
      <c r="AD29" s="120">
        <f>$AF29*AE29</f>
        <v>0</v>
      </c>
      <c r="AE29" s="69">
        <v>0</v>
      </c>
      <c r="AF29" s="88">
        <f>'Terms and Turnovers'!AJ19</f>
        <v>0</v>
      </c>
      <c r="AG29" s="161">
        <f t="shared" si="2"/>
        <v>0</v>
      </c>
      <c r="AH29" s="158">
        <f t="shared" si="3"/>
        <v>0</v>
      </c>
      <c r="AI29" s="134">
        <f t="shared" si="4"/>
        <v>0</v>
      </c>
      <c r="AJ29" s="65"/>
      <c r="AL29" s="461">
        <f>SUM(F29,H29,J29,L29,N29,P29,T29,V29,X29,Z29,AB29,AD29)</f>
        <v>0</v>
      </c>
      <c r="AM29" s="462">
        <f>AL29-AH29</f>
        <v>0</v>
      </c>
      <c r="AO29" s="692"/>
      <c r="AP29" s="692"/>
      <c r="AV29" s="56"/>
    </row>
    <row r="30" spans="1:48" ht="13.5" customHeight="1" outlineLevel="1" thickBot="1">
      <c r="A30" s="73"/>
      <c r="B30" s="82"/>
      <c r="C30" s="1234"/>
      <c r="D30" s="1234"/>
      <c r="E30" s="84">
        <f>'Terms and Turnovers'!$AN$12</f>
        <v>0</v>
      </c>
      <c r="F30" s="120">
        <f>$R30*G30</f>
        <v>0</v>
      </c>
      <c r="G30" s="723"/>
      <c r="H30" s="120">
        <f>$R30*I30</f>
        <v>0</v>
      </c>
      <c r="I30" s="69">
        <v>0</v>
      </c>
      <c r="J30" s="120">
        <f>$R30*K30</f>
        <v>0</v>
      </c>
      <c r="K30" s="69">
        <v>0</v>
      </c>
      <c r="L30" s="120">
        <f>$R30*M30</f>
        <v>0</v>
      </c>
      <c r="M30" s="69">
        <v>0</v>
      </c>
      <c r="N30" s="315">
        <f>$R30*O30</f>
        <v>0</v>
      </c>
      <c r="O30" s="69">
        <v>0</v>
      </c>
      <c r="P30" s="120">
        <f>$R30*Q30</f>
        <v>0</v>
      </c>
      <c r="Q30" s="69">
        <v>0</v>
      </c>
      <c r="R30" s="88">
        <f>'Terms and Turnovers'!AO19</f>
        <v>0</v>
      </c>
      <c r="S30" s="161">
        <f t="shared" si="0"/>
        <v>0</v>
      </c>
      <c r="T30" s="120">
        <f>$AF30*U30</f>
        <v>0</v>
      </c>
      <c r="U30" s="69">
        <v>0</v>
      </c>
      <c r="V30" s="120">
        <f>$AF30*W30</f>
        <v>0</v>
      </c>
      <c r="W30" s="69">
        <v>0</v>
      </c>
      <c r="X30" s="120">
        <f>$AF30*Y30</f>
        <v>0</v>
      </c>
      <c r="Y30" s="69">
        <v>0</v>
      </c>
      <c r="Z30" s="120">
        <f>$AF30*AA30</f>
        <v>0</v>
      </c>
      <c r="AA30" s="69">
        <v>0</v>
      </c>
      <c r="AB30" s="315">
        <f>$AF30*AC30</f>
        <v>0</v>
      </c>
      <c r="AC30" s="69">
        <v>0</v>
      </c>
      <c r="AD30" s="120">
        <f>$AF30*AE30</f>
        <v>0</v>
      </c>
      <c r="AE30" s="69">
        <v>0</v>
      </c>
      <c r="AF30" s="88">
        <f>'Terms and Turnovers'!AT19</f>
        <v>0</v>
      </c>
      <c r="AG30" s="161">
        <f t="shared" si="2"/>
        <v>0</v>
      </c>
      <c r="AH30" s="158">
        <f t="shared" si="3"/>
        <v>0</v>
      </c>
      <c r="AI30" s="134">
        <f t="shared" si="4"/>
        <v>0</v>
      </c>
      <c r="AJ30" s="65"/>
      <c r="AL30" s="461">
        <f>SUM(F30,H30,J30,L30,N30,P30,T30,V30,X30,Z30,AB30,AD30)</f>
        <v>0</v>
      </c>
      <c r="AM30" s="462">
        <f>AL30-AH30</f>
        <v>0</v>
      </c>
      <c r="AO30" s="692"/>
      <c r="AP30" s="692"/>
      <c r="AV30" s="56"/>
    </row>
    <row r="31" spans="1:48" ht="13.5" customHeight="1" outlineLevel="1" thickBot="1">
      <c r="A31" s="73"/>
      <c r="B31" s="82"/>
      <c r="C31" s="1235"/>
      <c r="D31" s="1235"/>
      <c r="E31" s="85">
        <f>'Terms and Turnovers'!$AX$12</f>
        <v>0</v>
      </c>
      <c r="F31" s="121">
        <f>$R31*G31</f>
        <v>0</v>
      </c>
      <c r="G31" s="72"/>
      <c r="H31" s="121">
        <f>$R31*I31</f>
        <v>0</v>
      </c>
      <c r="I31" s="69">
        <v>0</v>
      </c>
      <c r="J31" s="121">
        <f>$R31*K31</f>
        <v>0</v>
      </c>
      <c r="K31" s="69">
        <v>0</v>
      </c>
      <c r="L31" s="121">
        <f>$R31*M31</f>
        <v>0</v>
      </c>
      <c r="M31" s="69">
        <v>0</v>
      </c>
      <c r="N31" s="316">
        <f>$R31*O31</f>
        <v>0</v>
      </c>
      <c r="O31" s="69">
        <v>0</v>
      </c>
      <c r="P31" s="121">
        <f>$R31*Q31</f>
        <v>0</v>
      </c>
      <c r="Q31" s="69">
        <v>0</v>
      </c>
      <c r="R31" s="89">
        <f>'Terms and Turnovers'!AY19</f>
        <v>0</v>
      </c>
      <c r="S31" s="162">
        <f t="shared" si="0"/>
        <v>0</v>
      </c>
      <c r="T31" s="121">
        <f>$AF31*U31</f>
        <v>0</v>
      </c>
      <c r="U31" s="69">
        <v>0</v>
      </c>
      <c r="V31" s="121">
        <f>$AF31*W31</f>
        <v>0</v>
      </c>
      <c r="W31" s="69">
        <v>0</v>
      </c>
      <c r="X31" s="121">
        <f>$AF31*Y31</f>
        <v>0</v>
      </c>
      <c r="Y31" s="69">
        <v>0</v>
      </c>
      <c r="Z31" s="121">
        <f>$AF31*AA31</f>
        <v>0</v>
      </c>
      <c r="AA31" s="69">
        <v>0</v>
      </c>
      <c r="AB31" s="316">
        <f>$AF31*AC31</f>
        <v>0</v>
      </c>
      <c r="AC31" s="69">
        <v>0</v>
      </c>
      <c r="AD31" s="121">
        <f>$AF31*AE31</f>
        <v>0</v>
      </c>
      <c r="AE31" s="69">
        <v>0</v>
      </c>
      <c r="AF31" s="89">
        <f>'Terms and Turnovers'!BD19</f>
        <v>0</v>
      </c>
      <c r="AG31" s="162">
        <f t="shared" si="2"/>
        <v>0</v>
      </c>
      <c r="AH31" s="159">
        <f t="shared" si="3"/>
        <v>0</v>
      </c>
      <c r="AI31" s="137">
        <f t="shared" si="4"/>
        <v>0</v>
      </c>
      <c r="AJ31" s="65"/>
      <c r="AL31" s="461">
        <f>SUM(F31,H31,J31,L31,N31,P31,T31,V31,X31,Z31,AB31,AD31)</f>
        <v>0</v>
      </c>
      <c r="AM31" s="462">
        <f>AL31-AH31</f>
        <v>0</v>
      </c>
      <c r="AO31" s="692"/>
      <c r="AP31" s="692"/>
      <c r="AV31" s="56"/>
    </row>
    <row r="32" spans="1:48" ht="13.5" customHeight="1" outlineLevel="1" thickBot="1">
      <c r="A32" s="119"/>
      <c r="B32" s="82"/>
      <c r="C32" s="425" t="s">
        <v>388</v>
      </c>
      <c r="D32" s="425" t="str">
        <f>D27</f>
        <v>Траектория ООО</v>
      </c>
      <c r="E32" s="426"/>
      <c r="F32" s="427">
        <f>SUM(F27:F31)</f>
        <v>0</v>
      </c>
      <c r="G32" s="428"/>
      <c r="H32" s="427">
        <f>SUM(H27:H31)</f>
        <v>0</v>
      </c>
      <c r="I32" s="69"/>
      <c r="J32" s="427">
        <f>SUM(J27:J31)</f>
        <v>0</v>
      </c>
      <c r="K32" s="69"/>
      <c r="L32" s="427">
        <f>SUM(L27:L31)</f>
        <v>374186.08199999999</v>
      </c>
      <c r="M32" s="69"/>
      <c r="N32" s="427">
        <f>SUM(N27:N31)</f>
        <v>0</v>
      </c>
      <c r="O32" s="69"/>
      <c r="P32" s="427">
        <f>SUM(P27:P31)</f>
        <v>0</v>
      </c>
      <c r="Q32" s="69"/>
      <c r="R32" s="429"/>
      <c r="S32" s="430"/>
      <c r="T32" s="427">
        <f>SUM(T27:T31)</f>
        <v>0</v>
      </c>
      <c r="U32" s="428"/>
      <c r="V32" s="427">
        <f>SUM(V27:V31)</f>
        <v>0</v>
      </c>
      <c r="W32" s="69"/>
      <c r="X32" s="427">
        <f>SUM(X27:X31)</f>
        <v>0</v>
      </c>
      <c r="Y32" s="69"/>
      <c r="Z32" s="427">
        <f>SUM(Z27:Z31)</f>
        <v>0</v>
      </c>
      <c r="AA32" s="69"/>
      <c r="AB32" s="427">
        <f>SUM(AB27:AB31)</f>
        <v>0</v>
      </c>
      <c r="AC32" s="69"/>
      <c r="AD32" s="427">
        <f>SUM(AD27:AD31)</f>
        <v>0</v>
      </c>
      <c r="AE32" s="69"/>
      <c r="AF32" s="429"/>
      <c r="AG32" s="430"/>
      <c r="AH32" s="431"/>
      <c r="AI32" s="432"/>
      <c r="AJ32" s="65"/>
      <c r="AO32" s="692"/>
      <c r="AP32" s="692"/>
      <c r="AV32" s="56"/>
    </row>
    <row r="33" spans="1:48" s="680" customFormat="1" ht="13.5" customHeight="1" outlineLevel="1" thickBot="1">
      <c r="A33" s="974"/>
      <c r="B33" s="975"/>
      <c r="C33" s="1098" t="s">
        <v>484</v>
      </c>
      <c r="D33" s="770" t="str">
        <f>D27</f>
        <v>Траектория ООО</v>
      </c>
      <c r="E33" s="976"/>
      <c r="F33" s="1106"/>
      <c r="G33" s="846"/>
      <c r="H33" s="1106"/>
      <c r="I33" s="847"/>
      <c r="J33" s="1106"/>
      <c r="K33" s="847"/>
      <c r="L33" s="1106"/>
      <c r="M33" s="847"/>
      <c r="N33" s="1107">
        <f>L32</f>
        <v>374186.08199999999</v>
      </c>
      <c r="O33" s="847"/>
      <c r="P33" s="1106"/>
      <c r="Q33" s="847"/>
      <c r="R33" s="977"/>
      <c r="S33" s="978"/>
      <c r="T33" s="1106"/>
      <c r="U33" s="846"/>
      <c r="V33" s="1106"/>
      <c r="W33" s="847"/>
      <c r="X33" s="1106"/>
      <c r="Y33" s="847"/>
      <c r="Z33" s="1106"/>
      <c r="AA33" s="847"/>
      <c r="AB33" s="1106"/>
      <c r="AC33" s="847"/>
      <c r="AD33" s="1106"/>
      <c r="AE33" s="847"/>
      <c r="AF33" s="977"/>
      <c r="AG33" s="978"/>
      <c r="AH33" s="979"/>
      <c r="AI33" s="980"/>
      <c r="AJ33" s="981"/>
      <c r="AN33" s="845">
        <f>SUM(AF27:AF31)*AQ33</f>
        <v>0</v>
      </c>
      <c r="AO33" s="845">
        <v>0</v>
      </c>
      <c r="AP33" s="845">
        <v>0</v>
      </c>
      <c r="AQ33" s="740">
        <v>0</v>
      </c>
      <c r="AS33" s="716">
        <f>SUM(AL27:AL31)</f>
        <v>374186.08199999999</v>
      </c>
      <c r="AT33" s="982">
        <f>F33+H33+J33+L33+N33+P33+T33+V33+X33+Z33+AB33+AD33</f>
        <v>374186.08199999999</v>
      </c>
      <c r="AU33" s="743">
        <f>AT33-AS33</f>
        <v>0</v>
      </c>
      <c r="AV33" s="983">
        <f>AT33/AS33</f>
        <v>1</v>
      </c>
    </row>
    <row r="34" spans="1:48" ht="13.5" customHeight="1" outlineLevel="1" thickBot="1">
      <c r="A34" s="73"/>
      <c r="B34" s="82">
        <f>B27+1</f>
        <v>5</v>
      </c>
      <c r="C34" s="1233">
        <f>'Terms and Turnovers'!C20</f>
        <v>0</v>
      </c>
      <c r="D34" s="1254" t="str">
        <f>'Terms and Turnovers'!D20</f>
        <v>ИП Вербицкая</v>
      </c>
      <c r="E34" s="83" t="str">
        <f>'Terms and Turnovers'!$J$12</f>
        <v>FLIP-FLOPS</v>
      </c>
      <c r="F34" s="118">
        <f>$R34*G34</f>
        <v>0</v>
      </c>
      <c r="G34" s="69"/>
      <c r="H34" s="314">
        <f>$R34*I34</f>
        <v>0</v>
      </c>
      <c r="I34" s="69">
        <v>0</v>
      </c>
      <c r="J34" s="118">
        <f>$R34*K34</f>
        <v>0</v>
      </c>
      <c r="K34" s="69">
        <v>0</v>
      </c>
      <c r="L34" s="314">
        <f>$R34*M34</f>
        <v>119284.92</v>
      </c>
      <c r="M34" s="69">
        <v>1</v>
      </c>
      <c r="N34" s="314">
        <f>$R34*O34</f>
        <v>0</v>
      </c>
      <c r="O34" s="69">
        <v>0</v>
      </c>
      <c r="P34" s="118">
        <f>$R34*Q34</f>
        <v>0</v>
      </c>
      <c r="Q34" s="69">
        <v>0</v>
      </c>
      <c r="R34" s="87">
        <f>'Terms and Turnovers'!K20</f>
        <v>119284.92</v>
      </c>
      <c r="S34" s="160">
        <f t="shared" si="0"/>
        <v>1</v>
      </c>
      <c r="T34" s="118">
        <f>$AF34*U34</f>
        <v>0</v>
      </c>
      <c r="U34" s="69">
        <v>0</v>
      </c>
      <c r="V34" s="314">
        <f>$AF34*W34</f>
        <v>0</v>
      </c>
      <c r="W34" s="69">
        <v>0</v>
      </c>
      <c r="X34" s="118">
        <f>$AF34*Y34</f>
        <v>0</v>
      </c>
      <c r="Y34" s="69">
        <v>0</v>
      </c>
      <c r="Z34" s="314">
        <f>$AF34*AA34</f>
        <v>0</v>
      </c>
      <c r="AA34" s="69">
        <v>0</v>
      </c>
      <c r="AB34" s="314">
        <f>$AF34*AC34</f>
        <v>0</v>
      </c>
      <c r="AC34" s="69">
        <v>0</v>
      </c>
      <c r="AD34" s="118">
        <f>$AF34*AE34</f>
        <v>0</v>
      </c>
      <c r="AE34" s="69">
        <v>0</v>
      </c>
      <c r="AF34" s="87">
        <f>'Terms and Turnovers'!P20</f>
        <v>0</v>
      </c>
      <c r="AG34" s="160">
        <f t="shared" si="2"/>
        <v>0</v>
      </c>
      <c r="AH34" s="157">
        <f t="shared" si="3"/>
        <v>119284.92</v>
      </c>
      <c r="AI34" s="131">
        <f t="shared" si="4"/>
        <v>1</v>
      </c>
      <c r="AJ34" s="65"/>
      <c r="AL34" s="461">
        <f>SUM(F34,H34,J34,L34,N34,P34,T34,V34,X34,Z34,AB34,AD34)</f>
        <v>119284.92</v>
      </c>
      <c r="AM34" s="462">
        <f>AL34-AH34</f>
        <v>0</v>
      </c>
      <c r="AO34" s="692"/>
      <c r="AP34" s="692"/>
      <c r="AV34" s="56"/>
    </row>
    <row r="35" spans="1:48" ht="13.5" customHeight="1" outlineLevel="1" thickBot="1">
      <c r="A35" s="73"/>
      <c r="B35" s="82"/>
      <c r="C35" s="1234"/>
      <c r="D35" s="1255"/>
      <c r="E35" s="84" t="str">
        <f>'Terms and Turnovers'!$T$12</f>
        <v>ORIGINALS</v>
      </c>
      <c r="F35" s="120">
        <f>$R35*G35</f>
        <v>0</v>
      </c>
      <c r="G35" s="723"/>
      <c r="H35" s="120">
        <f>$R35*I35</f>
        <v>0</v>
      </c>
      <c r="I35" s="69">
        <v>0</v>
      </c>
      <c r="J35" s="120">
        <f>$R35*K35</f>
        <v>0</v>
      </c>
      <c r="K35" s="69">
        <v>0</v>
      </c>
      <c r="L35" s="120">
        <f>$R35*M35</f>
        <v>0</v>
      </c>
      <c r="M35" s="69">
        <v>0</v>
      </c>
      <c r="N35" s="315">
        <f>$R35*O35</f>
        <v>0</v>
      </c>
      <c r="O35" s="69">
        <v>0</v>
      </c>
      <c r="P35" s="120">
        <f>$R35*Q35</f>
        <v>0</v>
      </c>
      <c r="Q35" s="69">
        <v>0</v>
      </c>
      <c r="R35" s="88">
        <f>'Terms and Turnovers'!U20</f>
        <v>0</v>
      </c>
      <c r="S35" s="161">
        <f t="shared" si="0"/>
        <v>0</v>
      </c>
      <c r="T35" s="120">
        <f>$AF35*U35</f>
        <v>0</v>
      </c>
      <c r="U35" s="69">
        <v>0</v>
      </c>
      <c r="V35" s="120">
        <f>$AF35*W35</f>
        <v>0</v>
      </c>
      <c r="W35" s="69">
        <v>0</v>
      </c>
      <c r="X35" s="120">
        <f>$AF35*Y35</f>
        <v>0</v>
      </c>
      <c r="Y35" s="69">
        <v>0</v>
      </c>
      <c r="Z35" s="120">
        <f>$AF35*AA35</f>
        <v>0</v>
      </c>
      <c r="AA35" s="69">
        <v>0</v>
      </c>
      <c r="AB35" s="315">
        <f>$AF35*AC35</f>
        <v>0</v>
      </c>
      <c r="AC35" s="69">
        <v>0</v>
      </c>
      <c r="AD35" s="120">
        <f>$AF35*AE35</f>
        <v>0</v>
      </c>
      <c r="AE35" s="69">
        <v>0</v>
      </c>
      <c r="AF35" s="88">
        <f>'Terms and Turnovers'!Z20</f>
        <v>0</v>
      </c>
      <c r="AG35" s="161">
        <f t="shared" si="2"/>
        <v>0</v>
      </c>
      <c r="AH35" s="158">
        <f t="shared" si="3"/>
        <v>0</v>
      </c>
      <c r="AI35" s="134">
        <f t="shared" si="4"/>
        <v>0</v>
      </c>
      <c r="AJ35" s="65"/>
      <c r="AL35" s="461">
        <f>SUM(F35,H35,J35,L35,N35,P35,T35,V35,X35,Z35,AB35,AD35)</f>
        <v>0</v>
      </c>
      <c r="AM35" s="462">
        <f>AL35-AH35</f>
        <v>0</v>
      </c>
      <c r="AO35" s="692"/>
      <c r="AP35" s="692"/>
      <c r="AV35" s="56"/>
    </row>
    <row r="36" spans="1:48" ht="13.5" customHeight="1" outlineLevel="1" thickBot="1">
      <c r="A36" s="73"/>
      <c r="B36" s="82"/>
      <c r="C36" s="1234"/>
      <c r="D36" s="1255"/>
      <c r="E36" s="84" t="str">
        <f>'Terms and Turnovers'!$AD$12</f>
        <v>ACCESSORIES</v>
      </c>
      <c r="F36" s="120">
        <f>$R36*G36</f>
        <v>0</v>
      </c>
      <c r="G36" s="723"/>
      <c r="H36" s="120">
        <f>$R36*I36</f>
        <v>0</v>
      </c>
      <c r="I36" s="69">
        <v>0</v>
      </c>
      <c r="J36" s="120">
        <f>$R36*K36</f>
        <v>0</v>
      </c>
      <c r="K36" s="69">
        <v>0</v>
      </c>
      <c r="L36" s="120">
        <f>$R36*M36</f>
        <v>0</v>
      </c>
      <c r="M36" s="69">
        <v>0</v>
      </c>
      <c r="N36" s="315">
        <f>$R36*O36</f>
        <v>0</v>
      </c>
      <c r="O36" s="69">
        <v>0</v>
      </c>
      <c r="P36" s="120">
        <f>$R36*Q36</f>
        <v>0</v>
      </c>
      <c r="Q36" s="69">
        <v>0</v>
      </c>
      <c r="R36" s="88">
        <f>'Terms and Turnovers'!AE20</f>
        <v>0</v>
      </c>
      <c r="S36" s="161">
        <f t="shared" si="0"/>
        <v>0</v>
      </c>
      <c r="T36" s="120">
        <f>$AF36*U36</f>
        <v>0</v>
      </c>
      <c r="U36" s="69">
        <v>0</v>
      </c>
      <c r="V36" s="120">
        <f>$AF36*W36</f>
        <v>0</v>
      </c>
      <c r="W36" s="69">
        <v>0</v>
      </c>
      <c r="X36" s="120">
        <f>$AF36*Y36</f>
        <v>0</v>
      </c>
      <c r="Y36" s="69">
        <v>0</v>
      </c>
      <c r="Z36" s="120">
        <f>$AF36*AA36</f>
        <v>0</v>
      </c>
      <c r="AA36" s="69">
        <v>0</v>
      </c>
      <c r="AB36" s="315">
        <f>$AF36*AC36</f>
        <v>0</v>
      </c>
      <c r="AC36" s="69">
        <v>0</v>
      </c>
      <c r="AD36" s="120">
        <f>$AF36*AE36</f>
        <v>0</v>
      </c>
      <c r="AE36" s="69">
        <v>0</v>
      </c>
      <c r="AF36" s="88">
        <f>'Terms and Turnovers'!AJ20</f>
        <v>0</v>
      </c>
      <c r="AG36" s="161">
        <f t="shared" si="2"/>
        <v>0</v>
      </c>
      <c r="AH36" s="158">
        <f t="shared" si="3"/>
        <v>0</v>
      </c>
      <c r="AI36" s="134">
        <f t="shared" si="4"/>
        <v>0</v>
      </c>
      <c r="AJ36" s="65"/>
      <c r="AL36" s="461">
        <f>SUM(F36,H36,J36,L36,N36,P36,T36,V36,X36,Z36,AB36,AD36)</f>
        <v>0</v>
      </c>
      <c r="AM36" s="462">
        <f>AL36-AH36</f>
        <v>0</v>
      </c>
      <c r="AO36" s="692"/>
      <c r="AP36" s="692"/>
      <c r="AV36" s="56"/>
    </row>
    <row r="37" spans="1:48" ht="13.5" customHeight="1" outlineLevel="1" thickBot="1">
      <c r="A37" s="73"/>
      <c r="B37" s="82"/>
      <c r="C37" s="1234"/>
      <c r="D37" s="1255"/>
      <c r="E37" s="84">
        <f>'Terms and Turnovers'!$AN$12</f>
        <v>0</v>
      </c>
      <c r="F37" s="120">
        <f>$R37*G37</f>
        <v>0</v>
      </c>
      <c r="G37" s="723"/>
      <c r="H37" s="120">
        <f>$R37*I37</f>
        <v>0</v>
      </c>
      <c r="I37" s="69">
        <v>0</v>
      </c>
      <c r="J37" s="120">
        <f>$R37*K37</f>
        <v>0</v>
      </c>
      <c r="K37" s="69">
        <v>0</v>
      </c>
      <c r="L37" s="120">
        <f>$R37*M37</f>
        <v>0</v>
      </c>
      <c r="M37" s="69">
        <v>0</v>
      </c>
      <c r="N37" s="315">
        <f>$R37*O37</f>
        <v>0</v>
      </c>
      <c r="O37" s="69">
        <v>0</v>
      </c>
      <c r="P37" s="120">
        <f>$R37*Q37</f>
        <v>0</v>
      </c>
      <c r="Q37" s="69">
        <v>0</v>
      </c>
      <c r="R37" s="88">
        <f>'Terms and Turnovers'!AO20</f>
        <v>0</v>
      </c>
      <c r="S37" s="161">
        <f t="shared" si="0"/>
        <v>0</v>
      </c>
      <c r="T37" s="120">
        <f>$AF37*U37</f>
        <v>0</v>
      </c>
      <c r="U37" s="69">
        <v>0</v>
      </c>
      <c r="V37" s="120">
        <f>$AF37*W37</f>
        <v>0</v>
      </c>
      <c r="W37" s="69">
        <v>0</v>
      </c>
      <c r="X37" s="120">
        <f>$AF37*Y37</f>
        <v>0</v>
      </c>
      <c r="Y37" s="69">
        <v>0</v>
      </c>
      <c r="Z37" s="120">
        <f>$AF37*AA37</f>
        <v>0</v>
      </c>
      <c r="AA37" s="69">
        <v>0</v>
      </c>
      <c r="AB37" s="315">
        <f>$AF37*AC37</f>
        <v>0</v>
      </c>
      <c r="AC37" s="69">
        <v>0</v>
      </c>
      <c r="AD37" s="120">
        <f>$AF37*AE37</f>
        <v>0</v>
      </c>
      <c r="AE37" s="69">
        <v>0</v>
      </c>
      <c r="AF37" s="88">
        <f>'Terms and Turnovers'!AT20</f>
        <v>0</v>
      </c>
      <c r="AG37" s="161">
        <f t="shared" si="2"/>
        <v>0</v>
      </c>
      <c r="AH37" s="158">
        <f t="shared" si="3"/>
        <v>0</v>
      </c>
      <c r="AI37" s="134">
        <f t="shared" si="4"/>
        <v>0</v>
      </c>
      <c r="AJ37" s="65"/>
      <c r="AL37" s="461">
        <f>SUM(F37,H37,J37,L37,N37,P37,T37,V37,X37,Z37,AB37,AD37)</f>
        <v>0</v>
      </c>
      <c r="AM37" s="462">
        <f>AL37-AH37</f>
        <v>0</v>
      </c>
      <c r="AO37" s="692"/>
      <c r="AP37" s="692"/>
      <c r="AV37" s="56"/>
    </row>
    <row r="38" spans="1:48" ht="13.5" customHeight="1" outlineLevel="1" thickBot="1">
      <c r="A38" s="73"/>
      <c r="B38" s="82"/>
      <c r="C38" s="1235"/>
      <c r="D38" s="1256"/>
      <c r="E38" s="85">
        <f>'Terms and Turnovers'!$AX$12</f>
        <v>0</v>
      </c>
      <c r="F38" s="121">
        <f>$R38*G38</f>
        <v>0</v>
      </c>
      <c r="G38" s="72"/>
      <c r="H38" s="121">
        <f>$R38*I38</f>
        <v>0</v>
      </c>
      <c r="I38" s="69">
        <v>0</v>
      </c>
      <c r="J38" s="121">
        <f>$R38*K38</f>
        <v>0</v>
      </c>
      <c r="K38" s="69">
        <v>0</v>
      </c>
      <c r="L38" s="121">
        <f>$R38*M38</f>
        <v>0</v>
      </c>
      <c r="M38" s="69">
        <v>0</v>
      </c>
      <c r="N38" s="316">
        <f>$R38*O38</f>
        <v>0</v>
      </c>
      <c r="O38" s="69">
        <v>0</v>
      </c>
      <c r="P38" s="121">
        <f>$R38*Q38</f>
        <v>0</v>
      </c>
      <c r="Q38" s="69">
        <v>0</v>
      </c>
      <c r="R38" s="89">
        <f>'Terms and Turnovers'!AY20</f>
        <v>0</v>
      </c>
      <c r="S38" s="162">
        <f t="shared" si="0"/>
        <v>0</v>
      </c>
      <c r="T38" s="121">
        <f>$AF38*U38</f>
        <v>0</v>
      </c>
      <c r="U38" s="69">
        <v>0</v>
      </c>
      <c r="V38" s="121">
        <f>$AF38*W38</f>
        <v>0</v>
      </c>
      <c r="W38" s="69">
        <v>0</v>
      </c>
      <c r="X38" s="121">
        <f>$AF38*Y38</f>
        <v>0</v>
      </c>
      <c r="Y38" s="69">
        <v>0</v>
      </c>
      <c r="Z38" s="121">
        <f>$AF38*AA38</f>
        <v>0</v>
      </c>
      <c r="AA38" s="69">
        <v>0</v>
      </c>
      <c r="AB38" s="316">
        <f>$AF38*AC38</f>
        <v>0</v>
      </c>
      <c r="AC38" s="69">
        <v>0</v>
      </c>
      <c r="AD38" s="121">
        <f>$AF38*AE38</f>
        <v>0</v>
      </c>
      <c r="AE38" s="69">
        <v>0</v>
      </c>
      <c r="AF38" s="89">
        <f>'Terms and Turnovers'!BD20</f>
        <v>0</v>
      </c>
      <c r="AG38" s="162">
        <f t="shared" si="2"/>
        <v>0</v>
      </c>
      <c r="AH38" s="159">
        <f t="shared" si="3"/>
        <v>0</v>
      </c>
      <c r="AI38" s="137">
        <f t="shared" si="4"/>
        <v>0</v>
      </c>
      <c r="AJ38" s="65"/>
      <c r="AL38" s="461">
        <f>SUM(F38,H38,J38,L38,N38,P38,T38,V38,X38,Z38,AB38,AD38)</f>
        <v>0</v>
      </c>
      <c r="AM38" s="462">
        <f>AL38-AH38</f>
        <v>0</v>
      </c>
      <c r="AO38" s="692"/>
      <c r="AP38" s="692"/>
      <c r="AV38" s="56"/>
    </row>
    <row r="39" spans="1:48" ht="13.5" customHeight="1" outlineLevel="1" thickBot="1">
      <c r="A39" s="119"/>
      <c r="B39" s="82"/>
      <c r="C39" s="425" t="s">
        <v>388</v>
      </c>
      <c r="D39" s="425" t="str">
        <f>D34</f>
        <v>ИП Вербицкая</v>
      </c>
      <c r="E39" s="426"/>
      <c r="F39" s="427">
        <f>SUM(F34:F38)</f>
        <v>0</v>
      </c>
      <c r="G39" s="428"/>
      <c r="H39" s="427">
        <f>SUM(H34:H38)</f>
        <v>0</v>
      </c>
      <c r="I39" s="69"/>
      <c r="J39" s="427">
        <f>SUM(J34:J38)</f>
        <v>0</v>
      </c>
      <c r="K39" s="69"/>
      <c r="L39" s="427">
        <f>SUM(L34:L38)</f>
        <v>119284.92</v>
      </c>
      <c r="M39" s="69"/>
      <c r="N39" s="427">
        <f>SUM(N34:N38)</f>
        <v>0</v>
      </c>
      <c r="O39" s="69"/>
      <c r="P39" s="427">
        <f>SUM(P34:P38)</f>
        <v>0</v>
      </c>
      <c r="Q39" s="69"/>
      <c r="R39" s="429"/>
      <c r="S39" s="430"/>
      <c r="T39" s="427">
        <f>SUM(T34:T38)</f>
        <v>0</v>
      </c>
      <c r="U39" s="428"/>
      <c r="V39" s="427">
        <f>SUM(V34:V38)</f>
        <v>0</v>
      </c>
      <c r="W39" s="69"/>
      <c r="X39" s="427">
        <f>SUM(X34:X38)</f>
        <v>0</v>
      </c>
      <c r="Y39" s="69"/>
      <c r="Z39" s="427">
        <f>SUM(Z34:Z38)</f>
        <v>0</v>
      </c>
      <c r="AA39" s="69"/>
      <c r="AB39" s="427">
        <f>SUM(AB34:AB38)</f>
        <v>0</v>
      </c>
      <c r="AC39" s="69"/>
      <c r="AD39" s="427">
        <f>SUM(AD34:AD38)</f>
        <v>0</v>
      </c>
      <c r="AE39" s="69"/>
      <c r="AF39" s="429"/>
      <c r="AG39" s="430"/>
      <c r="AH39" s="431"/>
      <c r="AI39" s="432"/>
      <c r="AJ39" s="65"/>
      <c r="AO39" s="692"/>
      <c r="AP39" s="692"/>
      <c r="AV39" s="56"/>
    </row>
    <row r="40" spans="1:48" s="680" customFormat="1" ht="13.5" customHeight="1" outlineLevel="1" thickBot="1">
      <c r="A40" s="974"/>
      <c r="B40" s="975"/>
      <c r="C40" s="1098" t="s">
        <v>484</v>
      </c>
      <c r="D40" s="770" t="str">
        <f>D34</f>
        <v>ИП Вербицкая</v>
      </c>
      <c r="E40" s="976"/>
      <c r="F40" s="1106"/>
      <c r="G40" s="846"/>
      <c r="H40" s="1106"/>
      <c r="I40" s="847"/>
      <c r="J40" s="1106"/>
      <c r="K40" s="847"/>
      <c r="L40" s="1106">
        <f>L39</f>
        <v>119284.92</v>
      </c>
      <c r="M40" s="847"/>
      <c r="N40" s="1107"/>
      <c r="O40" s="847"/>
      <c r="P40" s="1106"/>
      <c r="Q40" s="847"/>
      <c r="R40" s="977"/>
      <c r="S40" s="978"/>
      <c r="T40" s="1106"/>
      <c r="U40" s="846"/>
      <c r="V40" s="1106"/>
      <c r="W40" s="847"/>
      <c r="X40" s="1106"/>
      <c r="Y40" s="847"/>
      <c r="Z40" s="1106"/>
      <c r="AA40" s="847"/>
      <c r="AB40" s="1106"/>
      <c r="AC40" s="847"/>
      <c r="AD40" s="1106"/>
      <c r="AE40" s="847"/>
      <c r="AF40" s="977"/>
      <c r="AG40" s="978"/>
      <c r="AH40" s="979"/>
      <c r="AI40" s="980"/>
      <c r="AJ40" s="981"/>
      <c r="AN40" s="845">
        <f>SUM(AF34:AF38)*AQ40</f>
        <v>0</v>
      </c>
      <c r="AO40" s="845">
        <v>0</v>
      </c>
      <c r="AP40" s="845">
        <v>0</v>
      </c>
      <c r="AQ40" s="740">
        <v>0</v>
      </c>
      <c r="AS40" s="716">
        <f>SUM(AL34:AL38)</f>
        <v>119284.92</v>
      </c>
      <c r="AT40" s="982">
        <f>F40+H40+J40+L40+N40+P40+T40+V40+X40+Z40+AB40+AD40</f>
        <v>119284.92</v>
      </c>
      <c r="AU40" s="743">
        <f>AT40-AS40</f>
        <v>0</v>
      </c>
      <c r="AV40" s="983">
        <f>AT40/AS40</f>
        <v>1</v>
      </c>
    </row>
    <row r="41" spans="1:48" ht="13.5" customHeight="1" outlineLevel="1" thickBot="1">
      <c r="A41" s="73"/>
      <c r="B41" s="82">
        <f>B34+1</f>
        <v>6</v>
      </c>
      <c r="C41" s="1233">
        <f>'Terms and Turnovers'!C21</f>
        <v>0</v>
      </c>
      <c r="D41" s="1257" t="str">
        <f>'Terms and Turnovers'!D21</f>
        <v>ИП Кузнецова  Мария Павловна</v>
      </c>
      <c r="E41" s="83" t="str">
        <f>'Terms and Turnovers'!$J$12</f>
        <v>FLIP-FLOPS</v>
      </c>
      <c r="F41" s="118">
        <f>$R41*G41</f>
        <v>0</v>
      </c>
      <c r="G41" s="69"/>
      <c r="H41" s="314">
        <f>$R41*I41</f>
        <v>0</v>
      </c>
      <c r="I41" s="69">
        <v>0</v>
      </c>
      <c r="J41" s="118">
        <f>$R41*K41</f>
        <v>0</v>
      </c>
      <c r="K41" s="69">
        <v>0</v>
      </c>
      <c r="L41" s="314">
        <f>$R41*M41</f>
        <v>61735.499999999993</v>
      </c>
      <c r="M41" s="69">
        <v>0.5</v>
      </c>
      <c r="N41" s="314">
        <f>$R41*O41</f>
        <v>61735.499999999993</v>
      </c>
      <c r="O41" s="69">
        <v>0.5</v>
      </c>
      <c r="P41" s="118">
        <f>$R41*Q41</f>
        <v>0</v>
      </c>
      <c r="Q41" s="69">
        <v>0</v>
      </c>
      <c r="R41" s="87">
        <f>'Terms and Turnovers'!K21</f>
        <v>123470.99999999999</v>
      </c>
      <c r="S41" s="160">
        <f>SUM(G41,I41,K41,M41,O41,Q41)</f>
        <v>1</v>
      </c>
      <c r="T41" s="118">
        <f>$AF41*U41</f>
        <v>0</v>
      </c>
      <c r="U41" s="69">
        <v>0</v>
      </c>
      <c r="V41" s="314">
        <f>$AF41*W41</f>
        <v>0</v>
      </c>
      <c r="W41" s="69">
        <v>0</v>
      </c>
      <c r="X41" s="118">
        <f>$AF41*Y41</f>
        <v>0</v>
      </c>
      <c r="Y41" s="69">
        <v>0</v>
      </c>
      <c r="Z41" s="314">
        <f>$AF41*AA41</f>
        <v>0</v>
      </c>
      <c r="AA41" s="69">
        <v>0</v>
      </c>
      <c r="AB41" s="314">
        <f>$AF41*AC41</f>
        <v>0</v>
      </c>
      <c r="AC41" s="69">
        <v>0</v>
      </c>
      <c r="AD41" s="118">
        <f>$AF41*AE41</f>
        <v>0</v>
      </c>
      <c r="AE41" s="69">
        <v>0</v>
      </c>
      <c r="AF41" s="87">
        <f>'Terms and Turnovers'!P21</f>
        <v>0</v>
      </c>
      <c r="AG41" s="160">
        <f>SUM(U41,W41,Y41,AA41,AC41,AE41)</f>
        <v>0</v>
      </c>
      <c r="AH41" s="157">
        <f t="shared" si="3"/>
        <v>123470.99999999999</v>
      </c>
      <c r="AI41" s="131">
        <f t="shared" si="4"/>
        <v>1</v>
      </c>
      <c r="AJ41" s="65"/>
      <c r="AL41" s="461">
        <f>SUM(F41,H41,J41,L41,N41,P41,T41,V41,X41,Z41,AB41,AD41)</f>
        <v>123470.99999999999</v>
      </c>
      <c r="AM41" s="462">
        <f>AL41-AH41</f>
        <v>0</v>
      </c>
      <c r="AO41" s="692"/>
      <c r="AP41" s="692"/>
      <c r="AV41" s="56"/>
    </row>
    <row r="42" spans="1:48" ht="13.5" customHeight="1" outlineLevel="1" thickBot="1">
      <c r="A42" s="73"/>
      <c r="B42" s="82"/>
      <c r="C42" s="1234"/>
      <c r="D42" s="1258"/>
      <c r="E42" s="84" t="str">
        <f>'Terms and Turnovers'!$T$12</f>
        <v>ORIGINALS</v>
      </c>
      <c r="F42" s="120">
        <f>$R42*G42</f>
        <v>0</v>
      </c>
      <c r="G42" s="723"/>
      <c r="H42" s="120">
        <f>$R42*I42</f>
        <v>0</v>
      </c>
      <c r="I42" s="69">
        <v>0</v>
      </c>
      <c r="J42" s="120">
        <f>$R42*K42</f>
        <v>0</v>
      </c>
      <c r="K42" s="69">
        <v>0</v>
      </c>
      <c r="L42" s="120">
        <f>$R42*M42</f>
        <v>0</v>
      </c>
      <c r="M42" s="69">
        <v>0</v>
      </c>
      <c r="N42" s="315">
        <f>$R42*O42</f>
        <v>0</v>
      </c>
      <c r="O42" s="69">
        <v>0</v>
      </c>
      <c r="P42" s="120">
        <f>$R42*Q42</f>
        <v>0</v>
      </c>
      <c r="Q42" s="69">
        <v>0</v>
      </c>
      <c r="R42" s="88">
        <f>'Terms and Turnovers'!U21</f>
        <v>0</v>
      </c>
      <c r="S42" s="161">
        <f t="shared" si="0"/>
        <v>0</v>
      </c>
      <c r="T42" s="120">
        <f>$AF42*U42</f>
        <v>0</v>
      </c>
      <c r="U42" s="69">
        <v>0</v>
      </c>
      <c r="V42" s="120">
        <f>$AF42*W42</f>
        <v>0</v>
      </c>
      <c r="W42" s="69">
        <v>0</v>
      </c>
      <c r="X42" s="120">
        <f>$AF42*Y42</f>
        <v>0</v>
      </c>
      <c r="Y42" s="69">
        <v>0</v>
      </c>
      <c r="Z42" s="120">
        <f>$AF42*AA42</f>
        <v>0</v>
      </c>
      <c r="AA42" s="69">
        <v>0</v>
      </c>
      <c r="AB42" s="315">
        <f>$AF42*AC42</f>
        <v>0</v>
      </c>
      <c r="AC42" s="69">
        <v>0</v>
      </c>
      <c r="AD42" s="120">
        <f>$AF42*AE42</f>
        <v>0</v>
      </c>
      <c r="AE42" s="69">
        <v>0</v>
      </c>
      <c r="AF42" s="88">
        <f>'Terms and Turnovers'!Z21</f>
        <v>0</v>
      </c>
      <c r="AG42" s="161">
        <f t="shared" si="2"/>
        <v>0</v>
      </c>
      <c r="AH42" s="158">
        <f t="shared" si="3"/>
        <v>0</v>
      </c>
      <c r="AI42" s="134">
        <f t="shared" si="4"/>
        <v>0</v>
      </c>
      <c r="AJ42" s="65"/>
      <c r="AL42" s="461">
        <f>SUM(F42,H42,J42,L42,N42,P42,T42,V42,X42,Z42,AB42,AD42)</f>
        <v>0</v>
      </c>
      <c r="AM42" s="462">
        <f>AL42-AH42</f>
        <v>0</v>
      </c>
      <c r="AO42" s="692"/>
      <c r="AP42" s="692"/>
      <c r="AV42" s="56"/>
    </row>
    <row r="43" spans="1:48" ht="13.5" customHeight="1" outlineLevel="1" thickBot="1">
      <c r="A43" s="73"/>
      <c r="B43" s="82"/>
      <c r="C43" s="1234"/>
      <c r="D43" s="1258"/>
      <c r="E43" s="84" t="str">
        <f>'Terms and Turnovers'!$AD$12</f>
        <v>ACCESSORIES</v>
      </c>
      <c r="F43" s="120">
        <f>$R43*G43</f>
        <v>0</v>
      </c>
      <c r="G43" s="723"/>
      <c r="H43" s="120">
        <f>$R43*I43</f>
        <v>0</v>
      </c>
      <c r="I43" s="69">
        <v>0</v>
      </c>
      <c r="J43" s="120">
        <f>$R43*K43</f>
        <v>0</v>
      </c>
      <c r="K43" s="69">
        <v>0</v>
      </c>
      <c r="L43" s="120">
        <f>$R43*M43</f>
        <v>0</v>
      </c>
      <c r="M43" s="69">
        <v>0</v>
      </c>
      <c r="N43" s="315">
        <f>$R43*O43</f>
        <v>0</v>
      </c>
      <c r="O43" s="69">
        <v>0</v>
      </c>
      <c r="P43" s="120">
        <f>$R43*Q43</f>
        <v>0</v>
      </c>
      <c r="Q43" s="69">
        <v>0</v>
      </c>
      <c r="R43" s="88">
        <f>'Terms and Turnovers'!AE21</f>
        <v>0</v>
      </c>
      <c r="S43" s="161">
        <f t="shared" si="0"/>
        <v>0</v>
      </c>
      <c r="T43" s="120">
        <f>$AF43*U43</f>
        <v>0</v>
      </c>
      <c r="U43" s="69">
        <v>0</v>
      </c>
      <c r="V43" s="120">
        <f>$AF43*W43</f>
        <v>0</v>
      </c>
      <c r="W43" s="69">
        <v>0</v>
      </c>
      <c r="X43" s="120">
        <f>$AF43*Y43</f>
        <v>0</v>
      </c>
      <c r="Y43" s="69">
        <v>0</v>
      </c>
      <c r="Z43" s="120">
        <f>$AF43*AA43</f>
        <v>0</v>
      </c>
      <c r="AA43" s="69">
        <v>0</v>
      </c>
      <c r="AB43" s="315">
        <f>$AF43*AC43</f>
        <v>0</v>
      </c>
      <c r="AC43" s="69">
        <v>0</v>
      </c>
      <c r="AD43" s="120">
        <f>$AF43*AE43</f>
        <v>0</v>
      </c>
      <c r="AE43" s="69">
        <v>0</v>
      </c>
      <c r="AF43" s="88">
        <f>'Terms and Turnovers'!AJ21</f>
        <v>0</v>
      </c>
      <c r="AG43" s="161">
        <f t="shared" si="2"/>
        <v>0</v>
      </c>
      <c r="AH43" s="158">
        <f t="shared" si="3"/>
        <v>0</v>
      </c>
      <c r="AI43" s="134">
        <f t="shared" si="4"/>
        <v>0</v>
      </c>
      <c r="AJ43" s="65"/>
      <c r="AL43" s="461">
        <f>SUM(F43,H43,J43,L43,N43,P43,T43,V43,X43,Z43,AB43,AD43)</f>
        <v>0</v>
      </c>
      <c r="AM43" s="462">
        <f>AL43-AH43</f>
        <v>0</v>
      </c>
      <c r="AO43" s="692"/>
      <c r="AP43" s="692"/>
      <c r="AV43" s="56"/>
    </row>
    <row r="44" spans="1:48" ht="13.5" customHeight="1" outlineLevel="1" thickBot="1">
      <c r="A44" s="73"/>
      <c r="B44" s="82"/>
      <c r="C44" s="1234"/>
      <c r="D44" s="1258"/>
      <c r="E44" s="84">
        <f>'Terms and Turnovers'!$AN$12</f>
        <v>0</v>
      </c>
      <c r="F44" s="120">
        <f>$R44*G44</f>
        <v>0</v>
      </c>
      <c r="G44" s="723"/>
      <c r="H44" s="120">
        <f>$R44*I44</f>
        <v>0</v>
      </c>
      <c r="I44" s="69">
        <v>0</v>
      </c>
      <c r="J44" s="120">
        <f>$R44*K44</f>
        <v>0</v>
      </c>
      <c r="K44" s="69">
        <v>0</v>
      </c>
      <c r="L44" s="120">
        <f>$R44*M44</f>
        <v>0</v>
      </c>
      <c r="M44" s="69">
        <v>0</v>
      </c>
      <c r="N44" s="315">
        <f>$R44*O44</f>
        <v>0</v>
      </c>
      <c r="O44" s="69">
        <v>0</v>
      </c>
      <c r="P44" s="120">
        <f>$R44*Q44</f>
        <v>0</v>
      </c>
      <c r="Q44" s="69">
        <v>0</v>
      </c>
      <c r="R44" s="88">
        <f>'Terms and Turnovers'!AO21</f>
        <v>0</v>
      </c>
      <c r="S44" s="161">
        <f t="shared" si="0"/>
        <v>0</v>
      </c>
      <c r="T44" s="120">
        <f>$AF44*U44</f>
        <v>0</v>
      </c>
      <c r="U44" s="69">
        <v>0</v>
      </c>
      <c r="V44" s="120">
        <f>$AF44*W44</f>
        <v>0</v>
      </c>
      <c r="W44" s="69">
        <v>0</v>
      </c>
      <c r="X44" s="120">
        <f>$AF44*Y44</f>
        <v>0</v>
      </c>
      <c r="Y44" s="69">
        <v>0</v>
      </c>
      <c r="Z44" s="120">
        <f>$AF44*AA44</f>
        <v>0</v>
      </c>
      <c r="AA44" s="69">
        <v>0</v>
      </c>
      <c r="AB44" s="315">
        <f>$AF44*AC44</f>
        <v>0</v>
      </c>
      <c r="AC44" s="69">
        <v>0</v>
      </c>
      <c r="AD44" s="120">
        <f>$AF44*AE44</f>
        <v>0</v>
      </c>
      <c r="AE44" s="69">
        <v>0</v>
      </c>
      <c r="AF44" s="88">
        <f>'Terms and Turnovers'!AT21</f>
        <v>0</v>
      </c>
      <c r="AG44" s="161">
        <f t="shared" si="2"/>
        <v>0</v>
      </c>
      <c r="AH44" s="158">
        <f t="shared" si="3"/>
        <v>0</v>
      </c>
      <c r="AI44" s="134">
        <f t="shared" si="4"/>
        <v>0</v>
      </c>
      <c r="AJ44" s="65"/>
      <c r="AL44" s="461">
        <f>SUM(F44,H44,J44,L44,N44,P44,T44,V44,X44,Z44,AB44,AD44)</f>
        <v>0</v>
      </c>
      <c r="AM44" s="462">
        <f>AL44-AH44</f>
        <v>0</v>
      </c>
      <c r="AO44" s="692"/>
      <c r="AP44" s="692"/>
      <c r="AV44" s="56"/>
    </row>
    <row r="45" spans="1:48" ht="13.5" customHeight="1" outlineLevel="1" thickBot="1">
      <c r="A45" s="73"/>
      <c r="B45" s="82"/>
      <c r="C45" s="1235"/>
      <c r="D45" s="1259"/>
      <c r="E45" s="85">
        <f>'Terms and Turnovers'!$AX$12</f>
        <v>0</v>
      </c>
      <c r="F45" s="121">
        <f>$R45*G45</f>
        <v>0</v>
      </c>
      <c r="G45" s="72"/>
      <c r="H45" s="121">
        <f>$R45*I45</f>
        <v>0</v>
      </c>
      <c r="I45" s="69">
        <v>0</v>
      </c>
      <c r="J45" s="121">
        <f>$R45*K45</f>
        <v>0</v>
      </c>
      <c r="K45" s="69">
        <v>0</v>
      </c>
      <c r="L45" s="121">
        <f>$R45*M45</f>
        <v>0</v>
      </c>
      <c r="M45" s="69">
        <v>0</v>
      </c>
      <c r="N45" s="316">
        <f>$R45*O45</f>
        <v>0</v>
      </c>
      <c r="O45" s="69">
        <v>0</v>
      </c>
      <c r="P45" s="121">
        <f>$R45*Q45</f>
        <v>0</v>
      </c>
      <c r="Q45" s="69">
        <v>0</v>
      </c>
      <c r="R45" s="89">
        <f>'Terms and Turnovers'!AY21</f>
        <v>0</v>
      </c>
      <c r="S45" s="162">
        <f t="shared" si="0"/>
        <v>0</v>
      </c>
      <c r="T45" s="121">
        <f>$AF45*U45</f>
        <v>0</v>
      </c>
      <c r="U45" s="69">
        <v>0</v>
      </c>
      <c r="V45" s="121">
        <f>$AF45*W45</f>
        <v>0</v>
      </c>
      <c r="W45" s="69">
        <v>0</v>
      </c>
      <c r="X45" s="121">
        <f>$AF45*Y45</f>
        <v>0</v>
      </c>
      <c r="Y45" s="69">
        <v>0</v>
      </c>
      <c r="Z45" s="121">
        <f>$AF45*AA45</f>
        <v>0</v>
      </c>
      <c r="AA45" s="69">
        <v>0</v>
      </c>
      <c r="AB45" s="316">
        <f>$AF45*AC45</f>
        <v>0</v>
      </c>
      <c r="AC45" s="69">
        <v>0</v>
      </c>
      <c r="AD45" s="121">
        <f>$AF45*AE45</f>
        <v>0</v>
      </c>
      <c r="AE45" s="69">
        <v>0</v>
      </c>
      <c r="AF45" s="89">
        <f>'Terms and Turnovers'!BD21</f>
        <v>0</v>
      </c>
      <c r="AG45" s="162">
        <f t="shared" si="2"/>
        <v>0</v>
      </c>
      <c r="AH45" s="159">
        <f t="shared" si="3"/>
        <v>0</v>
      </c>
      <c r="AI45" s="137">
        <f t="shared" si="4"/>
        <v>0</v>
      </c>
      <c r="AJ45" s="65"/>
      <c r="AL45" s="461">
        <f>SUM(F45,H45,J45,L45,N45,P45,T45,V45,X45,Z45,AB45,AD45)</f>
        <v>0</v>
      </c>
      <c r="AM45" s="462">
        <f>AL45-AH45</f>
        <v>0</v>
      </c>
      <c r="AO45" s="692"/>
      <c r="AP45" s="692"/>
      <c r="AV45" s="56"/>
    </row>
    <row r="46" spans="1:48" ht="13.5" customHeight="1" outlineLevel="1" thickBot="1">
      <c r="A46" s="119"/>
      <c r="B46" s="82"/>
      <c r="C46" s="425" t="s">
        <v>388</v>
      </c>
      <c r="D46" s="1084" t="str">
        <f>D41</f>
        <v>ИП Кузнецова  Мария Павловна</v>
      </c>
      <c r="E46" s="426"/>
      <c r="F46" s="427">
        <f>SUM(F41:F45)</f>
        <v>0</v>
      </c>
      <c r="G46" s="428"/>
      <c r="H46" s="427">
        <f>SUM(H41:H45)</f>
        <v>0</v>
      </c>
      <c r="I46" s="69"/>
      <c r="J46" s="427">
        <f>SUM(J41:J45)</f>
        <v>0</v>
      </c>
      <c r="K46" s="69"/>
      <c r="L46" s="427">
        <f>SUM(L41:L45)</f>
        <v>61735.499999999993</v>
      </c>
      <c r="M46" s="69"/>
      <c r="N46" s="427">
        <f>SUM(N41:N45)</f>
        <v>61735.499999999993</v>
      </c>
      <c r="O46" s="69"/>
      <c r="P46" s="427">
        <f>SUM(P41:P45)</f>
        <v>0</v>
      </c>
      <c r="Q46" s="69"/>
      <c r="R46" s="429"/>
      <c r="S46" s="430"/>
      <c r="T46" s="427">
        <f>SUM(T41:T45)</f>
        <v>0</v>
      </c>
      <c r="U46" s="428"/>
      <c r="V46" s="427">
        <f>SUM(V41:V45)</f>
        <v>0</v>
      </c>
      <c r="W46" s="69"/>
      <c r="X46" s="427">
        <f>SUM(X41:X45)</f>
        <v>0</v>
      </c>
      <c r="Y46" s="69"/>
      <c r="Z46" s="427">
        <f>SUM(Z41:Z45)</f>
        <v>0</v>
      </c>
      <c r="AA46" s="69"/>
      <c r="AB46" s="427">
        <f>SUM(AB41:AB45)</f>
        <v>0</v>
      </c>
      <c r="AC46" s="69"/>
      <c r="AD46" s="427">
        <f>SUM(AD41:AD45)</f>
        <v>0</v>
      </c>
      <c r="AE46" s="69"/>
      <c r="AF46" s="429"/>
      <c r="AG46" s="430"/>
      <c r="AH46" s="431"/>
      <c r="AI46" s="432"/>
      <c r="AJ46" s="65"/>
      <c r="AO46" s="692"/>
      <c r="AP46" s="692"/>
      <c r="AV46" s="56"/>
    </row>
    <row r="47" spans="1:48" ht="13.5" customHeight="1" outlineLevel="1" thickBot="1">
      <c r="A47" s="119"/>
      <c r="B47" s="82"/>
      <c r="C47" s="1098" t="s">
        <v>484</v>
      </c>
      <c r="D47" s="770" t="str">
        <f>D41</f>
        <v>ИП Кузнецова  Мария Павловна</v>
      </c>
      <c r="E47" s="426"/>
      <c r="F47" s="700"/>
      <c r="G47" s="428"/>
      <c r="H47" s="700"/>
      <c r="I47" s="69"/>
      <c r="J47" s="700"/>
      <c r="K47" s="69"/>
      <c r="L47" s="700">
        <f>L46</f>
        <v>61735.499999999993</v>
      </c>
      <c r="M47" s="69"/>
      <c r="N47" s="700">
        <f>N46</f>
        <v>61735.499999999993</v>
      </c>
      <c r="O47" s="69"/>
      <c r="P47" s="700"/>
      <c r="Q47" s="69"/>
      <c r="R47" s="429"/>
      <c r="S47" s="430"/>
      <c r="T47" s="700"/>
      <c r="U47" s="428">
        <f>Q46</f>
        <v>0</v>
      </c>
      <c r="V47" s="700"/>
      <c r="W47" s="69">
        <f>S46</f>
        <v>0</v>
      </c>
      <c r="X47" s="700"/>
      <c r="Y47" s="69"/>
      <c r="Z47" s="700"/>
      <c r="AA47" s="69"/>
      <c r="AB47" s="700"/>
      <c r="AC47" s="69"/>
      <c r="AD47" s="700"/>
      <c r="AE47" s="69"/>
      <c r="AF47" s="429"/>
      <c r="AG47" s="430"/>
      <c r="AH47" s="431"/>
      <c r="AI47" s="432"/>
      <c r="AJ47" s="65"/>
      <c r="AN47" s="742">
        <v>0</v>
      </c>
      <c r="AO47" s="742">
        <v>0</v>
      </c>
      <c r="AP47" s="742"/>
      <c r="AQ47" s="693">
        <v>0.15</v>
      </c>
      <c r="AR47" s="696"/>
      <c r="AS47" s="716">
        <f>SUM(AL41:AL45)</f>
        <v>123470.99999999999</v>
      </c>
      <c r="AT47" s="461">
        <f>F47+H47+J47+L47+N47+P47+T47+V47+X47+Z47+AB47+AD47</f>
        <v>123470.99999999999</v>
      </c>
      <c r="AU47" s="745">
        <f>AT47-AS47</f>
        <v>0</v>
      </c>
      <c r="AV47" s="462">
        <f>AT47/AS47</f>
        <v>1</v>
      </c>
    </row>
    <row r="48" spans="1:48" ht="13.5" customHeight="1" outlineLevel="1" thickBot="1">
      <c r="A48" s="73"/>
      <c r="B48" s="82">
        <f>B41+1</f>
        <v>7</v>
      </c>
      <c r="C48" s="1233">
        <f>'Terms and Turnovers'!C22</f>
        <v>0</v>
      </c>
      <c r="D48" s="1233" t="str">
        <f>'Terms and Turnovers'!D22</f>
        <v>ИП Щербакова Полина Леонидовна</v>
      </c>
      <c r="E48" s="83" t="str">
        <f>'Terms and Turnovers'!$J$12</f>
        <v>FLIP-FLOPS</v>
      </c>
      <c r="F48" s="118">
        <f>$R48*G48</f>
        <v>0</v>
      </c>
      <c r="G48" s="69">
        <v>0</v>
      </c>
      <c r="H48" s="314">
        <f>$R48*I48</f>
        <v>0</v>
      </c>
      <c r="I48" s="69">
        <v>0</v>
      </c>
      <c r="J48" s="118">
        <f>$R48*K48</f>
        <v>0</v>
      </c>
      <c r="K48" s="69">
        <v>0</v>
      </c>
      <c r="L48" s="314">
        <f>$R48*M48</f>
        <v>91460</v>
      </c>
      <c r="M48" s="69">
        <v>0.5</v>
      </c>
      <c r="N48" s="314">
        <f>$R48*O48</f>
        <v>54876</v>
      </c>
      <c r="O48" s="69">
        <v>0.3</v>
      </c>
      <c r="P48" s="118">
        <f>$R48*Q48</f>
        <v>36584</v>
      </c>
      <c r="Q48" s="69">
        <v>0.2</v>
      </c>
      <c r="R48" s="87">
        <f>'Terms and Turnovers'!K22</f>
        <v>182920</v>
      </c>
      <c r="S48" s="160">
        <f t="shared" si="0"/>
        <v>1</v>
      </c>
      <c r="T48" s="118">
        <f>$AF48*U48</f>
        <v>0</v>
      </c>
      <c r="U48" s="69">
        <v>0</v>
      </c>
      <c r="V48" s="314">
        <f>$AF48*W48</f>
        <v>0</v>
      </c>
      <c r="W48" s="69">
        <v>0</v>
      </c>
      <c r="X48" s="118">
        <f>$AF48*Y48</f>
        <v>0</v>
      </c>
      <c r="Y48" s="69">
        <v>0</v>
      </c>
      <c r="Z48" s="314">
        <f>$AF48*AA48</f>
        <v>0</v>
      </c>
      <c r="AA48" s="69">
        <v>0</v>
      </c>
      <c r="AB48" s="314">
        <f>$AF48*AC48</f>
        <v>0</v>
      </c>
      <c r="AC48" s="69">
        <v>0</v>
      </c>
      <c r="AD48" s="118">
        <f>$AF48*AE48</f>
        <v>0</v>
      </c>
      <c r="AE48" s="69">
        <v>0</v>
      </c>
      <c r="AF48" s="87">
        <f>'Terms and Turnovers'!P22</f>
        <v>0</v>
      </c>
      <c r="AG48" s="160">
        <f t="shared" si="2"/>
        <v>0</v>
      </c>
      <c r="AH48" s="157">
        <f t="shared" si="3"/>
        <v>182920</v>
      </c>
      <c r="AI48" s="131">
        <f t="shared" si="4"/>
        <v>1</v>
      </c>
      <c r="AJ48" s="65"/>
      <c r="AL48" s="461">
        <f>SUM(F48,H48,J48,L48,N48,P48,T48,V48,X48,Z48,AB48,AD48)</f>
        <v>182920</v>
      </c>
      <c r="AM48" s="462">
        <f>AL48-AH48</f>
        <v>0</v>
      </c>
      <c r="AO48" s="692"/>
      <c r="AP48" s="692"/>
      <c r="AV48" s="56"/>
    </row>
    <row r="49" spans="1:49" ht="13.5" customHeight="1" outlineLevel="1" thickBot="1">
      <c r="A49" s="73"/>
      <c r="B49" s="82"/>
      <c r="C49" s="1234"/>
      <c r="D49" s="1234"/>
      <c r="E49" s="84" t="str">
        <f>'Terms and Turnovers'!$T$12</f>
        <v>ORIGINALS</v>
      </c>
      <c r="F49" s="120">
        <f>$R49*G49</f>
        <v>0</v>
      </c>
      <c r="G49" s="723"/>
      <c r="H49" s="120">
        <f>$R49*I49</f>
        <v>0</v>
      </c>
      <c r="I49" s="69">
        <v>0</v>
      </c>
      <c r="J49" s="120">
        <f>$R49*K49</f>
        <v>0</v>
      </c>
      <c r="K49" s="69">
        <v>0</v>
      </c>
      <c r="L49" s="120">
        <f>$R49*M49</f>
        <v>0</v>
      </c>
      <c r="M49" s="69">
        <v>0</v>
      </c>
      <c r="N49" s="315">
        <f>$R49*O49</f>
        <v>0</v>
      </c>
      <c r="O49" s="69">
        <v>0</v>
      </c>
      <c r="P49" s="120">
        <f>$R49*Q49</f>
        <v>0</v>
      </c>
      <c r="Q49" s="69">
        <v>0</v>
      </c>
      <c r="R49" s="88">
        <f>'Terms and Turnovers'!U22</f>
        <v>0</v>
      </c>
      <c r="S49" s="161">
        <f t="shared" si="0"/>
        <v>0</v>
      </c>
      <c r="T49" s="120">
        <f>$AF49*U49</f>
        <v>0</v>
      </c>
      <c r="U49" s="69">
        <v>0</v>
      </c>
      <c r="V49" s="120">
        <f>$AF49*W49</f>
        <v>0</v>
      </c>
      <c r="W49" s="69">
        <v>0</v>
      </c>
      <c r="X49" s="120">
        <f>$AF49*Y49</f>
        <v>0</v>
      </c>
      <c r="Y49" s="69">
        <v>0</v>
      </c>
      <c r="Z49" s="120">
        <f>$AF49*AA49</f>
        <v>0</v>
      </c>
      <c r="AA49" s="69">
        <v>0</v>
      </c>
      <c r="AB49" s="315">
        <f>$AF49*AC49</f>
        <v>0</v>
      </c>
      <c r="AC49" s="69">
        <v>0</v>
      </c>
      <c r="AD49" s="120">
        <f>$AF49*AE49</f>
        <v>0</v>
      </c>
      <c r="AE49" s="69">
        <v>0</v>
      </c>
      <c r="AF49" s="88">
        <f>'Terms and Turnovers'!Z22</f>
        <v>0</v>
      </c>
      <c r="AG49" s="161">
        <f t="shared" si="2"/>
        <v>0</v>
      </c>
      <c r="AH49" s="158">
        <f t="shared" si="3"/>
        <v>0</v>
      </c>
      <c r="AI49" s="134">
        <f t="shared" si="4"/>
        <v>0</v>
      </c>
      <c r="AJ49" s="65"/>
      <c r="AL49" s="461">
        <f>SUM(F49,H49,J49,L49,N49,P49,T49,V49,X49,Z49,AB49,AD49)</f>
        <v>0</v>
      </c>
      <c r="AM49" s="462">
        <f>AL49-AH49</f>
        <v>0</v>
      </c>
      <c r="AO49" s="692"/>
      <c r="AP49" s="692"/>
      <c r="AV49" s="56"/>
    </row>
    <row r="50" spans="1:49" ht="13.5" customHeight="1" outlineLevel="1" thickBot="1">
      <c r="A50" s="73"/>
      <c r="B50" s="82"/>
      <c r="C50" s="1234"/>
      <c r="D50" s="1234"/>
      <c r="E50" s="84" t="str">
        <f>'Terms and Turnovers'!$AD$12</f>
        <v>ACCESSORIES</v>
      </c>
      <c r="F50" s="120">
        <f>$R50*G50</f>
        <v>0</v>
      </c>
      <c r="G50" s="723"/>
      <c r="H50" s="120">
        <f>$R50*I50</f>
        <v>0</v>
      </c>
      <c r="I50" s="69">
        <v>0</v>
      </c>
      <c r="J50" s="120">
        <f>$R50*K50</f>
        <v>0</v>
      </c>
      <c r="K50" s="69">
        <v>0</v>
      </c>
      <c r="L50" s="120">
        <f>$R50*M50</f>
        <v>0</v>
      </c>
      <c r="M50" s="69">
        <v>0</v>
      </c>
      <c r="N50" s="315">
        <f>$R50*O50</f>
        <v>0</v>
      </c>
      <c r="O50" s="69">
        <v>0</v>
      </c>
      <c r="P50" s="120">
        <f>$R50*Q50</f>
        <v>0</v>
      </c>
      <c r="Q50" s="69">
        <v>0</v>
      </c>
      <c r="R50" s="88">
        <f>'Terms and Turnovers'!AE22</f>
        <v>0</v>
      </c>
      <c r="S50" s="161">
        <f t="shared" si="0"/>
        <v>0</v>
      </c>
      <c r="T50" s="120">
        <f>$AF50*U50</f>
        <v>0</v>
      </c>
      <c r="U50" s="69">
        <v>0</v>
      </c>
      <c r="V50" s="120">
        <f>$AF50*W50</f>
        <v>0</v>
      </c>
      <c r="W50" s="69">
        <v>0</v>
      </c>
      <c r="X50" s="120">
        <f>$AF50*Y50</f>
        <v>0</v>
      </c>
      <c r="Y50" s="69">
        <v>0</v>
      </c>
      <c r="Z50" s="120">
        <f>$AF50*AA50</f>
        <v>0</v>
      </c>
      <c r="AA50" s="69">
        <v>0</v>
      </c>
      <c r="AB50" s="315">
        <f>$AF50*AC50</f>
        <v>0</v>
      </c>
      <c r="AC50" s="69">
        <v>0</v>
      </c>
      <c r="AD50" s="120">
        <f>$AF50*AE50</f>
        <v>0</v>
      </c>
      <c r="AE50" s="69">
        <v>0</v>
      </c>
      <c r="AF50" s="88">
        <f>'Terms and Turnovers'!AJ22</f>
        <v>0</v>
      </c>
      <c r="AG50" s="161">
        <f t="shared" si="2"/>
        <v>0</v>
      </c>
      <c r="AH50" s="158">
        <f t="shared" si="3"/>
        <v>0</v>
      </c>
      <c r="AI50" s="134">
        <f t="shared" si="4"/>
        <v>0</v>
      </c>
      <c r="AJ50" s="65"/>
      <c r="AL50" s="461">
        <f>SUM(F50,H50,J50,L50,N50,P50,T50,V50,X50,Z50,AB50,AD50)</f>
        <v>0</v>
      </c>
      <c r="AM50" s="462">
        <f>AL50-AH50</f>
        <v>0</v>
      </c>
      <c r="AO50" s="692"/>
      <c r="AP50" s="692"/>
      <c r="AV50" s="56"/>
    </row>
    <row r="51" spans="1:49" ht="13.5" customHeight="1" outlineLevel="1" thickBot="1">
      <c r="A51" s="73"/>
      <c r="B51" s="82"/>
      <c r="C51" s="1234"/>
      <c r="D51" s="1234"/>
      <c r="E51" s="84">
        <f>'Terms and Turnovers'!$AN$12</f>
        <v>0</v>
      </c>
      <c r="F51" s="120">
        <f>$R51*G51</f>
        <v>0</v>
      </c>
      <c r="G51" s="723"/>
      <c r="H51" s="120">
        <f>$R51*I51</f>
        <v>0</v>
      </c>
      <c r="I51" s="69">
        <v>0</v>
      </c>
      <c r="J51" s="120">
        <f>$R51*K51</f>
        <v>0</v>
      </c>
      <c r="K51" s="69">
        <v>0</v>
      </c>
      <c r="L51" s="120">
        <f>$R51*M51</f>
        <v>0</v>
      </c>
      <c r="M51" s="69">
        <v>0</v>
      </c>
      <c r="N51" s="315">
        <f>$R51*O51</f>
        <v>0</v>
      </c>
      <c r="O51" s="69">
        <v>0</v>
      </c>
      <c r="P51" s="120">
        <f>$R51*Q51</f>
        <v>0</v>
      </c>
      <c r="Q51" s="69">
        <v>0</v>
      </c>
      <c r="R51" s="88">
        <f>'Terms and Turnovers'!AO22</f>
        <v>0</v>
      </c>
      <c r="S51" s="161">
        <f t="shared" si="0"/>
        <v>0</v>
      </c>
      <c r="T51" s="120">
        <f>$AF51*U51</f>
        <v>0</v>
      </c>
      <c r="U51" s="69">
        <v>0</v>
      </c>
      <c r="V51" s="120">
        <f>$AF51*W51</f>
        <v>0</v>
      </c>
      <c r="W51" s="69">
        <v>0</v>
      </c>
      <c r="X51" s="120">
        <f>$AF51*Y51</f>
        <v>0</v>
      </c>
      <c r="Y51" s="69">
        <v>0</v>
      </c>
      <c r="Z51" s="120">
        <f>$AF51*AA51</f>
        <v>0</v>
      </c>
      <c r="AA51" s="69">
        <v>0</v>
      </c>
      <c r="AB51" s="315">
        <f>$AF51*AC51</f>
        <v>0</v>
      </c>
      <c r="AC51" s="69">
        <v>0</v>
      </c>
      <c r="AD51" s="120">
        <f>$AF51*AE51</f>
        <v>0</v>
      </c>
      <c r="AE51" s="69">
        <v>0</v>
      </c>
      <c r="AF51" s="88">
        <f>'Terms and Turnovers'!AT22</f>
        <v>0</v>
      </c>
      <c r="AG51" s="161">
        <f t="shared" si="2"/>
        <v>0</v>
      </c>
      <c r="AH51" s="158">
        <f t="shared" si="3"/>
        <v>0</v>
      </c>
      <c r="AI51" s="134">
        <f t="shared" si="4"/>
        <v>0</v>
      </c>
      <c r="AJ51" s="65"/>
      <c r="AL51" s="461">
        <f>SUM(F51,H51,J51,L51,N51,P51,T51,V51,X51,Z51,AB51,AD51)</f>
        <v>0</v>
      </c>
      <c r="AM51" s="462">
        <f>AL51-AH51</f>
        <v>0</v>
      </c>
      <c r="AO51" s="692"/>
      <c r="AP51" s="692"/>
      <c r="AV51" s="56"/>
    </row>
    <row r="52" spans="1:49" ht="13.5" customHeight="1" outlineLevel="1" thickBot="1">
      <c r="A52" s="73"/>
      <c r="B52" s="82"/>
      <c r="C52" s="1235"/>
      <c r="D52" s="1235"/>
      <c r="E52" s="85">
        <f>'Terms and Turnovers'!$AX$12</f>
        <v>0</v>
      </c>
      <c r="F52" s="121">
        <f>$R52*G52</f>
        <v>0</v>
      </c>
      <c r="G52" s="72"/>
      <c r="H52" s="121">
        <f>$R52*I52</f>
        <v>0</v>
      </c>
      <c r="I52" s="69">
        <v>0</v>
      </c>
      <c r="J52" s="121">
        <f>$R52*K52</f>
        <v>0</v>
      </c>
      <c r="K52" s="69">
        <v>0</v>
      </c>
      <c r="L52" s="121">
        <f>$R52*M52</f>
        <v>0</v>
      </c>
      <c r="M52" s="69">
        <v>0</v>
      </c>
      <c r="N52" s="316">
        <f>$R52*O52</f>
        <v>0</v>
      </c>
      <c r="O52" s="69">
        <v>0</v>
      </c>
      <c r="P52" s="121">
        <f>$R52*Q52</f>
        <v>0</v>
      </c>
      <c r="Q52" s="69">
        <v>0</v>
      </c>
      <c r="R52" s="89">
        <f>'Terms and Turnovers'!AY22</f>
        <v>0</v>
      </c>
      <c r="S52" s="162">
        <f t="shared" si="0"/>
        <v>0</v>
      </c>
      <c r="T52" s="121">
        <f>$AF52*U52</f>
        <v>0</v>
      </c>
      <c r="U52" s="69">
        <v>0</v>
      </c>
      <c r="V52" s="121">
        <f>$AF52*W52</f>
        <v>0</v>
      </c>
      <c r="W52" s="69">
        <v>0</v>
      </c>
      <c r="X52" s="121">
        <f>$AF52*Y52</f>
        <v>0</v>
      </c>
      <c r="Y52" s="69">
        <v>0</v>
      </c>
      <c r="Z52" s="121">
        <f>$AF52*AA52</f>
        <v>0</v>
      </c>
      <c r="AA52" s="69">
        <v>0</v>
      </c>
      <c r="AB52" s="316">
        <f>$AF52*AC52</f>
        <v>0</v>
      </c>
      <c r="AC52" s="69">
        <v>0</v>
      </c>
      <c r="AD52" s="121">
        <f>$AF52*AE52</f>
        <v>0</v>
      </c>
      <c r="AE52" s="69">
        <v>0</v>
      </c>
      <c r="AF52" s="89">
        <f>'Terms and Turnovers'!BD22</f>
        <v>0</v>
      </c>
      <c r="AG52" s="162">
        <f t="shared" si="2"/>
        <v>0</v>
      </c>
      <c r="AH52" s="159">
        <f t="shared" si="3"/>
        <v>0</v>
      </c>
      <c r="AI52" s="137">
        <f t="shared" si="4"/>
        <v>0</v>
      </c>
      <c r="AJ52" s="65"/>
      <c r="AL52" s="461">
        <f>SUM(F52,H52,J52,L52,N52,P52,T52,V52,X52,Z52,AB52,AD52)</f>
        <v>0</v>
      </c>
      <c r="AM52" s="462">
        <f>AL52-AH52</f>
        <v>0</v>
      </c>
      <c r="AO52" s="692"/>
      <c r="AP52" s="692"/>
      <c r="AS52" s="941"/>
      <c r="AV52" s="56"/>
    </row>
    <row r="53" spans="1:49" ht="13.5" customHeight="1" outlineLevel="1" thickBot="1">
      <c r="A53" s="119"/>
      <c r="B53" s="82"/>
      <c r="C53" s="425" t="s">
        <v>388</v>
      </c>
      <c r="D53" s="425" t="str">
        <f>D48</f>
        <v>ИП Щербакова Полина Леонидовна</v>
      </c>
      <c r="E53" s="426"/>
      <c r="F53" s="427">
        <f>SUM(F48:F52)</f>
        <v>0</v>
      </c>
      <c r="G53" s="428"/>
      <c r="H53" s="427">
        <f>SUM(H48:H52)</f>
        <v>0</v>
      </c>
      <c r="I53" s="69"/>
      <c r="J53" s="427">
        <f>SUM(J48:J52)</f>
        <v>0</v>
      </c>
      <c r="K53" s="69"/>
      <c r="L53" s="427">
        <f>SUM(L48:L52)</f>
        <v>91460</v>
      </c>
      <c r="M53" s="69"/>
      <c r="N53" s="427">
        <f>SUM(N48:N52)</f>
        <v>54876</v>
      </c>
      <c r="O53" s="69"/>
      <c r="P53" s="427">
        <f>SUM(P48:P52)</f>
        <v>36584</v>
      </c>
      <c r="Q53" s="69"/>
      <c r="R53" s="429"/>
      <c r="S53" s="430"/>
      <c r="T53" s="427">
        <f>SUM(T48:T52)</f>
        <v>0</v>
      </c>
      <c r="U53" s="428"/>
      <c r="V53" s="427">
        <f>SUM(V48:V52)</f>
        <v>0</v>
      </c>
      <c r="W53" s="69"/>
      <c r="X53" s="427">
        <f>SUM(X48:X52)</f>
        <v>0</v>
      </c>
      <c r="Y53" s="69"/>
      <c r="Z53" s="427">
        <f>SUM(Z48:Z52)</f>
        <v>0</v>
      </c>
      <c r="AA53" s="69"/>
      <c r="AB53" s="427">
        <f>SUM(AB48:AB52)</f>
        <v>0</v>
      </c>
      <c r="AC53" s="69"/>
      <c r="AD53" s="427">
        <f>SUM(AD48:AD52)</f>
        <v>0</v>
      </c>
      <c r="AE53" s="69"/>
      <c r="AF53" s="429"/>
      <c r="AG53" s="430"/>
      <c r="AH53" s="431"/>
      <c r="AI53" s="432"/>
      <c r="AJ53" s="65"/>
      <c r="AO53" s="692"/>
      <c r="AP53" s="692"/>
      <c r="AS53" s="360"/>
      <c r="AT53" s="360"/>
      <c r="AV53" s="56"/>
    </row>
    <row r="54" spans="1:49" ht="13.5" customHeight="1" outlineLevel="1" thickBot="1">
      <c r="A54" s="119"/>
      <c r="B54" s="82"/>
      <c r="C54" s="1098" t="s">
        <v>484</v>
      </c>
      <c r="D54" s="433" t="str">
        <f>D48</f>
        <v>ИП Щербакова Полина Леонидовна</v>
      </c>
      <c r="E54" s="426"/>
      <c r="F54" s="700"/>
      <c r="G54" s="428"/>
      <c r="H54" s="700"/>
      <c r="I54" s="69"/>
      <c r="J54" s="700"/>
      <c r="K54" s="847"/>
      <c r="L54" s="700"/>
      <c r="M54" s="847"/>
      <c r="N54" s="700"/>
      <c r="O54" s="847"/>
      <c r="P54" s="700"/>
      <c r="Q54" s="69"/>
      <c r="R54" s="429"/>
      <c r="S54" s="430"/>
      <c r="T54" s="700">
        <f>L53</f>
        <v>91460</v>
      </c>
      <c r="U54" s="846"/>
      <c r="V54" s="700">
        <f>N53</f>
        <v>54876</v>
      </c>
      <c r="W54" s="847"/>
      <c r="X54" s="700">
        <f>P53</f>
        <v>36584</v>
      </c>
      <c r="Y54" s="847"/>
      <c r="Z54" s="700"/>
      <c r="AA54" s="847"/>
      <c r="AB54" s="700"/>
      <c r="AC54" s="69"/>
      <c r="AD54" s="700"/>
      <c r="AE54" s="69"/>
      <c r="AF54" s="429"/>
      <c r="AG54" s="430"/>
      <c r="AH54" s="431"/>
      <c r="AI54" s="432"/>
      <c r="AJ54" s="65"/>
      <c r="AN54" s="742">
        <f>SUM(AF48:AF52)*AQ54</f>
        <v>0</v>
      </c>
      <c r="AO54" s="742">
        <f>SUM(R48:R52)*AQ54</f>
        <v>0</v>
      </c>
      <c r="AP54" s="742">
        <v>0</v>
      </c>
      <c r="AQ54" s="693">
        <v>0</v>
      </c>
      <c r="AR54" s="696"/>
      <c r="AS54" s="716">
        <f>SUM(AL48:AL52)</f>
        <v>182920</v>
      </c>
      <c r="AT54" s="461">
        <f>F54+H54+J54+L54+N54+P54+T54+V54+X54+Z54+AB54+AD54</f>
        <v>182920</v>
      </c>
      <c r="AU54" s="745">
        <f>AT54-AS54</f>
        <v>0</v>
      </c>
      <c r="AV54" s="462" t="e">
        <f>AT54/AP54</f>
        <v>#DIV/0!</v>
      </c>
    </row>
    <row r="55" spans="1:49" ht="13.5" customHeight="1" outlineLevel="1" thickBot="1">
      <c r="A55" s="73"/>
      <c r="B55" s="82">
        <f>B48+1</f>
        <v>8</v>
      </c>
      <c r="C55" s="1233">
        <f>'Terms and Turnovers'!C23</f>
        <v>0</v>
      </c>
      <c r="D55" s="1254" t="str">
        <f>'Terms and Turnovers'!D23</f>
        <v>ЭРГО СПОРТ ООО</v>
      </c>
      <c r="E55" s="83" t="str">
        <f>'Terms and Turnovers'!$J$12</f>
        <v>FLIP-FLOPS</v>
      </c>
      <c r="F55" s="118">
        <f>$R55*G55</f>
        <v>0</v>
      </c>
      <c r="G55" s="69"/>
      <c r="H55" s="314">
        <f>$R55*I55</f>
        <v>0</v>
      </c>
      <c r="I55" s="69">
        <v>0</v>
      </c>
      <c r="J55" s="118">
        <f>$R55*K55</f>
        <v>0</v>
      </c>
      <c r="K55" s="69">
        <v>0</v>
      </c>
      <c r="L55" s="314">
        <f>$R55*M55</f>
        <v>102892.49999999999</v>
      </c>
      <c r="M55" s="69">
        <v>0.5</v>
      </c>
      <c r="N55" s="314">
        <f>$R55*O55</f>
        <v>61735.499999999985</v>
      </c>
      <c r="O55" s="69">
        <v>0.3</v>
      </c>
      <c r="P55" s="118">
        <f>$R55*Q55</f>
        <v>41157</v>
      </c>
      <c r="Q55" s="69">
        <v>0.2</v>
      </c>
      <c r="R55" s="87">
        <f>'Terms and Turnovers'!K23</f>
        <v>205784.99999999997</v>
      </c>
      <c r="S55" s="160">
        <f t="shared" si="0"/>
        <v>1</v>
      </c>
      <c r="T55" s="118">
        <f>$AF55*U55</f>
        <v>0</v>
      </c>
      <c r="U55" s="69">
        <v>0</v>
      </c>
      <c r="V55" s="314">
        <f>$AF55*W55</f>
        <v>0</v>
      </c>
      <c r="W55" s="69">
        <v>0</v>
      </c>
      <c r="X55" s="118">
        <f>$AF55*Y55</f>
        <v>0</v>
      </c>
      <c r="Y55" s="69">
        <v>0</v>
      </c>
      <c r="Z55" s="314">
        <f>$AF55*AA55</f>
        <v>0</v>
      </c>
      <c r="AA55" s="69">
        <v>0</v>
      </c>
      <c r="AB55" s="314">
        <f>$AF55*AC55</f>
        <v>0</v>
      </c>
      <c r="AC55" s="69">
        <v>0</v>
      </c>
      <c r="AD55" s="118">
        <f>$AF55*AE55</f>
        <v>0</v>
      </c>
      <c r="AE55" s="69">
        <v>0</v>
      </c>
      <c r="AF55" s="87">
        <f>'Terms and Turnovers'!P23</f>
        <v>0</v>
      </c>
      <c r="AG55" s="160">
        <f t="shared" si="2"/>
        <v>0</v>
      </c>
      <c r="AH55" s="157">
        <f t="shared" si="3"/>
        <v>205784.99999999997</v>
      </c>
      <c r="AI55" s="131">
        <f t="shared" si="4"/>
        <v>1</v>
      </c>
      <c r="AJ55" s="65"/>
      <c r="AL55" s="461">
        <f>SUM(F55,H55,J55,L55,N55,P55,T55,V55,X55,Z55,AB55,AD55)</f>
        <v>205784.99999999997</v>
      </c>
      <c r="AM55" s="462">
        <f>AL55-AH55</f>
        <v>0</v>
      </c>
      <c r="AO55" s="692"/>
      <c r="AP55" s="692"/>
      <c r="AV55" s="56"/>
    </row>
    <row r="56" spans="1:49" ht="13.5" customHeight="1" outlineLevel="1" thickBot="1">
      <c r="A56" s="73"/>
      <c r="B56" s="82"/>
      <c r="C56" s="1234"/>
      <c r="D56" s="1255"/>
      <c r="E56" s="84" t="str">
        <f>'Terms and Turnovers'!$T$12</f>
        <v>ORIGINALS</v>
      </c>
      <c r="F56" s="120">
        <f>$R56*G56</f>
        <v>0</v>
      </c>
      <c r="G56" s="723"/>
      <c r="H56" s="120">
        <f>$R56*I56</f>
        <v>0</v>
      </c>
      <c r="I56" s="69">
        <v>0</v>
      </c>
      <c r="J56" s="120">
        <f>$R56*K56</f>
        <v>0</v>
      </c>
      <c r="K56" s="69">
        <v>0</v>
      </c>
      <c r="L56" s="120">
        <f>$R56*M56</f>
        <v>0</v>
      </c>
      <c r="M56" s="69">
        <v>0</v>
      </c>
      <c r="N56" s="315">
        <f>$R56*O56</f>
        <v>0</v>
      </c>
      <c r="O56" s="69">
        <v>0</v>
      </c>
      <c r="P56" s="120">
        <f>$R56*Q56</f>
        <v>0</v>
      </c>
      <c r="Q56" s="69">
        <v>0</v>
      </c>
      <c r="R56" s="88">
        <f>'Terms and Turnovers'!U23</f>
        <v>0</v>
      </c>
      <c r="S56" s="161">
        <f t="shared" si="0"/>
        <v>0</v>
      </c>
      <c r="T56" s="120">
        <f>$AF56*U56</f>
        <v>0</v>
      </c>
      <c r="U56" s="69">
        <v>0</v>
      </c>
      <c r="V56" s="120">
        <f>$AF56*W56</f>
        <v>0</v>
      </c>
      <c r="W56" s="69">
        <v>0</v>
      </c>
      <c r="X56" s="120">
        <f>$AF56*Y56</f>
        <v>0</v>
      </c>
      <c r="Y56" s="69">
        <v>0</v>
      </c>
      <c r="Z56" s="120">
        <f>$AF56*AA56</f>
        <v>0</v>
      </c>
      <c r="AA56" s="69">
        <v>0</v>
      </c>
      <c r="AB56" s="315">
        <f>$AF56*AC56</f>
        <v>0</v>
      </c>
      <c r="AC56" s="69">
        <v>0</v>
      </c>
      <c r="AD56" s="120">
        <f>$AF56*AE56</f>
        <v>0</v>
      </c>
      <c r="AE56" s="69">
        <v>0</v>
      </c>
      <c r="AF56" s="88">
        <f>'Terms and Turnovers'!Z23</f>
        <v>0</v>
      </c>
      <c r="AG56" s="161">
        <f t="shared" si="2"/>
        <v>0</v>
      </c>
      <c r="AH56" s="158">
        <f t="shared" si="3"/>
        <v>0</v>
      </c>
      <c r="AI56" s="134">
        <f t="shared" si="4"/>
        <v>0</v>
      </c>
      <c r="AJ56" s="65"/>
      <c r="AL56" s="461">
        <f>SUM(F56,H56,J56,L56,N56,P56,T56,V56,X56,Z56,AB56,AD56)</f>
        <v>0</v>
      </c>
      <c r="AM56" s="462">
        <f>AL56-AH56</f>
        <v>0</v>
      </c>
      <c r="AO56" s="692"/>
      <c r="AP56" s="692"/>
      <c r="AV56" s="56"/>
    </row>
    <row r="57" spans="1:49" ht="13.5" customHeight="1" outlineLevel="1" thickBot="1">
      <c r="A57" s="73"/>
      <c r="B57" s="82"/>
      <c r="C57" s="1234"/>
      <c r="D57" s="1255"/>
      <c r="E57" s="84" t="str">
        <f>'Terms and Turnovers'!$AD$12</f>
        <v>ACCESSORIES</v>
      </c>
      <c r="F57" s="120">
        <f>$R57*G57</f>
        <v>0</v>
      </c>
      <c r="G57" s="723"/>
      <c r="H57" s="120">
        <f>$R57*I57</f>
        <v>0</v>
      </c>
      <c r="I57" s="69">
        <v>0</v>
      </c>
      <c r="J57" s="120">
        <f>$R57*K57</f>
        <v>0</v>
      </c>
      <c r="K57" s="69">
        <v>0</v>
      </c>
      <c r="L57" s="120">
        <f>$R57*M57</f>
        <v>0</v>
      </c>
      <c r="M57" s="69">
        <v>0</v>
      </c>
      <c r="N57" s="315">
        <f>$R57*O57</f>
        <v>0</v>
      </c>
      <c r="O57" s="69">
        <v>0</v>
      </c>
      <c r="P57" s="120">
        <f>$R57*Q57</f>
        <v>0</v>
      </c>
      <c r="Q57" s="69">
        <v>0</v>
      </c>
      <c r="R57" s="88">
        <f>'Terms and Turnovers'!AE23</f>
        <v>0</v>
      </c>
      <c r="S57" s="161">
        <f t="shared" si="0"/>
        <v>0</v>
      </c>
      <c r="T57" s="120">
        <f>$AF57*U57</f>
        <v>0</v>
      </c>
      <c r="U57" s="69">
        <v>0</v>
      </c>
      <c r="V57" s="120">
        <f>$AF57*W57</f>
        <v>0</v>
      </c>
      <c r="W57" s="69">
        <v>0</v>
      </c>
      <c r="X57" s="120">
        <f>$AF57*Y57</f>
        <v>0</v>
      </c>
      <c r="Y57" s="69">
        <v>0</v>
      </c>
      <c r="Z57" s="120">
        <f>$AF57*AA57</f>
        <v>0</v>
      </c>
      <c r="AA57" s="69">
        <v>0</v>
      </c>
      <c r="AB57" s="315">
        <f>$AF57*AC57</f>
        <v>0</v>
      </c>
      <c r="AC57" s="69">
        <v>0</v>
      </c>
      <c r="AD57" s="120">
        <f>$AF57*AE57</f>
        <v>0</v>
      </c>
      <c r="AE57" s="69">
        <v>0</v>
      </c>
      <c r="AF57" s="88">
        <f>'Terms and Turnovers'!AJ23</f>
        <v>0</v>
      </c>
      <c r="AG57" s="161">
        <f t="shared" si="2"/>
        <v>0</v>
      </c>
      <c r="AH57" s="158">
        <f t="shared" si="3"/>
        <v>0</v>
      </c>
      <c r="AI57" s="134">
        <f t="shared" si="4"/>
        <v>0</v>
      </c>
      <c r="AJ57" s="65"/>
      <c r="AL57" s="461">
        <f>SUM(F57,H57,J57,L57,N57,P57,T57,V57,X57,Z57,AB57,AD57)</f>
        <v>0</v>
      </c>
      <c r="AM57" s="462">
        <f>AL57-AH57</f>
        <v>0</v>
      </c>
      <c r="AO57" s="692"/>
      <c r="AP57" s="692"/>
      <c r="AV57" s="56"/>
    </row>
    <row r="58" spans="1:49" ht="13.5" customHeight="1" outlineLevel="1" thickBot="1">
      <c r="A58" s="73"/>
      <c r="B58" s="82"/>
      <c r="C58" s="1234"/>
      <c r="D58" s="1255"/>
      <c r="E58" s="84">
        <f>'Terms and Turnovers'!$AN$12</f>
        <v>0</v>
      </c>
      <c r="F58" s="120">
        <f>$R58*G58</f>
        <v>0</v>
      </c>
      <c r="G58" s="723"/>
      <c r="H58" s="120">
        <f>$R58*I58</f>
        <v>0</v>
      </c>
      <c r="I58" s="69">
        <v>0</v>
      </c>
      <c r="J58" s="120">
        <f>$R58*K58</f>
        <v>0</v>
      </c>
      <c r="K58" s="69">
        <v>0</v>
      </c>
      <c r="L58" s="120">
        <f>$R58*M58</f>
        <v>0</v>
      </c>
      <c r="M58" s="69">
        <v>0</v>
      </c>
      <c r="N58" s="315">
        <f>$R58*O58</f>
        <v>0</v>
      </c>
      <c r="O58" s="69">
        <v>0</v>
      </c>
      <c r="P58" s="120">
        <f>$R58*Q58</f>
        <v>0</v>
      </c>
      <c r="Q58" s="69">
        <v>0</v>
      </c>
      <c r="R58" s="88">
        <f>'Terms and Turnovers'!AO23</f>
        <v>0</v>
      </c>
      <c r="S58" s="161">
        <f t="shared" si="0"/>
        <v>0</v>
      </c>
      <c r="T58" s="120">
        <f>$AF58*U58</f>
        <v>0</v>
      </c>
      <c r="U58" s="69">
        <v>0</v>
      </c>
      <c r="V58" s="120">
        <f>$AF58*W58</f>
        <v>0</v>
      </c>
      <c r="W58" s="69">
        <v>0</v>
      </c>
      <c r="X58" s="120">
        <f>$AF58*Y58</f>
        <v>0</v>
      </c>
      <c r="Y58" s="69">
        <v>0</v>
      </c>
      <c r="Z58" s="120">
        <f>$AF58*AA58</f>
        <v>0</v>
      </c>
      <c r="AA58" s="69">
        <v>0</v>
      </c>
      <c r="AB58" s="315">
        <f>$AF58*AC58</f>
        <v>0</v>
      </c>
      <c r="AC58" s="69">
        <v>0</v>
      </c>
      <c r="AD58" s="120">
        <f>$AF58*AE58</f>
        <v>0</v>
      </c>
      <c r="AE58" s="69">
        <v>0</v>
      </c>
      <c r="AF58" s="88">
        <f>'Terms and Turnovers'!AT23</f>
        <v>0</v>
      </c>
      <c r="AG58" s="161">
        <f t="shared" si="2"/>
        <v>0</v>
      </c>
      <c r="AH58" s="158">
        <f t="shared" si="3"/>
        <v>0</v>
      </c>
      <c r="AI58" s="134">
        <f t="shared" si="4"/>
        <v>0</v>
      </c>
      <c r="AJ58" s="65"/>
      <c r="AL58" s="461">
        <f>SUM(F58,H58,J58,L58,N58,P58,T58,V58,X58,Z58,AB58,AD58)</f>
        <v>0</v>
      </c>
      <c r="AM58" s="462">
        <f>AL58-AH58</f>
        <v>0</v>
      </c>
      <c r="AO58" s="692"/>
      <c r="AP58" s="692"/>
      <c r="AV58" s="56"/>
    </row>
    <row r="59" spans="1:49" ht="13.5" customHeight="1" outlineLevel="1" thickBot="1">
      <c r="A59" s="73"/>
      <c r="B59" s="82"/>
      <c r="C59" s="1235"/>
      <c r="D59" s="1256"/>
      <c r="E59" s="85">
        <f>'Terms and Turnovers'!$AX$12</f>
        <v>0</v>
      </c>
      <c r="F59" s="121">
        <f>$R59*G59</f>
        <v>0</v>
      </c>
      <c r="G59" s="72"/>
      <c r="H59" s="121">
        <f>$R59*I59</f>
        <v>0</v>
      </c>
      <c r="I59" s="69">
        <v>0</v>
      </c>
      <c r="J59" s="121">
        <f>$R59*K59</f>
        <v>0</v>
      </c>
      <c r="K59" s="69">
        <v>0</v>
      </c>
      <c r="L59" s="121">
        <f>$R59*M59</f>
        <v>0</v>
      </c>
      <c r="M59" s="69">
        <v>0</v>
      </c>
      <c r="N59" s="316">
        <f>$R59*O59</f>
        <v>0</v>
      </c>
      <c r="O59" s="69">
        <v>0</v>
      </c>
      <c r="P59" s="121">
        <f>$R59*Q59</f>
        <v>0</v>
      </c>
      <c r="Q59" s="69">
        <v>0</v>
      </c>
      <c r="R59" s="89">
        <f>'Terms and Turnovers'!AY23</f>
        <v>0</v>
      </c>
      <c r="S59" s="162">
        <f t="shared" si="0"/>
        <v>0</v>
      </c>
      <c r="T59" s="121">
        <f>$AF59*U59</f>
        <v>0</v>
      </c>
      <c r="U59" s="69">
        <v>0</v>
      </c>
      <c r="V59" s="121">
        <f>$AF59*W59</f>
        <v>0</v>
      </c>
      <c r="W59" s="69">
        <v>0</v>
      </c>
      <c r="X59" s="121">
        <f>$AF59*Y59</f>
        <v>0</v>
      </c>
      <c r="Y59" s="69">
        <v>0</v>
      </c>
      <c r="Z59" s="121">
        <f>$AF59*AA59</f>
        <v>0</v>
      </c>
      <c r="AA59" s="69">
        <v>0</v>
      </c>
      <c r="AB59" s="316">
        <f>$AF59*AC59</f>
        <v>0</v>
      </c>
      <c r="AC59" s="69">
        <v>0</v>
      </c>
      <c r="AD59" s="121">
        <f>$AF59*AE59</f>
        <v>0</v>
      </c>
      <c r="AE59" s="69">
        <v>0</v>
      </c>
      <c r="AF59" s="89">
        <f>'Terms and Turnovers'!BD23</f>
        <v>0</v>
      </c>
      <c r="AG59" s="162">
        <f t="shared" si="2"/>
        <v>0</v>
      </c>
      <c r="AH59" s="159">
        <f t="shared" si="3"/>
        <v>0</v>
      </c>
      <c r="AI59" s="137">
        <f t="shared" si="4"/>
        <v>0</v>
      </c>
      <c r="AJ59" s="65"/>
      <c r="AL59" s="461">
        <f>SUM(F59,H59,J59,L59,N59,P59,T59,V59,X59,Z59,AB59,AD59)</f>
        <v>0</v>
      </c>
      <c r="AM59" s="462">
        <f>AL59-AH59</f>
        <v>0</v>
      </c>
      <c r="AO59" s="692"/>
      <c r="AP59" s="692"/>
      <c r="AV59" s="56"/>
    </row>
    <row r="60" spans="1:49" ht="13.5" customHeight="1" outlineLevel="1" thickBot="1">
      <c r="A60" s="119"/>
      <c r="B60" s="82"/>
      <c r="C60" s="425" t="s">
        <v>388</v>
      </c>
      <c r="D60" s="425" t="str">
        <f>D55</f>
        <v>ЭРГО СПОРТ ООО</v>
      </c>
      <c r="E60" s="426"/>
      <c r="F60" s="427">
        <f>SUM(F55:F59)</f>
        <v>0</v>
      </c>
      <c r="G60" s="428"/>
      <c r="H60" s="427">
        <f>SUM(H55:H59)</f>
        <v>0</v>
      </c>
      <c r="I60" s="69"/>
      <c r="J60" s="427">
        <f>SUM(J55:J59)</f>
        <v>0</v>
      </c>
      <c r="K60" s="69"/>
      <c r="L60" s="427">
        <f>SUM(L55:L59)</f>
        <v>102892.49999999999</v>
      </c>
      <c r="M60" s="69"/>
      <c r="N60" s="427">
        <f>SUM(N55:N59)</f>
        <v>61735.499999999985</v>
      </c>
      <c r="O60" s="69"/>
      <c r="P60" s="427">
        <f>SUM(P55:P59)</f>
        <v>41157</v>
      </c>
      <c r="Q60" s="69"/>
      <c r="R60" s="429"/>
      <c r="S60" s="430"/>
      <c r="T60" s="427">
        <f>SUM(T55:T59)</f>
        <v>0</v>
      </c>
      <c r="U60" s="428"/>
      <c r="V60" s="427">
        <f>SUM(V55:V59)</f>
        <v>0</v>
      </c>
      <c r="W60" s="69"/>
      <c r="X60" s="427">
        <f>SUM(X55:X59)</f>
        <v>0</v>
      </c>
      <c r="Y60" s="69"/>
      <c r="Z60" s="427">
        <f>SUM(Z55:Z59)</f>
        <v>0</v>
      </c>
      <c r="AA60" s="69"/>
      <c r="AB60" s="427">
        <f>SUM(AB55:AB59)</f>
        <v>0</v>
      </c>
      <c r="AC60" s="69"/>
      <c r="AD60" s="427">
        <f>SUM(AD55:AD59)</f>
        <v>0</v>
      </c>
      <c r="AE60" s="69"/>
      <c r="AF60" s="429"/>
      <c r="AG60" s="430"/>
      <c r="AH60" s="431"/>
      <c r="AI60" s="432"/>
      <c r="AJ60" s="65"/>
      <c r="AO60" s="692"/>
      <c r="AP60" s="692"/>
      <c r="AV60" s="56"/>
    </row>
    <row r="61" spans="1:49" ht="13.5" customHeight="1" outlineLevel="1" thickBot="1">
      <c r="A61" s="119"/>
      <c r="B61" s="82"/>
      <c r="C61" s="1098" t="s">
        <v>484</v>
      </c>
      <c r="D61" s="433" t="str">
        <f>D55</f>
        <v>ЭРГО СПОРТ ООО</v>
      </c>
      <c r="E61" s="426"/>
      <c r="F61" s="700"/>
      <c r="G61" s="428"/>
      <c r="H61" s="700"/>
      <c r="I61" s="69"/>
      <c r="J61" s="700"/>
      <c r="K61" s="69"/>
      <c r="L61" s="700">
        <f>L60</f>
        <v>102892.49999999999</v>
      </c>
      <c r="M61" s="69"/>
      <c r="N61" s="700">
        <f>N60</f>
        <v>61735.499999999985</v>
      </c>
      <c r="O61" s="69"/>
      <c r="P61" s="700">
        <f>P60</f>
        <v>41157</v>
      </c>
      <c r="Q61" s="69"/>
      <c r="R61" s="429"/>
      <c r="S61" s="430"/>
      <c r="T61" s="700"/>
      <c r="U61" s="428">
        <f>Q60</f>
        <v>0</v>
      </c>
      <c r="V61" s="700"/>
      <c r="W61" s="69">
        <f>S60</f>
        <v>0</v>
      </c>
      <c r="X61" s="700"/>
      <c r="Y61" s="69">
        <f>U60</f>
        <v>0</v>
      </c>
      <c r="Z61" s="700"/>
      <c r="AA61" s="69">
        <f>W60</f>
        <v>0</v>
      </c>
      <c r="AB61" s="700"/>
      <c r="AC61" s="69">
        <f>Y60</f>
        <v>0</v>
      </c>
      <c r="AD61" s="700"/>
      <c r="AE61" s="69"/>
      <c r="AF61" s="429"/>
      <c r="AG61" s="430"/>
      <c r="AH61" s="431"/>
      <c r="AI61" s="432"/>
      <c r="AJ61" s="65"/>
      <c r="AN61" s="742">
        <f>SUM(AF55:AF59)*AQ61</f>
        <v>0</v>
      </c>
      <c r="AO61" s="742">
        <f>SUM(R55:R59)*AQ61</f>
        <v>0</v>
      </c>
      <c r="AP61" s="742"/>
      <c r="AQ61" s="693">
        <v>0</v>
      </c>
      <c r="AS61" s="716">
        <f>SUM(AL55:AL59)</f>
        <v>205784.99999999997</v>
      </c>
      <c r="AT61" s="461">
        <f>F61+H61+J61+L61+N61+P61+T61+V61+X61+Z61+AB61+AD61</f>
        <v>205784.99999999997</v>
      </c>
      <c r="AU61" s="745">
        <f>AT61-AS61</f>
        <v>0</v>
      </c>
      <c r="AV61" s="462">
        <f>AT61/AS61</f>
        <v>1</v>
      </c>
      <c r="AW61" s="693"/>
    </row>
    <row r="62" spans="1:49" ht="13.5" customHeight="1" outlineLevel="1" thickBot="1">
      <c r="A62" s="73"/>
      <c r="B62" s="82">
        <f>B55+1</f>
        <v>9</v>
      </c>
      <c r="C62" s="1233">
        <f>'Terms and Turnovers'!C24</f>
        <v>0</v>
      </c>
      <c r="D62" s="1233" t="str">
        <f>'Terms and Turnovers'!D24</f>
        <v>Торговый дом ЦУМ ОАО</v>
      </c>
      <c r="E62" s="83" t="str">
        <f>'Terms and Turnovers'!$J$12</f>
        <v>FLIP-FLOPS</v>
      </c>
      <c r="F62" s="118">
        <f>$R62*G62</f>
        <v>0</v>
      </c>
      <c r="G62" s="69"/>
      <c r="H62" s="314">
        <f>$R62*I62</f>
        <v>0</v>
      </c>
      <c r="I62" s="69">
        <v>0</v>
      </c>
      <c r="J62" s="118">
        <f>$R62*K62</f>
        <v>0</v>
      </c>
      <c r="K62" s="69">
        <v>0</v>
      </c>
      <c r="L62" s="314">
        <f>$R62*M62</f>
        <v>292672</v>
      </c>
      <c r="M62" s="69">
        <v>1</v>
      </c>
      <c r="N62" s="314">
        <f>$R62*O62</f>
        <v>0</v>
      </c>
      <c r="O62" s="69">
        <v>0</v>
      </c>
      <c r="P62" s="118">
        <f>$R62*Q62</f>
        <v>0</v>
      </c>
      <c r="Q62" s="69">
        <v>0</v>
      </c>
      <c r="R62" s="87">
        <f>'Terms and Turnovers'!K24</f>
        <v>292672</v>
      </c>
      <c r="S62" s="160">
        <f t="shared" si="0"/>
        <v>1</v>
      </c>
      <c r="T62" s="118">
        <f>$AF62*U62</f>
        <v>0</v>
      </c>
      <c r="U62" s="69">
        <v>0</v>
      </c>
      <c r="V62" s="314">
        <f>$AF62*W62</f>
        <v>0</v>
      </c>
      <c r="W62" s="69">
        <v>0</v>
      </c>
      <c r="X62" s="118">
        <f>$AF62*Y62</f>
        <v>0</v>
      </c>
      <c r="Y62" s="69">
        <v>0</v>
      </c>
      <c r="Z62" s="314">
        <f>$AF62*AA62</f>
        <v>0</v>
      </c>
      <c r="AA62" s="69">
        <v>0</v>
      </c>
      <c r="AB62" s="314">
        <f>$AF62*AC62</f>
        <v>0</v>
      </c>
      <c r="AC62" s="69">
        <v>0</v>
      </c>
      <c r="AD62" s="118">
        <f>$AF62*AE62</f>
        <v>0</v>
      </c>
      <c r="AE62" s="69">
        <v>0</v>
      </c>
      <c r="AF62" s="87">
        <f>'Terms and Turnovers'!P24</f>
        <v>0</v>
      </c>
      <c r="AG62" s="160">
        <f t="shared" si="2"/>
        <v>0</v>
      </c>
      <c r="AH62" s="157">
        <f t="shared" si="3"/>
        <v>292672</v>
      </c>
      <c r="AI62" s="131">
        <f t="shared" si="4"/>
        <v>1</v>
      </c>
      <c r="AJ62" s="65"/>
      <c r="AL62" s="461">
        <f>SUM(F62,H62,J62,L62,N62,P62,T62,V62,X62,Z62,AB62,AD62)</f>
        <v>292672</v>
      </c>
      <c r="AM62" s="462">
        <f>AL62-AH62</f>
        <v>0</v>
      </c>
      <c r="AO62" s="692"/>
      <c r="AP62" s="692"/>
      <c r="AV62" s="56"/>
    </row>
    <row r="63" spans="1:49" ht="13.5" customHeight="1" outlineLevel="1" thickBot="1">
      <c r="A63" s="73"/>
      <c r="B63" s="82"/>
      <c r="C63" s="1234"/>
      <c r="D63" s="1234"/>
      <c r="E63" s="84" t="str">
        <f>'Terms and Turnovers'!$T$12</f>
        <v>ORIGINALS</v>
      </c>
      <c r="F63" s="120">
        <f>$R63*G63</f>
        <v>0</v>
      </c>
      <c r="G63" s="723"/>
      <c r="H63" s="120">
        <f>$R63*I63</f>
        <v>0</v>
      </c>
      <c r="I63" s="69">
        <v>0</v>
      </c>
      <c r="J63" s="120">
        <f>$R63*K63</f>
        <v>0</v>
      </c>
      <c r="K63" s="69">
        <v>0</v>
      </c>
      <c r="L63" s="120">
        <f>$R63*M63</f>
        <v>0</v>
      </c>
      <c r="M63" s="69">
        <v>0</v>
      </c>
      <c r="N63" s="315">
        <f>$R63*O63</f>
        <v>0</v>
      </c>
      <c r="O63" s="69">
        <v>0</v>
      </c>
      <c r="P63" s="120">
        <f>$R63*Q63</f>
        <v>0</v>
      </c>
      <c r="Q63" s="69">
        <v>0</v>
      </c>
      <c r="R63" s="88">
        <f>'Terms and Turnovers'!U24</f>
        <v>0</v>
      </c>
      <c r="S63" s="161">
        <f t="shared" si="0"/>
        <v>0</v>
      </c>
      <c r="T63" s="120">
        <f>$AF63*U63</f>
        <v>0</v>
      </c>
      <c r="U63" s="69">
        <v>0</v>
      </c>
      <c r="V63" s="120">
        <f>$AF63*W63</f>
        <v>0</v>
      </c>
      <c r="W63" s="69">
        <v>0</v>
      </c>
      <c r="X63" s="120">
        <f>$AF63*Y63</f>
        <v>0</v>
      </c>
      <c r="Y63" s="69">
        <v>0</v>
      </c>
      <c r="Z63" s="120">
        <f>$AF63*AA63</f>
        <v>0</v>
      </c>
      <c r="AA63" s="69">
        <v>0</v>
      </c>
      <c r="AB63" s="315">
        <f>$AF63*AC63</f>
        <v>0</v>
      </c>
      <c r="AC63" s="69">
        <v>0</v>
      </c>
      <c r="AD63" s="120">
        <f>$AF63*AE63</f>
        <v>0</v>
      </c>
      <c r="AE63" s="69">
        <v>0</v>
      </c>
      <c r="AF63" s="88">
        <f>'Terms and Turnovers'!Z24</f>
        <v>0</v>
      </c>
      <c r="AG63" s="161">
        <f t="shared" si="2"/>
        <v>0</v>
      </c>
      <c r="AH63" s="158">
        <f t="shared" si="3"/>
        <v>0</v>
      </c>
      <c r="AI63" s="134">
        <f t="shared" si="4"/>
        <v>0</v>
      </c>
      <c r="AJ63" s="65"/>
      <c r="AL63" s="461">
        <f>SUM(F63,H63,J63,L63,N63,P63,T63,V63,X63,Z63,AB63,AD63)</f>
        <v>0</v>
      </c>
      <c r="AM63" s="462">
        <f>AL63-AH63</f>
        <v>0</v>
      </c>
      <c r="AO63" s="692"/>
      <c r="AP63" s="692"/>
      <c r="AV63" s="56"/>
    </row>
    <row r="64" spans="1:49" ht="13.5" customHeight="1" outlineLevel="1" thickBot="1">
      <c r="A64" s="73"/>
      <c r="B64" s="82"/>
      <c r="C64" s="1234"/>
      <c r="D64" s="1234"/>
      <c r="E64" s="84" t="str">
        <f>'Terms and Turnovers'!$AD$12</f>
        <v>ACCESSORIES</v>
      </c>
      <c r="F64" s="120">
        <f>$R64*G64</f>
        <v>0</v>
      </c>
      <c r="G64" s="723"/>
      <c r="H64" s="120">
        <f>$R64*I64</f>
        <v>0</v>
      </c>
      <c r="I64" s="69">
        <v>0</v>
      </c>
      <c r="J64" s="120">
        <f>$R64*K64</f>
        <v>0</v>
      </c>
      <c r="K64" s="69">
        <v>0</v>
      </c>
      <c r="L64" s="120">
        <f>$R64*M64</f>
        <v>0</v>
      </c>
      <c r="M64" s="69">
        <v>0</v>
      </c>
      <c r="N64" s="315">
        <f>$R64*O64</f>
        <v>0</v>
      </c>
      <c r="O64" s="69">
        <v>0</v>
      </c>
      <c r="P64" s="120">
        <f>$R64*Q64</f>
        <v>0</v>
      </c>
      <c r="Q64" s="69">
        <v>0</v>
      </c>
      <c r="R64" s="88">
        <f>'Terms and Turnovers'!AE24</f>
        <v>0</v>
      </c>
      <c r="S64" s="161">
        <f t="shared" si="0"/>
        <v>0</v>
      </c>
      <c r="T64" s="120">
        <f>$AF64*U64</f>
        <v>0</v>
      </c>
      <c r="U64" s="69">
        <v>0</v>
      </c>
      <c r="V64" s="120">
        <f>$AF64*W64</f>
        <v>0</v>
      </c>
      <c r="W64" s="69">
        <v>0</v>
      </c>
      <c r="X64" s="120">
        <f>$AF64*Y64</f>
        <v>0</v>
      </c>
      <c r="Y64" s="69">
        <v>0</v>
      </c>
      <c r="Z64" s="120">
        <f>$AF64*AA64</f>
        <v>0</v>
      </c>
      <c r="AA64" s="69">
        <v>0</v>
      </c>
      <c r="AB64" s="315">
        <f>$AF64*AC64</f>
        <v>0</v>
      </c>
      <c r="AC64" s="69">
        <v>0</v>
      </c>
      <c r="AD64" s="120">
        <f>$AF64*AE64</f>
        <v>0</v>
      </c>
      <c r="AE64" s="69">
        <v>0</v>
      </c>
      <c r="AF64" s="88">
        <f>'Terms and Turnovers'!AJ24</f>
        <v>0</v>
      </c>
      <c r="AG64" s="161">
        <f t="shared" si="2"/>
        <v>0</v>
      </c>
      <c r="AH64" s="158">
        <f t="shared" si="3"/>
        <v>0</v>
      </c>
      <c r="AI64" s="134">
        <f t="shared" si="4"/>
        <v>0</v>
      </c>
      <c r="AJ64" s="65"/>
      <c r="AL64" s="461">
        <f>SUM(F64,H64,J64,L64,N64,P64,T64,V64,X64,Z64,AB64,AD64)</f>
        <v>0</v>
      </c>
      <c r="AM64" s="462">
        <f>AL64-AH64</f>
        <v>0</v>
      </c>
      <c r="AO64" s="692"/>
      <c r="AP64" s="692"/>
      <c r="AV64" s="56"/>
    </row>
    <row r="65" spans="1:48" ht="13.5" customHeight="1" outlineLevel="1" thickBot="1">
      <c r="A65" s="73"/>
      <c r="B65" s="82"/>
      <c r="C65" s="1234"/>
      <c r="D65" s="1234"/>
      <c r="E65" s="84">
        <f>'Terms and Turnovers'!$AN$12</f>
        <v>0</v>
      </c>
      <c r="F65" s="120">
        <f>$R65*G65</f>
        <v>0</v>
      </c>
      <c r="G65" s="723"/>
      <c r="H65" s="120">
        <f>$R65*I65</f>
        <v>0</v>
      </c>
      <c r="I65" s="69">
        <v>0</v>
      </c>
      <c r="J65" s="120">
        <f>$R65*K65</f>
        <v>0</v>
      </c>
      <c r="K65" s="69">
        <v>0</v>
      </c>
      <c r="L65" s="120">
        <f>$R65*M65</f>
        <v>0</v>
      </c>
      <c r="M65" s="69">
        <v>0</v>
      </c>
      <c r="N65" s="315">
        <f>$R65*O65</f>
        <v>0</v>
      </c>
      <c r="O65" s="69">
        <v>0</v>
      </c>
      <c r="P65" s="120">
        <f>$R65*Q65</f>
        <v>0</v>
      </c>
      <c r="Q65" s="69">
        <v>0</v>
      </c>
      <c r="R65" s="88">
        <f>'Terms and Turnovers'!AO24</f>
        <v>0</v>
      </c>
      <c r="S65" s="161">
        <f t="shared" si="0"/>
        <v>0</v>
      </c>
      <c r="T65" s="120">
        <f>$AF65*U65</f>
        <v>0</v>
      </c>
      <c r="U65" s="69">
        <v>0</v>
      </c>
      <c r="V65" s="120">
        <f>$AF65*W65</f>
        <v>0</v>
      </c>
      <c r="W65" s="69">
        <v>0</v>
      </c>
      <c r="X65" s="120">
        <f>$AF65*Y65</f>
        <v>0</v>
      </c>
      <c r="Y65" s="69">
        <v>0</v>
      </c>
      <c r="Z65" s="120">
        <f>$AF65*AA65</f>
        <v>0</v>
      </c>
      <c r="AA65" s="69">
        <v>0</v>
      </c>
      <c r="AB65" s="315">
        <f>$AF65*AC65</f>
        <v>0</v>
      </c>
      <c r="AC65" s="69">
        <v>0</v>
      </c>
      <c r="AD65" s="120">
        <f>$AF65*AE65</f>
        <v>0</v>
      </c>
      <c r="AE65" s="69">
        <v>0</v>
      </c>
      <c r="AF65" s="88">
        <f>'Terms and Turnovers'!AT24</f>
        <v>0</v>
      </c>
      <c r="AG65" s="161">
        <f t="shared" si="2"/>
        <v>0</v>
      </c>
      <c r="AH65" s="158">
        <f t="shared" si="3"/>
        <v>0</v>
      </c>
      <c r="AI65" s="134">
        <f t="shared" si="4"/>
        <v>0</v>
      </c>
      <c r="AJ65" s="65"/>
      <c r="AL65" s="461">
        <f>SUM(F65,H65,J65,L65,N65,P65,T65,V65,X65,Z65,AB65,AD65)</f>
        <v>0</v>
      </c>
      <c r="AM65" s="462">
        <f>AL65-AH65</f>
        <v>0</v>
      </c>
      <c r="AO65" s="692"/>
      <c r="AP65" s="692"/>
      <c r="AV65" s="56"/>
    </row>
    <row r="66" spans="1:48" ht="13.5" customHeight="1" outlineLevel="1" thickBot="1">
      <c r="A66" s="73"/>
      <c r="B66" s="82"/>
      <c r="C66" s="1235"/>
      <c r="D66" s="1235"/>
      <c r="E66" s="85">
        <f>'Terms and Turnovers'!$AX$12</f>
        <v>0</v>
      </c>
      <c r="F66" s="121">
        <f>$R66*G66</f>
        <v>0</v>
      </c>
      <c r="G66" s="72"/>
      <c r="H66" s="121">
        <f>$R66*I66</f>
        <v>0</v>
      </c>
      <c r="I66" s="69">
        <v>0</v>
      </c>
      <c r="J66" s="121">
        <f>$R66*K66</f>
        <v>0</v>
      </c>
      <c r="K66" s="69">
        <v>0</v>
      </c>
      <c r="L66" s="121">
        <f>$R66*M66</f>
        <v>0</v>
      </c>
      <c r="M66" s="69">
        <v>0</v>
      </c>
      <c r="N66" s="316">
        <f>$R66*O66</f>
        <v>0</v>
      </c>
      <c r="O66" s="69">
        <v>0</v>
      </c>
      <c r="P66" s="121">
        <f>$R66*Q66</f>
        <v>0</v>
      </c>
      <c r="Q66" s="69">
        <v>0</v>
      </c>
      <c r="R66" s="89">
        <f>'Terms and Turnovers'!AY24</f>
        <v>0</v>
      </c>
      <c r="S66" s="162">
        <f t="shared" si="0"/>
        <v>0</v>
      </c>
      <c r="T66" s="121">
        <f>$AF66*U66</f>
        <v>0</v>
      </c>
      <c r="U66" s="69">
        <v>0</v>
      </c>
      <c r="V66" s="121">
        <f>$AF66*W66</f>
        <v>0</v>
      </c>
      <c r="W66" s="69">
        <v>0</v>
      </c>
      <c r="X66" s="121">
        <f>$AF66*Y66</f>
        <v>0</v>
      </c>
      <c r="Y66" s="69">
        <v>0</v>
      </c>
      <c r="Z66" s="121">
        <f>$AF66*AA66</f>
        <v>0</v>
      </c>
      <c r="AA66" s="69">
        <v>0</v>
      </c>
      <c r="AB66" s="316">
        <f>$AF66*AC66</f>
        <v>0</v>
      </c>
      <c r="AC66" s="69">
        <v>0</v>
      </c>
      <c r="AD66" s="121">
        <f>$AF66*AE66</f>
        <v>0</v>
      </c>
      <c r="AE66" s="69">
        <v>0</v>
      </c>
      <c r="AF66" s="89">
        <f>'Terms and Turnovers'!BD24</f>
        <v>0</v>
      </c>
      <c r="AG66" s="162">
        <f t="shared" si="2"/>
        <v>0</v>
      </c>
      <c r="AH66" s="159">
        <f t="shared" si="3"/>
        <v>0</v>
      </c>
      <c r="AI66" s="137">
        <f t="shared" si="4"/>
        <v>0</v>
      </c>
      <c r="AJ66" s="65"/>
      <c r="AL66" s="461">
        <f>SUM(F66,H66,J66,L66,N66,P66,T66,V66,X66,Z66,AB66,AD66)</f>
        <v>0</v>
      </c>
      <c r="AM66" s="462">
        <f>AL66-AH66</f>
        <v>0</v>
      </c>
      <c r="AO66" s="692"/>
      <c r="AP66" s="692"/>
      <c r="AV66" s="56"/>
    </row>
    <row r="67" spans="1:48" ht="13.5" customHeight="1" outlineLevel="1" thickBot="1">
      <c r="A67" s="119"/>
      <c r="B67" s="82"/>
      <c r="C67" s="425" t="s">
        <v>388</v>
      </c>
      <c r="D67" s="425" t="str">
        <f>D62</f>
        <v>Торговый дом ЦУМ ОАО</v>
      </c>
      <c r="E67" s="426"/>
      <c r="F67" s="427">
        <f>SUM(F62:F66)</f>
        <v>0</v>
      </c>
      <c r="G67" s="428"/>
      <c r="H67" s="427">
        <f>SUM(H62:H66)</f>
        <v>0</v>
      </c>
      <c r="I67" s="69"/>
      <c r="J67" s="427">
        <f>SUM(J62:J66)</f>
        <v>0</v>
      </c>
      <c r="K67" s="69"/>
      <c r="L67" s="427">
        <f>SUM(L62:L66)</f>
        <v>292672</v>
      </c>
      <c r="M67" s="69"/>
      <c r="N67" s="427">
        <f>SUM(N62:N66)</f>
        <v>0</v>
      </c>
      <c r="O67" s="69"/>
      <c r="P67" s="427">
        <f>SUM(P62:P66)</f>
        <v>0</v>
      </c>
      <c r="Q67" s="69"/>
      <c r="R67" s="429"/>
      <c r="S67" s="430"/>
      <c r="T67" s="427">
        <f>SUM(T62:T66)</f>
        <v>0</v>
      </c>
      <c r="U67" s="428"/>
      <c r="V67" s="427">
        <f>SUM(V62:V66)</f>
        <v>0</v>
      </c>
      <c r="W67" s="69"/>
      <c r="X67" s="427">
        <f>SUM(X62:X66)</f>
        <v>0</v>
      </c>
      <c r="Y67" s="69"/>
      <c r="Z67" s="427">
        <f>SUM(Z62:Z66)</f>
        <v>0</v>
      </c>
      <c r="AA67" s="69"/>
      <c r="AB67" s="427">
        <f>SUM(AB62:AB66)</f>
        <v>0</v>
      </c>
      <c r="AC67" s="69"/>
      <c r="AD67" s="427">
        <f>SUM(AD62:AD66)</f>
        <v>0</v>
      </c>
      <c r="AE67" s="69"/>
      <c r="AF67" s="429"/>
      <c r="AG67" s="430"/>
      <c r="AH67" s="431"/>
      <c r="AI67" s="432"/>
      <c r="AJ67" s="65"/>
      <c r="AO67" s="692"/>
      <c r="AP67" s="692"/>
      <c r="AV67" s="56"/>
    </row>
    <row r="68" spans="1:48" ht="13.5" customHeight="1" outlineLevel="1" thickBot="1">
      <c r="A68" s="119"/>
      <c r="B68" s="82"/>
      <c r="C68" s="1098" t="s">
        <v>484</v>
      </c>
      <c r="D68" s="433" t="str">
        <f>D62</f>
        <v>Торговый дом ЦУМ ОАО</v>
      </c>
      <c r="E68" s="426"/>
      <c r="F68" s="700"/>
      <c r="G68" s="428"/>
      <c r="H68" s="700"/>
      <c r="I68" s="69"/>
      <c r="J68" s="700"/>
      <c r="K68" s="69"/>
      <c r="L68" s="700"/>
      <c r="M68" s="69"/>
      <c r="N68" s="700"/>
      <c r="O68" s="773"/>
      <c r="P68" s="700">
        <f>L67</f>
        <v>292672</v>
      </c>
      <c r="Q68" s="69"/>
      <c r="R68" s="429"/>
      <c r="S68" s="430"/>
      <c r="T68" s="700"/>
      <c r="U68" s="428">
        <f>U62</f>
        <v>0</v>
      </c>
      <c r="V68" s="700"/>
      <c r="W68" s="69">
        <f t="shared" ref="W68:AC68" si="6">W67</f>
        <v>0</v>
      </c>
      <c r="X68" s="700"/>
      <c r="Y68" s="69">
        <f t="shared" si="6"/>
        <v>0</v>
      </c>
      <c r="Z68" s="700"/>
      <c r="AA68" s="69">
        <f t="shared" si="6"/>
        <v>0</v>
      </c>
      <c r="AB68" s="700"/>
      <c r="AC68" s="69">
        <f t="shared" si="6"/>
        <v>0</v>
      </c>
      <c r="AD68" s="700"/>
      <c r="AE68" s="69"/>
      <c r="AF68" s="429"/>
      <c r="AG68" s="430"/>
      <c r="AH68" s="431"/>
      <c r="AI68" s="432"/>
      <c r="AJ68" s="65"/>
      <c r="AN68" s="742">
        <f>SUM(AF62:AF66)*AQ68</f>
        <v>0</v>
      </c>
      <c r="AO68" s="742">
        <f>SUM(R62:R66)*AQ68</f>
        <v>0</v>
      </c>
      <c r="AP68" s="742"/>
      <c r="AQ68" s="693">
        <v>0</v>
      </c>
      <c r="AS68" s="716">
        <f>SUM(AL62:AL66)</f>
        <v>292672</v>
      </c>
      <c r="AT68" s="461">
        <f>F68+H68+J68+L68+N68+P68+T68+V68+X68+Z68+AB68+AD68</f>
        <v>292672</v>
      </c>
      <c r="AU68" s="745">
        <f>AT68-AS68</f>
        <v>0</v>
      </c>
      <c r="AV68" s="462">
        <f>AT68/AS68</f>
        <v>1</v>
      </c>
    </row>
    <row r="69" spans="1:48" ht="13.5" customHeight="1" outlineLevel="1" thickBot="1">
      <c r="A69" s="73"/>
      <c r="B69" s="82">
        <f>B62+1</f>
        <v>10</v>
      </c>
      <c r="C69" s="1233">
        <f>'Terms and Turnovers'!C25</f>
        <v>0</v>
      </c>
      <c r="D69" s="1233" t="str">
        <f>'Terms and Turnovers'!D25</f>
        <v>ОФФПРАЙС ООО</v>
      </c>
      <c r="E69" s="83" t="str">
        <f>'Terms and Turnovers'!$J$12</f>
        <v>FLIP-FLOPS</v>
      </c>
      <c r="F69" s="118">
        <f>$R69*G69</f>
        <v>0</v>
      </c>
      <c r="G69" s="69"/>
      <c r="H69" s="314">
        <f>$R69*I69</f>
        <v>0</v>
      </c>
      <c r="I69" s="69">
        <v>0</v>
      </c>
      <c r="J69" s="118">
        <f>$R69*K69</f>
        <v>0</v>
      </c>
      <c r="K69" s="69">
        <v>0</v>
      </c>
      <c r="L69" s="314">
        <f>$R69*M69</f>
        <v>0</v>
      </c>
      <c r="M69" s="69">
        <v>0</v>
      </c>
      <c r="N69" s="314">
        <f>$R69*O69</f>
        <v>0</v>
      </c>
      <c r="O69" s="69">
        <v>0</v>
      </c>
      <c r="P69" s="118">
        <f>$R69*Q69</f>
        <v>0</v>
      </c>
      <c r="Q69" s="69">
        <v>0</v>
      </c>
      <c r="R69" s="87">
        <f>'Terms and Turnovers'!K25</f>
        <v>0</v>
      </c>
      <c r="S69" s="160">
        <f t="shared" si="0"/>
        <v>0</v>
      </c>
      <c r="T69" s="118">
        <f>$AF69*U69</f>
        <v>178347</v>
      </c>
      <c r="U69" s="69">
        <v>1</v>
      </c>
      <c r="V69" s="314">
        <f>$AF69*W69</f>
        <v>0</v>
      </c>
      <c r="W69" s="69">
        <v>0</v>
      </c>
      <c r="X69" s="118">
        <f>$AF69*Y69</f>
        <v>0</v>
      </c>
      <c r="Y69" s="69">
        <v>0</v>
      </c>
      <c r="Z69" s="314">
        <f>$AF69*AA69</f>
        <v>0</v>
      </c>
      <c r="AA69" s="69">
        <v>0</v>
      </c>
      <c r="AB69" s="314">
        <f>$AF69*AC69</f>
        <v>0</v>
      </c>
      <c r="AC69" s="69">
        <v>0</v>
      </c>
      <c r="AD69" s="118">
        <f>$AF69*AE69</f>
        <v>0</v>
      </c>
      <c r="AE69" s="69">
        <v>0</v>
      </c>
      <c r="AF69" s="87">
        <f>'Terms and Turnovers'!P25</f>
        <v>178347</v>
      </c>
      <c r="AG69" s="160">
        <f t="shared" si="2"/>
        <v>1</v>
      </c>
      <c r="AH69" s="157">
        <f t="shared" si="3"/>
        <v>178347</v>
      </c>
      <c r="AI69" s="131">
        <f t="shared" si="4"/>
        <v>1</v>
      </c>
      <c r="AJ69" s="65"/>
      <c r="AL69" s="461">
        <f>SUM(F69,H69,J69,L69,N69,P69,T69,V69,X69,Z69,AB69,AD69)</f>
        <v>178347</v>
      </c>
      <c r="AM69" s="462">
        <f>AL69-AH69</f>
        <v>0</v>
      </c>
      <c r="AO69" s="692"/>
      <c r="AP69" s="692"/>
      <c r="AV69" s="56"/>
    </row>
    <row r="70" spans="1:48" ht="13.5" customHeight="1" outlineLevel="1" thickBot="1">
      <c r="A70" s="73"/>
      <c r="B70" s="82"/>
      <c r="C70" s="1234"/>
      <c r="D70" s="1234"/>
      <c r="E70" s="84" t="str">
        <f>'Terms and Turnovers'!$T$12</f>
        <v>ORIGINALS</v>
      </c>
      <c r="F70" s="120">
        <f>$R70*G70</f>
        <v>0</v>
      </c>
      <c r="G70" s="723"/>
      <c r="H70" s="120">
        <f>$R70*I70</f>
        <v>0</v>
      </c>
      <c r="I70" s="69">
        <v>0</v>
      </c>
      <c r="J70" s="120">
        <f>$R70*K70</f>
        <v>0</v>
      </c>
      <c r="K70" s="69">
        <v>0</v>
      </c>
      <c r="L70" s="120">
        <f>$R70*M70</f>
        <v>0</v>
      </c>
      <c r="M70" s="69">
        <v>0</v>
      </c>
      <c r="N70" s="315">
        <f>$R70*O70</f>
        <v>0</v>
      </c>
      <c r="O70" s="69">
        <v>0</v>
      </c>
      <c r="P70" s="120">
        <f>$R70*Q70</f>
        <v>0</v>
      </c>
      <c r="Q70" s="69">
        <v>0</v>
      </c>
      <c r="R70" s="88">
        <f>'Terms and Turnovers'!U25</f>
        <v>0</v>
      </c>
      <c r="S70" s="161">
        <f t="shared" si="0"/>
        <v>0</v>
      </c>
      <c r="T70" s="120">
        <f>$AF70*U70</f>
        <v>0</v>
      </c>
      <c r="U70" s="69">
        <v>0</v>
      </c>
      <c r="V70" s="120">
        <f>$AF70*W70</f>
        <v>0</v>
      </c>
      <c r="W70" s="69">
        <v>0</v>
      </c>
      <c r="X70" s="120">
        <f>$AF70*Y70</f>
        <v>0</v>
      </c>
      <c r="Y70" s="69">
        <v>0</v>
      </c>
      <c r="Z70" s="120">
        <f>$AF70*AA70</f>
        <v>0</v>
      </c>
      <c r="AA70" s="69">
        <v>0</v>
      </c>
      <c r="AB70" s="315">
        <f>$AF70*AC70</f>
        <v>0</v>
      </c>
      <c r="AC70" s="69">
        <v>0</v>
      </c>
      <c r="AD70" s="120">
        <f>$AF70*AE70</f>
        <v>0</v>
      </c>
      <c r="AE70" s="69">
        <v>0</v>
      </c>
      <c r="AF70" s="88">
        <f>'Terms and Turnovers'!Z25</f>
        <v>0</v>
      </c>
      <c r="AG70" s="161">
        <f t="shared" si="2"/>
        <v>0</v>
      </c>
      <c r="AH70" s="158">
        <f t="shared" si="3"/>
        <v>0</v>
      </c>
      <c r="AI70" s="134">
        <f t="shared" si="4"/>
        <v>0</v>
      </c>
      <c r="AJ70" s="65"/>
      <c r="AL70" s="461">
        <f>SUM(F70,H70,J70,L70,N70,P70,T70,V70,X70,Z70,AB70,AD70)</f>
        <v>0</v>
      </c>
      <c r="AM70" s="462">
        <f>AL70-AH70</f>
        <v>0</v>
      </c>
      <c r="AO70" s="692"/>
      <c r="AP70" s="692"/>
      <c r="AV70" s="56"/>
    </row>
    <row r="71" spans="1:48" ht="13.5" customHeight="1" outlineLevel="1" thickBot="1">
      <c r="A71" s="73"/>
      <c r="B71" s="82"/>
      <c r="C71" s="1234"/>
      <c r="D71" s="1234"/>
      <c r="E71" s="84" t="str">
        <f>'Terms and Turnovers'!$AD$12</f>
        <v>ACCESSORIES</v>
      </c>
      <c r="F71" s="120">
        <f>$R71*G71</f>
        <v>0</v>
      </c>
      <c r="G71" s="723"/>
      <c r="H71" s="120">
        <f>$R71*I71</f>
        <v>0</v>
      </c>
      <c r="I71" s="69">
        <v>0</v>
      </c>
      <c r="J71" s="120">
        <f>$R71*K71</f>
        <v>0</v>
      </c>
      <c r="K71" s="69">
        <v>0</v>
      </c>
      <c r="L71" s="120">
        <f>$R71*M71</f>
        <v>0</v>
      </c>
      <c r="M71" s="69">
        <v>0</v>
      </c>
      <c r="N71" s="315">
        <f>$R71*O71</f>
        <v>0</v>
      </c>
      <c r="O71" s="69">
        <v>0</v>
      </c>
      <c r="P71" s="120">
        <f>$R71*Q71</f>
        <v>0</v>
      </c>
      <c r="Q71" s="69">
        <v>0</v>
      </c>
      <c r="R71" s="88">
        <f>'Terms and Turnovers'!AE25</f>
        <v>0</v>
      </c>
      <c r="S71" s="161">
        <f t="shared" si="0"/>
        <v>0</v>
      </c>
      <c r="T71" s="120">
        <f>$AF71*U71</f>
        <v>0</v>
      </c>
      <c r="U71" s="69">
        <v>0</v>
      </c>
      <c r="V71" s="120">
        <f>$AF71*W71</f>
        <v>0</v>
      </c>
      <c r="W71" s="69">
        <v>0</v>
      </c>
      <c r="X71" s="120">
        <f>$AF71*Y71</f>
        <v>0</v>
      </c>
      <c r="Y71" s="69">
        <v>0</v>
      </c>
      <c r="Z71" s="120">
        <f>$AF71*AA71</f>
        <v>0</v>
      </c>
      <c r="AA71" s="69">
        <v>0</v>
      </c>
      <c r="AB71" s="315">
        <f>$AF71*AC71</f>
        <v>0</v>
      </c>
      <c r="AC71" s="69">
        <v>0</v>
      </c>
      <c r="AD71" s="120">
        <f>$AF71*AE71</f>
        <v>0</v>
      </c>
      <c r="AE71" s="69">
        <v>0</v>
      </c>
      <c r="AF71" s="88">
        <f>'Terms and Turnovers'!AJ25</f>
        <v>0</v>
      </c>
      <c r="AG71" s="161">
        <f t="shared" si="2"/>
        <v>0</v>
      </c>
      <c r="AH71" s="158">
        <f t="shared" si="3"/>
        <v>0</v>
      </c>
      <c r="AI71" s="134">
        <f t="shared" si="4"/>
        <v>0</v>
      </c>
      <c r="AJ71" s="65"/>
      <c r="AL71" s="461">
        <f>SUM(F71,H71,J71,L71,N71,P71,T71,V71,X71,Z71,AB71,AD71)</f>
        <v>0</v>
      </c>
      <c r="AM71" s="462">
        <f>AL71-AH71</f>
        <v>0</v>
      </c>
      <c r="AO71" s="692"/>
      <c r="AP71" s="692"/>
      <c r="AV71" s="56"/>
    </row>
    <row r="72" spans="1:48" ht="13.5" customHeight="1" outlineLevel="1" thickBot="1">
      <c r="A72" s="73"/>
      <c r="B72" s="82"/>
      <c r="C72" s="1234"/>
      <c r="D72" s="1234"/>
      <c r="E72" s="84">
        <f>'Terms and Turnovers'!$AN$12</f>
        <v>0</v>
      </c>
      <c r="F72" s="120">
        <f>$R72*G72</f>
        <v>0</v>
      </c>
      <c r="G72" s="723"/>
      <c r="H72" s="120">
        <f>$R72*I72</f>
        <v>0</v>
      </c>
      <c r="I72" s="69">
        <v>0</v>
      </c>
      <c r="J72" s="120">
        <f>$R72*K72</f>
        <v>0</v>
      </c>
      <c r="K72" s="69">
        <v>0</v>
      </c>
      <c r="L72" s="120">
        <f>$R72*M72</f>
        <v>0</v>
      </c>
      <c r="M72" s="69">
        <v>0</v>
      </c>
      <c r="N72" s="315">
        <f>$R72*O72</f>
        <v>0</v>
      </c>
      <c r="O72" s="69">
        <v>0</v>
      </c>
      <c r="P72" s="120">
        <f>$R72*Q72</f>
        <v>0</v>
      </c>
      <c r="Q72" s="69">
        <v>0</v>
      </c>
      <c r="R72" s="88">
        <f>'Terms and Turnovers'!AO25</f>
        <v>0</v>
      </c>
      <c r="S72" s="161">
        <f t="shared" si="0"/>
        <v>0</v>
      </c>
      <c r="T72" s="120">
        <f>$AF72*U72</f>
        <v>0</v>
      </c>
      <c r="U72" s="69">
        <v>0</v>
      </c>
      <c r="V72" s="120">
        <f>$AF72*W72</f>
        <v>0</v>
      </c>
      <c r="W72" s="69">
        <v>0</v>
      </c>
      <c r="X72" s="120">
        <f>$AF72*Y72</f>
        <v>0</v>
      </c>
      <c r="Y72" s="69">
        <v>0</v>
      </c>
      <c r="Z72" s="120">
        <f>$AF72*AA72</f>
        <v>0</v>
      </c>
      <c r="AA72" s="69">
        <v>0</v>
      </c>
      <c r="AB72" s="315">
        <f>$AF72*AC72</f>
        <v>0</v>
      </c>
      <c r="AC72" s="69">
        <v>0</v>
      </c>
      <c r="AD72" s="120">
        <f>$AF72*AE72</f>
        <v>0</v>
      </c>
      <c r="AE72" s="69">
        <v>0</v>
      </c>
      <c r="AF72" s="88">
        <f>'Terms and Turnovers'!AT25</f>
        <v>0</v>
      </c>
      <c r="AG72" s="161">
        <f t="shared" si="2"/>
        <v>0</v>
      </c>
      <c r="AH72" s="158">
        <f t="shared" si="3"/>
        <v>0</v>
      </c>
      <c r="AI72" s="134">
        <f t="shared" si="4"/>
        <v>0</v>
      </c>
      <c r="AJ72" s="65"/>
      <c r="AL72" s="461">
        <f>SUM(F72,H72,J72,L72,N72,P72,T72,V72,X72,Z72,AB72,AD72)</f>
        <v>0</v>
      </c>
      <c r="AM72" s="462">
        <f>AL72-AH72</f>
        <v>0</v>
      </c>
      <c r="AO72" s="692"/>
      <c r="AP72" s="692"/>
      <c r="AV72" s="56"/>
    </row>
    <row r="73" spans="1:48" ht="13.5" customHeight="1" outlineLevel="1" thickBot="1">
      <c r="A73" s="73"/>
      <c r="B73" s="82"/>
      <c r="C73" s="1235"/>
      <c r="D73" s="1235"/>
      <c r="E73" s="85">
        <f>'Terms and Turnovers'!$AX$12</f>
        <v>0</v>
      </c>
      <c r="F73" s="121">
        <f>$R73*G73</f>
        <v>0</v>
      </c>
      <c r="G73" s="72"/>
      <c r="H73" s="121">
        <f>$R73*I73</f>
        <v>0</v>
      </c>
      <c r="I73" s="69">
        <v>0</v>
      </c>
      <c r="J73" s="121">
        <f>$R73*K73</f>
        <v>0</v>
      </c>
      <c r="K73" s="69">
        <v>0</v>
      </c>
      <c r="L73" s="121">
        <f>$R73*M73</f>
        <v>0</v>
      </c>
      <c r="M73" s="69">
        <v>0</v>
      </c>
      <c r="N73" s="316">
        <f>$R73*O73</f>
        <v>0</v>
      </c>
      <c r="O73" s="69">
        <v>0</v>
      </c>
      <c r="P73" s="121">
        <f>$R73*Q73</f>
        <v>0</v>
      </c>
      <c r="Q73" s="69">
        <v>0</v>
      </c>
      <c r="R73" s="89">
        <f>'Terms and Turnovers'!AY25</f>
        <v>0</v>
      </c>
      <c r="S73" s="162">
        <f t="shared" si="0"/>
        <v>0</v>
      </c>
      <c r="T73" s="121">
        <f>$AF73*U73</f>
        <v>0</v>
      </c>
      <c r="U73" s="69">
        <v>0</v>
      </c>
      <c r="V73" s="121">
        <f>$AF73*W73</f>
        <v>0</v>
      </c>
      <c r="W73" s="69">
        <v>0</v>
      </c>
      <c r="X73" s="121">
        <f>$AF73*Y73</f>
        <v>0</v>
      </c>
      <c r="Y73" s="69">
        <v>0</v>
      </c>
      <c r="Z73" s="121">
        <f>$AF73*AA73</f>
        <v>0</v>
      </c>
      <c r="AA73" s="69">
        <v>0</v>
      </c>
      <c r="AB73" s="316">
        <f>$AF73*AC73</f>
        <v>0</v>
      </c>
      <c r="AC73" s="69">
        <v>0</v>
      </c>
      <c r="AD73" s="121">
        <f>$AF73*AE73</f>
        <v>0</v>
      </c>
      <c r="AE73" s="69">
        <v>0</v>
      </c>
      <c r="AF73" s="89">
        <f>'Terms and Turnovers'!BD25</f>
        <v>0</v>
      </c>
      <c r="AG73" s="162">
        <f t="shared" si="2"/>
        <v>0</v>
      </c>
      <c r="AH73" s="159">
        <f t="shared" si="3"/>
        <v>0</v>
      </c>
      <c r="AI73" s="137">
        <f t="shared" si="4"/>
        <v>0</v>
      </c>
      <c r="AJ73" s="65"/>
      <c r="AL73" s="461">
        <f>SUM(F73,H73,J73,L73,N73,P73,T73,V73,X73,Z73,AB73,AD73)</f>
        <v>0</v>
      </c>
      <c r="AM73" s="462">
        <f>AL73-AH73</f>
        <v>0</v>
      </c>
      <c r="AO73" s="692"/>
      <c r="AP73" s="692"/>
      <c r="AV73" s="56"/>
    </row>
    <row r="74" spans="1:48" ht="13.5" customHeight="1" outlineLevel="1" thickBot="1">
      <c r="A74" s="119"/>
      <c r="B74" s="82"/>
      <c r="C74" s="425" t="s">
        <v>388</v>
      </c>
      <c r="D74" s="425" t="str">
        <f>D69</f>
        <v>ОФФПРАЙС ООО</v>
      </c>
      <c r="E74" s="426"/>
      <c r="F74" s="427">
        <f>SUM(F69:F73)</f>
        <v>0</v>
      </c>
      <c r="G74" s="428"/>
      <c r="H74" s="427">
        <f>SUM(H69:H73)</f>
        <v>0</v>
      </c>
      <c r="I74" s="69"/>
      <c r="J74" s="427">
        <f>SUM(J69:J73)</f>
        <v>0</v>
      </c>
      <c r="K74" s="69"/>
      <c r="L74" s="427">
        <f>SUM(L69:L73)</f>
        <v>0</v>
      </c>
      <c r="M74" s="69"/>
      <c r="N74" s="427">
        <f>SUM(N69:N73)</f>
        <v>0</v>
      </c>
      <c r="O74" s="69"/>
      <c r="P74" s="427">
        <f>SUM(P69:P73)</f>
        <v>0</v>
      </c>
      <c r="Q74" s="69"/>
      <c r="R74" s="429"/>
      <c r="S74" s="430"/>
      <c r="T74" s="427">
        <f>SUM(T69:T73)</f>
        <v>178347</v>
      </c>
      <c r="U74" s="428"/>
      <c r="V74" s="427">
        <f>SUM(V69:V73)</f>
        <v>0</v>
      </c>
      <c r="W74" s="69"/>
      <c r="X74" s="427">
        <f>SUM(X69:X73)</f>
        <v>0</v>
      </c>
      <c r="Y74" s="69"/>
      <c r="Z74" s="427">
        <f>SUM(Z69:Z73)</f>
        <v>0</v>
      </c>
      <c r="AA74" s="69"/>
      <c r="AB74" s="427">
        <f>SUM(AB69:AB73)</f>
        <v>0</v>
      </c>
      <c r="AC74" s="69"/>
      <c r="AD74" s="427">
        <f>SUM(AD69:AD73)</f>
        <v>0</v>
      </c>
      <c r="AE74" s="69"/>
      <c r="AF74" s="429"/>
      <c r="AG74" s="430"/>
      <c r="AH74" s="431"/>
      <c r="AI74" s="432"/>
      <c r="AJ74" s="65"/>
      <c r="AO74" s="692"/>
      <c r="AP74" s="692"/>
      <c r="AV74" s="56"/>
    </row>
    <row r="75" spans="1:48" ht="13.5" customHeight="1" outlineLevel="1" thickBot="1">
      <c r="A75" s="119"/>
      <c r="B75" s="82"/>
      <c r="C75" s="1098" t="s">
        <v>484</v>
      </c>
      <c r="D75" s="433" t="str">
        <f>D69</f>
        <v>ОФФПРАЙС ООО</v>
      </c>
      <c r="E75" s="426"/>
      <c r="F75" s="700"/>
      <c r="G75" s="428"/>
      <c r="H75" s="700"/>
      <c r="I75" s="69"/>
      <c r="J75" s="700"/>
      <c r="K75" s="69"/>
      <c r="L75" s="700"/>
      <c r="M75" s="69"/>
      <c r="N75" s="700"/>
      <c r="O75" s="69"/>
      <c r="P75" s="700"/>
      <c r="Q75" s="69"/>
      <c r="R75" s="429"/>
      <c r="S75" s="430"/>
      <c r="T75" s="700">
        <f>T74</f>
        <v>178347</v>
      </c>
      <c r="U75" s="428">
        <f>Q74</f>
        <v>0</v>
      </c>
      <c r="V75" s="700"/>
      <c r="W75" s="69">
        <f>S74</f>
        <v>0</v>
      </c>
      <c r="X75" s="700"/>
      <c r="Y75" s="69">
        <f>U74</f>
        <v>0</v>
      </c>
      <c r="Z75" s="700"/>
      <c r="AA75" s="69">
        <f>W74</f>
        <v>0</v>
      </c>
      <c r="AB75" s="700"/>
      <c r="AC75" s="69">
        <f>Y74</f>
        <v>0</v>
      </c>
      <c r="AD75" s="700"/>
      <c r="AE75" s="69"/>
      <c r="AF75" s="429"/>
      <c r="AG75" s="430"/>
      <c r="AH75" s="431"/>
      <c r="AI75" s="432"/>
      <c r="AJ75" s="65"/>
      <c r="AN75" s="742">
        <f>SUM(AF69:AF73)*AQ75</f>
        <v>17834.7</v>
      </c>
      <c r="AO75" s="742">
        <f>SUM(R69:R73)*AQ75</f>
        <v>0</v>
      </c>
      <c r="AP75" s="742"/>
      <c r="AQ75" s="693">
        <v>0.1</v>
      </c>
      <c r="AS75" s="716">
        <f>SUM(AL69:AL73)</f>
        <v>178347</v>
      </c>
      <c r="AT75" s="461">
        <f>F75+H75+J75+L75+N75+P75+T75+V75+X75+Z75+AB75+AD75</f>
        <v>178347</v>
      </c>
      <c r="AU75" s="745">
        <f>AT75-AS75</f>
        <v>0</v>
      </c>
      <c r="AV75" s="462">
        <f>AT75/AS75</f>
        <v>1</v>
      </c>
    </row>
    <row r="76" spans="1:48" ht="13.5" customHeight="1" outlineLevel="1" thickBot="1">
      <c r="A76" s="73"/>
      <c r="B76" s="82">
        <f>B69+1</f>
        <v>11</v>
      </c>
      <c r="C76" s="1233">
        <f>'Terms and Turnovers'!C26</f>
        <v>0</v>
      </c>
      <c r="D76" s="1233">
        <f>'Terms and Turnovers'!D26</f>
        <v>0</v>
      </c>
      <c r="E76" s="83" t="str">
        <f>'Terms and Turnovers'!$J$12</f>
        <v>FLIP-FLOPS</v>
      </c>
      <c r="F76" s="118">
        <f>$R76*G76</f>
        <v>0</v>
      </c>
      <c r="G76" s="69"/>
      <c r="H76" s="314">
        <f>$R76*I76</f>
        <v>0</v>
      </c>
      <c r="I76" s="69">
        <v>0</v>
      </c>
      <c r="J76" s="118">
        <f>$R76*K76</f>
        <v>0</v>
      </c>
      <c r="K76" s="69">
        <v>0</v>
      </c>
      <c r="L76" s="314">
        <f>$R76*M76</f>
        <v>0</v>
      </c>
      <c r="M76" s="69">
        <v>0</v>
      </c>
      <c r="N76" s="314">
        <f>$R76*O76</f>
        <v>0</v>
      </c>
      <c r="O76" s="69">
        <v>0</v>
      </c>
      <c r="P76" s="118">
        <f>$R76*Q76</f>
        <v>0</v>
      </c>
      <c r="Q76" s="69">
        <v>0</v>
      </c>
      <c r="R76" s="87">
        <f>'Terms and Turnovers'!K26</f>
        <v>0</v>
      </c>
      <c r="S76" s="160">
        <f t="shared" si="0"/>
        <v>0</v>
      </c>
      <c r="T76" s="118">
        <f>$AF76*U76</f>
        <v>0</v>
      </c>
      <c r="U76" s="69">
        <v>0</v>
      </c>
      <c r="V76" s="314">
        <f>$AF76*W76</f>
        <v>0</v>
      </c>
      <c r="W76" s="69">
        <v>0</v>
      </c>
      <c r="X76" s="118">
        <f>$AF76*Y76</f>
        <v>0</v>
      </c>
      <c r="Y76" s="69">
        <v>0</v>
      </c>
      <c r="Z76" s="314">
        <f>$AF76*AA76</f>
        <v>0</v>
      </c>
      <c r="AA76" s="69">
        <v>0</v>
      </c>
      <c r="AB76" s="314">
        <f>$AF76*AC76</f>
        <v>0</v>
      </c>
      <c r="AC76" s="69">
        <v>0</v>
      </c>
      <c r="AD76" s="118">
        <f>$AF76*AE76</f>
        <v>0</v>
      </c>
      <c r="AE76" s="69">
        <v>0</v>
      </c>
      <c r="AF76" s="87">
        <f>'Terms and Turnovers'!P26</f>
        <v>0</v>
      </c>
      <c r="AG76" s="160">
        <f t="shared" si="2"/>
        <v>0</v>
      </c>
      <c r="AH76" s="157">
        <f t="shared" si="3"/>
        <v>0</v>
      </c>
      <c r="AI76" s="131">
        <f t="shared" si="4"/>
        <v>0</v>
      </c>
      <c r="AJ76" s="65"/>
      <c r="AL76" s="461">
        <f>SUM(F76,H76,J76,L76,N76,P76,T76,V76,X76,Z76,AB76,AD76)</f>
        <v>0</v>
      </c>
      <c r="AM76" s="462">
        <f>AL76-AH76</f>
        <v>0</v>
      </c>
      <c r="AO76" s="692"/>
      <c r="AP76" s="692"/>
      <c r="AV76" s="56"/>
    </row>
    <row r="77" spans="1:48" ht="13.5" customHeight="1" outlineLevel="1" thickBot="1">
      <c r="A77" s="73"/>
      <c r="B77" s="82"/>
      <c r="C77" s="1234"/>
      <c r="D77" s="1234"/>
      <c r="E77" s="84" t="str">
        <f>'Terms and Turnovers'!$T$12</f>
        <v>ORIGINALS</v>
      </c>
      <c r="F77" s="120">
        <f>$R77*G77</f>
        <v>0</v>
      </c>
      <c r="G77" s="723"/>
      <c r="H77" s="120">
        <f>$R77*I77</f>
        <v>0</v>
      </c>
      <c r="I77" s="69">
        <v>0</v>
      </c>
      <c r="J77" s="120">
        <f>$R77*K77</f>
        <v>0</v>
      </c>
      <c r="K77" s="69">
        <v>0</v>
      </c>
      <c r="L77" s="120">
        <f>$R77*M77</f>
        <v>0</v>
      </c>
      <c r="M77" s="69">
        <v>0</v>
      </c>
      <c r="N77" s="315">
        <f>$R77*O77</f>
        <v>0</v>
      </c>
      <c r="O77" s="69">
        <v>0</v>
      </c>
      <c r="P77" s="120">
        <f>$R77*Q77</f>
        <v>0</v>
      </c>
      <c r="Q77" s="69">
        <v>0</v>
      </c>
      <c r="R77" s="88">
        <f>'Terms and Turnovers'!U26</f>
        <v>0</v>
      </c>
      <c r="S77" s="161">
        <f t="shared" si="0"/>
        <v>0</v>
      </c>
      <c r="T77" s="120">
        <f>$AF77*U77</f>
        <v>0</v>
      </c>
      <c r="U77" s="69">
        <v>0</v>
      </c>
      <c r="V77" s="120">
        <f>$AF77*W77</f>
        <v>0</v>
      </c>
      <c r="W77" s="69">
        <v>0</v>
      </c>
      <c r="X77" s="120">
        <f>$AF77*Y77</f>
        <v>0</v>
      </c>
      <c r="Y77" s="69">
        <v>0</v>
      </c>
      <c r="Z77" s="120">
        <f>$AF77*AA77</f>
        <v>0</v>
      </c>
      <c r="AA77" s="69">
        <v>0</v>
      </c>
      <c r="AB77" s="315">
        <f>$AF77*AC77</f>
        <v>0</v>
      </c>
      <c r="AC77" s="69">
        <v>0</v>
      </c>
      <c r="AD77" s="120">
        <f>$AF77*AE77</f>
        <v>0</v>
      </c>
      <c r="AE77" s="69">
        <v>0</v>
      </c>
      <c r="AF77" s="88">
        <f>'Terms and Turnovers'!Z26</f>
        <v>0</v>
      </c>
      <c r="AG77" s="161">
        <f t="shared" si="2"/>
        <v>0</v>
      </c>
      <c r="AH77" s="158">
        <f t="shared" si="3"/>
        <v>0</v>
      </c>
      <c r="AI77" s="134">
        <f t="shared" si="4"/>
        <v>0</v>
      </c>
      <c r="AJ77" s="65"/>
      <c r="AL77" s="461">
        <f>SUM(F77,H77,J77,L77,N77,P77,T77,V77,X77,Z77,AB77,AD77)</f>
        <v>0</v>
      </c>
      <c r="AM77" s="462">
        <f>AL77-AH77</f>
        <v>0</v>
      </c>
      <c r="AO77" s="692"/>
      <c r="AP77" s="692"/>
      <c r="AV77" s="56"/>
    </row>
    <row r="78" spans="1:48" ht="13.5" customHeight="1" outlineLevel="1" thickBot="1">
      <c r="A78" s="73"/>
      <c r="B78" s="82"/>
      <c r="C78" s="1234"/>
      <c r="D78" s="1234"/>
      <c r="E78" s="84" t="str">
        <f>'Terms and Turnovers'!$AD$12</f>
        <v>ACCESSORIES</v>
      </c>
      <c r="F78" s="120">
        <f>$R78*G78</f>
        <v>0</v>
      </c>
      <c r="G78" s="723"/>
      <c r="H78" s="120">
        <f>$R78*I78</f>
        <v>0</v>
      </c>
      <c r="I78" s="69">
        <v>0</v>
      </c>
      <c r="J78" s="120">
        <f>$R78*K78</f>
        <v>0</v>
      </c>
      <c r="K78" s="69">
        <v>0</v>
      </c>
      <c r="L78" s="120">
        <f>$R78*M78</f>
        <v>0</v>
      </c>
      <c r="M78" s="69">
        <v>0</v>
      </c>
      <c r="N78" s="315">
        <f>$R78*O78</f>
        <v>0</v>
      </c>
      <c r="O78" s="69">
        <v>0</v>
      </c>
      <c r="P78" s="120">
        <f>$R78*Q78</f>
        <v>0</v>
      </c>
      <c r="Q78" s="69">
        <v>0</v>
      </c>
      <c r="R78" s="88">
        <f>'Terms and Turnovers'!AE26</f>
        <v>0</v>
      </c>
      <c r="S78" s="161">
        <f t="shared" si="0"/>
        <v>0</v>
      </c>
      <c r="T78" s="120">
        <f>$AF78*U78</f>
        <v>0</v>
      </c>
      <c r="U78" s="69">
        <v>0</v>
      </c>
      <c r="V78" s="120">
        <f>$AF78*W78</f>
        <v>0</v>
      </c>
      <c r="W78" s="69">
        <v>0</v>
      </c>
      <c r="X78" s="120">
        <f>$AF78*Y78</f>
        <v>0</v>
      </c>
      <c r="Y78" s="69">
        <v>0</v>
      </c>
      <c r="Z78" s="120">
        <f>$AF78*AA78</f>
        <v>0</v>
      </c>
      <c r="AA78" s="69">
        <v>0</v>
      </c>
      <c r="AB78" s="315">
        <f>$AF78*AC78</f>
        <v>0</v>
      </c>
      <c r="AC78" s="69">
        <v>0</v>
      </c>
      <c r="AD78" s="120">
        <f>$AF78*AE78</f>
        <v>0</v>
      </c>
      <c r="AE78" s="69">
        <v>0</v>
      </c>
      <c r="AF78" s="88">
        <f>'Terms and Turnovers'!AJ26</f>
        <v>0</v>
      </c>
      <c r="AG78" s="161">
        <f t="shared" si="2"/>
        <v>0</v>
      </c>
      <c r="AH78" s="158">
        <f t="shared" si="3"/>
        <v>0</v>
      </c>
      <c r="AI78" s="134">
        <f t="shared" si="4"/>
        <v>0</v>
      </c>
      <c r="AJ78" s="65"/>
      <c r="AL78" s="461">
        <f>SUM(F78,H78,J78,L78,N78,P78,T78,V78,X78,Z78,AB78,AD78)</f>
        <v>0</v>
      </c>
      <c r="AM78" s="462">
        <f>AL78-AH78</f>
        <v>0</v>
      </c>
      <c r="AO78" s="692"/>
      <c r="AP78" s="692"/>
      <c r="AV78" s="56"/>
    </row>
    <row r="79" spans="1:48" ht="13.5" customHeight="1" outlineLevel="1" thickBot="1">
      <c r="A79" s="73"/>
      <c r="B79" s="82"/>
      <c r="C79" s="1234"/>
      <c r="D79" s="1234"/>
      <c r="E79" s="84">
        <f>'Terms and Turnovers'!$AN$12</f>
        <v>0</v>
      </c>
      <c r="F79" s="120">
        <f>$R79*G79</f>
        <v>0</v>
      </c>
      <c r="G79" s="723"/>
      <c r="H79" s="120">
        <f>$R79*I79</f>
        <v>0</v>
      </c>
      <c r="I79" s="69">
        <v>0</v>
      </c>
      <c r="J79" s="120">
        <f>$R79*K79</f>
        <v>0</v>
      </c>
      <c r="K79" s="69">
        <v>0</v>
      </c>
      <c r="L79" s="120">
        <f>$R79*M79</f>
        <v>0</v>
      </c>
      <c r="M79" s="69">
        <v>0</v>
      </c>
      <c r="N79" s="315">
        <f>$R79*O79</f>
        <v>0</v>
      </c>
      <c r="O79" s="69">
        <v>0</v>
      </c>
      <c r="P79" s="120">
        <f>$R79*Q79</f>
        <v>0</v>
      </c>
      <c r="Q79" s="69">
        <v>0</v>
      </c>
      <c r="R79" s="88">
        <f>'Terms and Turnovers'!AO26</f>
        <v>0</v>
      </c>
      <c r="S79" s="161">
        <f t="shared" ref="S79:S154" si="7">SUM(G79,I79,K79,M79,O79,Q79)</f>
        <v>0</v>
      </c>
      <c r="T79" s="120">
        <f>$AF79*U79</f>
        <v>0</v>
      </c>
      <c r="U79" s="69">
        <v>0</v>
      </c>
      <c r="V79" s="120">
        <f>$AF79*W79</f>
        <v>0</v>
      </c>
      <c r="W79" s="69">
        <v>0</v>
      </c>
      <c r="X79" s="120">
        <f>$AF79*Y79</f>
        <v>0</v>
      </c>
      <c r="Y79" s="69">
        <v>0</v>
      </c>
      <c r="Z79" s="120">
        <f>$AF79*AA79</f>
        <v>0</v>
      </c>
      <c r="AA79" s="69">
        <v>0</v>
      </c>
      <c r="AB79" s="315">
        <f>$AF79*AC79</f>
        <v>0</v>
      </c>
      <c r="AC79" s="69">
        <v>0</v>
      </c>
      <c r="AD79" s="120">
        <f>$AF79*AE79</f>
        <v>0</v>
      </c>
      <c r="AE79" s="69">
        <v>0</v>
      </c>
      <c r="AF79" s="88">
        <f>'Terms and Turnovers'!AT26</f>
        <v>0</v>
      </c>
      <c r="AG79" s="161">
        <f t="shared" si="2"/>
        <v>0</v>
      </c>
      <c r="AH79" s="158">
        <f t="shared" si="3"/>
        <v>0</v>
      </c>
      <c r="AI79" s="134">
        <f t="shared" si="4"/>
        <v>0</v>
      </c>
      <c r="AJ79" s="65"/>
      <c r="AL79" s="461">
        <f>SUM(F79,H79,J79,L79,N79,P79,T79,V79,X79,Z79,AB79,AD79)</f>
        <v>0</v>
      </c>
      <c r="AM79" s="462">
        <f>AL79-AH79</f>
        <v>0</v>
      </c>
      <c r="AO79" s="692"/>
      <c r="AP79" s="692"/>
      <c r="AV79" s="56"/>
    </row>
    <row r="80" spans="1:48" ht="13.5" customHeight="1" outlineLevel="1" thickBot="1">
      <c r="A80" s="73"/>
      <c r="B80" s="82"/>
      <c r="C80" s="1235"/>
      <c r="D80" s="1235"/>
      <c r="E80" s="85">
        <f>'Terms and Turnovers'!$AX$12</f>
        <v>0</v>
      </c>
      <c r="F80" s="121">
        <f>$R80*G80</f>
        <v>0</v>
      </c>
      <c r="G80" s="72"/>
      <c r="H80" s="121">
        <f>$R80*I80</f>
        <v>0</v>
      </c>
      <c r="I80" s="69">
        <v>0</v>
      </c>
      <c r="J80" s="121">
        <f>$R80*K80</f>
        <v>0</v>
      </c>
      <c r="K80" s="69">
        <v>0</v>
      </c>
      <c r="L80" s="121">
        <f>$R80*M80</f>
        <v>0</v>
      </c>
      <c r="M80" s="69">
        <v>0</v>
      </c>
      <c r="N80" s="316">
        <f>$R80*O80</f>
        <v>0</v>
      </c>
      <c r="O80" s="69">
        <v>0</v>
      </c>
      <c r="P80" s="121">
        <f>$R80*Q80</f>
        <v>0</v>
      </c>
      <c r="Q80" s="69">
        <v>0</v>
      </c>
      <c r="R80" s="89">
        <f>'Terms and Turnovers'!AY26</f>
        <v>0</v>
      </c>
      <c r="S80" s="162">
        <f t="shared" si="7"/>
        <v>0</v>
      </c>
      <c r="T80" s="121">
        <f>$AF80*U80</f>
        <v>0</v>
      </c>
      <c r="U80" s="69">
        <v>0</v>
      </c>
      <c r="V80" s="121">
        <f>$AF80*W80</f>
        <v>0</v>
      </c>
      <c r="W80" s="69">
        <v>0</v>
      </c>
      <c r="X80" s="121">
        <f>$AF80*Y80</f>
        <v>0</v>
      </c>
      <c r="Y80" s="69">
        <v>0</v>
      </c>
      <c r="Z80" s="121">
        <f>$AF80*AA80</f>
        <v>0</v>
      </c>
      <c r="AA80" s="69">
        <v>0</v>
      </c>
      <c r="AB80" s="316">
        <f>$AF80*AC80</f>
        <v>0</v>
      </c>
      <c r="AC80" s="69">
        <v>0</v>
      </c>
      <c r="AD80" s="121">
        <f>$AF80*AE80</f>
        <v>0</v>
      </c>
      <c r="AE80" s="69">
        <v>0</v>
      </c>
      <c r="AF80" s="89">
        <f>'Terms and Turnovers'!BD26</f>
        <v>0</v>
      </c>
      <c r="AG80" s="162">
        <f t="shared" ref="AG80:AG154" si="8">SUM(U80,W80,Y80,AA80,AC80,AE80)</f>
        <v>0</v>
      </c>
      <c r="AH80" s="159">
        <f t="shared" ref="AH80:AH154" si="9">SUM(R80,AF80)</f>
        <v>0</v>
      </c>
      <c r="AI80" s="137">
        <f t="shared" ref="AI80:AI154" si="10">S80+AG80</f>
        <v>0</v>
      </c>
      <c r="AJ80" s="65"/>
      <c r="AL80" s="461">
        <f>SUM(F80,H80,J80,L80,N80,P80,T80,V80,X80,Z80,AB80,AD80)</f>
        <v>0</v>
      </c>
      <c r="AM80" s="462">
        <f>AL80-AH80</f>
        <v>0</v>
      </c>
      <c r="AO80" s="692"/>
      <c r="AP80" s="692"/>
      <c r="AV80" s="56"/>
    </row>
    <row r="81" spans="1:48" ht="13.5" customHeight="1" outlineLevel="1" thickBot="1">
      <c r="A81" s="119"/>
      <c r="B81" s="82"/>
      <c r="C81" s="425" t="s">
        <v>388</v>
      </c>
      <c r="D81" s="425"/>
      <c r="E81" s="426"/>
      <c r="F81" s="427">
        <f>SUM(F76:F80)</f>
        <v>0</v>
      </c>
      <c r="G81" s="428"/>
      <c r="H81" s="427">
        <f>SUM(H76:H80)</f>
        <v>0</v>
      </c>
      <c r="I81" s="69"/>
      <c r="J81" s="427">
        <f>SUM(J76:J80)</f>
        <v>0</v>
      </c>
      <c r="K81" s="69"/>
      <c r="L81" s="427">
        <f>SUM(L76:L80)</f>
        <v>0</v>
      </c>
      <c r="M81" s="69"/>
      <c r="N81" s="427">
        <f>SUM(N76:N80)</f>
        <v>0</v>
      </c>
      <c r="O81" s="69"/>
      <c r="P81" s="427">
        <f>SUM(P76:P80)</f>
        <v>0</v>
      </c>
      <c r="Q81" s="69"/>
      <c r="R81" s="429"/>
      <c r="S81" s="430"/>
      <c r="T81" s="427">
        <f>SUM(T76:T80)</f>
        <v>0</v>
      </c>
      <c r="U81" s="428"/>
      <c r="V81" s="427">
        <f>SUM(V76:V80)</f>
        <v>0</v>
      </c>
      <c r="W81" s="69"/>
      <c r="X81" s="427">
        <f>SUM(X76:X80)</f>
        <v>0</v>
      </c>
      <c r="Y81" s="69"/>
      <c r="Z81" s="427">
        <f>SUM(Z76:Z80)</f>
        <v>0</v>
      </c>
      <c r="AA81" s="69"/>
      <c r="AB81" s="427">
        <f>SUM(AB76:AB80)</f>
        <v>0</v>
      </c>
      <c r="AC81" s="69"/>
      <c r="AD81" s="427">
        <f>SUM(AD76:AD80)</f>
        <v>0</v>
      </c>
      <c r="AE81" s="69"/>
      <c r="AF81" s="429"/>
      <c r="AG81" s="430"/>
      <c r="AH81" s="431"/>
      <c r="AI81" s="432"/>
      <c r="AJ81" s="65"/>
      <c r="AO81" s="692"/>
      <c r="AP81" s="692"/>
      <c r="AS81" s="462"/>
      <c r="AV81" s="56"/>
    </row>
    <row r="82" spans="1:48" ht="13.5" customHeight="1" outlineLevel="1" thickBot="1">
      <c r="A82" s="119"/>
      <c r="B82" s="82"/>
      <c r="C82" s="1098" t="s">
        <v>484</v>
      </c>
      <c r="D82" s="433">
        <f>D76</f>
        <v>0</v>
      </c>
      <c r="E82" s="426"/>
      <c r="F82" s="700"/>
      <c r="G82" s="428"/>
      <c r="H82" s="700"/>
      <c r="I82" s="69"/>
      <c r="J82" s="700"/>
      <c r="K82" s="69"/>
      <c r="L82" s="700"/>
      <c r="M82" s="69"/>
      <c r="N82" s="700"/>
      <c r="O82" s="69"/>
      <c r="P82" s="700"/>
      <c r="Q82" s="69"/>
      <c r="R82" s="429"/>
      <c r="S82" s="430"/>
      <c r="T82" s="700"/>
      <c r="U82" s="428">
        <f>Q81</f>
        <v>0</v>
      </c>
      <c r="V82" s="700"/>
      <c r="W82" s="69">
        <f>S81</f>
        <v>0</v>
      </c>
      <c r="X82" s="700"/>
      <c r="Y82" s="69">
        <f>U81</f>
        <v>0</v>
      </c>
      <c r="Z82" s="700"/>
      <c r="AA82" s="69">
        <f>W81</f>
        <v>0</v>
      </c>
      <c r="AB82" s="700"/>
      <c r="AC82" s="69">
        <f>Y81</f>
        <v>0</v>
      </c>
      <c r="AD82" s="700"/>
      <c r="AE82" s="69"/>
      <c r="AF82" s="429"/>
      <c r="AG82" s="430"/>
      <c r="AH82" s="431"/>
      <c r="AI82" s="432"/>
      <c r="AJ82" s="65"/>
      <c r="AN82" s="742">
        <f>SUM(AF76:AF80)*AQ82</f>
        <v>0</v>
      </c>
      <c r="AO82" s="742">
        <f>SUM(R76:R80)*AQ82</f>
        <v>0</v>
      </c>
      <c r="AP82" s="742"/>
      <c r="AQ82" s="693">
        <v>0</v>
      </c>
      <c r="AR82" s="696"/>
      <c r="AS82" s="716">
        <f>SUM(AL76:AL80)</f>
        <v>0</v>
      </c>
      <c r="AT82" s="461">
        <f>F82+H82+J82+L82+N82+P82+T82+V82+X82+Z82+AB82+AD82</f>
        <v>0</v>
      </c>
      <c r="AU82" s="745">
        <f>AT82-AS82</f>
        <v>0</v>
      </c>
      <c r="AV82" s="462" t="e">
        <f>AT82/AS82</f>
        <v>#DIV/0!</v>
      </c>
    </row>
    <row r="83" spans="1:48" ht="13.5" customHeight="1" outlineLevel="1" thickBot="1">
      <c r="A83" s="73"/>
      <c r="B83" s="82">
        <f>B76+1</f>
        <v>12</v>
      </c>
      <c r="C83" s="1233">
        <f>'Terms and Turnovers'!C27</f>
        <v>0</v>
      </c>
      <c r="D83" s="1233">
        <f>'Terms and Turnovers'!D27</f>
        <v>0</v>
      </c>
      <c r="E83" s="83" t="str">
        <f>'Terms and Turnovers'!$J$12</f>
        <v>FLIP-FLOPS</v>
      </c>
      <c r="F83" s="118">
        <f>$R83*G83</f>
        <v>0</v>
      </c>
      <c r="G83" s="69"/>
      <c r="H83" s="314">
        <f>$R83*I83</f>
        <v>0</v>
      </c>
      <c r="I83" s="69">
        <v>0</v>
      </c>
      <c r="J83" s="118">
        <f>$R83*K83</f>
        <v>0</v>
      </c>
      <c r="K83" s="69">
        <v>0</v>
      </c>
      <c r="L83" s="314">
        <f>$R83*M83</f>
        <v>0</v>
      </c>
      <c r="M83" s="69">
        <v>0</v>
      </c>
      <c r="N83" s="314">
        <f>$R83*O83</f>
        <v>0</v>
      </c>
      <c r="O83" s="69">
        <v>0</v>
      </c>
      <c r="P83" s="118">
        <f>$R83*Q83</f>
        <v>0</v>
      </c>
      <c r="Q83" s="69">
        <v>0</v>
      </c>
      <c r="R83" s="87">
        <f>'Terms and Turnovers'!K27</f>
        <v>0</v>
      </c>
      <c r="S83" s="160">
        <f t="shared" si="7"/>
        <v>0</v>
      </c>
      <c r="T83" s="118">
        <f>$AF83*U83</f>
        <v>0</v>
      </c>
      <c r="U83" s="69">
        <v>0</v>
      </c>
      <c r="V83" s="314">
        <f>$AF83*W83</f>
        <v>0</v>
      </c>
      <c r="W83" s="69">
        <v>0</v>
      </c>
      <c r="X83" s="118">
        <f>$AF83*Y83</f>
        <v>0</v>
      </c>
      <c r="Y83" s="69">
        <v>0</v>
      </c>
      <c r="Z83" s="314">
        <f>$AF83*AA83</f>
        <v>0</v>
      </c>
      <c r="AA83" s="69">
        <v>0</v>
      </c>
      <c r="AB83" s="314">
        <f>$AF83*AC83</f>
        <v>0</v>
      </c>
      <c r="AC83" s="69">
        <v>0</v>
      </c>
      <c r="AD83" s="118">
        <f>$AF83*AE83</f>
        <v>0</v>
      </c>
      <c r="AE83" s="69">
        <v>0</v>
      </c>
      <c r="AF83" s="87">
        <f>'Terms and Turnovers'!P27</f>
        <v>0</v>
      </c>
      <c r="AG83" s="160">
        <f t="shared" si="8"/>
        <v>0</v>
      </c>
      <c r="AH83" s="157">
        <f t="shared" si="9"/>
        <v>0</v>
      </c>
      <c r="AI83" s="131">
        <f t="shared" si="10"/>
        <v>0</v>
      </c>
      <c r="AJ83" s="65"/>
      <c r="AL83" s="461">
        <f>SUM(F83,H83,J83,L83,N83,P83,T83,V83,X83,Z83,AB83,AD83)</f>
        <v>0</v>
      </c>
      <c r="AM83" s="462">
        <f>AL83-AH83</f>
        <v>0</v>
      </c>
      <c r="AO83" s="692"/>
      <c r="AP83" s="692"/>
      <c r="AV83" s="56"/>
    </row>
    <row r="84" spans="1:48" ht="13.5" customHeight="1" outlineLevel="1" thickBot="1">
      <c r="A84" s="73"/>
      <c r="B84" s="82"/>
      <c r="C84" s="1234"/>
      <c r="D84" s="1234"/>
      <c r="E84" s="84" t="str">
        <f>'Terms and Turnovers'!$T$12</f>
        <v>ORIGINALS</v>
      </c>
      <c r="F84" s="120">
        <f>$R84*G84</f>
        <v>0</v>
      </c>
      <c r="G84" s="723"/>
      <c r="H84" s="120">
        <f>$R84*I84</f>
        <v>0</v>
      </c>
      <c r="I84" s="69">
        <v>0</v>
      </c>
      <c r="J84" s="120">
        <f>$R84*K84</f>
        <v>0</v>
      </c>
      <c r="K84" s="69">
        <v>0</v>
      </c>
      <c r="L84" s="120">
        <f>$R84*M84</f>
        <v>0</v>
      </c>
      <c r="M84" s="69">
        <v>0</v>
      </c>
      <c r="N84" s="315">
        <f>$R84*O84</f>
        <v>0</v>
      </c>
      <c r="O84" s="69">
        <v>0</v>
      </c>
      <c r="P84" s="120">
        <f>$R84*Q84</f>
        <v>0</v>
      </c>
      <c r="Q84" s="69">
        <v>0</v>
      </c>
      <c r="R84" s="88">
        <f>'Terms and Turnovers'!U27</f>
        <v>0</v>
      </c>
      <c r="S84" s="161">
        <f t="shared" si="7"/>
        <v>0</v>
      </c>
      <c r="T84" s="120">
        <f>$AF84*U84</f>
        <v>0</v>
      </c>
      <c r="U84" s="69">
        <v>0</v>
      </c>
      <c r="V84" s="120">
        <f>$AF84*W84</f>
        <v>0</v>
      </c>
      <c r="W84" s="69">
        <v>0</v>
      </c>
      <c r="X84" s="120">
        <f>$AF84*Y84</f>
        <v>0</v>
      </c>
      <c r="Y84" s="69">
        <v>0</v>
      </c>
      <c r="Z84" s="120">
        <f>$AF84*AA84</f>
        <v>0</v>
      </c>
      <c r="AA84" s="69">
        <v>0</v>
      </c>
      <c r="AB84" s="315">
        <f>$AF84*AC84</f>
        <v>0</v>
      </c>
      <c r="AC84" s="69">
        <v>0</v>
      </c>
      <c r="AD84" s="120">
        <f>$AF84*AE84</f>
        <v>0</v>
      </c>
      <c r="AE84" s="69">
        <v>0</v>
      </c>
      <c r="AF84" s="88">
        <f>'Terms and Turnovers'!Z27</f>
        <v>0</v>
      </c>
      <c r="AG84" s="161">
        <f t="shared" si="8"/>
        <v>0</v>
      </c>
      <c r="AH84" s="158">
        <f t="shared" si="9"/>
        <v>0</v>
      </c>
      <c r="AI84" s="134">
        <f t="shared" si="10"/>
        <v>0</v>
      </c>
      <c r="AJ84" s="65"/>
      <c r="AL84" s="461">
        <f>SUM(F84,H84,J84,L84,N84,P84,T84,V84,X84,Z84,AB84,AD84)</f>
        <v>0</v>
      </c>
      <c r="AM84" s="462">
        <f>AL84-AH84</f>
        <v>0</v>
      </c>
      <c r="AO84" s="692"/>
      <c r="AP84" s="692"/>
      <c r="AV84" s="56"/>
    </row>
    <row r="85" spans="1:48" ht="13.5" customHeight="1" outlineLevel="1" thickBot="1">
      <c r="A85" s="73"/>
      <c r="B85" s="82"/>
      <c r="C85" s="1234"/>
      <c r="D85" s="1234"/>
      <c r="E85" s="84" t="str">
        <f>'Terms and Turnovers'!$AD$12</f>
        <v>ACCESSORIES</v>
      </c>
      <c r="F85" s="120">
        <f>$R85*G85</f>
        <v>0</v>
      </c>
      <c r="G85" s="723"/>
      <c r="H85" s="120">
        <f>$R85*I85</f>
        <v>0</v>
      </c>
      <c r="I85" s="69">
        <v>0</v>
      </c>
      <c r="J85" s="120">
        <f>$R85*K85</f>
        <v>0</v>
      </c>
      <c r="K85" s="69">
        <v>0</v>
      </c>
      <c r="L85" s="120">
        <f>$R85*M85</f>
        <v>0</v>
      </c>
      <c r="M85" s="69">
        <v>0</v>
      </c>
      <c r="N85" s="315">
        <f>$R85*O85</f>
        <v>0</v>
      </c>
      <c r="O85" s="69">
        <v>0</v>
      </c>
      <c r="P85" s="120">
        <f>$R85*Q85</f>
        <v>0</v>
      </c>
      <c r="Q85" s="69">
        <v>0</v>
      </c>
      <c r="R85" s="88">
        <f>'Terms and Turnovers'!AE27</f>
        <v>0</v>
      </c>
      <c r="S85" s="161">
        <f t="shared" si="7"/>
        <v>0</v>
      </c>
      <c r="T85" s="120">
        <f>$AF85*U85</f>
        <v>0</v>
      </c>
      <c r="U85" s="69">
        <v>0</v>
      </c>
      <c r="V85" s="120">
        <f>$AF85*W85</f>
        <v>0</v>
      </c>
      <c r="W85" s="69">
        <v>0</v>
      </c>
      <c r="X85" s="120">
        <f>$AF85*Y85</f>
        <v>0</v>
      </c>
      <c r="Y85" s="69">
        <v>0</v>
      </c>
      <c r="Z85" s="120">
        <f>$AF85*AA85</f>
        <v>0</v>
      </c>
      <c r="AA85" s="69">
        <v>0</v>
      </c>
      <c r="AB85" s="315">
        <f>$AF85*AC85</f>
        <v>0</v>
      </c>
      <c r="AC85" s="69">
        <v>0</v>
      </c>
      <c r="AD85" s="120">
        <f>$AF85*AE85</f>
        <v>0</v>
      </c>
      <c r="AE85" s="69">
        <v>0</v>
      </c>
      <c r="AF85" s="88">
        <f>'Terms and Turnovers'!AJ27</f>
        <v>0</v>
      </c>
      <c r="AG85" s="161">
        <f t="shared" si="8"/>
        <v>0</v>
      </c>
      <c r="AH85" s="158">
        <f t="shared" si="9"/>
        <v>0</v>
      </c>
      <c r="AI85" s="134">
        <f t="shared" si="10"/>
        <v>0</v>
      </c>
      <c r="AJ85" s="65"/>
      <c r="AL85" s="461">
        <f>SUM(F85,H85,J85,L85,N85,P85,T85,V85,X85,Z85,AB85,AD85)</f>
        <v>0</v>
      </c>
      <c r="AM85" s="462">
        <f>AL85-AH85</f>
        <v>0</v>
      </c>
      <c r="AO85" s="692"/>
      <c r="AP85" s="692"/>
      <c r="AT85" s="360"/>
      <c r="AV85" s="56"/>
    </row>
    <row r="86" spans="1:48" ht="13.5" customHeight="1" outlineLevel="1" thickBot="1">
      <c r="A86" s="73"/>
      <c r="B86" s="82"/>
      <c r="C86" s="1234"/>
      <c r="D86" s="1234"/>
      <c r="E86" s="84">
        <f>'Terms and Turnovers'!$AN$12</f>
        <v>0</v>
      </c>
      <c r="F86" s="120">
        <f>$R86*G86</f>
        <v>0</v>
      </c>
      <c r="G86" s="723"/>
      <c r="H86" s="120">
        <f>$R86*I86</f>
        <v>0</v>
      </c>
      <c r="I86" s="69">
        <v>0</v>
      </c>
      <c r="J86" s="120">
        <f>$R86*K86</f>
        <v>0</v>
      </c>
      <c r="K86" s="69">
        <v>0</v>
      </c>
      <c r="L86" s="120">
        <f>$R86*M86</f>
        <v>0</v>
      </c>
      <c r="M86" s="69">
        <v>0</v>
      </c>
      <c r="N86" s="315">
        <f>$R86*O86</f>
        <v>0</v>
      </c>
      <c r="O86" s="69">
        <v>0</v>
      </c>
      <c r="P86" s="120">
        <f>$R86*Q86</f>
        <v>0</v>
      </c>
      <c r="Q86" s="69">
        <v>0</v>
      </c>
      <c r="R86" s="88">
        <f>'Terms and Turnovers'!AO27</f>
        <v>0</v>
      </c>
      <c r="S86" s="161">
        <f t="shared" si="7"/>
        <v>0</v>
      </c>
      <c r="T86" s="120">
        <f>$AF86*U86</f>
        <v>0</v>
      </c>
      <c r="U86" s="69">
        <v>0</v>
      </c>
      <c r="V86" s="120">
        <f>$AF86*W86</f>
        <v>0</v>
      </c>
      <c r="W86" s="69">
        <v>0</v>
      </c>
      <c r="X86" s="120">
        <f>$AF86*Y86</f>
        <v>0</v>
      </c>
      <c r="Y86" s="69">
        <v>0</v>
      </c>
      <c r="Z86" s="120">
        <f>$AF86*AA86</f>
        <v>0</v>
      </c>
      <c r="AA86" s="69">
        <v>0</v>
      </c>
      <c r="AB86" s="315">
        <f>$AF86*AC86</f>
        <v>0</v>
      </c>
      <c r="AC86" s="69">
        <v>0</v>
      </c>
      <c r="AD86" s="120">
        <f>$AF86*AE86</f>
        <v>0</v>
      </c>
      <c r="AE86" s="69">
        <v>0</v>
      </c>
      <c r="AF86" s="88">
        <f>'Terms and Turnovers'!AT27</f>
        <v>0</v>
      </c>
      <c r="AG86" s="161">
        <f t="shared" si="8"/>
        <v>0</v>
      </c>
      <c r="AH86" s="158">
        <f t="shared" si="9"/>
        <v>0</v>
      </c>
      <c r="AI86" s="134">
        <f t="shared" si="10"/>
        <v>0</v>
      </c>
      <c r="AJ86" s="65"/>
      <c r="AL86" s="461">
        <f>SUM(F86,H86,J86,L86,N86,P86,T86,V86,X86,Z86,AB86,AD86)</f>
        <v>0</v>
      </c>
      <c r="AM86" s="462">
        <f>AL86-AH86</f>
        <v>0</v>
      </c>
      <c r="AO86" s="692"/>
      <c r="AP86" s="692"/>
      <c r="AV86" s="56"/>
    </row>
    <row r="87" spans="1:48" ht="13.5" customHeight="1" outlineLevel="1" thickBot="1">
      <c r="A87" s="73"/>
      <c r="B87" s="82"/>
      <c r="C87" s="1235"/>
      <c r="D87" s="1235"/>
      <c r="E87" s="85">
        <f>'Terms and Turnovers'!$AX$12</f>
        <v>0</v>
      </c>
      <c r="F87" s="121">
        <f>$R87*G87</f>
        <v>0</v>
      </c>
      <c r="G87" s="72"/>
      <c r="H87" s="121">
        <f>$R87*I87</f>
        <v>0</v>
      </c>
      <c r="I87" s="69">
        <v>0</v>
      </c>
      <c r="J87" s="121">
        <f>$R87*K87</f>
        <v>0</v>
      </c>
      <c r="K87" s="69">
        <v>0</v>
      </c>
      <c r="L87" s="121">
        <f>$R87*M87</f>
        <v>0</v>
      </c>
      <c r="M87" s="69">
        <v>0</v>
      </c>
      <c r="N87" s="316">
        <f>$R87*O87</f>
        <v>0</v>
      </c>
      <c r="O87" s="69">
        <v>0</v>
      </c>
      <c r="P87" s="121">
        <f>$R87*Q87</f>
        <v>0</v>
      </c>
      <c r="Q87" s="69">
        <v>0</v>
      </c>
      <c r="R87" s="89">
        <f>'Terms and Turnovers'!AY27</f>
        <v>0</v>
      </c>
      <c r="S87" s="162">
        <f t="shared" si="7"/>
        <v>0</v>
      </c>
      <c r="T87" s="121">
        <f>$AF87*U87</f>
        <v>0</v>
      </c>
      <c r="U87" s="69">
        <v>0</v>
      </c>
      <c r="V87" s="121">
        <f>$AF87*W87</f>
        <v>0</v>
      </c>
      <c r="W87" s="69">
        <v>0</v>
      </c>
      <c r="X87" s="121">
        <f>$AF87*Y87</f>
        <v>0</v>
      </c>
      <c r="Y87" s="69">
        <v>0</v>
      </c>
      <c r="Z87" s="121">
        <f>$AF87*AA87</f>
        <v>0</v>
      </c>
      <c r="AA87" s="69">
        <v>0</v>
      </c>
      <c r="AB87" s="316">
        <f>$AF87*AC87</f>
        <v>0</v>
      </c>
      <c r="AC87" s="69">
        <v>0</v>
      </c>
      <c r="AD87" s="121">
        <f>$AF87*AE87</f>
        <v>0</v>
      </c>
      <c r="AE87" s="69">
        <v>0</v>
      </c>
      <c r="AF87" s="89">
        <f>'Terms and Turnovers'!BD27</f>
        <v>0</v>
      </c>
      <c r="AG87" s="162">
        <f t="shared" si="8"/>
        <v>0</v>
      </c>
      <c r="AH87" s="159">
        <f t="shared" si="9"/>
        <v>0</v>
      </c>
      <c r="AI87" s="137">
        <f t="shared" si="10"/>
        <v>0</v>
      </c>
      <c r="AJ87" s="65"/>
      <c r="AL87" s="461">
        <f>SUM(F87,H87,J87,L87,N87,P87,T87,V87,X87,Z87,AB87,AD87)</f>
        <v>0</v>
      </c>
      <c r="AM87" s="462">
        <f>AL87-AH87</f>
        <v>0</v>
      </c>
      <c r="AO87" s="692"/>
      <c r="AP87" s="692"/>
      <c r="AV87" s="56"/>
    </row>
    <row r="88" spans="1:48" ht="13.5" customHeight="1" outlineLevel="1" thickBot="1">
      <c r="A88" s="119"/>
      <c r="B88" s="82"/>
      <c r="C88" s="425" t="s">
        <v>388</v>
      </c>
      <c r="D88" s="425"/>
      <c r="E88" s="426"/>
      <c r="F88" s="427">
        <f>SUM(F83:F87)</f>
        <v>0</v>
      </c>
      <c r="G88" s="428"/>
      <c r="H88" s="427">
        <f>SUM(H83:H87)</f>
        <v>0</v>
      </c>
      <c r="I88" s="69"/>
      <c r="J88" s="427">
        <f>SUM(J83:J87)</f>
        <v>0</v>
      </c>
      <c r="K88" s="69"/>
      <c r="L88" s="427">
        <f>SUM(L83:L87)</f>
        <v>0</v>
      </c>
      <c r="M88" s="69"/>
      <c r="N88" s="427">
        <f>SUM(N83:N87)</f>
        <v>0</v>
      </c>
      <c r="O88" s="69"/>
      <c r="P88" s="427">
        <f>SUM(P83:P87)</f>
        <v>0</v>
      </c>
      <c r="Q88" s="69"/>
      <c r="R88" s="429"/>
      <c r="S88" s="430"/>
      <c r="T88" s="427">
        <f>SUM(T83:T87)</f>
        <v>0</v>
      </c>
      <c r="U88" s="428"/>
      <c r="V88" s="427">
        <f>SUM(V83:V87)</f>
        <v>0</v>
      </c>
      <c r="W88" s="69"/>
      <c r="X88" s="427">
        <f>SUM(X83:X87)</f>
        <v>0</v>
      </c>
      <c r="Y88" s="69"/>
      <c r="Z88" s="427">
        <f>SUM(Z83:Z87)</f>
        <v>0</v>
      </c>
      <c r="AA88" s="69"/>
      <c r="AB88" s="427">
        <f>SUM(AB83:AB87)</f>
        <v>0</v>
      </c>
      <c r="AC88" s="69"/>
      <c r="AD88" s="427">
        <f>SUM(AD83:AD87)</f>
        <v>0</v>
      </c>
      <c r="AE88" s="69"/>
      <c r="AF88" s="429"/>
      <c r="AG88" s="430"/>
      <c r="AH88" s="431"/>
      <c r="AI88" s="432"/>
      <c r="AJ88" s="65"/>
      <c r="AO88" s="692"/>
      <c r="AP88" s="692"/>
      <c r="AV88" s="56"/>
    </row>
    <row r="89" spans="1:48" ht="13.5" customHeight="1" outlineLevel="1" thickBot="1">
      <c r="A89" s="119"/>
      <c r="B89" s="82"/>
      <c r="C89" s="1098" t="s">
        <v>484</v>
      </c>
      <c r="D89" s="433">
        <f>D83</f>
        <v>0</v>
      </c>
      <c r="E89" s="426"/>
      <c r="F89" s="700"/>
      <c r="G89" s="428"/>
      <c r="H89" s="700"/>
      <c r="I89" s="69"/>
      <c r="J89" s="700"/>
      <c r="K89" s="69"/>
      <c r="L89" s="700"/>
      <c r="M89" s="69"/>
      <c r="N89" s="700"/>
      <c r="O89" s="69"/>
      <c r="P89" s="700"/>
      <c r="Q89" s="69"/>
      <c r="R89" s="429"/>
      <c r="S89" s="430"/>
      <c r="T89" s="700"/>
      <c r="U89" s="428">
        <f>Q88</f>
        <v>0</v>
      </c>
      <c r="V89" s="700"/>
      <c r="W89" s="69">
        <f>S88</f>
        <v>0</v>
      </c>
      <c r="X89" s="700"/>
      <c r="Y89" s="69">
        <f>U88</f>
        <v>0</v>
      </c>
      <c r="Z89" s="700"/>
      <c r="AA89" s="69">
        <f>W88</f>
        <v>0</v>
      </c>
      <c r="AB89" s="700"/>
      <c r="AC89" s="69">
        <f>Y88</f>
        <v>0</v>
      </c>
      <c r="AD89" s="700"/>
      <c r="AE89" s="69"/>
      <c r="AF89" s="429"/>
      <c r="AG89" s="430"/>
      <c r="AH89" s="431"/>
      <c r="AI89" s="432"/>
      <c r="AJ89" s="65"/>
      <c r="AN89" s="742">
        <f>SUM(AF83:AF87)*AQ89</f>
        <v>0</v>
      </c>
      <c r="AO89" s="742">
        <f>SUM(R83:R87)*AQ89</f>
        <v>0</v>
      </c>
      <c r="AP89" s="742"/>
      <c r="AQ89" s="693">
        <v>0.15</v>
      </c>
      <c r="AS89" s="716">
        <f>SUM(AL83:AL87)</f>
        <v>0</v>
      </c>
      <c r="AT89" s="461">
        <f>F89+H89+J89+L89+N89+P89+T89+V89+X89+Z89+AB89+AD89</f>
        <v>0</v>
      </c>
      <c r="AU89" s="745">
        <f>AT89-AS89</f>
        <v>0</v>
      </c>
      <c r="AV89" s="462" t="e">
        <f>AT89/AS89</f>
        <v>#DIV/0!</v>
      </c>
    </row>
    <row r="90" spans="1:48" ht="13.5" customHeight="1" outlineLevel="1" thickBot="1">
      <c r="A90" s="73"/>
      <c r="B90" s="82">
        <f>B83+1</f>
        <v>13</v>
      </c>
      <c r="C90" s="1233">
        <f>'Terms and Turnovers'!C28</f>
        <v>0</v>
      </c>
      <c r="D90" s="1233">
        <f>'Terms and Turnovers'!D28</f>
        <v>0</v>
      </c>
      <c r="E90" s="83" t="str">
        <f>'Terms and Turnovers'!$J$12</f>
        <v>FLIP-FLOPS</v>
      </c>
      <c r="F90" s="118">
        <f>$R90*G90</f>
        <v>0</v>
      </c>
      <c r="G90" s="69"/>
      <c r="H90" s="314">
        <f>$R90*I90</f>
        <v>0</v>
      </c>
      <c r="I90" s="69">
        <v>0</v>
      </c>
      <c r="J90" s="118">
        <f>$R90*K90</f>
        <v>0</v>
      </c>
      <c r="K90" s="69">
        <v>0</v>
      </c>
      <c r="L90" s="314">
        <f>$R90*M90</f>
        <v>0</v>
      </c>
      <c r="M90" s="69">
        <v>0</v>
      </c>
      <c r="N90" s="314">
        <f>$R90*O90</f>
        <v>0</v>
      </c>
      <c r="O90" s="69">
        <v>0</v>
      </c>
      <c r="P90" s="118">
        <f>$R90*Q90</f>
        <v>0</v>
      </c>
      <c r="Q90" s="69">
        <v>0</v>
      </c>
      <c r="R90" s="87">
        <f>'Terms and Turnovers'!K28</f>
        <v>0</v>
      </c>
      <c r="S90" s="160">
        <f t="shared" si="7"/>
        <v>0</v>
      </c>
      <c r="T90" s="118">
        <f>$AF90*U90</f>
        <v>0</v>
      </c>
      <c r="U90" s="69">
        <v>0</v>
      </c>
      <c r="V90" s="314">
        <f>$AF90*W90</f>
        <v>0</v>
      </c>
      <c r="W90" s="69">
        <v>0</v>
      </c>
      <c r="X90" s="118">
        <f>$AF90*Y90</f>
        <v>0</v>
      </c>
      <c r="Y90" s="69">
        <v>0</v>
      </c>
      <c r="Z90" s="314">
        <f>$AF90*AA90</f>
        <v>0</v>
      </c>
      <c r="AA90" s="69">
        <v>0</v>
      </c>
      <c r="AB90" s="314">
        <f>$AF90*AC90</f>
        <v>0</v>
      </c>
      <c r="AC90" s="69">
        <v>0</v>
      </c>
      <c r="AD90" s="118">
        <f>$AF90*AE90</f>
        <v>0</v>
      </c>
      <c r="AE90" s="69">
        <v>0</v>
      </c>
      <c r="AF90" s="87">
        <f>'Terms and Turnovers'!P28</f>
        <v>0</v>
      </c>
      <c r="AG90" s="160">
        <f t="shared" si="8"/>
        <v>0</v>
      </c>
      <c r="AH90" s="157">
        <f t="shared" si="9"/>
        <v>0</v>
      </c>
      <c r="AI90" s="131">
        <f t="shared" si="10"/>
        <v>0</v>
      </c>
      <c r="AJ90" s="65"/>
      <c r="AL90" s="461">
        <f>SUM(F90,H90,J90,L90,N90,P90,T90,V90,X90,Z90,AB90,AD90)</f>
        <v>0</v>
      </c>
      <c r="AM90" s="462">
        <f>AL90-AH90</f>
        <v>0</v>
      </c>
      <c r="AO90" s="692"/>
      <c r="AP90" s="692"/>
      <c r="AV90" s="56"/>
    </row>
    <row r="91" spans="1:48" ht="12" customHeight="1" outlineLevel="1" thickBot="1">
      <c r="B91" s="82"/>
      <c r="C91" s="1234"/>
      <c r="D91" s="1234"/>
      <c r="E91" s="84" t="str">
        <f>'Terms and Turnovers'!$T$12</f>
        <v>ORIGINALS</v>
      </c>
      <c r="F91" s="120">
        <f>$R91*G91</f>
        <v>0</v>
      </c>
      <c r="G91" s="723"/>
      <c r="H91" s="120">
        <f>$R91*I91</f>
        <v>0</v>
      </c>
      <c r="I91" s="69">
        <v>0</v>
      </c>
      <c r="J91" s="120">
        <f>$R91*K91</f>
        <v>0</v>
      </c>
      <c r="K91" s="69">
        <v>0</v>
      </c>
      <c r="L91" s="120">
        <f>$R91*M91</f>
        <v>0</v>
      </c>
      <c r="M91" s="69">
        <v>0</v>
      </c>
      <c r="N91" s="315">
        <f>$R91*O91</f>
        <v>0</v>
      </c>
      <c r="O91" s="69">
        <v>0</v>
      </c>
      <c r="P91" s="120">
        <f>$R91*Q91</f>
        <v>0</v>
      </c>
      <c r="Q91" s="69">
        <v>0</v>
      </c>
      <c r="R91" s="88">
        <f>'Terms and Turnovers'!U28</f>
        <v>0</v>
      </c>
      <c r="S91" s="161">
        <f t="shared" si="7"/>
        <v>0</v>
      </c>
      <c r="T91" s="120">
        <f>$AF91*U91</f>
        <v>0</v>
      </c>
      <c r="U91" s="69">
        <v>0</v>
      </c>
      <c r="V91" s="120">
        <f>$AF91*W91</f>
        <v>0</v>
      </c>
      <c r="W91" s="69">
        <v>0</v>
      </c>
      <c r="X91" s="120">
        <f>$AF91*Y91</f>
        <v>0</v>
      </c>
      <c r="Y91" s="69">
        <v>0</v>
      </c>
      <c r="Z91" s="120">
        <f>$AF91*AA91</f>
        <v>0</v>
      </c>
      <c r="AA91" s="69">
        <v>0</v>
      </c>
      <c r="AB91" s="315">
        <f>$AF91*AC91</f>
        <v>0</v>
      </c>
      <c r="AC91" s="69">
        <v>0</v>
      </c>
      <c r="AD91" s="120">
        <f>$AF91*AE91</f>
        <v>0</v>
      </c>
      <c r="AE91" s="69">
        <v>0</v>
      </c>
      <c r="AF91" s="88">
        <f>'Terms and Turnovers'!Z28</f>
        <v>0</v>
      </c>
      <c r="AG91" s="161">
        <f t="shared" si="8"/>
        <v>0</v>
      </c>
      <c r="AH91" s="158">
        <f t="shared" si="9"/>
        <v>0</v>
      </c>
      <c r="AI91" s="134">
        <f t="shared" si="10"/>
        <v>0</v>
      </c>
      <c r="AJ91" s="65"/>
      <c r="AL91" s="461">
        <f>SUM(F91,H91,J91,L91,N91,P91,T91,V91,X91,Z91,AB91,AD91)</f>
        <v>0</v>
      </c>
      <c r="AM91" s="462">
        <f>AL91-AH91</f>
        <v>0</v>
      </c>
      <c r="AO91" s="692"/>
      <c r="AP91" s="692"/>
      <c r="AV91" s="56"/>
    </row>
    <row r="92" spans="1:48" ht="13.5" customHeight="1" outlineLevel="1" thickBot="1">
      <c r="B92" s="82"/>
      <c r="C92" s="1234"/>
      <c r="D92" s="1234"/>
      <c r="E92" s="84" t="str">
        <f>'Terms and Turnovers'!$AD$12</f>
        <v>ACCESSORIES</v>
      </c>
      <c r="F92" s="120">
        <f>$R92*G92</f>
        <v>0</v>
      </c>
      <c r="G92" s="723"/>
      <c r="H92" s="120">
        <f>$R92*I92</f>
        <v>0</v>
      </c>
      <c r="I92" s="69">
        <v>0</v>
      </c>
      <c r="J92" s="120">
        <f>$R92*K92</f>
        <v>0</v>
      </c>
      <c r="K92" s="69">
        <v>0</v>
      </c>
      <c r="L92" s="120">
        <f>$R92*M92</f>
        <v>0</v>
      </c>
      <c r="M92" s="69">
        <v>0</v>
      </c>
      <c r="N92" s="315">
        <f>$R92*O92</f>
        <v>0</v>
      </c>
      <c r="O92" s="69">
        <v>0</v>
      </c>
      <c r="P92" s="120">
        <f>$R92*Q92</f>
        <v>0</v>
      </c>
      <c r="Q92" s="69">
        <v>0</v>
      </c>
      <c r="R92" s="88">
        <f>'Terms and Turnovers'!AE28</f>
        <v>0</v>
      </c>
      <c r="S92" s="161">
        <f t="shared" si="7"/>
        <v>0</v>
      </c>
      <c r="T92" s="120">
        <f>$AF92*U92</f>
        <v>0</v>
      </c>
      <c r="U92" s="69">
        <v>0</v>
      </c>
      <c r="V92" s="120">
        <f>$AF92*W92</f>
        <v>0</v>
      </c>
      <c r="W92" s="69">
        <v>0</v>
      </c>
      <c r="X92" s="120">
        <f>$AF92*Y92</f>
        <v>0</v>
      </c>
      <c r="Y92" s="69">
        <v>0</v>
      </c>
      <c r="Z92" s="120">
        <f>$AF92*AA92</f>
        <v>0</v>
      </c>
      <c r="AA92" s="69">
        <v>0</v>
      </c>
      <c r="AB92" s="315">
        <f>$AF92*AC92</f>
        <v>0</v>
      </c>
      <c r="AC92" s="69">
        <v>0</v>
      </c>
      <c r="AD92" s="120">
        <f>$AF92*AE92</f>
        <v>0</v>
      </c>
      <c r="AE92" s="69">
        <v>0</v>
      </c>
      <c r="AF92" s="88">
        <f>'Terms and Turnovers'!AJ28</f>
        <v>0</v>
      </c>
      <c r="AG92" s="161">
        <f t="shared" si="8"/>
        <v>0</v>
      </c>
      <c r="AH92" s="158">
        <f t="shared" si="9"/>
        <v>0</v>
      </c>
      <c r="AI92" s="134">
        <f t="shared" si="10"/>
        <v>0</v>
      </c>
      <c r="AJ92" s="65"/>
      <c r="AL92" s="461">
        <f>SUM(F92,H92,J92,L92,N92,P92,T92,V92,X92,Z92,AB92,AD92)</f>
        <v>0</v>
      </c>
      <c r="AM92" s="462">
        <f>AL92-AH92</f>
        <v>0</v>
      </c>
      <c r="AO92" s="692"/>
      <c r="AP92" s="692"/>
      <c r="AV92" s="56"/>
    </row>
    <row r="93" spans="1:48" ht="13.5" customHeight="1" outlineLevel="1" thickBot="1">
      <c r="B93" s="82"/>
      <c r="C93" s="1234"/>
      <c r="D93" s="1234"/>
      <c r="E93" s="84">
        <f>'Terms and Turnovers'!$AN$12</f>
        <v>0</v>
      </c>
      <c r="F93" s="120">
        <f>$R93*G93</f>
        <v>0</v>
      </c>
      <c r="G93" s="723"/>
      <c r="H93" s="120">
        <f>$R93*I93</f>
        <v>0</v>
      </c>
      <c r="I93" s="69">
        <v>0</v>
      </c>
      <c r="J93" s="120">
        <f>$R93*K93</f>
        <v>0</v>
      </c>
      <c r="K93" s="69">
        <v>0</v>
      </c>
      <c r="L93" s="120">
        <f>$R93*M93</f>
        <v>0</v>
      </c>
      <c r="M93" s="69">
        <v>0</v>
      </c>
      <c r="N93" s="315">
        <f>$R93*O93</f>
        <v>0</v>
      </c>
      <c r="O93" s="69">
        <v>0</v>
      </c>
      <c r="P93" s="120">
        <f>$R93*Q93</f>
        <v>0</v>
      </c>
      <c r="Q93" s="69">
        <v>0</v>
      </c>
      <c r="R93" s="88">
        <f>'Terms and Turnovers'!AO28</f>
        <v>0</v>
      </c>
      <c r="S93" s="161">
        <f t="shared" si="7"/>
        <v>0</v>
      </c>
      <c r="T93" s="120">
        <f>$AF93*U93</f>
        <v>0</v>
      </c>
      <c r="U93" s="69">
        <v>0</v>
      </c>
      <c r="V93" s="120">
        <f>$AF93*W93</f>
        <v>0</v>
      </c>
      <c r="W93" s="69">
        <v>0</v>
      </c>
      <c r="X93" s="120">
        <f>$AF93*Y93</f>
        <v>0</v>
      </c>
      <c r="Y93" s="69">
        <v>0</v>
      </c>
      <c r="Z93" s="120">
        <f>$AF93*AA93</f>
        <v>0</v>
      </c>
      <c r="AA93" s="69">
        <v>0</v>
      </c>
      <c r="AB93" s="315">
        <f>$AF93*AC93</f>
        <v>0</v>
      </c>
      <c r="AC93" s="69">
        <v>0</v>
      </c>
      <c r="AD93" s="120">
        <f>$AF93*AE93</f>
        <v>0</v>
      </c>
      <c r="AE93" s="69">
        <v>0</v>
      </c>
      <c r="AF93" s="88">
        <f>'Terms and Turnovers'!AT28</f>
        <v>0</v>
      </c>
      <c r="AG93" s="161">
        <f t="shared" si="8"/>
        <v>0</v>
      </c>
      <c r="AH93" s="158">
        <f t="shared" si="9"/>
        <v>0</v>
      </c>
      <c r="AI93" s="134">
        <f t="shared" si="10"/>
        <v>0</v>
      </c>
      <c r="AJ93" s="65"/>
      <c r="AL93" s="461">
        <f>SUM(F93,H93,J93,L93,N93,P93,T93,V93,X93,Z93,AB93,AD93)</f>
        <v>0</v>
      </c>
      <c r="AM93" s="462">
        <f>AL93-AH93</f>
        <v>0</v>
      </c>
      <c r="AO93" s="692"/>
      <c r="AP93" s="692"/>
      <c r="AV93" s="56"/>
    </row>
    <row r="94" spans="1:48" ht="13.5" customHeight="1" outlineLevel="1" thickBot="1">
      <c r="B94" s="82"/>
      <c r="C94" s="1235"/>
      <c r="D94" s="1235"/>
      <c r="E94" s="85">
        <f>'Terms and Turnovers'!$AX$12</f>
        <v>0</v>
      </c>
      <c r="F94" s="121">
        <f>$R94*G94</f>
        <v>0</v>
      </c>
      <c r="G94" s="72"/>
      <c r="H94" s="121">
        <f>$R94*I94</f>
        <v>0</v>
      </c>
      <c r="I94" s="69">
        <v>0</v>
      </c>
      <c r="J94" s="121">
        <f>$R94*K94</f>
        <v>0</v>
      </c>
      <c r="K94" s="69">
        <v>0</v>
      </c>
      <c r="L94" s="121">
        <f>$R94*M94</f>
        <v>0</v>
      </c>
      <c r="M94" s="69">
        <v>0</v>
      </c>
      <c r="N94" s="316">
        <f>$R94*O94</f>
        <v>0</v>
      </c>
      <c r="O94" s="69">
        <v>0</v>
      </c>
      <c r="P94" s="121">
        <f>$R94*Q94</f>
        <v>0</v>
      </c>
      <c r="Q94" s="69">
        <v>0</v>
      </c>
      <c r="R94" s="89">
        <f>'Terms and Turnovers'!AY28</f>
        <v>0</v>
      </c>
      <c r="S94" s="162">
        <f t="shared" si="7"/>
        <v>0</v>
      </c>
      <c r="T94" s="121">
        <f>$AF94*U94</f>
        <v>0</v>
      </c>
      <c r="U94" s="69">
        <v>0</v>
      </c>
      <c r="V94" s="121">
        <f>$AF94*W94</f>
        <v>0</v>
      </c>
      <c r="W94" s="69">
        <v>0</v>
      </c>
      <c r="X94" s="121">
        <f>$AF94*Y94</f>
        <v>0</v>
      </c>
      <c r="Y94" s="69">
        <v>0</v>
      </c>
      <c r="Z94" s="121">
        <f>$AF94*AA94</f>
        <v>0</v>
      </c>
      <c r="AA94" s="69">
        <v>0</v>
      </c>
      <c r="AB94" s="316">
        <f>$AF94*AC94</f>
        <v>0</v>
      </c>
      <c r="AC94" s="69">
        <v>0</v>
      </c>
      <c r="AD94" s="121">
        <f>$AF94*AE94</f>
        <v>0</v>
      </c>
      <c r="AE94" s="69">
        <v>0</v>
      </c>
      <c r="AF94" s="89">
        <f>'Terms and Turnovers'!BD28</f>
        <v>0</v>
      </c>
      <c r="AG94" s="162">
        <f t="shared" si="8"/>
        <v>0</v>
      </c>
      <c r="AH94" s="159">
        <f t="shared" si="9"/>
        <v>0</v>
      </c>
      <c r="AI94" s="137">
        <f t="shared" si="10"/>
        <v>0</v>
      </c>
      <c r="AJ94" s="65"/>
      <c r="AL94" s="461">
        <f>SUM(F94,H94,J94,L94,N94,P94,T94,V94,X94,Z94,AB94,AD94)</f>
        <v>0</v>
      </c>
      <c r="AM94" s="462">
        <f>AL94-AH94</f>
        <v>0</v>
      </c>
      <c r="AO94" s="692"/>
      <c r="AP94" s="692"/>
      <c r="AV94" s="56"/>
    </row>
    <row r="95" spans="1:48" ht="13.5" customHeight="1" outlineLevel="1" thickBot="1">
      <c r="A95" s="119"/>
      <c r="B95" s="82"/>
      <c r="C95" s="425" t="s">
        <v>388</v>
      </c>
      <c r="D95" s="425"/>
      <c r="E95" s="426"/>
      <c r="F95" s="427">
        <f>SUM(F90:F94)</f>
        <v>0</v>
      </c>
      <c r="G95" s="428"/>
      <c r="H95" s="427">
        <f>SUM(H90:H94)</f>
        <v>0</v>
      </c>
      <c r="I95" s="69"/>
      <c r="J95" s="427">
        <f>SUM(J90:J94)</f>
        <v>0</v>
      </c>
      <c r="K95" s="69"/>
      <c r="L95" s="427">
        <f>SUM(L90:L94)</f>
        <v>0</v>
      </c>
      <c r="M95" s="69"/>
      <c r="N95" s="427">
        <f>SUM(N90:N94)</f>
        <v>0</v>
      </c>
      <c r="O95" s="69"/>
      <c r="P95" s="427">
        <f>SUM(P90:P94)</f>
        <v>0</v>
      </c>
      <c r="Q95" s="69"/>
      <c r="R95" s="429"/>
      <c r="S95" s="430"/>
      <c r="T95" s="427">
        <f>SUM(T90:T94)</f>
        <v>0</v>
      </c>
      <c r="U95" s="428"/>
      <c r="V95" s="427">
        <f>SUM(V90:V94)</f>
        <v>0</v>
      </c>
      <c r="W95" s="69"/>
      <c r="X95" s="427">
        <f>SUM(X90:X94)</f>
        <v>0</v>
      </c>
      <c r="Y95" s="69"/>
      <c r="Z95" s="427">
        <f>SUM(Z90:Z94)</f>
        <v>0</v>
      </c>
      <c r="AA95" s="69"/>
      <c r="AB95" s="427">
        <f>SUM(AB90:AB94)</f>
        <v>0</v>
      </c>
      <c r="AC95" s="69"/>
      <c r="AD95" s="427">
        <f>SUM(AD90:AD94)</f>
        <v>0</v>
      </c>
      <c r="AE95" s="69"/>
      <c r="AF95" s="429"/>
      <c r="AG95" s="430"/>
      <c r="AH95" s="431"/>
      <c r="AI95" s="432"/>
      <c r="AJ95" s="65"/>
      <c r="AO95" s="692"/>
      <c r="AP95" s="692"/>
      <c r="AV95" s="56"/>
    </row>
    <row r="96" spans="1:48" ht="13.5" customHeight="1" outlineLevel="1" thickBot="1">
      <c r="A96" s="119"/>
      <c r="B96" s="82"/>
      <c r="C96" s="1098" t="s">
        <v>484</v>
      </c>
      <c r="D96" s="433">
        <f>D90</f>
        <v>0</v>
      </c>
      <c r="E96" s="426"/>
      <c r="F96" s="700"/>
      <c r="G96" s="428"/>
      <c r="H96" s="700"/>
      <c r="I96" s="69"/>
      <c r="J96" s="700"/>
      <c r="K96" s="69"/>
      <c r="L96" s="700"/>
      <c r="M96" s="69"/>
      <c r="N96" s="700"/>
      <c r="O96" s="69"/>
      <c r="P96" s="700"/>
      <c r="Q96" s="69"/>
      <c r="R96" s="429"/>
      <c r="S96" s="430"/>
      <c r="T96" s="700"/>
      <c r="U96" s="428">
        <f>Q95</f>
        <v>0</v>
      </c>
      <c r="V96" s="700"/>
      <c r="W96" s="69">
        <f>S95</f>
        <v>0</v>
      </c>
      <c r="X96" s="700"/>
      <c r="Y96" s="69">
        <f>U95</f>
        <v>0</v>
      </c>
      <c r="Z96" s="700"/>
      <c r="AA96" s="69">
        <f>W95</f>
        <v>0</v>
      </c>
      <c r="AB96" s="700"/>
      <c r="AC96" s="69">
        <f>Y95</f>
        <v>0</v>
      </c>
      <c r="AD96" s="700"/>
      <c r="AE96" s="69"/>
      <c r="AF96" s="429"/>
      <c r="AG96" s="430"/>
      <c r="AH96" s="431"/>
      <c r="AI96" s="432"/>
      <c r="AJ96" s="65"/>
      <c r="AN96" s="742">
        <f>SUM(AF90:AF94)*AQ96</f>
        <v>0</v>
      </c>
      <c r="AO96" s="742">
        <f>SUM(R90:R94)*AQ96</f>
        <v>0</v>
      </c>
      <c r="AP96" s="742"/>
      <c r="AQ96" s="693">
        <v>0.1</v>
      </c>
      <c r="AS96" s="716">
        <f>SUM(AL90:AL94)</f>
        <v>0</v>
      </c>
      <c r="AT96" s="461">
        <f>F96+H96+J96+L96+N96+P96+T96+V96+X96+Z96+AB96+AD96</f>
        <v>0</v>
      </c>
      <c r="AU96" s="745">
        <f>AT96-AS96</f>
        <v>0</v>
      </c>
      <c r="AV96" s="462" t="e">
        <f>AT96/AS96</f>
        <v>#DIV/0!</v>
      </c>
    </row>
    <row r="97" spans="1:48" ht="13.5" customHeight="1" outlineLevel="1" thickBot="1">
      <c r="B97" s="82">
        <f>B90+1</f>
        <v>14</v>
      </c>
      <c r="C97" s="1233">
        <f>'Terms and Turnovers'!C29</f>
        <v>0</v>
      </c>
      <c r="D97" s="1233">
        <f>'Terms and Turnovers'!D29</f>
        <v>0</v>
      </c>
      <c r="E97" s="83" t="str">
        <f>'Terms and Turnovers'!$J$12</f>
        <v>FLIP-FLOPS</v>
      </c>
      <c r="F97" s="118">
        <f>$R97*G97</f>
        <v>0</v>
      </c>
      <c r="G97" s="69"/>
      <c r="H97" s="314">
        <f>$R97*I97</f>
        <v>0</v>
      </c>
      <c r="I97" s="69">
        <v>0</v>
      </c>
      <c r="J97" s="118">
        <f>$R97*K97</f>
        <v>0</v>
      </c>
      <c r="K97" s="69">
        <v>0</v>
      </c>
      <c r="L97" s="314">
        <f>$R97*M97</f>
        <v>0</v>
      </c>
      <c r="M97" s="69">
        <v>0</v>
      </c>
      <c r="N97" s="314">
        <f>$R97*O97</f>
        <v>0</v>
      </c>
      <c r="O97" s="69">
        <v>0</v>
      </c>
      <c r="P97" s="118">
        <f>$R97*Q97</f>
        <v>0</v>
      </c>
      <c r="Q97" s="69">
        <v>0</v>
      </c>
      <c r="R97" s="87">
        <f>'Terms and Turnovers'!K29</f>
        <v>0</v>
      </c>
      <c r="S97" s="160">
        <f t="shared" si="7"/>
        <v>0</v>
      </c>
      <c r="T97" s="118">
        <f>$AF97*U97</f>
        <v>0</v>
      </c>
      <c r="U97" s="69">
        <v>0</v>
      </c>
      <c r="V97" s="314">
        <f>$AF97*W97</f>
        <v>0</v>
      </c>
      <c r="W97" s="69">
        <v>0</v>
      </c>
      <c r="X97" s="118">
        <f>$AF97*Y97</f>
        <v>0</v>
      </c>
      <c r="Y97" s="69">
        <v>0</v>
      </c>
      <c r="Z97" s="314">
        <f>$AF97*AA97</f>
        <v>0</v>
      </c>
      <c r="AA97" s="69">
        <v>0</v>
      </c>
      <c r="AB97" s="314">
        <f>$AF97*AC97</f>
        <v>0</v>
      </c>
      <c r="AC97" s="69">
        <v>0</v>
      </c>
      <c r="AD97" s="118">
        <f>$AF97*AE97</f>
        <v>0</v>
      </c>
      <c r="AE97" s="69">
        <v>0</v>
      </c>
      <c r="AF97" s="87">
        <f>'Terms and Turnovers'!P29</f>
        <v>0</v>
      </c>
      <c r="AG97" s="160">
        <f t="shared" si="8"/>
        <v>0</v>
      </c>
      <c r="AH97" s="157">
        <f t="shared" si="9"/>
        <v>0</v>
      </c>
      <c r="AI97" s="131">
        <f t="shared" si="10"/>
        <v>0</v>
      </c>
      <c r="AJ97" s="65"/>
      <c r="AL97" s="461">
        <f>SUM(F97,H97,J97,L97,N97,P97,T97,V97,X97,Z97,AB97,AD97)</f>
        <v>0</v>
      </c>
      <c r="AM97" s="462">
        <f>AL97-AH97</f>
        <v>0</v>
      </c>
      <c r="AO97" s="692"/>
      <c r="AP97" s="692"/>
      <c r="AV97" s="56"/>
    </row>
    <row r="98" spans="1:48" ht="13.5" customHeight="1" outlineLevel="1" thickBot="1">
      <c r="B98" s="82"/>
      <c r="C98" s="1234"/>
      <c r="D98" s="1234"/>
      <c r="E98" s="84" t="str">
        <f>'Terms and Turnovers'!$T$12</f>
        <v>ORIGINALS</v>
      </c>
      <c r="F98" s="120">
        <f>$R98*G98</f>
        <v>0</v>
      </c>
      <c r="G98" s="723"/>
      <c r="H98" s="120">
        <f>$R98*I98</f>
        <v>0</v>
      </c>
      <c r="I98" s="69">
        <v>0</v>
      </c>
      <c r="J98" s="120">
        <f>$R98*K98</f>
        <v>0</v>
      </c>
      <c r="K98" s="69">
        <v>0</v>
      </c>
      <c r="L98" s="120">
        <f>$R98*M98</f>
        <v>0</v>
      </c>
      <c r="M98" s="69">
        <v>0</v>
      </c>
      <c r="N98" s="315">
        <f>$R98*O98</f>
        <v>0</v>
      </c>
      <c r="O98" s="69">
        <v>0</v>
      </c>
      <c r="P98" s="120">
        <f>$R98*Q98</f>
        <v>0</v>
      </c>
      <c r="Q98" s="69">
        <v>0</v>
      </c>
      <c r="R98" s="88">
        <f>'Terms and Turnovers'!U29</f>
        <v>0</v>
      </c>
      <c r="S98" s="161">
        <f t="shared" si="7"/>
        <v>0</v>
      </c>
      <c r="T98" s="120">
        <f>$AF98*U98</f>
        <v>0</v>
      </c>
      <c r="U98" s="69">
        <v>0</v>
      </c>
      <c r="V98" s="120">
        <f>$AF98*W98</f>
        <v>0</v>
      </c>
      <c r="W98" s="69">
        <v>0</v>
      </c>
      <c r="X98" s="120">
        <f>$AF98*Y98</f>
        <v>0</v>
      </c>
      <c r="Y98" s="69">
        <v>0</v>
      </c>
      <c r="Z98" s="120">
        <f>$AF98*AA98</f>
        <v>0</v>
      </c>
      <c r="AA98" s="69">
        <v>0</v>
      </c>
      <c r="AB98" s="315">
        <f>$AF98*AC98</f>
        <v>0</v>
      </c>
      <c r="AC98" s="69">
        <v>0</v>
      </c>
      <c r="AD98" s="120">
        <f>$AF98*AE98</f>
        <v>0</v>
      </c>
      <c r="AE98" s="69">
        <v>0</v>
      </c>
      <c r="AF98" s="88">
        <f>'Terms and Turnovers'!Z29</f>
        <v>0</v>
      </c>
      <c r="AG98" s="161">
        <f t="shared" si="8"/>
        <v>0</v>
      </c>
      <c r="AH98" s="158">
        <f t="shared" si="9"/>
        <v>0</v>
      </c>
      <c r="AI98" s="134">
        <f t="shared" si="10"/>
        <v>0</v>
      </c>
      <c r="AJ98" s="65"/>
      <c r="AL98" s="461">
        <f>SUM(F98,H98,J98,L98,N98,P98,T98,V98,X98,Z98,AB98,AD98)</f>
        <v>0</v>
      </c>
      <c r="AM98" s="462">
        <f>AL98-AH98</f>
        <v>0</v>
      </c>
      <c r="AO98" s="692"/>
      <c r="AP98" s="692"/>
      <c r="AV98" s="56"/>
    </row>
    <row r="99" spans="1:48" ht="13.5" customHeight="1" outlineLevel="1" thickBot="1">
      <c r="B99" s="82"/>
      <c r="C99" s="1234"/>
      <c r="D99" s="1234"/>
      <c r="E99" s="84" t="str">
        <f>'Terms and Turnovers'!$AD$12</f>
        <v>ACCESSORIES</v>
      </c>
      <c r="F99" s="120">
        <f>$R99*G99</f>
        <v>0</v>
      </c>
      <c r="G99" s="723"/>
      <c r="H99" s="120">
        <f>$R99*I99</f>
        <v>0</v>
      </c>
      <c r="I99" s="69">
        <v>0</v>
      </c>
      <c r="J99" s="120">
        <f>$R99*K99</f>
        <v>0</v>
      </c>
      <c r="K99" s="69">
        <v>0</v>
      </c>
      <c r="L99" s="120">
        <f>$R99*M99</f>
        <v>0</v>
      </c>
      <c r="M99" s="69">
        <v>0</v>
      </c>
      <c r="N99" s="315">
        <f>$R99*O99</f>
        <v>0</v>
      </c>
      <c r="O99" s="69">
        <v>0</v>
      </c>
      <c r="P99" s="120">
        <f>$R99*Q99</f>
        <v>0</v>
      </c>
      <c r="Q99" s="69">
        <v>0</v>
      </c>
      <c r="R99" s="88">
        <f>'Terms and Turnovers'!AE29</f>
        <v>0</v>
      </c>
      <c r="S99" s="161">
        <f t="shared" si="7"/>
        <v>0</v>
      </c>
      <c r="T99" s="120">
        <f>$AF99*U99</f>
        <v>0</v>
      </c>
      <c r="U99" s="69">
        <v>0</v>
      </c>
      <c r="V99" s="120">
        <f>$AF99*W99</f>
        <v>0</v>
      </c>
      <c r="W99" s="69">
        <v>0</v>
      </c>
      <c r="X99" s="120">
        <f>$AF99*Y99</f>
        <v>0</v>
      </c>
      <c r="Y99" s="69">
        <v>0</v>
      </c>
      <c r="Z99" s="120">
        <f>$AF99*AA99</f>
        <v>0</v>
      </c>
      <c r="AA99" s="69">
        <v>0</v>
      </c>
      <c r="AB99" s="315">
        <f>$AF99*AC99</f>
        <v>0</v>
      </c>
      <c r="AC99" s="69">
        <v>0</v>
      </c>
      <c r="AD99" s="120">
        <f>$AF99*AE99</f>
        <v>0</v>
      </c>
      <c r="AE99" s="69">
        <v>0</v>
      </c>
      <c r="AF99" s="88">
        <f>'Terms and Turnovers'!AJ29</f>
        <v>0</v>
      </c>
      <c r="AG99" s="161">
        <f t="shared" si="8"/>
        <v>0</v>
      </c>
      <c r="AH99" s="158">
        <f t="shared" si="9"/>
        <v>0</v>
      </c>
      <c r="AI99" s="134">
        <f t="shared" si="10"/>
        <v>0</v>
      </c>
      <c r="AJ99" s="65"/>
      <c r="AL99" s="461">
        <f>SUM(F99,H99,J99,L99,N99,P99,T99,V99,X99,Z99,AB99,AD99)</f>
        <v>0</v>
      </c>
      <c r="AM99" s="462">
        <f>AL99-AH99</f>
        <v>0</v>
      </c>
      <c r="AO99" s="692"/>
      <c r="AP99" s="692"/>
      <c r="AV99" s="56"/>
    </row>
    <row r="100" spans="1:48" ht="13.5" customHeight="1" outlineLevel="1" thickBot="1">
      <c r="B100" s="82"/>
      <c r="C100" s="1234"/>
      <c r="D100" s="1234"/>
      <c r="E100" s="84">
        <f>'Terms and Turnovers'!$AN$12</f>
        <v>0</v>
      </c>
      <c r="F100" s="120">
        <f>$R100*G100</f>
        <v>0</v>
      </c>
      <c r="G100" s="723"/>
      <c r="H100" s="120">
        <f>$R100*I100</f>
        <v>0</v>
      </c>
      <c r="I100" s="69">
        <v>0</v>
      </c>
      <c r="J100" s="120">
        <f>$R100*K100</f>
        <v>0</v>
      </c>
      <c r="K100" s="69">
        <v>0</v>
      </c>
      <c r="L100" s="120">
        <f>$R100*M100</f>
        <v>0</v>
      </c>
      <c r="M100" s="69">
        <v>0</v>
      </c>
      <c r="N100" s="315">
        <f>$R100*O100</f>
        <v>0</v>
      </c>
      <c r="O100" s="69">
        <v>0</v>
      </c>
      <c r="P100" s="120">
        <f>$R100*Q100</f>
        <v>0</v>
      </c>
      <c r="Q100" s="69">
        <v>0</v>
      </c>
      <c r="R100" s="88">
        <f>'Terms and Turnovers'!AO29</f>
        <v>0</v>
      </c>
      <c r="S100" s="161">
        <f t="shared" si="7"/>
        <v>0</v>
      </c>
      <c r="T100" s="120">
        <f>$AF100*U100</f>
        <v>0</v>
      </c>
      <c r="U100" s="69">
        <v>0</v>
      </c>
      <c r="V100" s="120">
        <f>$AF100*W100</f>
        <v>0</v>
      </c>
      <c r="W100" s="69">
        <v>0</v>
      </c>
      <c r="X100" s="120">
        <f>$AF100*Y100</f>
        <v>0</v>
      </c>
      <c r="Y100" s="69">
        <v>0</v>
      </c>
      <c r="Z100" s="120">
        <f>$AF100*AA100</f>
        <v>0</v>
      </c>
      <c r="AA100" s="69">
        <v>0</v>
      </c>
      <c r="AB100" s="315">
        <f>$AF100*AC100</f>
        <v>0</v>
      </c>
      <c r="AC100" s="69">
        <v>0</v>
      </c>
      <c r="AD100" s="120">
        <f>$AF100*AE100</f>
        <v>0</v>
      </c>
      <c r="AE100" s="69">
        <v>0</v>
      </c>
      <c r="AF100" s="88">
        <f>'Terms and Turnovers'!AT29</f>
        <v>0</v>
      </c>
      <c r="AG100" s="161">
        <f t="shared" si="8"/>
        <v>0</v>
      </c>
      <c r="AH100" s="158">
        <f t="shared" si="9"/>
        <v>0</v>
      </c>
      <c r="AI100" s="134">
        <f t="shared" si="10"/>
        <v>0</v>
      </c>
      <c r="AJ100" s="65"/>
      <c r="AL100" s="461">
        <f>SUM(F100,H100,J100,L100,N100,P100,T100,V100,X100,Z100,AB100,AD100)</f>
        <v>0</v>
      </c>
      <c r="AM100" s="462">
        <f>AL100-AH100</f>
        <v>0</v>
      </c>
      <c r="AO100" s="692"/>
      <c r="AP100" s="692"/>
      <c r="AV100" s="56"/>
    </row>
    <row r="101" spans="1:48" ht="13.5" customHeight="1" outlineLevel="1" thickBot="1">
      <c r="B101" s="82"/>
      <c r="C101" s="1235"/>
      <c r="D101" s="1235"/>
      <c r="E101" s="85">
        <f>'Terms and Turnovers'!$AX$12</f>
        <v>0</v>
      </c>
      <c r="F101" s="121">
        <f>$R101*G101</f>
        <v>0</v>
      </c>
      <c r="G101" s="72"/>
      <c r="H101" s="121">
        <f>$R101*I101</f>
        <v>0</v>
      </c>
      <c r="I101" s="69">
        <v>0</v>
      </c>
      <c r="J101" s="121">
        <f>$R101*K101</f>
        <v>0</v>
      </c>
      <c r="K101" s="69">
        <v>0</v>
      </c>
      <c r="L101" s="121">
        <f>$R101*M101</f>
        <v>0</v>
      </c>
      <c r="M101" s="69">
        <v>0</v>
      </c>
      <c r="N101" s="316">
        <f>$R101*O101</f>
        <v>0</v>
      </c>
      <c r="O101" s="69">
        <v>0</v>
      </c>
      <c r="P101" s="121">
        <f>$R101*Q101</f>
        <v>0</v>
      </c>
      <c r="Q101" s="69">
        <v>0</v>
      </c>
      <c r="R101" s="89">
        <f>'Terms and Turnovers'!AY29</f>
        <v>0</v>
      </c>
      <c r="S101" s="162">
        <f t="shared" si="7"/>
        <v>0</v>
      </c>
      <c r="T101" s="121">
        <f>$AF101*U101</f>
        <v>0</v>
      </c>
      <c r="U101" s="69">
        <v>0</v>
      </c>
      <c r="V101" s="121">
        <f>$AF101*W101</f>
        <v>0</v>
      </c>
      <c r="W101" s="69">
        <v>0</v>
      </c>
      <c r="X101" s="121">
        <f>$AF101*Y101</f>
        <v>0</v>
      </c>
      <c r="Y101" s="69">
        <v>0</v>
      </c>
      <c r="Z101" s="121">
        <f>$AF101*AA101</f>
        <v>0</v>
      </c>
      <c r="AA101" s="69">
        <v>0</v>
      </c>
      <c r="AB101" s="316">
        <f>$AF101*AC101</f>
        <v>0</v>
      </c>
      <c r="AC101" s="69">
        <v>0</v>
      </c>
      <c r="AD101" s="121">
        <f>$AF101*AE101</f>
        <v>0</v>
      </c>
      <c r="AE101" s="69">
        <v>0</v>
      </c>
      <c r="AF101" s="89">
        <f>'Terms and Turnovers'!BD29</f>
        <v>0</v>
      </c>
      <c r="AG101" s="162">
        <f t="shared" si="8"/>
        <v>0</v>
      </c>
      <c r="AH101" s="159">
        <f t="shared" si="9"/>
        <v>0</v>
      </c>
      <c r="AI101" s="137">
        <f t="shared" si="10"/>
        <v>0</v>
      </c>
      <c r="AJ101" s="65"/>
      <c r="AL101" s="461">
        <f>SUM(F101,H101,J101,L101,N101,P101,T101,V101,X101,Z101,AB101,AD101)</f>
        <v>0</v>
      </c>
      <c r="AM101" s="462">
        <f>AL101-AH101</f>
        <v>0</v>
      </c>
      <c r="AO101" s="692"/>
      <c r="AP101" s="692"/>
      <c r="AV101" s="56"/>
    </row>
    <row r="102" spans="1:48" ht="13.5" customHeight="1" outlineLevel="1" thickBot="1">
      <c r="A102" s="119"/>
      <c r="B102" s="82"/>
      <c r="C102" s="425" t="s">
        <v>388</v>
      </c>
      <c r="D102" s="425"/>
      <c r="E102" s="426"/>
      <c r="F102" s="427">
        <f>SUM(F97:F101)</f>
        <v>0</v>
      </c>
      <c r="G102" s="428"/>
      <c r="H102" s="427">
        <f>SUM(H97:H101)</f>
        <v>0</v>
      </c>
      <c r="I102" s="69"/>
      <c r="J102" s="427">
        <f>SUM(J97:J101)</f>
        <v>0</v>
      </c>
      <c r="K102" s="69"/>
      <c r="L102" s="427">
        <f>SUM(L97:L101)</f>
        <v>0</v>
      </c>
      <c r="M102" s="69"/>
      <c r="N102" s="427">
        <f>SUM(N97:N101)</f>
        <v>0</v>
      </c>
      <c r="O102" s="69"/>
      <c r="P102" s="427">
        <f>SUM(P97:P101)</f>
        <v>0</v>
      </c>
      <c r="Q102" s="69"/>
      <c r="R102" s="429"/>
      <c r="S102" s="430"/>
      <c r="T102" s="427">
        <f>SUM(T97:T101)</f>
        <v>0</v>
      </c>
      <c r="U102" s="428"/>
      <c r="V102" s="427">
        <f>SUM(V97:V101)</f>
        <v>0</v>
      </c>
      <c r="W102" s="69"/>
      <c r="X102" s="427">
        <f>SUM(X97:X101)</f>
        <v>0</v>
      </c>
      <c r="Y102" s="69"/>
      <c r="Z102" s="427">
        <f>SUM(Z97:Z101)</f>
        <v>0</v>
      </c>
      <c r="AA102" s="69"/>
      <c r="AB102" s="427">
        <f>SUM(AB97:AB101)</f>
        <v>0</v>
      </c>
      <c r="AC102" s="69"/>
      <c r="AD102" s="427">
        <f>SUM(AD97:AD101)</f>
        <v>0</v>
      </c>
      <c r="AE102" s="69"/>
      <c r="AF102" s="429"/>
      <c r="AG102" s="430"/>
      <c r="AH102" s="431"/>
      <c r="AI102" s="432"/>
      <c r="AJ102" s="65"/>
      <c r="AO102" s="692"/>
      <c r="AP102" s="692"/>
      <c r="AV102" s="56"/>
    </row>
    <row r="103" spans="1:48" ht="13.5" customHeight="1" outlineLevel="1" thickBot="1">
      <c r="A103" s="119"/>
      <c r="B103" s="82"/>
      <c r="C103" s="1098" t="s">
        <v>484</v>
      </c>
      <c r="D103" s="433">
        <f>D97</f>
        <v>0</v>
      </c>
      <c r="E103" s="426"/>
      <c r="F103" s="700"/>
      <c r="G103" s="428"/>
      <c r="H103" s="700"/>
      <c r="I103" s="69"/>
      <c r="J103" s="700"/>
      <c r="K103" s="69"/>
      <c r="L103" s="700"/>
      <c r="M103" s="69"/>
      <c r="N103" s="700"/>
      <c r="O103" s="69"/>
      <c r="P103" s="700"/>
      <c r="Q103" s="69"/>
      <c r="R103" s="429"/>
      <c r="S103" s="430"/>
      <c r="T103" s="700"/>
      <c r="U103" s="428">
        <f>Q102</f>
        <v>0</v>
      </c>
      <c r="V103" s="700"/>
      <c r="W103" s="69">
        <f>S102</f>
        <v>0</v>
      </c>
      <c r="X103" s="700"/>
      <c r="Y103" s="69">
        <f>U102</f>
        <v>0</v>
      </c>
      <c r="Z103" s="700"/>
      <c r="AA103" s="69">
        <f>W102</f>
        <v>0</v>
      </c>
      <c r="AB103" s="700"/>
      <c r="AC103" s="69">
        <f>Y102</f>
        <v>0</v>
      </c>
      <c r="AD103" s="700"/>
      <c r="AE103" s="69"/>
      <c r="AF103" s="429"/>
      <c r="AG103" s="430"/>
      <c r="AH103" s="431"/>
      <c r="AI103" s="432"/>
      <c r="AJ103" s="65"/>
      <c r="AN103" s="742">
        <f>SUM(AF97:AF101)*AQ103</f>
        <v>0</v>
      </c>
      <c r="AO103" s="742">
        <f>SUM(R97:R101)*AQ103</f>
        <v>0</v>
      </c>
      <c r="AP103" s="742"/>
      <c r="AQ103" s="693">
        <v>0.15</v>
      </c>
      <c r="AS103" s="716">
        <f>SUM(AL97:AL101)</f>
        <v>0</v>
      </c>
      <c r="AT103" s="461">
        <f>F103+H103+J103+L103+N103+P103+T103+V103+X103+Z103+AB103+AD103</f>
        <v>0</v>
      </c>
      <c r="AU103" s="745">
        <f>AT103-AS103</f>
        <v>0</v>
      </c>
      <c r="AV103" s="462" t="e">
        <f>AT103/AS103</f>
        <v>#DIV/0!</v>
      </c>
    </row>
    <row r="104" spans="1:48" ht="13.5" customHeight="1" outlineLevel="1" thickBot="1">
      <c r="B104" s="82">
        <f>B97+1</f>
        <v>15</v>
      </c>
      <c r="C104" s="1233">
        <f>'Terms and Turnovers'!C30</f>
        <v>0</v>
      </c>
      <c r="D104" s="1233">
        <f>'Terms and Turnovers'!D30</f>
        <v>0</v>
      </c>
      <c r="E104" s="83" t="str">
        <f>'Terms and Turnovers'!$J$12</f>
        <v>FLIP-FLOPS</v>
      </c>
      <c r="F104" s="118">
        <f>$R104*G104</f>
        <v>0</v>
      </c>
      <c r="G104" s="69"/>
      <c r="H104" s="314">
        <f>$R104*I104</f>
        <v>0</v>
      </c>
      <c r="I104" s="69">
        <v>0</v>
      </c>
      <c r="J104" s="118">
        <f>$R104*K104</f>
        <v>0</v>
      </c>
      <c r="K104" s="69">
        <v>0</v>
      </c>
      <c r="L104" s="314">
        <f>$R104*M104</f>
        <v>0</v>
      </c>
      <c r="M104" s="69">
        <v>0</v>
      </c>
      <c r="N104" s="314">
        <f>$R104*O104</f>
        <v>0</v>
      </c>
      <c r="O104" s="69">
        <v>0</v>
      </c>
      <c r="P104" s="118">
        <f>$R104*Q104</f>
        <v>0</v>
      </c>
      <c r="Q104" s="69">
        <v>0</v>
      </c>
      <c r="R104" s="87">
        <f>'Terms and Turnovers'!K30</f>
        <v>0</v>
      </c>
      <c r="S104" s="160">
        <f t="shared" si="7"/>
        <v>0</v>
      </c>
      <c r="T104" s="118">
        <f>$AF104*U104</f>
        <v>0</v>
      </c>
      <c r="U104" s="69">
        <v>0</v>
      </c>
      <c r="V104" s="314">
        <f>$AF104*W104</f>
        <v>0</v>
      </c>
      <c r="W104" s="69">
        <v>0</v>
      </c>
      <c r="X104" s="118">
        <f>$AF104*Y104</f>
        <v>0</v>
      </c>
      <c r="Y104" s="69">
        <v>0</v>
      </c>
      <c r="Z104" s="314">
        <f>$AF104*AA104</f>
        <v>0</v>
      </c>
      <c r="AA104" s="69">
        <v>0</v>
      </c>
      <c r="AB104" s="314">
        <f>$AF104*AC104</f>
        <v>0</v>
      </c>
      <c r="AC104" s="69">
        <v>0</v>
      </c>
      <c r="AD104" s="118">
        <f>$AF104*AE104</f>
        <v>0</v>
      </c>
      <c r="AE104" s="69">
        <v>0</v>
      </c>
      <c r="AF104" s="87">
        <f>'Terms and Turnovers'!P30</f>
        <v>0</v>
      </c>
      <c r="AG104" s="160">
        <f t="shared" si="8"/>
        <v>0</v>
      </c>
      <c r="AH104" s="157">
        <f t="shared" si="9"/>
        <v>0</v>
      </c>
      <c r="AI104" s="131">
        <f t="shared" si="10"/>
        <v>0</v>
      </c>
      <c r="AJ104" s="65"/>
      <c r="AL104" s="461">
        <f>SUM(F104,H104,J104,L104,N104,P104,T104,V104,X104,Z104,AB104,AD104)</f>
        <v>0</v>
      </c>
      <c r="AM104" s="462">
        <f>AL104-AH104</f>
        <v>0</v>
      </c>
      <c r="AO104" s="692"/>
      <c r="AP104" s="692"/>
      <c r="AV104" s="56"/>
    </row>
    <row r="105" spans="1:48" ht="13.5" customHeight="1" outlineLevel="1" thickBot="1">
      <c r="B105" s="82"/>
      <c r="C105" s="1234"/>
      <c r="D105" s="1234"/>
      <c r="E105" s="84" t="str">
        <f>'Terms and Turnovers'!$T$12</f>
        <v>ORIGINALS</v>
      </c>
      <c r="F105" s="120">
        <f>$R105*G105</f>
        <v>0</v>
      </c>
      <c r="G105" s="723"/>
      <c r="H105" s="120">
        <f>$R105*I105</f>
        <v>0</v>
      </c>
      <c r="I105" s="69">
        <v>0</v>
      </c>
      <c r="J105" s="120">
        <f>$R105*K105</f>
        <v>0</v>
      </c>
      <c r="K105" s="69">
        <v>0</v>
      </c>
      <c r="L105" s="120">
        <f>$R105*M105</f>
        <v>0</v>
      </c>
      <c r="M105" s="69">
        <v>0</v>
      </c>
      <c r="N105" s="315">
        <f>$R105*O105</f>
        <v>0</v>
      </c>
      <c r="O105" s="69">
        <v>0</v>
      </c>
      <c r="P105" s="120">
        <f>$R105*Q105</f>
        <v>0</v>
      </c>
      <c r="Q105" s="69">
        <v>0</v>
      </c>
      <c r="R105" s="88">
        <f>'Terms and Turnovers'!U30</f>
        <v>0</v>
      </c>
      <c r="S105" s="161">
        <f t="shared" si="7"/>
        <v>0</v>
      </c>
      <c r="T105" s="120">
        <f>$AF105*U105</f>
        <v>0</v>
      </c>
      <c r="U105" s="69">
        <v>0</v>
      </c>
      <c r="V105" s="120">
        <f>$AF105*W105</f>
        <v>0</v>
      </c>
      <c r="W105" s="69">
        <v>0</v>
      </c>
      <c r="X105" s="120">
        <f>$AF105*Y105</f>
        <v>0</v>
      </c>
      <c r="Y105" s="69">
        <v>0</v>
      </c>
      <c r="Z105" s="120">
        <f>$AF105*AA105</f>
        <v>0</v>
      </c>
      <c r="AA105" s="69">
        <v>0</v>
      </c>
      <c r="AB105" s="315">
        <f>$AF105*AC105</f>
        <v>0</v>
      </c>
      <c r="AC105" s="69">
        <v>0</v>
      </c>
      <c r="AD105" s="120">
        <f>$AF105*AE105</f>
        <v>0</v>
      </c>
      <c r="AE105" s="69">
        <v>0</v>
      </c>
      <c r="AF105" s="88">
        <f>'Terms and Turnovers'!Z30</f>
        <v>0</v>
      </c>
      <c r="AG105" s="161">
        <f t="shared" si="8"/>
        <v>0</v>
      </c>
      <c r="AH105" s="158">
        <f t="shared" si="9"/>
        <v>0</v>
      </c>
      <c r="AI105" s="134">
        <f t="shared" si="10"/>
        <v>0</v>
      </c>
      <c r="AJ105" s="65"/>
      <c r="AL105" s="461">
        <f>SUM(F105,H105,J105,L105,N105,P105,T105,V105,X105,Z105,AB105,AD105)</f>
        <v>0</v>
      </c>
      <c r="AM105" s="462">
        <f>AL105-AH105</f>
        <v>0</v>
      </c>
      <c r="AO105" s="692"/>
      <c r="AP105" s="692"/>
      <c r="AV105" s="56"/>
    </row>
    <row r="106" spans="1:48" ht="13.5" customHeight="1" outlineLevel="1" thickBot="1">
      <c r="B106" s="82"/>
      <c r="C106" s="1234"/>
      <c r="D106" s="1234"/>
      <c r="E106" s="84" t="str">
        <f>'Terms and Turnovers'!$AD$12</f>
        <v>ACCESSORIES</v>
      </c>
      <c r="F106" s="120">
        <f>$R106*G106</f>
        <v>0</v>
      </c>
      <c r="G106" s="723"/>
      <c r="H106" s="120">
        <f>$R106*I106</f>
        <v>0</v>
      </c>
      <c r="I106" s="69">
        <v>0</v>
      </c>
      <c r="J106" s="120">
        <f>$R106*K106</f>
        <v>0</v>
      </c>
      <c r="K106" s="69">
        <v>0</v>
      </c>
      <c r="L106" s="120">
        <f>$R106*M106</f>
        <v>0</v>
      </c>
      <c r="M106" s="69">
        <v>0</v>
      </c>
      <c r="N106" s="315">
        <f>$R106*O106</f>
        <v>0</v>
      </c>
      <c r="O106" s="69">
        <v>0</v>
      </c>
      <c r="P106" s="120">
        <f>$R106*Q106</f>
        <v>0</v>
      </c>
      <c r="Q106" s="69">
        <v>0</v>
      </c>
      <c r="R106" s="88">
        <f>'Terms and Turnovers'!AE30</f>
        <v>0</v>
      </c>
      <c r="S106" s="161">
        <f t="shared" si="7"/>
        <v>0</v>
      </c>
      <c r="T106" s="120">
        <f>$AF106*U106</f>
        <v>0</v>
      </c>
      <c r="U106" s="69">
        <v>0</v>
      </c>
      <c r="V106" s="120">
        <f>$AF106*W106</f>
        <v>0</v>
      </c>
      <c r="W106" s="69">
        <v>0</v>
      </c>
      <c r="X106" s="120">
        <f>$AF106*Y106</f>
        <v>0</v>
      </c>
      <c r="Y106" s="69">
        <v>0</v>
      </c>
      <c r="Z106" s="120">
        <f>$AF106*AA106</f>
        <v>0</v>
      </c>
      <c r="AA106" s="69">
        <v>0</v>
      </c>
      <c r="AB106" s="315">
        <f>$AF106*AC106</f>
        <v>0</v>
      </c>
      <c r="AC106" s="69">
        <v>0</v>
      </c>
      <c r="AD106" s="120">
        <f>$AF106*AE106</f>
        <v>0</v>
      </c>
      <c r="AE106" s="69">
        <v>0</v>
      </c>
      <c r="AF106" s="88">
        <f>'Terms and Turnovers'!AJ30</f>
        <v>0</v>
      </c>
      <c r="AG106" s="161">
        <f t="shared" si="8"/>
        <v>0</v>
      </c>
      <c r="AH106" s="158">
        <f t="shared" si="9"/>
        <v>0</v>
      </c>
      <c r="AI106" s="134">
        <f t="shared" si="10"/>
        <v>0</v>
      </c>
      <c r="AJ106" s="65"/>
      <c r="AL106" s="461">
        <f>SUM(F106,H106,J106,L106,N106,P106,T106,V106,X106,Z106,AB106,AD106)</f>
        <v>0</v>
      </c>
      <c r="AM106" s="462">
        <f>AL106-AH106</f>
        <v>0</v>
      </c>
      <c r="AO106" s="692"/>
      <c r="AP106" s="692"/>
      <c r="AV106" s="56"/>
    </row>
    <row r="107" spans="1:48" ht="13.5" customHeight="1" outlineLevel="1" thickBot="1">
      <c r="B107" s="82"/>
      <c r="C107" s="1234"/>
      <c r="D107" s="1234"/>
      <c r="E107" s="84">
        <f>'Terms and Turnovers'!$AN$12</f>
        <v>0</v>
      </c>
      <c r="F107" s="120">
        <f>$R107*G107</f>
        <v>0</v>
      </c>
      <c r="G107" s="723"/>
      <c r="H107" s="120">
        <f>$R107*I107</f>
        <v>0</v>
      </c>
      <c r="I107" s="69">
        <v>0</v>
      </c>
      <c r="J107" s="120">
        <f>$R107*K107</f>
        <v>0</v>
      </c>
      <c r="K107" s="69">
        <v>0</v>
      </c>
      <c r="L107" s="120">
        <f>$R107*M107</f>
        <v>0</v>
      </c>
      <c r="M107" s="69">
        <v>0</v>
      </c>
      <c r="N107" s="315">
        <f>$R107*O107</f>
        <v>0</v>
      </c>
      <c r="O107" s="69">
        <v>0</v>
      </c>
      <c r="P107" s="120">
        <f>$R107*Q107</f>
        <v>0</v>
      </c>
      <c r="Q107" s="69">
        <v>0</v>
      </c>
      <c r="R107" s="88">
        <f>'Terms and Turnovers'!AO30</f>
        <v>0</v>
      </c>
      <c r="S107" s="161">
        <f t="shared" si="7"/>
        <v>0</v>
      </c>
      <c r="T107" s="120">
        <f>$AF107*U107</f>
        <v>0</v>
      </c>
      <c r="U107" s="69">
        <v>0</v>
      </c>
      <c r="V107" s="120">
        <f>$AF107*W107</f>
        <v>0</v>
      </c>
      <c r="W107" s="69">
        <v>0</v>
      </c>
      <c r="X107" s="120">
        <f>$AF107*Y107</f>
        <v>0</v>
      </c>
      <c r="Y107" s="69">
        <v>0</v>
      </c>
      <c r="Z107" s="120">
        <f>$AF107*AA107</f>
        <v>0</v>
      </c>
      <c r="AA107" s="69">
        <v>0</v>
      </c>
      <c r="AB107" s="315">
        <f>$AF107*AC107</f>
        <v>0</v>
      </c>
      <c r="AC107" s="69">
        <v>0</v>
      </c>
      <c r="AD107" s="120">
        <f>$AF107*AE107</f>
        <v>0</v>
      </c>
      <c r="AE107" s="69">
        <v>0</v>
      </c>
      <c r="AF107" s="88">
        <f>'Terms and Turnovers'!AT30</f>
        <v>0</v>
      </c>
      <c r="AG107" s="161">
        <f t="shared" si="8"/>
        <v>0</v>
      </c>
      <c r="AH107" s="158">
        <f t="shared" si="9"/>
        <v>0</v>
      </c>
      <c r="AI107" s="134">
        <f t="shared" si="10"/>
        <v>0</v>
      </c>
      <c r="AJ107" s="65"/>
      <c r="AL107" s="461">
        <f>SUM(F107,H107,J107,L107,N107,P107,T107,V107,X107,Z107,AB107,AD107)</f>
        <v>0</v>
      </c>
      <c r="AM107" s="462">
        <f>AL107-AH107</f>
        <v>0</v>
      </c>
      <c r="AO107" s="692"/>
      <c r="AP107" s="692"/>
      <c r="AV107" s="56"/>
    </row>
    <row r="108" spans="1:48" ht="13.5" customHeight="1" outlineLevel="1" thickBot="1">
      <c r="B108" s="82"/>
      <c r="C108" s="1235"/>
      <c r="D108" s="1235"/>
      <c r="E108" s="85">
        <f>'Terms and Turnovers'!$AX$12</f>
        <v>0</v>
      </c>
      <c r="F108" s="121">
        <f>$R108*G108</f>
        <v>0</v>
      </c>
      <c r="G108" s="72"/>
      <c r="H108" s="121">
        <f>$R108*I108</f>
        <v>0</v>
      </c>
      <c r="I108" s="69">
        <v>0</v>
      </c>
      <c r="J108" s="121">
        <f>$R108*K108</f>
        <v>0</v>
      </c>
      <c r="K108" s="69">
        <v>0</v>
      </c>
      <c r="L108" s="121">
        <f>$R108*M108</f>
        <v>0</v>
      </c>
      <c r="M108" s="69">
        <v>0</v>
      </c>
      <c r="N108" s="316">
        <f>$R108*O108</f>
        <v>0</v>
      </c>
      <c r="O108" s="69">
        <v>0</v>
      </c>
      <c r="P108" s="121">
        <f>$R108*Q108</f>
        <v>0</v>
      </c>
      <c r="Q108" s="69">
        <v>0</v>
      </c>
      <c r="R108" s="89">
        <f>'Terms and Turnovers'!AY30</f>
        <v>0</v>
      </c>
      <c r="S108" s="162">
        <f t="shared" si="7"/>
        <v>0</v>
      </c>
      <c r="T108" s="121">
        <f>$AF108*U108</f>
        <v>0</v>
      </c>
      <c r="U108" s="69">
        <v>0</v>
      </c>
      <c r="V108" s="121">
        <f>$AF108*W108</f>
        <v>0</v>
      </c>
      <c r="W108" s="69">
        <v>0</v>
      </c>
      <c r="X108" s="121">
        <f>$AF108*Y108</f>
        <v>0</v>
      </c>
      <c r="Y108" s="69">
        <v>0</v>
      </c>
      <c r="Z108" s="121">
        <f>$AF108*AA108</f>
        <v>0</v>
      </c>
      <c r="AA108" s="69">
        <v>0</v>
      </c>
      <c r="AB108" s="316">
        <f>$AF108*AC108</f>
        <v>0</v>
      </c>
      <c r="AC108" s="69">
        <v>0</v>
      </c>
      <c r="AD108" s="121">
        <f>$AF108*AE108</f>
        <v>0</v>
      </c>
      <c r="AE108" s="69">
        <v>0</v>
      </c>
      <c r="AF108" s="89">
        <f>'Terms and Turnovers'!BD30</f>
        <v>0</v>
      </c>
      <c r="AG108" s="162">
        <f t="shared" si="8"/>
        <v>0</v>
      </c>
      <c r="AH108" s="159">
        <f t="shared" si="9"/>
        <v>0</v>
      </c>
      <c r="AI108" s="137">
        <f t="shared" si="10"/>
        <v>0</v>
      </c>
      <c r="AJ108" s="65"/>
      <c r="AL108" s="461">
        <f>SUM(F108,H108,J108,L108,N108,P108,T108,V108,X108,Z108,AB108,AD108)</f>
        <v>0</v>
      </c>
      <c r="AM108" s="462">
        <f>AL108-AH108</f>
        <v>0</v>
      </c>
      <c r="AO108" s="692"/>
      <c r="AP108" s="692"/>
      <c r="AV108" s="56"/>
    </row>
    <row r="109" spans="1:48" ht="13.5" customHeight="1" outlineLevel="1" thickBot="1">
      <c r="A109" s="119"/>
      <c r="B109" s="82"/>
      <c r="C109" s="425" t="s">
        <v>388</v>
      </c>
      <c r="D109" s="425"/>
      <c r="E109" s="426"/>
      <c r="F109" s="427">
        <f>SUM(F104:F108)</f>
        <v>0</v>
      </c>
      <c r="G109" s="428"/>
      <c r="H109" s="427">
        <f>SUM(H104:H108)</f>
        <v>0</v>
      </c>
      <c r="I109" s="69"/>
      <c r="J109" s="427">
        <f>SUM(J104:J108)</f>
        <v>0</v>
      </c>
      <c r="K109" s="69"/>
      <c r="L109" s="427">
        <f>SUM(L104:L108)</f>
        <v>0</v>
      </c>
      <c r="M109" s="69"/>
      <c r="N109" s="427">
        <f>SUM(N104:N108)</f>
        <v>0</v>
      </c>
      <c r="O109" s="69"/>
      <c r="P109" s="427">
        <f>SUM(P104:P108)</f>
        <v>0</v>
      </c>
      <c r="Q109" s="69"/>
      <c r="R109" s="429"/>
      <c r="S109" s="430"/>
      <c r="T109" s="427">
        <f>SUM(T104:T108)</f>
        <v>0</v>
      </c>
      <c r="U109" s="428"/>
      <c r="V109" s="427">
        <f>SUM(V104:V108)</f>
        <v>0</v>
      </c>
      <c r="W109" s="69"/>
      <c r="X109" s="427">
        <f>SUM(X104:X108)</f>
        <v>0</v>
      </c>
      <c r="Y109" s="69"/>
      <c r="Z109" s="427">
        <f>SUM(Z104:Z108)</f>
        <v>0</v>
      </c>
      <c r="AA109" s="69"/>
      <c r="AB109" s="427">
        <f>SUM(AB104:AB108)</f>
        <v>0</v>
      </c>
      <c r="AC109" s="69"/>
      <c r="AD109" s="427">
        <f>SUM(AD104:AD108)</f>
        <v>0</v>
      </c>
      <c r="AE109" s="69"/>
      <c r="AF109" s="429"/>
      <c r="AG109" s="430"/>
      <c r="AH109" s="431"/>
      <c r="AI109" s="432"/>
      <c r="AJ109" s="65"/>
      <c r="AO109" s="692"/>
      <c r="AP109" s="692"/>
      <c r="AV109" s="56"/>
    </row>
    <row r="110" spans="1:48" ht="13.5" customHeight="1" outlineLevel="1" thickBot="1">
      <c r="A110" s="119"/>
      <c r="B110" s="82"/>
      <c r="C110" s="1098" t="s">
        <v>484</v>
      </c>
      <c r="D110" s="433">
        <f>D104</f>
        <v>0</v>
      </c>
      <c r="E110" s="426"/>
      <c r="F110" s="700"/>
      <c r="G110" s="428"/>
      <c r="H110" s="700"/>
      <c r="I110" s="69"/>
      <c r="J110" s="700"/>
      <c r="K110" s="69"/>
      <c r="L110" s="700"/>
      <c r="M110" s="69"/>
      <c r="N110" s="700"/>
      <c r="O110" s="69"/>
      <c r="P110" s="700"/>
      <c r="Q110" s="69"/>
      <c r="R110" s="429"/>
      <c r="S110" s="430"/>
      <c r="T110" s="700"/>
      <c r="U110" s="428">
        <f>Q109</f>
        <v>0</v>
      </c>
      <c r="V110" s="700"/>
      <c r="W110" s="69">
        <f>S109</f>
        <v>0</v>
      </c>
      <c r="X110" s="700"/>
      <c r="Y110" s="69">
        <f>U109</f>
        <v>0</v>
      </c>
      <c r="Z110" s="700"/>
      <c r="AA110" s="69">
        <f>W109</f>
        <v>0</v>
      </c>
      <c r="AB110" s="700"/>
      <c r="AC110" s="69">
        <f>Y109</f>
        <v>0</v>
      </c>
      <c r="AD110" s="700"/>
      <c r="AE110" s="69"/>
      <c r="AF110" s="429"/>
      <c r="AG110" s="430"/>
      <c r="AH110" s="431"/>
      <c r="AI110" s="432"/>
      <c r="AJ110" s="65"/>
      <c r="AN110" s="742">
        <f>SUM(AF104:AF108)*AQ110</f>
        <v>0</v>
      </c>
      <c r="AO110" s="742">
        <f>SUM(R104:R108)*AQ110</f>
        <v>0</v>
      </c>
      <c r="AP110" s="742"/>
      <c r="AQ110" s="693">
        <v>0.15</v>
      </c>
      <c r="AS110" s="716">
        <f>SUM(AL104:AL108)</f>
        <v>0</v>
      </c>
      <c r="AT110" s="461">
        <f>F110+H110+J110+L110+N110+P110+T110+V110+X110+Z110+AB110+AD110</f>
        <v>0</v>
      </c>
      <c r="AU110" s="745">
        <f>AT110-AS110</f>
        <v>0</v>
      </c>
      <c r="AV110" s="462" t="e">
        <f>AT110/AS110</f>
        <v>#DIV/0!</v>
      </c>
    </row>
    <row r="111" spans="1:48" ht="13.5" customHeight="1" outlineLevel="1" thickBot="1">
      <c r="B111" s="82">
        <f>B104+1</f>
        <v>16</v>
      </c>
      <c r="C111" s="1233">
        <f>'Terms and Turnovers'!C31</f>
        <v>0</v>
      </c>
      <c r="D111" s="1233">
        <f>'Terms and Turnovers'!D31</f>
        <v>0</v>
      </c>
      <c r="E111" s="83" t="str">
        <f>'Terms and Turnovers'!$J$12</f>
        <v>FLIP-FLOPS</v>
      </c>
      <c r="F111" s="118">
        <f>$R111*G111</f>
        <v>0</v>
      </c>
      <c r="G111" s="69"/>
      <c r="H111" s="314">
        <f>$R111*I111</f>
        <v>0</v>
      </c>
      <c r="I111" s="69">
        <v>0</v>
      </c>
      <c r="J111" s="118">
        <f>$R111*K111</f>
        <v>0</v>
      </c>
      <c r="K111" s="69">
        <v>0</v>
      </c>
      <c r="L111" s="314">
        <f>$R111*M111</f>
        <v>0</v>
      </c>
      <c r="M111" s="69">
        <v>0</v>
      </c>
      <c r="N111" s="314">
        <f>$R111*O111</f>
        <v>0</v>
      </c>
      <c r="O111" s="69">
        <v>0</v>
      </c>
      <c r="P111" s="118">
        <f>$R111*Q111</f>
        <v>0</v>
      </c>
      <c r="Q111" s="69">
        <v>0</v>
      </c>
      <c r="R111" s="87">
        <f>'Terms and Turnovers'!K31</f>
        <v>0</v>
      </c>
      <c r="S111" s="160">
        <f t="shared" si="7"/>
        <v>0</v>
      </c>
      <c r="T111" s="118">
        <f>$AF111*U111</f>
        <v>0</v>
      </c>
      <c r="U111" s="69">
        <v>0</v>
      </c>
      <c r="V111" s="314">
        <f>$AF111*W111</f>
        <v>0</v>
      </c>
      <c r="W111" s="69">
        <v>0</v>
      </c>
      <c r="X111" s="118">
        <f>$AF111*Y111</f>
        <v>0</v>
      </c>
      <c r="Y111" s="69">
        <v>0</v>
      </c>
      <c r="Z111" s="314">
        <f>$AF111*AA111</f>
        <v>0</v>
      </c>
      <c r="AA111" s="69">
        <v>0</v>
      </c>
      <c r="AB111" s="314">
        <f>$AF111*AC111</f>
        <v>0</v>
      </c>
      <c r="AC111" s="69">
        <v>0</v>
      </c>
      <c r="AD111" s="118">
        <f>$AF111*AE111</f>
        <v>0</v>
      </c>
      <c r="AE111" s="69">
        <v>0</v>
      </c>
      <c r="AF111" s="87">
        <f>'Terms and Turnovers'!P31</f>
        <v>0</v>
      </c>
      <c r="AG111" s="160">
        <f t="shared" si="8"/>
        <v>0</v>
      </c>
      <c r="AH111" s="157">
        <f t="shared" si="9"/>
        <v>0</v>
      </c>
      <c r="AI111" s="131">
        <f t="shared" si="10"/>
        <v>0</v>
      </c>
      <c r="AJ111" s="65"/>
      <c r="AL111" s="461">
        <f>SUM(F111,H111,J111,L111,N111,P111,T111,V111,X111,Z111,AB111,AD111)</f>
        <v>0</v>
      </c>
      <c r="AM111" s="462">
        <f>AL111-AH111</f>
        <v>0</v>
      </c>
      <c r="AO111" s="692"/>
      <c r="AP111" s="692"/>
      <c r="AV111" s="56"/>
    </row>
    <row r="112" spans="1:48" ht="13.5" customHeight="1" outlineLevel="1" thickBot="1">
      <c r="B112" s="82"/>
      <c r="C112" s="1234"/>
      <c r="D112" s="1234"/>
      <c r="E112" s="84" t="str">
        <f>'Terms and Turnovers'!$T$12</f>
        <v>ORIGINALS</v>
      </c>
      <c r="F112" s="120">
        <f>$R112*G112</f>
        <v>0</v>
      </c>
      <c r="G112" s="723"/>
      <c r="H112" s="120">
        <f>$R112*I112</f>
        <v>0</v>
      </c>
      <c r="I112" s="69">
        <v>0</v>
      </c>
      <c r="J112" s="120">
        <f>$R112*K112</f>
        <v>0</v>
      </c>
      <c r="K112" s="69">
        <v>0</v>
      </c>
      <c r="L112" s="120">
        <f>$R112*M112</f>
        <v>0</v>
      </c>
      <c r="M112" s="69">
        <v>0</v>
      </c>
      <c r="N112" s="315">
        <f>$R112*O112</f>
        <v>0</v>
      </c>
      <c r="O112" s="69">
        <v>0</v>
      </c>
      <c r="P112" s="120">
        <f>$R112*Q112</f>
        <v>0</v>
      </c>
      <c r="Q112" s="69">
        <v>0</v>
      </c>
      <c r="R112" s="88">
        <f>'Terms and Turnovers'!U31</f>
        <v>0</v>
      </c>
      <c r="S112" s="161">
        <f t="shared" si="7"/>
        <v>0</v>
      </c>
      <c r="T112" s="120">
        <f>$AF112*U112</f>
        <v>0</v>
      </c>
      <c r="U112" s="69">
        <v>0</v>
      </c>
      <c r="V112" s="120">
        <f>$AF112*W112</f>
        <v>0</v>
      </c>
      <c r="W112" s="69">
        <v>0</v>
      </c>
      <c r="X112" s="120">
        <f>$AF112*Y112</f>
        <v>0</v>
      </c>
      <c r="Y112" s="69">
        <v>0</v>
      </c>
      <c r="Z112" s="120">
        <f>$AF112*AA112</f>
        <v>0</v>
      </c>
      <c r="AA112" s="69">
        <v>0</v>
      </c>
      <c r="AB112" s="315">
        <f>$AF112*AC112</f>
        <v>0</v>
      </c>
      <c r="AC112" s="69">
        <v>0</v>
      </c>
      <c r="AD112" s="120">
        <f>$AF112*AE112</f>
        <v>0</v>
      </c>
      <c r="AE112" s="69">
        <v>0</v>
      </c>
      <c r="AF112" s="88">
        <f>'Terms and Turnovers'!Z31</f>
        <v>0</v>
      </c>
      <c r="AG112" s="161">
        <f t="shared" si="8"/>
        <v>0</v>
      </c>
      <c r="AH112" s="158">
        <f t="shared" si="9"/>
        <v>0</v>
      </c>
      <c r="AI112" s="134">
        <f t="shared" si="10"/>
        <v>0</v>
      </c>
      <c r="AJ112" s="65"/>
      <c r="AL112" s="461">
        <f>SUM(F112,H112,J112,L112,N112,P112,T112,V112,X112,Z112,AB112,AD112)</f>
        <v>0</v>
      </c>
      <c r="AM112" s="462">
        <f>AL112-AH112</f>
        <v>0</v>
      </c>
      <c r="AO112" s="692"/>
      <c r="AP112" s="692"/>
      <c r="AV112" s="56"/>
    </row>
    <row r="113" spans="1:48" ht="13.5" customHeight="1" outlineLevel="1" thickBot="1">
      <c r="B113" s="82"/>
      <c r="C113" s="1234"/>
      <c r="D113" s="1234"/>
      <c r="E113" s="84" t="str">
        <f>'Terms and Turnovers'!$AD$12</f>
        <v>ACCESSORIES</v>
      </c>
      <c r="F113" s="120">
        <f>$R113*G113</f>
        <v>0</v>
      </c>
      <c r="G113" s="723"/>
      <c r="H113" s="120">
        <f>$R113*I113</f>
        <v>0</v>
      </c>
      <c r="I113" s="69">
        <v>0</v>
      </c>
      <c r="J113" s="120">
        <f>$R113*K113</f>
        <v>0</v>
      </c>
      <c r="K113" s="69">
        <v>0</v>
      </c>
      <c r="L113" s="120">
        <f>$R113*M113</f>
        <v>0</v>
      </c>
      <c r="M113" s="69">
        <v>0</v>
      </c>
      <c r="N113" s="315">
        <f>$R113*O113</f>
        <v>0</v>
      </c>
      <c r="O113" s="69">
        <v>0</v>
      </c>
      <c r="P113" s="120">
        <f>$R113*Q113</f>
        <v>0</v>
      </c>
      <c r="Q113" s="69">
        <v>0</v>
      </c>
      <c r="R113" s="88">
        <f>'Terms and Turnovers'!AE31</f>
        <v>0</v>
      </c>
      <c r="S113" s="161">
        <f t="shared" si="7"/>
        <v>0</v>
      </c>
      <c r="T113" s="120">
        <f>$AF113*U113</f>
        <v>0</v>
      </c>
      <c r="U113" s="69">
        <v>0</v>
      </c>
      <c r="V113" s="120">
        <f>$AF113*W113</f>
        <v>0</v>
      </c>
      <c r="W113" s="69">
        <v>0</v>
      </c>
      <c r="X113" s="120">
        <f>$AF113*Y113</f>
        <v>0</v>
      </c>
      <c r="Y113" s="69">
        <v>0</v>
      </c>
      <c r="Z113" s="120">
        <f>$AF113*AA113</f>
        <v>0</v>
      </c>
      <c r="AA113" s="69">
        <v>0</v>
      </c>
      <c r="AB113" s="315">
        <f>$AF113*AC113</f>
        <v>0</v>
      </c>
      <c r="AC113" s="69">
        <v>0</v>
      </c>
      <c r="AD113" s="120">
        <f>$AF113*AE113</f>
        <v>0</v>
      </c>
      <c r="AE113" s="69">
        <v>0</v>
      </c>
      <c r="AF113" s="88">
        <f>'Terms and Turnovers'!AJ31</f>
        <v>0</v>
      </c>
      <c r="AG113" s="161">
        <f t="shared" si="8"/>
        <v>0</v>
      </c>
      <c r="AH113" s="158">
        <f t="shared" si="9"/>
        <v>0</v>
      </c>
      <c r="AI113" s="134">
        <f t="shared" si="10"/>
        <v>0</v>
      </c>
      <c r="AJ113" s="65"/>
      <c r="AL113" s="461">
        <f>SUM(F113,H113,J113,L113,N113,P113,T113,V113,X113,Z113,AB113,AD113)</f>
        <v>0</v>
      </c>
      <c r="AM113" s="462">
        <f>AL113-AH113</f>
        <v>0</v>
      </c>
      <c r="AO113" s="692"/>
      <c r="AP113" s="692"/>
      <c r="AV113" s="56"/>
    </row>
    <row r="114" spans="1:48" ht="13.5" customHeight="1" outlineLevel="1" thickBot="1">
      <c r="B114" s="82"/>
      <c r="C114" s="1234"/>
      <c r="D114" s="1234"/>
      <c r="E114" s="84">
        <f>'Terms and Turnovers'!$AN$12</f>
        <v>0</v>
      </c>
      <c r="F114" s="120">
        <f>$R114*G114</f>
        <v>0</v>
      </c>
      <c r="G114" s="723"/>
      <c r="H114" s="120">
        <f>$R114*I114</f>
        <v>0</v>
      </c>
      <c r="I114" s="69">
        <v>0</v>
      </c>
      <c r="J114" s="120">
        <f>$R114*K114</f>
        <v>0</v>
      </c>
      <c r="K114" s="69">
        <v>0</v>
      </c>
      <c r="L114" s="120">
        <f>$R114*M114</f>
        <v>0</v>
      </c>
      <c r="M114" s="69">
        <v>0</v>
      </c>
      <c r="N114" s="315">
        <f>$R114*O114</f>
        <v>0</v>
      </c>
      <c r="O114" s="69">
        <v>0</v>
      </c>
      <c r="P114" s="120">
        <f>$R114*Q114</f>
        <v>0</v>
      </c>
      <c r="Q114" s="69">
        <v>0</v>
      </c>
      <c r="R114" s="88">
        <f>'Terms and Turnovers'!AO31</f>
        <v>0</v>
      </c>
      <c r="S114" s="161">
        <f t="shared" si="7"/>
        <v>0</v>
      </c>
      <c r="T114" s="120">
        <f>$AF114*U114</f>
        <v>0</v>
      </c>
      <c r="U114" s="69">
        <v>0</v>
      </c>
      <c r="V114" s="120">
        <f>$AF114*W114</f>
        <v>0</v>
      </c>
      <c r="W114" s="69">
        <v>0</v>
      </c>
      <c r="X114" s="120">
        <f>$AF114*Y114</f>
        <v>0</v>
      </c>
      <c r="Y114" s="69">
        <v>0</v>
      </c>
      <c r="Z114" s="120">
        <f>$AF114*AA114</f>
        <v>0</v>
      </c>
      <c r="AA114" s="69">
        <v>0</v>
      </c>
      <c r="AB114" s="315">
        <f>$AF114*AC114</f>
        <v>0</v>
      </c>
      <c r="AC114" s="69">
        <v>0</v>
      </c>
      <c r="AD114" s="120">
        <f>$AF114*AE114</f>
        <v>0</v>
      </c>
      <c r="AE114" s="69">
        <v>0</v>
      </c>
      <c r="AF114" s="88">
        <f>'Terms and Turnovers'!AT31</f>
        <v>0</v>
      </c>
      <c r="AG114" s="161">
        <f t="shared" si="8"/>
        <v>0</v>
      </c>
      <c r="AH114" s="158">
        <f t="shared" si="9"/>
        <v>0</v>
      </c>
      <c r="AI114" s="134">
        <f t="shared" si="10"/>
        <v>0</v>
      </c>
      <c r="AJ114" s="65"/>
      <c r="AL114" s="461">
        <f>SUM(F114,H114,J114,L114,N114,P114,T114,V114,X114,Z114,AB114,AD114)</f>
        <v>0</v>
      </c>
      <c r="AM114" s="462">
        <f>AL114-AH114</f>
        <v>0</v>
      </c>
      <c r="AO114" s="692"/>
      <c r="AP114" s="692"/>
      <c r="AV114" s="56"/>
    </row>
    <row r="115" spans="1:48" ht="13.5" customHeight="1" outlineLevel="1" thickBot="1">
      <c r="B115" s="82"/>
      <c r="C115" s="1235"/>
      <c r="D115" s="1235"/>
      <c r="E115" s="85">
        <f>'Terms and Turnovers'!$AX$12</f>
        <v>0</v>
      </c>
      <c r="F115" s="121">
        <f>$R115*G115</f>
        <v>0</v>
      </c>
      <c r="G115" s="72"/>
      <c r="H115" s="121">
        <f>$R115*I115</f>
        <v>0</v>
      </c>
      <c r="I115" s="69">
        <v>0</v>
      </c>
      <c r="J115" s="121">
        <f>$R115*K115</f>
        <v>0</v>
      </c>
      <c r="K115" s="69">
        <v>0</v>
      </c>
      <c r="L115" s="121">
        <f>$R115*M115</f>
        <v>0</v>
      </c>
      <c r="M115" s="69">
        <v>0</v>
      </c>
      <c r="N115" s="316">
        <f>$R115*O115</f>
        <v>0</v>
      </c>
      <c r="O115" s="69">
        <v>0</v>
      </c>
      <c r="P115" s="121">
        <f>$R115*Q115</f>
        <v>0</v>
      </c>
      <c r="Q115" s="69">
        <v>0</v>
      </c>
      <c r="R115" s="89">
        <f>'Terms and Turnovers'!AY31</f>
        <v>0</v>
      </c>
      <c r="S115" s="162">
        <f t="shared" si="7"/>
        <v>0</v>
      </c>
      <c r="T115" s="121">
        <f>$AF115*U115</f>
        <v>0</v>
      </c>
      <c r="U115" s="69">
        <v>0</v>
      </c>
      <c r="V115" s="121">
        <f>$AF115*W115</f>
        <v>0</v>
      </c>
      <c r="W115" s="69">
        <v>0</v>
      </c>
      <c r="X115" s="121">
        <f>$AF115*Y115</f>
        <v>0</v>
      </c>
      <c r="Y115" s="69">
        <v>0</v>
      </c>
      <c r="Z115" s="121">
        <f>$AF115*AA115</f>
        <v>0</v>
      </c>
      <c r="AA115" s="69">
        <v>0</v>
      </c>
      <c r="AB115" s="316">
        <f>$AF115*AC115</f>
        <v>0</v>
      </c>
      <c r="AC115" s="69">
        <v>0</v>
      </c>
      <c r="AD115" s="121">
        <f>$AF115*AE115</f>
        <v>0</v>
      </c>
      <c r="AE115" s="69">
        <v>0</v>
      </c>
      <c r="AF115" s="89">
        <f>'Terms and Turnovers'!BD31</f>
        <v>0</v>
      </c>
      <c r="AG115" s="162">
        <f t="shared" si="8"/>
        <v>0</v>
      </c>
      <c r="AH115" s="159">
        <f t="shared" si="9"/>
        <v>0</v>
      </c>
      <c r="AI115" s="137">
        <f t="shared" si="10"/>
        <v>0</v>
      </c>
      <c r="AJ115" s="65"/>
      <c r="AL115" s="461">
        <f>SUM(F115,H115,J115,L115,N115,P115,T115,V115,X115,Z115,AB115,AD115)</f>
        <v>0</v>
      </c>
      <c r="AM115" s="462">
        <f>AL115-AH115</f>
        <v>0</v>
      </c>
      <c r="AO115" s="692"/>
      <c r="AP115" s="692"/>
      <c r="AV115" s="56"/>
    </row>
    <row r="116" spans="1:48" ht="13.5" customHeight="1" outlineLevel="1" thickBot="1">
      <c r="A116" s="119"/>
      <c r="B116" s="82"/>
      <c r="C116" s="425" t="s">
        <v>388</v>
      </c>
      <c r="D116" s="425"/>
      <c r="E116" s="426"/>
      <c r="F116" s="427">
        <f>SUM(F111:F115)</f>
        <v>0</v>
      </c>
      <c r="G116" s="428"/>
      <c r="H116" s="427">
        <f>SUM(H111:H115)</f>
        <v>0</v>
      </c>
      <c r="I116" s="69"/>
      <c r="J116" s="427">
        <f>SUM(J111:J115)</f>
        <v>0</v>
      </c>
      <c r="K116" s="69"/>
      <c r="L116" s="427">
        <f>SUM(L111:L115)</f>
        <v>0</v>
      </c>
      <c r="M116" s="69"/>
      <c r="N116" s="427">
        <f>SUM(N111:N115)</f>
        <v>0</v>
      </c>
      <c r="O116" s="69"/>
      <c r="P116" s="427">
        <f>SUM(P111:P115)</f>
        <v>0</v>
      </c>
      <c r="Q116" s="69"/>
      <c r="R116" s="429"/>
      <c r="S116" s="430"/>
      <c r="T116" s="427">
        <f>SUM(T111:T115)</f>
        <v>0</v>
      </c>
      <c r="U116" s="428"/>
      <c r="V116" s="427">
        <f>SUM(V111:V115)</f>
        <v>0</v>
      </c>
      <c r="W116" s="69"/>
      <c r="X116" s="427">
        <f>SUM(X111:X115)</f>
        <v>0</v>
      </c>
      <c r="Y116" s="69"/>
      <c r="Z116" s="427">
        <f>SUM(Z111:Z115)</f>
        <v>0</v>
      </c>
      <c r="AA116" s="69"/>
      <c r="AB116" s="427">
        <f>SUM(AB111:AB115)</f>
        <v>0</v>
      </c>
      <c r="AC116" s="69"/>
      <c r="AD116" s="427">
        <f>SUM(AD111:AD115)</f>
        <v>0</v>
      </c>
      <c r="AE116" s="69"/>
      <c r="AF116" s="429"/>
      <c r="AG116" s="430"/>
      <c r="AH116" s="431"/>
      <c r="AI116" s="432"/>
      <c r="AJ116" s="65"/>
      <c r="AO116" s="692"/>
      <c r="AP116" s="692"/>
      <c r="AV116" s="56"/>
    </row>
    <row r="117" spans="1:48" ht="13.5" customHeight="1" outlineLevel="1" thickBot="1">
      <c r="A117" s="119"/>
      <c r="B117" s="82"/>
      <c r="C117" s="1098" t="s">
        <v>484</v>
      </c>
      <c r="D117" s="433">
        <f>D111</f>
        <v>0</v>
      </c>
      <c r="E117" s="426"/>
      <c r="F117" s="700"/>
      <c r="G117" s="428"/>
      <c r="H117" s="700"/>
      <c r="I117" s="69"/>
      <c r="J117" s="700"/>
      <c r="K117" s="69"/>
      <c r="L117" s="700"/>
      <c r="M117" s="69"/>
      <c r="N117" s="700"/>
      <c r="O117" s="69"/>
      <c r="P117" s="700"/>
      <c r="Q117" s="69"/>
      <c r="R117" s="429"/>
      <c r="S117" s="430"/>
      <c r="T117" s="700"/>
      <c r="U117" s="428">
        <f>Q116</f>
        <v>0</v>
      </c>
      <c r="V117" s="700"/>
      <c r="W117" s="69">
        <f>S116</f>
        <v>0</v>
      </c>
      <c r="X117" s="700"/>
      <c r="Y117" s="69">
        <f>U116</f>
        <v>0</v>
      </c>
      <c r="Z117" s="700"/>
      <c r="AA117" s="69">
        <f>W116</f>
        <v>0</v>
      </c>
      <c r="AB117" s="700"/>
      <c r="AC117" s="69">
        <f>Y116</f>
        <v>0</v>
      </c>
      <c r="AD117" s="700"/>
      <c r="AE117" s="69"/>
      <c r="AF117" s="429"/>
      <c r="AG117" s="430"/>
      <c r="AH117" s="431"/>
      <c r="AI117" s="432"/>
      <c r="AJ117" s="65"/>
      <c r="AN117" s="742">
        <f>SUM(AF111:AF115)*AQ117</f>
        <v>0</v>
      </c>
      <c r="AO117" s="742">
        <f>SUM(R111:R115)*AQ117</f>
        <v>0</v>
      </c>
      <c r="AP117" s="742"/>
      <c r="AQ117" s="693">
        <v>0.15</v>
      </c>
      <c r="AS117" s="716">
        <f>SUM(AL111:AL115)</f>
        <v>0</v>
      </c>
      <c r="AT117" s="461">
        <f>F117+H117+J117+L117+N117+P117+T117+V117+X117+Z117+AB117+AD117</f>
        <v>0</v>
      </c>
      <c r="AU117" s="745">
        <f>AT117-AS117</f>
        <v>0</v>
      </c>
      <c r="AV117" s="462" t="e">
        <f>AT117/AS117</f>
        <v>#DIV/0!</v>
      </c>
    </row>
    <row r="118" spans="1:48" ht="13.5" customHeight="1" outlineLevel="1" thickBot="1">
      <c r="B118" s="82">
        <f>B111+1</f>
        <v>17</v>
      </c>
      <c r="C118" s="1233">
        <f>'Terms and Turnovers'!C32</f>
        <v>0</v>
      </c>
      <c r="D118" s="1233">
        <f>'Terms and Turnovers'!D32</f>
        <v>0</v>
      </c>
      <c r="E118" s="83" t="str">
        <f>'Terms and Turnovers'!$J$12</f>
        <v>FLIP-FLOPS</v>
      </c>
      <c r="F118" s="118">
        <f>$R118*G118</f>
        <v>0</v>
      </c>
      <c r="G118" s="69"/>
      <c r="H118" s="314">
        <f>$R118*I118</f>
        <v>0</v>
      </c>
      <c r="I118" s="69">
        <v>0</v>
      </c>
      <c r="J118" s="118">
        <f>$R118*K118</f>
        <v>0</v>
      </c>
      <c r="K118" s="69">
        <v>0</v>
      </c>
      <c r="L118" s="314">
        <f>$R118*M118</f>
        <v>0</v>
      </c>
      <c r="M118" s="69">
        <v>0</v>
      </c>
      <c r="N118" s="314">
        <f>$R118*O118</f>
        <v>0</v>
      </c>
      <c r="O118" s="69">
        <v>0</v>
      </c>
      <c r="P118" s="118">
        <f>$R118*Q118</f>
        <v>0</v>
      </c>
      <c r="Q118" s="69">
        <v>0</v>
      </c>
      <c r="R118" s="87">
        <f>'Terms and Turnovers'!K32</f>
        <v>0</v>
      </c>
      <c r="S118" s="160">
        <f t="shared" si="7"/>
        <v>0</v>
      </c>
      <c r="T118" s="118">
        <f>$AF118*U118</f>
        <v>0</v>
      </c>
      <c r="U118" s="69">
        <v>0</v>
      </c>
      <c r="V118" s="314">
        <f>$AF118*W118</f>
        <v>0</v>
      </c>
      <c r="W118" s="69">
        <v>0</v>
      </c>
      <c r="X118" s="118">
        <f>$AF118*Y118</f>
        <v>0</v>
      </c>
      <c r="Y118" s="69">
        <v>0</v>
      </c>
      <c r="Z118" s="314">
        <f>$AF118*AA118</f>
        <v>0</v>
      </c>
      <c r="AA118" s="69">
        <v>0</v>
      </c>
      <c r="AB118" s="314">
        <f>$AF118*AC118</f>
        <v>0</v>
      </c>
      <c r="AC118" s="69">
        <v>0</v>
      </c>
      <c r="AD118" s="118">
        <f>$AF118*AE118</f>
        <v>0</v>
      </c>
      <c r="AE118" s="69">
        <v>0</v>
      </c>
      <c r="AF118" s="87">
        <f>'Terms and Turnovers'!P32</f>
        <v>0</v>
      </c>
      <c r="AG118" s="160">
        <f t="shared" si="8"/>
        <v>0</v>
      </c>
      <c r="AH118" s="157">
        <f t="shared" si="9"/>
        <v>0</v>
      </c>
      <c r="AI118" s="131">
        <f t="shared" si="10"/>
        <v>0</v>
      </c>
      <c r="AJ118" s="65"/>
      <c r="AL118" s="461">
        <f>SUM(F118,H118,J118,L118,N118,P118,T118,V118,X118,Z118,AB118,AD118)</f>
        <v>0</v>
      </c>
      <c r="AM118" s="462">
        <f>AL118-AH118</f>
        <v>0</v>
      </c>
      <c r="AO118" s="692"/>
      <c r="AP118" s="692"/>
      <c r="AV118" s="56"/>
    </row>
    <row r="119" spans="1:48" ht="13.5" customHeight="1" outlineLevel="1" thickBot="1">
      <c r="B119" s="82"/>
      <c r="C119" s="1234"/>
      <c r="D119" s="1234"/>
      <c r="E119" s="84" t="str">
        <f>'Terms and Turnovers'!$T$12</f>
        <v>ORIGINALS</v>
      </c>
      <c r="F119" s="120">
        <f>$R119*G119</f>
        <v>0</v>
      </c>
      <c r="G119" s="723"/>
      <c r="H119" s="120">
        <f>$R119*I119</f>
        <v>0</v>
      </c>
      <c r="I119" s="69">
        <v>0</v>
      </c>
      <c r="J119" s="120">
        <f>$R119*K119</f>
        <v>0</v>
      </c>
      <c r="K119" s="69">
        <v>0</v>
      </c>
      <c r="L119" s="120">
        <f>$R119*M119</f>
        <v>0</v>
      </c>
      <c r="M119" s="69">
        <v>0</v>
      </c>
      <c r="N119" s="315">
        <f>$R119*O119</f>
        <v>0</v>
      </c>
      <c r="O119" s="69">
        <v>0</v>
      </c>
      <c r="P119" s="120">
        <f>$R119*Q119</f>
        <v>0</v>
      </c>
      <c r="Q119" s="69">
        <v>0</v>
      </c>
      <c r="R119" s="88">
        <f>'Terms and Turnovers'!U32</f>
        <v>0</v>
      </c>
      <c r="S119" s="161">
        <f t="shared" si="7"/>
        <v>0</v>
      </c>
      <c r="T119" s="120">
        <f>$AF119*U119</f>
        <v>0</v>
      </c>
      <c r="U119" s="69">
        <v>0</v>
      </c>
      <c r="V119" s="120">
        <f>$AF119*W119</f>
        <v>0</v>
      </c>
      <c r="W119" s="69">
        <v>0</v>
      </c>
      <c r="X119" s="120">
        <f>$AF119*Y119</f>
        <v>0</v>
      </c>
      <c r="Y119" s="69">
        <v>0</v>
      </c>
      <c r="Z119" s="120">
        <f>$AF119*AA119</f>
        <v>0</v>
      </c>
      <c r="AA119" s="69">
        <v>0</v>
      </c>
      <c r="AB119" s="315">
        <f>$AF119*AC119</f>
        <v>0</v>
      </c>
      <c r="AC119" s="69">
        <v>0</v>
      </c>
      <c r="AD119" s="120">
        <f>$AF119*AE119</f>
        <v>0</v>
      </c>
      <c r="AE119" s="69">
        <v>0</v>
      </c>
      <c r="AF119" s="88">
        <f>'Terms and Turnovers'!Z32</f>
        <v>0</v>
      </c>
      <c r="AG119" s="161">
        <f t="shared" si="8"/>
        <v>0</v>
      </c>
      <c r="AH119" s="158">
        <f t="shared" si="9"/>
        <v>0</v>
      </c>
      <c r="AI119" s="134">
        <f t="shared" si="10"/>
        <v>0</v>
      </c>
      <c r="AJ119" s="65"/>
      <c r="AL119" s="461">
        <f>SUM(F119,H119,J119,L119,N119,P119,T119,V119,X119,Z119,AB119,AD119)</f>
        <v>0</v>
      </c>
      <c r="AM119" s="462">
        <f>AL119-AH119</f>
        <v>0</v>
      </c>
      <c r="AO119" s="692"/>
      <c r="AP119" s="692"/>
      <c r="AV119" s="56"/>
    </row>
    <row r="120" spans="1:48" ht="13.5" customHeight="1" outlineLevel="1" thickBot="1">
      <c r="B120" s="82"/>
      <c r="C120" s="1234"/>
      <c r="D120" s="1234"/>
      <c r="E120" s="84" t="str">
        <f>'Terms and Turnovers'!$AD$12</f>
        <v>ACCESSORIES</v>
      </c>
      <c r="F120" s="120">
        <f>$R120*G120</f>
        <v>0</v>
      </c>
      <c r="G120" s="723"/>
      <c r="H120" s="120">
        <f>$R120*I120</f>
        <v>0</v>
      </c>
      <c r="I120" s="69">
        <v>0</v>
      </c>
      <c r="J120" s="120">
        <f>$R120*K120</f>
        <v>0</v>
      </c>
      <c r="K120" s="69">
        <v>0</v>
      </c>
      <c r="L120" s="120">
        <f>$R120*M120</f>
        <v>0</v>
      </c>
      <c r="M120" s="69">
        <v>0</v>
      </c>
      <c r="N120" s="315">
        <f>$R120*O120</f>
        <v>0</v>
      </c>
      <c r="O120" s="69">
        <v>0</v>
      </c>
      <c r="P120" s="120">
        <f>$R120*Q120</f>
        <v>0</v>
      </c>
      <c r="Q120" s="69">
        <v>0</v>
      </c>
      <c r="R120" s="88">
        <f>'Terms and Turnovers'!AE32</f>
        <v>0</v>
      </c>
      <c r="S120" s="161">
        <f t="shared" si="7"/>
        <v>0</v>
      </c>
      <c r="T120" s="120">
        <f>$AF120*U120</f>
        <v>0</v>
      </c>
      <c r="U120" s="69">
        <v>0</v>
      </c>
      <c r="V120" s="120">
        <f>$AF120*W120</f>
        <v>0</v>
      </c>
      <c r="W120" s="69">
        <v>0</v>
      </c>
      <c r="X120" s="120">
        <f>$AF120*Y120</f>
        <v>0</v>
      </c>
      <c r="Y120" s="69">
        <v>0</v>
      </c>
      <c r="Z120" s="120">
        <f>$AF120*AA120</f>
        <v>0</v>
      </c>
      <c r="AA120" s="69">
        <v>0</v>
      </c>
      <c r="AB120" s="315">
        <f>$AF120*AC120</f>
        <v>0</v>
      </c>
      <c r="AC120" s="69">
        <v>0</v>
      </c>
      <c r="AD120" s="120">
        <f>$AF120*AE120</f>
        <v>0</v>
      </c>
      <c r="AE120" s="69">
        <v>0</v>
      </c>
      <c r="AF120" s="88">
        <f>'Terms and Turnovers'!AJ32</f>
        <v>0</v>
      </c>
      <c r="AG120" s="161">
        <f t="shared" si="8"/>
        <v>0</v>
      </c>
      <c r="AH120" s="158">
        <f t="shared" si="9"/>
        <v>0</v>
      </c>
      <c r="AI120" s="134">
        <f t="shared" si="10"/>
        <v>0</v>
      </c>
      <c r="AJ120" s="65"/>
      <c r="AL120" s="461">
        <f>SUM(F120,H120,J120,L120,N120,P120,T120,V120,X120,Z120,AB120,AD120)</f>
        <v>0</v>
      </c>
      <c r="AM120" s="462">
        <f>AL120-AH120</f>
        <v>0</v>
      </c>
      <c r="AO120" s="692"/>
      <c r="AP120" s="692"/>
      <c r="AV120" s="56"/>
    </row>
    <row r="121" spans="1:48" ht="13.5" customHeight="1" outlineLevel="1" thickBot="1">
      <c r="B121" s="82"/>
      <c r="C121" s="1234"/>
      <c r="D121" s="1234"/>
      <c r="E121" s="84">
        <f>'Terms and Turnovers'!$AN$12</f>
        <v>0</v>
      </c>
      <c r="F121" s="120">
        <f>$R121*G121</f>
        <v>0</v>
      </c>
      <c r="G121" s="723"/>
      <c r="H121" s="120">
        <f>$R121*I121</f>
        <v>0</v>
      </c>
      <c r="I121" s="69">
        <v>0</v>
      </c>
      <c r="J121" s="120">
        <f>$R121*K121</f>
        <v>0</v>
      </c>
      <c r="K121" s="69">
        <v>0</v>
      </c>
      <c r="L121" s="120">
        <f>$R121*M121</f>
        <v>0</v>
      </c>
      <c r="M121" s="69">
        <v>0</v>
      </c>
      <c r="N121" s="315">
        <f>$R121*O121</f>
        <v>0</v>
      </c>
      <c r="O121" s="69">
        <v>0</v>
      </c>
      <c r="P121" s="120">
        <f>$R121*Q121</f>
        <v>0</v>
      </c>
      <c r="Q121" s="69">
        <v>0</v>
      </c>
      <c r="R121" s="88">
        <f>'Terms and Turnovers'!AO32</f>
        <v>0</v>
      </c>
      <c r="S121" s="161">
        <f t="shared" si="7"/>
        <v>0</v>
      </c>
      <c r="T121" s="120">
        <f>$AF121*U121</f>
        <v>0</v>
      </c>
      <c r="U121" s="69">
        <v>0</v>
      </c>
      <c r="V121" s="120">
        <f>$AF121*W121</f>
        <v>0</v>
      </c>
      <c r="W121" s="69">
        <v>0</v>
      </c>
      <c r="X121" s="120">
        <f>$AF121*Y121</f>
        <v>0</v>
      </c>
      <c r="Y121" s="69">
        <v>0</v>
      </c>
      <c r="Z121" s="120">
        <f>$AF121*AA121</f>
        <v>0</v>
      </c>
      <c r="AA121" s="69">
        <v>0</v>
      </c>
      <c r="AB121" s="315">
        <f>$AF121*AC121</f>
        <v>0</v>
      </c>
      <c r="AC121" s="69">
        <v>0</v>
      </c>
      <c r="AD121" s="120">
        <f>$AF121*AE121</f>
        <v>0</v>
      </c>
      <c r="AE121" s="69">
        <v>0</v>
      </c>
      <c r="AF121" s="88">
        <f>'Terms and Turnovers'!AT32</f>
        <v>0</v>
      </c>
      <c r="AG121" s="161">
        <f t="shared" si="8"/>
        <v>0</v>
      </c>
      <c r="AH121" s="158">
        <f t="shared" si="9"/>
        <v>0</v>
      </c>
      <c r="AI121" s="134">
        <f t="shared" si="10"/>
        <v>0</v>
      </c>
      <c r="AJ121" s="65"/>
      <c r="AL121" s="461">
        <f>SUM(F121,H121,J121,L121,N121,P121,T121,V121,X121,Z121,AB121,AD121)</f>
        <v>0</v>
      </c>
      <c r="AM121" s="462">
        <f>AL121-AH121</f>
        <v>0</v>
      </c>
      <c r="AO121" s="692"/>
      <c r="AP121" s="692"/>
      <c r="AV121" s="56"/>
    </row>
    <row r="122" spans="1:48" ht="13.5" customHeight="1" outlineLevel="1" thickBot="1">
      <c r="B122" s="82"/>
      <c r="C122" s="1235"/>
      <c r="D122" s="1235"/>
      <c r="E122" s="85">
        <f>'Terms and Turnovers'!$AX$12</f>
        <v>0</v>
      </c>
      <c r="F122" s="121">
        <f>$R122*G122</f>
        <v>0</v>
      </c>
      <c r="G122" s="72"/>
      <c r="H122" s="121">
        <f>$R122*I122</f>
        <v>0</v>
      </c>
      <c r="I122" s="69">
        <v>0</v>
      </c>
      <c r="J122" s="121">
        <f>$R122*K122</f>
        <v>0</v>
      </c>
      <c r="K122" s="69">
        <v>0</v>
      </c>
      <c r="L122" s="121">
        <f>$R122*M122</f>
        <v>0</v>
      </c>
      <c r="M122" s="69">
        <v>0</v>
      </c>
      <c r="N122" s="316">
        <f>$R122*O122</f>
        <v>0</v>
      </c>
      <c r="O122" s="69">
        <v>0</v>
      </c>
      <c r="P122" s="121">
        <f>$R122*Q122</f>
        <v>0</v>
      </c>
      <c r="Q122" s="69">
        <v>0</v>
      </c>
      <c r="R122" s="89">
        <f>'Terms and Turnovers'!AY32</f>
        <v>0</v>
      </c>
      <c r="S122" s="162">
        <f t="shared" si="7"/>
        <v>0</v>
      </c>
      <c r="T122" s="121">
        <f>$AF122*U122</f>
        <v>0</v>
      </c>
      <c r="U122" s="69">
        <v>0</v>
      </c>
      <c r="V122" s="121">
        <f>$AF122*W122</f>
        <v>0</v>
      </c>
      <c r="W122" s="69">
        <v>0</v>
      </c>
      <c r="X122" s="121">
        <f>$AF122*Y122</f>
        <v>0</v>
      </c>
      <c r="Y122" s="69">
        <v>0</v>
      </c>
      <c r="Z122" s="121">
        <f>$AF122*AA122</f>
        <v>0</v>
      </c>
      <c r="AA122" s="69">
        <v>0</v>
      </c>
      <c r="AB122" s="316">
        <f>$AF122*AC122</f>
        <v>0</v>
      </c>
      <c r="AC122" s="69">
        <v>0</v>
      </c>
      <c r="AD122" s="121">
        <f>$AF122*AE122</f>
        <v>0</v>
      </c>
      <c r="AE122" s="69">
        <v>0</v>
      </c>
      <c r="AF122" s="89">
        <f>'Terms and Turnovers'!BD32</f>
        <v>0</v>
      </c>
      <c r="AG122" s="162">
        <f t="shared" si="8"/>
        <v>0</v>
      </c>
      <c r="AH122" s="159">
        <f t="shared" si="9"/>
        <v>0</v>
      </c>
      <c r="AI122" s="137">
        <f t="shared" si="10"/>
        <v>0</v>
      </c>
      <c r="AJ122" s="65"/>
      <c r="AL122" s="461">
        <f>SUM(F122,H122,J122,L122,N122,P122,T122,V122,X122,Z122,AB122,AD122)</f>
        <v>0</v>
      </c>
      <c r="AM122" s="462">
        <f>AL122-AH122</f>
        <v>0</v>
      </c>
      <c r="AO122" s="692"/>
      <c r="AP122" s="692"/>
      <c r="AV122" s="56"/>
    </row>
    <row r="123" spans="1:48" ht="13.5" customHeight="1" outlineLevel="1" thickBot="1">
      <c r="A123" s="119"/>
      <c r="B123" s="82"/>
      <c r="C123" s="425" t="s">
        <v>388</v>
      </c>
      <c r="D123" s="425"/>
      <c r="E123" s="426"/>
      <c r="F123" s="427">
        <f>SUM(F118:F122)</f>
        <v>0</v>
      </c>
      <c r="G123" s="428"/>
      <c r="H123" s="427">
        <f>SUM(H118:H122)</f>
        <v>0</v>
      </c>
      <c r="I123" s="69"/>
      <c r="J123" s="427">
        <f>SUM(J118:J122)</f>
        <v>0</v>
      </c>
      <c r="K123" s="69"/>
      <c r="L123" s="427">
        <f>SUM(L118:L122)</f>
        <v>0</v>
      </c>
      <c r="M123" s="69"/>
      <c r="N123" s="427">
        <f>SUM(N118:N122)</f>
        <v>0</v>
      </c>
      <c r="O123" s="69"/>
      <c r="P123" s="427">
        <f>SUM(P118:P122)</f>
        <v>0</v>
      </c>
      <c r="Q123" s="69"/>
      <c r="R123" s="429"/>
      <c r="S123" s="430"/>
      <c r="T123" s="427">
        <f>SUM(T118:T122)</f>
        <v>0</v>
      </c>
      <c r="U123" s="428"/>
      <c r="V123" s="427">
        <f>SUM(V118:V122)</f>
        <v>0</v>
      </c>
      <c r="W123" s="69"/>
      <c r="X123" s="427">
        <f>SUM(X118:X122)</f>
        <v>0</v>
      </c>
      <c r="Y123" s="69"/>
      <c r="Z123" s="427">
        <f>SUM(Z118:Z122)</f>
        <v>0</v>
      </c>
      <c r="AA123" s="69"/>
      <c r="AB123" s="427">
        <f>SUM(AB118:AB122)</f>
        <v>0</v>
      </c>
      <c r="AC123" s="69"/>
      <c r="AD123" s="427">
        <f>SUM(AD118:AD122)</f>
        <v>0</v>
      </c>
      <c r="AE123" s="69"/>
      <c r="AF123" s="429"/>
      <c r="AG123" s="430"/>
      <c r="AH123" s="431"/>
      <c r="AI123" s="432"/>
      <c r="AJ123" s="65"/>
      <c r="AO123" s="692"/>
      <c r="AP123" s="692"/>
      <c r="AV123" s="56"/>
    </row>
    <row r="124" spans="1:48" ht="13.5" customHeight="1" outlineLevel="1" thickBot="1">
      <c r="A124" s="119"/>
      <c r="B124" s="82"/>
      <c r="C124" s="1098" t="s">
        <v>484</v>
      </c>
      <c r="D124" s="433">
        <f>D118</f>
        <v>0</v>
      </c>
      <c r="E124" s="426"/>
      <c r="F124" s="700"/>
      <c r="G124" s="428"/>
      <c r="H124" s="700"/>
      <c r="I124" s="69"/>
      <c r="J124" s="700"/>
      <c r="K124" s="69"/>
      <c r="L124" s="700"/>
      <c r="M124" s="69"/>
      <c r="N124" s="700"/>
      <c r="O124" s="69"/>
      <c r="P124" s="700"/>
      <c r="Q124" s="69"/>
      <c r="R124" s="429"/>
      <c r="S124" s="430"/>
      <c r="T124" s="700"/>
      <c r="U124" s="428">
        <f>Q123</f>
        <v>0</v>
      </c>
      <c r="V124" s="700"/>
      <c r="W124" s="69">
        <f>S123</f>
        <v>0</v>
      </c>
      <c r="X124" s="700"/>
      <c r="Y124" s="69">
        <f>U123</f>
        <v>0</v>
      </c>
      <c r="Z124" s="700"/>
      <c r="AA124" s="69">
        <f>W123</f>
        <v>0</v>
      </c>
      <c r="AB124" s="700"/>
      <c r="AC124" s="69">
        <f>Y123</f>
        <v>0</v>
      </c>
      <c r="AD124" s="700"/>
      <c r="AE124" s="69"/>
      <c r="AF124" s="429"/>
      <c r="AG124" s="430"/>
      <c r="AH124" s="431"/>
      <c r="AI124" s="432"/>
      <c r="AJ124" s="65"/>
      <c r="AN124" s="742">
        <f>SUM(AF118:AF122)*AQ124</f>
        <v>0</v>
      </c>
      <c r="AO124" s="742">
        <f>SUM(R118:R122)*AQ124</f>
        <v>0</v>
      </c>
      <c r="AP124" s="742"/>
      <c r="AQ124" s="693">
        <v>0.15</v>
      </c>
      <c r="AS124" s="716">
        <f>SUM(AL118:AL122)</f>
        <v>0</v>
      </c>
      <c r="AT124" s="461">
        <f>F124+H124+J124+L124+N124+P124+T124+V124+X124+Z124+AB124+AD124</f>
        <v>0</v>
      </c>
      <c r="AU124" s="745">
        <f>AT124-AS124</f>
        <v>0</v>
      </c>
      <c r="AV124" s="462" t="e">
        <f>AT124/AS124</f>
        <v>#DIV/0!</v>
      </c>
    </row>
    <row r="125" spans="1:48" ht="13.5" customHeight="1" outlineLevel="1" thickBot="1">
      <c r="B125" s="82">
        <f>B118+1</f>
        <v>18</v>
      </c>
      <c r="C125" s="1233">
        <f>'Terms and Turnovers'!C33</f>
        <v>0</v>
      </c>
      <c r="D125" s="1233">
        <f>'Terms and Turnovers'!D33</f>
        <v>0</v>
      </c>
      <c r="E125" s="83" t="str">
        <f>'Terms and Turnovers'!$J$12</f>
        <v>FLIP-FLOPS</v>
      </c>
      <c r="F125" s="118">
        <f>$R125*G125</f>
        <v>0</v>
      </c>
      <c r="G125" s="69"/>
      <c r="H125" s="314">
        <f>$R125*I125</f>
        <v>0</v>
      </c>
      <c r="I125" s="69">
        <v>0</v>
      </c>
      <c r="J125" s="118">
        <f>$R125*K125</f>
        <v>0</v>
      </c>
      <c r="K125" s="69">
        <v>0</v>
      </c>
      <c r="L125" s="314">
        <f>$R125*M125</f>
        <v>0</v>
      </c>
      <c r="M125" s="69">
        <v>0</v>
      </c>
      <c r="N125" s="314">
        <f>$R125*O125</f>
        <v>0</v>
      </c>
      <c r="O125" s="69">
        <v>0</v>
      </c>
      <c r="P125" s="118">
        <f>$R125*Q125</f>
        <v>0</v>
      </c>
      <c r="Q125" s="69">
        <v>0</v>
      </c>
      <c r="R125" s="87">
        <f>'Terms and Turnovers'!K33</f>
        <v>0</v>
      </c>
      <c r="S125" s="160">
        <f t="shared" si="7"/>
        <v>0</v>
      </c>
      <c r="T125" s="118">
        <f>$AF125*U125</f>
        <v>0</v>
      </c>
      <c r="U125" s="69">
        <v>0</v>
      </c>
      <c r="V125" s="314">
        <f>$AF125*W125</f>
        <v>0</v>
      </c>
      <c r="W125" s="69">
        <v>0</v>
      </c>
      <c r="X125" s="118">
        <f>$AF125*Y125</f>
        <v>0</v>
      </c>
      <c r="Y125" s="69">
        <v>0</v>
      </c>
      <c r="Z125" s="314">
        <f>$AF125*AA125</f>
        <v>0</v>
      </c>
      <c r="AA125" s="69">
        <v>0</v>
      </c>
      <c r="AB125" s="314">
        <f>$AF125*AC125</f>
        <v>0</v>
      </c>
      <c r="AC125" s="69">
        <v>0</v>
      </c>
      <c r="AD125" s="118">
        <f>$AF125*AE125</f>
        <v>0</v>
      </c>
      <c r="AE125" s="69">
        <v>0</v>
      </c>
      <c r="AF125" s="87">
        <f>'Terms and Turnovers'!P33</f>
        <v>0</v>
      </c>
      <c r="AG125" s="160">
        <f t="shared" si="8"/>
        <v>0</v>
      </c>
      <c r="AH125" s="157">
        <f t="shared" si="9"/>
        <v>0</v>
      </c>
      <c r="AI125" s="131">
        <f t="shared" si="10"/>
        <v>0</v>
      </c>
      <c r="AJ125" s="65"/>
      <c r="AL125" s="461">
        <f>SUM(F125,H125,J125,L125,N125,P125,T125,V125,X125,Z125,AB125,AD125)</f>
        <v>0</v>
      </c>
      <c r="AM125" s="462">
        <f>AL125-AH125</f>
        <v>0</v>
      </c>
      <c r="AO125" s="692"/>
      <c r="AP125" s="692"/>
      <c r="AV125" s="56"/>
    </row>
    <row r="126" spans="1:48" ht="13.5" customHeight="1" outlineLevel="1" thickBot="1">
      <c r="B126" s="82"/>
      <c r="C126" s="1234"/>
      <c r="D126" s="1234"/>
      <c r="E126" s="84" t="str">
        <f>'Terms and Turnovers'!$T$12</f>
        <v>ORIGINALS</v>
      </c>
      <c r="F126" s="120">
        <f>$R126*G126</f>
        <v>0</v>
      </c>
      <c r="G126" s="723"/>
      <c r="H126" s="120">
        <f>$R126*I126</f>
        <v>0</v>
      </c>
      <c r="I126" s="69">
        <v>0</v>
      </c>
      <c r="J126" s="120">
        <f>$R126*K126</f>
        <v>0</v>
      </c>
      <c r="K126" s="69">
        <v>0</v>
      </c>
      <c r="L126" s="120">
        <f>$R126*M126</f>
        <v>0</v>
      </c>
      <c r="M126" s="69">
        <v>0</v>
      </c>
      <c r="N126" s="315">
        <f>$R126*O126</f>
        <v>0</v>
      </c>
      <c r="O126" s="69">
        <v>0</v>
      </c>
      <c r="P126" s="120">
        <f>$R126*Q126</f>
        <v>0</v>
      </c>
      <c r="Q126" s="69">
        <v>0</v>
      </c>
      <c r="R126" s="88">
        <f>'Terms and Turnovers'!U33</f>
        <v>0</v>
      </c>
      <c r="S126" s="161">
        <f t="shared" si="7"/>
        <v>0</v>
      </c>
      <c r="T126" s="120">
        <f>$AF126*U126</f>
        <v>0</v>
      </c>
      <c r="U126" s="69">
        <v>0</v>
      </c>
      <c r="V126" s="120">
        <f>$AF126*W126</f>
        <v>0</v>
      </c>
      <c r="W126" s="69">
        <v>0</v>
      </c>
      <c r="X126" s="120">
        <f>$AF126*Y126</f>
        <v>0</v>
      </c>
      <c r="Y126" s="69">
        <v>0</v>
      </c>
      <c r="Z126" s="120">
        <f>$AF126*AA126</f>
        <v>0</v>
      </c>
      <c r="AA126" s="69">
        <v>0</v>
      </c>
      <c r="AB126" s="315">
        <f>$AF126*AC126</f>
        <v>0</v>
      </c>
      <c r="AC126" s="69">
        <v>0</v>
      </c>
      <c r="AD126" s="120">
        <f>$AF126*AE126</f>
        <v>0</v>
      </c>
      <c r="AE126" s="69">
        <v>0</v>
      </c>
      <c r="AF126" s="88">
        <f>'Terms and Turnovers'!Z33</f>
        <v>0</v>
      </c>
      <c r="AG126" s="161">
        <f t="shared" si="8"/>
        <v>0</v>
      </c>
      <c r="AH126" s="158">
        <f t="shared" si="9"/>
        <v>0</v>
      </c>
      <c r="AI126" s="134">
        <f t="shared" si="10"/>
        <v>0</v>
      </c>
      <c r="AJ126" s="65"/>
      <c r="AL126" s="461">
        <f>SUM(F126,H126,J126,L126,N126,P126,T126,V126,X126,Z126,AB126,AD126)</f>
        <v>0</v>
      </c>
      <c r="AM126" s="462">
        <f>AL126-AH126</f>
        <v>0</v>
      </c>
      <c r="AO126" s="692"/>
      <c r="AP126" s="692"/>
      <c r="AV126" s="56"/>
    </row>
    <row r="127" spans="1:48" ht="13.5" customHeight="1" outlineLevel="1" thickBot="1">
      <c r="B127" s="82"/>
      <c r="C127" s="1234"/>
      <c r="D127" s="1234"/>
      <c r="E127" s="84" t="str">
        <f>'Terms and Turnovers'!$AD$12</f>
        <v>ACCESSORIES</v>
      </c>
      <c r="F127" s="120">
        <f>$R127*G127</f>
        <v>0</v>
      </c>
      <c r="G127" s="723"/>
      <c r="H127" s="120">
        <f>$R127*I127</f>
        <v>0</v>
      </c>
      <c r="I127" s="69">
        <v>0</v>
      </c>
      <c r="J127" s="120">
        <f>$R127*K127</f>
        <v>0</v>
      </c>
      <c r="K127" s="69">
        <v>0</v>
      </c>
      <c r="L127" s="120">
        <f>$R127*M127</f>
        <v>0</v>
      </c>
      <c r="M127" s="69">
        <v>0</v>
      </c>
      <c r="N127" s="315">
        <f>$R127*O127</f>
        <v>0</v>
      </c>
      <c r="O127" s="69">
        <v>0</v>
      </c>
      <c r="P127" s="120">
        <f>$R127*Q127</f>
        <v>0</v>
      </c>
      <c r="Q127" s="69">
        <v>0</v>
      </c>
      <c r="R127" s="88">
        <f>'Terms and Turnovers'!AE33</f>
        <v>0</v>
      </c>
      <c r="S127" s="161">
        <f t="shared" si="7"/>
        <v>0</v>
      </c>
      <c r="T127" s="120">
        <f>$AF127*U127</f>
        <v>0</v>
      </c>
      <c r="U127" s="69">
        <v>0</v>
      </c>
      <c r="V127" s="120">
        <f>$AF127*W127</f>
        <v>0</v>
      </c>
      <c r="W127" s="69">
        <v>0</v>
      </c>
      <c r="X127" s="120">
        <f>$AF127*Y127</f>
        <v>0</v>
      </c>
      <c r="Y127" s="69">
        <v>0</v>
      </c>
      <c r="Z127" s="120">
        <f>$AF127*AA127</f>
        <v>0</v>
      </c>
      <c r="AA127" s="69">
        <v>0</v>
      </c>
      <c r="AB127" s="315">
        <f>$AF127*AC127</f>
        <v>0</v>
      </c>
      <c r="AC127" s="69">
        <v>0</v>
      </c>
      <c r="AD127" s="120">
        <f>$AF127*AE127</f>
        <v>0</v>
      </c>
      <c r="AE127" s="69">
        <v>0</v>
      </c>
      <c r="AF127" s="88">
        <f>'Terms and Turnovers'!AJ33</f>
        <v>0</v>
      </c>
      <c r="AG127" s="161">
        <f t="shared" si="8"/>
        <v>0</v>
      </c>
      <c r="AH127" s="158">
        <f t="shared" si="9"/>
        <v>0</v>
      </c>
      <c r="AI127" s="134">
        <f t="shared" si="10"/>
        <v>0</v>
      </c>
      <c r="AJ127" s="65"/>
      <c r="AL127" s="461">
        <f>SUM(F127,H127,J127,L127,N127,P127,T127,V127,X127,Z127,AB127,AD127)</f>
        <v>0</v>
      </c>
      <c r="AM127" s="462">
        <f>AL127-AH127</f>
        <v>0</v>
      </c>
      <c r="AO127" s="692"/>
      <c r="AP127" s="692"/>
      <c r="AV127" s="56"/>
    </row>
    <row r="128" spans="1:48" ht="13.5" customHeight="1" outlineLevel="1" thickBot="1">
      <c r="B128" s="82"/>
      <c r="C128" s="1234"/>
      <c r="D128" s="1234"/>
      <c r="E128" s="84">
        <f>'Terms and Turnovers'!$AN$12</f>
        <v>0</v>
      </c>
      <c r="F128" s="120">
        <f>$R128*G128</f>
        <v>0</v>
      </c>
      <c r="G128" s="723"/>
      <c r="H128" s="120">
        <f>$R128*I128</f>
        <v>0</v>
      </c>
      <c r="I128" s="69">
        <v>0</v>
      </c>
      <c r="J128" s="120">
        <f>$R128*K128</f>
        <v>0</v>
      </c>
      <c r="K128" s="69">
        <v>0</v>
      </c>
      <c r="L128" s="120">
        <f>$R128*M128</f>
        <v>0</v>
      </c>
      <c r="M128" s="69">
        <v>0</v>
      </c>
      <c r="N128" s="315">
        <f>$R128*O128</f>
        <v>0</v>
      </c>
      <c r="O128" s="69">
        <v>0</v>
      </c>
      <c r="P128" s="120">
        <f>$R128*Q128</f>
        <v>0</v>
      </c>
      <c r="Q128" s="69">
        <v>0</v>
      </c>
      <c r="R128" s="88">
        <f>'Terms and Turnovers'!AO33</f>
        <v>0</v>
      </c>
      <c r="S128" s="161">
        <f t="shared" si="7"/>
        <v>0</v>
      </c>
      <c r="T128" s="120">
        <f>$AF128*U128</f>
        <v>0</v>
      </c>
      <c r="U128" s="69">
        <v>0</v>
      </c>
      <c r="V128" s="120">
        <f>$AF128*W128</f>
        <v>0</v>
      </c>
      <c r="W128" s="69">
        <v>0</v>
      </c>
      <c r="X128" s="120">
        <f>$AF128*Y128</f>
        <v>0</v>
      </c>
      <c r="Y128" s="69">
        <v>0</v>
      </c>
      <c r="Z128" s="120">
        <f>$AF128*AA128</f>
        <v>0</v>
      </c>
      <c r="AA128" s="69">
        <v>0</v>
      </c>
      <c r="AB128" s="315">
        <f>$AF128*AC128</f>
        <v>0</v>
      </c>
      <c r="AC128" s="69">
        <v>0</v>
      </c>
      <c r="AD128" s="120">
        <f>$AF128*AE128</f>
        <v>0</v>
      </c>
      <c r="AE128" s="69">
        <v>0</v>
      </c>
      <c r="AF128" s="88">
        <f>'Terms and Turnovers'!AT33</f>
        <v>0</v>
      </c>
      <c r="AG128" s="161">
        <f t="shared" si="8"/>
        <v>0</v>
      </c>
      <c r="AH128" s="158">
        <f t="shared" si="9"/>
        <v>0</v>
      </c>
      <c r="AI128" s="134">
        <f t="shared" si="10"/>
        <v>0</v>
      </c>
      <c r="AJ128" s="65"/>
      <c r="AL128" s="461">
        <f>SUM(F128,H128,J128,L128,N128,P128,T128,V128,X128,Z128,AB128,AD128)</f>
        <v>0</v>
      </c>
      <c r="AM128" s="462">
        <f>AL128-AH128</f>
        <v>0</v>
      </c>
      <c r="AO128" s="692"/>
      <c r="AP128" s="692"/>
      <c r="AV128" s="56"/>
    </row>
    <row r="129" spans="1:48" ht="13.5" customHeight="1" outlineLevel="1" thickBot="1">
      <c r="B129" s="82"/>
      <c r="C129" s="1235"/>
      <c r="D129" s="1235"/>
      <c r="E129" s="85">
        <f>'Terms and Turnovers'!$AX$12</f>
        <v>0</v>
      </c>
      <c r="F129" s="121">
        <f>$R129*G129</f>
        <v>0</v>
      </c>
      <c r="G129" s="72"/>
      <c r="H129" s="121">
        <f>$R129*I129</f>
        <v>0</v>
      </c>
      <c r="I129" s="69">
        <v>0</v>
      </c>
      <c r="J129" s="121">
        <f>$R129*K129</f>
        <v>0</v>
      </c>
      <c r="K129" s="69">
        <v>0</v>
      </c>
      <c r="L129" s="121">
        <f>$R129*M129</f>
        <v>0</v>
      </c>
      <c r="M129" s="69">
        <v>0</v>
      </c>
      <c r="N129" s="316">
        <f>$R129*O129</f>
        <v>0</v>
      </c>
      <c r="O129" s="69">
        <v>0</v>
      </c>
      <c r="P129" s="121">
        <f>$R129*Q129</f>
        <v>0</v>
      </c>
      <c r="Q129" s="69">
        <v>0</v>
      </c>
      <c r="R129" s="89">
        <f>'Terms and Turnovers'!AY33</f>
        <v>0</v>
      </c>
      <c r="S129" s="162">
        <f t="shared" si="7"/>
        <v>0</v>
      </c>
      <c r="T129" s="121">
        <f>$AF129*U129</f>
        <v>0</v>
      </c>
      <c r="U129" s="69">
        <v>0</v>
      </c>
      <c r="V129" s="121">
        <f>$AF129*W129</f>
        <v>0</v>
      </c>
      <c r="W129" s="69">
        <v>0</v>
      </c>
      <c r="X129" s="121">
        <f>$AF129*Y129</f>
        <v>0</v>
      </c>
      <c r="Y129" s="69">
        <v>0</v>
      </c>
      <c r="Z129" s="121">
        <f>$AF129*AA129</f>
        <v>0</v>
      </c>
      <c r="AA129" s="69">
        <v>0</v>
      </c>
      <c r="AB129" s="316">
        <f>$AF129*AC129</f>
        <v>0</v>
      </c>
      <c r="AC129" s="69">
        <v>0</v>
      </c>
      <c r="AD129" s="121">
        <f>$AF129*AE129</f>
        <v>0</v>
      </c>
      <c r="AE129" s="69">
        <v>0</v>
      </c>
      <c r="AF129" s="89">
        <f>'Terms and Turnovers'!BD33</f>
        <v>0</v>
      </c>
      <c r="AG129" s="162">
        <f t="shared" si="8"/>
        <v>0</v>
      </c>
      <c r="AH129" s="159">
        <f t="shared" si="9"/>
        <v>0</v>
      </c>
      <c r="AI129" s="137">
        <f t="shared" si="10"/>
        <v>0</v>
      </c>
      <c r="AJ129" s="65"/>
      <c r="AL129" s="461">
        <f>SUM(F129,H129,J129,L129,N129,P129,T129,V129,X129,Z129,AB129,AD129)</f>
        <v>0</v>
      </c>
      <c r="AM129" s="462">
        <f>AL129-AH129</f>
        <v>0</v>
      </c>
      <c r="AO129" s="692"/>
      <c r="AP129" s="692"/>
      <c r="AV129" s="56"/>
    </row>
    <row r="130" spans="1:48" ht="13.5" customHeight="1" outlineLevel="1" thickBot="1">
      <c r="A130" s="119"/>
      <c r="B130" s="82"/>
      <c r="C130" s="425" t="s">
        <v>388</v>
      </c>
      <c r="D130" s="425"/>
      <c r="E130" s="426"/>
      <c r="F130" s="427">
        <f>SUM(F125:F129)</f>
        <v>0</v>
      </c>
      <c r="G130" s="428"/>
      <c r="H130" s="427">
        <f>SUM(H125:H129)</f>
        <v>0</v>
      </c>
      <c r="I130" s="69"/>
      <c r="J130" s="427">
        <f>SUM(J125:J129)</f>
        <v>0</v>
      </c>
      <c r="K130" s="69"/>
      <c r="L130" s="427">
        <f>SUM(L125:L129)</f>
        <v>0</v>
      </c>
      <c r="M130" s="69"/>
      <c r="N130" s="427">
        <f>SUM(N125:N129)</f>
        <v>0</v>
      </c>
      <c r="O130" s="69"/>
      <c r="P130" s="427">
        <f>SUM(P125:P129)</f>
        <v>0</v>
      </c>
      <c r="Q130" s="69"/>
      <c r="R130" s="429"/>
      <c r="S130" s="430"/>
      <c r="T130" s="427">
        <f>SUM(T125:T129)</f>
        <v>0</v>
      </c>
      <c r="U130" s="428"/>
      <c r="V130" s="427">
        <f>SUM(V125:V129)</f>
        <v>0</v>
      </c>
      <c r="W130" s="69"/>
      <c r="X130" s="427">
        <f>SUM(X125:X129)</f>
        <v>0</v>
      </c>
      <c r="Y130" s="69"/>
      <c r="Z130" s="427">
        <f>SUM(Z125:Z129)</f>
        <v>0</v>
      </c>
      <c r="AA130" s="69"/>
      <c r="AB130" s="427">
        <f>SUM(AB125:AB129)</f>
        <v>0</v>
      </c>
      <c r="AC130" s="69"/>
      <c r="AD130" s="427">
        <f>SUM(AD125:AD129)</f>
        <v>0</v>
      </c>
      <c r="AE130" s="69"/>
      <c r="AF130" s="429"/>
      <c r="AG130" s="430"/>
      <c r="AH130" s="431"/>
      <c r="AI130" s="432"/>
      <c r="AJ130" s="65"/>
      <c r="AO130" s="692"/>
      <c r="AP130" s="692"/>
      <c r="AV130" s="56"/>
    </row>
    <row r="131" spans="1:48" ht="13.5" customHeight="1" outlineLevel="1" thickBot="1">
      <c r="A131" s="119"/>
      <c r="B131" s="82"/>
      <c r="C131" s="1098" t="s">
        <v>484</v>
      </c>
      <c r="D131" s="433">
        <f>D125</f>
        <v>0</v>
      </c>
      <c r="E131" s="426"/>
      <c r="F131" s="700"/>
      <c r="G131" s="428"/>
      <c r="H131" s="700"/>
      <c r="I131" s="69"/>
      <c r="J131" s="700"/>
      <c r="K131" s="69"/>
      <c r="L131" s="700"/>
      <c r="M131" s="69"/>
      <c r="N131" s="700"/>
      <c r="O131" s="69"/>
      <c r="P131" s="700"/>
      <c r="Q131" s="69"/>
      <c r="R131" s="429"/>
      <c r="S131" s="430"/>
      <c r="T131" s="700"/>
      <c r="U131" s="428">
        <f>Q130</f>
        <v>0</v>
      </c>
      <c r="V131" s="700"/>
      <c r="W131" s="69">
        <f>S130</f>
        <v>0</v>
      </c>
      <c r="X131" s="700"/>
      <c r="Y131" s="69">
        <f>U130</f>
        <v>0</v>
      </c>
      <c r="Z131" s="700"/>
      <c r="AA131" s="69">
        <f>W130</f>
        <v>0</v>
      </c>
      <c r="AB131" s="700"/>
      <c r="AC131" s="69">
        <f>Y130</f>
        <v>0</v>
      </c>
      <c r="AD131" s="700"/>
      <c r="AE131" s="69"/>
      <c r="AF131" s="429"/>
      <c r="AG131" s="430"/>
      <c r="AH131" s="431"/>
      <c r="AI131" s="432"/>
      <c r="AJ131" s="65"/>
      <c r="AN131" s="742">
        <f>SUM(AF125:AF129)*AQ131</f>
        <v>0</v>
      </c>
      <c r="AO131" s="742">
        <f>SUM(R125:R129)*AQ131</f>
        <v>0</v>
      </c>
      <c r="AP131" s="742"/>
      <c r="AQ131" s="693">
        <v>0.15</v>
      </c>
      <c r="AS131" s="716">
        <f>SUM(AL125:AL129)</f>
        <v>0</v>
      </c>
      <c r="AT131" s="461">
        <f>F131+H131+J131+L131+N131+P131+T131+V131+X131+Z131+AB131+AD131</f>
        <v>0</v>
      </c>
      <c r="AU131" s="745">
        <f>AT131-AS131</f>
        <v>0</v>
      </c>
      <c r="AV131" s="462" t="e">
        <f>AT131/AS131</f>
        <v>#DIV/0!</v>
      </c>
    </row>
    <row r="132" spans="1:48" ht="13.5" customHeight="1" outlineLevel="1" thickBot="1">
      <c r="B132" s="82">
        <f>B125+1</f>
        <v>19</v>
      </c>
      <c r="C132" s="1233">
        <f>'Terms and Turnovers'!C34</f>
        <v>0</v>
      </c>
      <c r="D132" s="1233">
        <f>'Terms and Turnovers'!D34</f>
        <v>0</v>
      </c>
      <c r="E132" s="83" t="str">
        <f>'Terms and Turnovers'!$J$12</f>
        <v>FLIP-FLOPS</v>
      </c>
      <c r="F132" s="118">
        <f>$R132*G132</f>
        <v>0</v>
      </c>
      <c r="G132" s="69"/>
      <c r="H132" s="314">
        <f>$R132*I132</f>
        <v>0</v>
      </c>
      <c r="I132" s="69">
        <v>0</v>
      </c>
      <c r="J132" s="118">
        <f>$R132*K132</f>
        <v>0</v>
      </c>
      <c r="K132" s="69">
        <v>0</v>
      </c>
      <c r="L132" s="314">
        <f>$R132*M132</f>
        <v>0</v>
      </c>
      <c r="M132" s="69">
        <v>0</v>
      </c>
      <c r="N132" s="314">
        <f>$R132*O132</f>
        <v>0</v>
      </c>
      <c r="O132" s="69">
        <v>0</v>
      </c>
      <c r="P132" s="118">
        <f>$R132*Q132</f>
        <v>0</v>
      </c>
      <c r="Q132" s="69">
        <v>0</v>
      </c>
      <c r="R132" s="87">
        <f>'Terms and Turnovers'!K34</f>
        <v>0</v>
      </c>
      <c r="S132" s="160">
        <f t="shared" si="7"/>
        <v>0</v>
      </c>
      <c r="T132" s="118">
        <f>$AF132*U132</f>
        <v>0</v>
      </c>
      <c r="U132" s="69">
        <v>0</v>
      </c>
      <c r="V132" s="314">
        <f>$AF132*W132</f>
        <v>0</v>
      </c>
      <c r="W132" s="69">
        <v>0</v>
      </c>
      <c r="X132" s="118">
        <f>$AF132*Y132</f>
        <v>0</v>
      </c>
      <c r="Y132" s="69">
        <v>0</v>
      </c>
      <c r="Z132" s="314">
        <f>$AF132*AA132</f>
        <v>0</v>
      </c>
      <c r="AA132" s="69">
        <v>0</v>
      </c>
      <c r="AB132" s="314">
        <f>$AF132*AC132</f>
        <v>0</v>
      </c>
      <c r="AC132" s="69">
        <v>0</v>
      </c>
      <c r="AD132" s="118">
        <f>$AF132*AE132</f>
        <v>0</v>
      </c>
      <c r="AE132" s="69">
        <v>0</v>
      </c>
      <c r="AF132" s="87">
        <f>'Terms and Turnovers'!P34</f>
        <v>0</v>
      </c>
      <c r="AG132" s="160">
        <f t="shared" si="8"/>
        <v>0</v>
      </c>
      <c r="AH132" s="157">
        <f t="shared" si="9"/>
        <v>0</v>
      </c>
      <c r="AI132" s="131">
        <f t="shared" si="10"/>
        <v>0</v>
      </c>
      <c r="AJ132" s="65"/>
      <c r="AL132" s="461">
        <f>SUM(F132,H132,J132,L132,N132,P132,T132,V132,X132,Z132,AB132,AD132)</f>
        <v>0</v>
      </c>
      <c r="AM132" s="462">
        <f>AL132-AH132</f>
        <v>0</v>
      </c>
      <c r="AO132" s="692"/>
      <c r="AP132" s="692"/>
      <c r="AV132" s="56"/>
    </row>
    <row r="133" spans="1:48" ht="13.5" customHeight="1" outlineLevel="1" thickBot="1">
      <c r="B133" s="82"/>
      <c r="C133" s="1234"/>
      <c r="D133" s="1234"/>
      <c r="E133" s="84" t="str">
        <f>'Terms and Turnovers'!$T$12</f>
        <v>ORIGINALS</v>
      </c>
      <c r="F133" s="120">
        <f>$R133*G133</f>
        <v>0</v>
      </c>
      <c r="G133" s="723"/>
      <c r="H133" s="120">
        <f>$R133*I133</f>
        <v>0</v>
      </c>
      <c r="I133" s="69">
        <v>0</v>
      </c>
      <c r="J133" s="120">
        <f>$R133*K133</f>
        <v>0</v>
      </c>
      <c r="K133" s="69">
        <v>0</v>
      </c>
      <c r="L133" s="120">
        <f>$R133*M133</f>
        <v>0</v>
      </c>
      <c r="M133" s="69">
        <v>0</v>
      </c>
      <c r="N133" s="315">
        <f>$R133*O133</f>
        <v>0</v>
      </c>
      <c r="O133" s="69">
        <v>0</v>
      </c>
      <c r="P133" s="120">
        <f>$R133*Q133</f>
        <v>0</v>
      </c>
      <c r="Q133" s="69">
        <v>0</v>
      </c>
      <c r="R133" s="88">
        <f>'Terms and Turnovers'!U34</f>
        <v>0</v>
      </c>
      <c r="S133" s="161">
        <f t="shared" si="7"/>
        <v>0</v>
      </c>
      <c r="T133" s="120">
        <f>$AF133*U133</f>
        <v>0</v>
      </c>
      <c r="U133" s="69">
        <v>0</v>
      </c>
      <c r="V133" s="120">
        <f>$AF133*W133</f>
        <v>0</v>
      </c>
      <c r="W133" s="69">
        <v>0</v>
      </c>
      <c r="X133" s="120">
        <f>$AF133*Y133</f>
        <v>0</v>
      </c>
      <c r="Y133" s="69">
        <v>0</v>
      </c>
      <c r="Z133" s="120">
        <f>$AF133*AA133</f>
        <v>0</v>
      </c>
      <c r="AA133" s="69">
        <v>0</v>
      </c>
      <c r="AB133" s="315">
        <f>$AF133*AC133</f>
        <v>0</v>
      </c>
      <c r="AC133" s="69">
        <v>0</v>
      </c>
      <c r="AD133" s="120">
        <f>$AF133*AE133</f>
        <v>0</v>
      </c>
      <c r="AE133" s="69">
        <v>0</v>
      </c>
      <c r="AF133" s="88">
        <f>'Terms and Turnovers'!Z34</f>
        <v>0</v>
      </c>
      <c r="AG133" s="161">
        <f t="shared" si="8"/>
        <v>0</v>
      </c>
      <c r="AH133" s="158">
        <f t="shared" si="9"/>
        <v>0</v>
      </c>
      <c r="AI133" s="134">
        <f t="shared" si="10"/>
        <v>0</v>
      </c>
      <c r="AJ133" s="65"/>
      <c r="AL133" s="461">
        <f>SUM(F133,H133,J133,L133,N133,P133,T133,V133,X133,Z133,AB133,AD133)</f>
        <v>0</v>
      </c>
      <c r="AM133" s="462">
        <f>AL133-AH133</f>
        <v>0</v>
      </c>
      <c r="AO133" s="692"/>
      <c r="AP133" s="692"/>
      <c r="AV133" s="56"/>
    </row>
    <row r="134" spans="1:48" ht="13.5" customHeight="1" outlineLevel="1" thickBot="1">
      <c r="B134" s="82"/>
      <c r="C134" s="1234"/>
      <c r="D134" s="1234"/>
      <c r="E134" s="84" t="str">
        <f>'Terms and Turnovers'!$AD$12</f>
        <v>ACCESSORIES</v>
      </c>
      <c r="F134" s="120">
        <f>$R134*G134</f>
        <v>0</v>
      </c>
      <c r="G134" s="723"/>
      <c r="H134" s="120">
        <f>$R134*I134</f>
        <v>0</v>
      </c>
      <c r="I134" s="69">
        <v>0</v>
      </c>
      <c r="J134" s="120">
        <f>$R134*K134</f>
        <v>0</v>
      </c>
      <c r="K134" s="69">
        <v>0</v>
      </c>
      <c r="L134" s="120">
        <f>$R134*M134</f>
        <v>0</v>
      </c>
      <c r="M134" s="69">
        <v>0</v>
      </c>
      <c r="N134" s="315">
        <f>$R134*O134</f>
        <v>0</v>
      </c>
      <c r="O134" s="69">
        <v>0</v>
      </c>
      <c r="P134" s="120">
        <f>$R134*Q134</f>
        <v>0</v>
      </c>
      <c r="Q134" s="69">
        <v>0</v>
      </c>
      <c r="R134" s="88">
        <f>'Terms and Turnovers'!AE34</f>
        <v>0</v>
      </c>
      <c r="S134" s="161">
        <f t="shared" si="7"/>
        <v>0</v>
      </c>
      <c r="T134" s="120">
        <f>$AF134*U134</f>
        <v>0</v>
      </c>
      <c r="U134" s="69">
        <v>0</v>
      </c>
      <c r="V134" s="120">
        <f>$AF134*W134</f>
        <v>0</v>
      </c>
      <c r="W134" s="69">
        <v>0</v>
      </c>
      <c r="X134" s="120">
        <f>$AF134*Y134</f>
        <v>0</v>
      </c>
      <c r="Y134" s="69">
        <v>0</v>
      </c>
      <c r="Z134" s="120">
        <f>$AF134*AA134</f>
        <v>0</v>
      </c>
      <c r="AA134" s="69">
        <v>0</v>
      </c>
      <c r="AB134" s="315">
        <f>$AF134*AC134</f>
        <v>0</v>
      </c>
      <c r="AC134" s="69">
        <v>0</v>
      </c>
      <c r="AD134" s="120">
        <f>$AF134*AE134</f>
        <v>0</v>
      </c>
      <c r="AE134" s="69">
        <v>0</v>
      </c>
      <c r="AF134" s="88">
        <f>'Terms and Turnovers'!AJ34</f>
        <v>0</v>
      </c>
      <c r="AG134" s="161">
        <f t="shared" si="8"/>
        <v>0</v>
      </c>
      <c r="AH134" s="158">
        <f t="shared" si="9"/>
        <v>0</v>
      </c>
      <c r="AI134" s="134">
        <f t="shared" si="10"/>
        <v>0</v>
      </c>
      <c r="AJ134" s="65"/>
      <c r="AL134" s="461">
        <f>SUM(F134,H134,J134,L134,N134,P134,T134,V134,X134,Z134,AB134,AD134)</f>
        <v>0</v>
      </c>
      <c r="AM134" s="462">
        <f>AL134-AH134</f>
        <v>0</v>
      </c>
      <c r="AO134" s="692"/>
      <c r="AP134" s="692"/>
      <c r="AV134" s="56"/>
    </row>
    <row r="135" spans="1:48" ht="13.5" customHeight="1" outlineLevel="1" thickBot="1">
      <c r="B135" s="82"/>
      <c r="C135" s="1234"/>
      <c r="D135" s="1234"/>
      <c r="E135" s="84">
        <f>'Terms and Turnovers'!$AN$12</f>
        <v>0</v>
      </c>
      <c r="F135" s="120">
        <f>$R135*G135</f>
        <v>0</v>
      </c>
      <c r="G135" s="723"/>
      <c r="H135" s="120">
        <f>$R135*I135</f>
        <v>0</v>
      </c>
      <c r="I135" s="69">
        <v>0</v>
      </c>
      <c r="J135" s="120">
        <f>$R135*K135</f>
        <v>0</v>
      </c>
      <c r="K135" s="69">
        <v>0</v>
      </c>
      <c r="L135" s="120">
        <f>$R135*M135</f>
        <v>0</v>
      </c>
      <c r="M135" s="69">
        <v>0</v>
      </c>
      <c r="N135" s="315">
        <f>$R135*O135</f>
        <v>0</v>
      </c>
      <c r="O135" s="69">
        <v>0</v>
      </c>
      <c r="P135" s="120">
        <f>$R135*Q135</f>
        <v>0</v>
      </c>
      <c r="Q135" s="69">
        <v>0</v>
      </c>
      <c r="R135" s="88">
        <f>'Terms and Turnovers'!AO34</f>
        <v>0</v>
      </c>
      <c r="S135" s="161">
        <f t="shared" si="7"/>
        <v>0</v>
      </c>
      <c r="T135" s="120">
        <f>$AF135*U135</f>
        <v>0</v>
      </c>
      <c r="U135" s="69">
        <v>0</v>
      </c>
      <c r="V135" s="120">
        <f>$AF135*W135</f>
        <v>0</v>
      </c>
      <c r="W135" s="69">
        <v>0</v>
      </c>
      <c r="X135" s="120">
        <f>$AF135*Y135</f>
        <v>0</v>
      </c>
      <c r="Y135" s="69">
        <v>0</v>
      </c>
      <c r="Z135" s="120">
        <f>$AF135*AA135</f>
        <v>0</v>
      </c>
      <c r="AA135" s="69">
        <v>0</v>
      </c>
      <c r="AB135" s="315">
        <f>$AF135*AC135</f>
        <v>0</v>
      </c>
      <c r="AC135" s="69">
        <v>0</v>
      </c>
      <c r="AD135" s="120">
        <f>$AF135*AE135</f>
        <v>0</v>
      </c>
      <c r="AE135" s="69">
        <v>0</v>
      </c>
      <c r="AF135" s="88">
        <f>'Terms and Turnovers'!AT34</f>
        <v>0</v>
      </c>
      <c r="AG135" s="161">
        <f t="shared" si="8"/>
        <v>0</v>
      </c>
      <c r="AH135" s="158">
        <f t="shared" si="9"/>
        <v>0</v>
      </c>
      <c r="AI135" s="134">
        <f t="shared" si="10"/>
        <v>0</v>
      </c>
      <c r="AJ135" s="65"/>
      <c r="AL135" s="461">
        <f>SUM(F135,H135,J135,L135,N135,P135,T135,V135,X135,Z135,AB135,AD135)</f>
        <v>0</v>
      </c>
      <c r="AM135" s="462">
        <f>AL135-AH135</f>
        <v>0</v>
      </c>
      <c r="AO135" s="692"/>
      <c r="AP135" s="692"/>
      <c r="AV135" s="56"/>
    </row>
    <row r="136" spans="1:48" ht="13.5" customHeight="1" outlineLevel="1" thickBot="1">
      <c r="B136" s="82"/>
      <c r="C136" s="1235"/>
      <c r="D136" s="1235"/>
      <c r="E136" s="85">
        <f>'Terms and Turnovers'!$AX$12</f>
        <v>0</v>
      </c>
      <c r="F136" s="121">
        <f>$R136*G136</f>
        <v>0</v>
      </c>
      <c r="G136" s="72"/>
      <c r="H136" s="121">
        <f>$R136*I136</f>
        <v>0</v>
      </c>
      <c r="I136" s="69">
        <v>0</v>
      </c>
      <c r="J136" s="121">
        <f>$R136*K136</f>
        <v>0</v>
      </c>
      <c r="K136" s="69">
        <v>0</v>
      </c>
      <c r="L136" s="121">
        <f>$R136*M136</f>
        <v>0</v>
      </c>
      <c r="M136" s="69">
        <v>0</v>
      </c>
      <c r="N136" s="316">
        <f>$R136*O136</f>
        <v>0</v>
      </c>
      <c r="O136" s="69">
        <v>0</v>
      </c>
      <c r="P136" s="121">
        <f>$R136*Q136</f>
        <v>0</v>
      </c>
      <c r="Q136" s="69">
        <v>0</v>
      </c>
      <c r="R136" s="89">
        <f>'Terms and Turnovers'!AY34</f>
        <v>0</v>
      </c>
      <c r="S136" s="162">
        <f t="shared" si="7"/>
        <v>0</v>
      </c>
      <c r="T136" s="121">
        <f>$AF136*U136</f>
        <v>0</v>
      </c>
      <c r="U136" s="69">
        <v>0</v>
      </c>
      <c r="V136" s="121">
        <f>$AF136*W136</f>
        <v>0</v>
      </c>
      <c r="W136" s="69">
        <v>0</v>
      </c>
      <c r="X136" s="121">
        <f>$AF136*Y136</f>
        <v>0</v>
      </c>
      <c r="Y136" s="69">
        <v>0</v>
      </c>
      <c r="Z136" s="121">
        <f>$AF136*AA136</f>
        <v>0</v>
      </c>
      <c r="AA136" s="69">
        <v>0</v>
      </c>
      <c r="AB136" s="316">
        <f>$AF136*AC136</f>
        <v>0</v>
      </c>
      <c r="AC136" s="69">
        <v>0</v>
      </c>
      <c r="AD136" s="121">
        <f>$AF136*AE136</f>
        <v>0</v>
      </c>
      <c r="AE136" s="69">
        <v>0</v>
      </c>
      <c r="AF136" s="89">
        <f>'Terms and Turnovers'!BD34</f>
        <v>0</v>
      </c>
      <c r="AG136" s="162">
        <f t="shared" si="8"/>
        <v>0</v>
      </c>
      <c r="AH136" s="159">
        <f t="shared" si="9"/>
        <v>0</v>
      </c>
      <c r="AI136" s="137">
        <f t="shared" si="10"/>
        <v>0</v>
      </c>
      <c r="AJ136" s="65"/>
      <c r="AL136" s="461">
        <f>SUM(F136,H136,J136,L136,N136,P136,T136,V136,X136,Z136,AB136,AD136)</f>
        <v>0</v>
      </c>
      <c r="AM136" s="462">
        <f>AL136-AH136</f>
        <v>0</v>
      </c>
      <c r="AO136" s="692"/>
      <c r="AP136" s="692"/>
      <c r="AV136" s="56"/>
    </row>
    <row r="137" spans="1:48" ht="13.5" customHeight="1" outlineLevel="1" thickBot="1">
      <c r="A137" s="119"/>
      <c r="B137" s="82"/>
      <c r="C137" s="425" t="s">
        <v>388</v>
      </c>
      <c r="D137" s="425"/>
      <c r="E137" s="426"/>
      <c r="F137" s="427">
        <f>SUM(F132:F136)</f>
        <v>0</v>
      </c>
      <c r="G137" s="428"/>
      <c r="H137" s="427">
        <f>SUM(H132:H136)</f>
        <v>0</v>
      </c>
      <c r="I137" s="69"/>
      <c r="J137" s="427">
        <f>SUM(J132:J136)</f>
        <v>0</v>
      </c>
      <c r="K137" s="69"/>
      <c r="L137" s="427">
        <f>SUM(L132:L136)</f>
        <v>0</v>
      </c>
      <c r="M137" s="69"/>
      <c r="N137" s="427">
        <f>SUM(N132:N136)</f>
        <v>0</v>
      </c>
      <c r="O137" s="69"/>
      <c r="P137" s="427">
        <f>SUM(P132:P136)</f>
        <v>0</v>
      </c>
      <c r="Q137" s="69"/>
      <c r="R137" s="429"/>
      <c r="S137" s="430"/>
      <c r="T137" s="427">
        <f>SUM(T132:T136)</f>
        <v>0</v>
      </c>
      <c r="U137" s="428"/>
      <c r="V137" s="427">
        <f>SUM(V132:V136)</f>
        <v>0</v>
      </c>
      <c r="W137" s="69"/>
      <c r="X137" s="427">
        <f>SUM(X132:X136)</f>
        <v>0</v>
      </c>
      <c r="Y137" s="69"/>
      <c r="Z137" s="427">
        <f>SUM(Z132:Z136)</f>
        <v>0</v>
      </c>
      <c r="AA137" s="69"/>
      <c r="AB137" s="427">
        <f>SUM(AB132:AB136)</f>
        <v>0</v>
      </c>
      <c r="AC137" s="69"/>
      <c r="AD137" s="427">
        <f>SUM(AD132:AD136)</f>
        <v>0</v>
      </c>
      <c r="AE137" s="69"/>
      <c r="AF137" s="429"/>
      <c r="AG137" s="430"/>
      <c r="AH137" s="431"/>
      <c r="AI137" s="432"/>
      <c r="AJ137" s="65"/>
      <c r="AO137" s="692"/>
      <c r="AP137" s="692"/>
      <c r="AV137" s="56"/>
    </row>
    <row r="138" spans="1:48" ht="13.5" customHeight="1" outlineLevel="1" thickBot="1">
      <c r="A138" s="119"/>
      <c r="B138" s="82"/>
      <c r="C138" s="1098" t="s">
        <v>484</v>
      </c>
      <c r="D138" s="433">
        <f>D132</f>
        <v>0</v>
      </c>
      <c r="E138" s="426"/>
      <c r="F138" s="700"/>
      <c r="G138" s="428"/>
      <c r="H138" s="700"/>
      <c r="I138" s="69"/>
      <c r="J138" s="700"/>
      <c r="K138" s="69"/>
      <c r="L138" s="700"/>
      <c r="M138" s="69"/>
      <c r="N138" s="700"/>
      <c r="O138" s="69"/>
      <c r="P138" s="700"/>
      <c r="Q138" s="69"/>
      <c r="R138" s="429"/>
      <c r="S138" s="430"/>
      <c r="T138" s="700"/>
      <c r="U138" s="428">
        <f>Q137</f>
        <v>0</v>
      </c>
      <c r="V138" s="700"/>
      <c r="W138" s="69">
        <f>S137</f>
        <v>0</v>
      </c>
      <c r="X138" s="700"/>
      <c r="Y138" s="69">
        <f>U137</f>
        <v>0</v>
      </c>
      <c r="Z138" s="700"/>
      <c r="AA138" s="69">
        <f>W137</f>
        <v>0</v>
      </c>
      <c r="AB138" s="700"/>
      <c r="AC138" s="69">
        <f>Y137</f>
        <v>0</v>
      </c>
      <c r="AD138" s="700"/>
      <c r="AE138" s="69"/>
      <c r="AF138" s="429"/>
      <c r="AG138" s="430"/>
      <c r="AH138" s="431"/>
      <c r="AI138" s="432"/>
      <c r="AJ138" s="65"/>
      <c r="AN138" s="742">
        <f>SUM(AF132:AF136)*AQ138</f>
        <v>0</v>
      </c>
      <c r="AO138" s="742">
        <f>SUM(R132:R136)*AQ138</f>
        <v>0</v>
      </c>
      <c r="AP138" s="742"/>
      <c r="AQ138" s="693">
        <v>0.15</v>
      </c>
      <c r="AS138" s="716">
        <f>SUM(AL132:AL136)</f>
        <v>0</v>
      </c>
      <c r="AT138" s="461">
        <f>F138+H138+J138+L138+N138+P138+T138+V138+X138+Z138+AB138+AD138</f>
        <v>0</v>
      </c>
      <c r="AU138" s="745">
        <f>AT138-AS138</f>
        <v>0</v>
      </c>
      <c r="AV138" s="462" t="e">
        <f>AT138/AS138</f>
        <v>#DIV/0!</v>
      </c>
    </row>
    <row r="139" spans="1:48" ht="13.5" customHeight="1" outlineLevel="1" thickBot="1">
      <c r="B139" s="82">
        <f>B132+1</f>
        <v>20</v>
      </c>
      <c r="C139" s="1233">
        <f>'Terms and Turnovers'!C35</f>
        <v>0</v>
      </c>
      <c r="D139" s="1233">
        <f>'Terms and Turnovers'!D35</f>
        <v>0</v>
      </c>
      <c r="E139" s="83" t="str">
        <f>'Terms and Turnovers'!$J$12</f>
        <v>FLIP-FLOPS</v>
      </c>
      <c r="F139" s="118">
        <f>$R139*G139</f>
        <v>0</v>
      </c>
      <c r="G139" s="69"/>
      <c r="H139" s="314">
        <f>$R139*I139</f>
        <v>0</v>
      </c>
      <c r="I139" s="69">
        <v>0</v>
      </c>
      <c r="J139" s="118">
        <f>$R139*K139</f>
        <v>0</v>
      </c>
      <c r="K139" s="69">
        <v>0</v>
      </c>
      <c r="L139" s="314">
        <f>$R139*M139</f>
        <v>0</v>
      </c>
      <c r="M139" s="69">
        <v>0</v>
      </c>
      <c r="N139" s="314">
        <f>$R139*O139</f>
        <v>0</v>
      </c>
      <c r="O139" s="69">
        <v>0</v>
      </c>
      <c r="P139" s="118">
        <f>$R139*Q139</f>
        <v>0</v>
      </c>
      <c r="Q139" s="69">
        <v>0</v>
      </c>
      <c r="R139" s="87">
        <f>'Terms and Turnovers'!K35</f>
        <v>0</v>
      </c>
      <c r="S139" s="160">
        <f t="shared" si="7"/>
        <v>0</v>
      </c>
      <c r="T139" s="118">
        <f>$AF139*U139</f>
        <v>0</v>
      </c>
      <c r="U139" s="69">
        <v>0</v>
      </c>
      <c r="V139" s="314">
        <f>$AF139*W139</f>
        <v>0</v>
      </c>
      <c r="W139" s="69">
        <v>0</v>
      </c>
      <c r="X139" s="118">
        <f>$AF139*Y139</f>
        <v>0</v>
      </c>
      <c r="Y139" s="69">
        <v>0</v>
      </c>
      <c r="Z139" s="314">
        <f>$AF139*AA139</f>
        <v>0</v>
      </c>
      <c r="AA139" s="69">
        <v>0</v>
      </c>
      <c r="AB139" s="314">
        <f>$AF139*AC139</f>
        <v>0</v>
      </c>
      <c r="AC139" s="69">
        <v>0</v>
      </c>
      <c r="AD139" s="118">
        <f>$AF139*AE139</f>
        <v>0</v>
      </c>
      <c r="AE139" s="69">
        <v>0</v>
      </c>
      <c r="AF139" s="87">
        <f>'Terms and Turnovers'!P35</f>
        <v>0</v>
      </c>
      <c r="AG139" s="160">
        <f t="shared" si="8"/>
        <v>0</v>
      </c>
      <c r="AH139" s="157">
        <f t="shared" si="9"/>
        <v>0</v>
      </c>
      <c r="AI139" s="131">
        <f t="shared" si="10"/>
        <v>0</v>
      </c>
      <c r="AJ139" s="65"/>
      <c r="AL139" s="461">
        <f>SUM(F139,H139,J139,L139,N139,P139,T139,V139,X139,Z139,AB139,AD139)</f>
        <v>0</v>
      </c>
      <c r="AM139" s="462">
        <f>AL139-AH139</f>
        <v>0</v>
      </c>
      <c r="AO139" s="692"/>
      <c r="AP139" s="692"/>
      <c r="AV139" s="56"/>
    </row>
    <row r="140" spans="1:48" ht="13.5" customHeight="1" outlineLevel="1" thickBot="1">
      <c r="B140" s="82"/>
      <c r="C140" s="1234"/>
      <c r="D140" s="1234"/>
      <c r="E140" s="84" t="str">
        <f>'Terms and Turnovers'!$T$12</f>
        <v>ORIGINALS</v>
      </c>
      <c r="F140" s="120">
        <f>$R140*G140</f>
        <v>0</v>
      </c>
      <c r="G140" s="723"/>
      <c r="H140" s="120">
        <f>$R140*I140</f>
        <v>0</v>
      </c>
      <c r="I140" s="69">
        <v>0</v>
      </c>
      <c r="J140" s="120">
        <f>$R140*K140</f>
        <v>0</v>
      </c>
      <c r="K140" s="69">
        <v>0</v>
      </c>
      <c r="L140" s="120">
        <f>$R140*M140</f>
        <v>0</v>
      </c>
      <c r="M140" s="69">
        <v>0</v>
      </c>
      <c r="N140" s="315">
        <f>$R140*O140</f>
        <v>0</v>
      </c>
      <c r="O140" s="69">
        <v>0</v>
      </c>
      <c r="P140" s="120">
        <f>$R140*Q140</f>
        <v>0</v>
      </c>
      <c r="Q140" s="69">
        <v>0</v>
      </c>
      <c r="R140" s="88">
        <f>'Terms and Turnovers'!U35</f>
        <v>0</v>
      </c>
      <c r="S140" s="161">
        <f t="shared" si="7"/>
        <v>0</v>
      </c>
      <c r="T140" s="120">
        <f>$AF140*U140</f>
        <v>0</v>
      </c>
      <c r="U140" s="69">
        <v>0</v>
      </c>
      <c r="V140" s="120">
        <f>$AF140*W140</f>
        <v>0</v>
      </c>
      <c r="W140" s="69">
        <v>0</v>
      </c>
      <c r="X140" s="120">
        <f>$AF140*Y140</f>
        <v>0</v>
      </c>
      <c r="Y140" s="69">
        <v>0</v>
      </c>
      <c r="Z140" s="120">
        <f>$AF140*AA140</f>
        <v>0</v>
      </c>
      <c r="AA140" s="69">
        <v>0</v>
      </c>
      <c r="AB140" s="315">
        <f>$AF140*AC140</f>
        <v>0</v>
      </c>
      <c r="AC140" s="69">
        <v>0</v>
      </c>
      <c r="AD140" s="120">
        <f>$AF140*AE140</f>
        <v>0</v>
      </c>
      <c r="AE140" s="69">
        <v>0</v>
      </c>
      <c r="AF140" s="88">
        <f>'Terms and Turnovers'!Z35</f>
        <v>0</v>
      </c>
      <c r="AG140" s="161">
        <f t="shared" si="8"/>
        <v>0</v>
      </c>
      <c r="AH140" s="158">
        <f t="shared" si="9"/>
        <v>0</v>
      </c>
      <c r="AI140" s="134">
        <f t="shared" si="10"/>
        <v>0</v>
      </c>
      <c r="AJ140" s="65"/>
      <c r="AL140" s="461">
        <f>SUM(F140,H140,J140,L140,N140,P140,T140,V140,X140,Z140,AB140,AD140)</f>
        <v>0</v>
      </c>
      <c r="AM140" s="462">
        <f>AL140-AH140</f>
        <v>0</v>
      </c>
      <c r="AO140" s="692"/>
      <c r="AP140" s="692"/>
      <c r="AV140" s="56"/>
    </row>
    <row r="141" spans="1:48" ht="13.5" customHeight="1" outlineLevel="1" thickBot="1">
      <c r="B141" s="82"/>
      <c r="C141" s="1234"/>
      <c r="D141" s="1234"/>
      <c r="E141" s="84" t="str">
        <f>'Terms and Turnovers'!$AD$12</f>
        <v>ACCESSORIES</v>
      </c>
      <c r="F141" s="120">
        <f>$R141*G141</f>
        <v>0</v>
      </c>
      <c r="G141" s="723"/>
      <c r="H141" s="120">
        <f>$R141*I141</f>
        <v>0</v>
      </c>
      <c r="I141" s="69">
        <v>0</v>
      </c>
      <c r="J141" s="120">
        <f>$R141*K141</f>
        <v>0</v>
      </c>
      <c r="K141" s="69">
        <v>0</v>
      </c>
      <c r="L141" s="120">
        <f>$R141*M141</f>
        <v>0</v>
      </c>
      <c r="M141" s="69">
        <v>0</v>
      </c>
      <c r="N141" s="315">
        <f>$R141*O141</f>
        <v>0</v>
      </c>
      <c r="O141" s="69">
        <v>0</v>
      </c>
      <c r="P141" s="120">
        <f>$R141*Q141</f>
        <v>0</v>
      </c>
      <c r="Q141" s="69">
        <v>0</v>
      </c>
      <c r="R141" s="88">
        <f>'Terms and Turnovers'!AE35</f>
        <v>0</v>
      </c>
      <c r="S141" s="161">
        <f t="shared" si="7"/>
        <v>0</v>
      </c>
      <c r="T141" s="120">
        <f>$AF141*U141</f>
        <v>0</v>
      </c>
      <c r="U141" s="69">
        <v>0</v>
      </c>
      <c r="V141" s="120">
        <f>$AF141*W141</f>
        <v>0</v>
      </c>
      <c r="W141" s="69">
        <v>0</v>
      </c>
      <c r="X141" s="120">
        <f>$AF141*Y141</f>
        <v>0</v>
      </c>
      <c r="Y141" s="69">
        <v>0</v>
      </c>
      <c r="Z141" s="120">
        <f>$AF141*AA141</f>
        <v>0</v>
      </c>
      <c r="AA141" s="69">
        <v>0</v>
      </c>
      <c r="AB141" s="315">
        <f>$AF141*AC141</f>
        <v>0</v>
      </c>
      <c r="AC141" s="69">
        <v>0</v>
      </c>
      <c r="AD141" s="120">
        <f>$AF141*AE141</f>
        <v>0</v>
      </c>
      <c r="AE141" s="69">
        <v>0</v>
      </c>
      <c r="AF141" s="88">
        <f>'Terms and Turnovers'!AJ35</f>
        <v>0</v>
      </c>
      <c r="AG141" s="161">
        <f t="shared" si="8"/>
        <v>0</v>
      </c>
      <c r="AH141" s="158">
        <f t="shared" si="9"/>
        <v>0</v>
      </c>
      <c r="AI141" s="134">
        <f t="shared" si="10"/>
        <v>0</v>
      </c>
      <c r="AJ141" s="65"/>
      <c r="AL141" s="461">
        <f>SUM(F141,H141,J141,L141,N141,P141,T141,V141,X141,Z141,AB141,AD141)</f>
        <v>0</v>
      </c>
      <c r="AM141" s="462">
        <f>AL141-AH141</f>
        <v>0</v>
      </c>
      <c r="AO141" s="692"/>
      <c r="AP141" s="692"/>
      <c r="AV141" s="56"/>
    </row>
    <row r="142" spans="1:48" ht="13.5" customHeight="1" outlineLevel="1" thickBot="1">
      <c r="B142" s="82"/>
      <c r="C142" s="1234"/>
      <c r="D142" s="1234"/>
      <c r="E142" s="84">
        <f>'Terms and Turnovers'!$AN$12</f>
        <v>0</v>
      </c>
      <c r="F142" s="120">
        <f>$R142*G142</f>
        <v>0</v>
      </c>
      <c r="G142" s="723"/>
      <c r="H142" s="120">
        <f>$R142*I142</f>
        <v>0</v>
      </c>
      <c r="I142" s="69">
        <v>0</v>
      </c>
      <c r="J142" s="120">
        <f>$R142*K142</f>
        <v>0</v>
      </c>
      <c r="K142" s="69">
        <v>0</v>
      </c>
      <c r="L142" s="120">
        <f>$R142*M142</f>
        <v>0</v>
      </c>
      <c r="M142" s="69">
        <v>0</v>
      </c>
      <c r="N142" s="315">
        <f>$R142*O142</f>
        <v>0</v>
      </c>
      <c r="O142" s="69">
        <v>0</v>
      </c>
      <c r="P142" s="120">
        <f>$R142*Q142</f>
        <v>0</v>
      </c>
      <c r="Q142" s="69">
        <v>0</v>
      </c>
      <c r="R142" s="88">
        <f>'Terms and Turnovers'!AO35</f>
        <v>0</v>
      </c>
      <c r="S142" s="161">
        <f t="shared" si="7"/>
        <v>0</v>
      </c>
      <c r="T142" s="120">
        <f>$AF142*U142</f>
        <v>0</v>
      </c>
      <c r="U142" s="69">
        <v>0</v>
      </c>
      <c r="V142" s="120">
        <f>$AF142*W142</f>
        <v>0</v>
      </c>
      <c r="W142" s="69">
        <v>0</v>
      </c>
      <c r="X142" s="120">
        <f>$AF142*Y142</f>
        <v>0</v>
      </c>
      <c r="Y142" s="69">
        <v>0</v>
      </c>
      <c r="Z142" s="120">
        <f>$AF142*AA142</f>
        <v>0</v>
      </c>
      <c r="AA142" s="69">
        <v>0</v>
      </c>
      <c r="AB142" s="315">
        <f>$AF142*AC142</f>
        <v>0</v>
      </c>
      <c r="AC142" s="69">
        <v>0</v>
      </c>
      <c r="AD142" s="120">
        <f>$AF142*AE142</f>
        <v>0</v>
      </c>
      <c r="AE142" s="69">
        <v>0</v>
      </c>
      <c r="AF142" s="88">
        <f>'Terms and Turnovers'!AT35</f>
        <v>0</v>
      </c>
      <c r="AG142" s="161">
        <f t="shared" si="8"/>
        <v>0</v>
      </c>
      <c r="AH142" s="158">
        <f t="shared" si="9"/>
        <v>0</v>
      </c>
      <c r="AI142" s="134">
        <f t="shared" si="10"/>
        <v>0</v>
      </c>
      <c r="AJ142" s="65"/>
      <c r="AL142" s="461">
        <f>SUM(F142,H142,J142,L142,N142,P142,T142,V142,X142,Z142,AB142,AD142)</f>
        <v>0</v>
      </c>
      <c r="AM142" s="462">
        <f>AL142-AH142</f>
        <v>0</v>
      </c>
      <c r="AO142" s="692"/>
      <c r="AP142" s="692"/>
      <c r="AV142" s="56"/>
    </row>
    <row r="143" spans="1:48" ht="13.5" customHeight="1" outlineLevel="1" thickBot="1">
      <c r="B143" s="82"/>
      <c r="C143" s="1235"/>
      <c r="D143" s="1235"/>
      <c r="E143" s="85">
        <f>'Terms and Turnovers'!$AX$12</f>
        <v>0</v>
      </c>
      <c r="F143" s="121">
        <f>$R143*G143</f>
        <v>0</v>
      </c>
      <c r="G143" s="72"/>
      <c r="H143" s="121">
        <f>$R143*I143</f>
        <v>0</v>
      </c>
      <c r="I143" s="69">
        <v>0</v>
      </c>
      <c r="J143" s="121">
        <f>$R143*K143</f>
        <v>0</v>
      </c>
      <c r="K143" s="69">
        <v>0</v>
      </c>
      <c r="L143" s="121">
        <f>$R143*M143</f>
        <v>0</v>
      </c>
      <c r="M143" s="69">
        <v>0</v>
      </c>
      <c r="N143" s="316">
        <f>$R143*O143</f>
        <v>0</v>
      </c>
      <c r="O143" s="69">
        <v>0</v>
      </c>
      <c r="P143" s="121">
        <f>$R143*Q143</f>
        <v>0</v>
      </c>
      <c r="Q143" s="69">
        <v>0</v>
      </c>
      <c r="R143" s="89">
        <f>'Terms and Turnovers'!AY35</f>
        <v>0</v>
      </c>
      <c r="S143" s="162">
        <f t="shared" si="7"/>
        <v>0</v>
      </c>
      <c r="T143" s="121">
        <f>$AF143*U143</f>
        <v>0</v>
      </c>
      <c r="U143" s="69">
        <v>0</v>
      </c>
      <c r="V143" s="121">
        <f>$AF143*W143</f>
        <v>0</v>
      </c>
      <c r="W143" s="69">
        <v>0</v>
      </c>
      <c r="X143" s="121">
        <f>$AF143*Y143</f>
        <v>0</v>
      </c>
      <c r="Y143" s="69">
        <v>0</v>
      </c>
      <c r="Z143" s="121">
        <f>$AF143*AA143</f>
        <v>0</v>
      </c>
      <c r="AA143" s="69">
        <v>0</v>
      </c>
      <c r="AB143" s="316">
        <f>$AF143*AC143</f>
        <v>0</v>
      </c>
      <c r="AC143" s="69">
        <v>0</v>
      </c>
      <c r="AD143" s="121">
        <f>$AF143*AE143</f>
        <v>0</v>
      </c>
      <c r="AE143" s="69">
        <v>0</v>
      </c>
      <c r="AF143" s="89">
        <f>'Terms and Turnovers'!BD35</f>
        <v>0</v>
      </c>
      <c r="AG143" s="162">
        <f t="shared" si="8"/>
        <v>0</v>
      </c>
      <c r="AH143" s="159">
        <f t="shared" si="9"/>
        <v>0</v>
      </c>
      <c r="AI143" s="137">
        <f t="shared" si="10"/>
        <v>0</v>
      </c>
      <c r="AJ143" s="65"/>
      <c r="AL143" s="461">
        <f>SUM(F143,H143,J143,L143,N143,P143,T143,V143,X143,Z143,AB143,AD143)</f>
        <v>0</v>
      </c>
      <c r="AM143" s="462">
        <f>AL143-AH143</f>
        <v>0</v>
      </c>
      <c r="AO143" s="692"/>
      <c r="AP143" s="692"/>
      <c r="AV143" s="56"/>
    </row>
    <row r="144" spans="1:48" ht="13.5" customHeight="1" outlineLevel="1" thickBot="1">
      <c r="A144" s="119"/>
      <c r="B144" s="82"/>
      <c r="C144" s="425"/>
      <c r="D144" s="425"/>
      <c r="E144" s="426"/>
      <c r="F144" s="427">
        <f>SUM(F139:F143)</f>
        <v>0</v>
      </c>
      <c r="G144" s="428"/>
      <c r="H144" s="427">
        <f>SUM(H139:H143)</f>
        <v>0</v>
      </c>
      <c r="I144" s="69"/>
      <c r="J144" s="427">
        <f>SUM(J139:J143)</f>
        <v>0</v>
      </c>
      <c r="K144" s="69"/>
      <c r="L144" s="427">
        <f>SUM(L139:L143)</f>
        <v>0</v>
      </c>
      <c r="M144" s="69"/>
      <c r="N144" s="427">
        <f>SUM(N139:N143)</f>
        <v>0</v>
      </c>
      <c r="O144" s="69"/>
      <c r="P144" s="427">
        <f>SUM(P139:P143)</f>
        <v>0</v>
      </c>
      <c r="Q144" s="69"/>
      <c r="R144" s="429"/>
      <c r="S144" s="430"/>
      <c r="T144" s="427">
        <f>SUM(T139:T143)</f>
        <v>0</v>
      </c>
      <c r="U144" s="428"/>
      <c r="V144" s="427">
        <f>SUM(V139:V143)</f>
        <v>0</v>
      </c>
      <c r="W144" s="69"/>
      <c r="X144" s="427">
        <f>SUM(X139:X143)</f>
        <v>0</v>
      </c>
      <c r="Y144" s="69"/>
      <c r="Z144" s="427">
        <f>SUM(Z139:Z143)</f>
        <v>0</v>
      </c>
      <c r="AA144" s="69"/>
      <c r="AB144" s="427">
        <f>SUM(AB139:AB143)</f>
        <v>0</v>
      </c>
      <c r="AC144" s="69"/>
      <c r="AD144" s="427">
        <f>SUM(AD139:AD143)</f>
        <v>0</v>
      </c>
      <c r="AE144" s="69"/>
      <c r="AF144" s="429"/>
      <c r="AG144" s="430"/>
      <c r="AH144" s="431"/>
      <c r="AI144" s="432"/>
      <c r="AJ144" s="65"/>
      <c r="AO144" s="692"/>
      <c r="AP144" s="692"/>
      <c r="AV144" s="56"/>
    </row>
    <row r="145" spans="1:48" ht="13.5" customHeight="1" outlineLevel="1" thickBot="1">
      <c r="A145" s="119"/>
      <c r="B145" s="82"/>
      <c r="C145" s="1098" t="s">
        <v>484</v>
      </c>
      <c r="D145" s="433">
        <f>D139</f>
        <v>0</v>
      </c>
      <c r="E145" s="426"/>
      <c r="F145" s="700"/>
      <c r="G145" s="428"/>
      <c r="H145" s="700"/>
      <c r="I145" s="69"/>
      <c r="J145" s="700"/>
      <c r="K145" s="69"/>
      <c r="L145" s="700"/>
      <c r="M145" s="69"/>
      <c r="N145" s="700"/>
      <c r="O145" s="69"/>
      <c r="P145" s="700"/>
      <c r="Q145" s="69"/>
      <c r="R145" s="429"/>
      <c r="S145" s="430"/>
      <c r="T145" s="700"/>
      <c r="U145" s="428">
        <f>Q144</f>
        <v>0</v>
      </c>
      <c r="V145" s="700"/>
      <c r="W145" s="69">
        <f>S144</f>
        <v>0</v>
      </c>
      <c r="X145" s="700"/>
      <c r="Y145" s="69">
        <f>U144</f>
        <v>0</v>
      </c>
      <c r="Z145" s="700"/>
      <c r="AA145" s="69">
        <f>W144</f>
        <v>0</v>
      </c>
      <c r="AB145" s="700"/>
      <c r="AC145" s="69">
        <f>Y144</f>
        <v>0</v>
      </c>
      <c r="AD145" s="700"/>
      <c r="AE145" s="69"/>
      <c r="AF145" s="429"/>
      <c r="AG145" s="430"/>
      <c r="AH145" s="431"/>
      <c r="AI145" s="432"/>
      <c r="AJ145" s="65"/>
      <c r="AN145" s="742">
        <f>SUM(AF139:AF143)*AQ145</f>
        <v>0</v>
      </c>
      <c r="AO145" s="742">
        <f>SUM(R139:R143)*AQ145</f>
        <v>0</v>
      </c>
      <c r="AP145" s="742"/>
      <c r="AQ145" s="693">
        <v>0.1</v>
      </c>
      <c r="AS145" s="716">
        <f>SUM(AL139:AL143)</f>
        <v>0</v>
      </c>
      <c r="AT145" s="461">
        <f>F145+H145+J145+L145+N145+P145+T145+V145+X145+Z145+AB145+AD145</f>
        <v>0</v>
      </c>
      <c r="AU145" s="745">
        <f>AT145-AS145</f>
        <v>0</v>
      </c>
      <c r="AV145" s="462" t="e">
        <f>AT145/AS145</f>
        <v>#DIV/0!</v>
      </c>
    </row>
    <row r="146" spans="1:48" ht="13.5" customHeight="1" outlineLevel="1" thickBot="1">
      <c r="B146" s="82">
        <f>B139+1</f>
        <v>21</v>
      </c>
      <c r="C146" s="1233">
        <f>'Terms and Turnovers'!C36</f>
        <v>0</v>
      </c>
      <c r="D146" s="1233">
        <f>'Terms and Turnovers'!D36</f>
        <v>0</v>
      </c>
      <c r="E146" s="83" t="str">
        <f>'Terms and Turnovers'!$J$12</f>
        <v>FLIP-FLOPS</v>
      </c>
      <c r="F146" s="118">
        <f>$R146*G146</f>
        <v>0</v>
      </c>
      <c r="G146" s="69"/>
      <c r="H146" s="314">
        <f>$R146*I146</f>
        <v>0</v>
      </c>
      <c r="I146" s="69">
        <v>0</v>
      </c>
      <c r="J146" s="118">
        <f>$R146*K146</f>
        <v>0</v>
      </c>
      <c r="K146" s="69">
        <v>0</v>
      </c>
      <c r="L146" s="314">
        <f>$R146*M146</f>
        <v>0</v>
      </c>
      <c r="M146" s="69">
        <v>0</v>
      </c>
      <c r="N146" s="314">
        <f>$R146*O146</f>
        <v>0</v>
      </c>
      <c r="O146" s="69">
        <v>0</v>
      </c>
      <c r="P146" s="118">
        <f>$R146*Q146</f>
        <v>0</v>
      </c>
      <c r="Q146" s="69">
        <v>0</v>
      </c>
      <c r="R146" s="87">
        <f>'Terms and Turnovers'!K36</f>
        <v>0</v>
      </c>
      <c r="S146" s="160">
        <f t="shared" si="7"/>
        <v>0</v>
      </c>
      <c r="T146" s="118">
        <f>$AF146*U146</f>
        <v>0</v>
      </c>
      <c r="U146" s="69">
        <v>0</v>
      </c>
      <c r="V146" s="314">
        <f>$AF146*W146</f>
        <v>0</v>
      </c>
      <c r="W146" s="69">
        <v>0</v>
      </c>
      <c r="X146" s="118">
        <f>$AF146*Y146</f>
        <v>0</v>
      </c>
      <c r="Y146" s="69">
        <v>0</v>
      </c>
      <c r="Z146" s="314">
        <f>$AF146*AA146</f>
        <v>0</v>
      </c>
      <c r="AA146" s="69">
        <v>0</v>
      </c>
      <c r="AB146" s="314">
        <f>$AF146*AC146</f>
        <v>0</v>
      </c>
      <c r="AC146" s="69">
        <v>0</v>
      </c>
      <c r="AD146" s="118">
        <f>$AF146*AE146</f>
        <v>0</v>
      </c>
      <c r="AE146" s="69">
        <v>0</v>
      </c>
      <c r="AF146" s="87">
        <f>'Terms and Turnovers'!P36</f>
        <v>0</v>
      </c>
      <c r="AG146" s="160">
        <f t="shared" si="8"/>
        <v>0</v>
      </c>
      <c r="AH146" s="157">
        <f t="shared" si="9"/>
        <v>0</v>
      </c>
      <c r="AI146" s="131">
        <f t="shared" si="10"/>
        <v>0</v>
      </c>
      <c r="AJ146" s="65"/>
      <c r="AL146" s="461">
        <f>SUM(F146,H146,J146,L146,N146,P146,T146,V146,X146,Z146,AB146,AD146)</f>
        <v>0</v>
      </c>
      <c r="AM146" s="462">
        <f>AL146-AH146</f>
        <v>0</v>
      </c>
      <c r="AO146" s="692"/>
      <c r="AP146" s="692"/>
      <c r="AV146" s="56"/>
    </row>
    <row r="147" spans="1:48" ht="13.5" customHeight="1" outlineLevel="1" thickBot="1">
      <c r="B147" s="82"/>
      <c r="C147" s="1234"/>
      <c r="D147" s="1234"/>
      <c r="E147" s="84" t="str">
        <f>'Terms and Turnovers'!$T$12</f>
        <v>ORIGINALS</v>
      </c>
      <c r="F147" s="120">
        <f>$R147*G147</f>
        <v>0</v>
      </c>
      <c r="G147" s="723"/>
      <c r="H147" s="120">
        <f>$R147*I147</f>
        <v>0</v>
      </c>
      <c r="I147" s="69">
        <v>0</v>
      </c>
      <c r="J147" s="120">
        <f>$R147*K147</f>
        <v>0</v>
      </c>
      <c r="K147" s="69">
        <v>0</v>
      </c>
      <c r="L147" s="120">
        <f>$R147*M147</f>
        <v>0</v>
      </c>
      <c r="M147" s="69">
        <v>0</v>
      </c>
      <c r="N147" s="315">
        <f>$R147*O147</f>
        <v>0</v>
      </c>
      <c r="O147" s="69">
        <v>0</v>
      </c>
      <c r="P147" s="120">
        <f>$R147*Q147</f>
        <v>0</v>
      </c>
      <c r="Q147" s="69">
        <v>0</v>
      </c>
      <c r="R147" s="88">
        <f>'Terms and Turnovers'!U36</f>
        <v>0</v>
      </c>
      <c r="S147" s="161">
        <f t="shared" si="7"/>
        <v>0</v>
      </c>
      <c r="T147" s="120">
        <f>$AF147*U147</f>
        <v>0</v>
      </c>
      <c r="U147" s="69">
        <v>0</v>
      </c>
      <c r="V147" s="120">
        <f>$AF147*W147</f>
        <v>0</v>
      </c>
      <c r="W147" s="69">
        <v>0</v>
      </c>
      <c r="X147" s="120">
        <f>$AF147*Y147</f>
        <v>0</v>
      </c>
      <c r="Y147" s="69">
        <v>0</v>
      </c>
      <c r="Z147" s="120">
        <f>$AF147*AA147</f>
        <v>0</v>
      </c>
      <c r="AA147" s="69">
        <v>0</v>
      </c>
      <c r="AB147" s="315">
        <f>$AF147*AC147</f>
        <v>0</v>
      </c>
      <c r="AC147" s="69">
        <v>0</v>
      </c>
      <c r="AD147" s="120">
        <f>$AF147*AE147</f>
        <v>0</v>
      </c>
      <c r="AE147" s="69">
        <v>0</v>
      </c>
      <c r="AF147" s="88">
        <f>'Terms and Turnovers'!Z36</f>
        <v>0</v>
      </c>
      <c r="AG147" s="161">
        <f t="shared" si="8"/>
        <v>0</v>
      </c>
      <c r="AH147" s="158">
        <f t="shared" si="9"/>
        <v>0</v>
      </c>
      <c r="AI147" s="134">
        <f t="shared" si="10"/>
        <v>0</v>
      </c>
      <c r="AJ147" s="65"/>
      <c r="AL147" s="461">
        <f>SUM(F147,H147,J147,L147,N147,P147,T147,V147,X147,Z147,AB147,AD147)</f>
        <v>0</v>
      </c>
      <c r="AM147" s="462">
        <f>AL147-AH147</f>
        <v>0</v>
      </c>
      <c r="AO147" s="692"/>
      <c r="AP147" s="692"/>
      <c r="AV147" s="56"/>
    </row>
    <row r="148" spans="1:48" ht="13.5" customHeight="1" outlineLevel="1" thickBot="1">
      <c r="B148" s="82"/>
      <c r="C148" s="1234"/>
      <c r="D148" s="1234"/>
      <c r="E148" s="84" t="str">
        <f>'Terms and Turnovers'!$AD$12</f>
        <v>ACCESSORIES</v>
      </c>
      <c r="F148" s="120">
        <f>$R148*G148</f>
        <v>0</v>
      </c>
      <c r="G148" s="723"/>
      <c r="H148" s="120">
        <f>$R148*I148</f>
        <v>0</v>
      </c>
      <c r="I148" s="69">
        <v>0</v>
      </c>
      <c r="J148" s="120">
        <f>$R148*K148</f>
        <v>0</v>
      </c>
      <c r="K148" s="69">
        <v>0</v>
      </c>
      <c r="L148" s="120">
        <f>$R148*M148</f>
        <v>0</v>
      </c>
      <c r="M148" s="69">
        <v>0</v>
      </c>
      <c r="N148" s="315">
        <f>$R148*O148</f>
        <v>0</v>
      </c>
      <c r="O148" s="69">
        <v>0</v>
      </c>
      <c r="P148" s="120">
        <f>$R148*Q148</f>
        <v>0</v>
      </c>
      <c r="Q148" s="69">
        <v>0</v>
      </c>
      <c r="R148" s="88">
        <f>'Terms and Turnovers'!AE36</f>
        <v>0</v>
      </c>
      <c r="S148" s="161">
        <f t="shared" si="7"/>
        <v>0</v>
      </c>
      <c r="T148" s="120">
        <f>$AF148*U148</f>
        <v>0</v>
      </c>
      <c r="U148" s="69">
        <v>0</v>
      </c>
      <c r="V148" s="120">
        <f>$AF148*W148</f>
        <v>0</v>
      </c>
      <c r="W148" s="69">
        <v>0</v>
      </c>
      <c r="X148" s="120">
        <f>$AF148*Y148</f>
        <v>0</v>
      </c>
      <c r="Y148" s="69">
        <v>0</v>
      </c>
      <c r="Z148" s="120">
        <f>$AF148*AA148</f>
        <v>0</v>
      </c>
      <c r="AA148" s="69">
        <v>0</v>
      </c>
      <c r="AB148" s="315">
        <f>$AF148*AC148</f>
        <v>0</v>
      </c>
      <c r="AC148" s="69">
        <v>0</v>
      </c>
      <c r="AD148" s="120">
        <f>$AF148*AE148</f>
        <v>0</v>
      </c>
      <c r="AE148" s="69">
        <v>0</v>
      </c>
      <c r="AF148" s="88">
        <f>'Terms and Turnovers'!AJ36</f>
        <v>0</v>
      </c>
      <c r="AG148" s="161">
        <f t="shared" si="8"/>
        <v>0</v>
      </c>
      <c r="AH148" s="158">
        <f t="shared" si="9"/>
        <v>0</v>
      </c>
      <c r="AI148" s="134">
        <f t="shared" si="10"/>
        <v>0</v>
      </c>
      <c r="AJ148" s="65"/>
      <c r="AL148" s="461">
        <f>SUM(F148,H148,J148,L148,N148,P148,T148,V148,X148,Z148,AB148,AD148)</f>
        <v>0</v>
      </c>
      <c r="AM148" s="462">
        <f>AL148-AH148</f>
        <v>0</v>
      </c>
      <c r="AO148" s="692"/>
      <c r="AP148" s="692"/>
      <c r="AV148" s="56"/>
    </row>
    <row r="149" spans="1:48" ht="13.5" customHeight="1" outlineLevel="1" thickBot="1">
      <c r="B149" s="82"/>
      <c r="C149" s="1234"/>
      <c r="D149" s="1234"/>
      <c r="E149" s="84">
        <f>'Terms and Turnovers'!$AN$12</f>
        <v>0</v>
      </c>
      <c r="F149" s="120">
        <f>$R149*G149</f>
        <v>0</v>
      </c>
      <c r="G149" s="723"/>
      <c r="H149" s="120">
        <f>$R149*I149</f>
        <v>0</v>
      </c>
      <c r="I149" s="69">
        <v>0</v>
      </c>
      <c r="J149" s="120">
        <f>$R149*K149</f>
        <v>0</v>
      </c>
      <c r="K149" s="69">
        <v>0</v>
      </c>
      <c r="L149" s="120">
        <f>$R149*M149</f>
        <v>0</v>
      </c>
      <c r="M149" s="69">
        <v>0</v>
      </c>
      <c r="N149" s="315">
        <f>$R149*O149</f>
        <v>0</v>
      </c>
      <c r="O149" s="69">
        <v>0</v>
      </c>
      <c r="P149" s="120">
        <f>$R149*Q149</f>
        <v>0</v>
      </c>
      <c r="Q149" s="69">
        <v>0</v>
      </c>
      <c r="R149" s="88">
        <f>'Terms and Turnovers'!AO36</f>
        <v>0</v>
      </c>
      <c r="S149" s="161">
        <f t="shared" si="7"/>
        <v>0</v>
      </c>
      <c r="T149" s="120">
        <f>$AF149*U149</f>
        <v>0</v>
      </c>
      <c r="U149" s="69">
        <v>0</v>
      </c>
      <c r="V149" s="120">
        <f>$AF149*W149</f>
        <v>0</v>
      </c>
      <c r="W149" s="69">
        <v>0</v>
      </c>
      <c r="X149" s="120">
        <f>$AF149*Y149</f>
        <v>0</v>
      </c>
      <c r="Y149" s="69">
        <v>0</v>
      </c>
      <c r="Z149" s="120">
        <f>$AF149*AA149</f>
        <v>0</v>
      </c>
      <c r="AA149" s="69">
        <v>0</v>
      </c>
      <c r="AB149" s="315">
        <f>$AF149*AC149</f>
        <v>0</v>
      </c>
      <c r="AC149" s="69">
        <v>0</v>
      </c>
      <c r="AD149" s="120">
        <f>$AF149*AE149</f>
        <v>0</v>
      </c>
      <c r="AE149" s="69">
        <v>0</v>
      </c>
      <c r="AF149" s="88">
        <f>'Terms and Turnovers'!AT36</f>
        <v>0</v>
      </c>
      <c r="AG149" s="161">
        <f t="shared" si="8"/>
        <v>0</v>
      </c>
      <c r="AH149" s="158">
        <f t="shared" si="9"/>
        <v>0</v>
      </c>
      <c r="AI149" s="134">
        <f t="shared" si="10"/>
        <v>0</v>
      </c>
      <c r="AJ149" s="65"/>
      <c r="AL149" s="461">
        <f>SUM(F149,H149,J149,L149,N149,P149,T149,V149,X149,Z149,AB149,AD149)</f>
        <v>0</v>
      </c>
      <c r="AM149" s="462">
        <f>AL149-AH149</f>
        <v>0</v>
      </c>
      <c r="AO149" s="692"/>
      <c r="AP149" s="692"/>
      <c r="AV149" s="56"/>
    </row>
    <row r="150" spans="1:48" ht="13.5" customHeight="1" outlineLevel="1" thickBot="1">
      <c r="B150" s="82"/>
      <c r="C150" s="1235"/>
      <c r="D150" s="1235"/>
      <c r="E150" s="85">
        <f>'Terms and Turnovers'!$AX$12</f>
        <v>0</v>
      </c>
      <c r="F150" s="121">
        <f>$R150*G150</f>
        <v>0</v>
      </c>
      <c r="G150" s="72"/>
      <c r="H150" s="121">
        <f>$R150*I150</f>
        <v>0</v>
      </c>
      <c r="I150" s="69">
        <v>0</v>
      </c>
      <c r="J150" s="121">
        <f>$R150*K150</f>
        <v>0</v>
      </c>
      <c r="K150" s="69">
        <v>0</v>
      </c>
      <c r="L150" s="121">
        <f>$R150*M150</f>
        <v>0</v>
      </c>
      <c r="M150" s="69">
        <v>0</v>
      </c>
      <c r="N150" s="316">
        <f>$R150*O150</f>
        <v>0</v>
      </c>
      <c r="O150" s="69">
        <v>0</v>
      </c>
      <c r="P150" s="121">
        <f>$R150*Q150</f>
        <v>0</v>
      </c>
      <c r="Q150" s="69">
        <v>0</v>
      </c>
      <c r="R150" s="89">
        <f>'Terms and Turnovers'!AY36</f>
        <v>0</v>
      </c>
      <c r="S150" s="162">
        <f t="shared" si="7"/>
        <v>0</v>
      </c>
      <c r="T150" s="121">
        <f>$AF150*U150</f>
        <v>0</v>
      </c>
      <c r="U150" s="69">
        <v>0</v>
      </c>
      <c r="V150" s="121">
        <f>$AF150*W150</f>
        <v>0</v>
      </c>
      <c r="W150" s="69">
        <v>0</v>
      </c>
      <c r="X150" s="121">
        <f>$AF150*Y150</f>
        <v>0</v>
      </c>
      <c r="Y150" s="69">
        <v>0</v>
      </c>
      <c r="Z150" s="121">
        <f>$AF150*AA150</f>
        <v>0</v>
      </c>
      <c r="AA150" s="69">
        <v>0</v>
      </c>
      <c r="AB150" s="316">
        <f>$AF150*AC150</f>
        <v>0</v>
      </c>
      <c r="AC150" s="69">
        <v>0</v>
      </c>
      <c r="AD150" s="121">
        <f>$AF150*AE150</f>
        <v>0</v>
      </c>
      <c r="AE150" s="69">
        <v>0</v>
      </c>
      <c r="AF150" s="89">
        <f>'Terms and Turnovers'!BD36</f>
        <v>0</v>
      </c>
      <c r="AG150" s="162">
        <f t="shared" si="8"/>
        <v>0</v>
      </c>
      <c r="AH150" s="159">
        <f t="shared" si="9"/>
        <v>0</v>
      </c>
      <c r="AI150" s="137">
        <f t="shared" si="10"/>
        <v>0</v>
      </c>
      <c r="AJ150" s="65"/>
      <c r="AL150" s="461">
        <f>SUM(F150,H150,J150,L150,N150,P150,T150,V150,X150,Z150,AB150,AD150)</f>
        <v>0</v>
      </c>
      <c r="AM150" s="462">
        <f>AL150-AH150</f>
        <v>0</v>
      </c>
      <c r="AO150" s="692"/>
      <c r="AP150" s="692"/>
      <c r="AV150" s="56"/>
    </row>
    <row r="151" spans="1:48" ht="13.5" customHeight="1" outlineLevel="1" thickBot="1">
      <c r="A151" s="119"/>
      <c r="B151" s="82"/>
      <c r="C151" s="425"/>
      <c r="D151" s="425"/>
      <c r="E151" s="426"/>
      <c r="F151" s="427">
        <f>SUM(F146:F150)</f>
        <v>0</v>
      </c>
      <c r="G151" s="428"/>
      <c r="H151" s="427">
        <f>SUM(H146:H150)</f>
        <v>0</v>
      </c>
      <c r="I151" s="69"/>
      <c r="J151" s="427">
        <f>SUM(J146:J150)</f>
        <v>0</v>
      </c>
      <c r="K151" s="69"/>
      <c r="L151" s="427">
        <f>SUM(L146:L150)</f>
        <v>0</v>
      </c>
      <c r="M151" s="69"/>
      <c r="N151" s="427">
        <f>SUM(N146:N150)</f>
        <v>0</v>
      </c>
      <c r="O151" s="69"/>
      <c r="P151" s="427">
        <f>SUM(P146:P150)</f>
        <v>0</v>
      </c>
      <c r="Q151" s="69"/>
      <c r="R151" s="429"/>
      <c r="S151" s="430"/>
      <c r="T151" s="427">
        <f>SUM(T146:T150)</f>
        <v>0</v>
      </c>
      <c r="U151" s="428"/>
      <c r="V151" s="427">
        <f>SUM(V146:V150)</f>
        <v>0</v>
      </c>
      <c r="W151" s="69"/>
      <c r="X151" s="427">
        <f>SUM(X146:X150)</f>
        <v>0</v>
      </c>
      <c r="Y151" s="69"/>
      <c r="Z151" s="427">
        <f>SUM(Z146:Z150)</f>
        <v>0</v>
      </c>
      <c r="AA151" s="69"/>
      <c r="AB151" s="427">
        <f>SUM(AB146:AB150)</f>
        <v>0</v>
      </c>
      <c r="AC151" s="69"/>
      <c r="AD151" s="427">
        <f>SUM(AD146:AD150)</f>
        <v>0</v>
      </c>
      <c r="AE151" s="69"/>
      <c r="AF151" s="429"/>
      <c r="AG151" s="430"/>
      <c r="AH151" s="431"/>
      <c r="AI151" s="432"/>
      <c r="AJ151" s="65"/>
      <c r="AO151" s="692"/>
      <c r="AP151" s="692"/>
      <c r="AV151" s="56"/>
    </row>
    <row r="152" spans="1:48" ht="13.5" customHeight="1" outlineLevel="1" thickBot="1">
      <c r="A152" s="119"/>
      <c r="B152" s="82"/>
      <c r="C152" s="1098" t="s">
        <v>484</v>
      </c>
      <c r="D152" s="433">
        <f>D146</f>
        <v>0</v>
      </c>
      <c r="E152" s="426"/>
      <c r="F152" s="700"/>
      <c r="G152" s="428"/>
      <c r="H152" s="700"/>
      <c r="I152" s="69"/>
      <c r="J152" s="700"/>
      <c r="K152" s="69"/>
      <c r="L152" s="700"/>
      <c r="M152" s="69"/>
      <c r="N152" s="700"/>
      <c r="O152" s="69"/>
      <c r="P152" s="700"/>
      <c r="Q152" s="69"/>
      <c r="R152" s="429"/>
      <c r="S152" s="430"/>
      <c r="T152" s="700"/>
      <c r="U152" s="428">
        <f>Q151</f>
        <v>0</v>
      </c>
      <c r="V152" s="700"/>
      <c r="W152" s="69">
        <f>S151</f>
        <v>0</v>
      </c>
      <c r="X152" s="700"/>
      <c r="Y152" s="69">
        <f>U151</f>
        <v>0</v>
      </c>
      <c r="Z152" s="700"/>
      <c r="AA152" s="69">
        <f>W151</f>
        <v>0</v>
      </c>
      <c r="AB152" s="700"/>
      <c r="AC152" s="69">
        <f>Y151</f>
        <v>0</v>
      </c>
      <c r="AD152" s="700"/>
      <c r="AE152" s="69"/>
      <c r="AF152" s="429"/>
      <c r="AG152" s="430"/>
      <c r="AH152" s="431"/>
      <c r="AI152" s="432"/>
      <c r="AJ152" s="65"/>
      <c r="AN152" s="742">
        <f>SUM(AF146:AF150)*AQ152</f>
        <v>0</v>
      </c>
      <c r="AO152" s="742">
        <f>SUM(R146:R150)*AQ152</f>
        <v>0</v>
      </c>
      <c r="AP152" s="742"/>
      <c r="AQ152" s="693">
        <v>0.15</v>
      </c>
      <c r="AS152" s="716">
        <f>SUM(AL146:AL150)</f>
        <v>0</v>
      </c>
      <c r="AT152" s="461">
        <f>F152+H152+J152+L152+N152+P152+T152+V152+X152+Z152+AB152+AD152</f>
        <v>0</v>
      </c>
      <c r="AU152" s="745">
        <f>AT152-AS152</f>
        <v>0</v>
      </c>
      <c r="AV152" s="462" t="e">
        <f>AT152/AS152</f>
        <v>#DIV/0!</v>
      </c>
    </row>
    <row r="153" spans="1:48" ht="13.5" customHeight="1" outlineLevel="1" thickBot="1">
      <c r="B153" s="82">
        <f>B146+1</f>
        <v>22</v>
      </c>
      <c r="C153" s="1233">
        <f>'Terms and Turnovers'!C37</f>
        <v>0</v>
      </c>
      <c r="D153" s="1233">
        <f>'Terms and Turnovers'!D37</f>
        <v>0</v>
      </c>
      <c r="E153" s="83" t="str">
        <f>'Terms and Turnovers'!$J$12</f>
        <v>FLIP-FLOPS</v>
      </c>
      <c r="F153" s="118">
        <f>$R153*G153</f>
        <v>0</v>
      </c>
      <c r="G153" s="69"/>
      <c r="H153" s="314">
        <f>$R153*I153</f>
        <v>0</v>
      </c>
      <c r="I153" s="69">
        <v>0</v>
      </c>
      <c r="J153" s="118">
        <f>$R153*K153</f>
        <v>0</v>
      </c>
      <c r="K153" s="69">
        <v>0</v>
      </c>
      <c r="L153" s="314">
        <f>$R153*M153</f>
        <v>0</v>
      </c>
      <c r="M153" s="69">
        <v>0</v>
      </c>
      <c r="N153" s="314">
        <f>$R153*O153</f>
        <v>0</v>
      </c>
      <c r="O153" s="69">
        <v>0</v>
      </c>
      <c r="P153" s="118">
        <f>$R153*Q153</f>
        <v>0</v>
      </c>
      <c r="Q153" s="69">
        <v>0</v>
      </c>
      <c r="R153" s="87">
        <f>'Terms and Turnovers'!K37</f>
        <v>0</v>
      </c>
      <c r="S153" s="160">
        <f t="shared" si="7"/>
        <v>0</v>
      </c>
      <c r="T153" s="118">
        <f>$AF153*U153</f>
        <v>0</v>
      </c>
      <c r="U153" s="69">
        <v>0</v>
      </c>
      <c r="V153" s="314">
        <f>$AF153*W153</f>
        <v>0</v>
      </c>
      <c r="W153" s="69">
        <v>0</v>
      </c>
      <c r="X153" s="118">
        <f>$AF153*Y153</f>
        <v>0</v>
      </c>
      <c r="Y153" s="69">
        <v>0</v>
      </c>
      <c r="Z153" s="314">
        <f>$AF153*AA153</f>
        <v>0</v>
      </c>
      <c r="AA153" s="69">
        <v>0</v>
      </c>
      <c r="AB153" s="314">
        <f>$AF153*AC153</f>
        <v>0</v>
      </c>
      <c r="AC153" s="69">
        <v>0</v>
      </c>
      <c r="AD153" s="118">
        <f>$AF153*AE153</f>
        <v>0</v>
      </c>
      <c r="AE153" s="69">
        <v>0</v>
      </c>
      <c r="AF153" s="87">
        <f>'Terms and Turnovers'!P37</f>
        <v>0</v>
      </c>
      <c r="AG153" s="160">
        <f t="shared" si="8"/>
        <v>0</v>
      </c>
      <c r="AH153" s="157">
        <f t="shared" si="9"/>
        <v>0</v>
      </c>
      <c r="AI153" s="131">
        <f t="shared" si="10"/>
        <v>0</v>
      </c>
      <c r="AJ153" s="65"/>
      <c r="AL153" s="461">
        <f>SUM(F153,H153,J153,L153,N153,P153,T153,V153,X153,Z153,AB153,AD153)</f>
        <v>0</v>
      </c>
      <c r="AM153" s="462">
        <f>AL153-AH153</f>
        <v>0</v>
      </c>
      <c r="AO153" s="692"/>
      <c r="AP153" s="692"/>
      <c r="AV153" s="56"/>
    </row>
    <row r="154" spans="1:48" ht="13.5" customHeight="1" outlineLevel="1" thickBot="1">
      <c r="B154" s="82"/>
      <c r="C154" s="1234"/>
      <c r="D154" s="1234"/>
      <c r="E154" s="84" t="str">
        <f>'Terms and Turnovers'!$T$12</f>
        <v>ORIGINALS</v>
      </c>
      <c r="F154" s="120">
        <f>$R154*G154</f>
        <v>0</v>
      </c>
      <c r="G154" s="723"/>
      <c r="H154" s="120">
        <f>$R154*I154</f>
        <v>0</v>
      </c>
      <c r="I154" s="69">
        <v>0</v>
      </c>
      <c r="J154" s="120">
        <f>$R154*K154</f>
        <v>0</v>
      </c>
      <c r="K154" s="69">
        <v>0</v>
      </c>
      <c r="L154" s="120">
        <f>$R154*M154</f>
        <v>0</v>
      </c>
      <c r="M154" s="69">
        <v>0</v>
      </c>
      <c r="N154" s="315">
        <f>$R154*O154</f>
        <v>0</v>
      </c>
      <c r="O154" s="69">
        <v>0</v>
      </c>
      <c r="P154" s="120">
        <f>$R154*Q154</f>
        <v>0</v>
      </c>
      <c r="Q154" s="69">
        <v>0</v>
      </c>
      <c r="R154" s="88">
        <f>'Terms and Turnovers'!U37</f>
        <v>0</v>
      </c>
      <c r="S154" s="161">
        <f t="shared" si="7"/>
        <v>0</v>
      </c>
      <c r="T154" s="120">
        <f>$AF154*U154</f>
        <v>0</v>
      </c>
      <c r="U154" s="69">
        <v>0</v>
      </c>
      <c r="V154" s="120">
        <f>$AF154*W154</f>
        <v>0</v>
      </c>
      <c r="W154" s="69">
        <v>0</v>
      </c>
      <c r="X154" s="120">
        <f>$AF154*Y154</f>
        <v>0</v>
      </c>
      <c r="Y154" s="69">
        <v>0</v>
      </c>
      <c r="Z154" s="120">
        <f>$AF154*AA154</f>
        <v>0</v>
      </c>
      <c r="AA154" s="69">
        <v>0</v>
      </c>
      <c r="AB154" s="315">
        <f>$AF154*AC154</f>
        <v>0</v>
      </c>
      <c r="AC154" s="69">
        <v>0</v>
      </c>
      <c r="AD154" s="120">
        <f>$AF154*AE154</f>
        <v>0</v>
      </c>
      <c r="AE154" s="69">
        <v>0</v>
      </c>
      <c r="AF154" s="88">
        <f>'Terms and Turnovers'!Z37</f>
        <v>0</v>
      </c>
      <c r="AG154" s="161">
        <f t="shared" si="8"/>
        <v>0</v>
      </c>
      <c r="AH154" s="158">
        <f t="shared" si="9"/>
        <v>0</v>
      </c>
      <c r="AI154" s="134">
        <f t="shared" si="10"/>
        <v>0</v>
      </c>
      <c r="AJ154" s="65"/>
      <c r="AL154" s="461">
        <f>SUM(F154,H154,J154,L154,N154,P154,T154,V154,X154,Z154,AB154,AD154)</f>
        <v>0</v>
      </c>
      <c r="AM154" s="462">
        <f>AL154-AH154</f>
        <v>0</v>
      </c>
      <c r="AO154" s="692"/>
      <c r="AP154" s="692"/>
      <c r="AV154" s="56"/>
    </row>
    <row r="155" spans="1:48" ht="13.5" customHeight="1" outlineLevel="1" thickBot="1">
      <c r="B155" s="82"/>
      <c r="C155" s="1234"/>
      <c r="D155" s="1234"/>
      <c r="E155" s="84" t="str">
        <f>'Terms and Turnovers'!$AD$12</f>
        <v>ACCESSORIES</v>
      </c>
      <c r="F155" s="120">
        <f>$R155*G155</f>
        <v>0</v>
      </c>
      <c r="G155" s="723"/>
      <c r="H155" s="120">
        <f>$R155*I155</f>
        <v>0</v>
      </c>
      <c r="I155" s="69">
        <v>0</v>
      </c>
      <c r="J155" s="120">
        <f>$R155*K155</f>
        <v>0</v>
      </c>
      <c r="K155" s="69">
        <v>0</v>
      </c>
      <c r="L155" s="120">
        <f>$R155*M155</f>
        <v>0</v>
      </c>
      <c r="M155" s="69">
        <v>0</v>
      </c>
      <c r="N155" s="315">
        <f>$R155*O155</f>
        <v>0</v>
      </c>
      <c r="O155" s="69">
        <v>0</v>
      </c>
      <c r="P155" s="120">
        <f>$R155*Q155</f>
        <v>0</v>
      </c>
      <c r="Q155" s="69">
        <v>0</v>
      </c>
      <c r="R155" s="88">
        <f>'Terms and Turnovers'!AE37</f>
        <v>0</v>
      </c>
      <c r="S155" s="161">
        <f t="shared" ref="S155:S227" si="11">SUM(G155,I155,K155,M155,O155,Q155)</f>
        <v>0</v>
      </c>
      <c r="T155" s="120">
        <f>$AF155*U155</f>
        <v>0</v>
      </c>
      <c r="U155" s="69">
        <v>0</v>
      </c>
      <c r="V155" s="120">
        <f>$AF155*W155</f>
        <v>0</v>
      </c>
      <c r="W155" s="69">
        <v>0</v>
      </c>
      <c r="X155" s="120">
        <f>$AF155*Y155</f>
        <v>0</v>
      </c>
      <c r="Y155" s="69">
        <v>0</v>
      </c>
      <c r="Z155" s="120">
        <f>$AF155*AA155</f>
        <v>0</v>
      </c>
      <c r="AA155" s="69">
        <v>0</v>
      </c>
      <c r="AB155" s="315">
        <f>$AF155*AC155</f>
        <v>0</v>
      </c>
      <c r="AC155" s="69">
        <v>0</v>
      </c>
      <c r="AD155" s="120">
        <f>$AF155*AE155</f>
        <v>0</v>
      </c>
      <c r="AE155" s="69">
        <v>0</v>
      </c>
      <c r="AF155" s="88">
        <f>'Terms and Turnovers'!AJ37</f>
        <v>0</v>
      </c>
      <c r="AG155" s="161">
        <f t="shared" ref="AG155:AG230" si="12">SUM(U155,W155,Y155,AA155,AC155,AE155)</f>
        <v>0</v>
      </c>
      <c r="AH155" s="158">
        <f t="shared" ref="AH155:AH230" si="13">SUM(R155,AF155)</f>
        <v>0</v>
      </c>
      <c r="AI155" s="134">
        <f t="shared" ref="AI155:AI230" si="14">S155+AG155</f>
        <v>0</v>
      </c>
      <c r="AJ155" s="65"/>
      <c r="AL155" s="461">
        <f>SUM(F155,H155,J155,L155,N155,P155,T155,V155,X155,Z155,AB155,AD155)</f>
        <v>0</v>
      </c>
      <c r="AM155" s="462">
        <f>AL155-AH155</f>
        <v>0</v>
      </c>
      <c r="AO155" s="692"/>
      <c r="AP155" s="692"/>
      <c r="AV155" s="56"/>
    </row>
    <row r="156" spans="1:48" ht="13.5" customHeight="1" outlineLevel="1" thickBot="1">
      <c r="B156" s="82"/>
      <c r="C156" s="1234"/>
      <c r="D156" s="1234"/>
      <c r="E156" s="84">
        <f>'Terms and Turnovers'!$AN$12</f>
        <v>0</v>
      </c>
      <c r="F156" s="120">
        <f>$R156*G156</f>
        <v>0</v>
      </c>
      <c r="G156" s="723"/>
      <c r="H156" s="120">
        <f>$R156*I156</f>
        <v>0</v>
      </c>
      <c r="I156" s="69">
        <v>0</v>
      </c>
      <c r="J156" s="120">
        <f>$R156*K156</f>
        <v>0</v>
      </c>
      <c r="K156" s="69">
        <v>0</v>
      </c>
      <c r="L156" s="120">
        <f>$R156*M156</f>
        <v>0</v>
      </c>
      <c r="M156" s="69">
        <v>0</v>
      </c>
      <c r="N156" s="315">
        <f>$R156*O156</f>
        <v>0</v>
      </c>
      <c r="O156" s="69">
        <v>0</v>
      </c>
      <c r="P156" s="120">
        <f>$R156*Q156</f>
        <v>0</v>
      </c>
      <c r="Q156" s="69">
        <v>0</v>
      </c>
      <c r="R156" s="88">
        <f>'Terms and Turnovers'!AO37</f>
        <v>0</v>
      </c>
      <c r="S156" s="161">
        <f t="shared" si="11"/>
        <v>0</v>
      </c>
      <c r="T156" s="120">
        <f>$AF156*U156</f>
        <v>0</v>
      </c>
      <c r="U156" s="69">
        <v>0</v>
      </c>
      <c r="V156" s="120">
        <f>$AF156*W156</f>
        <v>0</v>
      </c>
      <c r="W156" s="69">
        <v>0</v>
      </c>
      <c r="X156" s="120">
        <f>$AF156*Y156</f>
        <v>0</v>
      </c>
      <c r="Y156" s="69">
        <v>0</v>
      </c>
      <c r="Z156" s="120">
        <f>$AF156*AA156</f>
        <v>0</v>
      </c>
      <c r="AA156" s="69">
        <v>0</v>
      </c>
      <c r="AB156" s="315">
        <f>$AF156*AC156</f>
        <v>0</v>
      </c>
      <c r="AC156" s="69">
        <v>0</v>
      </c>
      <c r="AD156" s="120">
        <f>$AF156*AE156</f>
        <v>0</v>
      </c>
      <c r="AE156" s="69">
        <v>0</v>
      </c>
      <c r="AF156" s="88">
        <f>'Terms and Turnovers'!AT37</f>
        <v>0</v>
      </c>
      <c r="AG156" s="161">
        <f t="shared" si="12"/>
        <v>0</v>
      </c>
      <c r="AH156" s="158">
        <f t="shared" si="13"/>
        <v>0</v>
      </c>
      <c r="AI156" s="134">
        <f t="shared" si="14"/>
        <v>0</v>
      </c>
      <c r="AJ156" s="65"/>
      <c r="AL156" s="461">
        <f>SUM(F156,H156,J156,L156,N156,P156,T156,V156,X156,Z156,AB156,AD156)</f>
        <v>0</v>
      </c>
      <c r="AM156" s="462">
        <f>AL156-AH156</f>
        <v>0</v>
      </c>
      <c r="AO156" s="692"/>
      <c r="AP156" s="692"/>
      <c r="AV156" s="56"/>
    </row>
    <row r="157" spans="1:48" ht="13.5" customHeight="1" outlineLevel="1" thickBot="1">
      <c r="B157" s="82"/>
      <c r="C157" s="1235"/>
      <c r="D157" s="1235"/>
      <c r="E157" s="85">
        <f>'Terms and Turnovers'!$AX$12</f>
        <v>0</v>
      </c>
      <c r="F157" s="121">
        <f>$R157*G157</f>
        <v>0</v>
      </c>
      <c r="G157" s="72"/>
      <c r="H157" s="121">
        <f>$R157*I157</f>
        <v>0</v>
      </c>
      <c r="I157" s="69">
        <v>0</v>
      </c>
      <c r="J157" s="121">
        <f>$R157*K157</f>
        <v>0</v>
      </c>
      <c r="K157" s="69">
        <v>0</v>
      </c>
      <c r="L157" s="121">
        <f>$R157*M157</f>
        <v>0</v>
      </c>
      <c r="M157" s="69">
        <v>0</v>
      </c>
      <c r="N157" s="316">
        <f>$R157*O157</f>
        <v>0</v>
      </c>
      <c r="O157" s="69">
        <v>0</v>
      </c>
      <c r="P157" s="121">
        <f>$R157*Q157</f>
        <v>0</v>
      </c>
      <c r="Q157" s="69">
        <v>0</v>
      </c>
      <c r="R157" s="89">
        <f>'Terms and Turnovers'!AY37</f>
        <v>0</v>
      </c>
      <c r="S157" s="162">
        <f t="shared" si="11"/>
        <v>0</v>
      </c>
      <c r="T157" s="121">
        <f>$AF157*U157</f>
        <v>0</v>
      </c>
      <c r="U157" s="69">
        <v>0</v>
      </c>
      <c r="V157" s="121">
        <f>$AF157*W157</f>
        <v>0</v>
      </c>
      <c r="W157" s="69">
        <v>0</v>
      </c>
      <c r="X157" s="121">
        <f>$AF157*Y157</f>
        <v>0</v>
      </c>
      <c r="Y157" s="69">
        <v>0</v>
      </c>
      <c r="Z157" s="121">
        <f>$AF157*AA157</f>
        <v>0</v>
      </c>
      <c r="AA157" s="69">
        <v>0</v>
      </c>
      <c r="AB157" s="316">
        <f>$AF157*AC157</f>
        <v>0</v>
      </c>
      <c r="AC157" s="69">
        <v>0</v>
      </c>
      <c r="AD157" s="121">
        <f>$AF157*AE157</f>
        <v>0</v>
      </c>
      <c r="AE157" s="69">
        <v>0</v>
      </c>
      <c r="AF157" s="89">
        <f>'Terms and Turnovers'!BD37</f>
        <v>0</v>
      </c>
      <c r="AG157" s="162">
        <f t="shared" si="12"/>
        <v>0</v>
      </c>
      <c r="AH157" s="159">
        <f t="shared" si="13"/>
        <v>0</v>
      </c>
      <c r="AI157" s="137">
        <f t="shared" si="14"/>
        <v>0</v>
      </c>
      <c r="AJ157" s="65"/>
      <c r="AL157" s="461">
        <f>SUM(F157,H157,J157,L157,N157,P157,T157,V157,X157,Z157,AB157,AD157)</f>
        <v>0</v>
      </c>
      <c r="AM157" s="462">
        <f>AL157-AH157</f>
        <v>0</v>
      </c>
      <c r="AO157" s="692"/>
      <c r="AP157" s="692"/>
      <c r="AV157" s="56"/>
    </row>
    <row r="158" spans="1:48" ht="13.5" customHeight="1" outlineLevel="1" thickBot="1">
      <c r="A158" s="119"/>
      <c r="B158" s="82"/>
      <c r="C158" s="425"/>
      <c r="D158" s="425"/>
      <c r="E158" s="426"/>
      <c r="F158" s="427">
        <f>SUM(F153:F157)</f>
        <v>0</v>
      </c>
      <c r="G158" s="428"/>
      <c r="H158" s="427">
        <f>SUM(H153:H157)</f>
        <v>0</v>
      </c>
      <c r="I158" s="69"/>
      <c r="J158" s="427">
        <f>SUM(J153:J157)</f>
        <v>0</v>
      </c>
      <c r="K158" s="69"/>
      <c r="L158" s="427">
        <f>SUM(L153:L157)</f>
        <v>0</v>
      </c>
      <c r="M158" s="69"/>
      <c r="N158" s="427">
        <f>SUM(N153:N157)</f>
        <v>0</v>
      </c>
      <c r="O158" s="69"/>
      <c r="P158" s="427">
        <f>SUM(P153:P157)</f>
        <v>0</v>
      </c>
      <c r="Q158" s="69"/>
      <c r="R158" s="429"/>
      <c r="S158" s="430"/>
      <c r="T158" s="427">
        <f>SUM(T153:T157)</f>
        <v>0</v>
      </c>
      <c r="U158" s="428"/>
      <c r="V158" s="427">
        <f>SUM(V153:V157)</f>
        <v>0</v>
      </c>
      <c r="W158" s="69"/>
      <c r="X158" s="427">
        <f>SUM(X153:X157)</f>
        <v>0</v>
      </c>
      <c r="Y158" s="69"/>
      <c r="Z158" s="427">
        <f>SUM(Z153:Z157)</f>
        <v>0</v>
      </c>
      <c r="AA158" s="69"/>
      <c r="AB158" s="427">
        <f>SUM(AB153:AB157)</f>
        <v>0</v>
      </c>
      <c r="AC158" s="69"/>
      <c r="AD158" s="427">
        <f>SUM(AD153:AD157)</f>
        <v>0</v>
      </c>
      <c r="AE158" s="69"/>
      <c r="AF158" s="429"/>
      <c r="AG158" s="430"/>
      <c r="AH158" s="431"/>
      <c r="AI158" s="432"/>
      <c r="AJ158" s="65"/>
      <c r="AO158" s="692"/>
      <c r="AP158" s="692"/>
      <c r="AV158" s="56"/>
    </row>
    <row r="159" spans="1:48" ht="13.5" customHeight="1" outlineLevel="1" thickBot="1">
      <c r="A159" s="119"/>
      <c r="B159" s="82"/>
      <c r="C159" s="1098" t="s">
        <v>484</v>
      </c>
      <c r="D159" s="433">
        <f>D153</f>
        <v>0</v>
      </c>
      <c r="E159" s="426"/>
      <c r="F159" s="700"/>
      <c r="G159" s="428"/>
      <c r="H159" s="700"/>
      <c r="I159" s="69"/>
      <c r="J159" s="700"/>
      <c r="K159" s="69"/>
      <c r="L159" s="700"/>
      <c r="M159" s="69"/>
      <c r="N159" s="700"/>
      <c r="O159" s="69"/>
      <c r="P159" s="700"/>
      <c r="Q159" s="69"/>
      <c r="R159" s="429"/>
      <c r="S159" s="430"/>
      <c r="T159" s="700"/>
      <c r="U159" s="428">
        <f>Q158</f>
        <v>0</v>
      </c>
      <c r="V159" s="700"/>
      <c r="W159" s="69">
        <f>S158</f>
        <v>0</v>
      </c>
      <c r="X159" s="700"/>
      <c r="Y159" s="69">
        <f>U158</f>
        <v>0</v>
      </c>
      <c r="Z159" s="700"/>
      <c r="AA159" s="69">
        <f>W158</f>
        <v>0</v>
      </c>
      <c r="AB159" s="700"/>
      <c r="AC159" s="69">
        <f>Y158</f>
        <v>0</v>
      </c>
      <c r="AD159" s="700"/>
      <c r="AE159" s="69"/>
      <c r="AF159" s="429"/>
      <c r="AG159" s="430"/>
      <c r="AH159" s="431"/>
      <c r="AI159" s="432"/>
      <c r="AJ159" s="65"/>
      <c r="AN159" s="742">
        <f>SUM(AF153:AF157)*AQ159</f>
        <v>0</v>
      </c>
      <c r="AO159" s="742">
        <f>SUM(R153:R157)*AQ159</f>
        <v>0</v>
      </c>
      <c r="AP159" s="742"/>
      <c r="AQ159" s="693">
        <v>0.15</v>
      </c>
      <c r="AS159" s="716">
        <f>SUM(AL153:AL157)</f>
        <v>0</v>
      </c>
      <c r="AT159" s="461">
        <f>F159+H159+J159+L159+N159+P159+T159+V159+X159+Z159+AB159+AD159</f>
        <v>0</v>
      </c>
      <c r="AU159" s="745">
        <f>AT159-AS159</f>
        <v>0</v>
      </c>
      <c r="AV159" s="462" t="e">
        <f>AT159/AS159</f>
        <v>#DIV/0!</v>
      </c>
    </row>
    <row r="160" spans="1:48" ht="13.5" customHeight="1" outlineLevel="1" thickBot="1">
      <c r="B160" s="82">
        <f>B153+1</f>
        <v>23</v>
      </c>
      <c r="C160" s="1233">
        <f>'Terms and Turnovers'!C38</f>
        <v>0</v>
      </c>
      <c r="D160" s="1233">
        <f>'Terms and Turnovers'!D38</f>
        <v>0</v>
      </c>
      <c r="E160" s="83" t="str">
        <f>'Terms and Turnovers'!$J$12</f>
        <v>FLIP-FLOPS</v>
      </c>
      <c r="F160" s="118">
        <f>$R160*G160</f>
        <v>0</v>
      </c>
      <c r="G160" s="69"/>
      <c r="H160" s="314">
        <f>$R160*I160</f>
        <v>0</v>
      </c>
      <c r="I160" s="69">
        <v>0</v>
      </c>
      <c r="J160" s="118">
        <f>$R160*K160</f>
        <v>0</v>
      </c>
      <c r="K160" s="69">
        <v>0</v>
      </c>
      <c r="L160" s="314">
        <f>$R160*M160</f>
        <v>0</v>
      </c>
      <c r="M160" s="69">
        <v>0</v>
      </c>
      <c r="N160" s="314">
        <f>$R160*O160</f>
        <v>0</v>
      </c>
      <c r="O160" s="69">
        <v>0</v>
      </c>
      <c r="P160" s="118">
        <f>$R160*Q160</f>
        <v>0</v>
      </c>
      <c r="Q160" s="69">
        <v>0</v>
      </c>
      <c r="R160" s="87">
        <f>'Terms and Turnovers'!K38</f>
        <v>0</v>
      </c>
      <c r="S160" s="160">
        <f t="shared" si="11"/>
        <v>0</v>
      </c>
      <c r="T160" s="118">
        <f>$AF160*U160</f>
        <v>0</v>
      </c>
      <c r="U160" s="69">
        <v>0</v>
      </c>
      <c r="V160" s="314">
        <f>$AF160*W160</f>
        <v>0</v>
      </c>
      <c r="W160" s="69">
        <v>0</v>
      </c>
      <c r="X160" s="118">
        <f>$AF160*Y160</f>
        <v>0</v>
      </c>
      <c r="Y160" s="69">
        <v>0</v>
      </c>
      <c r="Z160" s="314">
        <f>$AF160*AA160</f>
        <v>0</v>
      </c>
      <c r="AA160" s="69">
        <v>0</v>
      </c>
      <c r="AB160" s="314">
        <f>$AF160*AC160</f>
        <v>0</v>
      </c>
      <c r="AC160" s="69">
        <v>0</v>
      </c>
      <c r="AD160" s="118">
        <f>$AF160*AE160</f>
        <v>0</v>
      </c>
      <c r="AE160" s="69">
        <v>0</v>
      </c>
      <c r="AF160" s="87">
        <f>'Terms and Turnovers'!P38</f>
        <v>0</v>
      </c>
      <c r="AG160" s="160">
        <f t="shared" si="12"/>
        <v>0</v>
      </c>
      <c r="AH160" s="157">
        <f t="shared" si="13"/>
        <v>0</v>
      </c>
      <c r="AI160" s="131">
        <f t="shared" si="14"/>
        <v>0</v>
      </c>
      <c r="AJ160" s="65"/>
      <c r="AL160" s="461">
        <f>SUM(F160,H160,J160,L160,N160,P160,T160,V160,X160,Z160,AB160,AD160)</f>
        <v>0</v>
      </c>
      <c r="AM160" s="462">
        <f>AL160-AH160</f>
        <v>0</v>
      </c>
      <c r="AO160" s="692"/>
      <c r="AP160" s="692"/>
      <c r="AV160" s="56"/>
    </row>
    <row r="161" spans="1:48" ht="13.5" customHeight="1" outlineLevel="1" thickBot="1">
      <c r="B161" s="82"/>
      <c r="C161" s="1234"/>
      <c r="D161" s="1234"/>
      <c r="E161" s="84" t="str">
        <f>'Terms and Turnovers'!$T$12</f>
        <v>ORIGINALS</v>
      </c>
      <c r="F161" s="120">
        <f>$R161*G161</f>
        <v>0</v>
      </c>
      <c r="G161" s="723"/>
      <c r="H161" s="120">
        <f>$R161*I161</f>
        <v>0</v>
      </c>
      <c r="I161" s="69">
        <v>0</v>
      </c>
      <c r="J161" s="120">
        <f>$R161*K161</f>
        <v>0</v>
      </c>
      <c r="K161" s="69">
        <v>0</v>
      </c>
      <c r="L161" s="120">
        <f>$R161*M161</f>
        <v>0</v>
      </c>
      <c r="M161" s="69">
        <v>0</v>
      </c>
      <c r="N161" s="315">
        <f>$R161*O161</f>
        <v>0</v>
      </c>
      <c r="O161" s="69">
        <v>0</v>
      </c>
      <c r="P161" s="120">
        <f>$R161*Q161</f>
        <v>0</v>
      </c>
      <c r="Q161" s="69">
        <v>0</v>
      </c>
      <c r="R161" s="88">
        <f>'Terms and Turnovers'!U38</f>
        <v>0</v>
      </c>
      <c r="S161" s="161">
        <f t="shared" si="11"/>
        <v>0</v>
      </c>
      <c r="T161" s="120">
        <f>$AF161*U161</f>
        <v>0</v>
      </c>
      <c r="U161" s="69">
        <v>0</v>
      </c>
      <c r="V161" s="120">
        <f>$AF161*W161</f>
        <v>0</v>
      </c>
      <c r="W161" s="69">
        <v>0</v>
      </c>
      <c r="X161" s="120">
        <f>$AF161*Y161</f>
        <v>0</v>
      </c>
      <c r="Y161" s="69">
        <v>0</v>
      </c>
      <c r="Z161" s="120">
        <f>$AF161*AA161</f>
        <v>0</v>
      </c>
      <c r="AA161" s="69">
        <v>0</v>
      </c>
      <c r="AB161" s="315">
        <f>$AF161*AC161</f>
        <v>0</v>
      </c>
      <c r="AC161" s="69">
        <v>0</v>
      </c>
      <c r="AD161" s="120">
        <f>$AF161*AE161</f>
        <v>0</v>
      </c>
      <c r="AE161" s="69">
        <v>0</v>
      </c>
      <c r="AF161" s="88">
        <f>'Terms and Turnovers'!Z38</f>
        <v>0</v>
      </c>
      <c r="AG161" s="161">
        <f t="shared" si="12"/>
        <v>0</v>
      </c>
      <c r="AH161" s="158">
        <f t="shared" si="13"/>
        <v>0</v>
      </c>
      <c r="AI161" s="134">
        <f t="shared" si="14"/>
        <v>0</v>
      </c>
      <c r="AJ161" s="65"/>
      <c r="AL161" s="461">
        <f>SUM(F161,H161,J161,L161,N161,P161,T161,V161,X161,Z161,AB161,AD161)</f>
        <v>0</v>
      </c>
      <c r="AM161" s="462">
        <f>AL161-AH161</f>
        <v>0</v>
      </c>
      <c r="AO161" s="692"/>
      <c r="AP161" s="692"/>
      <c r="AV161" s="56"/>
    </row>
    <row r="162" spans="1:48" ht="13.5" customHeight="1" outlineLevel="1" thickBot="1">
      <c r="B162" s="82"/>
      <c r="C162" s="1234"/>
      <c r="D162" s="1234"/>
      <c r="E162" s="84" t="str">
        <f>'Terms and Turnovers'!$AD$12</f>
        <v>ACCESSORIES</v>
      </c>
      <c r="F162" s="120">
        <f>$R162*G162</f>
        <v>0</v>
      </c>
      <c r="G162" s="723"/>
      <c r="H162" s="120">
        <f>$R162*I162</f>
        <v>0</v>
      </c>
      <c r="I162" s="69">
        <v>0</v>
      </c>
      <c r="J162" s="120">
        <f>$R162*K162</f>
        <v>0</v>
      </c>
      <c r="K162" s="69">
        <v>0</v>
      </c>
      <c r="L162" s="120">
        <f>$R162*M162</f>
        <v>0</v>
      </c>
      <c r="M162" s="69">
        <v>0</v>
      </c>
      <c r="N162" s="315">
        <f>$R162*O162</f>
        <v>0</v>
      </c>
      <c r="O162" s="69">
        <v>0</v>
      </c>
      <c r="P162" s="120">
        <f>$R162*Q162</f>
        <v>0</v>
      </c>
      <c r="Q162" s="69">
        <v>0</v>
      </c>
      <c r="R162" s="88">
        <f>'Terms and Turnovers'!AE38</f>
        <v>0</v>
      </c>
      <c r="S162" s="161">
        <f t="shared" si="11"/>
        <v>0</v>
      </c>
      <c r="T162" s="120">
        <f>$AF162*U162</f>
        <v>0</v>
      </c>
      <c r="U162" s="69">
        <v>0</v>
      </c>
      <c r="V162" s="120">
        <f>$AF162*W162</f>
        <v>0</v>
      </c>
      <c r="W162" s="69">
        <v>0</v>
      </c>
      <c r="X162" s="120">
        <f>$AF162*Y162</f>
        <v>0</v>
      </c>
      <c r="Y162" s="69">
        <v>0</v>
      </c>
      <c r="Z162" s="120">
        <f>$AF162*AA162</f>
        <v>0</v>
      </c>
      <c r="AA162" s="69">
        <v>0</v>
      </c>
      <c r="AB162" s="315">
        <f>$AF162*AC162</f>
        <v>0</v>
      </c>
      <c r="AC162" s="69">
        <v>0</v>
      </c>
      <c r="AD162" s="120">
        <f>$AF162*AE162</f>
        <v>0</v>
      </c>
      <c r="AE162" s="69">
        <v>0</v>
      </c>
      <c r="AF162" s="88">
        <f>'Terms and Turnovers'!AJ38</f>
        <v>0</v>
      </c>
      <c r="AG162" s="161">
        <f t="shared" si="12"/>
        <v>0</v>
      </c>
      <c r="AH162" s="158">
        <f t="shared" si="13"/>
        <v>0</v>
      </c>
      <c r="AI162" s="134">
        <f t="shared" si="14"/>
        <v>0</v>
      </c>
      <c r="AJ162" s="65"/>
      <c r="AL162" s="461">
        <f>SUM(F162,H162,J162,L162,N162,P162,T162,V162,X162,Z162,AB162,AD162)</f>
        <v>0</v>
      </c>
      <c r="AM162" s="462">
        <f>AL162-AH162</f>
        <v>0</v>
      </c>
      <c r="AO162" s="692"/>
      <c r="AP162" s="692"/>
      <c r="AV162" s="56"/>
    </row>
    <row r="163" spans="1:48" ht="13.5" customHeight="1" outlineLevel="1" thickBot="1">
      <c r="B163" s="82"/>
      <c r="C163" s="1234"/>
      <c r="D163" s="1234"/>
      <c r="E163" s="84">
        <f>'Terms and Turnovers'!$AN$12</f>
        <v>0</v>
      </c>
      <c r="F163" s="120">
        <f>$R163*G163</f>
        <v>0</v>
      </c>
      <c r="G163" s="723"/>
      <c r="H163" s="120">
        <f>$R163*I163</f>
        <v>0</v>
      </c>
      <c r="I163" s="69">
        <v>0</v>
      </c>
      <c r="J163" s="120">
        <f>$R163*K163</f>
        <v>0</v>
      </c>
      <c r="K163" s="69">
        <v>0</v>
      </c>
      <c r="L163" s="120">
        <f>$R163*M163</f>
        <v>0</v>
      </c>
      <c r="M163" s="69">
        <v>0</v>
      </c>
      <c r="N163" s="315">
        <f>$R163*O163</f>
        <v>0</v>
      </c>
      <c r="O163" s="69">
        <v>0</v>
      </c>
      <c r="P163" s="120">
        <f>$R163*Q163</f>
        <v>0</v>
      </c>
      <c r="Q163" s="69">
        <v>0</v>
      </c>
      <c r="R163" s="88">
        <f>'Terms and Turnovers'!AO38</f>
        <v>0</v>
      </c>
      <c r="S163" s="161">
        <f t="shared" si="11"/>
        <v>0</v>
      </c>
      <c r="T163" s="120">
        <f>$AF163*U163</f>
        <v>0</v>
      </c>
      <c r="U163" s="69">
        <v>0</v>
      </c>
      <c r="V163" s="120">
        <f>$AF163*W163</f>
        <v>0</v>
      </c>
      <c r="W163" s="69">
        <v>0</v>
      </c>
      <c r="X163" s="120">
        <f>$AF163*Y163</f>
        <v>0</v>
      </c>
      <c r="Y163" s="69">
        <v>0</v>
      </c>
      <c r="Z163" s="120">
        <f>$AF163*AA163</f>
        <v>0</v>
      </c>
      <c r="AA163" s="69">
        <v>0</v>
      </c>
      <c r="AB163" s="315">
        <f>$AF163*AC163</f>
        <v>0</v>
      </c>
      <c r="AC163" s="69">
        <v>0</v>
      </c>
      <c r="AD163" s="120">
        <f>$AF163*AE163</f>
        <v>0</v>
      </c>
      <c r="AE163" s="69">
        <v>0</v>
      </c>
      <c r="AF163" s="88">
        <f>'Terms and Turnovers'!AT38</f>
        <v>0</v>
      </c>
      <c r="AG163" s="161">
        <f t="shared" si="12"/>
        <v>0</v>
      </c>
      <c r="AH163" s="158">
        <f t="shared" si="13"/>
        <v>0</v>
      </c>
      <c r="AI163" s="134">
        <f t="shared" si="14"/>
        <v>0</v>
      </c>
      <c r="AJ163" s="65"/>
      <c r="AL163" s="461">
        <f>SUM(F163,H163,J163,L163,N163,P163,T163,V163,X163,Z163,AB163,AD163)</f>
        <v>0</v>
      </c>
      <c r="AM163" s="462">
        <f>AL163-AH163</f>
        <v>0</v>
      </c>
      <c r="AO163" s="692"/>
      <c r="AP163" s="692"/>
      <c r="AV163" s="56"/>
    </row>
    <row r="164" spans="1:48" ht="13.5" customHeight="1" outlineLevel="1" thickBot="1">
      <c r="B164" s="82"/>
      <c r="C164" s="1235"/>
      <c r="D164" s="1235"/>
      <c r="E164" s="85">
        <f>'Terms and Turnovers'!$AX$12</f>
        <v>0</v>
      </c>
      <c r="F164" s="121">
        <f>$R164*G164</f>
        <v>0</v>
      </c>
      <c r="G164" s="72"/>
      <c r="H164" s="121">
        <f>$R164*I164</f>
        <v>0</v>
      </c>
      <c r="I164" s="69">
        <v>0</v>
      </c>
      <c r="J164" s="121">
        <f>$R164*K164</f>
        <v>0</v>
      </c>
      <c r="K164" s="69">
        <v>0</v>
      </c>
      <c r="L164" s="121">
        <f>$R164*M164</f>
        <v>0</v>
      </c>
      <c r="M164" s="69">
        <v>0</v>
      </c>
      <c r="N164" s="316">
        <f>$R164*O164</f>
        <v>0</v>
      </c>
      <c r="O164" s="69">
        <v>0</v>
      </c>
      <c r="P164" s="121">
        <f>$R164*Q164</f>
        <v>0</v>
      </c>
      <c r="Q164" s="69">
        <v>0</v>
      </c>
      <c r="R164" s="89">
        <f>'Terms and Turnovers'!AY38</f>
        <v>0</v>
      </c>
      <c r="S164" s="162">
        <f t="shared" si="11"/>
        <v>0</v>
      </c>
      <c r="T164" s="121">
        <f>$AF164*U164</f>
        <v>0</v>
      </c>
      <c r="U164" s="69">
        <v>0</v>
      </c>
      <c r="V164" s="121">
        <f>$AF164*W164</f>
        <v>0</v>
      </c>
      <c r="W164" s="69">
        <v>0</v>
      </c>
      <c r="X164" s="121">
        <f>$AF164*Y164</f>
        <v>0</v>
      </c>
      <c r="Y164" s="69">
        <v>0</v>
      </c>
      <c r="Z164" s="121">
        <f>$AF164*AA164</f>
        <v>0</v>
      </c>
      <c r="AA164" s="69">
        <v>0</v>
      </c>
      <c r="AB164" s="316">
        <f>$AF164*AC164</f>
        <v>0</v>
      </c>
      <c r="AC164" s="69">
        <v>0</v>
      </c>
      <c r="AD164" s="121">
        <f>$AF164*AE164</f>
        <v>0</v>
      </c>
      <c r="AE164" s="69">
        <v>0</v>
      </c>
      <c r="AF164" s="89">
        <f>'Terms and Turnovers'!BD38</f>
        <v>0</v>
      </c>
      <c r="AG164" s="162">
        <f t="shared" si="12"/>
        <v>0</v>
      </c>
      <c r="AH164" s="159">
        <f t="shared" si="13"/>
        <v>0</v>
      </c>
      <c r="AI164" s="137">
        <f t="shared" si="14"/>
        <v>0</v>
      </c>
      <c r="AJ164" s="65"/>
      <c r="AL164" s="461">
        <f>SUM(F164,H164,J164,L164,N164,P164,T164,V164,X164,Z164,AB164,AD164)</f>
        <v>0</v>
      </c>
      <c r="AM164" s="462">
        <f>AL164-AH164</f>
        <v>0</v>
      </c>
      <c r="AO164" s="692"/>
      <c r="AP164" s="692"/>
      <c r="AV164" s="56"/>
    </row>
    <row r="165" spans="1:48" ht="13.5" customHeight="1" outlineLevel="1" thickBot="1">
      <c r="A165" s="119"/>
      <c r="B165" s="82"/>
      <c r="C165" s="425"/>
      <c r="D165" s="425"/>
      <c r="E165" s="426"/>
      <c r="F165" s="427">
        <f>SUM(F160:F164)</f>
        <v>0</v>
      </c>
      <c r="G165" s="428"/>
      <c r="H165" s="427">
        <f>SUM(H160:H164)</f>
        <v>0</v>
      </c>
      <c r="I165" s="69"/>
      <c r="J165" s="427">
        <f>SUM(J160:J164)</f>
        <v>0</v>
      </c>
      <c r="K165" s="69"/>
      <c r="L165" s="427">
        <f>SUM(L160:L164)</f>
        <v>0</v>
      </c>
      <c r="M165" s="69"/>
      <c r="N165" s="427">
        <f>SUM(N160:N164)</f>
        <v>0</v>
      </c>
      <c r="O165" s="69"/>
      <c r="P165" s="427">
        <f>SUM(P160:P164)</f>
        <v>0</v>
      </c>
      <c r="Q165" s="69"/>
      <c r="R165" s="429"/>
      <c r="S165" s="430"/>
      <c r="T165" s="427">
        <f>SUM(T160:T164)</f>
        <v>0</v>
      </c>
      <c r="U165" s="428"/>
      <c r="V165" s="427">
        <f>SUM(V160:V164)</f>
        <v>0</v>
      </c>
      <c r="W165" s="69"/>
      <c r="X165" s="427">
        <f>SUM(X160:X164)</f>
        <v>0</v>
      </c>
      <c r="Y165" s="69"/>
      <c r="Z165" s="427">
        <f>SUM(Z160:Z164)</f>
        <v>0</v>
      </c>
      <c r="AA165" s="69"/>
      <c r="AB165" s="427">
        <f>SUM(AB160:AB164)</f>
        <v>0</v>
      </c>
      <c r="AC165" s="69"/>
      <c r="AD165" s="427">
        <f>SUM(AD160:AD164)</f>
        <v>0</v>
      </c>
      <c r="AE165" s="69"/>
      <c r="AF165" s="429"/>
      <c r="AG165" s="430"/>
      <c r="AH165" s="431"/>
      <c r="AI165" s="432"/>
      <c r="AJ165" s="65"/>
      <c r="AO165" s="692"/>
      <c r="AP165" s="692"/>
      <c r="AV165" s="56"/>
    </row>
    <row r="166" spans="1:48" ht="13.5" customHeight="1" outlineLevel="1" thickBot="1">
      <c r="A166" s="119"/>
      <c r="B166" s="82"/>
      <c r="C166" s="1098" t="s">
        <v>484</v>
      </c>
      <c r="D166" s="433">
        <f>D160</f>
        <v>0</v>
      </c>
      <c r="E166" s="426"/>
      <c r="F166" s="700"/>
      <c r="G166" s="428"/>
      <c r="H166" s="700"/>
      <c r="I166" s="69"/>
      <c r="J166" s="700"/>
      <c r="K166" s="69"/>
      <c r="L166" s="700"/>
      <c r="M166" s="69"/>
      <c r="N166" s="700"/>
      <c r="O166" s="69"/>
      <c r="P166" s="700"/>
      <c r="Q166" s="69"/>
      <c r="R166" s="429"/>
      <c r="S166" s="430"/>
      <c r="T166" s="700"/>
      <c r="U166" s="428">
        <f>Q165</f>
        <v>0</v>
      </c>
      <c r="V166" s="700"/>
      <c r="W166" s="69">
        <f>S165</f>
        <v>0</v>
      </c>
      <c r="X166" s="700"/>
      <c r="Y166" s="69">
        <f>U165</f>
        <v>0</v>
      </c>
      <c r="Z166" s="700"/>
      <c r="AA166" s="69">
        <f>W165</f>
        <v>0</v>
      </c>
      <c r="AB166" s="700"/>
      <c r="AC166" s="69">
        <f>Y165</f>
        <v>0</v>
      </c>
      <c r="AD166" s="700"/>
      <c r="AE166" s="69"/>
      <c r="AF166" s="429"/>
      <c r="AG166" s="430"/>
      <c r="AH166" s="431"/>
      <c r="AI166" s="432"/>
      <c r="AJ166" s="65"/>
      <c r="AN166" s="742">
        <f>SUM(AF160:AF164)*AQ166</f>
        <v>0</v>
      </c>
      <c r="AO166" s="742">
        <f>SUM(R160:R164)*AQ166</f>
        <v>0</v>
      </c>
      <c r="AP166" s="742"/>
      <c r="AQ166" s="693">
        <v>0.15</v>
      </c>
      <c r="AS166" s="716">
        <f>SUM(AL160:AL164)</f>
        <v>0</v>
      </c>
      <c r="AT166" s="461">
        <f>F166+H166+J166+L166+N166+P166+T166+V166+X166+Z166+AB166+AD166</f>
        <v>0</v>
      </c>
      <c r="AU166" s="745">
        <f>AT166-AS166</f>
        <v>0</v>
      </c>
      <c r="AV166" s="462" t="e">
        <f>AT166/AS166</f>
        <v>#DIV/0!</v>
      </c>
    </row>
    <row r="167" spans="1:48" ht="13.5" customHeight="1" outlineLevel="1" thickBot="1">
      <c r="B167" s="82">
        <f>B160+1</f>
        <v>24</v>
      </c>
      <c r="C167" s="1233">
        <f>'Terms and Turnovers'!C39</f>
        <v>0</v>
      </c>
      <c r="D167" s="1233">
        <f>'Terms and Turnovers'!D39</f>
        <v>0</v>
      </c>
      <c r="E167" s="83" t="str">
        <f>'Terms and Turnovers'!$J$12</f>
        <v>FLIP-FLOPS</v>
      </c>
      <c r="F167" s="118">
        <f>$R167*G167</f>
        <v>0</v>
      </c>
      <c r="G167" s="69"/>
      <c r="H167" s="314">
        <f>$R167*I167</f>
        <v>0</v>
      </c>
      <c r="I167" s="69">
        <v>0</v>
      </c>
      <c r="J167" s="118">
        <f>$R167*K167</f>
        <v>0</v>
      </c>
      <c r="K167" s="69">
        <v>0</v>
      </c>
      <c r="L167" s="314">
        <f>$R167*M167</f>
        <v>0</v>
      </c>
      <c r="M167" s="69">
        <v>0</v>
      </c>
      <c r="N167" s="314">
        <f>$R167*O167</f>
        <v>0</v>
      </c>
      <c r="O167" s="69">
        <v>0</v>
      </c>
      <c r="P167" s="118">
        <f>$R167*Q167</f>
        <v>0</v>
      </c>
      <c r="Q167" s="69">
        <v>0</v>
      </c>
      <c r="R167" s="87">
        <f>'Terms and Turnovers'!K39</f>
        <v>0</v>
      </c>
      <c r="S167" s="160">
        <f t="shared" si="11"/>
        <v>0</v>
      </c>
      <c r="T167" s="118">
        <f>$AF167*U167</f>
        <v>0</v>
      </c>
      <c r="U167" s="69">
        <v>0</v>
      </c>
      <c r="V167" s="314">
        <f>$AF167*W167</f>
        <v>0</v>
      </c>
      <c r="W167" s="69">
        <v>0</v>
      </c>
      <c r="X167" s="118">
        <f>$AF167*Y167</f>
        <v>0</v>
      </c>
      <c r="Y167" s="69">
        <v>0</v>
      </c>
      <c r="Z167" s="314">
        <f>$AF167*AA167</f>
        <v>0</v>
      </c>
      <c r="AA167" s="69">
        <v>0</v>
      </c>
      <c r="AB167" s="314">
        <f>$AF167*AC167</f>
        <v>0</v>
      </c>
      <c r="AC167" s="69">
        <v>0</v>
      </c>
      <c r="AD167" s="118">
        <f>$AF167*AE167</f>
        <v>0</v>
      </c>
      <c r="AE167" s="69">
        <v>0</v>
      </c>
      <c r="AF167" s="87">
        <f>'Terms and Turnovers'!P39</f>
        <v>0</v>
      </c>
      <c r="AG167" s="160">
        <f t="shared" si="12"/>
        <v>0</v>
      </c>
      <c r="AH167" s="157">
        <f t="shared" si="13"/>
        <v>0</v>
      </c>
      <c r="AI167" s="131">
        <f t="shared" si="14"/>
        <v>0</v>
      </c>
      <c r="AJ167" s="65"/>
      <c r="AL167" s="461">
        <f>SUM(F167,H167,J167,L167,N167,P167,T167,V167,X167,Z167,AB167,AD167)</f>
        <v>0</v>
      </c>
      <c r="AM167" s="462">
        <f>AL167-AH167</f>
        <v>0</v>
      </c>
      <c r="AO167" s="692"/>
      <c r="AP167" s="692"/>
      <c r="AV167" s="56"/>
    </row>
    <row r="168" spans="1:48" ht="13.5" customHeight="1" outlineLevel="1" thickBot="1">
      <c r="B168" s="82"/>
      <c r="C168" s="1234"/>
      <c r="D168" s="1234"/>
      <c r="E168" s="84" t="str">
        <f>'Terms and Turnovers'!$T$12</f>
        <v>ORIGINALS</v>
      </c>
      <c r="F168" s="120">
        <f>$R168*G168</f>
        <v>0</v>
      </c>
      <c r="G168" s="723"/>
      <c r="H168" s="120">
        <f>$R168*I168</f>
        <v>0</v>
      </c>
      <c r="I168" s="69">
        <v>0</v>
      </c>
      <c r="J168" s="120">
        <f>$R168*K168</f>
        <v>0</v>
      </c>
      <c r="K168" s="69">
        <v>0</v>
      </c>
      <c r="L168" s="120">
        <f>$R168*M168</f>
        <v>0</v>
      </c>
      <c r="M168" s="69">
        <v>0</v>
      </c>
      <c r="N168" s="315">
        <f>$R168*O168</f>
        <v>0</v>
      </c>
      <c r="O168" s="69">
        <v>0</v>
      </c>
      <c r="P168" s="120">
        <f>$R168*Q168</f>
        <v>0</v>
      </c>
      <c r="Q168" s="69">
        <v>0</v>
      </c>
      <c r="R168" s="88">
        <f>'Terms and Turnovers'!U39</f>
        <v>0</v>
      </c>
      <c r="S168" s="161">
        <f t="shared" si="11"/>
        <v>0</v>
      </c>
      <c r="T168" s="120">
        <f>$AF168*U168</f>
        <v>0</v>
      </c>
      <c r="U168" s="69">
        <v>0</v>
      </c>
      <c r="V168" s="120">
        <f>$AF168*W168</f>
        <v>0</v>
      </c>
      <c r="W168" s="69">
        <v>0</v>
      </c>
      <c r="X168" s="120">
        <f>$AF168*Y168</f>
        <v>0</v>
      </c>
      <c r="Y168" s="69">
        <v>0</v>
      </c>
      <c r="Z168" s="120">
        <f>$AF168*AA168</f>
        <v>0</v>
      </c>
      <c r="AA168" s="69">
        <v>0</v>
      </c>
      <c r="AB168" s="315">
        <f>$AF168*AC168</f>
        <v>0</v>
      </c>
      <c r="AC168" s="69">
        <v>0</v>
      </c>
      <c r="AD168" s="120">
        <f>$AF168*AE168</f>
        <v>0</v>
      </c>
      <c r="AE168" s="69">
        <v>0</v>
      </c>
      <c r="AF168" s="88">
        <f>'Terms and Turnovers'!Z39</f>
        <v>0</v>
      </c>
      <c r="AG168" s="161">
        <f t="shared" si="12"/>
        <v>0</v>
      </c>
      <c r="AH168" s="158">
        <f t="shared" si="13"/>
        <v>0</v>
      </c>
      <c r="AI168" s="134">
        <f t="shared" si="14"/>
        <v>0</v>
      </c>
      <c r="AJ168" s="65"/>
      <c r="AL168" s="461">
        <f>SUM(F168,H168,J168,L168,N168,P168,T168,V168,X168,Z168,AB168,AD168)</f>
        <v>0</v>
      </c>
      <c r="AM168" s="462">
        <f>AL168-AH168</f>
        <v>0</v>
      </c>
      <c r="AO168" s="692"/>
      <c r="AP168" s="692"/>
      <c r="AV168" s="56"/>
    </row>
    <row r="169" spans="1:48" ht="13.5" customHeight="1" outlineLevel="1" thickBot="1">
      <c r="B169" s="82"/>
      <c r="C169" s="1234"/>
      <c r="D169" s="1234"/>
      <c r="E169" s="84" t="str">
        <f>'Terms and Turnovers'!$AD$12</f>
        <v>ACCESSORIES</v>
      </c>
      <c r="F169" s="120">
        <f>$R169*G169</f>
        <v>0</v>
      </c>
      <c r="G169" s="723"/>
      <c r="H169" s="120">
        <f>$R169*I169</f>
        <v>0</v>
      </c>
      <c r="I169" s="69">
        <v>0</v>
      </c>
      <c r="J169" s="120">
        <f>$R169*K169</f>
        <v>0</v>
      </c>
      <c r="K169" s="69">
        <v>0</v>
      </c>
      <c r="L169" s="120">
        <f>$R169*M169</f>
        <v>0</v>
      </c>
      <c r="M169" s="69">
        <v>0</v>
      </c>
      <c r="N169" s="315">
        <f>$R169*O169</f>
        <v>0</v>
      </c>
      <c r="O169" s="69">
        <v>0</v>
      </c>
      <c r="P169" s="120">
        <f>$R169*Q169</f>
        <v>0</v>
      </c>
      <c r="Q169" s="69">
        <v>0</v>
      </c>
      <c r="R169" s="88">
        <f>'Terms and Turnovers'!AE39</f>
        <v>0</v>
      </c>
      <c r="S169" s="161">
        <f t="shared" si="11"/>
        <v>0</v>
      </c>
      <c r="T169" s="120">
        <f>$AF169*U169</f>
        <v>0</v>
      </c>
      <c r="U169" s="69">
        <v>0</v>
      </c>
      <c r="V169" s="120">
        <f>$AF169*W169</f>
        <v>0</v>
      </c>
      <c r="W169" s="69">
        <v>0</v>
      </c>
      <c r="X169" s="120">
        <f>$AF169*Y169</f>
        <v>0</v>
      </c>
      <c r="Y169" s="69">
        <v>0</v>
      </c>
      <c r="Z169" s="120">
        <f>$AF169*AA169</f>
        <v>0</v>
      </c>
      <c r="AA169" s="69">
        <v>0</v>
      </c>
      <c r="AB169" s="315">
        <f>$AF169*AC169</f>
        <v>0</v>
      </c>
      <c r="AC169" s="69">
        <v>0</v>
      </c>
      <c r="AD169" s="120">
        <f>$AF169*AE169</f>
        <v>0</v>
      </c>
      <c r="AE169" s="69">
        <v>0</v>
      </c>
      <c r="AF169" s="88">
        <f>'Terms and Turnovers'!AJ39</f>
        <v>0</v>
      </c>
      <c r="AG169" s="161">
        <f t="shared" si="12"/>
        <v>0</v>
      </c>
      <c r="AH169" s="158">
        <f t="shared" si="13"/>
        <v>0</v>
      </c>
      <c r="AI169" s="134">
        <f t="shared" si="14"/>
        <v>0</v>
      </c>
      <c r="AJ169" s="65"/>
      <c r="AL169" s="461">
        <f>SUM(F169,H169,J169,L169,N169,P169,T169,V169,X169,Z169,AB169,AD169)</f>
        <v>0</v>
      </c>
      <c r="AM169" s="462">
        <f>AL169-AH169</f>
        <v>0</v>
      </c>
      <c r="AO169" s="692"/>
      <c r="AP169" s="692"/>
      <c r="AV169" s="56"/>
    </row>
    <row r="170" spans="1:48" ht="13.5" customHeight="1" outlineLevel="1" thickBot="1">
      <c r="B170" s="82"/>
      <c r="C170" s="1234"/>
      <c r="D170" s="1234"/>
      <c r="E170" s="84">
        <f>'Terms and Turnovers'!$AN$12</f>
        <v>0</v>
      </c>
      <c r="F170" s="120">
        <f>$R170*G170</f>
        <v>0</v>
      </c>
      <c r="G170" s="723"/>
      <c r="H170" s="120">
        <f>$R170*I170</f>
        <v>0</v>
      </c>
      <c r="I170" s="69">
        <v>0</v>
      </c>
      <c r="J170" s="120">
        <f>$R170*K170</f>
        <v>0</v>
      </c>
      <c r="K170" s="69">
        <v>0</v>
      </c>
      <c r="L170" s="120">
        <f>$R170*M170</f>
        <v>0</v>
      </c>
      <c r="M170" s="69">
        <v>0</v>
      </c>
      <c r="N170" s="315">
        <f>$R170*O170</f>
        <v>0</v>
      </c>
      <c r="O170" s="69">
        <v>0</v>
      </c>
      <c r="P170" s="120">
        <f>$R170*Q170</f>
        <v>0</v>
      </c>
      <c r="Q170" s="69">
        <v>0</v>
      </c>
      <c r="R170" s="88">
        <f>'Terms and Turnovers'!AO39</f>
        <v>0</v>
      </c>
      <c r="S170" s="161">
        <f t="shared" si="11"/>
        <v>0</v>
      </c>
      <c r="T170" s="120">
        <f>$AF170*U170</f>
        <v>0</v>
      </c>
      <c r="U170" s="69">
        <v>0</v>
      </c>
      <c r="V170" s="120">
        <f>$AF170*W170</f>
        <v>0</v>
      </c>
      <c r="W170" s="69">
        <v>0</v>
      </c>
      <c r="X170" s="120">
        <f>$AF170*Y170</f>
        <v>0</v>
      </c>
      <c r="Y170" s="69">
        <v>0</v>
      </c>
      <c r="Z170" s="120">
        <f>$AF170*AA170</f>
        <v>0</v>
      </c>
      <c r="AA170" s="69">
        <v>0</v>
      </c>
      <c r="AB170" s="315">
        <f>$AF170*AC170</f>
        <v>0</v>
      </c>
      <c r="AC170" s="69">
        <v>0</v>
      </c>
      <c r="AD170" s="120">
        <f>$AF170*AE170</f>
        <v>0</v>
      </c>
      <c r="AE170" s="69">
        <v>0</v>
      </c>
      <c r="AF170" s="88">
        <f>'Terms and Turnovers'!AT39</f>
        <v>0</v>
      </c>
      <c r="AG170" s="161">
        <f t="shared" si="12"/>
        <v>0</v>
      </c>
      <c r="AH170" s="158">
        <f t="shared" si="13"/>
        <v>0</v>
      </c>
      <c r="AI170" s="134">
        <f t="shared" si="14"/>
        <v>0</v>
      </c>
      <c r="AJ170" s="65"/>
      <c r="AL170" s="461">
        <f>SUM(F170,H170,J170,L170,N170,P170,T170,V170,X170,Z170,AB170,AD170)</f>
        <v>0</v>
      </c>
      <c r="AM170" s="462">
        <f>AL170-AH170</f>
        <v>0</v>
      </c>
      <c r="AO170" s="692"/>
      <c r="AP170" s="692"/>
      <c r="AV170" s="56"/>
    </row>
    <row r="171" spans="1:48" ht="13.5" customHeight="1" outlineLevel="1" thickBot="1">
      <c r="B171" s="82"/>
      <c r="C171" s="1235"/>
      <c r="D171" s="1235"/>
      <c r="E171" s="85">
        <f>'Terms and Turnovers'!$AX$12</f>
        <v>0</v>
      </c>
      <c r="F171" s="121">
        <f>$R171*G171</f>
        <v>0</v>
      </c>
      <c r="G171" s="72"/>
      <c r="H171" s="121">
        <f>$R171*I171</f>
        <v>0</v>
      </c>
      <c r="I171" s="69">
        <v>0</v>
      </c>
      <c r="J171" s="121">
        <f>$R171*K171</f>
        <v>0</v>
      </c>
      <c r="K171" s="69">
        <v>0</v>
      </c>
      <c r="L171" s="121">
        <f>$R171*M171</f>
        <v>0</v>
      </c>
      <c r="M171" s="69">
        <v>0</v>
      </c>
      <c r="N171" s="316">
        <f>$R171*O171</f>
        <v>0</v>
      </c>
      <c r="O171" s="69">
        <v>0</v>
      </c>
      <c r="P171" s="121">
        <f>$R171*Q171</f>
        <v>0</v>
      </c>
      <c r="Q171" s="69">
        <v>0</v>
      </c>
      <c r="R171" s="89">
        <f>'Terms and Turnovers'!AY39</f>
        <v>0</v>
      </c>
      <c r="S171" s="162">
        <f t="shared" si="11"/>
        <v>0</v>
      </c>
      <c r="T171" s="121">
        <f>$AF171*U171</f>
        <v>0</v>
      </c>
      <c r="U171" s="69">
        <v>0</v>
      </c>
      <c r="V171" s="121">
        <f>$AF171*W171</f>
        <v>0</v>
      </c>
      <c r="W171" s="69">
        <v>0</v>
      </c>
      <c r="X171" s="121">
        <f>$AF171*Y171</f>
        <v>0</v>
      </c>
      <c r="Y171" s="69">
        <v>0</v>
      </c>
      <c r="Z171" s="121">
        <f>$AF171*AA171</f>
        <v>0</v>
      </c>
      <c r="AA171" s="69">
        <v>0</v>
      </c>
      <c r="AB171" s="316">
        <f>$AF171*AC171</f>
        <v>0</v>
      </c>
      <c r="AC171" s="69">
        <v>0</v>
      </c>
      <c r="AD171" s="121">
        <f>$AF171*AE171</f>
        <v>0</v>
      </c>
      <c r="AE171" s="69">
        <v>0</v>
      </c>
      <c r="AF171" s="89">
        <f>'Terms and Turnovers'!BD39</f>
        <v>0</v>
      </c>
      <c r="AG171" s="162">
        <f t="shared" si="12"/>
        <v>0</v>
      </c>
      <c r="AH171" s="159">
        <f t="shared" si="13"/>
        <v>0</v>
      </c>
      <c r="AI171" s="137">
        <f t="shared" si="14"/>
        <v>0</v>
      </c>
      <c r="AJ171" s="65"/>
      <c r="AL171" s="461">
        <f>SUM(F171,H171,J171,L171,N171,P171,T171,V171,X171,Z171,AB171,AD171)</f>
        <v>0</v>
      </c>
      <c r="AM171" s="462">
        <f>AL171-AH171</f>
        <v>0</v>
      </c>
      <c r="AO171" s="692"/>
      <c r="AP171" s="692"/>
      <c r="AV171" s="56"/>
    </row>
    <row r="172" spans="1:48" ht="13.5" customHeight="1" outlineLevel="1" thickBot="1">
      <c r="A172" s="119"/>
      <c r="B172" s="82"/>
      <c r="C172" s="425"/>
      <c r="D172" s="425"/>
      <c r="E172" s="426"/>
      <c r="F172" s="427">
        <f>SUM(F167:F171)</f>
        <v>0</v>
      </c>
      <c r="G172" s="428"/>
      <c r="H172" s="427">
        <f>SUM(H167:H171)</f>
        <v>0</v>
      </c>
      <c r="I172" s="69"/>
      <c r="J172" s="427">
        <f>SUM(J167:J171)</f>
        <v>0</v>
      </c>
      <c r="K172" s="69"/>
      <c r="L172" s="427">
        <f>SUM(L167:L171)</f>
        <v>0</v>
      </c>
      <c r="M172" s="69"/>
      <c r="N172" s="427">
        <f>SUM(N167:N171)</f>
        <v>0</v>
      </c>
      <c r="O172" s="69"/>
      <c r="P172" s="427">
        <f>SUM(P167:P171)</f>
        <v>0</v>
      </c>
      <c r="Q172" s="69"/>
      <c r="R172" s="429"/>
      <c r="S172" s="430"/>
      <c r="T172" s="427">
        <f>SUM(T167:T171)</f>
        <v>0</v>
      </c>
      <c r="U172" s="428"/>
      <c r="V172" s="427">
        <f>SUM(V167:V171)</f>
        <v>0</v>
      </c>
      <c r="W172" s="69"/>
      <c r="X172" s="427">
        <f>SUM(X167:X171)</f>
        <v>0</v>
      </c>
      <c r="Y172" s="69"/>
      <c r="Z172" s="427">
        <f>SUM(Z167:Z171)</f>
        <v>0</v>
      </c>
      <c r="AA172" s="69"/>
      <c r="AB172" s="427">
        <f>SUM(AB167:AB171)</f>
        <v>0</v>
      </c>
      <c r="AC172" s="69"/>
      <c r="AD172" s="427">
        <f>SUM(AD167:AD171)</f>
        <v>0</v>
      </c>
      <c r="AE172" s="69"/>
      <c r="AF172" s="429"/>
      <c r="AG172" s="430"/>
      <c r="AH172" s="431"/>
      <c r="AI172" s="432"/>
      <c r="AJ172" s="65"/>
      <c r="AO172" s="692"/>
      <c r="AP172" s="692"/>
      <c r="AV172" s="56"/>
    </row>
    <row r="173" spans="1:48" ht="13.5" customHeight="1" outlineLevel="1" thickBot="1">
      <c r="A173" s="119"/>
      <c r="B173" s="82"/>
      <c r="C173" s="1098" t="s">
        <v>484</v>
      </c>
      <c r="D173" s="433">
        <f>D167</f>
        <v>0</v>
      </c>
      <c r="E173" s="426"/>
      <c r="F173" s="700"/>
      <c r="G173" s="428"/>
      <c r="H173" s="700"/>
      <c r="I173" s="69"/>
      <c r="J173" s="700"/>
      <c r="K173" s="69"/>
      <c r="L173" s="1106"/>
      <c r="M173" s="847"/>
      <c r="N173" s="1106"/>
      <c r="O173" s="847"/>
      <c r="P173" s="1106"/>
      <c r="Q173" s="69"/>
      <c r="R173" s="429"/>
      <c r="S173" s="430"/>
      <c r="T173" s="1106"/>
      <c r="U173" s="846"/>
      <c r="V173" s="1106"/>
      <c r="W173" s="847"/>
      <c r="X173" s="1106"/>
      <c r="Y173" s="847"/>
      <c r="Z173" s="1106"/>
      <c r="AA173" s="847"/>
      <c r="AB173" s="1106"/>
      <c r="AC173" s="847"/>
      <c r="AD173" s="1106"/>
      <c r="AE173" s="69"/>
      <c r="AF173" s="429"/>
      <c r="AG173" s="430"/>
      <c r="AH173" s="431"/>
      <c r="AI173" s="432"/>
      <c r="AJ173" s="65"/>
      <c r="AN173" s="742">
        <f>SUM(AF167:AF171)*AQ173</f>
        <v>0</v>
      </c>
      <c r="AO173" s="742">
        <f>SUM(R167:R171)*AQ173</f>
        <v>0</v>
      </c>
      <c r="AP173" s="742"/>
      <c r="AQ173" s="693">
        <v>0.1</v>
      </c>
      <c r="AS173" s="716">
        <f>SUM(AL167:AL171)</f>
        <v>0</v>
      </c>
      <c r="AT173" s="461">
        <f>F173+H173+J173+L173+N173+P173+T173+V173+X173+Z173+AB173+AD173</f>
        <v>0</v>
      </c>
      <c r="AU173" s="745">
        <f>AT173-AS173</f>
        <v>0</v>
      </c>
      <c r="AV173" s="462" t="e">
        <f>AT173/AS173</f>
        <v>#DIV/0!</v>
      </c>
    </row>
    <row r="174" spans="1:48" ht="13.5" customHeight="1" outlineLevel="1" thickBot="1">
      <c r="B174" s="82">
        <f>B167+1</f>
        <v>25</v>
      </c>
      <c r="C174" s="1233">
        <f>'Terms and Turnovers'!C40</f>
        <v>0</v>
      </c>
      <c r="D174" s="1233">
        <f>'Terms and Turnovers'!D40</f>
        <v>0</v>
      </c>
      <c r="E174" s="83" t="str">
        <f>'Terms and Turnovers'!$J$12</f>
        <v>FLIP-FLOPS</v>
      </c>
      <c r="F174" s="118">
        <f>$R174*G174</f>
        <v>0</v>
      </c>
      <c r="G174" s="69"/>
      <c r="H174" s="314">
        <f>$R174*I174</f>
        <v>0</v>
      </c>
      <c r="I174" s="69">
        <v>0</v>
      </c>
      <c r="J174" s="118">
        <f>$R174*K174</f>
        <v>0</v>
      </c>
      <c r="K174" s="69">
        <v>0</v>
      </c>
      <c r="L174" s="314">
        <f>$R174*M174</f>
        <v>0</v>
      </c>
      <c r="M174" s="69">
        <v>0</v>
      </c>
      <c r="N174" s="314">
        <f>$R174*O174</f>
        <v>0</v>
      </c>
      <c r="O174" s="69">
        <v>0</v>
      </c>
      <c r="P174" s="118">
        <f>$R174*Q174</f>
        <v>0</v>
      </c>
      <c r="Q174" s="69">
        <v>0</v>
      </c>
      <c r="R174" s="87">
        <f>'Terms and Turnovers'!K40</f>
        <v>0</v>
      </c>
      <c r="S174" s="160">
        <f t="shared" si="11"/>
        <v>0</v>
      </c>
      <c r="T174" s="118">
        <f>$AF174*U174</f>
        <v>0</v>
      </c>
      <c r="U174" s="69">
        <v>0</v>
      </c>
      <c r="V174" s="314">
        <f>$AF174*W174</f>
        <v>0</v>
      </c>
      <c r="W174" s="69">
        <v>0</v>
      </c>
      <c r="X174" s="118">
        <f>$AF174*Y174</f>
        <v>0</v>
      </c>
      <c r="Y174" s="69">
        <v>0</v>
      </c>
      <c r="Z174" s="314">
        <f>$AF174*AA174</f>
        <v>0</v>
      </c>
      <c r="AA174" s="69">
        <v>0</v>
      </c>
      <c r="AB174" s="314">
        <f>$AF174*AC174</f>
        <v>0</v>
      </c>
      <c r="AC174" s="69">
        <v>0</v>
      </c>
      <c r="AD174" s="118">
        <f>$AF174*AE174</f>
        <v>0</v>
      </c>
      <c r="AE174" s="69">
        <v>0</v>
      </c>
      <c r="AF174" s="87">
        <f>'Terms and Turnovers'!P40</f>
        <v>0</v>
      </c>
      <c r="AG174" s="160">
        <f t="shared" si="12"/>
        <v>0</v>
      </c>
      <c r="AH174" s="157">
        <f t="shared" si="13"/>
        <v>0</v>
      </c>
      <c r="AI174" s="131">
        <f t="shared" si="14"/>
        <v>0</v>
      </c>
      <c r="AJ174" s="65"/>
      <c r="AL174" s="461">
        <f>SUM(F174,H174,J174,L174,N174,P174,T174,V174,X174,Z174,AB174,AD174)</f>
        <v>0</v>
      </c>
      <c r="AM174" s="462">
        <f>AL174-AH174</f>
        <v>0</v>
      </c>
      <c r="AO174" s="692"/>
      <c r="AP174" s="692"/>
      <c r="AV174" s="56"/>
    </row>
    <row r="175" spans="1:48" ht="13.5" customHeight="1" outlineLevel="1" thickBot="1">
      <c r="B175" s="82"/>
      <c r="C175" s="1234"/>
      <c r="D175" s="1234"/>
      <c r="E175" s="84" t="str">
        <f>'Terms and Turnovers'!$T$12</f>
        <v>ORIGINALS</v>
      </c>
      <c r="F175" s="120">
        <f>$R175*G175</f>
        <v>0</v>
      </c>
      <c r="G175" s="723"/>
      <c r="H175" s="120">
        <f>$R175*I175</f>
        <v>0</v>
      </c>
      <c r="I175" s="69">
        <v>0</v>
      </c>
      <c r="J175" s="120">
        <f>$R175*K175</f>
        <v>0</v>
      </c>
      <c r="K175" s="69">
        <v>0</v>
      </c>
      <c r="L175" s="120">
        <f>$R175*M175</f>
        <v>0</v>
      </c>
      <c r="M175" s="69">
        <v>0</v>
      </c>
      <c r="N175" s="315">
        <f>$R175*O175</f>
        <v>0</v>
      </c>
      <c r="O175" s="69">
        <v>0</v>
      </c>
      <c r="P175" s="120">
        <f>$R175*Q175</f>
        <v>0</v>
      </c>
      <c r="Q175" s="69">
        <v>0</v>
      </c>
      <c r="R175" s="88">
        <f>'Terms and Turnovers'!U40</f>
        <v>0</v>
      </c>
      <c r="S175" s="161">
        <f t="shared" si="11"/>
        <v>0</v>
      </c>
      <c r="T175" s="120">
        <f>$AF175*U175</f>
        <v>0</v>
      </c>
      <c r="U175" s="69">
        <v>0</v>
      </c>
      <c r="V175" s="120">
        <f>$AF175*W175</f>
        <v>0</v>
      </c>
      <c r="W175" s="69">
        <v>0</v>
      </c>
      <c r="X175" s="120">
        <f>$AF175*Y175</f>
        <v>0</v>
      </c>
      <c r="Y175" s="69">
        <v>0</v>
      </c>
      <c r="Z175" s="120">
        <f>$AF175*AA175</f>
        <v>0</v>
      </c>
      <c r="AA175" s="69">
        <v>0</v>
      </c>
      <c r="AB175" s="315">
        <f>$AF175*AC175</f>
        <v>0</v>
      </c>
      <c r="AC175" s="69">
        <v>0</v>
      </c>
      <c r="AD175" s="120">
        <f>$AF175*AE175</f>
        <v>0</v>
      </c>
      <c r="AE175" s="69">
        <v>0</v>
      </c>
      <c r="AF175" s="88">
        <f>'Terms and Turnovers'!Z40</f>
        <v>0</v>
      </c>
      <c r="AG175" s="161">
        <f t="shared" si="12"/>
        <v>0</v>
      </c>
      <c r="AH175" s="158">
        <f t="shared" si="13"/>
        <v>0</v>
      </c>
      <c r="AI175" s="134">
        <f t="shared" si="14"/>
        <v>0</v>
      </c>
      <c r="AJ175" s="65"/>
      <c r="AL175" s="461">
        <f>SUM(F175,H175,J175,L175,N175,P175,T175,V175,X175,Z175,AB175,AD175)</f>
        <v>0</v>
      </c>
      <c r="AM175" s="462">
        <f>AL175-AH175</f>
        <v>0</v>
      </c>
      <c r="AO175" s="692"/>
      <c r="AP175" s="692"/>
      <c r="AV175" s="56"/>
    </row>
    <row r="176" spans="1:48" ht="13.5" customHeight="1" outlineLevel="1" thickBot="1">
      <c r="B176" s="82"/>
      <c r="C176" s="1234"/>
      <c r="D176" s="1234"/>
      <c r="E176" s="84" t="str">
        <f>'Terms and Turnovers'!$AD$12</f>
        <v>ACCESSORIES</v>
      </c>
      <c r="F176" s="120">
        <f>$R176*G176</f>
        <v>0</v>
      </c>
      <c r="G176" s="723"/>
      <c r="H176" s="120">
        <f>$R176*I176</f>
        <v>0</v>
      </c>
      <c r="I176" s="69">
        <v>0</v>
      </c>
      <c r="J176" s="120">
        <f>$R176*K176</f>
        <v>0</v>
      </c>
      <c r="K176" s="69">
        <v>0</v>
      </c>
      <c r="L176" s="120">
        <f>$R176*M176</f>
        <v>0</v>
      </c>
      <c r="M176" s="69">
        <v>0</v>
      </c>
      <c r="N176" s="315">
        <f>$R176*O176</f>
        <v>0</v>
      </c>
      <c r="O176" s="69">
        <v>0</v>
      </c>
      <c r="P176" s="120">
        <f>$R176*Q176</f>
        <v>0</v>
      </c>
      <c r="Q176" s="69">
        <v>0</v>
      </c>
      <c r="R176" s="88">
        <f>'Terms and Turnovers'!AE40</f>
        <v>0</v>
      </c>
      <c r="S176" s="161">
        <f t="shared" si="11"/>
        <v>0</v>
      </c>
      <c r="T176" s="120">
        <f>$AF176*U176</f>
        <v>0</v>
      </c>
      <c r="U176" s="69">
        <v>0</v>
      </c>
      <c r="V176" s="120">
        <f>$AF176*W176</f>
        <v>0</v>
      </c>
      <c r="W176" s="69">
        <v>0</v>
      </c>
      <c r="X176" s="120">
        <f>$AF176*Y176</f>
        <v>0</v>
      </c>
      <c r="Y176" s="69">
        <v>0</v>
      </c>
      <c r="Z176" s="120">
        <f>$AF176*AA176</f>
        <v>0</v>
      </c>
      <c r="AA176" s="69">
        <v>0</v>
      </c>
      <c r="AB176" s="315">
        <f>$AF176*AC176</f>
        <v>0</v>
      </c>
      <c r="AC176" s="69">
        <v>0</v>
      </c>
      <c r="AD176" s="120">
        <f>$AF176*AE176</f>
        <v>0</v>
      </c>
      <c r="AE176" s="69">
        <v>0</v>
      </c>
      <c r="AF176" s="88">
        <f>'Terms and Turnovers'!AJ40</f>
        <v>0</v>
      </c>
      <c r="AG176" s="161">
        <f t="shared" si="12"/>
        <v>0</v>
      </c>
      <c r="AH176" s="158">
        <f t="shared" si="13"/>
        <v>0</v>
      </c>
      <c r="AI176" s="134">
        <f t="shared" si="14"/>
        <v>0</v>
      </c>
      <c r="AJ176" s="65"/>
      <c r="AL176" s="461">
        <f>SUM(F176,H176,J176,L176,N176,P176,T176,V176,X176,Z176,AB176,AD176)</f>
        <v>0</v>
      </c>
      <c r="AM176" s="462">
        <f>AL176-AH176</f>
        <v>0</v>
      </c>
      <c r="AO176" s="692"/>
      <c r="AP176" s="692"/>
      <c r="AV176" s="56"/>
    </row>
    <row r="177" spans="1:48" ht="13.5" customHeight="1" outlineLevel="1" thickBot="1">
      <c r="B177" s="82"/>
      <c r="C177" s="1234"/>
      <c r="D177" s="1234"/>
      <c r="E177" s="84">
        <f>'Terms and Turnovers'!$AN$12</f>
        <v>0</v>
      </c>
      <c r="F177" s="120">
        <f>$R177*G177</f>
        <v>0</v>
      </c>
      <c r="G177" s="723"/>
      <c r="H177" s="120">
        <f>$R177*I177</f>
        <v>0</v>
      </c>
      <c r="I177" s="69">
        <v>0</v>
      </c>
      <c r="J177" s="120">
        <f>$R177*K177</f>
        <v>0</v>
      </c>
      <c r="K177" s="69">
        <v>0</v>
      </c>
      <c r="L177" s="120">
        <f>$R177*M177</f>
        <v>0</v>
      </c>
      <c r="M177" s="69">
        <v>0</v>
      </c>
      <c r="N177" s="315">
        <f>$R177*O177</f>
        <v>0</v>
      </c>
      <c r="O177" s="69">
        <v>0</v>
      </c>
      <c r="P177" s="120">
        <f>$R177*Q177</f>
        <v>0</v>
      </c>
      <c r="Q177" s="69">
        <v>0</v>
      </c>
      <c r="R177" s="88">
        <f>'Terms and Turnovers'!AO40</f>
        <v>0</v>
      </c>
      <c r="S177" s="161">
        <f t="shared" si="11"/>
        <v>0</v>
      </c>
      <c r="T177" s="120">
        <f>$AF177*U177</f>
        <v>0</v>
      </c>
      <c r="U177" s="69">
        <v>0</v>
      </c>
      <c r="V177" s="120">
        <f>$AF177*W177</f>
        <v>0</v>
      </c>
      <c r="W177" s="69">
        <v>0</v>
      </c>
      <c r="X177" s="120">
        <f>$AF177*Y177</f>
        <v>0</v>
      </c>
      <c r="Y177" s="69">
        <v>0</v>
      </c>
      <c r="Z177" s="120">
        <f>$AF177*AA177</f>
        <v>0</v>
      </c>
      <c r="AA177" s="69">
        <v>0</v>
      </c>
      <c r="AB177" s="315">
        <f>$AF177*AC177</f>
        <v>0</v>
      </c>
      <c r="AC177" s="69">
        <v>0</v>
      </c>
      <c r="AD177" s="120">
        <f>$AF177*AE177</f>
        <v>0</v>
      </c>
      <c r="AE177" s="69">
        <v>0</v>
      </c>
      <c r="AF177" s="88">
        <f>'Terms and Turnovers'!AT40</f>
        <v>0</v>
      </c>
      <c r="AG177" s="161">
        <f t="shared" si="12"/>
        <v>0</v>
      </c>
      <c r="AH177" s="158">
        <f t="shared" si="13"/>
        <v>0</v>
      </c>
      <c r="AI177" s="134">
        <f t="shared" si="14"/>
        <v>0</v>
      </c>
      <c r="AJ177" s="65"/>
      <c r="AL177" s="461">
        <f>SUM(F177,H177,J177,L177,N177,P177,T177,V177,X177,Z177,AB177,AD177)</f>
        <v>0</v>
      </c>
      <c r="AM177" s="462">
        <f>AL177-AH177</f>
        <v>0</v>
      </c>
      <c r="AO177" s="692"/>
      <c r="AP177" s="692"/>
      <c r="AV177" s="56"/>
    </row>
    <row r="178" spans="1:48" ht="13.5" customHeight="1" outlineLevel="1" thickBot="1">
      <c r="B178" s="82"/>
      <c r="C178" s="1235"/>
      <c r="D178" s="1235"/>
      <c r="E178" s="85">
        <f>'Terms and Turnovers'!$AX$12</f>
        <v>0</v>
      </c>
      <c r="F178" s="121">
        <f>$R178*G178</f>
        <v>0</v>
      </c>
      <c r="G178" s="72"/>
      <c r="H178" s="121">
        <f>$R178*I178</f>
        <v>0</v>
      </c>
      <c r="I178" s="69">
        <v>0</v>
      </c>
      <c r="J178" s="121">
        <f>$R178*K178</f>
        <v>0</v>
      </c>
      <c r="K178" s="69">
        <v>0</v>
      </c>
      <c r="L178" s="121">
        <f>$R178*M178</f>
        <v>0</v>
      </c>
      <c r="M178" s="69">
        <v>0</v>
      </c>
      <c r="N178" s="316">
        <f>$R178*O178</f>
        <v>0</v>
      </c>
      <c r="O178" s="69">
        <v>0</v>
      </c>
      <c r="P178" s="121">
        <f>$R178*Q178</f>
        <v>0</v>
      </c>
      <c r="Q178" s="69">
        <v>0</v>
      </c>
      <c r="R178" s="89">
        <f>'Terms and Turnovers'!AY40</f>
        <v>0</v>
      </c>
      <c r="S178" s="162">
        <f t="shared" si="11"/>
        <v>0</v>
      </c>
      <c r="T178" s="121">
        <f>$AF178*U178</f>
        <v>0</v>
      </c>
      <c r="U178" s="69">
        <v>0</v>
      </c>
      <c r="V178" s="121">
        <f>$AF178*W178</f>
        <v>0</v>
      </c>
      <c r="W178" s="69">
        <v>0</v>
      </c>
      <c r="X178" s="121">
        <f>$AF178*Y178</f>
        <v>0</v>
      </c>
      <c r="Y178" s="69">
        <v>0</v>
      </c>
      <c r="Z178" s="121">
        <f>$AF178*AA178</f>
        <v>0</v>
      </c>
      <c r="AA178" s="69">
        <v>0</v>
      </c>
      <c r="AB178" s="316">
        <f>$AF178*AC178</f>
        <v>0</v>
      </c>
      <c r="AC178" s="69">
        <v>0</v>
      </c>
      <c r="AD178" s="121">
        <f>$AF178*AE178</f>
        <v>0</v>
      </c>
      <c r="AE178" s="69">
        <v>0</v>
      </c>
      <c r="AF178" s="89">
        <f>'Terms and Turnovers'!BD40</f>
        <v>0</v>
      </c>
      <c r="AG178" s="162">
        <f t="shared" si="12"/>
        <v>0</v>
      </c>
      <c r="AH178" s="159">
        <f t="shared" si="13"/>
        <v>0</v>
      </c>
      <c r="AI178" s="137">
        <f t="shared" si="14"/>
        <v>0</v>
      </c>
      <c r="AJ178" s="65"/>
      <c r="AL178" s="461">
        <f>SUM(F178,H178,J178,L178,N178,P178,T178,V178,X178,Z178,AB178,AD178)</f>
        <v>0</v>
      </c>
      <c r="AM178" s="462">
        <f>AL178-AH178</f>
        <v>0</v>
      </c>
      <c r="AO178" s="692"/>
      <c r="AP178" s="692"/>
      <c r="AV178" s="56"/>
    </row>
    <row r="179" spans="1:48" ht="13.5" customHeight="1" outlineLevel="1" thickBot="1">
      <c r="A179" s="119"/>
      <c r="B179" s="82"/>
      <c r="C179" s="425"/>
      <c r="D179" s="425"/>
      <c r="E179" s="426"/>
      <c r="F179" s="427">
        <f>SUM(F174:F178)</f>
        <v>0</v>
      </c>
      <c r="G179" s="428"/>
      <c r="H179" s="427">
        <f>SUM(H174:H178)</f>
        <v>0</v>
      </c>
      <c r="I179" s="69"/>
      <c r="J179" s="427">
        <f>SUM(J174:J178)</f>
        <v>0</v>
      </c>
      <c r="K179" s="69"/>
      <c r="L179" s="427">
        <f>SUM(L174:L178)</f>
        <v>0</v>
      </c>
      <c r="M179" s="69"/>
      <c r="N179" s="427">
        <f>SUM(N174:N178)</f>
        <v>0</v>
      </c>
      <c r="O179" s="69"/>
      <c r="P179" s="427">
        <f>SUM(P174:P178)</f>
        <v>0</v>
      </c>
      <c r="Q179" s="69"/>
      <c r="R179" s="429"/>
      <c r="S179" s="430"/>
      <c r="T179" s="427">
        <f>SUM(T174:T178)</f>
        <v>0</v>
      </c>
      <c r="U179" s="428"/>
      <c r="V179" s="427">
        <f>SUM(V174:V178)</f>
        <v>0</v>
      </c>
      <c r="W179" s="69"/>
      <c r="X179" s="427">
        <f>SUM(X174:X178)</f>
        <v>0</v>
      </c>
      <c r="Y179" s="69"/>
      <c r="Z179" s="427">
        <f>SUM(Z174:Z178)</f>
        <v>0</v>
      </c>
      <c r="AA179" s="69"/>
      <c r="AB179" s="427">
        <f>SUM(AB174:AB178)</f>
        <v>0</v>
      </c>
      <c r="AC179" s="69"/>
      <c r="AD179" s="427">
        <f>SUM(AD174:AD178)</f>
        <v>0</v>
      </c>
      <c r="AE179" s="69"/>
      <c r="AF179" s="429"/>
      <c r="AG179" s="430"/>
      <c r="AH179" s="431"/>
      <c r="AI179" s="432"/>
      <c r="AJ179" s="65"/>
      <c r="AO179" s="692"/>
      <c r="AP179" s="692"/>
      <c r="AV179" s="56"/>
    </row>
    <row r="180" spans="1:48" ht="13.5" customHeight="1" outlineLevel="1" thickBot="1">
      <c r="A180" s="119"/>
      <c r="B180" s="82"/>
      <c r="C180" s="1098" t="s">
        <v>484</v>
      </c>
      <c r="D180" s="433">
        <f>D174</f>
        <v>0</v>
      </c>
      <c r="E180" s="426"/>
      <c r="F180" s="700"/>
      <c r="G180" s="428"/>
      <c r="H180" s="700"/>
      <c r="I180" s="69"/>
      <c r="J180" s="700"/>
      <c r="K180" s="69"/>
      <c r="L180" s="700"/>
      <c r="M180" s="69"/>
      <c r="N180" s="700"/>
      <c r="O180" s="69"/>
      <c r="P180" s="700"/>
      <c r="Q180" s="69"/>
      <c r="R180" s="429"/>
      <c r="S180" s="430"/>
      <c r="T180" s="700"/>
      <c r="U180" s="428">
        <f>Q179</f>
        <v>0</v>
      </c>
      <c r="V180" s="700"/>
      <c r="W180" s="69">
        <f>S179</f>
        <v>0</v>
      </c>
      <c r="X180" s="700"/>
      <c r="Y180" s="69">
        <f>U179</f>
        <v>0</v>
      </c>
      <c r="Z180" s="700"/>
      <c r="AA180" s="69">
        <f>W179</f>
        <v>0</v>
      </c>
      <c r="AB180" s="700"/>
      <c r="AC180" s="69">
        <f>Y179</f>
        <v>0</v>
      </c>
      <c r="AD180" s="700"/>
      <c r="AE180" s="69"/>
      <c r="AF180" s="429"/>
      <c r="AG180" s="430"/>
      <c r="AH180" s="431"/>
      <c r="AI180" s="432"/>
      <c r="AJ180" s="65"/>
      <c r="AN180" s="742">
        <f>SUM(AF174:AF178)*AQ180</f>
        <v>0</v>
      </c>
      <c r="AO180" s="742">
        <f>SUM(R174:R178)*AQ180</f>
        <v>0</v>
      </c>
      <c r="AP180" s="742"/>
      <c r="AQ180" s="693">
        <v>0.15</v>
      </c>
      <c r="AS180" s="716">
        <f>SUM(AL174:AL178)</f>
        <v>0</v>
      </c>
      <c r="AT180" s="461">
        <f>F180+H180+J180+L180+N180+P180+T180+V180+X180+Z180+AB180+AD180</f>
        <v>0</v>
      </c>
      <c r="AU180" s="745">
        <f>AT180-AS180</f>
        <v>0</v>
      </c>
      <c r="AV180" s="462" t="e">
        <f>AT180/AS180</f>
        <v>#DIV/0!</v>
      </c>
    </row>
    <row r="181" spans="1:48" ht="13.5" customHeight="1" outlineLevel="1" thickBot="1">
      <c r="B181" s="82">
        <f>B174+1</f>
        <v>26</v>
      </c>
      <c r="C181" s="1233">
        <f>'Terms and Turnovers'!C41</f>
        <v>0</v>
      </c>
      <c r="D181" s="1233">
        <f>'Terms and Turnovers'!D41</f>
        <v>0</v>
      </c>
      <c r="E181" s="83" t="str">
        <f>'Terms and Turnovers'!$J$12</f>
        <v>FLIP-FLOPS</v>
      </c>
      <c r="F181" s="118">
        <f>$R181*G181</f>
        <v>0</v>
      </c>
      <c r="G181" s="69"/>
      <c r="H181" s="314">
        <f>$R181*I181</f>
        <v>0</v>
      </c>
      <c r="I181" s="69">
        <v>0</v>
      </c>
      <c r="J181" s="118">
        <f>$R181*K181</f>
        <v>0</v>
      </c>
      <c r="K181" s="69">
        <v>0</v>
      </c>
      <c r="L181" s="314">
        <f>$R181*M181</f>
        <v>0</v>
      </c>
      <c r="M181" s="69">
        <v>0</v>
      </c>
      <c r="N181" s="314">
        <f>$R181*O181</f>
        <v>0</v>
      </c>
      <c r="O181" s="69">
        <v>0</v>
      </c>
      <c r="P181" s="118">
        <f>$R181*Q181</f>
        <v>0</v>
      </c>
      <c r="Q181" s="69">
        <v>0</v>
      </c>
      <c r="R181" s="87">
        <f>'Terms and Turnovers'!K41</f>
        <v>0</v>
      </c>
      <c r="S181" s="160">
        <f t="shared" si="11"/>
        <v>0</v>
      </c>
      <c r="T181" s="118">
        <f>$AF181*U181</f>
        <v>0</v>
      </c>
      <c r="U181" s="69">
        <v>0</v>
      </c>
      <c r="V181" s="314">
        <f>$AF181*W181</f>
        <v>0</v>
      </c>
      <c r="W181" s="69">
        <v>0</v>
      </c>
      <c r="X181" s="118">
        <f>$AF181*Y181</f>
        <v>0</v>
      </c>
      <c r="Y181" s="69">
        <v>0</v>
      </c>
      <c r="Z181" s="314">
        <f>$AF181*AA181</f>
        <v>0</v>
      </c>
      <c r="AA181" s="69">
        <v>0</v>
      </c>
      <c r="AB181" s="314">
        <f>$AF181*AC181</f>
        <v>0</v>
      </c>
      <c r="AC181" s="69">
        <v>0</v>
      </c>
      <c r="AD181" s="118">
        <f>$AF181*AE181</f>
        <v>0</v>
      </c>
      <c r="AE181" s="69">
        <v>0</v>
      </c>
      <c r="AF181" s="87">
        <f>'Terms and Turnovers'!P41</f>
        <v>0</v>
      </c>
      <c r="AG181" s="160">
        <f t="shared" si="12"/>
        <v>0</v>
      </c>
      <c r="AH181" s="157">
        <f t="shared" si="13"/>
        <v>0</v>
      </c>
      <c r="AI181" s="131">
        <f t="shared" si="14"/>
        <v>0</v>
      </c>
      <c r="AJ181" s="65"/>
      <c r="AL181" s="461">
        <f>SUM(F181,H181,J181,L181,N181,P181,T181,V181,X181,Z181,AB181,AD181)</f>
        <v>0</v>
      </c>
      <c r="AM181" s="462">
        <f>AL181-AH181</f>
        <v>0</v>
      </c>
      <c r="AO181" s="692"/>
      <c r="AP181" s="692"/>
      <c r="AV181" s="56"/>
    </row>
    <row r="182" spans="1:48" ht="13.5" customHeight="1" outlineLevel="1" thickBot="1">
      <c r="B182" s="82"/>
      <c r="C182" s="1234"/>
      <c r="D182" s="1234"/>
      <c r="E182" s="84" t="str">
        <f>'Terms and Turnovers'!$T$12</f>
        <v>ORIGINALS</v>
      </c>
      <c r="F182" s="120">
        <f>$R182*G182</f>
        <v>0</v>
      </c>
      <c r="G182" s="723"/>
      <c r="H182" s="120">
        <f>$R182*I182</f>
        <v>0</v>
      </c>
      <c r="I182" s="69">
        <v>0</v>
      </c>
      <c r="J182" s="120">
        <f>$R182*K182</f>
        <v>0</v>
      </c>
      <c r="K182" s="69">
        <v>0</v>
      </c>
      <c r="L182" s="120">
        <f>$R182*M182</f>
        <v>0</v>
      </c>
      <c r="M182" s="69">
        <v>0</v>
      </c>
      <c r="N182" s="315">
        <f>$R182*O182</f>
        <v>0</v>
      </c>
      <c r="O182" s="69">
        <v>0</v>
      </c>
      <c r="P182" s="120">
        <f>$R182*Q182</f>
        <v>0</v>
      </c>
      <c r="Q182" s="69">
        <v>0</v>
      </c>
      <c r="R182" s="88">
        <f>'Terms and Turnovers'!U41</f>
        <v>0</v>
      </c>
      <c r="S182" s="161">
        <f t="shared" si="11"/>
        <v>0</v>
      </c>
      <c r="T182" s="120">
        <f>$AF182*U182</f>
        <v>0</v>
      </c>
      <c r="U182" s="69">
        <v>0</v>
      </c>
      <c r="V182" s="120">
        <f>$AF182*W182</f>
        <v>0</v>
      </c>
      <c r="W182" s="69">
        <v>0</v>
      </c>
      <c r="X182" s="120">
        <f>$AF182*Y182</f>
        <v>0</v>
      </c>
      <c r="Y182" s="69">
        <v>0</v>
      </c>
      <c r="Z182" s="120">
        <f>$AF182*AA182</f>
        <v>0</v>
      </c>
      <c r="AA182" s="69">
        <v>0</v>
      </c>
      <c r="AB182" s="315">
        <f>$AF182*AC182</f>
        <v>0</v>
      </c>
      <c r="AC182" s="69">
        <v>0</v>
      </c>
      <c r="AD182" s="120">
        <f>$AF182*AE182</f>
        <v>0</v>
      </c>
      <c r="AE182" s="69">
        <v>0</v>
      </c>
      <c r="AF182" s="88">
        <f>'Terms and Turnovers'!Z41</f>
        <v>0</v>
      </c>
      <c r="AG182" s="161">
        <f t="shared" si="12"/>
        <v>0</v>
      </c>
      <c r="AH182" s="158">
        <f t="shared" si="13"/>
        <v>0</v>
      </c>
      <c r="AI182" s="134">
        <f t="shared" si="14"/>
        <v>0</v>
      </c>
      <c r="AJ182" s="65"/>
      <c r="AL182" s="461">
        <f>SUM(F182,H182,J182,L182,N182,P182,T182,V182,X182,Z182,AB182,AD182)</f>
        <v>0</v>
      </c>
      <c r="AM182" s="462">
        <f>AL182-AH182</f>
        <v>0</v>
      </c>
      <c r="AO182" s="692"/>
      <c r="AP182" s="692"/>
      <c r="AV182" s="56"/>
    </row>
    <row r="183" spans="1:48" ht="13.5" customHeight="1" outlineLevel="1" thickBot="1">
      <c r="B183" s="82"/>
      <c r="C183" s="1234"/>
      <c r="D183" s="1234"/>
      <c r="E183" s="84" t="str">
        <f>'Terms and Turnovers'!$AD$12</f>
        <v>ACCESSORIES</v>
      </c>
      <c r="F183" s="120">
        <f>$R183*G183</f>
        <v>0</v>
      </c>
      <c r="G183" s="723"/>
      <c r="H183" s="120">
        <f>$R183*I183</f>
        <v>0</v>
      </c>
      <c r="I183" s="69">
        <v>0</v>
      </c>
      <c r="J183" s="120">
        <f>$R183*K183</f>
        <v>0</v>
      </c>
      <c r="K183" s="69">
        <v>0</v>
      </c>
      <c r="L183" s="120">
        <f>$R183*M183</f>
        <v>0</v>
      </c>
      <c r="M183" s="69">
        <v>0</v>
      </c>
      <c r="N183" s="315">
        <f>$R183*O183</f>
        <v>0</v>
      </c>
      <c r="O183" s="69">
        <v>0</v>
      </c>
      <c r="P183" s="120">
        <f>$R183*Q183</f>
        <v>0</v>
      </c>
      <c r="Q183" s="69">
        <v>0</v>
      </c>
      <c r="R183" s="88">
        <f>'Terms and Turnovers'!AE41</f>
        <v>0</v>
      </c>
      <c r="S183" s="161">
        <f t="shared" si="11"/>
        <v>0</v>
      </c>
      <c r="T183" s="120">
        <f>$AF183*U183</f>
        <v>0</v>
      </c>
      <c r="U183" s="69">
        <v>0</v>
      </c>
      <c r="V183" s="120">
        <f>$AF183*W183</f>
        <v>0</v>
      </c>
      <c r="W183" s="69">
        <v>0</v>
      </c>
      <c r="X183" s="120">
        <f>$AF183*Y183</f>
        <v>0</v>
      </c>
      <c r="Y183" s="69">
        <v>0</v>
      </c>
      <c r="Z183" s="120">
        <f>$AF183*AA183</f>
        <v>0</v>
      </c>
      <c r="AA183" s="69">
        <v>0</v>
      </c>
      <c r="AB183" s="315">
        <f>$AF183*AC183</f>
        <v>0</v>
      </c>
      <c r="AC183" s="69">
        <v>0</v>
      </c>
      <c r="AD183" s="120">
        <f>$AF183*AE183</f>
        <v>0</v>
      </c>
      <c r="AE183" s="69">
        <v>0</v>
      </c>
      <c r="AF183" s="88">
        <f>'Terms and Turnovers'!AJ41</f>
        <v>0</v>
      </c>
      <c r="AG183" s="161">
        <f t="shared" si="12"/>
        <v>0</v>
      </c>
      <c r="AH183" s="158">
        <f t="shared" si="13"/>
        <v>0</v>
      </c>
      <c r="AI183" s="134">
        <f t="shared" si="14"/>
        <v>0</v>
      </c>
      <c r="AJ183" s="65"/>
      <c r="AL183" s="461">
        <f>SUM(F183,H183,J183,L183,N183,P183,T183,V183,X183,Z183,AB183,AD183)</f>
        <v>0</v>
      </c>
      <c r="AM183" s="462">
        <f>AL183-AH183</f>
        <v>0</v>
      </c>
      <c r="AO183" s="692"/>
      <c r="AP183" s="692"/>
      <c r="AV183" s="56"/>
    </row>
    <row r="184" spans="1:48" ht="13.5" customHeight="1" outlineLevel="1" thickBot="1">
      <c r="B184" s="82"/>
      <c r="C184" s="1234"/>
      <c r="D184" s="1234"/>
      <c r="E184" s="84">
        <f>'Terms and Turnovers'!$AN$12</f>
        <v>0</v>
      </c>
      <c r="F184" s="120">
        <f>$R184*G184</f>
        <v>0</v>
      </c>
      <c r="G184" s="723"/>
      <c r="H184" s="120">
        <f>$R184*I184</f>
        <v>0</v>
      </c>
      <c r="I184" s="69">
        <v>0</v>
      </c>
      <c r="J184" s="120">
        <f>$R184*K184</f>
        <v>0</v>
      </c>
      <c r="K184" s="69">
        <v>0</v>
      </c>
      <c r="L184" s="120">
        <f>$R184*M184</f>
        <v>0</v>
      </c>
      <c r="M184" s="69">
        <v>0</v>
      </c>
      <c r="N184" s="315">
        <f>$R184*O184</f>
        <v>0</v>
      </c>
      <c r="O184" s="69">
        <v>0</v>
      </c>
      <c r="P184" s="120">
        <f>$R184*Q184</f>
        <v>0</v>
      </c>
      <c r="Q184" s="69">
        <v>0</v>
      </c>
      <c r="R184" s="88">
        <f>'Terms and Turnovers'!AO41</f>
        <v>0</v>
      </c>
      <c r="S184" s="161">
        <f t="shared" si="11"/>
        <v>0</v>
      </c>
      <c r="T184" s="120">
        <f>$AF184*U184</f>
        <v>0</v>
      </c>
      <c r="U184" s="69">
        <v>0</v>
      </c>
      <c r="V184" s="120">
        <f>$AF184*W184</f>
        <v>0</v>
      </c>
      <c r="W184" s="69">
        <v>0</v>
      </c>
      <c r="X184" s="120">
        <f>$AF184*Y184</f>
        <v>0</v>
      </c>
      <c r="Y184" s="69">
        <v>0</v>
      </c>
      <c r="Z184" s="120">
        <f>$AF184*AA184</f>
        <v>0</v>
      </c>
      <c r="AA184" s="69">
        <v>0</v>
      </c>
      <c r="AB184" s="315">
        <f>$AF184*AC184</f>
        <v>0</v>
      </c>
      <c r="AC184" s="69">
        <v>0</v>
      </c>
      <c r="AD184" s="120">
        <f>$AF184*AE184</f>
        <v>0</v>
      </c>
      <c r="AE184" s="69">
        <v>0</v>
      </c>
      <c r="AF184" s="88">
        <f>'Terms and Turnovers'!AT41</f>
        <v>0</v>
      </c>
      <c r="AG184" s="161">
        <f t="shared" si="12"/>
        <v>0</v>
      </c>
      <c r="AH184" s="158">
        <f t="shared" si="13"/>
        <v>0</v>
      </c>
      <c r="AI184" s="134">
        <f t="shared" si="14"/>
        <v>0</v>
      </c>
      <c r="AJ184" s="65"/>
      <c r="AL184" s="461">
        <f>SUM(F184,H184,J184,L184,N184,P184,T184,V184,X184,Z184,AB184,AD184)</f>
        <v>0</v>
      </c>
      <c r="AM184" s="462">
        <f>AL184-AH184</f>
        <v>0</v>
      </c>
      <c r="AO184" s="692"/>
      <c r="AP184" s="692"/>
      <c r="AV184" s="56"/>
    </row>
    <row r="185" spans="1:48" ht="13.5" customHeight="1" outlineLevel="1" thickBot="1">
      <c r="B185" s="82"/>
      <c r="C185" s="1235"/>
      <c r="D185" s="1235"/>
      <c r="E185" s="85">
        <f>'Terms and Turnovers'!$AX$12</f>
        <v>0</v>
      </c>
      <c r="F185" s="121">
        <f>$R185*G185</f>
        <v>0</v>
      </c>
      <c r="G185" s="72"/>
      <c r="H185" s="121">
        <f>$R185*I185</f>
        <v>0</v>
      </c>
      <c r="I185" s="69">
        <v>0</v>
      </c>
      <c r="J185" s="121">
        <f>$R185*K185</f>
        <v>0</v>
      </c>
      <c r="K185" s="69">
        <v>0</v>
      </c>
      <c r="L185" s="121">
        <f>$R185*M185</f>
        <v>0</v>
      </c>
      <c r="M185" s="69">
        <v>0</v>
      </c>
      <c r="N185" s="316">
        <f>$R185*O185</f>
        <v>0</v>
      </c>
      <c r="O185" s="69">
        <v>0</v>
      </c>
      <c r="P185" s="121">
        <f>$R185*Q185</f>
        <v>0</v>
      </c>
      <c r="Q185" s="69">
        <v>0</v>
      </c>
      <c r="R185" s="89">
        <f>'Terms and Turnovers'!AY41</f>
        <v>0</v>
      </c>
      <c r="S185" s="162">
        <f t="shared" si="11"/>
        <v>0</v>
      </c>
      <c r="T185" s="121">
        <f>$AF185*U185</f>
        <v>0</v>
      </c>
      <c r="U185" s="69">
        <v>0</v>
      </c>
      <c r="V185" s="121">
        <f>$AF185*W185</f>
        <v>0</v>
      </c>
      <c r="W185" s="69">
        <v>0</v>
      </c>
      <c r="X185" s="121">
        <f>$AF185*Y185</f>
        <v>0</v>
      </c>
      <c r="Y185" s="69">
        <v>0</v>
      </c>
      <c r="Z185" s="121">
        <f>$AF185*AA185</f>
        <v>0</v>
      </c>
      <c r="AA185" s="69">
        <v>0</v>
      </c>
      <c r="AB185" s="316">
        <f>$AF185*AC185</f>
        <v>0</v>
      </c>
      <c r="AC185" s="69">
        <v>0</v>
      </c>
      <c r="AD185" s="121">
        <f>$AF185*AE185</f>
        <v>0</v>
      </c>
      <c r="AE185" s="69">
        <v>0</v>
      </c>
      <c r="AF185" s="89">
        <f>'Terms and Turnovers'!BD41</f>
        <v>0</v>
      </c>
      <c r="AG185" s="162">
        <f t="shared" si="12"/>
        <v>0</v>
      </c>
      <c r="AH185" s="159">
        <f t="shared" si="13"/>
        <v>0</v>
      </c>
      <c r="AI185" s="137">
        <f t="shared" si="14"/>
        <v>0</v>
      </c>
      <c r="AJ185" s="65"/>
      <c r="AL185" s="461">
        <f>SUM(F185,H185,J185,L185,N185,P185,T185,V185,X185,Z185,AB185,AD185)</f>
        <v>0</v>
      </c>
      <c r="AM185" s="462">
        <f>AL185-AH185</f>
        <v>0</v>
      </c>
      <c r="AO185" s="692"/>
      <c r="AP185" s="692"/>
      <c r="AV185" s="56"/>
    </row>
    <row r="186" spans="1:48" ht="13.5" customHeight="1" outlineLevel="1" thickBot="1">
      <c r="A186" s="119"/>
      <c r="B186" s="82"/>
      <c r="C186" s="425"/>
      <c r="D186" s="425"/>
      <c r="E186" s="426"/>
      <c r="F186" s="427">
        <f>SUM(F181:F185)</f>
        <v>0</v>
      </c>
      <c r="G186" s="428"/>
      <c r="H186" s="427">
        <f>SUM(H181:H185)</f>
        <v>0</v>
      </c>
      <c r="I186" s="69"/>
      <c r="J186" s="427">
        <f>SUM(J181:J185)</f>
        <v>0</v>
      </c>
      <c r="K186" s="69"/>
      <c r="L186" s="427">
        <f>SUM(L181:L185)</f>
        <v>0</v>
      </c>
      <c r="M186" s="69"/>
      <c r="N186" s="427">
        <f>SUM(N181:N185)</f>
        <v>0</v>
      </c>
      <c r="O186" s="69"/>
      <c r="P186" s="427">
        <f>SUM(P181:P185)</f>
        <v>0</v>
      </c>
      <c r="Q186" s="69"/>
      <c r="R186" s="429"/>
      <c r="S186" s="430"/>
      <c r="T186" s="427">
        <f>SUM(T181:T185)</f>
        <v>0</v>
      </c>
      <c r="U186" s="428"/>
      <c r="V186" s="427">
        <f>SUM(V181:V185)</f>
        <v>0</v>
      </c>
      <c r="W186" s="69"/>
      <c r="X186" s="427">
        <f>SUM(X181:X185)</f>
        <v>0</v>
      </c>
      <c r="Y186" s="69"/>
      <c r="Z186" s="427">
        <f>SUM(Z181:Z185)</f>
        <v>0</v>
      </c>
      <c r="AA186" s="69"/>
      <c r="AB186" s="427">
        <f>SUM(AB181:AB185)</f>
        <v>0</v>
      </c>
      <c r="AC186" s="69"/>
      <c r="AD186" s="427">
        <f>SUM(AD181:AD185)</f>
        <v>0</v>
      </c>
      <c r="AE186" s="69"/>
      <c r="AF186" s="429"/>
      <c r="AG186" s="430"/>
      <c r="AH186" s="431"/>
      <c r="AI186" s="432"/>
      <c r="AJ186" s="65"/>
      <c r="AO186" s="692"/>
      <c r="AP186" s="692"/>
      <c r="AV186" s="56"/>
    </row>
    <row r="187" spans="1:48" ht="13.5" customHeight="1" outlineLevel="1" thickBot="1">
      <c r="A187" s="119"/>
      <c r="B187" s="82"/>
      <c r="C187" s="1098" t="s">
        <v>484</v>
      </c>
      <c r="D187" s="433">
        <f>D181</f>
        <v>0</v>
      </c>
      <c r="E187" s="426"/>
      <c r="F187" s="700"/>
      <c r="G187" s="428"/>
      <c r="H187" s="700"/>
      <c r="I187" s="69"/>
      <c r="J187" s="700"/>
      <c r="K187" s="69"/>
      <c r="L187" s="700"/>
      <c r="M187" s="69"/>
      <c r="N187" s="700"/>
      <c r="O187" s="69"/>
      <c r="P187" s="700"/>
      <c r="Q187" s="69"/>
      <c r="R187" s="429"/>
      <c r="S187" s="430"/>
      <c r="T187" s="700"/>
      <c r="U187" s="428">
        <f>Q186</f>
        <v>0</v>
      </c>
      <c r="V187" s="700"/>
      <c r="W187" s="69">
        <f>S186</f>
        <v>0</v>
      </c>
      <c r="X187" s="700"/>
      <c r="Y187" s="69">
        <f>U186</f>
        <v>0</v>
      </c>
      <c r="Z187" s="700"/>
      <c r="AA187" s="69">
        <f>W186</f>
        <v>0</v>
      </c>
      <c r="AB187" s="700"/>
      <c r="AC187" s="69">
        <f>Y186</f>
        <v>0</v>
      </c>
      <c r="AD187" s="700"/>
      <c r="AE187" s="69"/>
      <c r="AF187" s="429"/>
      <c r="AG187" s="430"/>
      <c r="AH187" s="431"/>
      <c r="AI187" s="432"/>
      <c r="AJ187" s="65"/>
      <c r="AN187" s="742">
        <f>SUM(AF181:AF185)*AQ187</f>
        <v>0</v>
      </c>
      <c r="AO187" s="742">
        <f>SUM(R181:R185)*AQ187</f>
        <v>0</v>
      </c>
      <c r="AP187" s="742"/>
      <c r="AQ187" s="693">
        <v>0.15</v>
      </c>
      <c r="AS187" s="716">
        <f>SUM(AL181:AL185)</f>
        <v>0</v>
      </c>
      <c r="AT187" s="461">
        <f>F187+H187+J187+L187+N187+P187+T187+V187+X187+Z187+AB187+AD187</f>
        <v>0</v>
      </c>
      <c r="AU187" s="745">
        <f>AT187-AS187</f>
        <v>0</v>
      </c>
      <c r="AV187" s="462" t="e">
        <f>AT187/AS187</f>
        <v>#DIV/0!</v>
      </c>
    </row>
    <row r="188" spans="1:48" ht="13.5" customHeight="1" outlineLevel="1" thickBot="1">
      <c r="B188" s="82">
        <f>B181+1</f>
        <v>27</v>
      </c>
      <c r="C188" s="1233">
        <f>'Terms and Turnovers'!C42</f>
        <v>0</v>
      </c>
      <c r="D188" s="1233">
        <f>'Terms and Turnovers'!D42</f>
        <v>0</v>
      </c>
      <c r="E188" s="83" t="str">
        <f>'Terms and Turnovers'!$J$12</f>
        <v>FLIP-FLOPS</v>
      </c>
      <c r="F188" s="118">
        <f>$R188*G188</f>
        <v>0</v>
      </c>
      <c r="G188" s="69"/>
      <c r="H188" s="314">
        <f>$R188*I188</f>
        <v>0</v>
      </c>
      <c r="I188" s="69">
        <v>0</v>
      </c>
      <c r="J188" s="118">
        <f>$R188*K188</f>
        <v>0</v>
      </c>
      <c r="K188" s="69">
        <v>0</v>
      </c>
      <c r="L188" s="314">
        <f>$R188*M188</f>
        <v>0</v>
      </c>
      <c r="M188" s="69">
        <v>0</v>
      </c>
      <c r="N188" s="314">
        <f>$R188*O188</f>
        <v>0</v>
      </c>
      <c r="O188" s="69">
        <v>0</v>
      </c>
      <c r="P188" s="118">
        <f>$R188*Q188</f>
        <v>0</v>
      </c>
      <c r="Q188" s="69">
        <v>0</v>
      </c>
      <c r="R188" s="87">
        <f>'Terms and Turnovers'!K42</f>
        <v>0</v>
      </c>
      <c r="S188" s="160">
        <f t="shared" si="11"/>
        <v>0</v>
      </c>
      <c r="T188" s="118">
        <f>$AF188*U188</f>
        <v>0</v>
      </c>
      <c r="U188" s="69">
        <v>0</v>
      </c>
      <c r="V188" s="314">
        <f>$AF188*W188</f>
        <v>0</v>
      </c>
      <c r="W188" s="69">
        <v>0</v>
      </c>
      <c r="X188" s="118">
        <f>$AF188*Y188</f>
        <v>0</v>
      </c>
      <c r="Y188" s="69">
        <v>0</v>
      </c>
      <c r="Z188" s="314">
        <f>$AF188*AA188</f>
        <v>0</v>
      </c>
      <c r="AA188" s="69">
        <v>0</v>
      </c>
      <c r="AB188" s="314">
        <f>$AF188*AC188</f>
        <v>0</v>
      </c>
      <c r="AC188" s="69">
        <v>0</v>
      </c>
      <c r="AD188" s="118">
        <f>$AF188*AE188</f>
        <v>0</v>
      </c>
      <c r="AE188" s="69">
        <v>0</v>
      </c>
      <c r="AF188" s="87">
        <f>'Terms and Turnovers'!P42</f>
        <v>0</v>
      </c>
      <c r="AG188" s="160">
        <f t="shared" si="12"/>
        <v>0</v>
      </c>
      <c r="AH188" s="157">
        <f t="shared" si="13"/>
        <v>0</v>
      </c>
      <c r="AI188" s="131">
        <f t="shared" si="14"/>
        <v>0</v>
      </c>
      <c r="AJ188" s="65"/>
      <c r="AL188" s="461">
        <f>SUM(F188,H188,J188,L188,N188,P188,T188,V188,X188,Z188,AB188,AD188)</f>
        <v>0</v>
      </c>
      <c r="AM188" s="462">
        <f>AL188-AH188</f>
        <v>0</v>
      </c>
      <c r="AO188" s="692"/>
      <c r="AP188" s="692"/>
      <c r="AV188" s="56"/>
    </row>
    <row r="189" spans="1:48" ht="13.5" customHeight="1" outlineLevel="1" thickBot="1">
      <c r="B189" s="82"/>
      <c r="C189" s="1234"/>
      <c r="D189" s="1234"/>
      <c r="E189" s="84" t="str">
        <f>'Terms and Turnovers'!$T$12</f>
        <v>ORIGINALS</v>
      </c>
      <c r="F189" s="120">
        <f>$R189*G189</f>
        <v>0</v>
      </c>
      <c r="G189" s="723"/>
      <c r="H189" s="120">
        <f>$R189*I189</f>
        <v>0</v>
      </c>
      <c r="I189" s="69">
        <v>0</v>
      </c>
      <c r="J189" s="120">
        <f>$R189*K189</f>
        <v>0</v>
      </c>
      <c r="K189" s="69">
        <v>0</v>
      </c>
      <c r="L189" s="120">
        <f>$R189*M189</f>
        <v>0</v>
      </c>
      <c r="M189" s="69">
        <v>0</v>
      </c>
      <c r="N189" s="315">
        <f>$R189*O189</f>
        <v>0</v>
      </c>
      <c r="O189" s="69">
        <v>0</v>
      </c>
      <c r="P189" s="120">
        <f>$R189*Q189</f>
        <v>0</v>
      </c>
      <c r="Q189" s="69">
        <v>0</v>
      </c>
      <c r="R189" s="88">
        <f>'Terms and Turnovers'!U42</f>
        <v>0</v>
      </c>
      <c r="S189" s="161">
        <f t="shared" si="11"/>
        <v>0</v>
      </c>
      <c r="T189" s="120">
        <f>$AF189*U189</f>
        <v>0</v>
      </c>
      <c r="U189" s="69">
        <v>0</v>
      </c>
      <c r="V189" s="120">
        <f>$AF189*W189</f>
        <v>0</v>
      </c>
      <c r="W189" s="69">
        <v>0</v>
      </c>
      <c r="X189" s="120">
        <f>$AF189*Y189</f>
        <v>0</v>
      </c>
      <c r="Y189" s="69">
        <v>0</v>
      </c>
      <c r="Z189" s="120">
        <f>$AF189*AA189</f>
        <v>0</v>
      </c>
      <c r="AA189" s="69">
        <v>0</v>
      </c>
      <c r="AB189" s="315">
        <f>$AF189*AC189</f>
        <v>0</v>
      </c>
      <c r="AC189" s="69">
        <v>0</v>
      </c>
      <c r="AD189" s="120">
        <f>$AF189*AE189</f>
        <v>0</v>
      </c>
      <c r="AE189" s="69">
        <v>0</v>
      </c>
      <c r="AF189" s="88">
        <f>'Terms and Turnovers'!Z42</f>
        <v>0</v>
      </c>
      <c r="AG189" s="161">
        <f t="shared" si="12"/>
        <v>0</v>
      </c>
      <c r="AH189" s="158">
        <f t="shared" si="13"/>
        <v>0</v>
      </c>
      <c r="AI189" s="134">
        <f t="shared" si="14"/>
        <v>0</v>
      </c>
      <c r="AJ189" s="65"/>
      <c r="AL189" s="461">
        <f>SUM(F189,H189,J189,L189,N189,P189,T189,V189,X189,Z189,AB189,AD189)</f>
        <v>0</v>
      </c>
      <c r="AM189" s="462">
        <f>AL189-AH189</f>
        <v>0</v>
      </c>
      <c r="AO189" s="692"/>
      <c r="AP189" s="692"/>
      <c r="AV189" s="56"/>
    </row>
    <row r="190" spans="1:48" ht="13.5" customHeight="1" outlineLevel="1" thickBot="1">
      <c r="B190" s="82"/>
      <c r="C190" s="1234"/>
      <c r="D190" s="1234"/>
      <c r="E190" s="84" t="str">
        <f>'Terms and Turnovers'!$AD$12</f>
        <v>ACCESSORIES</v>
      </c>
      <c r="F190" s="120">
        <f>$R190*G190</f>
        <v>0</v>
      </c>
      <c r="G190" s="723"/>
      <c r="H190" s="120">
        <f>$R190*I190</f>
        <v>0</v>
      </c>
      <c r="I190" s="69">
        <v>0</v>
      </c>
      <c r="J190" s="120">
        <f>$R190*K190</f>
        <v>0</v>
      </c>
      <c r="K190" s="69">
        <v>0</v>
      </c>
      <c r="L190" s="120">
        <f>$R190*M190</f>
        <v>0</v>
      </c>
      <c r="M190" s="69">
        <v>0</v>
      </c>
      <c r="N190" s="315">
        <f>$R190*O190</f>
        <v>0</v>
      </c>
      <c r="O190" s="69">
        <v>0</v>
      </c>
      <c r="P190" s="120">
        <f>$R190*Q190</f>
        <v>0</v>
      </c>
      <c r="Q190" s="69">
        <v>0</v>
      </c>
      <c r="R190" s="88">
        <f>'Terms and Turnovers'!AE42</f>
        <v>0</v>
      </c>
      <c r="S190" s="161">
        <f t="shared" si="11"/>
        <v>0</v>
      </c>
      <c r="T190" s="120">
        <f>$AF190*U190</f>
        <v>0</v>
      </c>
      <c r="U190" s="69">
        <v>0</v>
      </c>
      <c r="V190" s="120">
        <f>$AF190*W190</f>
        <v>0</v>
      </c>
      <c r="W190" s="69">
        <v>0</v>
      </c>
      <c r="X190" s="120">
        <f>$AF190*Y190</f>
        <v>0</v>
      </c>
      <c r="Y190" s="69">
        <v>0</v>
      </c>
      <c r="Z190" s="120">
        <f>$AF190*AA190</f>
        <v>0</v>
      </c>
      <c r="AA190" s="69">
        <v>0</v>
      </c>
      <c r="AB190" s="315">
        <f>$AF190*AC190</f>
        <v>0</v>
      </c>
      <c r="AC190" s="69">
        <v>0</v>
      </c>
      <c r="AD190" s="120">
        <f>$AF190*AE190</f>
        <v>0</v>
      </c>
      <c r="AE190" s="69">
        <v>0</v>
      </c>
      <c r="AF190" s="88">
        <f>'Terms and Turnovers'!AJ42</f>
        <v>0</v>
      </c>
      <c r="AG190" s="161">
        <f t="shared" si="12"/>
        <v>0</v>
      </c>
      <c r="AH190" s="158">
        <f t="shared" si="13"/>
        <v>0</v>
      </c>
      <c r="AI190" s="134">
        <f t="shared" si="14"/>
        <v>0</v>
      </c>
      <c r="AJ190" s="65"/>
      <c r="AL190" s="461">
        <f>SUM(F190,H190,J190,L190,N190,P190,T190,V190,X190,Z190,AB190,AD190)</f>
        <v>0</v>
      </c>
      <c r="AM190" s="462">
        <f>AL190-AH190</f>
        <v>0</v>
      </c>
      <c r="AO190" s="692"/>
      <c r="AP190" s="692"/>
      <c r="AV190" s="56"/>
    </row>
    <row r="191" spans="1:48" ht="13.5" customHeight="1" outlineLevel="1" thickBot="1">
      <c r="B191" s="82"/>
      <c r="C191" s="1234"/>
      <c r="D191" s="1234"/>
      <c r="E191" s="84">
        <f>'Terms and Turnovers'!$AN$12</f>
        <v>0</v>
      </c>
      <c r="F191" s="120">
        <f>$R191*G191</f>
        <v>0</v>
      </c>
      <c r="G191" s="723"/>
      <c r="H191" s="120">
        <f>$R191*I191</f>
        <v>0</v>
      </c>
      <c r="I191" s="69">
        <v>0</v>
      </c>
      <c r="J191" s="120">
        <f>$R191*K191</f>
        <v>0</v>
      </c>
      <c r="K191" s="69">
        <v>0</v>
      </c>
      <c r="L191" s="120">
        <f>$R191*M191</f>
        <v>0</v>
      </c>
      <c r="M191" s="69">
        <v>0</v>
      </c>
      <c r="N191" s="315">
        <f>$R191*O191</f>
        <v>0</v>
      </c>
      <c r="O191" s="69">
        <v>0</v>
      </c>
      <c r="P191" s="120">
        <f>$R191*Q191</f>
        <v>0</v>
      </c>
      <c r="Q191" s="69">
        <v>0</v>
      </c>
      <c r="R191" s="88">
        <f>'Terms and Turnovers'!AO42</f>
        <v>0</v>
      </c>
      <c r="S191" s="161">
        <f t="shared" si="11"/>
        <v>0</v>
      </c>
      <c r="T191" s="120">
        <f>$AF191*U191</f>
        <v>0</v>
      </c>
      <c r="U191" s="69">
        <v>0</v>
      </c>
      <c r="V191" s="120">
        <f>$AF191*W191</f>
        <v>0</v>
      </c>
      <c r="W191" s="69">
        <v>0</v>
      </c>
      <c r="X191" s="120">
        <f>$AF191*Y191</f>
        <v>0</v>
      </c>
      <c r="Y191" s="69">
        <v>0</v>
      </c>
      <c r="Z191" s="120">
        <f>$AF191*AA191</f>
        <v>0</v>
      </c>
      <c r="AA191" s="69">
        <v>0</v>
      </c>
      <c r="AB191" s="315">
        <f>$AF191*AC191</f>
        <v>0</v>
      </c>
      <c r="AC191" s="69">
        <v>0</v>
      </c>
      <c r="AD191" s="120">
        <f>$AF191*AE191</f>
        <v>0</v>
      </c>
      <c r="AE191" s="69">
        <v>0</v>
      </c>
      <c r="AF191" s="88">
        <f>'Terms and Turnovers'!AT42</f>
        <v>0</v>
      </c>
      <c r="AG191" s="161">
        <f t="shared" si="12"/>
        <v>0</v>
      </c>
      <c r="AH191" s="158">
        <f t="shared" si="13"/>
        <v>0</v>
      </c>
      <c r="AI191" s="134">
        <f t="shared" si="14"/>
        <v>0</v>
      </c>
      <c r="AJ191" s="65"/>
      <c r="AL191" s="461">
        <f>SUM(F191,H191,J191,L191,N191,P191,T191,V191,X191,Z191,AB191,AD191)</f>
        <v>0</v>
      </c>
      <c r="AM191" s="462">
        <f>AL191-AH191</f>
        <v>0</v>
      </c>
      <c r="AO191" s="692"/>
      <c r="AP191" s="692"/>
      <c r="AV191" s="56"/>
    </row>
    <row r="192" spans="1:48" ht="13.5" customHeight="1" outlineLevel="1" thickBot="1">
      <c r="B192" s="82"/>
      <c r="C192" s="1235"/>
      <c r="D192" s="1235"/>
      <c r="E192" s="85">
        <f>'Terms and Turnovers'!$AX$12</f>
        <v>0</v>
      </c>
      <c r="F192" s="121">
        <f>$R192*G192</f>
        <v>0</v>
      </c>
      <c r="G192" s="72"/>
      <c r="H192" s="121">
        <f>$R192*I192</f>
        <v>0</v>
      </c>
      <c r="I192" s="69">
        <v>0</v>
      </c>
      <c r="J192" s="121">
        <f>$R192*K192</f>
        <v>0</v>
      </c>
      <c r="K192" s="69">
        <v>0</v>
      </c>
      <c r="L192" s="121">
        <f>$R192*M192</f>
        <v>0</v>
      </c>
      <c r="M192" s="69">
        <v>0</v>
      </c>
      <c r="N192" s="316">
        <f>$R192*O192</f>
        <v>0</v>
      </c>
      <c r="O192" s="69">
        <v>0</v>
      </c>
      <c r="P192" s="121">
        <f>$R192*Q192</f>
        <v>0</v>
      </c>
      <c r="Q192" s="69">
        <v>0</v>
      </c>
      <c r="R192" s="89">
        <f>'Terms and Turnovers'!AY42</f>
        <v>0</v>
      </c>
      <c r="S192" s="162">
        <f t="shared" si="11"/>
        <v>0</v>
      </c>
      <c r="T192" s="121">
        <f>$AF192*U192</f>
        <v>0</v>
      </c>
      <c r="U192" s="69">
        <v>0</v>
      </c>
      <c r="V192" s="121">
        <f>$AF192*W192</f>
        <v>0</v>
      </c>
      <c r="W192" s="69">
        <v>0</v>
      </c>
      <c r="X192" s="121">
        <f>$AF192*Y192</f>
        <v>0</v>
      </c>
      <c r="Y192" s="69">
        <v>0</v>
      </c>
      <c r="Z192" s="121">
        <f>$AF192*AA192</f>
        <v>0</v>
      </c>
      <c r="AA192" s="69">
        <v>0</v>
      </c>
      <c r="AB192" s="316">
        <f>$AF192*AC192</f>
        <v>0</v>
      </c>
      <c r="AC192" s="69">
        <v>0</v>
      </c>
      <c r="AD192" s="121">
        <f>$AF192*AE192</f>
        <v>0</v>
      </c>
      <c r="AE192" s="69">
        <v>0</v>
      </c>
      <c r="AF192" s="89">
        <f>'Terms and Turnovers'!BD42</f>
        <v>0</v>
      </c>
      <c r="AG192" s="162">
        <f t="shared" si="12"/>
        <v>0</v>
      </c>
      <c r="AH192" s="159">
        <f t="shared" si="13"/>
        <v>0</v>
      </c>
      <c r="AI192" s="137">
        <f t="shared" si="14"/>
        <v>0</v>
      </c>
      <c r="AJ192" s="65"/>
      <c r="AL192" s="461">
        <f>SUM(F192,H192,J192,L192,N192,P192,T192,V192,X192,Z192,AB192,AD192)</f>
        <v>0</v>
      </c>
      <c r="AM192" s="462">
        <f>AL192-AH192</f>
        <v>0</v>
      </c>
      <c r="AO192" s="692"/>
      <c r="AP192" s="692"/>
      <c r="AV192" s="56"/>
    </row>
    <row r="193" spans="1:48" ht="13.5" customHeight="1" outlineLevel="1" thickBot="1">
      <c r="A193" s="119"/>
      <c r="B193" s="82"/>
      <c r="C193" s="425"/>
      <c r="D193" s="425"/>
      <c r="E193" s="426"/>
      <c r="F193" s="427">
        <f>SUM(F188:F192)</f>
        <v>0</v>
      </c>
      <c r="G193" s="428"/>
      <c r="H193" s="427">
        <f>SUM(H188:H192)</f>
        <v>0</v>
      </c>
      <c r="I193" s="69"/>
      <c r="J193" s="427">
        <f>SUM(J188:J192)</f>
        <v>0</v>
      </c>
      <c r="K193" s="69"/>
      <c r="L193" s="427">
        <f>SUM(L188:L192)</f>
        <v>0</v>
      </c>
      <c r="M193" s="69"/>
      <c r="N193" s="427">
        <f>SUM(N188:N192)</f>
        <v>0</v>
      </c>
      <c r="O193" s="69"/>
      <c r="P193" s="427">
        <f>SUM(P188:P192)</f>
        <v>0</v>
      </c>
      <c r="Q193" s="69"/>
      <c r="R193" s="429"/>
      <c r="S193" s="430"/>
      <c r="T193" s="427">
        <f>SUM(T188:T192)</f>
        <v>0</v>
      </c>
      <c r="U193" s="428"/>
      <c r="V193" s="427">
        <f>SUM(V188:V192)</f>
        <v>0</v>
      </c>
      <c r="W193" s="69"/>
      <c r="X193" s="427">
        <f>SUM(X188:X192)</f>
        <v>0</v>
      </c>
      <c r="Y193" s="69"/>
      <c r="Z193" s="427">
        <f>SUM(Z188:Z192)</f>
        <v>0</v>
      </c>
      <c r="AA193" s="69"/>
      <c r="AB193" s="427">
        <f>SUM(AB188:AB192)</f>
        <v>0</v>
      </c>
      <c r="AC193" s="69"/>
      <c r="AD193" s="427">
        <f>SUM(AD188:AD192)</f>
        <v>0</v>
      </c>
      <c r="AE193" s="69"/>
      <c r="AF193" s="429"/>
      <c r="AG193" s="430"/>
      <c r="AH193" s="431"/>
      <c r="AI193" s="432"/>
      <c r="AJ193" s="65"/>
      <c r="AO193" s="692"/>
      <c r="AP193" s="692"/>
      <c r="AV193" s="56"/>
    </row>
    <row r="194" spans="1:48" ht="13.5" customHeight="1" outlineLevel="1" thickBot="1">
      <c r="A194" s="119"/>
      <c r="B194" s="82"/>
      <c r="C194" s="1098" t="s">
        <v>484</v>
      </c>
      <c r="D194" s="433">
        <f>D188</f>
        <v>0</v>
      </c>
      <c r="E194" s="426"/>
      <c r="F194" s="700"/>
      <c r="G194" s="428"/>
      <c r="H194" s="1106"/>
      <c r="I194" s="847"/>
      <c r="J194" s="1106"/>
      <c r="K194" s="847"/>
      <c r="L194" s="1106"/>
      <c r="M194" s="847"/>
      <c r="N194" s="1106"/>
      <c r="O194" s="847"/>
      <c r="P194" s="1106"/>
      <c r="Q194" s="69"/>
      <c r="R194" s="429"/>
      <c r="S194" s="430"/>
      <c r="T194" s="1106"/>
      <c r="U194" s="428">
        <f>Q193</f>
        <v>0</v>
      </c>
      <c r="V194" s="1106"/>
      <c r="W194" s="847"/>
      <c r="X194" s="1106"/>
      <c r="Y194" s="847"/>
      <c r="Z194" s="1106"/>
      <c r="AA194" s="847"/>
      <c r="AB194" s="1106"/>
      <c r="AC194" s="847"/>
      <c r="AD194" s="1106"/>
      <c r="AE194" s="69"/>
      <c r="AF194" s="429"/>
      <c r="AG194" s="430"/>
      <c r="AH194" s="431"/>
      <c r="AI194" s="432"/>
      <c r="AJ194" s="65"/>
      <c r="AN194" s="742">
        <f>SUM(AF188:AF192)*AQ194</f>
        <v>0</v>
      </c>
      <c r="AO194" s="742">
        <f>SUM(R188:R192)*AQ194</f>
        <v>0</v>
      </c>
      <c r="AP194" s="742">
        <v>0</v>
      </c>
      <c r="AQ194" s="693">
        <v>0</v>
      </c>
      <c r="AR194" s="696" t="s">
        <v>485</v>
      </c>
      <c r="AS194" s="716">
        <f>SUM(AL188:AL192)</f>
        <v>0</v>
      </c>
      <c r="AT194" s="461">
        <f>F194+H194+J194+L194+N194+P194+T194+V194+X194+Z194+AB194+AD194</f>
        <v>0</v>
      </c>
      <c r="AU194" s="745">
        <f>AT194-AS194</f>
        <v>0</v>
      </c>
      <c r="AV194" s="462" t="e">
        <f>AT194/AS194</f>
        <v>#DIV/0!</v>
      </c>
    </row>
    <row r="195" spans="1:48" ht="13.5" customHeight="1" outlineLevel="1" thickBot="1">
      <c r="B195" s="82">
        <f>B188+1</f>
        <v>28</v>
      </c>
      <c r="C195" s="1233">
        <f>'Terms and Turnovers'!C43</f>
        <v>0</v>
      </c>
      <c r="D195" s="1233">
        <f>'Terms and Turnovers'!D43</f>
        <v>0</v>
      </c>
      <c r="E195" s="83" t="str">
        <f>'Terms and Turnovers'!$J$12</f>
        <v>FLIP-FLOPS</v>
      </c>
      <c r="F195" s="118">
        <f>$R195*G195</f>
        <v>0</v>
      </c>
      <c r="G195" s="69"/>
      <c r="H195" s="314">
        <f>$R195*I195</f>
        <v>0</v>
      </c>
      <c r="I195" s="69">
        <v>0</v>
      </c>
      <c r="J195" s="118">
        <f>$R195*K195</f>
        <v>0</v>
      </c>
      <c r="K195" s="69">
        <v>0</v>
      </c>
      <c r="L195" s="314">
        <f>$R195*M195</f>
        <v>0</v>
      </c>
      <c r="M195" s="69">
        <v>0</v>
      </c>
      <c r="N195" s="314">
        <f>$R195*O195</f>
        <v>0</v>
      </c>
      <c r="O195" s="69">
        <v>0</v>
      </c>
      <c r="P195" s="118">
        <f>$R195*Q195</f>
        <v>0</v>
      </c>
      <c r="Q195" s="69">
        <v>0</v>
      </c>
      <c r="R195" s="87">
        <f>'Terms and Turnovers'!K43</f>
        <v>0</v>
      </c>
      <c r="S195" s="160">
        <f t="shared" si="11"/>
        <v>0</v>
      </c>
      <c r="T195" s="118">
        <f>$AF195*U195</f>
        <v>0</v>
      </c>
      <c r="U195" s="69">
        <v>0</v>
      </c>
      <c r="V195" s="314">
        <f>$AF195*W195</f>
        <v>0</v>
      </c>
      <c r="W195" s="69">
        <v>0</v>
      </c>
      <c r="X195" s="118">
        <f>$AF195*Y195</f>
        <v>0</v>
      </c>
      <c r="Y195" s="69">
        <v>0</v>
      </c>
      <c r="Z195" s="314">
        <f>$AF195*AA195</f>
        <v>0</v>
      </c>
      <c r="AA195" s="69">
        <v>0</v>
      </c>
      <c r="AB195" s="314">
        <f>$AF195*AC195</f>
        <v>0</v>
      </c>
      <c r="AC195" s="69">
        <v>0</v>
      </c>
      <c r="AD195" s="118">
        <f>$AF195*AE195</f>
        <v>0</v>
      </c>
      <c r="AE195" s="69">
        <v>0</v>
      </c>
      <c r="AF195" s="87">
        <f>'Terms and Turnovers'!P43</f>
        <v>0</v>
      </c>
      <c r="AG195" s="160">
        <f t="shared" si="12"/>
        <v>0</v>
      </c>
      <c r="AH195" s="157">
        <f t="shared" si="13"/>
        <v>0</v>
      </c>
      <c r="AI195" s="131">
        <f t="shared" si="14"/>
        <v>0</v>
      </c>
      <c r="AJ195" s="65"/>
      <c r="AL195" s="461">
        <f>SUM(F195,H195,J195,L195,N195,P195,T195,V195,X195,Z195,AB195,AD195)</f>
        <v>0</v>
      </c>
      <c r="AM195" s="462">
        <f>AL195-AH195</f>
        <v>0</v>
      </c>
      <c r="AO195" s="692"/>
      <c r="AP195" s="692"/>
      <c r="AV195" s="56"/>
    </row>
    <row r="196" spans="1:48" ht="13.5" customHeight="1" outlineLevel="1" thickBot="1">
      <c r="B196" s="82"/>
      <c r="C196" s="1234"/>
      <c r="D196" s="1234"/>
      <c r="E196" s="84" t="str">
        <f>'Terms and Turnovers'!$T$12</f>
        <v>ORIGINALS</v>
      </c>
      <c r="F196" s="120">
        <f>$R196*G196</f>
        <v>0</v>
      </c>
      <c r="G196" s="723"/>
      <c r="H196" s="120">
        <f>$R196*I196</f>
        <v>0</v>
      </c>
      <c r="I196" s="69">
        <v>0</v>
      </c>
      <c r="J196" s="120">
        <f>$R196*K196</f>
        <v>0</v>
      </c>
      <c r="K196" s="69">
        <v>0</v>
      </c>
      <c r="L196" s="120">
        <f>$R196*M196</f>
        <v>0</v>
      </c>
      <c r="M196" s="69">
        <v>0</v>
      </c>
      <c r="N196" s="315">
        <f>$R196*O196</f>
        <v>0</v>
      </c>
      <c r="O196" s="69">
        <v>0</v>
      </c>
      <c r="P196" s="120">
        <f>$R196*Q196</f>
        <v>0</v>
      </c>
      <c r="Q196" s="69">
        <v>0</v>
      </c>
      <c r="R196" s="88">
        <f>'Terms and Turnovers'!U43</f>
        <v>0</v>
      </c>
      <c r="S196" s="161">
        <f t="shared" si="11"/>
        <v>0</v>
      </c>
      <c r="T196" s="120">
        <f>$AF196*U196</f>
        <v>0</v>
      </c>
      <c r="U196" s="69">
        <v>0</v>
      </c>
      <c r="V196" s="120">
        <f>$AF196*W196</f>
        <v>0</v>
      </c>
      <c r="W196" s="69">
        <v>0</v>
      </c>
      <c r="X196" s="120">
        <f>$AF196*Y196</f>
        <v>0</v>
      </c>
      <c r="Y196" s="69">
        <v>0</v>
      </c>
      <c r="Z196" s="120">
        <f>$AF196*AA196</f>
        <v>0</v>
      </c>
      <c r="AA196" s="69">
        <v>0</v>
      </c>
      <c r="AB196" s="315">
        <f>$AF196*AC196</f>
        <v>0</v>
      </c>
      <c r="AC196" s="69">
        <v>0</v>
      </c>
      <c r="AD196" s="120">
        <f>$AF196*AE196</f>
        <v>0</v>
      </c>
      <c r="AE196" s="69">
        <v>0</v>
      </c>
      <c r="AF196" s="88">
        <f>'Terms and Turnovers'!Z43</f>
        <v>0</v>
      </c>
      <c r="AG196" s="161">
        <f t="shared" si="12"/>
        <v>0</v>
      </c>
      <c r="AH196" s="158">
        <f t="shared" si="13"/>
        <v>0</v>
      </c>
      <c r="AI196" s="134">
        <f t="shared" si="14"/>
        <v>0</v>
      </c>
      <c r="AJ196" s="65"/>
      <c r="AL196" s="461">
        <f>SUM(F196,H196,J196,L196,N196,P196,T196,V196,X196,Z196,AB196,AD196)</f>
        <v>0</v>
      </c>
      <c r="AM196" s="462">
        <f>AL196-AH196</f>
        <v>0</v>
      </c>
      <c r="AO196" s="692"/>
      <c r="AP196" s="692"/>
      <c r="AV196" s="56"/>
    </row>
    <row r="197" spans="1:48" ht="13.5" customHeight="1" outlineLevel="1" thickBot="1">
      <c r="B197" s="82"/>
      <c r="C197" s="1234"/>
      <c r="D197" s="1234"/>
      <c r="E197" s="84" t="str">
        <f>'Terms and Turnovers'!$AD$12</f>
        <v>ACCESSORIES</v>
      </c>
      <c r="F197" s="120">
        <f>$R197*G197</f>
        <v>0</v>
      </c>
      <c r="G197" s="723"/>
      <c r="H197" s="120">
        <f>$R197*I197</f>
        <v>0</v>
      </c>
      <c r="I197" s="69">
        <v>0</v>
      </c>
      <c r="J197" s="120">
        <f>$R197*K197</f>
        <v>0</v>
      </c>
      <c r="K197" s="69">
        <v>0</v>
      </c>
      <c r="L197" s="120">
        <f>$R197*M197</f>
        <v>0</v>
      </c>
      <c r="M197" s="69">
        <v>0</v>
      </c>
      <c r="N197" s="315">
        <f>$R197*O197</f>
        <v>0</v>
      </c>
      <c r="O197" s="69">
        <v>0</v>
      </c>
      <c r="P197" s="120">
        <f>$R197*Q197</f>
        <v>0</v>
      </c>
      <c r="Q197" s="69">
        <v>0</v>
      </c>
      <c r="R197" s="88">
        <f>'Terms and Turnovers'!AE43</f>
        <v>0</v>
      </c>
      <c r="S197" s="161">
        <f t="shared" si="11"/>
        <v>0</v>
      </c>
      <c r="T197" s="120">
        <f>$AF197*U197</f>
        <v>0</v>
      </c>
      <c r="U197" s="69">
        <v>0</v>
      </c>
      <c r="V197" s="120">
        <f>$AF197*W197</f>
        <v>0</v>
      </c>
      <c r="W197" s="69">
        <v>0</v>
      </c>
      <c r="X197" s="120">
        <f>$AF197*Y197</f>
        <v>0</v>
      </c>
      <c r="Y197" s="69">
        <v>0</v>
      </c>
      <c r="Z197" s="120">
        <f>$AF197*AA197</f>
        <v>0</v>
      </c>
      <c r="AA197" s="69">
        <v>0</v>
      </c>
      <c r="AB197" s="315">
        <f>$AF197*AC197</f>
        <v>0</v>
      </c>
      <c r="AC197" s="69">
        <v>0</v>
      </c>
      <c r="AD197" s="120">
        <f>$AF197*AE197</f>
        <v>0</v>
      </c>
      <c r="AE197" s="69">
        <v>0</v>
      </c>
      <c r="AF197" s="88">
        <f>'Terms and Turnovers'!AJ43</f>
        <v>0</v>
      </c>
      <c r="AG197" s="161">
        <f t="shared" si="12"/>
        <v>0</v>
      </c>
      <c r="AH197" s="158">
        <f t="shared" si="13"/>
        <v>0</v>
      </c>
      <c r="AI197" s="134">
        <f t="shared" si="14"/>
        <v>0</v>
      </c>
      <c r="AJ197" s="65"/>
      <c r="AL197" s="461">
        <f>SUM(F197,H197,J197,L197,N197,P197,T197,V197,X197,Z197,AB197,AD197)</f>
        <v>0</v>
      </c>
      <c r="AM197" s="462">
        <f>AL197-AH197</f>
        <v>0</v>
      </c>
      <c r="AO197" s="692"/>
      <c r="AP197" s="692"/>
      <c r="AV197" s="56"/>
    </row>
    <row r="198" spans="1:48" ht="13.5" customHeight="1" outlineLevel="1" thickBot="1">
      <c r="B198" s="82"/>
      <c r="C198" s="1234"/>
      <c r="D198" s="1234"/>
      <c r="E198" s="84">
        <f>'Terms and Turnovers'!$AN$12</f>
        <v>0</v>
      </c>
      <c r="F198" s="120">
        <f>$R198*G198</f>
        <v>0</v>
      </c>
      <c r="G198" s="723"/>
      <c r="H198" s="120">
        <f>$R198*I198</f>
        <v>0</v>
      </c>
      <c r="I198" s="69">
        <v>0</v>
      </c>
      <c r="J198" s="120">
        <f>$R198*K198</f>
        <v>0</v>
      </c>
      <c r="K198" s="69">
        <v>0</v>
      </c>
      <c r="L198" s="120">
        <f>$R198*M198</f>
        <v>0</v>
      </c>
      <c r="M198" s="69">
        <v>0</v>
      </c>
      <c r="N198" s="315">
        <f>$R198*O198</f>
        <v>0</v>
      </c>
      <c r="O198" s="69">
        <v>0</v>
      </c>
      <c r="P198" s="120">
        <f>$R198*Q198</f>
        <v>0</v>
      </c>
      <c r="Q198" s="69">
        <v>0</v>
      </c>
      <c r="R198" s="88">
        <f>'Terms and Turnovers'!AO43</f>
        <v>0</v>
      </c>
      <c r="S198" s="161">
        <f t="shared" si="11"/>
        <v>0</v>
      </c>
      <c r="T198" s="120">
        <f>$AF198*U198</f>
        <v>0</v>
      </c>
      <c r="U198" s="69">
        <v>0</v>
      </c>
      <c r="V198" s="120">
        <f>$AF198*W198</f>
        <v>0</v>
      </c>
      <c r="W198" s="69">
        <v>0</v>
      </c>
      <c r="X198" s="120">
        <f>$AF198*Y198</f>
        <v>0</v>
      </c>
      <c r="Y198" s="69">
        <v>0</v>
      </c>
      <c r="Z198" s="120">
        <f>$AF198*AA198</f>
        <v>0</v>
      </c>
      <c r="AA198" s="69">
        <v>0</v>
      </c>
      <c r="AB198" s="315">
        <f>$AF198*AC198</f>
        <v>0</v>
      </c>
      <c r="AC198" s="69">
        <v>0</v>
      </c>
      <c r="AD198" s="120">
        <f>$AF198*AE198</f>
        <v>0</v>
      </c>
      <c r="AE198" s="69">
        <v>0</v>
      </c>
      <c r="AF198" s="88">
        <f>'Terms and Turnovers'!AT43</f>
        <v>0</v>
      </c>
      <c r="AG198" s="161">
        <f t="shared" si="12"/>
        <v>0</v>
      </c>
      <c r="AH198" s="158">
        <f t="shared" si="13"/>
        <v>0</v>
      </c>
      <c r="AI198" s="134">
        <f t="shared" si="14"/>
        <v>0</v>
      </c>
      <c r="AJ198" s="65"/>
      <c r="AL198" s="461">
        <f>SUM(F198,H198,J198,L198,N198,P198,T198,V198,X198,Z198,AB198,AD198)</f>
        <v>0</v>
      </c>
      <c r="AM198" s="462">
        <f>AL198-AH198</f>
        <v>0</v>
      </c>
      <c r="AO198" s="692"/>
      <c r="AP198" s="692"/>
      <c r="AV198" s="56"/>
    </row>
    <row r="199" spans="1:48" ht="13.5" customHeight="1" outlineLevel="1" thickBot="1">
      <c r="B199" s="82"/>
      <c r="C199" s="1235"/>
      <c r="D199" s="1235"/>
      <c r="E199" s="85">
        <f>'Terms and Turnovers'!$AX$12</f>
        <v>0</v>
      </c>
      <c r="F199" s="121">
        <f>$R199*G199</f>
        <v>0</v>
      </c>
      <c r="G199" s="72"/>
      <c r="H199" s="121">
        <f>$R199*I199</f>
        <v>0</v>
      </c>
      <c r="I199" s="69">
        <v>0</v>
      </c>
      <c r="J199" s="121">
        <f>$R199*K199</f>
        <v>0</v>
      </c>
      <c r="K199" s="69">
        <v>0</v>
      </c>
      <c r="L199" s="121">
        <f>$R199*M199</f>
        <v>0</v>
      </c>
      <c r="M199" s="69">
        <v>0</v>
      </c>
      <c r="N199" s="316">
        <f>$R199*O199</f>
        <v>0</v>
      </c>
      <c r="O199" s="69">
        <v>0</v>
      </c>
      <c r="P199" s="121">
        <f>$R199*Q199</f>
        <v>0</v>
      </c>
      <c r="Q199" s="69">
        <v>0</v>
      </c>
      <c r="R199" s="89">
        <f>'Terms and Turnovers'!AY43</f>
        <v>0</v>
      </c>
      <c r="S199" s="162">
        <f t="shared" si="11"/>
        <v>0</v>
      </c>
      <c r="T199" s="121">
        <f>$AF199*U199</f>
        <v>0</v>
      </c>
      <c r="U199" s="69">
        <v>0</v>
      </c>
      <c r="V199" s="121">
        <f>$AF199*W199</f>
        <v>0</v>
      </c>
      <c r="W199" s="69">
        <v>0</v>
      </c>
      <c r="X199" s="121">
        <f>$AF199*Y199</f>
        <v>0</v>
      </c>
      <c r="Y199" s="69">
        <v>0</v>
      </c>
      <c r="Z199" s="121">
        <f>$AF199*AA199</f>
        <v>0</v>
      </c>
      <c r="AA199" s="69">
        <v>0</v>
      </c>
      <c r="AB199" s="316">
        <f>$AF199*AC199</f>
        <v>0</v>
      </c>
      <c r="AC199" s="69">
        <v>0</v>
      </c>
      <c r="AD199" s="121">
        <f>$AF199*AE199</f>
        <v>0</v>
      </c>
      <c r="AE199" s="69">
        <v>0</v>
      </c>
      <c r="AF199" s="89">
        <f>'Terms and Turnovers'!BD43</f>
        <v>0</v>
      </c>
      <c r="AG199" s="162">
        <f t="shared" si="12"/>
        <v>0</v>
      </c>
      <c r="AH199" s="159">
        <f t="shared" si="13"/>
        <v>0</v>
      </c>
      <c r="AI199" s="137">
        <f t="shared" si="14"/>
        <v>0</v>
      </c>
      <c r="AJ199" s="65"/>
      <c r="AL199" s="461">
        <f>SUM(F199,H199,J199,L199,N199,P199,T199,V199,X199,Z199,AB199,AD199)</f>
        <v>0</v>
      </c>
      <c r="AM199" s="462">
        <f>AL199-AH199</f>
        <v>0</v>
      </c>
      <c r="AO199" s="692"/>
      <c r="AP199" s="692"/>
      <c r="AV199" s="56"/>
    </row>
    <row r="200" spans="1:48" ht="13.5" customHeight="1" outlineLevel="1" thickBot="1">
      <c r="A200" s="119"/>
      <c r="B200" s="82"/>
      <c r="C200" s="425"/>
      <c r="D200" s="425"/>
      <c r="E200" s="426"/>
      <c r="F200" s="427">
        <f>SUM(F195:F199)</f>
        <v>0</v>
      </c>
      <c r="G200" s="428"/>
      <c r="H200" s="427">
        <f>SUM(H195:H199)</f>
        <v>0</v>
      </c>
      <c r="I200" s="69"/>
      <c r="J200" s="427">
        <f>SUM(J195:J199)</f>
        <v>0</v>
      </c>
      <c r="K200" s="69"/>
      <c r="L200" s="427">
        <f>SUM(L195:L199)</f>
        <v>0</v>
      </c>
      <c r="M200" s="69"/>
      <c r="N200" s="427">
        <f>SUM(N195:N199)</f>
        <v>0</v>
      </c>
      <c r="O200" s="69"/>
      <c r="P200" s="427">
        <f>SUM(P195:P199)</f>
        <v>0</v>
      </c>
      <c r="Q200" s="69"/>
      <c r="R200" s="429"/>
      <c r="S200" s="430"/>
      <c r="T200" s="427">
        <f>SUM(T195:T199)</f>
        <v>0</v>
      </c>
      <c r="U200" s="428"/>
      <c r="V200" s="427">
        <f>SUM(V195:V199)</f>
        <v>0</v>
      </c>
      <c r="W200" s="69"/>
      <c r="X200" s="427">
        <f>SUM(X195:X199)</f>
        <v>0</v>
      </c>
      <c r="Y200" s="69"/>
      <c r="Z200" s="427">
        <f>SUM(Z195:Z199)</f>
        <v>0</v>
      </c>
      <c r="AA200" s="69"/>
      <c r="AB200" s="427">
        <f>SUM(AB195:AB199)</f>
        <v>0</v>
      </c>
      <c r="AC200" s="69"/>
      <c r="AD200" s="427">
        <f>SUM(AD195:AD199)</f>
        <v>0</v>
      </c>
      <c r="AE200" s="69"/>
      <c r="AF200" s="429"/>
      <c r="AG200" s="430"/>
      <c r="AH200" s="431"/>
      <c r="AI200" s="432"/>
      <c r="AJ200" s="65"/>
      <c r="AO200" s="692"/>
      <c r="AP200" s="692"/>
      <c r="AV200" s="56"/>
    </row>
    <row r="201" spans="1:48" ht="13.5" customHeight="1" outlineLevel="1" thickBot="1">
      <c r="A201" s="119"/>
      <c r="B201" s="82"/>
      <c r="C201" s="1098" t="s">
        <v>484</v>
      </c>
      <c r="D201" s="433">
        <f>D195</f>
        <v>0</v>
      </c>
      <c r="E201" s="426"/>
      <c r="F201" s="700"/>
      <c r="G201" s="428"/>
      <c r="H201" s="700"/>
      <c r="I201" s="69"/>
      <c r="J201" s="700"/>
      <c r="K201" s="69"/>
      <c r="L201" s="700"/>
      <c r="M201" s="69"/>
      <c r="N201" s="700"/>
      <c r="O201" s="69"/>
      <c r="P201" s="700"/>
      <c r="Q201" s="69"/>
      <c r="R201" s="429"/>
      <c r="S201" s="430"/>
      <c r="T201" s="700"/>
      <c r="U201" s="428">
        <f>Q200</f>
        <v>0</v>
      </c>
      <c r="V201" s="700"/>
      <c r="W201" s="69">
        <f>S200</f>
        <v>0</v>
      </c>
      <c r="X201" s="700"/>
      <c r="Y201" s="69">
        <f>U200</f>
        <v>0</v>
      </c>
      <c r="Z201" s="700"/>
      <c r="AA201" s="69">
        <f>W200</f>
        <v>0</v>
      </c>
      <c r="AB201" s="700"/>
      <c r="AC201" s="69">
        <f>Y200</f>
        <v>0</v>
      </c>
      <c r="AD201" s="700"/>
      <c r="AE201" s="69"/>
      <c r="AF201" s="429"/>
      <c r="AG201" s="430"/>
      <c r="AH201" s="431"/>
      <c r="AI201" s="432"/>
      <c r="AJ201" s="65"/>
      <c r="AN201" s="742">
        <f>SUM(AF195:AF199)*AQ201</f>
        <v>0</v>
      </c>
      <c r="AO201" s="742">
        <f>SUM(R195:R199)*AQ201</f>
        <v>0</v>
      </c>
      <c r="AP201" s="742"/>
      <c r="AQ201" s="693">
        <v>0.15</v>
      </c>
      <c r="AS201" s="716">
        <f>SUM(AL195:AL199)</f>
        <v>0</v>
      </c>
      <c r="AT201" s="461">
        <f>F201+H201+J201+L201+N201+P201+T201+V201+X201+Z201+AB201+AD201</f>
        <v>0</v>
      </c>
      <c r="AU201" s="745">
        <f>AT201-AS201</f>
        <v>0</v>
      </c>
      <c r="AV201" s="462" t="e">
        <f>AT201/AS201</f>
        <v>#DIV/0!</v>
      </c>
    </row>
    <row r="202" spans="1:48" ht="13.5" customHeight="1" outlineLevel="1" thickBot="1">
      <c r="B202" s="82">
        <f>B195+1</f>
        <v>29</v>
      </c>
      <c r="C202" s="1233">
        <f>'Terms and Turnovers'!C44</f>
        <v>0</v>
      </c>
      <c r="D202" s="1233">
        <f>'Terms and Turnovers'!D44</f>
        <v>0</v>
      </c>
      <c r="E202" s="83" t="str">
        <f>'Terms and Turnovers'!$J$12</f>
        <v>FLIP-FLOPS</v>
      </c>
      <c r="F202" s="118">
        <f>$R202*G202</f>
        <v>0</v>
      </c>
      <c r="G202" s="69"/>
      <c r="H202" s="314">
        <f>$R202*I202</f>
        <v>0</v>
      </c>
      <c r="I202" s="69">
        <v>0</v>
      </c>
      <c r="J202" s="118">
        <f>$R202*K202</f>
        <v>0</v>
      </c>
      <c r="K202" s="69">
        <v>0</v>
      </c>
      <c r="L202" s="314">
        <f>$R202*M202</f>
        <v>0</v>
      </c>
      <c r="M202" s="69">
        <v>0</v>
      </c>
      <c r="N202" s="314">
        <f>$R202*O202</f>
        <v>0</v>
      </c>
      <c r="O202" s="69">
        <v>0</v>
      </c>
      <c r="P202" s="118">
        <f>$R202*Q202</f>
        <v>0</v>
      </c>
      <c r="Q202" s="69">
        <v>0</v>
      </c>
      <c r="R202" s="87">
        <f>'Terms and Turnovers'!K44</f>
        <v>0</v>
      </c>
      <c r="S202" s="160">
        <f t="shared" si="11"/>
        <v>0</v>
      </c>
      <c r="T202" s="118">
        <f>$AF202*U202</f>
        <v>0</v>
      </c>
      <c r="U202" s="69">
        <v>0</v>
      </c>
      <c r="V202" s="314">
        <f>$AF202*W202</f>
        <v>0</v>
      </c>
      <c r="W202" s="69">
        <v>0</v>
      </c>
      <c r="X202" s="118">
        <f>$AF202*Y202</f>
        <v>0</v>
      </c>
      <c r="Y202" s="69">
        <v>0</v>
      </c>
      <c r="Z202" s="314">
        <f>$AF202*AA202</f>
        <v>0</v>
      </c>
      <c r="AA202" s="69">
        <v>0</v>
      </c>
      <c r="AB202" s="314">
        <f>$AF202*AC202</f>
        <v>0</v>
      </c>
      <c r="AC202" s="69">
        <v>0</v>
      </c>
      <c r="AD202" s="118">
        <f>$AF202*AE202</f>
        <v>0</v>
      </c>
      <c r="AE202" s="69">
        <v>0</v>
      </c>
      <c r="AF202" s="87">
        <f>'Terms and Turnovers'!P44</f>
        <v>0</v>
      </c>
      <c r="AG202" s="160">
        <f t="shared" si="12"/>
        <v>0</v>
      </c>
      <c r="AH202" s="157">
        <f t="shared" si="13"/>
        <v>0</v>
      </c>
      <c r="AI202" s="131">
        <f t="shared" si="14"/>
        <v>0</v>
      </c>
      <c r="AJ202" s="65"/>
      <c r="AL202" s="461">
        <f>SUM(F202,H202,J202,L202,N202,P202,T202,V202,X202,Z202,AB202,AD202)</f>
        <v>0</v>
      </c>
      <c r="AM202" s="462">
        <f>AL202-AH202</f>
        <v>0</v>
      </c>
      <c r="AO202" s="692"/>
      <c r="AP202" s="692"/>
      <c r="AV202" s="56"/>
    </row>
    <row r="203" spans="1:48" ht="13.5" customHeight="1" outlineLevel="1" thickBot="1">
      <c r="B203" s="82"/>
      <c r="C203" s="1234"/>
      <c r="D203" s="1234"/>
      <c r="E203" s="84" t="str">
        <f>'Terms and Turnovers'!$T$12</f>
        <v>ORIGINALS</v>
      </c>
      <c r="F203" s="120">
        <f>$R203*G203</f>
        <v>0</v>
      </c>
      <c r="G203" s="723"/>
      <c r="H203" s="120">
        <f>$R203*I203</f>
        <v>0</v>
      </c>
      <c r="I203" s="69">
        <v>0</v>
      </c>
      <c r="J203" s="120">
        <f>$R203*K203</f>
        <v>0</v>
      </c>
      <c r="K203" s="69">
        <v>0</v>
      </c>
      <c r="L203" s="120">
        <f>$R203*M203</f>
        <v>0</v>
      </c>
      <c r="M203" s="69">
        <v>0</v>
      </c>
      <c r="N203" s="315">
        <f>$R203*O203</f>
        <v>0</v>
      </c>
      <c r="O203" s="69">
        <v>0</v>
      </c>
      <c r="P203" s="120">
        <f>$R203*Q203</f>
        <v>0</v>
      </c>
      <c r="Q203" s="69">
        <v>0</v>
      </c>
      <c r="R203" s="88">
        <f>'Terms and Turnovers'!U44</f>
        <v>0</v>
      </c>
      <c r="S203" s="161">
        <f t="shared" si="11"/>
        <v>0</v>
      </c>
      <c r="T203" s="120">
        <f>$AF203*U203</f>
        <v>0</v>
      </c>
      <c r="U203" s="69">
        <v>0</v>
      </c>
      <c r="V203" s="120">
        <f>$AF203*W203</f>
        <v>0</v>
      </c>
      <c r="W203" s="69">
        <v>0</v>
      </c>
      <c r="X203" s="120">
        <f>$AF203*Y203</f>
        <v>0</v>
      </c>
      <c r="Y203" s="69">
        <v>0</v>
      </c>
      <c r="Z203" s="120">
        <f>$AF203*AA203</f>
        <v>0</v>
      </c>
      <c r="AA203" s="69">
        <v>0</v>
      </c>
      <c r="AB203" s="315">
        <f>$AF203*AC203</f>
        <v>0</v>
      </c>
      <c r="AC203" s="69">
        <v>0</v>
      </c>
      <c r="AD203" s="120">
        <f>$AF203*AE203</f>
        <v>0</v>
      </c>
      <c r="AE203" s="69">
        <v>0</v>
      </c>
      <c r="AF203" s="88">
        <f>'Terms and Turnovers'!Z44</f>
        <v>0</v>
      </c>
      <c r="AG203" s="161">
        <f t="shared" si="12"/>
        <v>0</v>
      </c>
      <c r="AH203" s="158">
        <f t="shared" si="13"/>
        <v>0</v>
      </c>
      <c r="AI203" s="134">
        <f t="shared" si="14"/>
        <v>0</v>
      </c>
      <c r="AJ203" s="65"/>
      <c r="AL203" s="461">
        <f>SUM(F203,H203,J203,L203,N203,P203,T203,V203,X203,Z203,AB203,AD203)</f>
        <v>0</v>
      </c>
      <c r="AM203" s="462">
        <f>AL203-AH203</f>
        <v>0</v>
      </c>
      <c r="AO203" s="692"/>
      <c r="AP203" s="692"/>
      <c r="AV203" s="56"/>
    </row>
    <row r="204" spans="1:48" ht="13.5" customHeight="1" outlineLevel="1" thickBot="1">
      <c r="B204" s="82"/>
      <c r="C204" s="1234"/>
      <c r="D204" s="1234"/>
      <c r="E204" s="84" t="str">
        <f>'Terms and Turnovers'!$AD$12</f>
        <v>ACCESSORIES</v>
      </c>
      <c r="F204" s="120">
        <f>$R204*G204</f>
        <v>0</v>
      </c>
      <c r="G204" s="723"/>
      <c r="H204" s="120">
        <f>$R204*I204</f>
        <v>0</v>
      </c>
      <c r="I204" s="69">
        <v>0</v>
      </c>
      <c r="J204" s="120">
        <f>$R204*K204</f>
        <v>0</v>
      </c>
      <c r="K204" s="69">
        <v>0</v>
      </c>
      <c r="L204" s="120">
        <f>$R204*M204</f>
        <v>0</v>
      </c>
      <c r="M204" s="69">
        <v>0</v>
      </c>
      <c r="N204" s="315">
        <f>$R204*O204</f>
        <v>0</v>
      </c>
      <c r="O204" s="69">
        <v>0</v>
      </c>
      <c r="P204" s="120">
        <f>$R204*Q204</f>
        <v>0</v>
      </c>
      <c r="Q204" s="69">
        <v>0</v>
      </c>
      <c r="R204" s="88">
        <f>'Terms and Turnovers'!AE44</f>
        <v>0</v>
      </c>
      <c r="S204" s="161">
        <f t="shared" si="11"/>
        <v>0</v>
      </c>
      <c r="T204" s="120">
        <f>$AF204*U204</f>
        <v>0</v>
      </c>
      <c r="U204" s="69">
        <v>0</v>
      </c>
      <c r="V204" s="120">
        <f>$AF204*W204</f>
        <v>0</v>
      </c>
      <c r="W204" s="69">
        <v>0</v>
      </c>
      <c r="X204" s="120">
        <f>$AF204*Y204</f>
        <v>0</v>
      </c>
      <c r="Y204" s="69">
        <v>0</v>
      </c>
      <c r="Z204" s="120">
        <f>$AF204*AA204</f>
        <v>0</v>
      </c>
      <c r="AA204" s="69">
        <v>0</v>
      </c>
      <c r="AB204" s="315">
        <f>$AF204*AC204</f>
        <v>0</v>
      </c>
      <c r="AC204" s="69">
        <v>0</v>
      </c>
      <c r="AD204" s="120">
        <f>$AF204*AE204</f>
        <v>0</v>
      </c>
      <c r="AE204" s="69">
        <v>0</v>
      </c>
      <c r="AF204" s="88">
        <f>'Terms and Turnovers'!AJ44</f>
        <v>0</v>
      </c>
      <c r="AG204" s="161">
        <f t="shared" si="12"/>
        <v>0</v>
      </c>
      <c r="AH204" s="158">
        <f t="shared" si="13"/>
        <v>0</v>
      </c>
      <c r="AI204" s="134">
        <f t="shared" si="14"/>
        <v>0</v>
      </c>
      <c r="AJ204" s="65"/>
      <c r="AL204" s="461">
        <f>SUM(F204,H204,J204,L204,N204,P204,T204,V204,X204,Z204,AB204,AD204)</f>
        <v>0</v>
      </c>
      <c r="AM204" s="462">
        <f>AL204-AH204</f>
        <v>0</v>
      </c>
      <c r="AO204" s="692"/>
      <c r="AP204" s="692"/>
      <c r="AV204" s="56"/>
    </row>
    <row r="205" spans="1:48" ht="13.5" customHeight="1" outlineLevel="1" thickBot="1">
      <c r="B205" s="82"/>
      <c r="C205" s="1234"/>
      <c r="D205" s="1234"/>
      <c r="E205" s="84">
        <f>'Terms and Turnovers'!$AN$12</f>
        <v>0</v>
      </c>
      <c r="F205" s="120">
        <f>$R205*G205</f>
        <v>0</v>
      </c>
      <c r="G205" s="723"/>
      <c r="H205" s="120">
        <f>$R205*I205</f>
        <v>0</v>
      </c>
      <c r="I205" s="69">
        <v>0</v>
      </c>
      <c r="J205" s="120">
        <f>$R205*K205</f>
        <v>0</v>
      </c>
      <c r="K205" s="69">
        <v>0</v>
      </c>
      <c r="L205" s="120">
        <f>$R205*M205</f>
        <v>0</v>
      </c>
      <c r="M205" s="69">
        <v>0</v>
      </c>
      <c r="N205" s="315">
        <f>$R205*O205</f>
        <v>0</v>
      </c>
      <c r="O205" s="69">
        <v>0</v>
      </c>
      <c r="P205" s="120">
        <f>$R205*Q205</f>
        <v>0</v>
      </c>
      <c r="Q205" s="69">
        <v>0</v>
      </c>
      <c r="R205" s="88">
        <f>'Terms and Turnovers'!AO44</f>
        <v>0</v>
      </c>
      <c r="S205" s="161">
        <f t="shared" si="11"/>
        <v>0</v>
      </c>
      <c r="T205" s="120">
        <f>$AF205*U205</f>
        <v>0</v>
      </c>
      <c r="U205" s="69">
        <v>0</v>
      </c>
      <c r="V205" s="120">
        <f>$AF205*W205</f>
        <v>0</v>
      </c>
      <c r="W205" s="69">
        <v>0</v>
      </c>
      <c r="X205" s="120">
        <f>$AF205*Y205</f>
        <v>0</v>
      </c>
      <c r="Y205" s="69">
        <v>0</v>
      </c>
      <c r="Z205" s="120">
        <f>$AF205*AA205</f>
        <v>0</v>
      </c>
      <c r="AA205" s="69">
        <v>0</v>
      </c>
      <c r="AB205" s="315">
        <f>$AF205*AC205</f>
        <v>0</v>
      </c>
      <c r="AC205" s="69">
        <v>0</v>
      </c>
      <c r="AD205" s="120">
        <f>$AF205*AE205</f>
        <v>0</v>
      </c>
      <c r="AE205" s="69">
        <v>0</v>
      </c>
      <c r="AF205" s="88">
        <f>'Terms and Turnovers'!AT44</f>
        <v>0</v>
      </c>
      <c r="AG205" s="161">
        <f t="shared" si="12"/>
        <v>0</v>
      </c>
      <c r="AH205" s="158">
        <f t="shared" si="13"/>
        <v>0</v>
      </c>
      <c r="AI205" s="134">
        <f t="shared" si="14"/>
        <v>0</v>
      </c>
      <c r="AJ205" s="65"/>
      <c r="AL205" s="461">
        <f>SUM(F205,H205,J205,L205,N205,P205,T205,V205,X205,Z205,AB205,AD205)</f>
        <v>0</v>
      </c>
      <c r="AM205" s="462">
        <f>AL205-AH205</f>
        <v>0</v>
      </c>
      <c r="AO205" s="692"/>
      <c r="AP205" s="692"/>
      <c r="AV205" s="56"/>
    </row>
    <row r="206" spans="1:48" ht="13.5" customHeight="1" outlineLevel="1" thickBot="1">
      <c r="B206" s="82"/>
      <c r="C206" s="1235"/>
      <c r="D206" s="1235"/>
      <c r="E206" s="85">
        <f>'Terms and Turnovers'!$AX$12</f>
        <v>0</v>
      </c>
      <c r="F206" s="121">
        <f>$R206*G206</f>
        <v>0</v>
      </c>
      <c r="G206" s="72"/>
      <c r="H206" s="121">
        <f>$R206*I206</f>
        <v>0</v>
      </c>
      <c r="I206" s="69">
        <v>0</v>
      </c>
      <c r="J206" s="121">
        <f>$R206*K206</f>
        <v>0</v>
      </c>
      <c r="K206" s="69">
        <v>0</v>
      </c>
      <c r="L206" s="121">
        <f>$R206*M206</f>
        <v>0</v>
      </c>
      <c r="M206" s="69">
        <v>0</v>
      </c>
      <c r="N206" s="316">
        <f>$R206*O206</f>
        <v>0</v>
      </c>
      <c r="O206" s="69">
        <v>0</v>
      </c>
      <c r="P206" s="121">
        <f>$R206*Q206</f>
        <v>0</v>
      </c>
      <c r="Q206" s="69">
        <v>0</v>
      </c>
      <c r="R206" s="89">
        <f>'Terms and Turnovers'!AY44</f>
        <v>0</v>
      </c>
      <c r="S206" s="162">
        <f t="shared" si="11"/>
        <v>0</v>
      </c>
      <c r="T206" s="121">
        <f>$AF206*U206</f>
        <v>0</v>
      </c>
      <c r="U206" s="69">
        <v>0</v>
      </c>
      <c r="V206" s="121">
        <f>$AF206*W206</f>
        <v>0</v>
      </c>
      <c r="W206" s="69">
        <v>0</v>
      </c>
      <c r="X206" s="121">
        <f>$AF206*Y206</f>
        <v>0</v>
      </c>
      <c r="Y206" s="69">
        <v>0</v>
      </c>
      <c r="Z206" s="121">
        <f>$AF206*AA206</f>
        <v>0</v>
      </c>
      <c r="AA206" s="69">
        <v>0</v>
      </c>
      <c r="AB206" s="316">
        <f>$AF206*AC206</f>
        <v>0</v>
      </c>
      <c r="AC206" s="69">
        <v>0</v>
      </c>
      <c r="AD206" s="121">
        <f>$AF206*AE206</f>
        <v>0</v>
      </c>
      <c r="AE206" s="69">
        <v>0</v>
      </c>
      <c r="AF206" s="89">
        <f>'Terms and Turnovers'!BD44</f>
        <v>0</v>
      </c>
      <c r="AG206" s="162">
        <f t="shared" si="12"/>
        <v>0</v>
      </c>
      <c r="AH206" s="159">
        <f t="shared" si="13"/>
        <v>0</v>
      </c>
      <c r="AI206" s="137">
        <f t="shared" si="14"/>
        <v>0</v>
      </c>
      <c r="AJ206" s="65"/>
      <c r="AL206" s="461">
        <f>SUM(F206,H206,J206,L206,N206,P206,T206,V206,X206,Z206,AB206,AD206)</f>
        <v>0</v>
      </c>
      <c r="AM206" s="462">
        <f>AL206-AH206</f>
        <v>0</v>
      </c>
      <c r="AO206" s="692"/>
      <c r="AP206" s="692"/>
      <c r="AV206" s="56"/>
    </row>
    <row r="207" spans="1:48" ht="13.5" customHeight="1" outlineLevel="1" thickBot="1">
      <c r="A207" s="119"/>
      <c r="B207" s="82"/>
      <c r="C207" s="425"/>
      <c r="D207" s="425"/>
      <c r="E207" s="426"/>
      <c r="F207" s="427">
        <f>SUM(F202:F206)</f>
        <v>0</v>
      </c>
      <c r="G207" s="428"/>
      <c r="H207" s="427">
        <f>SUM(H202:H206)</f>
        <v>0</v>
      </c>
      <c r="I207" s="69"/>
      <c r="J207" s="427">
        <f>SUM(J202:J206)</f>
        <v>0</v>
      </c>
      <c r="K207" s="69"/>
      <c r="L207" s="427">
        <f>SUM(L202:L206)</f>
        <v>0</v>
      </c>
      <c r="M207" s="69"/>
      <c r="N207" s="427">
        <f>SUM(N202:N206)</f>
        <v>0</v>
      </c>
      <c r="O207" s="69"/>
      <c r="P207" s="427">
        <f>SUM(P202:P206)</f>
        <v>0</v>
      </c>
      <c r="Q207" s="69"/>
      <c r="R207" s="429"/>
      <c r="S207" s="430"/>
      <c r="T207" s="427">
        <f>SUM(T202:T206)</f>
        <v>0</v>
      </c>
      <c r="U207" s="428"/>
      <c r="V207" s="427">
        <f>SUM(V202:V206)</f>
        <v>0</v>
      </c>
      <c r="W207" s="69"/>
      <c r="X207" s="427">
        <f>SUM(X202:X206)</f>
        <v>0</v>
      </c>
      <c r="Y207" s="69"/>
      <c r="Z207" s="427">
        <f>SUM(Z202:Z206)</f>
        <v>0</v>
      </c>
      <c r="AA207" s="69"/>
      <c r="AB207" s="427">
        <f>SUM(AB202:AB206)</f>
        <v>0</v>
      </c>
      <c r="AC207" s="69"/>
      <c r="AD207" s="427">
        <f>SUM(AD202:AD206)</f>
        <v>0</v>
      </c>
      <c r="AE207" s="69"/>
      <c r="AF207" s="429"/>
      <c r="AG207" s="430"/>
      <c r="AH207" s="431"/>
      <c r="AI207" s="432"/>
      <c r="AJ207" s="65"/>
      <c r="AO207" s="692"/>
      <c r="AP207" s="692"/>
      <c r="AV207" s="56"/>
    </row>
    <row r="208" spans="1:48" ht="13.5" customHeight="1" outlineLevel="1" thickBot="1">
      <c r="A208" s="119"/>
      <c r="B208" s="82"/>
      <c r="C208" s="1098" t="s">
        <v>484</v>
      </c>
      <c r="D208" s="433">
        <f>D202</f>
        <v>0</v>
      </c>
      <c r="E208" s="426"/>
      <c r="F208" s="700"/>
      <c r="G208" s="428"/>
      <c r="H208" s="1106"/>
      <c r="I208" s="847"/>
      <c r="J208" s="1106"/>
      <c r="K208" s="847"/>
      <c r="L208" s="1106"/>
      <c r="M208" s="847"/>
      <c r="N208" s="1106"/>
      <c r="O208" s="847"/>
      <c r="P208" s="1106"/>
      <c r="Q208" s="69"/>
      <c r="R208" s="429"/>
      <c r="S208" s="430"/>
      <c r="T208" s="700"/>
      <c r="U208" s="846"/>
      <c r="V208" s="1106"/>
      <c r="W208" s="847"/>
      <c r="X208" s="1106"/>
      <c r="Y208" s="847"/>
      <c r="Z208" s="1106"/>
      <c r="AA208" s="847"/>
      <c r="AB208" s="1106"/>
      <c r="AC208" s="847"/>
      <c r="AD208" s="1106"/>
      <c r="AE208" s="69"/>
      <c r="AF208" s="429"/>
      <c r="AG208" s="430"/>
      <c r="AH208" s="431"/>
      <c r="AI208" s="432"/>
      <c r="AJ208" s="65"/>
      <c r="AN208" s="742">
        <f>SUM(AF202:AF206)*AQ208</f>
        <v>0</v>
      </c>
      <c r="AO208" s="742">
        <f>SUM(R202:R206)*AQ208</f>
        <v>0</v>
      </c>
      <c r="AP208" s="742"/>
      <c r="AQ208" s="693">
        <v>0.1</v>
      </c>
      <c r="AR208" s="696"/>
      <c r="AS208" s="716">
        <f>SUM(AL202:AL206)</f>
        <v>0</v>
      </c>
      <c r="AT208" s="461">
        <f>F208+H208+J208+L208+N208+P208+T208+V208+X208+Z208+AB208+AD208</f>
        <v>0</v>
      </c>
      <c r="AU208" s="745">
        <f>AT208-AS208</f>
        <v>0</v>
      </c>
      <c r="AV208" s="462" t="e">
        <f>AT208/AS208</f>
        <v>#DIV/0!</v>
      </c>
    </row>
    <row r="209" spans="1:48" ht="13.5" customHeight="1" outlineLevel="1" thickBot="1">
      <c r="B209" s="82">
        <f>B202+1</f>
        <v>30</v>
      </c>
      <c r="C209" s="1233">
        <f>'Terms and Turnovers'!C45</f>
        <v>0</v>
      </c>
      <c r="D209" s="1233">
        <f>'Terms and Turnovers'!D45</f>
        <v>0</v>
      </c>
      <c r="E209" s="83" t="str">
        <f>'Terms and Turnovers'!$J$12</f>
        <v>FLIP-FLOPS</v>
      </c>
      <c r="F209" s="118">
        <f>$R209*G209</f>
        <v>0</v>
      </c>
      <c r="G209" s="69"/>
      <c r="H209" s="314">
        <f>$R209*I209</f>
        <v>0</v>
      </c>
      <c r="I209" s="69">
        <v>0</v>
      </c>
      <c r="J209" s="118">
        <f>$R209*K209</f>
        <v>0</v>
      </c>
      <c r="K209" s="69">
        <v>0</v>
      </c>
      <c r="L209" s="314">
        <f>$R209*M209</f>
        <v>0</v>
      </c>
      <c r="M209" s="69">
        <v>0</v>
      </c>
      <c r="N209" s="314">
        <f>$R209*O209</f>
        <v>0</v>
      </c>
      <c r="O209" s="69">
        <v>0</v>
      </c>
      <c r="P209" s="118">
        <f>$R209*Q209</f>
        <v>0</v>
      </c>
      <c r="Q209" s="69">
        <v>0</v>
      </c>
      <c r="R209" s="87">
        <f>'Terms and Turnovers'!K45</f>
        <v>0</v>
      </c>
      <c r="S209" s="160">
        <f t="shared" si="11"/>
        <v>0</v>
      </c>
      <c r="T209" s="118">
        <f>$AF209*U209</f>
        <v>0</v>
      </c>
      <c r="U209" s="69">
        <v>0</v>
      </c>
      <c r="V209" s="314">
        <f>$AF209*W209</f>
        <v>0</v>
      </c>
      <c r="W209" s="69">
        <v>0</v>
      </c>
      <c r="X209" s="118">
        <f>$AF209*Y209</f>
        <v>0</v>
      </c>
      <c r="Y209" s="69">
        <v>0</v>
      </c>
      <c r="Z209" s="314">
        <f>$AF209*AA209</f>
        <v>0</v>
      </c>
      <c r="AA209" s="69">
        <v>0</v>
      </c>
      <c r="AB209" s="314">
        <f>$AF209*AC209</f>
        <v>0</v>
      </c>
      <c r="AC209" s="69">
        <v>0</v>
      </c>
      <c r="AD209" s="118">
        <f>$AF209*AE209</f>
        <v>0</v>
      </c>
      <c r="AE209" s="69">
        <v>0</v>
      </c>
      <c r="AF209" s="87">
        <f>'Terms and Turnovers'!P45</f>
        <v>0</v>
      </c>
      <c r="AG209" s="160">
        <f t="shared" si="12"/>
        <v>0</v>
      </c>
      <c r="AH209" s="157">
        <f t="shared" si="13"/>
        <v>0</v>
      </c>
      <c r="AI209" s="131">
        <f t="shared" si="14"/>
        <v>0</v>
      </c>
      <c r="AJ209" s="65"/>
      <c r="AL209" s="461">
        <f>SUM(F209,H209,J209,L209,N209,P209,T209,V209,X209,Z209,AB209,AD209)</f>
        <v>0</v>
      </c>
      <c r="AM209" s="462">
        <f>AL209-AH209</f>
        <v>0</v>
      </c>
      <c r="AO209" s="692"/>
      <c r="AP209" s="692"/>
      <c r="AV209" s="56"/>
    </row>
    <row r="210" spans="1:48" ht="13.5" customHeight="1" outlineLevel="1" thickBot="1">
      <c r="B210" s="82"/>
      <c r="C210" s="1234"/>
      <c r="D210" s="1234"/>
      <c r="E210" s="84" t="str">
        <f>'Terms and Turnovers'!$T$12</f>
        <v>ORIGINALS</v>
      </c>
      <c r="F210" s="120">
        <f>$R210*G210</f>
        <v>0</v>
      </c>
      <c r="G210" s="723"/>
      <c r="H210" s="120">
        <f>$R210*I210</f>
        <v>0</v>
      </c>
      <c r="I210" s="69">
        <v>0</v>
      </c>
      <c r="J210" s="120">
        <f>$R210*K210</f>
        <v>0</v>
      </c>
      <c r="K210" s="69">
        <v>0</v>
      </c>
      <c r="L210" s="120">
        <f>$R210*M210</f>
        <v>0</v>
      </c>
      <c r="M210" s="69">
        <v>0</v>
      </c>
      <c r="N210" s="315">
        <f>$R210*O210</f>
        <v>0</v>
      </c>
      <c r="O210" s="69">
        <v>0</v>
      </c>
      <c r="P210" s="120">
        <f>$R210*Q210</f>
        <v>0</v>
      </c>
      <c r="Q210" s="69">
        <v>0</v>
      </c>
      <c r="R210" s="88">
        <f>'Terms and Turnovers'!U45</f>
        <v>0</v>
      </c>
      <c r="S210" s="161">
        <f t="shared" si="11"/>
        <v>0</v>
      </c>
      <c r="T210" s="120">
        <f>$AF210*U210</f>
        <v>0</v>
      </c>
      <c r="U210" s="69">
        <v>0</v>
      </c>
      <c r="V210" s="120">
        <f>$AF210*W210</f>
        <v>0</v>
      </c>
      <c r="W210" s="69">
        <v>0</v>
      </c>
      <c r="X210" s="120">
        <f>$AF210*Y210</f>
        <v>0</v>
      </c>
      <c r="Y210" s="69">
        <v>0</v>
      </c>
      <c r="Z210" s="120">
        <f>$AF210*AA210</f>
        <v>0</v>
      </c>
      <c r="AA210" s="69">
        <v>0</v>
      </c>
      <c r="AB210" s="315">
        <f>$AF210*AC210</f>
        <v>0</v>
      </c>
      <c r="AC210" s="69">
        <v>0</v>
      </c>
      <c r="AD210" s="120">
        <f>$AF210*AE210</f>
        <v>0</v>
      </c>
      <c r="AE210" s="69">
        <v>0</v>
      </c>
      <c r="AF210" s="88">
        <f>'Terms and Turnovers'!Z45</f>
        <v>0</v>
      </c>
      <c r="AG210" s="161">
        <f t="shared" si="12"/>
        <v>0</v>
      </c>
      <c r="AH210" s="158">
        <f t="shared" si="13"/>
        <v>0</v>
      </c>
      <c r="AI210" s="134">
        <f t="shared" si="14"/>
        <v>0</v>
      </c>
      <c r="AJ210" s="65"/>
      <c r="AL210" s="461">
        <f>SUM(F210,H210,J210,L210,N210,P210,T210,V210,X210,Z210,AB210,AD210)</f>
        <v>0</v>
      </c>
      <c r="AM210" s="462">
        <f>AL210-AH210</f>
        <v>0</v>
      </c>
      <c r="AO210" s="692"/>
      <c r="AP210" s="692"/>
      <c r="AV210" s="56"/>
    </row>
    <row r="211" spans="1:48" ht="13.5" customHeight="1" outlineLevel="1" thickBot="1">
      <c r="B211" s="82"/>
      <c r="C211" s="1234"/>
      <c r="D211" s="1234"/>
      <c r="E211" s="84" t="str">
        <f>'Terms and Turnovers'!$AD$12</f>
        <v>ACCESSORIES</v>
      </c>
      <c r="F211" s="120">
        <f>$R211*G211</f>
        <v>0</v>
      </c>
      <c r="G211" s="723"/>
      <c r="H211" s="120">
        <f>$R211*I211</f>
        <v>0</v>
      </c>
      <c r="I211" s="69">
        <v>0</v>
      </c>
      <c r="J211" s="120">
        <f>$R211*K211</f>
        <v>0</v>
      </c>
      <c r="K211" s="69">
        <v>0</v>
      </c>
      <c r="L211" s="120">
        <f>$R211*M211</f>
        <v>0</v>
      </c>
      <c r="M211" s="69">
        <v>0</v>
      </c>
      <c r="N211" s="315">
        <f>$R211*O211</f>
        <v>0</v>
      </c>
      <c r="O211" s="69">
        <v>0</v>
      </c>
      <c r="P211" s="120">
        <f>$R211*Q211</f>
        <v>0</v>
      </c>
      <c r="Q211" s="69">
        <v>0</v>
      </c>
      <c r="R211" s="88">
        <f>'Terms and Turnovers'!AE45</f>
        <v>0</v>
      </c>
      <c r="S211" s="161">
        <f t="shared" si="11"/>
        <v>0</v>
      </c>
      <c r="T211" s="120">
        <f>$AF211*U211</f>
        <v>0</v>
      </c>
      <c r="U211" s="69">
        <v>0</v>
      </c>
      <c r="V211" s="120">
        <f>$AF211*W211</f>
        <v>0</v>
      </c>
      <c r="W211" s="69">
        <v>0</v>
      </c>
      <c r="X211" s="120">
        <f>$AF211*Y211</f>
        <v>0</v>
      </c>
      <c r="Y211" s="69">
        <v>0</v>
      </c>
      <c r="Z211" s="120">
        <f>$AF211*AA211</f>
        <v>0</v>
      </c>
      <c r="AA211" s="69">
        <v>0</v>
      </c>
      <c r="AB211" s="315">
        <f>$AF211*AC211</f>
        <v>0</v>
      </c>
      <c r="AC211" s="69">
        <v>0</v>
      </c>
      <c r="AD211" s="120">
        <f>$AF211*AE211</f>
        <v>0</v>
      </c>
      <c r="AE211" s="69">
        <v>0</v>
      </c>
      <c r="AF211" s="88">
        <f>'Terms and Turnovers'!AJ45</f>
        <v>0</v>
      </c>
      <c r="AG211" s="161">
        <f t="shared" si="12"/>
        <v>0</v>
      </c>
      <c r="AH211" s="158">
        <f t="shared" si="13"/>
        <v>0</v>
      </c>
      <c r="AI211" s="134">
        <f t="shared" si="14"/>
        <v>0</v>
      </c>
      <c r="AJ211" s="65"/>
      <c r="AL211" s="461">
        <f>SUM(F211,H211,J211,L211,N211,P211,T211,V211,X211,Z211,AB211,AD211)</f>
        <v>0</v>
      </c>
      <c r="AM211" s="462">
        <f>AL211-AH211</f>
        <v>0</v>
      </c>
      <c r="AO211" s="692"/>
      <c r="AP211" s="692"/>
      <c r="AV211" s="56"/>
    </row>
    <row r="212" spans="1:48" ht="13.5" customHeight="1" outlineLevel="1" thickBot="1">
      <c r="B212" s="82"/>
      <c r="C212" s="1234"/>
      <c r="D212" s="1234"/>
      <c r="E212" s="84">
        <f>'Terms and Turnovers'!$AN$12</f>
        <v>0</v>
      </c>
      <c r="F212" s="120">
        <f>$R212*G212</f>
        <v>0</v>
      </c>
      <c r="G212" s="723"/>
      <c r="H212" s="120">
        <f>$R212*I212</f>
        <v>0</v>
      </c>
      <c r="I212" s="69">
        <v>0</v>
      </c>
      <c r="J212" s="120">
        <f>$R212*K212</f>
        <v>0</v>
      </c>
      <c r="K212" s="69">
        <v>0</v>
      </c>
      <c r="L212" s="120">
        <f>$R212*M212</f>
        <v>0</v>
      </c>
      <c r="M212" s="69">
        <v>0</v>
      </c>
      <c r="N212" s="315">
        <f>$R212*O212</f>
        <v>0</v>
      </c>
      <c r="O212" s="69">
        <v>0</v>
      </c>
      <c r="P212" s="120">
        <f>$R212*Q212</f>
        <v>0</v>
      </c>
      <c r="Q212" s="69">
        <v>0</v>
      </c>
      <c r="R212" s="88">
        <f>'Terms and Turnovers'!AO45</f>
        <v>0</v>
      </c>
      <c r="S212" s="161">
        <f t="shared" si="11"/>
        <v>0</v>
      </c>
      <c r="T212" s="120">
        <f>$AF212*U212</f>
        <v>0</v>
      </c>
      <c r="U212" s="69">
        <v>0</v>
      </c>
      <c r="V212" s="120">
        <f>$AF212*W212</f>
        <v>0</v>
      </c>
      <c r="W212" s="69">
        <v>0</v>
      </c>
      <c r="X212" s="120">
        <f>$AF212*Y212</f>
        <v>0</v>
      </c>
      <c r="Y212" s="69">
        <v>0</v>
      </c>
      <c r="Z212" s="120">
        <f>$AF212*AA212</f>
        <v>0</v>
      </c>
      <c r="AA212" s="69">
        <v>0</v>
      </c>
      <c r="AB212" s="315">
        <f>$AF212*AC212</f>
        <v>0</v>
      </c>
      <c r="AC212" s="69">
        <v>0</v>
      </c>
      <c r="AD212" s="120">
        <f>$AF212*AE212</f>
        <v>0</v>
      </c>
      <c r="AE212" s="69">
        <v>0</v>
      </c>
      <c r="AF212" s="88">
        <f>'Terms and Turnovers'!AT45</f>
        <v>0</v>
      </c>
      <c r="AG212" s="161">
        <f t="shared" si="12"/>
        <v>0</v>
      </c>
      <c r="AH212" s="158">
        <f t="shared" si="13"/>
        <v>0</v>
      </c>
      <c r="AI212" s="134">
        <f t="shared" si="14"/>
        <v>0</v>
      </c>
      <c r="AJ212" s="65"/>
      <c r="AL212" s="461">
        <f>SUM(F212,H212,J212,L212,N212,P212,T212,V212,X212,Z212,AB212,AD212)</f>
        <v>0</v>
      </c>
      <c r="AM212" s="462">
        <f>AL212-AH212</f>
        <v>0</v>
      </c>
      <c r="AO212" s="692"/>
      <c r="AP212" s="692"/>
      <c r="AV212" s="56"/>
    </row>
    <row r="213" spans="1:48" ht="13.5" customHeight="1" outlineLevel="1" thickBot="1">
      <c r="B213" s="82"/>
      <c r="C213" s="1235"/>
      <c r="D213" s="1235"/>
      <c r="E213" s="85">
        <f>'Terms and Turnovers'!$AX$12</f>
        <v>0</v>
      </c>
      <c r="F213" s="121">
        <f>$R213*G213</f>
        <v>0</v>
      </c>
      <c r="G213" s="72"/>
      <c r="H213" s="121">
        <f>$R213*I213</f>
        <v>0</v>
      </c>
      <c r="I213" s="69">
        <v>0</v>
      </c>
      <c r="J213" s="121">
        <f>$R213*K213</f>
        <v>0</v>
      </c>
      <c r="K213" s="69">
        <v>0</v>
      </c>
      <c r="L213" s="121">
        <f>$R213*M213</f>
        <v>0</v>
      </c>
      <c r="M213" s="69">
        <v>0</v>
      </c>
      <c r="N213" s="316">
        <f>$R213*O213</f>
        <v>0</v>
      </c>
      <c r="O213" s="69">
        <v>0</v>
      </c>
      <c r="P213" s="121">
        <f>$R213*Q213</f>
        <v>0</v>
      </c>
      <c r="Q213" s="69">
        <v>0</v>
      </c>
      <c r="R213" s="89">
        <f>'Terms and Turnovers'!AY45</f>
        <v>0</v>
      </c>
      <c r="S213" s="162">
        <f t="shared" si="11"/>
        <v>0</v>
      </c>
      <c r="T213" s="121">
        <f>$AF213*U213</f>
        <v>0</v>
      </c>
      <c r="U213" s="69">
        <v>0</v>
      </c>
      <c r="V213" s="121">
        <f>$AF213*W213</f>
        <v>0</v>
      </c>
      <c r="W213" s="69">
        <v>0</v>
      </c>
      <c r="X213" s="121">
        <f>$AF213*Y213</f>
        <v>0</v>
      </c>
      <c r="Y213" s="69">
        <v>0</v>
      </c>
      <c r="Z213" s="121">
        <f>$AF213*AA213</f>
        <v>0</v>
      </c>
      <c r="AA213" s="69">
        <v>0</v>
      </c>
      <c r="AB213" s="316">
        <f>$AF213*AC213</f>
        <v>0</v>
      </c>
      <c r="AC213" s="69">
        <v>0</v>
      </c>
      <c r="AD213" s="121">
        <f>$AF213*AE213</f>
        <v>0</v>
      </c>
      <c r="AE213" s="69">
        <v>0</v>
      </c>
      <c r="AF213" s="89">
        <f>'Terms and Turnovers'!BD45</f>
        <v>0</v>
      </c>
      <c r="AG213" s="162">
        <f t="shared" si="12"/>
        <v>0</v>
      </c>
      <c r="AH213" s="159">
        <f t="shared" si="13"/>
        <v>0</v>
      </c>
      <c r="AI213" s="137">
        <f t="shared" si="14"/>
        <v>0</v>
      </c>
      <c r="AJ213" s="65"/>
      <c r="AL213" s="461">
        <f>SUM(F213,H213,J213,L213,N213,P213,T213,V213,X213,Z213,AB213,AD213)</f>
        <v>0</v>
      </c>
      <c r="AM213" s="462">
        <f>AL213-AH213</f>
        <v>0</v>
      </c>
      <c r="AO213" s="692"/>
      <c r="AP213" s="692"/>
      <c r="AV213" s="56"/>
    </row>
    <row r="214" spans="1:48" ht="13.5" customHeight="1" outlineLevel="1" thickBot="1">
      <c r="A214" s="119"/>
      <c r="B214" s="82"/>
      <c r="C214" s="425"/>
      <c r="D214" s="425"/>
      <c r="E214" s="426"/>
      <c r="F214" s="427">
        <f>SUM(F209:F213)</f>
        <v>0</v>
      </c>
      <c r="G214" s="428"/>
      <c r="H214" s="427">
        <f>SUM(H209:H213)</f>
        <v>0</v>
      </c>
      <c r="I214" s="69"/>
      <c r="J214" s="427">
        <f>SUM(J209:J213)</f>
        <v>0</v>
      </c>
      <c r="K214" s="69"/>
      <c r="L214" s="427">
        <f>SUM(L209:L213)</f>
        <v>0</v>
      </c>
      <c r="M214" s="69"/>
      <c r="N214" s="427">
        <f>SUM(N209:N213)</f>
        <v>0</v>
      </c>
      <c r="O214" s="69"/>
      <c r="P214" s="427">
        <f>SUM(P209:P213)</f>
        <v>0</v>
      </c>
      <c r="Q214" s="69"/>
      <c r="R214" s="429"/>
      <c r="S214" s="430"/>
      <c r="T214" s="427">
        <f>SUM(T209:T213)</f>
        <v>0</v>
      </c>
      <c r="U214" s="428"/>
      <c r="V214" s="427">
        <f>SUM(V209:V213)</f>
        <v>0</v>
      </c>
      <c r="W214" s="69"/>
      <c r="X214" s="427">
        <f>SUM(X209:X213)</f>
        <v>0</v>
      </c>
      <c r="Y214" s="69"/>
      <c r="Z214" s="427">
        <f>SUM(Z209:Z213)</f>
        <v>0</v>
      </c>
      <c r="AA214" s="69"/>
      <c r="AB214" s="427">
        <f>SUM(AB209:AB213)</f>
        <v>0</v>
      </c>
      <c r="AC214" s="69"/>
      <c r="AD214" s="427">
        <f>SUM(AD209:AD213)</f>
        <v>0</v>
      </c>
      <c r="AE214" s="69"/>
      <c r="AF214" s="429"/>
      <c r="AG214" s="430"/>
      <c r="AH214" s="431"/>
      <c r="AI214" s="432"/>
      <c r="AJ214" s="65"/>
      <c r="AO214" s="692"/>
      <c r="AP214" s="692"/>
      <c r="AV214" s="56"/>
    </row>
    <row r="215" spans="1:48" ht="13.5" customHeight="1" outlineLevel="1" thickBot="1">
      <c r="A215" s="119"/>
      <c r="B215" s="82"/>
      <c r="C215" s="1098" t="s">
        <v>484</v>
      </c>
      <c r="D215" s="433">
        <f>D209</f>
        <v>0</v>
      </c>
      <c r="E215" s="426"/>
      <c r="F215" s="700"/>
      <c r="G215" s="428"/>
      <c r="H215" s="1106"/>
      <c r="I215" s="847"/>
      <c r="J215" s="1106"/>
      <c r="K215" s="847"/>
      <c r="L215" s="1106"/>
      <c r="M215" s="847"/>
      <c r="N215" s="1106"/>
      <c r="O215" s="847"/>
      <c r="P215" s="1106"/>
      <c r="Q215" s="69"/>
      <c r="R215" s="429"/>
      <c r="S215" s="430"/>
      <c r="T215" s="1106"/>
      <c r="U215" s="846"/>
      <c r="V215" s="1106"/>
      <c r="W215" s="847"/>
      <c r="X215" s="1106"/>
      <c r="Y215" s="847"/>
      <c r="Z215" s="1106"/>
      <c r="AA215" s="847"/>
      <c r="AB215" s="1106"/>
      <c r="AC215" s="847"/>
      <c r="AD215" s="1106"/>
      <c r="AE215" s="69"/>
      <c r="AF215" s="429"/>
      <c r="AG215" s="430"/>
      <c r="AH215" s="431"/>
      <c r="AI215" s="432"/>
      <c r="AJ215" s="65"/>
      <c r="AN215" s="742">
        <f>SUM(AF209:AF213)*AQ215</f>
        <v>0</v>
      </c>
      <c r="AO215" s="742">
        <f>SUM(R209:R213)*AQ215</f>
        <v>0</v>
      </c>
      <c r="AP215" s="845"/>
      <c r="AQ215" s="693">
        <v>0.1</v>
      </c>
      <c r="AS215" s="716">
        <f>SUM(AL209:AL213)</f>
        <v>0</v>
      </c>
      <c r="AT215" s="461">
        <f>F215+H215+J215+L215+N215+P215+T215+V215+X215+Z215+AB215+AD215</f>
        <v>0</v>
      </c>
      <c r="AU215" s="745">
        <f>AT215-AS215</f>
        <v>0</v>
      </c>
      <c r="AV215" s="462" t="e">
        <f>AT215/AS215</f>
        <v>#DIV/0!</v>
      </c>
    </row>
    <row r="216" spans="1:48" ht="13.5" customHeight="1" outlineLevel="1" thickBot="1">
      <c r="B216" s="82">
        <f>B209+1</f>
        <v>31</v>
      </c>
      <c r="C216" s="1230">
        <f>'Terms and Turnovers'!C46</f>
        <v>0</v>
      </c>
      <c r="D216" s="1230">
        <f>'Terms and Turnovers'!D46</f>
        <v>0</v>
      </c>
      <c r="E216" s="83" t="str">
        <f>'Terms and Turnovers'!$J$12</f>
        <v>FLIP-FLOPS</v>
      </c>
      <c r="F216" s="118">
        <f>$R216*G216</f>
        <v>0</v>
      </c>
      <c r="G216" s="69"/>
      <c r="H216" s="314">
        <f>$R216*I216</f>
        <v>0</v>
      </c>
      <c r="I216" s="69">
        <v>0</v>
      </c>
      <c r="J216" s="118">
        <f>$R216*K216</f>
        <v>0</v>
      </c>
      <c r="K216" s="69">
        <v>0</v>
      </c>
      <c r="L216" s="314">
        <f>$R216*M216</f>
        <v>0</v>
      </c>
      <c r="M216" s="69">
        <v>0</v>
      </c>
      <c r="N216" s="314">
        <f>$R216*O216</f>
        <v>0</v>
      </c>
      <c r="O216" s="69">
        <v>0</v>
      </c>
      <c r="P216" s="118">
        <f>$R216*Q216</f>
        <v>0</v>
      </c>
      <c r="Q216" s="69">
        <v>0</v>
      </c>
      <c r="R216" s="87">
        <f>'Terms and Turnovers'!K46</f>
        <v>0</v>
      </c>
      <c r="S216" s="160">
        <f t="shared" si="11"/>
        <v>0</v>
      </c>
      <c r="T216" s="118">
        <f>$AF216*U216</f>
        <v>0</v>
      </c>
      <c r="U216" s="69">
        <v>0</v>
      </c>
      <c r="V216" s="314">
        <f>$AF216*W216</f>
        <v>0</v>
      </c>
      <c r="W216" s="69">
        <v>0</v>
      </c>
      <c r="X216" s="118">
        <f>$AF216*Y216</f>
        <v>0</v>
      </c>
      <c r="Y216" s="69">
        <v>0</v>
      </c>
      <c r="Z216" s="314">
        <f>$AF216*AA216</f>
        <v>0</v>
      </c>
      <c r="AA216" s="69">
        <v>0</v>
      </c>
      <c r="AB216" s="314">
        <f>$AF216*AC216</f>
        <v>0</v>
      </c>
      <c r="AC216" s="69">
        <v>0</v>
      </c>
      <c r="AD216" s="118">
        <f>$AF216*AE216</f>
        <v>0</v>
      </c>
      <c r="AE216" s="69">
        <v>0</v>
      </c>
      <c r="AF216" s="87">
        <f>'Terms and Turnovers'!P46</f>
        <v>0</v>
      </c>
      <c r="AG216" s="160">
        <f t="shared" si="12"/>
        <v>0</v>
      </c>
      <c r="AH216" s="157">
        <f t="shared" si="13"/>
        <v>0</v>
      </c>
      <c r="AI216" s="131">
        <f t="shared" si="14"/>
        <v>0</v>
      </c>
      <c r="AJ216" s="65"/>
      <c r="AL216" s="461">
        <f>SUM(F216,H216,J216,L216,N216,P216,T216,V216,X216,Z216,AB216,AD216)</f>
        <v>0</v>
      </c>
      <c r="AM216" s="462">
        <f>AL216-AH216</f>
        <v>0</v>
      </c>
      <c r="AO216" s="692"/>
      <c r="AP216" s="692"/>
      <c r="AV216" s="56"/>
    </row>
    <row r="217" spans="1:48" ht="13.5" customHeight="1" outlineLevel="1" thickBot="1">
      <c r="B217" s="82"/>
      <c r="C217" s="1231"/>
      <c r="D217" s="1231"/>
      <c r="E217" s="84" t="str">
        <f>'Terms and Turnovers'!$T$12</f>
        <v>ORIGINALS</v>
      </c>
      <c r="F217" s="120">
        <f>$R217*G217</f>
        <v>0</v>
      </c>
      <c r="G217" s="723"/>
      <c r="H217" s="120">
        <f>$R217*I217</f>
        <v>0</v>
      </c>
      <c r="I217" s="69">
        <v>0</v>
      </c>
      <c r="J217" s="120">
        <f>$R217*K217</f>
        <v>0</v>
      </c>
      <c r="K217" s="69">
        <v>0</v>
      </c>
      <c r="L217" s="120">
        <f>$R217*M217</f>
        <v>0</v>
      </c>
      <c r="M217" s="69">
        <v>0</v>
      </c>
      <c r="N217" s="315">
        <f>$R217*O217</f>
        <v>0</v>
      </c>
      <c r="O217" s="69">
        <v>0</v>
      </c>
      <c r="P217" s="120">
        <f>$R217*Q217</f>
        <v>0</v>
      </c>
      <c r="Q217" s="69">
        <v>0</v>
      </c>
      <c r="R217" s="88">
        <f>'Terms and Turnovers'!U46</f>
        <v>0</v>
      </c>
      <c r="S217" s="161">
        <f t="shared" si="11"/>
        <v>0</v>
      </c>
      <c r="T217" s="120">
        <f>$AF217*U217</f>
        <v>0</v>
      </c>
      <c r="U217" s="69">
        <v>0</v>
      </c>
      <c r="V217" s="120">
        <f>$AF217*W217</f>
        <v>0</v>
      </c>
      <c r="W217" s="69">
        <v>0</v>
      </c>
      <c r="X217" s="120">
        <f>$AF217*Y217</f>
        <v>0</v>
      </c>
      <c r="Y217" s="69">
        <v>0</v>
      </c>
      <c r="Z217" s="120">
        <f>$AF217*AA217</f>
        <v>0</v>
      </c>
      <c r="AA217" s="69">
        <v>0</v>
      </c>
      <c r="AB217" s="315">
        <f>$AF217*AC217</f>
        <v>0</v>
      </c>
      <c r="AC217" s="69">
        <v>0</v>
      </c>
      <c r="AD217" s="120">
        <f>$AF217*AE217</f>
        <v>0</v>
      </c>
      <c r="AE217" s="69">
        <v>0</v>
      </c>
      <c r="AF217" s="88">
        <f>'Terms and Turnovers'!Z46</f>
        <v>0</v>
      </c>
      <c r="AG217" s="161">
        <f t="shared" si="12"/>
        <v>0</v>
      </c>
      <c r="AH217" s="158">
        <f t="shared" si="13"/>
        <v>0</v>
      </c>
      <c r="AI217" s="134">
        <f t="shared" si="14"/>
        <v>0</v>
      </c>
      <c r="AJ217" s="65"/>
      <c r="AL217" s="461">
        <f>SUM(F217,H217,J217,L217,N217,P217,T217,V217,X217,Z217,AB217,AD217)</f>
        <v>0</v>
      </c>
      <c r="AM217" s="462">
        <f>AL217-AH217</f>
        <v>0</v>
      </c>
      <c r="AO217" s="692"/>
      <c r="AP217" s="692"/>
      <c r="AV217" s="56"/>
    </row>
    <row r="218" spans="1:48" ht="13.5" customHeight="1" outlineLevel="1" thickBot="1">
      <c r="B218" s="82"/>
      <c r="C218" s="1231"/>
      <c r="D218" s="1231"/>
      <c r="E218" s="84" t="str">
        <f>'Terms and Turnovers'!$AD$12</f>
        <v>ACCESSORIES</v>
      </c>
      <c r="F218" s="120">
        <f>$R218*G218</f>
        <v>0</v>
      </c>
      <c r="G218" s="723"/>
      <c r="H218" s="120">
        <f>$R218*I218</f>
        <v>0</v>
      </c>
      <c r="I218" s="69">
        <v>0</v>
      </c>
      <c r="J218" s="120">
        <f>$R218*K218</f>
        <v>0</v>
      </c>
      <c r="K218" s="69">
        <v>0</v>
      </c>
      <c r="L218" s="120">
        <f>$R218*M218</f>
        <v>0</v>
      </c>
      <c r="M218" s="69">
        <v>0</v>
      </c>
      <c r="N218" s="315">
        <f>$R218*O218</f>
        <v>0</v>
      </c>
      <c r="O218" s="69">
        <v>0</v>
      </c>
      <c r="P218" s="120">
        <f>$R218*Q218</f>
        <v>0</v>
      </c>
      <c r="Q218" s="69">
        <v>0</v>
      </c>
      <c r="R218" s="88">
        <f>'Terms and Turnovers'!AE46</f>
        <v>0</v>
      </c>
      <c r="S218" s="161">
        <f t="shared" si="11"/>
        <v>0</v>
      </c>
      <c r="T218" s="120">
        <f>$AF218*U218</f>
        <v>0</v>
      </c>
      <c r="U218" s="69">
        <v>0</v>
      </c>
      <c r="V218" s="120">
        <f>$AF218*W218</f>
        <v>0</v>
      </c>
      <c r="W218" s="69">
        <v>0</v>
      </c>
      <c r="X218" s="120">
        <f>$AF218*Y218</f>
        <v>0</v>
      </c>
      <c r="Y218" s="69">
        <v>0</v>
      </c>
      <c r="Z218" s="120">
        <f>$AF218*AA218</f>
        <v>0</v>
      </c>
      <c r="AA218" s="69">
        <v>0</v>
      </c>
      <c r="AB218" s="315">
        <f>$AF218*AC218</f>
        <v>0</v>
      </c>
      <c r="AC218" s="69">
        <v>0</v>
      </c>
      <c r="AD218" s="120">
        <f>$AF218*AE218</f>
        <v>0</v>
      </c>
      <c r="AE218" s="69">
        <v>0</v>
      </c>
      <c r="AF218" s="88">
        <f>'Terms and Turnovers'!AJ46</f>
        <v>0</v>
      </c>
      <c r="AG218" s="161">
        <f t="shared" si="12"/>
        <v>0</v>
      </c>
      <c r="AH218" s="158">
        <f t="shared" si="13"/>
        <v>0</v>
      </c>
      <c r="AI218" s="134">
        <f t="shared" si="14"/>
        <v>0</v>
      </c>
      <c r="AJ218" s="65"/>
      <c r="AL218" s="461">
        <f>SUM(F218,H218,J218,L218,N218,P218,T218,V218,X218,Z218,AB218,AD218)</f>
        <v>0</v>
      </c>
      <c r="AM218" s="462">
        <f>AL218-AH218</f>
        <v>0</v>
      </c>
      <c r="AO218" s="692"/>
      <c r="AP218" s="692"/>
      <c r="AV218" s="56"/>
    </row>
    <row r="219" spans="1:48" ht="13.5" customHeight="1" outlineLevel="1" thickBot="1">
      <c r="B219" s="82"/>
      <c r="C219" s="1231"/>
      <c r="D219" s="1231"/>
      <c r="E219" s="84">
        <f>'Terms and Turnovers'!$AN$12</f>
        <v>0</v>
      </c>
      <c r="F219" s="120">
        <f>$R219*G219</f>
        <v>0</v>
      </c>
      <c r="G219" s="723"/>
      <c r="H219" s="120">
        <f>$R219*I219</f>
        <v>0</v>
      </c>
      <c r="I219" s="69">
        <v>0</v>
      </c>
      <c r="J219" s="120">
        <f>$R219*K219</f>
        <v>0</v>
      </c>
      <c r="K219" s="69">
        <v>0</v>
      </c>
      <c r="L219" s="120">
        <f>$R219*M219</f>
        <v>0</v>
      </c>
      <c r="M219" s="69">
        <v>0</v>
      </c>
      <c r="N219" s="315">
        <f>$R219*O219</f>
        <v>0</v>
      </c>
      <c r="O219" s="69">
        <v>0</v>
      </c>
      <c r="P219" s="120">
        <f>$R219*Q219</f>
        <v>0</v>
      </c>
      <c r="Q219" s="69">
        <v>0</v>
      </c>
      <c r="R219" s="88">
        <f>'Terms and Turnovers'!AO46</f>
        <v>0</v>
      </c>
      <c r="S219" s="161">
        <f t="shared" si="11"/>
        <v>0</v>
      </c>
      <c r="T219" s="120">
        <f>$AF219*U219</f>
        <v>0</v>
      </c>
      <c r="U219" s="69">
        <v>0</v>
      </c>
      <c r="V219" s="120">
        <f>$AF219*W219</f>
        <v>0</v>
      </c>
      <c r="W219" s="69">
        <v>0</v>
      </c>
      <c r="X219" s="120">
        <f>$AF219*Y219</f>
        <v>0</v>
      </c>
      <c r="Y219" s="69">
        <v>0</v>
      </c>
      <c r="Z219" s="120">
        <f>$AF219*AA219</f>
        <v>0</v>
      </c>
      <c r="AA219" s="69">
        <v>0</v>
      </c>
      <c r="AB219" s="315">
        <f>$AF219*AC219</f>
        <v>0</v>
      </c>
      <c r="AC219" s="69">
        <v>0</v>
      </c>
      <c r="AD219" s="120">
        <f>$AF219*AE219</f>
        <v>0</v>
      </c>
      <c r="AE219" s="69">
        <v>0</v>
      </c>
      <c r="AF219" s="88">
        <f>'Terms and Turnovers'!AT46</f>
        <v>0</v>
      </c>
      <c r="AG219" s="161">
        <f t="shared" si="12"/>
        <v>0</v>
      </c>
      <c r="AH219" s="158">
        <f t="shared" si="13"/>
        <v>0</v>
      </c>
      <c r="AI219" s="134">
        <f t="shared" si="14"/>
        <v>0</v>
      </c>
      <c r="AJ219" s="65"/>
      <c r="AL219" s="461">
        <f>SUM(F219,H219,J219,L219,N219,P219,T219,V219,X219,Z219,AB219,AD219)</f>
        <v>0</v>
      </c>
      <c r="AM219" s="462">
        <f>AL219-AH219</f>
        <v>0</v>
      </c>
      <c r="AO219" s="692"/>
      <c r="AP219" s="692"/>
      <c r="AV219" s="56"/>
    </row>
    <row r="220" spans="1:48" ht="13.5" customHeight="1" outlineLevel="1" thickBot="1">
      <c r="B220" s="82"/>
      <c r="C220" s="1232"/>
      <c r="D220" s="1232"/>
      <c r="E220" s="85">
        <f>'Terms and Turnovers'!$AX$12</f>
        <v>0</v>
      </c>
      <c r="F220" s="121">
        <f>$R220*G220</f>
        <v>0</v>
      </c>
      <c r="G220" s="72"/>
      <c r="H220" s="121">
        <f>$R220*I220</f>
        <v>0</v>
      </c>
      <c r="I220" s="69">
        <v>0</v>
      </c>
      <c r="J220" s="121">
        <f>$R220*K220</f>
        <v>0</v>
      </c>
      <c r="K220" s="69">
        <v>0</v>
      </c>
      <c r="L220" s="121">
        <f>$R220*M220</f>
        <v>0</v>
      </c>
      <c r="M220" s="69">
        <v>0</v>
      </c>
      <c r="N220" s="316">
        <f>$R220*O220</f>
        <v>0</v>
      </c>
      <c r="O220" s="69">
        <v>0</v>
      </c>
      <c r="P220" s="121">
        <f>$R220*Q220</f>
        <v>0</v>
      </c>
      <c r="Q220" s="69">
        <v>0</v>
      </c>
      <c r="R220" s="89">
        <f>'Terms and Turnovers'!AY46</f>
        <v>0</v>
      </c>
      <c r="S220" s="162">
        <f t="shared" si="11"/>
        <v>0</v>
      </c>
      <c r="T220" s="121">
        <f>$AF220*U220</f>
        <v>0</v>
      </c>
      <c r="U220" s="69">
        <v>0</v>
      </c>
      <c r="V220" s="121">
        <f>$AF220*W220</f>
        <v>0</v>
      </c>
      <c r="W220" s="69">
        <v>0</v>
      </c>
      <c r="X220" s="121">
        <f>$AF220*Y220</f>
        <v>0</v>
      </c>
      <c r="Y220" s="69">
        <v>0</v>
      </c>
      <c r="Z220" s="121">
        <f>$AF220*AA220</f>
        <v>0</v>
      </c>
      <c r="AA220" s="69">
        <v>0</v>
      </c>
      <c r="AB220" s="316">
        <f>$AF220*AC220</f>
        <v>0</v>
      </c>
      <c r="AC220" s="69">
        <v>0</v>
      </c>
      <c r="AD220" s="121">
        <f>$AF220*AE220</f>
        <v>0</v>
      </c>
      <c r="AE220" s="69">
        <v>0</v>
      </c>
      <c r="AF220" s="89">
        <f>'Terms and Turnovers'!BD46</f>
        <v>0</v>
      </c>
      <c r="AG220" s="162">
        <f t="shared" si="12"/>
        <v>0</v>
      </c>
      <c r="AH220" s="159">
        <f t="shared" si="13"/>
        <v>0</v>
      </c>
      <c r="AI220" s="137">
        <f t="shared" si="14"/>
        <v>0</v>
      </c>
      <c r="AJ220" s="65"/>
      <c r="AL220" s="461">
        <f>SUM(F220,H220,J220,L220,N220,P220,T220,V220,X220,Z220,AB220,AD220)</f>
        <v>0</v>
      </c>
      <c r="AM220" s="462">
        <f>AL220-AH220</f>
        <v>0</v>
      </c>
      <c r="AO220" s="692"/>
      <c r="AP220" s="692"/>
      <c r="AV220" s="56"/>
    </row>
    <row r="221" spans="1:48" ht="13.5" customHeight="1" outlineLevel="1" thickBot="1">
      <c r="A221" s="119"/>
      <c r="B221" s="82"/>
      <c r="C221" s="425"/>
      <c r="D221" s="425"/>
      <c r="E221" s="426"/>
      <c r="F221" s="427">
        <f>SUM(F216:F220)</f>
        <v>0</v>
      </c>
      <c r="G221" s="428"/>
      <c r="H221" s="427">
        <f>SUM(H216:H220)</f>
        <v>0</v>
      </c>
      <c r="I221" s="69"/>
      <c r="J221" s="427">
        <f>SUM(J216:J220)</f>
        <v>0</v>
      </c>
      <c r="K221" s="69"/>
      <c r="L221" s="427">
        <f>SUM(L216:L220)</f>
        <v>0</v>
      </c>
      <c r="M221" s="69"/>
      <c r="N221" s="427">
        <f>SUM(N216:N220)</f>
        <v>0</v>
      </c>
      <c r="O221" s="69"/>
      <c r="P221" s="427">
        <f>SUM(P216:P220)</f>
        <v>0</v>
      </c>
      <c r="Q221" s="69"/>
      <c r="R221" s="429"/>
      <c r="S221" s="430"/>
      <c r="T221" s="427">
        <f>SUM(T216:T220)</f>
        <v>0</v>
      </c>
      <c r="U221" s="428"/>
      <c r="V221" s="427">
        <f>SUM(V216:V220)</f>
        <v>0</v>
      </c>
      <c r="W221" s="69"/>
      <c r="X221" s="427">
        <f>SUM(X216:X220)</f>
        <v>0</v>
      </c>
      <c r="Y221" s="69"/>
      <c r="Z221" s="427">
        <f>SUM(Z216:Z220)</f>
        <v>0</v>
      </c>
      <c r="AA221" s="69"/>
      <c r="AB221" s="427">
        <f>SUM(AB216:AB220)</f>
        <v>0</v>
      </c>
      <c r="AC221" s="69"/>
      <c r="AD221" s="427">
        <f>SUM(AD216:AD220)</f>
        <v>0</v>
      </c>
      <c r="AE221" s="69"/>
      <c r="AF221" s="429"/>
      <c r="AG221" s="430"/>
      <c r="AH221" s="431"/>
      <c r="AI221" s="432"/>
      <c r="AJ221" s="65"/>
      <c r="AO221" s="692"/>
      <c r="AP221" s="692"/>
      <c r="AV221" s="56"/>
    </row>
    <row r="222" spans="1:48" ht="13.5" customHeight="1" outlineLevel="1" thickBot="1">
      <c r="A222" s="119"/>
      <c r="B222" s="82"/>
      <c r="C222" s="1098" t="s">
        <v>484</v>
      </c>
      <c r="D222" s="433">
        <f>D216</f>
        <v>0</v>
      </c>
      <c r="E222" s="426"/>
      <c r="F222" s="700"/>
      <c r="G222" s="428"/>
      <c r="H222" s="700"/>
      <c r="I222" s="69"/>
      <c r="J222" s="700"/>
      <c r="K222" s="69"/>
      <c r="L222" s="700"/>
      <c r="M222" s="69"/>
      <c r="N222" s="700"/>
      <c r="O222" s="69"/>
      <c r="P222" s="700"/>
      <c r="Q222" s="69"/>
      <c r="R222" s="429"/>
      <c r="S222" s="430"/>
      <c r="T222" s="700"/>
      <c r="U222" s="428">
        <f>Q221</f>
        <v>0</v>
      </c>
      <c r="V222" s="700"/>
      <c r="W222" s="69">
        <f>S221</f>
        <v>0</v>
      </c>
      <c r="X222" s="700"/>
      <c r="Y222" s="69">
        <f>U221</f>
        <v>0</v>
      </c>
      <c r="Z222" s="700"/>
      <c r="AA222" s="69">
        <f>W221</f>
        <v>0</v>
      </c>
      <c r="AB222" s="700"/>
      <c r="AC222" s="69">
        <f>Y221</f>
        <v>0</v>
      </c>
      <c r="AD222" s="700"/>
      <c r="AE222" s="69"/>
      <c r="AF222" s="429"/>
      <c r="AG222" s="430"/>
      <c r="AH222" s="431"/>
      <c r="AI222" s="432"/>
      <c r="AJ222" s="65"/>
      <c r="AN222" s="742">
        <f>SUM(AF216:AF220)*AQ222</f>
        <v>0</v>
      </c>
      <c r="AO222" s="742">
        <f>SUM(R216:R220)*AQ222</f>
        <v>0</v>
      </c>
      <c r="AP222" s="742"/>
      <c r="AQ222" s="693">
        <v>0.1</v>
      </c>
      <c r="AS222" s="716">
        <f>SUM(AL216:AL220)</f>
        <v>0</v>
      </c>
      <c r="AT222" s="461">
        <f>F222+H222+J222+L222+N222+P222+T222+V222+X222+Z222+AB222+AD222</f>
        <v>0</v>
      </c>
      <c r="AU222" s="745">
        <f>AT222-AS222</f>
        <v>0</v>
      </c>
      <c r="AV222" s="462" t="e">
        <f>AT222/AS222</f>
        <v>#DIV/0!</v>
      </c>
    </row>
    <row r="223" spans="1:48" ht="13.5" customHeight="1" outlineLevel="1" thickBot="1">
      <c r="B223" s="82">
        <f>B216+1</f>
        <v>32</v>
      </c>
      <c r="C223" s="1230">
        <f>'Terms and Turnovers'!C47</f>
        <v>0</v>
      </c>
      <c r="D223" s="1230">
        <f>'Terms and Turnovers'!D47</f>
        <v>0</v>
      </c>
      <c r="E223" s="83" t="str">
        <f>'Terms and Turnovers'!$J$12</f>
        <v>FLIP-FLOPS</v>
      </c>
      <c r="F223" s="118">
        <f>$R223*G223</f>
        <v>0</v>
      </c>
      <c r="G223" s="69"/>
      <c r="H223" s="314">
        <f>$R223*I223</f>
        <v>0</v>
      </c>
      <c r="I223" s="69">
        <v>0</v>
      </c>
      <c r="J223" s="118">
        <f>$R223*K223</f>
        <v>0</v>
      </c>
      <c r="K223" s="69">
        <v>0</v>
      </c>
      <c r="L223" s="314">
        <f>$R223*M223</f>
        <v>0</v>
      </c>
      <c r="M223" s="69">
        <v>0</v>
      </c>
      <c r="N223" s="314">
        <f>$R223*O223</f>
        <v>0</v>
      </c>
      <c r="O223" s="69">
        <v>0</v>
      </c>
      <c r="P223" s="118">
        <f>$R223*Q223</f>
        <v>0</v>
      </c>
      <c r="Q223" s="69">
        <v>0</v>
      </c>
      <c r="R223" s="87">
        <f>'Terms and Turnovers'!K47</f>
        <v>0</v>
      </c>
      <c r="S223" s="160">
        <f t="shared" si="11"/>
        <v>0</v>
      </c>
      <c r="T223" s="118">
        <f>$AF223*U223</f>
        <v>0</v>
      </c>
      <c r="U223" s="69">
        <v>0</v>
      </c>
      <c r="V223" s="314">
        <f>$AF223*W223</f>
        <v>0</v>
      </c>
      <c r="W223" s="69">
        <v>0</v>
      </c>
      <c r="X223" s="118">
        <f>$AF223*Y223</f>
        <v>0</v>
      </c>
      <c r="Y223" s="69">
        <v>0</v>
      </c>
      <c r="Z223" s="314">
        <f>$AF223*AA223</f>
        <v>0</v>
      </c>
      <c r="AA223" s="69">
        <v>0</v>
      </c>
      <c r="AB223" s="314">
        <f>$AF223*AC223</f>
        <v>0</v>
      </c>
      <c r="AC223" s="69">
        <v>0</v>
      </c>
      <c r="AD223" s="118">
        <f>$AF223*AE223</f>
        <v>0</v>
      </c>
      <c r="AE223" s="69">
        <v>0</v>
      </c>
      <c r="AF223" s="87">
        <f>'Terms and Turnovers'!P47</f>
        <v>0</v>
      </c>
      <c r="AG223" s="160">
        <f t="shared" si="12"/>
        <v>0</v>
      </c>
      <c r="AH223" s="157">
        <f t="shared" si="13"/>
        <v>0</v>
      </c>
      <c r="AI223" s="131">
        <f t="shared" si="14"/>
        <v>0</v>
      </c>
      <c r="AJ223" s="65"/>
      <c r="AL223" s="461">
        <f>SUM(F223,H223,J223,L223,N223,P223,T223,V223,X223,Z223,AB223,AD223)</f>
        <v>0</v>
      </c>
      <c r="AM223" s="462">
        <f>AL223-AH223</f>
        <v>0</v>
      </c>
      <c r="AO223" s="692"/>
      <c r="AP223" s="692"/>
      <c r="AV223" s="56"/>
    </row>
    <row r="224" spans="1:48" ht="13.5" customHeight="1" outlineLevel="1" thickBot="1">
      <c r="B224" s="82"/>
      <c r="C224" s="1231"/>
      <c r="D224" s="1231"/>
      <c r="E224" s="84" t="str">
        <f>'Terms and Turnovers'!$T$12</f>
        <v>ORIGINALS</v>
      </c>
      <c r="F224" s="120">
        <f>$R224*G224</f>
        <v>0</v>
      </c>
      <c r="G224" s="723"/>
      <c r="H224" s="120">
        <f>$R224*I224</f>
        <v>0</v>
      </c>
      <c r="I224" s="69">
        <v>0</v>
      </c>
      <c r="J224" s="120">
        <f>$R224*K224</f>
        <v>0</v>
      </c>
      <c r="K224" s="69">
        <v>0</v>
      </c>
      <c r="L224" s="120">
        <f>$R224*M224</f>
        <v>0</v>
      </c>
      <c r="M224" s="69">
        <v>0</v>
      </c>
      <c r="N224" s="315">
        <f>$R224*O224</f>
        <v>0</v>
      </c>
      <c r="O224" s="69">
        <v>0</v>
      </c>
      <c r="P224" s="120">
        <f>$R224*Q224</f>
        <v>0</v>
      </c>
      <c r="Q224" s="69">
        <v>0</v>
      </c>
      <c r="R224" s="88">
        <f>'Terms and Turnovers'!U47</f>
        <v>0</v>
      </c>
      <c r="S224" s="161">
        <f t="shared" si="11"/>
        <v>0</v>
      </c>
      <c r="T224" s="120">
        <f>$AF224*U224</f>
        <v>0</v>
      </c>
      <c r="U224" s="69">
        <v>0</v>
      </c>
      <c r="V224" s="120">
        <f>$AF224*W224</f>
        <v>0</v>
      </c>
      <c r="W224" s="69">
        <v>0</v>
      </c>
      <c r="X224" s="120">
        <f>$AF224*Y224</f>
        <v>0</v>
      </c>
      <c r="Y224" s="69">
        <v>0</v>
      </c>
      <c r="Z224" s="120">
        <f>$AF224*AA224</f>
        <v>0</v>
      </c>
      <c r="AA224" s="69">
        <v>0</v>
      </c>
      <c r="AB224" s="315">
        <f>$AF224*AC224</f>
        <v>0</v>
      </c>
      <c r="AC224" s="69">
        <v>0</v>
      </c>
      <c r="AD224" s="120">
        <f>$AF224*AE224</f>
        <v>0</v>
      </c>
      <c r="AE224" s="69">
        <v>0</v>
      </c>
      <c r="AF224" s="88">
        <f>'Terms and Turnovers'!Z47</f>
        <v>0</v>
      </c>
      <c r="AG224" s="161">
        <f t="shared" si="12"/>
        <v>0</v>
      </c>
      <c r="AH224" s="158">
        <f t="shared" si="13"/>
        <v>0</v>
      </c>
      <c r="AI224" s="134">
        <f t="shared" si="14"/>
        <v>0</v>
      </c>
      <c r="AJ224" s="65"/>
      <c r="AL224" s="461">
        <f>SUM(F224,H224,J224,L224,N224,P224,T224,V224,X224,Z224,AB224,AD224)</f>
        <v>0</v>
      </c>
      <c r="AM224" s="462">
        <f>AL224-AH224</f>
        <v>0</v>
      </c>
      <c r="AO224" s="692"/>
      <c r="AP224" s="692"/>
      <c r="AV224" s="56"/>
    </row>
    <row r="225" spans="1:48" ht="13.5" customHeight="1" outlineLevel="1" thickBot="1">
      <c r="B225" s="82"/>
      <c r="C225" s="1231"/>
      <c r="D225" s="1231"/>
      <c r="E225" s="84" t="str">
        <f>'Terms and Turnovers'!$AD$12</f>
        <v>ACCESSORIES</v>
      </c>
      <c r="F225" s="120">
        <f>$R225*G225</f>
        <v>0</v>
      </c>
      <c r="G225" s="723"/>
      <c r="H225" s="120">
        <f>$R225*I225</f>
        <v>0</v>
      </c>
      <c r="I225" s="69">
        <v>0</v>
      </c>
      <c r="J225" s="120">
        <f>$R225*K225</f>
        <v>0</v>
      </c>
      <c r="K225" s="69">
        <v>0</v>
      </c>
      <c r="L225" s="120">
        <f>$R225*M225</f>
        <v>0</v>
      </c>
      <c r="M225" s="69">
        <v>0</v>
      </c>
      <c r="N225" s="315">
        <f>$R225*O225</f>
        <v>0</v>
      </c>
      <c r="O225" s="69">
        <v>0</v>
      </c>
      <c r="P225" s="120">
        <f>$R225*Q225</f>
        <v>0</v>
      </c>
      <c r="Q225" s="69">
        <v>0</v>
      </c>
      <c r="R225" s="88">
        <f>'Terms and Turnovers'!AE47</f>
        <v>0</v>
      </c>
      <c r="S225" s="161">
        <f t="shared" si="11"/>
        <v>0</v>
      </c>
      <c r="T225" s="120">
        <f>$AF225*U225</f>
        <v>0</v>
      </c>
      <c r="U225" s="69">
        <v>0</v>
      </c>
      <c r="V225" s="120">
        <f>$AF225*W225</f>
        <v>0</v>
      </c>
      <c r="W225" s="69">
        <v>0</v>
      </c>
      <c r="X225" s="120">
        <f>$AF225*Y225</f>
        <v>0</v>
      </c>
      <c r="Y225" s="69">
        <v>0</v>
      </c>
      <c r="Z225" s="120">
        <f>$AF225*AA225</f>
        <v>0</v>
      </c>
      <c r="AA225" s="69">
        <v>0</v>
      </c>
      <c r="AB225" s="315">
        <f>$AF225*AC225</f>
        <v>0</v>
      </c>
      <c r="AC225" s="69">
        <v>0</v>
      </c>
      <c r="AD225" s="120">
        <f>$AF225*AE225</f>
        <v>0</v>
      </c>
      <c r="AE225" s="69">
        <v>0</v>
      </c>
      <c r="AF225" s="88">
        <f>'Terms and Turnovers'!AJ47</f>
        <v>0</v>
      </c>
      <c r="AG225" s="161">
        <f t="shared" si="12"/>
        <v>0</v>
      </c>
      <c r="AH225" s="158">
        <f t="shared" si="13"/>
        <v>0</v>
      </c>
      <c r="AI225" s="134">
        <f t="shared" si="14"/>
        <v>0</v>
      </c>
      <c r="AJ225" s="65"/>
      <c r="AL225" s="461">
        <f>SUM(F225,H225,J225,L225,N225,P225,T225,V225,X225,Z225,AB225,AD225)</f>
        <v>0</v>
      </c>
      <c r="AM225" s="462">
        <f>AL225-AH225</f>
        <v>0</v>
      </c>
      <c r="AO225" s="692"/>
      <c r="AP225" s="692"/>
      <c r="AV225" s="56"/>
    </row>
    <row r="226" spans="1:48" ht="13.5" customHeight="1" outlineLevel="1" thickBot="1">
      <c r="B226" s="82"/>
      <c r="C226" s="1231"/>
      <c r="D226" s="1231"/>
      <c r="E226" s="84">
        <f>'Terms and Turnovers'!$AN$12</f>
        <v>0</v>
      </c>
      <c r="F226" s="120">
        <f>$R226*G226</f>
        <v>0</v>
      </c>
      <c r="G226" s="723"/>
      <c r="H226" s="120">
        <f>$R226*I226</f>
        <v>0</v>
      </c>
      <c r="I226" s="69">
        <v>0</v>
      </c>
      <c r="J226" s="120">
        <f>$R226*K226</f>
        <v>0</v>
      </c>
      <c r="K226" s="69">
        <v>0</v>
      </c>
      <c r="L226" s="120">
        <f>$R226*M226</f>
        <v>0</v>
      </c>
      <c r="M226" s="69">
        <v>0</v>
      </c>
      <c r="N226" s="315">
        <f>$R226*O226</f>
        <v>0</v>
      </c>
      <c r="O226" s="69">
        <v>0</v>
      </c>
      <c r="P226" s="120">
        <f>$R226*Q226</f>
        <v>0</v>
      </c>
      <c r="Q226" s="69">
        <v>0</v>
      </c>
      <c r="R226" s="88">
        <f>'Terms and Turnovers'!AO47</f>
        <v>0</v>
      </c>
      <c r="S226" s="161">
        <f t="shared" si="11"/>
        <v>0</v>
      </c>
      <c r="T226" s="120">
        <f>$AF226*U226</f>
        <v>0</v>
      </c>
      <c r="U226" s="69">
        <v>0</v>
      </c>
      <c r="V226" s="120">
        <f>$AF226*W226</f>
        <v>0</v>
      </c>
      <c r="W226" s="69">
        <v>0</v>
      </c>
      <c r="X226" s="120">
        <f>$AF226*Y226</f>
        <v>0</v>
      </c>
      <c r="Y226" s="69">
        <v>0</v>
      </c>
      <c r="Z226" s="120">
        <f>$AF226*AA226</f>
        <v>0</v>
      </c>
      <c r="AA226" s="69">
        <v>0</v>
      </c>
      <c r="AB226" s="315">
        <f>$AF226*AC226</f>
        <v>0</v>
      </c>
      <c r="AC226" s="69">
        <v>0</v>
      </c>
      <c r="AD226" s="120">
        <f>$AF226*AE226</f>
        <v>0</v>
      </c>
      <c r="AE226" s="69">
        <v>0</v>
      </c>
      <c r="AF226" s="88">
        <f>'Terms and Turnovers'!AT47</f>
        <v>0</v>
      </c>
      <c r="AG226" s="161">
        <f t="shared" si="12"/>
        <v>0</v>
      </c>
      <c r="AH226" s="158">
        <f t="shared" si="13"/>
        <v>0</v>
      </c>
      <c r="AI226" s="134">
        <f t="shared" si="14"/>
        <v>0</v>
      </c>
      <c r="AJ226" s="65"/>
      <c r="AL226" s="461">
        <f>SUM(F226,H226,J226,L226,N226,P226,T226,V226,X226,Z226,AB226,AD226)</f>
        <v>0</v>
      </c>
      <c r="AM226" s="462">
        <f>AL226-AH226</f>
        <v>0</v>
      </c>
      <c r="AO226" s="692"/>
      <c r="AP226" s="692"/>
      <c r="AV226" s="56"/>
    </row>
    <row r="227" spans="1:48" ht="13.5" customHeight="1" outlineLevel="1" thickBot="1">
      <c r="B227" s="82"/>
      <c r="C227" s="1232"/>
      <c r="D227" s="1232"/>
      <c r="E227" s="85">
        <f>'Terms and Turnovers'!$AX$12</f>
        <v>0</v>
      </c>
      <c r="F227" s="121">
        <f>$R227*G227</f>
        <v>0</v>
      </c>
      <c r="G227" s="72"/>
      <c r="H227" s="121">
        <f>$R227*I227</f>
        <v>0</v>
      </c>
      <c r="I227" s="69">
        <v>0</v>
      </c>
      <c r="J227" s="121">
        <f>$R227*K227</f>
        <v>0</v>
      </c>
      <c r="K227" s="69">
        <v>0</v>
      </c>
      <c r="L227" s="121">
        <f>$R227*M227</f>
        <v>0</v>
      </c>
      <c r="M227" s="69">
        <v>0</v>
      </c>
      <c r="N227" s="316">
        <f>$R227*O227</f>
        <v>0</v>
      </c>
      <c r="O227" s="69">
        <v>0</v>
      </c>
      <c r="P227" s="121">
        <f>$R227*Q227</f>
        <v>0</v>
      </c>
      <c r="Q227" s="69">
        <v>0</v>
      </c>
      <c r="R227" s="89">
        <f>'Terms and Turnovers'!AY47</f>
        <v>0</v>
      </c>
      <c r="S227" s="162">
        <f t="shared" si="11"/>
        <v>0</v>
      </c>
      <c r="T227" s="121">
        <f>$AF227*U227</f>
        <v>0</v>
      </c>
      <c r="U227" s="69">
        <v>0</v>
      </c>
      <c r="V227" s="121">
        <f>$AF227*W227</f>
        <v>0</v>
      </c>
      <c r="W227" s="69">
        <v>0</v>
      </c>
      <c r="X227" s="121">
        <f>$AF227*Y227</f>
        <v>0</v>
      </c>
      <c r="Y227" s="69">
        <v>0</v>
      </c>
      <c r="Z227" s="121">
        <f>$AF227*AA227</f>
        <v>0</v>
      </c>
      <c r="AA227" s="69">
        <v>0</v>
      </c>
      <c r="AB227" s="316">
        <f>$AF227*AC227</f>
        <v>0</v>
      </c>
      <c r="AC227" s="69">
        <v>0</v>
      </c>
      <c r="AD227" s="121">
        <f>$AF227*AE227</f>
        <v>0</v>
      </c>
      <c r="AE227" s="69">
        <v>0</v>
      </c>
      <c r="AF227" s="89">
        <f>'Terms and Turnovers'!BD47</f>
        <v>0</v>
      </c>
      <c r="AG227" s="162">
        <f t="shared" si="12"/>
        <v>0</v>
      </c>
      <c r="AH227" s="159">
        <f t="shared" si="13"/>
        <v>0</v>
      </c>
      <c r="AI227" s="137">
        <f t="shared" si="14"/>
        <v>0</v>
      </c>
      <c r="AJ227" s="65"/>
      <c r="AL227" s="461">
        <f>SUM(F227,H227,J227,L227,N227,P227,T227,V227,X227,Z227,AB227,AD227)</f>
        <v>0</v>
      </c>
      <c r="AM227" s="462">
        <f>AL227-AH227</f>
        <v>0</v>
      </c>
      <c r="AO227" s="692"/>
      <c r="AP227" s="692"/>
      <c r="AV227" s="56"/>
    </row>
    <row r="228" spans="1:48" ht="13.5" customHeight="1" outlineLevel="1" thickBot="1">
      <c r="A228" s="119"/>
      <c r="B228" s="82"/>
      <c r="C228" s="425"/>
      <c r="D228" s="425"/>
      <c r="E228" s="426"/>
      <c r="F228" s="427">
        <f>SUM(F223:F227)</f>
        <v>0</v>
      </c>
      <c r="G228" s="428"/>
      <c r="H228" s="427">
        <f>SUM(H223:H227)</f>
        <v>0</v>
      </c>
      <c r="I228" s="69"/>
      <c r="J228" s="427">
        <f>SUM(J223:J227)</f>
        <v>0</v>
      </c>
      <c r="K228" s="69"/>
      <c r="L228" s="427">
        <f>SUM(L223:L227)</f>
        <v>0</v>
      </c>
      <c r="M228" s="69"/>
      <c r="N228" s="427">
        <f>SUM(N223:N227)</f>
        <v>0</v>
      </c>
      <c r="O228" s="69"/>
      <c r="P228" s="427">
        <f>SUM(P223:P227)</f>
        <v>0</v>
      </c>
      <c r="Q228" s="69"/>
      <c r="R228" s="429"/>
      <c r="S228" s="430"/>
      <c r="T228" s="427">
        <f>SUM(T223:T227)</f>
        <v>0</v>
      </c>
      <c r="U228" s="428"/>
      <c r="V228" s="427">
        <f>SUM(V223:V227)</f>
        <v>0</v>
      </c>
      <c r="W228" s="69"/>
      <c r="X228" s="427">
        <f>SUM(X223:X227)</f>
        <v>0</v>
      </c>
      <c r="Y228" s="69"/>
      <c r="Z228" s="427">
        <f>SUM(Z223:Z227)</f>
        <v>0</v>
      </c>
      <c r="AA228" s="69"/>
      <c r="AB228" s="427">
        <f>SUM(AB223:AB227)</f>
        <v>0</v>
      </c>
      <c r="AC228" s="69"/>
      <c r="AD228" s="427">
        <f>SUM(AD223:AD227)</f>
        <v>0</v>
      </c>
      <c r="AE228" s="69"/>
      <c r="AF228" s="429"/>
      <c r="AG228" s="430"/>
      <c r="AH228" s="431"/>
      <c r="AI228" s="432"/>
      <c r="AJ228" s="65"/>
      <c r="AO228" s="692"/>
      <c r="AP228" s="692"/>
      <c r="AV228" s="56"/>
    </row>
    <row r="229" spans="1:48" ht="13.5" customHeight="1" outlineLevel="1" thickBot="1">
      <c r="A229" s="119"/>
      <c r="B229" s="82"/>
      <c r="C229" s="1098" t="s">
        <v>484</v>
      </c>
      <c r="D229" s="433">
        <f>D223</f>
        <v>0</v>
      </c>
      <c r="E229" s="426"/>
      <c r="F229" s="700"/>
      <c r="G229" s="428"/>
      <c r="H229" s="700"/>
      <c r="I229" s="69"/>
      <c r="J229" s="700"/>
      <c r="K229" s="69"/>
      <c r="L229" s="700"/>
      <c r="M229" s="69"/>
      <c r="N229" s="700"/>
      <c r="O229" s="69"/>
      <c r="P229" s="700"/>
      <c r="Q229" s="69"/>
      <c r="R229" s="429"/>
      <c r="S229" s="430"/>
      <c r="T229" s="700"/>
      <c r="U229" s="428">
        <f>Q228</f>
        <v>0</v>
      </c>
      <c r="V229" s="700"/>
      <c r="W229" s="69">
        <f>S228</f>
        <v>0</v>
      </c>
      <c r="X229" s="700"/>
      <c r="Y229" s="69">
        <f>U228</f>
        <v>0</v>
      </c>
      <c r="Z229" s="700"/>
      <c r="AA229" s="69">
        <f>W228</f>
        <v>0</v>
      </c>
      <c r="AB229" s="700"/>
      <c r="AC229" s="69">
        <f>Y228</f>
        <v>0</v>
      </c>
      <c r="AD229" s="700"/>
      <c r="AE229" s="69"/>
      <c r="AF229" s="429"/>
      <c r="AG229" s="430"/>
      <c r="AH229" s="431"/>
      <c r="AI229" s="432"/>
      <c r="AJ229" s="65"/>
      <c r="AN229" s="742">
        <f>SUM(AF223:AF227)*AQ229</f>
        <v>0</v>
      </c>
      <c r="AO229" s="742">
        <f>SUM(R223:R227)*AQ229</f>
        <v>0</v>
      </c>
      <c r="AP229" s="742"/>
      <c r="AQ229" s="693">
        <v>0.1</v>
      </c>
      <c r="AS229" s="716">
        <f>SUM(AL223:AL227)</f>
        <v>0</v>
      </c>
      <c r="AT229" s="461">
        <f>F229+H229+J229+L229+N229+P229+T229+V229+X229+Z229+AB229+AD229</f>
        <v>0</v>
      </c>
      <c r="AU229" s="745">
        <f>AT229-AS229</f>
        <v>0</v>
      </c>
      <c r="AV229" s="462" t="e">
        <f>AT229/AS229</f>
        <v>#DIV/0!</v>
      </c>
    </row>
    <row r="230" spans="1:48" ht="13.5" customHeight="1" outlineLevel="1" thickBot="1">
      <c r="B230" s="82">
        <f>B223+1</f>
        <v>33</v>
      </c>
      <c r="C230" s="1230">
        <f>'Terms and Turnovers'!C48</f>
        <v>0</v>
      </c>
      <c r="D230" s="1230">
        <f>'Terms and Turnovers'!D48</f>
        <v>0</v>
      </c>
      <c r="E230" s="83" t="str">
        <f>'Terms and Turnovers'!$J$12</f>
        <v>FLIP-FLOPS</v>
      </c>
      <c r="F230" s="118">
        <f>$R230*G230</f>
        <v>0</v>
      </c>
      <c r="G230" s="69"/>
      <c r="H230" s="314">
        <f>$R230*I230</f>
        <v>0</v>
      </c>
      <c r="I230" s="69">
        <v>0</v>
      </c>
      <c r="J230" s="118">
        <f>$R230*K230</f>
        <v>0</v>
      </c>
      <c r="K230" s="69">
        <v>0</v>
      </c>
      <c r="L230" s="314">
        <f>$R230*M230</f>
        <v>0</v>
      </c>
      <c r="M230" s="69">
        <v>0</v>
      </c>
      <c r="N230" s="314">
        <f>$R230*O230</f>
        <v>0</v>
      </c>
      <c r="O230" s="69">
        <v>0</v>
      </c>
      <c r="P230" s="118">
        <f>$R230*Q230</f>
        <v>0</v>
      </c>
      <c r="Q230" s="69">
        <v>0</v>
      </c>
      <c r="R230" s="87">
        <f>'Terms and Turnovers'!K48</f>
        <v>0</v>
      </c>
      <c r="S230" s="160">
        <f t="shared" ref="S230:S302" si="15">SUM(G230,I230,K230,M230,O230,Q230)</f>
        <v>0</v>
      </c>
      <c r="T230" s="118">
        <f>$AF230*U230</f>
        <v>0</v>
      </c>
      <c r="U230" s="69">
        <v>0</v>
      </c>
      <c r="V230" s="314">
        <f>$AF230*W230</f>
        <v>0</v>
      </c>
      <c r="W230" s="69">
        <v>0</v>
      </c>
      <c r="X230" s="118">
        <f>$AF230*Y230</f>
        <v>0</v>
      </c>
      <c r="Y230" s="69">
        <v>0</v>
      </c>
      <c r="Z230" s="314">
        <f>$AF230*AA230</f>
        <v>0</v>
      </c>
      <c r="AA230" s="69">
        <v>0</v>
      </c>
      <c r="AB230" s="314">
        <f>$AF230*AC230</f>
        <v>0</v>
      </c>
      <c r="AC230" s="69">
        <v>0</v>
      </c>
      <c r="AD230" s="118">
        <f>$AF230*AE230</f>
        <v>0</v>
      </c>
      <c r="AE230" s="69">
        <v>0</v>
      </c>
      <c r="AF230" s="87">
        <f>'Terms and Turnovers'!P48</f>
        <v>0</v>
      </c>
      <c r="AG230" s="160">
        <f t="shared" si="12"/>
        <v>0</v>
      </c>
      <c r="AH230" s="157">
        <f t="shared" si="13"/>
        <v>0</v>
      </c>
      <c r="AI230" s="131">
        <f t="shared" si="14"/>
        <v>0</v>
      </c>
      <c r="AJ230" s="65"/>
      <c r="AL230" s="461">
        <f>SUM(F230,H230,J230,L230,N230,P230,T230,V230,X230,Z230,AB230,AD230)</f>
        <v>0</v>
      </c>
      <c r="AM230" s="462">
        <f>AL230-AH230</f>
        <v>0</v>
      </c>
      <c r="AO230" s="692"/>
      <c r="AP230" s="692"/>
      <c r="AV230" s="56"/>
    </row>
    <row r="231" spans="1:48" ht="13.5" customHeight="1" outlineLevel="1" thickBot="1">
      <c r="B231" s="82"/>
      <c r="C231" s="1231"/>
      <c r="D231" s="1231"/>
      <c r="E231" s="84" t="str">
        <f>'Terms and Turnovers'!$T$12</f>
        <v>ORIGINALS</v>
      </c>
      <c r="F231" s="120">
        <f>$R231*G231</f>
        <v>0</v>
      </c>
      <c r="G231" s="723"/>
      <c r="H231" s="120">
        <f>$R231*I231</f>
        <v>0</v>
      </c>
      <c r="I231" s="69">
        <v>0</v>
      </c>
      <c r="J231" s="120">
        <f>$R231*K231</f>
        <v>0</v>
      </c>
      <c r="K231" s="69">
        <v>0</v>
      </c>
      <c r="L231" s="120">
        <f>$R231*M231</f>
        <v>0</v>
      </c>
      <c r="M231" s="69">
        <v>0</v>
      </c>
      <c r="N231" s="315">
        <f>$R231*O231</f>
        <v>0</v>
      </c>
      <c r="O231" s="69">
        <v>0</v>
      </c>
      <c r="P231" s="120">
        <f>$R231*Q231</f>
        <v>0</v>
      </c>
      <c r="Q231" s="69">
        <v>0</v>
      </c>
      <c r="R231" s="88">
        <f>'Terms and Turnovers'!U48</f>
        <v>0</v>
      </c>
      <c r="S231" s="161">
        <f t="shared" si="15"/>
        <v>0</v>
      </c>
      <c r="T231" s="120">
        <f>$AF231*U231</f>
        <v>0</v>
      </c>
      <c r="U231" s="69">
        <v>0</v>
      </c>
      <c r="V231" s="120">
        <f>$AF231*W231</f>
        <v>0</v>
      </c>
      <c r="W231" s="69">
        <v>0</v>
      </c>
      <c r="X231" s="120">
        <f>$AF231*Y231</f>
        <v>0</v>
      </c>
      <c r="Y231" s="69">
        <v>0</v>
      </c>
      <c r="Z231" s="120">
        <f>$AF231*AA231</f>
        <v>0</v>
      </c>
      <c r="AA231" s="69">
        <v>0</v>
      </c>
      <c r="AB231" s="315">
        <f>$AF231*AC231</f>
        <v>0</v>
      </c>
      <c r="AC231" s="69">
        <v>0</v>
      </c>
      <c r="AD231" s="120">
        <f>$AF231*AE231</f>
        <v>0</v>
      </c>
      <c r="AE231" s="69">
        <v>0</v>
      </c>
      <c r="AF231" s="88">
        <f>'Terms and Turnovers'!Z48</f>
        <v>0</v>
      </c>
      <c r="AG231" s="161">
        <f t="shared" ref="AG231:AG303" si="16">SUM(U231,W231,Y231,AA231,AC231,AE231)</f>
        <v>0</v>
      </c>
      <c r="AH231" s="158">
        <f t="shared" ref="AH231:AH303" si="17">SUM(R231,AF231)</f>
        <v>0</v>
      </c>
      <c r="AI231" s="134">
        <f t="shared" ref="AI231:AI303" si="18">S231+AG231</f>
        <v>0</v>
      </c>
      <c r="AJ231" s="65"/>
      <c r="AL231" s="461">
        <f>SUM(F231,H231,J231,L231,N231,P231,T231,V231,X231,Z231,AB231,AD231)</f>
        <v>0</v>
      </c>
      <c r="AM231" s="462">
        <f>AL231-AH231</f>
        <v>0</v>
      </c>
      <c r="AO231" s="692"/>
      <c r="AP231" s="692"/>
      <c r="AV231" s="56"/>
    </row>
    <row r="232" spans="1:48" ht="13.5" customHeight="1" outlineLevel="1" thickBot="1">
      <c r="B232" s="82"/>
      <c r="C232" s="1231"/>
      <c r="D232" s="1231"/>
      <c r="E232" s="84" t="str">
        <f>'Terms and Turnovers'!$AD$12</f>
        <v>ACCESSORIES</v>
      </c>
      <c r="F232" s="120">
        <f>$R232*G232</f>
        <v>0</v>
      </c>
      <c r="G232" s="723"/>
      <c r="H232" s="120">
        <f>$R232*I232</f>
        <v>0</v>
      </c>
      <c r="I232" s="69">
        <v>0</v>
      </c>
      <c r="J232" s="120">
        <f>$R232*K232</f>
        <v>0</v>
      </c>
      <c r="K232" s="69">
        <v>0</v>
      </c>
      <c r="L232" s="120">
        <f>$R232*M232</f>
        <v>0</v>
      </c>
      <c r="M232" s="69">
        <v>0</v>
      </c>
      <c r="N232" s="315">
        <f>$R232*O232</f>
        <v>0</v>
      </c>
      <c r="O232" s="69">
        <v>0</v>
      </c>
      <c r="P232" s="120">
        <f>$R232*Q232</f>
        <v>0</v>
      </c>
      <c r="Q232" s="69">
        <v>0</v>
      </c>
      <c r="R232" s="88">
        <f>'Terms and Turnovers'!AE48</f>
        <v>0</v>
      </c>
      <c r="S232" s="161">
        <f t="shared" si="15"/>
        <v>0</v>
      </c>
      <c r="T232" s="120">
        <f>$AF232*U232</f>
        <v>0</v>
      </c>
      <c r="U232" s="69">
        <v>0</v>
      </c>
      <c r="V232" s="120">
        <f>$AF232*W232</f>
        <v>0</v>
      </c>
      <c r="W232" s="69">
        <v>0</v>
      </c>
      <c r="X232" s="120">
        <f>$AF232*Y232</f>
        <v>0</v>
      </c>
      <c r="Y232" s="69">
        <v>0</v>
      </c>
      <c r="Z232" s="120">
        <f>$AF232*AA232</f>
        <v>0</v>
      </c>
      <c r="AA232" s="69">
        <v>0</v>
      </c>
      <c r="AB232" s="315">
        <f>$AF232*AC232</f>
        <v>0</v>
      </c>
      <c r="AC232" s="69">
        <v>0</v>
      </c>
      <c r="AD232" s="120">
        <f>$AF232*AE232</f>
        <v>0</v>
      </c>
      <c r="AE232" s="69">
        <v>0</v>
      </c>
      <c r="AF232" s="88">
        <f>'Terms and Turnovers'!AJ48</f>
        <v>0</v>
      </c>
      <c r="AG232" s="161">
        <f t="shared" si="16"/>
        <v>0</v>
      </c>
      <c r="AH232" s="158">
        <f t="shared" si="17"/>
        <v>0</v>
      </c>
      <c r="AI232" s="134">
        <f t="shared" si="18"/>
        <v>0</v>
      </c>
      <c r="AJ232" s="65"/>
      <c r="AL232" s="461">
        <f>SUM(F232,H232,J232,L232,N232,P232,T232,V232,X232,Z232,AB232,AD232)</f>
        <v>0</v>
      </c>
      <c r="AM232" s="462">
        <f>AL232-AH232</f>
        <v>0</v>
      </c>
      <c r="AO232" s="692"/>
      <c r="AP232" s="692"/>
      <c r="AV232" s="56"/>
    </row>
    <row r="233" spans="1:48" ht="13.5" customHeight="1" outlineLevel="1" thickBot="1">
      <c r="B233" s="82"/>
      <c r="C233" s="1231"/>
      <c r="D233" s="1231"/>
      <c r="E233" s="84">
        <f>'Terms and Turnovers'!$AN$12</f>
        <v>0</v>
      </c>
      <c r="F233" s="120">
        <f>$R233*G233</f>
        <v>0</v>
      </c>
      <c r="G233" s="723"/>
      <c r="H233" s="120">
        <f>$R233*I233</f>
        <v>0</v>
      </c>
      <c r="I233" s="69">
        <v>0</v>
      </c>
      <c r="J233" s="120">
        <f>$R233*K233</f>
        <v>0</v>
      </c>
      <c r="K233" s="69">
        <v>0</v>
      </c>
      <c r="L233" s="120">
        <f>$R233*M233</f>
        <v>0</v>
      </c>
      <c r="M233" s="69">
        <v>0</v>
      </c>
      <c r="N233" s="315">
        <f>$R233*O233</f>
        <v>0</v>
      </c>
      <c r="O233" s="69">
        <v>0</v>
      </c>
      <c r="P233" s="120">
        <f>$R233*Q233</f>
        <v>0</v>
      </c>
      <c r="Q233" s="69">
        <v>0</v>
      </c>
      <c r="R233" s="88">
        <f>'Terms and Turnovers'!AO48</f>
        <v>0</v>
      </c>
      <c r="S233" s="161">
        <f t="shared" si="15"/>
        <v>0</v>
      </c>
      <c r="T233" s="120">
        <f>$AF233*U233</f>
        <v>0</v>
      </c>
      <c r="U233" s="69">
        <v>0</v>
      </c>
      <c r="V233" s="120">
        <f>$AF233*W233</f>
        <v>0</v>
      </c>
      <c r="W233" s="69">
        <v>0</v>
      </c>
      <c r="X233" s="120">
        <f>$AF233*Y233</f>
        <v>0</v>
      </c>
      <c r="Y233" s="69">
        <v>0</v>
      </c>
      <c r="Z233" s="120">
        <f>$AF233*AA233</f>
        <v>0</v>
      </c>
      <c r="AA233" s="69">
        <v>0</v>
      </c>
      <c r="AB233" s="315">
        <f>$AF233*AC233</f>
        <v>0</v>
      </c>
      <c r="AC233" s="69">
        <v>0</v>
      </c>
      <c r="AD233" s="120">
        <f>$AF233*AE233</f>
        <v>0</v>
      </c>
      <c r="AE233" s="69">
        <v>0</v>
      </c>
      <c r="AF233" s="88">
        <f>'Terms and Turnovers'!AT48</f>
        <v>0</v>
      </c>
      <c r="AG233" s="161">
        <f t="shared" si="16"/>
        <v>0</v>
      </c>
      <c r="AH233" s="158">
        <f t="shared" si="17"/>
        <v>0</v>
      </c>
      <c r="AI233" s="134">
        <f t="shared" si="18"/>
        <v>0</v>
      </c>
      <c r="AJ233" s="65"/>
      <c r="AL233" s="461">
        <f>SUM(F233,H233,J233,L233,N233,P233,T233,V233,X233,Z233,AB233,AD233)</f>
        <v>0</v>
      </c>
      <c r="AM233" s="462">
        <f>AL233-AH233</f>
        <v>0</v>
      </c>
      <c r="AO233" s="692"/>
      <c r="AP233" s="692"/>
      <c r="AV233" s="56"/>
    </row>
    <row r="234" spans="1:48" ht="13.5" customHeight="1" outlineLevel="1" thickBot="1">
      <c r="B234" s="82"/>
      <c r="C234" s="1232"/>
      <c r="D234" s="1232"/>
      <c r="E234" s="85">
        <f>'Terms and Turnovers'!$AX$12</f>
        <v>0</v>
      </c>
      <c r="F234" s="121">
        <f>$R234*G234</f>
        <v>0</v>
      </c>
      <c r="G234" s="72"/>
      <c r="H234" s="121">
        <f>$R234*I234</f>
        <v>0</v>
      </c>
      <c r="I234" s="69">
        <v>0</v>
      </c>
      <c r="J234" s="121">
        <f>$R234*K234</f>
        <v>0</v>
      </c>
      <c r="K234" s="69">
        <v>0</v>
      </c>
      <c r="L234" s="121">
        <f>$R234*M234</f>
        <v>0</v>
      </c>
      <c r="M234" s="69">
        <v>0</v>
      </c>
      <c r="N234" s="316">
        <f>$R234*O234</f>
        <v>0</v>
      </c>
      <c r="O234" s="69">
        <v>0</v>
      </c>
      <c r="P234" s="121">
        <f>$R234*Q234</f>
        <v>0</v>
      </c>
      <c r="Q234" s="69">
        <v>0</v>
      </c>
      <c r="R234" s="89">
        <f>'Terms and Turnovers'!AY48</f>
        <v>0</v>
      </c>
      <c r="S234" s="162">
        <f t="shared" si="15"/>
        <v>0</v>
      </c>
      <c r="T234" s="121">
        <f>$AF234*U234</f>
        <v>0</v>
      </c>
      <c r="U234" s="69">
        <v>0</v>
      </c>
      <c r="V234" s="121">
        <f>$AF234*W234</f>
        <v>0</v>
      </c>
      <c r="W234" s="69">
        <v>0</v>
      </c>
      <c r="X234" s="121">
        <f>$AF234*Y234</f>
        <v>0</v>
      </c>
      <c r="Y234" s="69">
        <v>0</v>
      </c>
      <c r="Z234" s="121">
        <f>$AF234*AA234</f>
        <v>0</v>
      </c>
      <c r="AA234" s="69">
        <v>0</v>
      </c>
      <c r="AB234" s="316">
        <f>$AF234*AC234</f>
        <v>0</v>
      </c>
      <c r="AC234" s="69">
        <v>0</v>
      </c>
      <c r="AD234" s="121">
        <f>$AF234*AE234</f>
        <v>0</v>
      </c>
      <c r="AE234" s="69">
        <v>0</v>
      </c>
      <c r="AF234" s="89">
        <f>'Terms and Turnovers'!BD48</f>
        <v>0</v>
      </c>
      <c r="AG234" s="162">
        <f t="shared" si="16"/>
        <v>0</v>
      </c>
      <c r="AH234" s="159">
        <f t="shared" si="17"/>
        <v>0</v>
      </c>
      <c r="AI234" s="137">
        <f t="shared" si="18"/>
        <v>0</v>
      </c>
      <c r="AJ234" s="65"/>
      <c r="AL234" s="461">
        <f>SUM(F234,H234,J234,L234,N234,P234,T234,V234,X234,Z234,AB234,AD234)</f>
        <v>0</v>
      </c>
      <c r="AM234" s="462">
        <f>AL234-AH234</f>
        <v>0</v>
      </c>
      <c r="AO234" s="692"/>
      <c r="AP234" s="692"/>
      <c r="AV234" s="56"/>
    </row>
    <row r="235" spans="1:48" ht="13.5" customHeight="1" outlineLevel="1" thickBot="1">
      <c r="A235" s="119"/>
      <c r="B235" s="82"/>
      <c r="C235" s="425"/>
      <c r="D235" s="425"/>
      <c r="E235" s="426"/>
      <c r="F235" s="427">
        <f>SUM(F230:F234)</f>
        <v>0</v>
      </c>
      <c r="G235" s="428"/>
      <c r="H235" s="427">
        <f>SUM(H230:H234)</f>
        <v>0</v>
      </c>
      <c r="I235" s="69"/>
      <c r="J235" s="427">
        <f>SUM(J230:J234)</f>
        <v>0</v>
      </c>
      <c r="K235" s="69"/>
      <c r="L235" s="427">
        <f>SUM(L230:L234)</f>
        <v>0</v>
      </c>
      <c r="M235" s="69"/>
      <c r="N235" s="427">
        <f>SUM(N230:N234)</f>
        <v>0</v>
      </c>
      <c r="O235" s="69"/>
      <c r="P235" s="427">
        <f>SUM(P230:P234)</f>
        <v>0</v>
      </c>
      <c r="Q235" s="69"/>
      <c r="R235" s="429"/>
      <c r="S235" s="430"/>
      <c r="T235" s="427">
        <f>SUM(T230:T234)</f>
        <v>0</v>
      </c>
      <c r="U235" s="428"/>
      <c r="V235" s="427">
        <f>SUM(V230:V234)</f>
        <v>0</v>
      </c>
      <c r="W235" s="69"/>
      <c r="X235" s="427">
        <f>SUM(X230:X234)</f>
        <v>0</v>
      </c>
      <c r="Y235" s="69"/>
      <c r="Z235" s="427">
        <f>SUM(Z230:Z234)</f>
        <v>0</v>
      </c>
      <c r="AA235" s="69"/>
      <c r="AB235" s="427">
        <f>SUM(AB230:AB234)</f>
        <v>0</v>
      </c>
      <c r="AC235" s="69"/>
      <c r="AD235" s="427">
        <f>SUM(AD230:AD234)</f>
        <v>0</v>
      </c>
      <c r="AE235" s="69"/>
      <c r="AF235" s="429"/>
      <c r="AG235" s="430"/>
      <c r="AH235" s="431"/>
      <c r="AI235" s="432"/>
      <c r="AJ235" s="65"/>
      <c r="AO235" s="692"/>
      <c r="AP235" s="692"/>
      <c r="AV235" s="56"/>
    </row>
    <row r="236" spans="1:48" ht="13.5" customHeight="1" outlineLevel="1" thickBot="1">
      <c r="A236" s="119"/>
      <c r="B236" s="82"/>
      <c r="C236" s="1098" t="s">
        <v>484</v>
      </c>
      <c r="D236" s="433">
        <f>D230</f>
        <v>0</v>
      </c>
      <c r="E236" s="426"/>
      <c r="F236" s="700"/>
      <c r="G236" s="428"/>
      <c r="H236" s="700"/>
      <c r="I236" s="69"/>
      <c r="J236" s="700"/>
      <c r="K236" s="69"/>
      <c r="L236" s="700"/>
      <c r="M236" s="69"/>
      <c r="N236" s="700"/>
      <c r="O236" s="69"/>
      <c r="P236" s="700"/>
      <c r="Q236" s="69"/>
      <c r="R236" s="429"/>
      <c r="S236" s="430"/>
      <c r="T236" s="700"/>
      <c r="U236" s="428">
        <f>Q235</f>
        <v>0</v>
      </c>
      <c r="V236" s="700"/>
      <c r="W236" s="69">
        <f>S235</f>
        <v>0</v>
      </c>
      <c r="X236" s="700"/>
      <c r="Y236" s="69">
        <f>U235</f>
        <v>0</v>
      </c>
      <c r="Z236" s="700"/>
      <c r="AA236" s="69">
        <f>W235</f>
        <v>0</v>
      </c>
      <c r="AB236" s="700"/>
      <c r="AC236" s="69">
        <f>Y235</f>
        <v>0</v>
      </c>
      <c r="AD236" s="700"/>
      <c r="AE236" s="69"/>
      <c r="AF236" s="429"/>
      <c r="AG236" s="430"/>
      <c r="AH236" s="431"/>
      <c r="AI236" s="432"/>
      <c r="AJ236" s="65"/>
      <c r="AN236" s="742">
        <f>SUM(AF230:AF234)*AQ236</f>
        <v>0</v>
      </c>
      <c r="AO236" s="742">
        <f>SUM(R230:R234)*AQ236</f>
        <v>0</v>
      </c>
      <c r="AP236" s="742"/>
      <c r="AQ236" s="693">
        <v>0.15</v>
      </c>
      <c r="AS236" s="716">
        <f>SUM(AL230:AL234)</f>
        <v>0</v>
      </c>
      <c r="AT236" s="461">
        <f>F236+H236+J236+L236+N236+P236+T236+V236+X236+Z236+AB236+AD236</f>
        <v>0</v>
      </c>
      <c r="AU236" s="745">
        <f>AT236-AS236</f>
        <v>0</v>
      </c>
      <c r="AV236" s="462" t="e">
        <f>AT236/AS236</f>
        <v>#DIV/0!</v>
      </c>
    </row>
    <row r="237" spans="1:48" ht="13.5" customHeight="1" outlineLevel="1" thickBot="1">
      <c r="B237" s="82">
        <f>B230+1</f>
        <v>34</v>
      </c>
      <c r="C237" s="1230">
        <f>'Terms and Turnovers'!C49</f>
        <v>0</v>
      </c>
      <c r="D237" s="1230">
        <f>'Terms and Turnovers'!D49</f>
        <v>0</v>
      </c>
      <c r="E237" s="83" t="str">
        <f>'Terms and Turnovers'!$J$12</f>
        <v>FLIP-FLOPS</v>
      </c>
      <c r="F237" s="118">
        <f>$R237*G237</f>
        <v>0</v>
      </c>
      <c r="G237" s="69"/>
      <c r="H237" s="314">
        <f>$R237*I237</f>
        <v>0</v>
      </c>
      <c r="I237" s="69">
        <v>0</v>
      </c>
      <c r="J237" s="118">
        <f>$R237*K237</f>
        <v>0</v>
      </c>
      <c r="K237" s="69">
        <v>0</v>
      </c>
      <c r="L237" s="314">
        <f>$R237*M237</f>
        <v>0</v>
      </c>
      <c r="M237" s="69">
        <v>0</v>
      </c>
      <c r="N237" s="314">
        <f>$R237*O237</f>
        <v>0</v>
      </c>
      <c r="O237" s="69">
        <v>0</v>
      </c>
      <c r="P237" s="118">
        <f>$R237*Q237</f>
        <v>0</v>
      </c>
      <c r="Q237" s="69">
        <v>0</v>
      </c>
      <c r="R237" s="87">
        <f>'Terms and Turnovers'!K49</f>
        <v>0</v>
      </c>
      <c r="S237" s="160">
        <f t="shared" si="15"/>
        <v>0</v>
      </c>
      <c r="T237" s="118">
        <f>$AF237*U237</f>
        <v>0</v>
      </c>
      <c r="U237" s="69">
        <v>0</v>
      </c>
      <c r="V237" s="314">
        <f>$AF237*W237</f>
        <v>0</v>
      </c>
      <c r="W237" s="69">
        <v>0</v>
      </c>
      <c r="X237" s="118">
        <f>$AF237*Y237</f>
        <v>0</v>
      </c>
      <c r="Y237" s="69">
        <v>0</v>
      </c>
      <c r="Z237" s="314">
        <f>$AF237*AA237</f>
        <v>0</v>
      </c>
      <c r="AA237" s="69">
        <v>0</v>
      </c>
      <c r="AB237" s="314">
        <f>$AF237*AC237</f>
        <v>0</v>
      </c>
      <c r="AC237" s="69">
        <v>0</v>
      </c>
      <c r="AD237" s="118">
        <f>$AF237*AE237</f>
        <v>0</v>
      </c>
      <c r="AE237" s="69">
        <v>0</v>
      </c>
      <c r="AF237" s="87">
        <f>'Terms and Turnovers'!P49</f>
        <v>0</v>
      </c>
      <c r="AG237" s="160">
        <f t="shared" si="16"/>
        <v>0</v>
      </c>
      <c r="AH237" s="157">
        <f t="shared" si="17"/>
        <v>0</v>
      </c>
      <c r="AI237" s="131">
        <f t="shared" si="18"/>
        <v>0</v>
      </c>
      <c r="AJ237" s="65"/>
      <c r="AL237" s="461">
        <f>SUM(F237,H237,J237,L237,N237,P237,T237,V237,X237,Z237,AB237,AD237)</f>
        <v>0</v>
      </c>
      <c r="AM237" s="462">
        <f>AL237-AH237</f>
        <v>0</v>
      </c>
      <c r="AO237" s="692"/>
      <c r="AP237" s="692"/>
      <c r="AV237" s="56"/>
    </row>
    <row r="238" spans="1:48" ht="13.5" customHeight="1" outlineLevel="1" thickBot="1">
      <c r="B238" s="82"/>
      <c r="C238" s="1231"/>
      <c r="D238" s="1231"/>
      <c r="E238" s="84" t="str">
        <f>'Terms and Turnovers'!$T$12</f>
        <v>ORIGINALS</v>
      </c>
      <c r="F238" s="120">
        <f>$R238*G238</f>
        <v>0</v>
      </c>
      <c r="G238" s="723"/>
      <c r="H238" s="120">
        <f>$R238*I238</f>
        <v>0</v>
      </c>
      <c r="I238" s="69">
        <v>0</v>
      </c>
      <c r="J238" s="120">
        <f>$R238*K238</f>
        <v>0</v>
      </c>
      <c r="K238" s="69">
        <v>0</v>
      </c>
      <c r="L238" s="120">
        <f>$R238*M238</f>
        <v>0</v>
      </c>
      <c r="M238" s="69">
        <v>0</v>
      </c>
      <c r="N238" s="315">
        <f>$R238*O238</f>
        <v>0</v>
      </c>
      <c r="O238" s="69">
        <v>0</v>
      </c>
      <c r="P238" s="120">
        <f>$R238*Q238</f>
        <v>0</v>
      </c>
      <c r="Q238" s="69">
        <v>0</v>
      </c>
      <c r="R238" s="88">
        <f>'Terms and Turnovers'!U49</f>
        <v>0</v>
      </c>
      <c r="S238" s="161">
        <f t="shared" si="15"/>
        <v>0</v>
      </c>
      <c r="T238" s="120">
        <f>$AF238*U238</f>
        <v>0</v>
      </c>
      <c r="U238" s="69">
        <v>0</v>
      </c>
      <c r="V238" s="120">
        <f>$AF238*W238</f>
        <v>0</v>
      </c>
      <c r="W238" s="69">
        <v>0</v>
      </c>
      <c r="X238" s="120">
        <f>$AF238*Y238</f>
        <v>0</v>
      </c>
      <c r="Y238" s="69">
        <v>0</v>
      </c>
      <c r="Z238" s="120">
        <f>$AF238*AA238</f>
        <v>0</v>
      </c>
      <c r="AA238" s="69">
        <v>0</v>
      </c>
      <c r="AB238" s="315">
        <f>$AF238*AC238</f>
        <v>0</v>
      </c>
      <c r="AC238" s="69">
        <v>0</v>
      </c>
      <c r="AD238" s="120">
        <f>$AF238*AE238</f>
        <v>0</v>
      </c>
      <c r="AE238" s="69">
        <v>0</v>
      </c>
      <c r="AF238" s="88">
        <f>'Terms and Turnovers'!Z49</f>
        <v>0</v>
      </c>
      <c r="AG238" s="161">
        <f t="shared" si="16"/>
        <v>0</v>
      </c>
      <c r="AH238" s="158">
        <f t="shared" si="17"/>
        <v>0</v>
      </c>
      <c r="AI238" s="134">
        <f t="shared" si="18"/>
        <v>0</v>
      </c>
      <c r="AJ238" s="65"/>
      <c r="AL238" s="461">
        <f>SUM(F238,H238,J238,L238,N238,P238,T238,V238,X238,Z238,AB238,AD238)</f>
        <v>0</v>
      </c>
      <c r="AM238" s="462">
        <f>AL238-AH238</f>
        <v>0</v>
      </c>
      <c r="AO238" s="692"/>
      <c r="AP238" s="692"/>
      <c r="AV238" s="56"/>
    </row>
    <row r="239" spans="1:48" ht="13.5" customHeight="1" outlineLevel="1" thickBot="1">
      <c r="B239" s="82"/>
      <c r="C239" s="1231"/>
      <c r="D239" s="1231"/>
      <c r="E239" s="84" t="str">
        <f>'Terms and Turnovers'!$AD$12</f>
        <v>ACCESSORIES</v>
      </c>
      <c r="F239" s="120">
        <f>$R239*G239</f>
        <v>0</v>
      </c>
      <c r="G239" s="723"/>
      <c r="H239" s="120">
        <f>$R239*I239</f>
        <v>0</v>
      </c>
      <c r="I239" s="69">
        <v>0</v>
      </c>
      <c r="J239" s="120">
        <f>$R239*K239</f>
        <v>0</v>
      </c>
      <c r="K239" s="69">
        <v>0</v>
      </c>
      <c r="L239" s="120">
        <f>$R239*M239</f>
        <v>0</v>
      </c>
      <c r="M239" s="69">
        <v>0</v>
      </c>
      <c r="N239" s="315">
        <f>$R239*O239</f>
        <v>0</v>
      </c>
      <c r="O239" s="69">
        <v>0</v>
      </c>
      <c r="P239" s="120">
        <f>$R239*Q239</f>
        <v>0</v>
      </c>
      <c r="Q239" s="69">
        <v>0</v>
      </c>
      <c r="R239" s="88">
        <f>'Terms and Turnovers'!AE49</f>
        <v>0</v>
      </c>
      <c r="S239" s="161">
        <f t="shared" si="15"/>
        <v>0</v>
      </c>
      <c r="T239" s="120">
        <f>$AF239*U239</f>
        <v>0</v>
      </c>
      <c r="U239" s="69">
        <v>0</v>
      </c>
      <c r="V239" s="120">
        <f>$AF239*W239</f>
        <v>0</v>
      </c>
      <c r="W239" s="69">
        <v>0</v>
      </c>
      <c r="X239" s="120">
        <f>$AF239*Y239</f>
        <v>0</v>
      </c>
      <c r="Y239" s="69">
        <v>0</v>
      </c>
      <c r="Z239" s="120">
        <f>$AF239*AA239</f>
        <v>0</v>
      </c>
      <c r="AA239" s="69">
        <v>0</v>
      </c>
      <c r="AB239" s="315">
        <f>$AF239*AC239</f>
        <v>0</v>
      </c>
      <c r="AC239" s="69">
        <v>0</v>
      </c>
      <c r="AD239" s="120">
        <f>$AF239*AE239</f>
        <v>0</v>
      </c>
      <c r="AE239" s="69">
        <v>0</v>
      </c>
      <c r="AF239" s="88">
        <f>'Terms and Turnovers'!AJ49</f>
        <v>0</v>
      </c>
      <c r="AG239" s="161">
        <f t="shared" si="16"/>
        <v>0</v>
      </c>
      <c r="AH239" s="158">
        <f t="shared" si="17"/>
        <v>0</v>
      </c>
      <c r="AI239" s="134">
        <f t="shared" si="18"/>
        <v>0</v>
      </c>
      <c r="AJ239" s="65"/>
      <c r="AL239" s="461">
        <f>SUM(F239,H239,J239,L239,N239,P239,T239,V239,X239,Z239,AB239,AD239)</f>
        <v>0</v>
      </c>
      <c r="AM239" s="462">
        <f>AL239-AH239</f>
        <v>0</v>
      </c>
      <c r="AO239" s="692"/>
      <c r="AP239" s="692"/>
      <c r="AV239" s="56"/>
    </row>
    <row r="240" spans="1:48" ht="13.5" customHeight="1" outlineLevel="1" thickBot="1">
      <c r="B240" s="82"/>
      <c r="C240" s="1231"/>
      <c r="D240" s="1231"/>
      <c r="E240" s="84">
        <f>'Terms and Turnovers'!$AN$12</f>
        <v>0</v>
      </c>
      <c r="F240" s="120">
        <f>$R240*G240</f>
        <v>0</v>
      </c>
      <c r="G240" s="723"/>
      <c r="H240" s="120">
        <f>$R240*I240</f>
        <v>0</v>
      </c>
      <c r="I240" s="69">
        <v>0</v>
      </c>
      <c r="J240" s="120">
        <f>$R240*K240</f>
        <v>0</v>
      </c>
      <c r="K240" s="69">
        <v>0</v>
      </c>
      <c r="L240" s="120">
        <f>$R240*M240</f>
        <v>0</v>
      </c>
      <c r="M240" s="69">
        <v>0</v>
      </c>
      <c r="N240" s="315">
        <f>$R240*O240</f>
        <v>0</v>
      </c>
      <c r="O240" s="69">
        <v>0</v>
      </c>
      <c r="P240" s="120">
        <f>$R240*Q240</f>
        <v>0</v>
      </c>
      <c r="Q240" s="69">
        <v>0</v>
      </c>
      <c r="R240" s="88">
        <f>'Terms and Turnovers'!AO49</f>
        <v>0</v>
      </c>
      <c r="S240" s="161">
        <f t="shared" si="15"/>
        <v>0</v>
      </c>
      <c r="T240" s="120">
        <f>$AF240*U240</f>
        <v>0</v>
      </c>
      <c r="U240" s="69">
        <v>0</v>
      </c>
      <c r="V240" s="120">
        <f>$AF240*W240</f>
        <v>0</v>
      </c>
      <c r="W240" s="69">
        <v>0</v>
      </c>
      <c r="X240" s="120">
        <f>$AF240*Y240</f>
        <v>0</v>
      </c>
      <c r="Y240" s="69">
        <v>0</v>
      </c>
      <c r="Z240" s="120">
        <f>$AF240*AA240</f>
        <v>0</v>
      </c>
      <c r="AA240" s="69">
        <v>0</v>
      </c>
      <c r="AB240" s="315">
        <f>$AF240*AC240</f>
        <v>0</v>
      </c>
      <c r="AC240" s="69">
        <v>0</v>
      </c>
      <c r="AD240" s="120">
        <f>$AF240*AE240</f>
        <v>0</v>
      </c>
      <c r="AE240" s="69">
        <v>0</v>
      </c>
      <c r="AF240" s="88">
        <f>'Terms and Turnovers'!AT49</f>
        <v>0</v>
      </c>
      <c r="AG240" s="161">
        <f t="shared" si="16"/>
        <v>0</v>
      </c>
      <c r="AH240" s="158">
        <f t="shared" si="17"/>
        <v>0</v>
      </c>
      <c r="AI240" s="134">
        <f t="shared" si="18"/>
        <v>0</v>
      </c>
      <c r="AJ240" s="65"/>
      <c r="AL240" s="461">
        <f>SUM(F240,H240,J240,L240,N240,P240,T240,V240,X240,Z240,AB240,AD240)</f>
        <v>0</v>
      </c>
      <c r="AM240" s="462">
        <f>AL240-AH240</f>
        <v>0</v>
      </c>
      <c r="AO240" s="692"/>
      <c r="AP240" s="692"/>
      <c r="AV240" s="56"/>
    </row>
    <row r="241" spans="1:48" ht="13.5" customHeight="1" outlineLevel="1" thickBot="1">
      <c r="B241" s="82"/>
      <c r="C241" s="1232"/>
      <c r="D241" s="1232"/>
      <c r="E241" s="85">
        <f>'Terms and Turnovers'!$AX$12</f>
        <v>0</v>
      </c>
      <c r="F241" s="121">
        <f>$R241*G241</f>
        <v>0</v>
      </c>
      <c r="G241" s="72"/>
      <c r="H241" s="121">
        <f>$R241*I241</f>
        <v>0</v>
      </c>
      <c r="I241" s="69">
        <v>0</v>
      </c>
      <c r="J241" s="121">
        <f>$R241*K241</f>
        <v>0</v>
      </c>
      <c r="K241" s="69">
        <v>0</v>
      </c>
      <c r="L241" s="121">
        <f>$R241*M241</f>
        <v>0</v>
      </c>
      <c r="M241" s="69">
        <v>0</v>
      </c>
      <c r="N241" s="316">
        <f>$R241*O241</f>
        <v>0</v>
      </c>
      <c r="O241" s="69">
        <v>0</v>
      </c>
      <c r="P241" s="121">
        <f>$R241*Q241</f>
        <v>0</v>
      </c>
      <c r="Q241" s="69">
        <v>0</v>
      </c>
      <c r="R241" s="89">
        <f>'Terms and Turnovers'!AY49</f>
        <v>0</v>
      </c>
      <c r="S241" s="162">
        <f t="shared" si="15"/>
        <v>0</v>
      </c>
      <c r="T241" s="121">
        <f>$AF241*U241</f>
        <v>0</v>
      </c>
      <c r="U241" s="69">
        <v>0</v>
      </c>
      <c r="V241" s="121">
        <f>$AF241*W241</f>
        <v>0</v>
      </c>
      <c r="W241" s="69">
        <v>0</v>
      </c>
      <c r="X241" s="121">
        <f>$AF241*Y241</f>
        <v>0</v>
      </c>
      <c r="Y241" s="69">
        <v>0</v>
      </c>
      <c r="Z241" s="121">
        <f>$AF241*AA241</f>
        <v>0</v>
      </c>
      <c r="AA241" s="69">
        <v>0</v>
      </c>
      <c r="AB241" s="316">
        <f>$AF241*AC241</f>
        <v>0</v>
      </c>
      <c r="AC241" s="69">
        <v>0</v>
      </c>
      <c r="AD241" s="121">
        <f>$AF241*AE241</f>
        <v>0</v>
      </c>
      <c r="AE241" s="69">
        <v>0</v>
      </c>
      <c r="AF241" s="89">
        <f>'Terms and Turnovers'!BD49</f>
        <v>0</v>
      </c>
      <c r="AG241" s="162">
        <f t="shared" si="16"/>
        <v>0</v>
      </c>
      <c r="AH241" s="159">
        <f t="shared" si="17"/>
        <v>0</v>
      </c>
      <c r="AI241" s="137">
        <f t="shared" si="18"/>
        <v>0</v>
      </c>
      <c r="AJ241" s="65"/>
      <c r="AL241" s="461">
        <f>SUM(F241,H241,J241,L241,N241,P241,T241,V241,X241,Z241,AB241,AD241)</f>
        <v>0</v>
      </c>
      <c r="AM241" s="462">
        <f>AL241-AH241</f>
        <v>0</v>
      </c>
      <c r="AO241" s="692"/>
      <c r="AP241" s="692"/>
      <c r="AV241" s="56"/>
    </row>
    <row r="242" spans="1:48" ht="13.5" customHeight="1" outlineLevel="1" thickBot="1">
      <c r="A242" s="119"/>
      <c r="B242" s="82"/>
      <c r="C242" s="425"/>
      <c r="D242" s="425"/>
      <c r="E242" s="426"/>
      <c r="F242" s="427">
        <f>SUM(F237:F241)</f>
        <v>0</v>
      </c>
      <c r="G242" s="428"/>
      <c r="H242" s="427">
        <f>SUM(H237:H241)</f>
        <v>0</v>
      </c>
      <c r="I242" s="69"/>
      <c r="J242" s="427">
        <f>SUM(J237:J241)</f>
        <v>0</v>
      </c>
      <c r="K242" s="69"/>
      <c r="L242" s="427">
        <f>SUM(L237:L241)</f>
        <v>0</v>
      </c>
      <c r="M242" s="69"/>
      <c r="N242" s="427">
        <f>SUM(N237:N241)</f>
        <v>0</v>
      </c>
      <c r="O242" s="69"/>
      <c r="P242" s="427">
        <f>SUM(P237:P241)</f>
        <v>0</v>
      </c>
      <c r="Q242" s="69"/>
      <c r="R242" s="429"/>
      <c r="S242" s="430"/>
      <c r="T242" s="427">
        <f>SUM(T237:T241)</f>
        <v>0</v>
      </c>
      <c r="U242" s="428"/>
      <c r="V242" s="427">
        <f>SUM(V237:V241)</f>
        <v>0</v>
      </c>
      <c r="W242" s="69"/>
      <c r="X242" s="427">
        <f>SUM(X237:X241)</f>
        <v>0</v>
      </c>
      <c r="Y242" s="69"/>
      <c r="Z242" s="427">
        <f>SUM(Z237:Z241)</f>
        <v>0</v>
      </c>
      <c r="AA242" s="69"/>
      <c r="AB242" s="427">
        <f>SUM(AB237:AB241)</f>
        <v>0</v>
      </c>
      <c r="AC242" s="69"/>
      <c r="AD242" s="427">
        <f>SUM(AD237:AD241)</f>
        <v>0</v>
      </c>
      <c r="AE242" s="69"/>
      <c r="AF242" s="429"/>
      <c r="AG242" s="430"/>
      <c r="AH242" s="431"/>
      <c r="AI242" s="432"/>
      <c r="AJ242" s="65"/>
      <c r="AO242" s="692"/>
      <c r="AP242" s="692"/>
      <c r="AV242" s="56"/>
    </row>
    <row r="243" spans="1:48" ht="13.5" customHeight="1" outlineLevel="1" thickBot="1">
      <c r="A243" s="119"/>
      <c r="B243" s="82"/>
      <c r="C243" s="1098" t="s">
        <v>484</v>
      </c>
      <c r="D243" s="433">
        <f>D237</f>
        <v>0</v>
      </c>
      <c r="E243" s="426"/>
      <c r="F243" s="700"/>
      <c r="G243" s="428"/>
      <c r="H243" s="1106"/>
      <c r="I243" s="847"/>
      <c r="J243" s="1106"/>
      <c r="K243" s="847"/>
      <c r="L243" s="1106"/>
      <c r="M243" s="847"/>
      <c r="N243" s="1106"/>
      <c r="O243" s="847"/>
      <c r="P243" s="1106"/>
      <c r="Q243" s="69"/>
      <c r="R243" s="429"/>
      <c r="S243" s="430"/>
      <c r="T243" s="1106"/>
      <c r="U243" s="846"/>
      <c r="V243" s="1106"/>
      <c r="W243" s="847"/>
      <c r="X243" s="1106"/>
      <c r="Y243" s="847"/>
      <c r="Z243" s="1106"/>
      <c r="AA243" s="847"/>
      <c r="AB243" s="1106"/>
      <c r="AC243" s="847"/>
      <c r="AD243" s="1106"/>
      <c r="AE243" s="69"/>
      <c r="AF243" s="429"/>
      <c r="AG243" s="430"/>
      <c r="AH243" s="431"/>
      <c r="AI243" s="432"/>
      <c r="AJ243" s="65"/>
      <c r="AN243" s="742">
        <f>SUM(AF237:AF241)*AQ243</f>
        <v>0</v>
      </c>
      <c r="AO243" s="742">
        <f>SUM(R237:R241)*AQ243</f>
        <v>0</v>
      </c>
      <c r="AP243" s="742">
        <v>0</v>
      </c>
      <c r="AQ243" s="693">
        <v>0</v>
      </c>
      <c r="AS243" s="716">
        <f>SUM(AL237:AL241)</f>
        <v>0</v>
      </c>
      <c r="AT243" s="461">
        <f>F243+H243+J243+L243+N243+P243+T243+V243+X243+Z243+AB243+AD243</f>
        <v>0</v>
      </c>
      <c r="AU243" s="745">
        <f>AT243-AS243</f>
        <v>0</v>
      </c>
      <c r="AV243" s="462" t="e">
        <f>AT243/AS243</f>
        <v>#DIV/0!</v>
      </c>
    </row>
    <row r="244" spans="1:48" ht="13.5" customHeight="1" outlineLevel="1" thickBot="1">
      <c r="B244" s="82">
        <f>B237+1</f>
        <v>35</v>
      </c>
      <c r="C244" s="1230">
        <f>'Terms and Turnovers'!C50</f>
        <v>0</v>
      </c>
      <c r="D244" s="1230">
        <f>'Terms and Turnovers'!D50</f>
        <v>0</v>
      </c>
      <c r="E244" s="83" t="str">
        <f>'Terms and Turnovers'!$J$12</f>
        <v>FLIP-FLOPS</v>
      </c>
      <c r="F244" s="118">
        <f>$R244*G244</f>
        <v>0</v>
      </c>
      <c r="G244" s="69"/>
      <c r="H244" s="314">
        <f>$R244*I244</f>
        <v>0</v>
      </c>
      <c r="I244" s="69">
        <v>0</v>
      </c>
      <c r="J244" s="118">
        <f>$R244*K244</f>
        <v>0</v>
      </c>
      <c r="K244" s="69">
        <v>0</v>
      </c>
      <c r="L244" s="314">
        <f>$R244*M244</f>
        <v>0</v>
      </c>
      <c r="M244" s="69">
        <v>0</v>
      </c>
      <c r="N244" s="314">
        <f>$R244*O244</f>
        <v>0</v>
      </c>
      <c r="O244" s="69">
        <v>0</v>
      </c>
      <c r="P244" s="118">
        <f>$R244*Q244</f>
        <v>0</v>
      </c>
      <c r="Q244" s="69">
        <v>0</v>
      </c>
      <c r="R244" s="87">
        <f>'Terms and Turnovers'!K50</f>
        <v>0</v>
      </c>
      <c r="S244" s="160">
        <f t="shared" si="15"/>
        <v>0</v>
      </c>
      <c r="T244" s="118">
        <f>$AF244*U244</f>
        <v>0</v>
      </c>
      <c r="U244" s="69">
        <v>0</v>
      </c>
      <c r="V244" s="314">
        <f>$AF244*W244</f>
        <v>0</v>
      </c>
      <c r="W244" s="69">
        <v>0</v>
      </c>
      <c r="X244" s="118">
        <f>$AF244*Y244</f>
        <v>0</v>
      </c>
      <c r="Y244" s="69">
        <v>0</v>
      </c>
      <c r="Z244" s="314">
        <f>$AF244*AA244</f>
        <v>0</v>
      </c>
      <c r="AA244" s="69">
        <v>0</v>
      </c>
      <c r="AB244" s="314">
        <f>$AF244*AC244</f>
        <v>0</v>
      </c>
      <c r="AC244" s="69">
        <v>0</v>
      </c>
      <c r="AD244" s="118">
        <f>$AF244*AE244</f>
        <v>0</v>
      </c>
      <c r="AE244" s="69">
        <v>0</v>
      </c>
      <c r="AF244" s="87">
        <f>'Terms and Turnovers'!P50</f>
        <v>0</v>
      </c>
      <c r="AG244" s="160">
        <f t="shared" si="16"/>
        <v>0</v>
      </c>
      <c r="AH244" s="157">
        <f t="shared" si="17"/>
        <v>0</v>
      </c>
      <c r="AI244" s="131">
        <f t="shared" si="18"/>
        <v>0</v>
      </c>
      <c r="AJ244" s="65"/>
      <c r="AL244" s="461">
        <f>SUM(F244,H244,J244,L244,N244,P244,T244,V244,X244,Z244,AB244,AD244)</f>
        <v>0</v>
      </c>
      <c r="AM244" s="462">
        <f>AL244-AH244</f>
        <v>0</v>
      </c>
      <c r="AO244" s="692"/>
      <c r="AP244" s="692"/>
      <c r="AV244" s="56"/>
    </row>
    <row r="245" spans="1:48" ht="13.5" customHeight="1" outlineLevel="1" thickBot="1">
      <c r="B245" s="82"/>
      <c r="C245" s="1231"/>
      <c r="D245" s="1231"/>
      <c r="E245" s="84" t="str">
        <f>'Terms and Turnovers'!$T$12</f>
        <v>ORIGINALS</v>
      </c>
      <c r="F245" s="120">
        <f>$R245*G245</f>
        <v>0</v>
      </c>
      <c r="G245" s="723"/>
      <c r="H245" s="120">
        <f>$R245*I245</f>
        <v>0</v>
      </c>
      <c r="I245" s="69">
        <v>0</v>
      </c>
      <c r="J245" s="120">
        <f>$R245*K245</f>
        <v>0</v>
      </c>
      <c r="K245" s="69">
        <v>0</v>
      </c>
      <c r="L245" s="120">
        <f>$R245*M245</f>
        <v>0</v>
      </c>
      <c r="M245" s="69">
        <v>0</v>
      </c>
      <c r="N245" s="315">
        <f>$R245*O245</f>
        <v>0</v>
      </c>
      <c r="O245" s="69">
        <v>0</v>
      </c>
      <c r="P245" s="120">
        <f>$R245*Q245</f>
        <v>0</v>
      </c>
      <c r="Q245" s="69">
        <v>0</v>
      </c>
      <c r="R245" s="88">
        <f>'Terms and Turnovers'!U50</f>
        <v>0</v>
      </c>
      <c r="S245" s="161">
        <f t="shared" si="15"/>
        <v>0</v>
      </c>
      <c r="T245" s="120">
        <f>$AF245*U245</f>
        <v>0</v>
      </c>
      <c r="U245" s="69">
        <v>0</v>
      </c>
      <c r="V245" s="120">
        <f>$AF245*W245</f>
        <v>0</v>
      </c>
      <c r="W245" s="69">
        <v>0</v>
      </c>
      <c r="X245" s="120">
        <f>$AF245*Y245</f>
        <v>0</v>
      </c>
      <c r="Y245" s="69">
        <v>0</v>
      </c>
      <c r="Z245" s="120">
        <f>$AF245*AA245</f>
        <v>0</v>
      </c>
      <c r="AA245" s="69">
        <v>0</v>
      </c>
      <c r="AB245" s="315">
        <f>$AF245*AC245</f>
        <v>0</v>
      </c>
      <c r="AC245" s="69">
        <v>0</v>
      </c>
      <c r="AD245" s="120">
        <f>$AF245*AE245</f>
        <v>0</v>
      </c>
      <c r="AE245" s="69">
        <v>0</v>
      </c>
      <c r="AF245" s="88">
        <f>'Terms and Turnovers'!Z50</f>
        <v>0</v>
      </c>
      <c r="AG245" s="161">
        <f t="shared" si="16"/>
        <v>0</v>
      </c>
      <c r="AH245" s="158">
        <f t="shared" si="17"/>
        <v>0</v>
      </c>
      <c r="AI245" s="134">
        <f t="shared" si="18"/>
        <v>0</v>
      </c>
      <c r="AJ245" s="65"/>
      <c r="AL245" s="461">
        <f>SUM(F245,H245,J245,L245,N245,P245,T245,V245,X245,Z245,AB245,AD245)</f>
        <v>0</v>
      </c>
      <c r="AM245" s="462">
        <f>AL245-AH245</f>
        <v>0</v>
      </c>
      <c r="AO245" s="692"/>
      <c r="AP245" s="692"/>
      <c r="AV245" s="56"/>
    </row>
    <row r="246" spans="1:48" ht="13.5" customHeight="1" outlineLevel="1" thickBot="1">
      <c r="B246" s="82"/>
      <c r="C246" s="1231"/>
      <c r="D246" s="1231"/>
      <c r="E246" s="84" t="str">
        <f>'Terms and Turnovers'!$AD$12</f>
        <v>ACCESSORIES</v>
      </c>
      <c r="F246" s="120">
        <f>$R246*G246</f>
        <v>0</v>
      </c>
      <c r="G246" s="723"/>
      <c r="H246" s="120">
        <f>$R246*I246</f>
        <v>0</v>
      </c>
      <c r="I246" s="69">
        <v>0</v>
      </c>
      <c r="J246" s="120">
        <f>$R246*K246</f>
        <v>0</v>
      </c>
      <c r="K246" s="69">
        <v>0</v>
      </c>
      <c r="L246" s="120">
        <f>$R246*M246</f>
        <v>0</v>
      </c>
      <c r="M246" s="69">
        <v>0</v>
      </c>
      <c r="N246" s="315">
        <f>$R246*O246</f>
        <v>0</v>
      </c>
      <c r="O246" s="69">
        <v>0</v>
      </c>
      <c r="P246" s="120">
        <f>$R246*Q246</f>
        <v>0</v>
      </c>
      <c r="Q246" s="69">
        <v>0</v>
      </c>
      <c r="R246" s="88">
        <f>'Terms and Turnovers'!AE50</f>
        <v>0</v>
      </c>
      <c r="S246" s="161">
        <f t="shared" si="15"/>
        <v>0</v>
      </c>
      <c r="T246" s="120">
        <f>$AF246*U246</f>
        <v>0</v>
      </c>
      <c r="U246" s="69">
        <v>0</v>
      </c>
      <c r="V246" s="120">
        <f>$AF246*W246</f>
        <v>0</v>
      </c>
      <c r="W246" s="69">
        <v>0</v>
      </c>
      <c r="X246" s="120">
        <f>$AF246*Y246</f>
        <v>0</v>
      </c>
      <c r="Y246" s="69">
        <v>0</v>
      </c>
      <c r="Z246" s="120">
        <f>$AF246*AA246</f>
        <v>0</v>
      </c>
      <c r="AA246" s="69">
        <v>0</v>
      </c>
      <c r="AB246" s="315">
        <f>$AF246*AC246</f>
        <v>0</v>
      </c>
      <c r="AC246" s="69">
        <v>0</v>
      </c>
      <c r="AD246" s="120">
        <f>$AF246*AE246</f>
        <v>0</v>
      </c>
      <c r="AE246" s="69">
        <v>0</v>
      </c>
      <c r="AF246" s="88">
        <f>'Terms and Turnovers'!AJ50</f>
        <v>0</v>
      </c>
      <c r="AG246" s="161">
        <f t="shared" si="16"/>
        <v>0</v>
      </c>
      <c r="AH246" s="158">
        <f t="shared" si="17"/>
        <v>0</v>
      </c>
      <c r="AI246" s="134">
        <f t="shared" si="18"/>
        <v>0</v>
      </c>
      <c r="AJ246" s="65"/>
      <c r="AL246" s="461">
        <f>SUM(F246,H246,J246,L246,N246,P246,T246,V246,X246,Z246,AB246,AD246)</f>
        <v>0</v>
      </c>
      <c r="AM246" s="462">
        <f>AL246-AH246</f>
        <v>0</v>
      </c>
      <c r="AO246" s="692"/>
      <c r="AP246" s="692"/>
      <c r="AV246" s="56"/>
    </row>
    <row r="247" spans="1:48" ht="13.5" customHeight="1" outlineLevel="1" thickBot="1">
      <c r="B247" s="82"/>
      <c r="C247" s="1231"/>
      <c r="D247" s="1231"/>
      <c r="E247" s="84">
        <f>'Terms and Turnovers'!$AN$12</f>
        <v>0</v>
      </c>
      <c r="F247" s="120">
        <f>$R247*G247</f>
        <v>0</v>
      </c>
      <c r="G247" s="723"/>
      <c r="H247" s="120">
        <f>$R247*I247</f>
        <v>0</v>
      </c>
      <c r="I247" s="69">
        <v>0</v>
      </c>
      <c r="J247" s="120">
        <f>$R247*K247</f>
        <v>0</v>
      </c>
      <c r="K247" s="69">
        <v>0</v>
      </c>
      <c r="L247" s="120">
        <f>$R247*M247</f>
        <v>0</v>
      </c>
      <c r="M247" s="69">
        <v>0</v>
      </c>
      <c r="N247" s="315">
        <f>$R247*O247</f>
        <v>0</v>
      </c>
      <c r="O247" s="69">
        <v>0</v>
      </c>
      <c r="P247" s="120">
        <f>$R247*Q247</f>
        <v>0</v>
      </c>
      <c r="Q247" s="69">
        <v>0</v>
      </c>
      <c r="R247" s="88">
        <f>'Terms and Turnovers'!AO50</f>
        <v>0</v>
      </c>
      <c r="S247" s="161">
        <f t="shared" si="15"/>
        <v>0</v>
      </c>
      <c r="T247" s="120">
        <f>$AF247*U247</f>
        <v>0</v>
      </c>
      <c r="U247" s="69">
        <v>0</v>
      </c>
      <c r="V247" s="120">
        <f>$AF247*W247</f>
        <v>0</v>
      </c>
      <c r="W247" s="69">
        <v>0</v>
      </c>
      <c r="X247" s="120">
        <f>$AF247*Y247</f>
        <v>0</v>
      </c>
      <c r="Y247" s="69">
        <v>0</v>
      </c>
      <c r="Z247" s="120">
        <f>$AF247*AA247</f>
        <v>0</v>
      </c>
      <c r="AA247" s="69">
        <v>0</v>
      </c>
      <c r="AB247" s="315">
        <f>$AF247*AC247</f>
        <v>0</v>
      </c>
      <c r="AC247" s="69">
        <v>0</v>
      </c>
      <c r="AD247" s="120">
        <f>$AF247*AE247</f>
        <v>0</v>
      </c>
      <c r="AE247" s="69">
        <v>0</v>
      </c>
      <c r="AF247" s="88">
        <f>'Terms and Turnovers'!AT50</f>
        <v>0</v>
      </c>
      <c r="AG247" s="161">
        <f t="shared" si="16"/>
        <v>0</v>
      </c>
      <c r="AH247" s="158">
        <f t="shared" si="17"/>
        <v>0</v>
      </c>
      <c r="AI247" s="134">
        <f t="shared" si="18"/>
        <v>0</v>
      </c>
      <c r="AJ247" s="65"/>
      <c r="AL247" s="461">
        <f>SUM(F247,H247,J247,L247,N247,P247,T247,V247,X247,Z247,AB247,AD247)</f>
        <v>0</v>
      </c>
      <c r="AM247" s="462">
        <f>AL247-AH247</f>
        <v>0</v>
      </c>
      <c r="AO247" s="692"/>
      <c r="AP247" s="692"/>
      <c r="AV247" s="56"/>
    </row>
    <row r="248" spans="1:48" ht="13.5" customHeight="1" outlineLevel="1" thickBot="1">
      <c r="B248" s="82"/>
      <c r="C248" s="1232"/>
      <c r="D248" s="1232"/>
      <c r="E248" s="85">
        <f>'Terms and Turnovers'!$AX$12</f>
        <v>0</v>
      </c>
      <c r="F248" s="121">
        <f>$R248*G248</f>
        <v>0</v>
      </c>
      <c r="G248" s="72"/>
      <c r="H248" s="121">
        <f>$R248*I248</f>
        <v>0</v>
      </c>
      <c r="I248" s="69">
        <v>0</v>
      </c>
      <c r="J248" s="121">
        <f>$R248*K248</f>
        <v>0</v>
      </c>
      <c r="K248" s="69">
        <v>0</v>
      </c>
      <c r="L248" s="121">
        <f>$R248*M248</f>
        <v>0</v>
      </c>
      <c r="M248" s="69">
        <v>0</v>
      </c>
      <c r="N248" s="316">
        <f>$R248*O248</f>
        <v>0</v>
      </c>
      <c r="O248" s="69">
        <v>0</v>
      </c>
      <c r="P248" s="121">
        <f>$R248*Q248</f>
        <v>0</v>
      </c>
      <c r="Q248" s="69">
        <v>0</v>
      </c>
      <c r="R248" s="89">
        <f>'Terms and Turnovers'!AY50</f>
        <v>0</v>
      </c>
      <c r="S248" s="162">
        <f t="shared" si="15"/>
        <v>0</v>
      </c>
      <c r="T248" s="121">
        <f>$AF248*U248</f>
        <v>0</v>
      </c>
      <c r="U248" s="69">
        <v>0</v>
      </c>
      <c r="V248" s="121">
        <f>$AF248*W248</f>
        <v>0</v>
      </c>
      <c r="W248" s="69">
        <v>0</v>
      </c>
      <c r="X248" s="121">
        <f>$AF248*Y248</f>
        <v>0</v>
      </c>
      <c r="Y248" s="69">
        <v>0</v>
      </c>
      <c r="Z248" s="121">
        <f>$AF248*AA248</f>
        <v>0</v>
      </c>
      <c r="AA248" s="69">
        <v>0</v>
      </c>
      <c r="AB248" s="316">
        <f>$AF248*AC248</f>
        <v>0</v>
      </c>
      <c r="AC248" s="69">
        <v>0</v>
      </c>
      <c r="AD248" s="121">
        <f>$AF248*AE248</f>
        <v>0</v>
      </c>
      <c r="AE248" s="69">
        <v>0</v>
      </c>
      <c r="AF248" s="89">
        <f>'Terms and Turnovers'!BD50</f>
        <v>0</v>
      </c>
      <c r="AG248" s="162">
        <f t="shared" si="16"/>
        <v>0</v>
      </c>
      <c r="AH248" s="159">
        <f t="shared" si="17"/>
        <v>0</v>
      </c>
      <c r="AI248" s="137">
        <f t="shared" si="18"/>
        <v>0</v>
      </c>
      <c r="AJ248" s="65"/>
      <c r="AL248" s="461">
        <f>SUM(F248,H248,J248,L248,N248,P248,T248,V248,X248,Z248,AB248,AD248)</f>
        <v>0</v>
      </c>
      <c r="AM248" s="462">
        <f>AL248-AH248</f>
        <v>0</v>
      </c>
      <c r="AO248" s="692"/>
      <c r="AP248" s="692"/>
      <c r="AV248" s="56"/>
    </row>
    <row r="249" spans="1:48" ht="13.5" customHeight="1" outlineLevel="1" thickBot="1">
      <c r="A249" s="119"/>
      <c r="B249" s="82"/>
      <c r="C249" s="425"/>
      <c r="D249" s="425"/>
      <c r="E249" s="426"/>
      <c r="F249" s="427">
        <f>SUM(F244:F248)</f>
        <v>0</v>
      </c>
      <c r="G249" s="428"/>
      <c r="H249" s="427">
        <f>SUM(H244:H248)</f>
        <v>0</v>
      </c>
      <c r="I249" s="69"/>
      <c r="J249" s="427">
        <f>SUM(J244:J248)</f>
        <v>0</v>
      </c>
      <c r="K249" s="69"/>
      <c r="L249" s="427">
        <f>SUM(L244:L248)</f>
        <v>0</v>
      </c>
      <c r="M249" s="69"/>
      <c r="N249" s="427">
        <f>SUM(N244:N248)</f>
        <v>0</v>
      </c>
      <c r="O249" s="69"/>
      <c r="P249" s="427">
        <f>SUM(P244:P248)</f>
        <v>0</v>
      </c>
      <c r="Q249" s="69"/>
      <c r="R249" s="429"/>
      <c r="S249" s="430"/>
      <c r="T249" s="427">
        <f>SUM(T244:T248)</f>
        <v>0</v>
      </c>
      <c r="U249" s="428"/>
      <c r="V249" s="427">
        <f>SUM(V244:V248)</f>
        <v>0</v>
      </c>
      <c r="W249" s="69"/>
      <c r="X249" s="427">
        <f>SUM(X244:X248)</f>
        <v>0</v>
      </c>
      <c r="Y249" s="69"/>
      <c r="Z249" s="427">
        <f>SUM(Z244:Z248)</f>
        <v>0</v>
      </c>
      <c r="AA249" s="69"/>
      <c r="AB249" s="427">
        <f>SUM(AB244:AB248)</f>
        <v>0</v>
      </c>
      <c r="AC249" s="69"/>
      <c r="AD249" s="427">
        <f>SUM(AD244:AD248)</f>
        <v>0</v>
      </c>
      <c r="AE249" s="69"/>
      <c r="AF249" s="429"/>
      <c r="AG249" s="430"/>
      <c r="AH249" s="431"/>
      <c r="AI249" s="432"/>
      <c r="AJ249" s="65"/>
      <c r="AO249" s="692"/>
      <c r="AP249" s="692"/>
      <c r="AV249" s="56"/>
    </row>
    <row r="250" spans="1:48" ht="13.5" customHeight="1" outlineLevel="1" thickBot="1">
      <c r="A250" s="119"/>
      <c r="B250" s="82"/>
      <c r="C250" s="1098" t="s">
        <v>484</v>
      </c>
      <c r="D250" s="433">
        <f>D244</f>
        <v>0</v>
      </c>
      <c r="E250" s="426"/>
      <c r="F250" s="700"/>
      <c r="G250" s="428"/>
      <c r="H250" s="700"/>
      <c r="I250" s="69"/>
      <c r="J250" s="700"/>
      <c r="K250" s="69"/>
      <c r="L250" s="700"/>
      <c r="M250" s="69"/>
      <c r="N250" s="700"/>
      <c r="O250" s="69"/>
      <c r="P250" s="700"/>
      <c r="Q250" s="69"/>
      <c r="R250" s="429"/>
      <c r="S250" s="430"/>
      <c r="T250" s="700"/>
      <c r="U250" s="428">
        <f>Q249</f>
        <v>0</v>
      </c>
      <c r="V250" s="700"/>
      <c r="W250" s="69">
        <f>S249</f>
        <v>0</v>
      </c>
      <c r="X250" s="700"/>
      <c r="Y250" s="69">
        <f>U249</f>
        <v>0</v>
      </c>
      <c r="Z250" s="700"/>
      <c r="AA250" s="69">
        <f>W249</f>
        <v>0</v>
      </c>
      <c r="AB250" s="700"/>
      <c r="AC250" s="69">
        <f>Y249</f>
        <v>0</v>
      </c>
      <c r="AD250" s="700"/>
      <c r="AE250" s="69"/>
      <c r="AF250" s="429"/>
      <c r="AG250" s="430"/>
      <c r="AH250" s="431"/>
      <c r="AI250" s="432"/>
      <c r="AJ250" s="65"/>
      <c r="AN250" s="742">
        <f>SUM(AF244:AF248)*AQ250</f>
        <v>0</v>
      </c>
      <c r="AO250" s="742">
        <f>SUM(R244:R248)*AQ250</f>
        <v>0</v>
      </c>
      <c r="AP250" s="742">
        <v>0</v>
      </c>
      <c r="AQ250" s="693">
        <v>0</v>
      </c>
      <c r="AS250" s="716">
        <f>SUM(AL244:AL248)</f>
        <v>0</v>
      </c>
      <c r="AT250" s="461">
        <f>F250+H250+J250+L250+N250+P250+T250+V250+X250+Z250+AB250+AD250</f>
        <v>0</v>
      </c>
      <c r="AU250" s="745">
        <f>AT250-AS250</f>
        <v>0</v>
      </c>
      <c r="AV250" s="462">
        <v>0</v>
      </c>
    </row>
    <row r="251" spans="1:48" ht="13.5" customHeight="1" outlineLevel="1" thickBot="1">
      <c r="B251" s="82">
        <f>B244+1</f>
        <v>36</v>
      </c>
      <c r="C251" s="1230">
        <f>'Terms and Turnovers'!C51</f>
        <v>0</v>
      </c>
      <c r="D251" s="1230">
        <f>'Terms and Turnovers'!D51</f>
        <v>0</v>
      </c>
      <c r="E251" s="83" t="str">
        <f>'Terms and Turnovers'!$J$12</f>
        <v>FLIP-FLOPS</v>
      </c>
      <c r="F251" s="118">
        <f>$R251*G251</f>
        <v>0</v>
      </c>
      <c r="G251" s="69"/>
      <c r="H251" s="314">
        <f>$R251*I251</f>
        <v>0</v>
      </c>
      <c r="I251" s="69">
        <v>0</v>
      </c>
      <c r="J251" s="118">
        <f>$R251*K251</f>
        <v>0</v>
      </c>
      <c r="K251" s="69">
        <v>0</v>
      </c>
      <c r="L251" s="314">
        <f>$R251*M251</f>
        <v>0</v>
      </c>
      <c r="M251" s="69">
        <v>0</v>
      </c>
      <c r="N251" s="314">
        <f>$R251*O251</f>
        <v>0</v>
      </c>
      <c r="O251" s="69">
        <v>0</v>
      </c>
      <c r="P251" s="118">
        <f>$R251*Q251</f>
        <v>0</v>
      </c>
      <c r="Q251" s="69">
        <v>0</v>
      </c>
      <c r="R251" s="87">
        <f>'Terms and Turnovers'!K51</f>
        <v>0</v>
      </c>
      <c r="S251" s="160">
        <f t="shared" si="15"/>
        <v>0</v>
      </c>
      <c r="T251" s="118">
        <f>$AF251*U251</f>
        <v>0</v>
      </c>
      <c r="U251" s="69">
        <v>0</v>
      </c>
      <c r="V251" s="314">
        <f>$AF251*W251</f>
        <v>0</v>
      </c>
      <c r="W251" s="69">
        <v>0</v>
      </c>
      <c r="X251" s="118">
        <f>$AF251*Y251</f>
        <v>0</v>
      </c>
      <c r="Y251" s="69">
        <v>0</v>
      </c>
      <c r="Z251" s="314">
        <f>$AF251*AA251</f>
        <v>0</v>
      </c>
      <c r="AA251" s="69">
        <v>0</v>
      </c>
      <c r="AB251" s="314">
        <f>$AF251*AC251</f>
        <v>0</v>
      </c>
      <c r="AC251" s="69">
        <v>0</v>
      </c>
      <c r="AD251" s="118">
        <f>$AF251*AE251</f>
        <v>0</v>
      </c>
      <c r="AE251" s="69">
        <v>0</v>
      </c>
      <c r="AF251" s="87">
        <f>'Terms and Turnovers'!P51</f>
        <v>0</v>
      </c>
      <c r="AG251" s="160">
        <f t="shared" si="16"/>
        <v>0</v>
      </c>
      <c r="AH251" s="157">
        <f t="shared" si="17"/>
        <v>0</v>
      </c>
      <c r="AI251" s="131">
        <f t="shared" si="18"/>
        <v>0</v>
      </c>
      <c r="AJ251" s="65"/>
      <c r="AL251" s="461">
        <f>SUM(F251,H251,J251,L251,N251,P251,T251,V251,X251,Z251,AB251,AD251)</f>
        <v>0</v>
      </c>
      <c r="AM251" s="462">
        <f>AL251-AH251</f>
        <v>0</v>
      </c>
      <c r="AO251" s="692"/>
      <c r="AP251" s="692"/>
      <c r="AV251" s="56"/>
    </row>
    <row r="252" spans="1:48" ht="13.5" customHeight="1" outlineLevel="1" thickBot="1">
      <c r="B252" s="82"/>
      <c r="C252" s="1231"/>
      <c r="D252" s="1231"/>
      <c r="E252" s="84" t="str">
        <f>'Terms and Turnovers'!$T$12</f>
        <v>ORIGINALS</v>
      </c>
      <c r="F252" s="120">
        <f>$R252*G252</f>
        <v>0</v>
      </c>
      <c r="G252" s="723"/>
      <c r="H252" s="120">
        <f>$R252*I252</f>
        <v>0</v>
      </c>
      <c r="I252" s="69">
        <v>0</v>
      </c>
      <c r="J252" s="120">
        <f>$R252*K252</f>
        <v>0</v>
      </c>
      <c r="K252" s="69">
        <v>0</v>
      </c>
      <c r="L252" s="120">
        <f>$R252*M252</f>
        <v>0</v>
      </c>
      <c r="M252" s="69">
        <v>0</v>
      </c>
      <c r="N252" s="315">
        <f>$R252*O252</f>
        <v>0</v>
      </c>
      <c r="O252" s="69">
        <v>0</v>
      </c>
      <c r="P252" s="120">
        <f>$R252*Q252</f>
        <v>0</v>
      </c>
      <c r="Q252" s="69">
        <v>0</v>
      </c>
      <c r="R252" s="88">
        <f>'Terms and Turnovers'!U51</f>
        <v>0</v>
      </c>
      <c r="S252" s="161">
        <f t="shared" si="15"/>
        <v>0</v>
      </c>
      <c r="T252" s="120">
        <f>$AF252*U252</f>
        <v>0</v>
      </c>
      <c r="U252" s="69">
        <v>0</v>
      </c>
      <c r="V252" s="120">
        <f>$AF252*W252</f>
        <v>0</v>
      </c>
      <c r="W252" s="69">
        <v>0</v>
      </c>
      <c r="X252" s="120">
        <f>$AF252*Y252</f>
        <v>0</v>
      </c>
      <c r="Y252" s="69">
        <v>0</v>
      </c>
      <c r="Z252" s="120">
        <f>$AF252*AA252</f>
        <v>0</v>
      </c>
      <c r="AA252" s="69">
        <v>0</v>
      </c>
      <c r="AB252" s="315">
        <f>$AF252*AC252</f>
        <v>0</v>
      </c>
      <c r="AC252" s="69">
        <v>0</v>
      </c>
      <c r="AD252" s="120">
        <f>$AF252*AE252</f>
        <v>0</v>
      </c>
      <c r="AE252" s="69">
        <v>0</v>
      </c>
      <c r="AF252" s="88">
        <f>'Terms and Turnovers'!Z51</f>
        <v>0</v>
      </c>
      <c r="AG252" s="161">
        <f t="shared" si="16"/>
        <v>0</v>
      </c>
      <c r="AH252" s="158">
        <f t="shared" si="17"/>
        <v>0</v>
      </c>
      <c r="AI252" s="134">
        <f t="shared" si="18"/>
        <v>0</v>
      </c>
      <c r="AJ252" s="65"/>
      <c r="AL252" s="461">
        <f>SUM(F252,H252,J252,L252,N252,P252,T252,V252,X252,Z252,AB252,AD252)</f>
        <v>0</v>
      </c>
      <c r="AM252" s="462">
        <f>AL252-AH252</f>
        <v>0</v>
      </c>
      <c r="AO252" s="692"/>
      <c r="AP252" s="692"/>
      <c r="AV252" s="56"/>
    </row>
    <row r="253" spans="1:48" ht="13.5" customHeight="1" outlineLevel="1" thickBot="1">
      <c r="B253" s="82"/>
      <c r="C253" s="1231"/>
      <c r="D253" s="1231"/>
      <c r="E253" s="84" t="str">
        <f>'Terms and Turnovers'!$AD$12</f>
        <v>ACCESSORIES</v>
      </c>
      <c r="F253" s="120">
        <f>$R253*G253</f>
        <v>0</v>
      </c>
      <c r="G253" s="723"/>
      <c r="H253" s="120">
        <f>$R253*I253</f>
        <v>0</v>
      </c>
      <c r="I253" s="69">
        <v>0</v>
      </c>
      <c r="J253" s="120">
        <f>$R253*K253</f>
        <v>0</v>
      </c>
      <c r="K253" s="69">
        <v>0</v>
      </c>
      <c r="L253" s="120">
        <f>$R253*M253</f>
        <v>0</v>
      </c>
      <c r="M253" s="69">
        <v>0</v>
      </c>
      <c r="N253" s="315">
        <f>$R253*O253</f>
        <v>0</v>
      </c>
      <c r="O253" s="69">
        <v>0</v>
      </c>
      <c r="P253" s="120">
        <f>$R253*Q253</f>
        <v>0</v>
      </c>
      <c r="Q253" s="69">
        <v>0</v>
      </c>
      <c r="R253" s="88">
        <f>'Terms and Turnovers'!AE51</f>
        <v>0</v>
      </c>
      <c r="S253" s="161">
        <f t="shared" si="15"/>
        <v>0</v>
      </c>
      <c r="T253" s="120">
        <f>$AF253*U253</f>
        <v>0</v>
      </c>
      <c r="U253" s="69">
        <v>0</v>
      </c>
      <c r="V253" s="120">
        <f>$AF253*W253</f>
        <v>0</v>
      </c>
      <c r="W253" s="69">
        <v>0</v>
      </c>
      <c r="X253" s="120">
        <f>$AF253*Y253</f>
        <v>0</v>
      </c>
      <c r="Y253" s="69">
        <v>0</v>
      </c>
      <c r="Z253" s="120">
        <f>$AF253*AA253</f>
        <v>0</v>
      </c>
      <c r="AA253" s="69">
        <v>0</v>
      </c>
      <c r="AB253" s="315">
        <f>$AF253*AC253</f>
        <v>0</v>
      </c>
      <c r="AC253" s="69">
        <v>0</v>
      </c>
      <c r="AD253" s="120">
        <f>$AF253*AE253</f>
        <v>0</v>
      </c>
      <c r="AE253" s="69">
        <v>0</v>
      </c>
      <c r="AF253" s="88">
        <f>'Terms and Turnovers'!AJ51</f>
        <v>0</v>
      </c>
      <c r="AG253" s="161">
        <f t="shared" si="16"/>
        <v>0</v>
      </c>
      <c r="AH253" s="158">
        <f t="shared" si="17"/>
        <v>0</v>
      </c>
      <c r="AI253" s="134">
        <f t="shared" si="18"/>
        <v>0</v>
      </c>
      <c r="AJ253" s="65"/>
      <c r="AL253" s="461">
        <f>SUM(F253,H253,J253,L253,N253,P253,T253,V253,X253,Z253,AB253,AD253)</f>
        <v>0</v>
      </c>
      <c r="AM253" s="462">
        <f>AL253-AH253</f>
        <v>0</v>
      </c>
      <c r="AO253" s="692"/>
      <c r="AP253" s="692"/>
      <c r="AV253" s="56"/>
    </row>
    <row r="254" spans="1:48" ht="13.5" customHeight="1" outlineLevel="1" thickBot="1">
      <c r="B254" s="82"/>
      <c r="C254" s="1231"/>
      <c r="D254" s="1231"/>
      <c r="E254" s="84">
        <f>'Terms and Turnovers'!$AN$12</f>
        <v>0</v>
      </c>
      <c r="F254" s="120">
        <f>$R254*G254</f>
        <v>0</v>
      </c>
      <c r="G254" s="723"/>
      <c r="H254" s="120">
        <f>$R254*I254</f>
        <v>0</v>
      </c>
      <c r="I254" s="69">
        <v>0</v>
      </c>
      <c r="J254" s="120">
        <f>$R254*K254</f>
        <v>0</v>
      </c>
      <c r="K254" s="69">
        <v>0</v>
      </c>
      <c r="L254" s="120">
        <f>$R254*M254</f>
        <v>0</v>
      </c>
      <c r="M254" s="69">
        <v>0</v>
      </c>
      <c r="N254" s="315">
        <f>$R254*O254</f>
        <v>0</v>
      </c>
      <c r="O254" s="69">
        <v>0</v>
      </c>
      <c r="P254" s="120">
        <f>$R254*Q254</f>
        <v>0</v>
      </c>
      <c r="Q254" s="69">
        <v>0</v>
      </c>
      <c r="R254" s="88">
        <f>'Terms and Turnovers'!AO51</f>
        <v>0</v>
      </c>
      <c r="S254" s="161">
        <f t="shared" si="15"/>
        <v>0</v>
      </c>
      <c r="T254" s="120">
        <f>$AF254*U254</f>
        <v>0</v>
      </c>
      <c r="U254" s="69">
        <v>0</v>
      </c>
      <c r="V254" s="120">
        <f>$AF254*W254</f>
        <v>0</v>
      </c>
      <c r="W254" s="69">
        <v>0</v>
      </c>
      <c r="X254" s="120">
        <f>$AF254*Y254</f>
        <v>0</v>
      </c>
      <c r="Y254" s="69">
        <v>0</v>
      </c>
      <c r="Z254" s="120">
        <f>$AF254*AA254</f>
        <v>0</v>
      </c>
      <c r="AA254" s="69">
        <v>0</v>
      </c>
      <c r="AB254" s="315">
        <f>$AF254*AC254</f>
        <v>0</v>
      </c>
      <c r="AC254" s="69">
        <v>0</v>
      </c>
      <c r="AD254" s="120">
        <f>$AF254*AE254</f>
        <v>0</v>
      </c>
      <c r="AE254" s="69">
        <v>0</v>
      </c>
      <c r="AF254" s="88">
        <f>'Terms and Turnovers'!AT51</f>
        <v>0</v>
      </c>
      <c r="AG254" s="161">
        <f t="shared" si="16"/>
        <v>0</v>
      </c>
      <c r="AH254" s="158">
        <f t="shared" si="17"/>
        <v>0</v>
      </c>
      <c r="AI254" s="134">
        <f t="shared" si="18"/>
        <v>0</v>
      </c>
      <c r="AJ254" s="65"/>
      <c r="AL254" s="461">
        <f>SUM(F254,H254,J254,L254,N254,P254,T254,V254,X254,Z254,AB254,AD254)</f>
        <v>0</v>
      </c>
      <c r="AM254" s="462">
        <f>AL254-AH254</f>
        <v>0</v>
      </c>
      <c r="AO254" s="692"/>
      <c r="AP254" s="692"/>
      <c r="AV254" s="56"/>
    </row>
    <row r="255" spans="1:48" ht="13.5" customHeight="1" outlineLevel="1" thickBot="1">
      <c r="B255" s="82"/>
      <c r="C255" s="1232"/>
      <c r="D255" s="1232"/>
      <c r="E255" s="85">
        <f>'Terms and Turnovers'!$AX$12</f>
        <v>0</v>
      </c>
      <c r="F255" s="121">
        <f>$R255*G255</f>
        <v>0</v>
      </c>
      <c r="G255" s="72"/>
      <c r="H255" s="121">
        <f>$R255*I255</f>
        <v>0</v>
      </c>
      <c r="I255" s="69">
        <v>0</v>
      </c>
      <c r="J255" s="121">
        <f>$R255*K255</f>
        <v>0</v>
      </c>
      <c r="K255" s="69">
        <v>0</v>
      </c>
      <c r="L255" s="121">
        <f>$R255*M255</f>
        <v>0</v>
      </c>
      <c r="M255" s="69">
        <v>0</v>
      </c>
      <c r="N255" s="316">
        <f>$R255*O255</f>
        <v>0</v>
      </c>
      <c r="O255" s="69">
        <v>0</v>
      </c>
      <c r="P255" s="121">
        <f>$R255*Q255</f>
        <v>0</v>
      </c>
      <c r="Q255" s="69">
        <v>0</v>
      </c>
      <c r="R255" s="89">
        <f>'Terms and Turnovers'!AY51</f>
        <v>0</v>
      </c>
      <c r="S255" s="162">
        <f t="shared" si="15"/>
        <v>0</v>
      </c>
      <c r="T255" s="121">
        <f>$AF255*U255</f>
        <v>0</v>
      </c>
      <c r="U255" s="69">
        <v>0</v>
      </c>
      <c r="V255" s="121">
        <f>$AF255*W255</f>
        <v>0</v>
      </c>
      <c r="W255" s="69">
        <v>0</v>
      </c>
      <c r="X255" s="121">
        <f>$AF255*Y255</f>
        <v>0</v>
      </c>
      <c r="Y255" s="69">
        <v>0</v>
      </c>
      <c r="Z255" s="121">
        <f>$AF255*AA255</f>
        <v>0</v>
      </c>
      <c r="AA255" s="69">
        <v>0</v>
      </c>
      <c r="AB255" s="316">
        <f>$AF255*AC255</f>
        <v>0</v>
      </c>
      <c r="AC255" s="69">
        <v>0</v>
      </c>
      <c r="AD255" s="121">
        <f>$AF255*AE255</f>
        <v>0</v>
      </c>
      <c r="AE255" s="69">
        <v>0</v>
      </c>
      <c r="AF255" s="89">
        <f>'Terms and Turnovers'!BD51</f>
        <v>0</v>
      </c>
      <c r="AG255" s="162">
        <f t="shared" si="16"/>
        <v>0</v>
      </c>
      <c r="AH255" s="159">
        <f t="shared" si="17"/>
        <v>0</v>
      </c>
      <c r="AI255" s="137">
        <f t="shared" si="18"/>
        <v>0</v>
      </c>
      <c r="AJ255" s="65"/>
      <c r="AL255" s="461">
        <f>SUM(F255,H255,J255,L255,N255,P255,T255,V255,X255,Z255,AB255,AD255)</f>
        <v>0</v>
      </c>
      <c r="AM255" s="462">
        <f>AL255-AH255</f>
        <v>0</v>
      </c>
      <c r="AO255" s="692"/>
      <c r="AP255" s="692"/>
      <c r="AV255" s="56"/>
    </row>
    <row r="256" spans="1:48" ht="13.5" customHeight="1" outlineLevel="1" thickBot="1">
      <c r="A256" s="119"/>
      <c r="B256" s="82"/>
      <c r="C256" s="425"/>
      <c r="D256" s="425"/>
      <c r="E256" s="426"/>
      <c r="F256" s="427">
        <f>SUM(F251:F255)</f>
        <v>0</v>
      </c>
      <c r="G256" s="428"/>
      <c r="H256" s="427">
        <f>SUM(H251:H255)</f>
        <v>0</v>
      </c>
      <c r="I256" s="69"/>
      <c r="J256" s="427">
        <f>SUM(J251:J255)</f>
        <v>0</v>
      </c>
      <c r="K256" s="69"/>
      <c r="L256" s="427">
        <f>SUM(L251:L255)</f>
        <v>0</v>
      </c>
      <c r="M256" s="69"/>
      <c r="N256" s="427">
        <f>SUM(N251:N255)</f>
        <v>0</v>
      </c>
      <c r="O256" s="69"/>
      <c r="P256" s="427">
        <f>SUM(P251:P255)</f>
        <v>0</v>
      </c>
      <c r="Q256" s="69"/>
      <c r="R256" s="429"/>
      <c r="S256" s="430"/>
      <c r="T256" s="427">
        <f>SUM(T251:T255)</f>
        <v>0</v>
      </c>
      <c r="U256" s="428"/>
      <c r="V256" s="427">
        <f>SUM(V251:V255)</f>
        <v>0</v>
      </c>
      <c r="W256" s="69"/>
      <c r="X256" s="427">
        <f>SUM(X251:X255)</f>
        <v>0</v>
      </c>
      <c r="Y256" s="69"/>
      <c r="Z256" s="427">
        <f>SUM(Z251:Z255)</f>
        <v>0</v>
      </c>
      <c r="AA256" s="69"/>
      <c r="AB256" s="427">
        <f>SUM(AB251:AB255)</f>
        <v>0</v>
      </c>
      <c r="AC256" s="69"/>
      <c r="AD256" s="427">
        <f>SUM(AD251:AD255)</f>
        <v>0</v>
      </c>
      <c r="AE256" s="69"/>
      <c r="AF256" s="429"/>
      <c r="AG256" s="430"/>
      <c r="AH256" s="431"/>
      <c r="AI256" s="432"/>
      <c r="AJ256" s="65"/>
      <c r="AO256" s="692"/>
      <c r="AP256" s="692"/>
      <c r="AV256" s="56"/>
    </row>
    <row r="257" spans="1:48" ht="13.5" customHeight="1" outlineLevel="1" thickBot="1">
      <c r="A257" s="119"/>
      <c r="B257" s="82"/>
      <c r="C257" s="1098" t="s">
        <v>484</v>
      </c>
      <c r="D257" s="433">
        <f>D251</f>
        <v>0</v>
      </c>
      <c r="E257" s="426"/>
      <c r="F257" s="700"/>
      <c r="G257" s="428"/>
      <c r="H257" s="700"/>
      <c r="I257" s="69"/>
      <c r="J257" s="700"/>
      <c r="K257" s="69"/>
      <c r="L257" s="700"/>
      <c r="M257" s="69"/>
      <c r="N257" s="700"/>
      <c r="O257" s="69"/>
      <c r="P257" s="700"/>
      <c r="Q257" s="69"/>
      <c r="R257" s="429"/>
      <c r="S257" s="430"/>
      <c r="T257" s="700"/>
      <c r="U257" s="428">
        <f>Q256</f>
        <v>0</v>
      </c>
      <c r="V257" s="700"/>
      <c r="W257" s="69">
        <f>S256</f>
        <v>0</v>
      </c>
      <c r="X257" s="700"/>
      <c r="Y257" s="69">
        <f t="shared" ref="Y257:AC257" si="19">U256</f>
        <v>0</v>
      </c>
      <c r="Z257" s="700"/>
      <c r="AA257" s="69">
        <f t="shared" si="19"/>
        <v>0</v>
      </c>
      <c r="AB257" s="700"/>
      <c r="AC257" s="69">
        <f t="shared" si="19"/>
        <v>0</v>
      </c>
      <c r="AD257" s="700"/>
      <c r="AE257" s="69"/>
      <c r="AF257" s="429"/>
      <c r="AG257" s="430"/>
      <c r="AH257" s="431"/>
      <c r="AI257" s="432"/>
      <c r="AJ257" s="65"/>
      <c r="AN257" s="742">
        <f>SUM(AF251:AF255)*AQ257</f>
        <v>0</v>
      </c>
      <c r="AO257" s="742">
        <f>SUM(R251:R255)*AQ257</f>
        <v>0</v>
      </c>
      <c r="AP257" s="742"/>
      <c r="AQ257" s="693">
        <v>0.1</v>
      </c>
      <c r="AS257" s="716">
        <f>SUM(AL251:AL255)</f>
        <v>0</v>
      </c>
      <c r="AT257" s="461">
        <f>F257+H257+J257+L257+N257+P257+T257+V257+X257+Z257+AB257+AD257</f>
        <v>0</v>
      </c>
      <c r="AU257" s="745">
        <f>AT257-AS257</f>
        <v>0</v>
      </c>
      <c r="AV257" s="462" t="e">
        <f>AT257/AS257</f>
        <v>#DIV/0!</v>
      </c>
    </row>
    <row r="258" spans="1:48" ht="13.5" customHeight="1" outlineLevel="1" thickBot="1">
      <c r="B258" s="82">
        <f>B251+1</f>
        <v>37</v>
      </c>
      <c r="C258" s="1230">
        <f>'Terms and Turnovers'!C52</f>
        <v>0</v>
      </c>
      <c r="D258" s="1248">
        <f>'Terms and Turnovers'!D52</f>
        <v>0</v>
      </c>
      <c r="E258" s="83" t="str">
        <f>'Terms and Turnovers'!$J$12</f>
        <v>FLIP-FLOPS</v>
      </c>
      <c r="F258" s="118">
        <f>$R258*G258</f>
        <v>0</v>
      </c>
      <c r="G258" s="69"/>
      <c r="H258" s="314">
        <f>$R258*I258</f>
        <v>0</v>
      </c>
      <c r="I258" s="69">
        <v>0</v>
      </c>
      <c r="J258" s="118">
        <f>$R258*K258</f>
        <v>0</v>
      </c>
      <c r="K258" s="69">
        <v>0</v>
      </c>
      <c r="L258" s="314">
        <f>$R258*M258</f>
        <v>0</v>
      </c>
      <c r="M258" s="69">
        <v>0</v>
      </c>
      <c r="N258" s="314">
        <f>$R258*O258</f>
        <v>0</v>
      </c>
      <c r="O258" s="69">
        <v>0</v>
      </c>
      <c r="P258" s="118">
        <f>$R258*Q258</f>
        <v>0</v>
      </c>
      <c r="Q258" s="69">
        <v>0</v>
      </c>
      <c r="R258" s="87">
        <f>'Terms and Turnovers'!K52</f>
        <v>0</v>
      </c>
      <c r="S258" s="160">
        <f t="shared" si="15"/>
        <v>0</v>
      </c>
      <c r="T258" s="118">
        <f>$AF258*U258</f>
        <v>0</v>
      </c>
      <c r="U258" s="69">
        <v>0</v>
      </c>
      <c r="V258" s="314">
        <f>$AF258*W258</f>
        <v>0</v>
      </c>
      <c r="W258" s="69">
        <v>0</v>
      </c>
      <c r="X258" s="118">
        <f>$AF258*Y258</f>
        <v>0</v>
      </c>
      <c r="Y258" s="69">
        <v>0</v>
      </c>
      <c r="Z258" s="314">
        <f>$AF258*AA258</f>
        <v>0</v>
      </c>
      <c r="AA258" s="69">
        <v>0</v>
      </c>
      <c r="AB258" s="314">
        <f>$AF258*AC258</f>
        <v>0</v>
      </c>
      <c r="AC258" s="69">
        <v>0</v>
      </c>
      <c r="AD258" s="118">
        <f>$AF258*AE258</f>
        <v>0</v>
      </c>
      <c r="AE258" s="69">
        <v>0</v>
      </c>
      <c r="AF258" s="87">
        <f>'Terms and Turnovers'!P52</f>
        <v>0</v>
      </c>
      <c r="AG258" s="160">
        <f t="shared" si="16"/>
        <v>0</v>
      </c>
      <c r="AH258" s="157">
        <f t="shared" si="17"/>
        <v>0</v>
      </c>
      <c r="AI258" s="131">
        <f t="shared" si="18"/>
        <v>0</v>
      </c>
      <c r="AJ258" s="65"/>
      <c r="AL258" s="461">
        <f>SUM(F258,H258,J258,L258,N258,P258,T258,V258,X258,Z258,AB258,AD258)</f>
        <v>0</v>
      </c>
      <c r="AM258" s="462">
        <f>AL258-AH258</f>
        <v>0</v>
      </c>
      <c r="AO258" s="692"/>
      <c r="AP258" s="692"/>
      <c r="AV258" s="56"/>
    </row>
    <row r="259" spans="1:48" ht="13.5" customHeight="1" outlineLevel="1" thickBot="1">
      <c r="B259" s="82"/>
      <c r="C259" s="1231"/>
      <c r="D259" s="1249"/>
      <c r="E259" s="84" t="str">
        <f>'Terms and Turnovers'!$T$12</f>
        <v>ORIGINALS</v>
      </c>
      <c r="F259" s="120">
        <f>$R259*G259</f>
        <v>0</v>
      </c>
      <c r="G259" s="723"/>
      <c r="H259" s="120">
        <f>$R259*I259</f>
        <v>0</v>
      </c>
      <c r="I259" s="69">
        <v>0</v>
      </c>
      <c r="J259" s="120">
        <f>$R259*K259</f>
        <v>0</v>
      </c>
      <c r="K259" s="69">
        <v>0</v>
      </c>
      <c r="L259" s="120">
        <f>$R259*M259</f>
        <v>0</v>
      </c>
      <c r="M259" s="69">
        <v>0</v>
      </c>
      <c r="N259" s="315">
        <f>$R259*O259</f>
        <v>0</v>
      </c>
      <c r="O259" s="69">
        <v>0</v>
      </c>
      <c r="P259" s="120">
        <f>$R259*Q259</f>
        <v>0</v>
      </c>
      <c r="Q259" s="69">
        <v>0</v>
      </c>
      <c r="R259" s="88">
        <f>'Terms and Turnovers'!U52</f>
        <v>0</v>
      </c>
      <c r="S259" s="161">
        <f t="shared" si="15"/>
        <v>0</v>
      </c>
      <c r="T259" s="120">
        <f>$AF259*U259</f>
        <v>0</v>
      </c>
      <c r="U259" s="69">
        <v>0</v>
      </c>
      <c r="V259" s="120">
        <f>$AF259*W259</f>
        <v>0</v>
      </c>
      <c r="W259" s="69">
        <v>0</v>
      </c>
      <c r="X259" s="120">
        <f>$AF259*Y259</f>
        <v>0</v>
      </c>
      <c r="Y259" s="69">
        <v>0</v>
      </c>
      <c r="Z259" s="120">
        <f>$AF259*AA259</f>
        <v>0</v>
      </c>
      <c r="AA259" s="69">
        <v>0</v>
      </c>
      <c r="AB259" s="315">
        <f>$AF259*AC259</f>
        <v>0</v>
      </c>
      <c r="AC259" s="69">
        <v>0</v>
      </c>
      <c r="AD259" s="120">
        <f>$AF259*AE259</f>
        <v>0</v>
      </c>
      <c r="AE259" s="69">
        <v>0</v>
      </c>
      <c r="AF259" s="88">
        <f>'Terms and Turnovers'!Z52</f>
        <v>0</v>
      </c>
      <c r="AG259" s="161">
        <f t="shared" si="16"/>
        <v>0</v>
      </c>
      <c r="AH259" s="158">
        <f t="shared" si="17"/>
        <v>0</v>
      </c>
      <c r="AI259" s="134">
        <f t="shared" si="18"/>
        <v>0</v>
      </c>
      <c r="AJ259" s="65"/>
      <c r="AL259" s="461">
        <f>SUM(F259,H259,J259,L259,N259,P259,T259,V259,X259,Z259,AB259,AD259)</f>
        <v>0</v>
      </c>
      <c r="AM259" s="462">
        <f>AL259-AH259</f>
        <v>0</v>
      </c>
      <c r="AO259" s="692"/>
      <c r="AP259" s="692"/>
      <c r="AV259" s="56"/>
    </row>
    <row r="260" spans="1:48" ht="13.5" customHeight="1" outlineLevel="1" thickBot="1">
      <c r="B260" s="82"/>
      <c r="C260" s="1231"/>
      <c r="D260" s="1249"/>
      <c r="E260" s="84" t="str">
        <f>'Terms and Turnovers'!$AD$12</f>
        <v>ACCESSORIES</v>
      </c>
      <c r="F260" s="120">
        <f>$R260*G260</f>
        <v>0</v>
      </c>
      <c r="G260" s="723"/>
      <c r="H260" s="120">
        <f>$R260*I260</f>
        <v>0</v>
      </c>
      <c r="I260" s="69">
        <v>0</v>
      </c>
      <c r="J260" s="120">
        <f>$R260*K260</f>
        <v>0</v>
      </c>
      <c r="K260" s="69">
        <v>0</v>
      </c>
      <c r="L260" s="120">
        <f>$R260*M260</f>
        <v>0</v>
      </c>
      <c r="M260" s="69">
        <v>0</v>
      </c>
      <c r="N260" s="315">
        <f>$R260*O260</f>
        <v>0</v>
      </c>
      <c r="O260" s="69">
        <v>0</v>
      </c>
      <c r="P260" s="120">
        <f>$R260*Q260</f>
        <v>0</v>
      </c>
      <c r="Q260" s="69">
        <v>0</v>
      </c>
      <c r="R260" s="88">
        <f>'Terms and Turnovers'!AE52</f>
        <v>0</v>
      </c>
      <c r="S260" s="161">
        <f t="shared" si="15"/>
        <v>0</v>
      </c>
      <c r="T260" s="120">
        <f>$AF260*U260</f>
        <v>0</v>
      </c>
      <c r="U260" s="69">
        <v>0</v>
      </c>
      <c r="V260" s="120">
        <f>$AF260*W260</f>
        <v>0</v>
      </c>
      <c r="W260" s="69">
        <v>0</v>
      </c>
      <c r="X260" s="120">
        <f>$AF260*Y260</f>
        <v>0</v>
      </c>
      <c r="Y260" s="69">
        <v>0</v>
      </c>
      <c r="Z260" s="120">
        <f>$AF260*AA260</f>
        <v>0</v>
      </c>
      <c r="AA260" s="69">
        <v>0</v>
      </c>
      <c r="AB260" s="315">
        <f>$AF260*AC260</f>
        <v>0</v>
      </c>
      <c r="AC260" s="69">
        <v>0</v>
      </c>
      <c r="AD260" s="120">
        <f>$AF260*AE260</f>
        <v>0</v>
      </c>
      <c r="AE260" s="69">
        <v>0</v>
      </c>
      <c r="AF260" s="88">
        <f>'Terms and Turnovers'!AJ52</f>
        <v>0</v>
      </c>
      <c r="AG260" s="161">
        <f t="shared" si="16"/>
        <v>0</v>
      </c>
      <c r="AH260" s="158">
        <f t="shared" si="17"/>
        <v>0</v>
      </c>
      <c r="AI260" s="134">
        <f t="shared" si="18"/>
        <v>0</v>
      </c>
      <c r="AJ260" s="65"/>
      <c r="AL260" s="461">
        <f>SUM(F260,H260,J260,L260,N260,P260,T260,V260,X260,Z260,AB260,AD260)</f>
        <v>0</v>
      </c>
      <c r="AM260" s="462">
        <f>AL260-AH260</f>
        <v>0</v>
      </c>
      <c r="AO260" s="692"/>
      <c r="AP260" s="692"/>
      <c r="AV260" s="56"/>
    </row>
    <row r="261" spans="1:48" ht="13.5" customHeight="1" outlineLevel="1" thickBot="1">
      <c r="B261" s="82"/>
      <c r="C261" s="1231"/>
      <c r="D261" s="1249"/>
      <c r="E261" s="84">
        <f>'Terms and Turnovers'!$AN$12</f>
        <v>0</v>
      </c>
      <c r="F261" s="120">
        <f>$R261*G261</f>
        <v>0</v>
      </c>
      <c r="G261" s="723"/>
      <c r="H261" s="120">
        <f>$R261*I261</f>
        <v>0</v>
      </c>
      <c r="I261" s="69">
        <v>0</v>
      </c>
      <c r="J261" s="120">
        <f>$R261*K261</f>
        <v>0</v>
      </c>
      <c r="K261" s="69">
        <v>0</v>
      </c>
      <c r="L261" s="120">
        <f>$R261*M261</f>
        <v>0</v>
      </c>
      <c r="M261" s="69">
        <v>0</v>
      </c>
      <c r="N261" s="315">
        <f>$R261*O261</f>
        <v>0</v>
      </c>
      <c r="O261" s="69">
        <v>0</v>
      </c>
      <c r="P261" s="120">
        <f>$R261*Q261</f>
        <v>0</v>
      </c>
      <c r="Q261" s="69">
        <v>0</v>
      </c>
      <c r="R261" s="88">
        <f>'Terms and Turnovers'!AO52</f>
        <v>0</v>
      </c>
      <c r="S261" s="161">
        <f t="shared" si="15"/>
        <v>0</v>
      </c>
      <c r="T261" s="120">
        <f>$AF261*U261</f>
        <v>0</v>
      </c>
      <c r="U261" s="69">
        <v>0</v>
      </c>
      <c r="V261" s="120">
        <f>$AF261*W261</f>
        <v>0</v>
      </c>
      <c r="W261" s="69">
        <v>0</v>
      </c>
      <c r="X261" s="120">
        <f>$AF261*Y261</f>
        <v>0</v>
      </c>
      <c r="Y261" s="69">
        <v>0</v>
      </c>
      <c r="Z261" s="120">
        <f>$AF261*AA261</f>
        <v>0</v>
      </c>
      <c r="AA261" s="69">
        <v>0</v>
      </c>
      <c r="AB261" s="315">
        <f>$AF261*AC261</f>
        <v>0</v>
      </c>
      <c r="AC261" s="69">
        <v>0</v>
      </c>
      <c r="AD261" s="120">
        <f>$AF261*AE261</f>
        <v>0</v>
      </c>
      <c r="AE261" s="69">
        <v>0</v>
      </c>
      <c r="AF261" s="88">
        <f>'Terms and Turnovers'!AT52</f>
        <v>0</v>
      </c>
      <c r="AG261" s="161">
        <f t="shared" si="16"/>
        <v>0</v>
      </c>
      <c r="AH261" s="158">
        <f t="shared" si="17"/>
        <v>0</v>
      </c>
      <c r="AI261" s="134">
        <f t="shared" si="18"/>
        <v>0</v>
      </c>
      <c r="AJ261" s="65"/>
      <c r="AL261" s="461">
        <f>SUM(F261,H261,J261,L261,N261,P261,T261,V261,X261,Z261,AB261,AD261)</f>
        <v>0</v>
      </c>
      <c r="AM261" s="462">
        <f>AL261-AH261</f>
        <v>0</v>
      </c>
      <c r="AO261" s="692"/>
      <c r="AP261" s="692"/>
      <c r="AV261" s="56"/>
    </row>
    <row r="262" spans="1:48" ht="13.5" customHeight="1" outlineLevel="1" thickBot="1">
      <c r="B262" s="82"/>
      <c r="C262" s="1232"/>
      <c r="D262" s="1250"/>
      <c r="E262" s="85">
        <f>'Terms and Turnovers'!$AX$12</f>
        <v>0</v>
      </c>
      <c r="F262" s="121">
        <f>$R262*G262</f>
        <v>0</v>
      </c>
      <c r="G262" s="72"/>
      <c r="H262" s="121">
        <f>$R262*I262</f>
        <v>0</v>
      </c>
      <c r="I262" s="69">
        <v>0</v>
      </c>
      <c r="J262" s="121">
        <f>$R262*K262</f>
        <v>0</v>
      </c>
      <c r="K262" s="69">
        <v>0</v>
      </c>
      <c r="L262" s="121">
        <f>$R262*M262</f>
        <v>0</v>
      </c>
      <c r="M262" s="69">
        <v>0</v>
      </c>
      <c r="N262" s="316">
        <f>$R262*O262</f>
        <v>0</v>
      </c>
      <c r="O262" s="69">
        <v>0</v>
      </c>
      <c r="P262" s="121">
        <f>$R262*Q262</f>
        <v>0</v>
      </c>
      <c r="Q262" s="69">
        <v>0</v>
      </c>
      <c r="R262" s="89">
        <f>'Terms and Turnovers'!AY52</f>
        <v>0</v>
      </c>
      <c r="S262" s="162">
        <f t="shared" si="15"/>
        <v>0</v>
      </c>
      <c r="T262" s="121">
        <f>$AF262*U262</f>
        <v>0</v>
      </c>
      <c r="U262" s="69">
        <v>0</v>
      </c>
      <c r="V262" s="121">
        <f>$AF262*W262</f>
        <v>0</v>
      </c>
      <c r="W262" s="69">
        <v>0</v>
      </c>
      <c r="X262" s="121">
        <f>$AF262*Y262</f>
        <v>0</v>
      </c>
      <c r="Y262" s="69">
        <v>0</v>
      </c>
      <c r="Z262" s="121">
        <f>$AF262*AA262</f>
        <v>0</v>
      </c>
      <c r="AA262" s="69">
        <v>0</v>
      </c>
      <c r="AB262" s="316">
        <f>$AF262*AC262</f>
        <v>0</v>
      </c>
      <c r="AC262" s="69">
        <v>0</v>
      </c>
      <c r="AD262" s="121">
        <f>$AF262*AE262</f>
        <v>0</v>
      </c>
      <c r="AE262" s="69">
        <v>0</v>
      </c>
      <c r="AF262" s="89">
        <f>'Terms and Turnovers'!BD52</f>
        <v>0</v>
      </c>
      <c r="AG262" s="162">
        <f t="shared" si="16"/>
        <v>0</v>
      </c>
      <c r="AH262" s="159">
        <f t="shared" si="17"/>
        <v>0</v>
      </c>
      <c r="AI262" s="137">
        <f t="shared" si="18"/>
        <v>0</v>
      </c>
      <c r="AJ262" s="65"/>
      <c r="AL262" s="461">
        <f>SUM(F262,H262,J262,L262,N262,P262,T262,V262,X262,Z262,AB262,AD262)</f>
        <v>0</v>
      </c>
      <c r="AM262" s="462">
        <f>AL262-AH262</f>
        <v>0</v>
      </c>
      <c r="AO262" s="692"/>
      <c r="AP262" s="692"/>
      <c r="AV262" s="56"/>
    </row>
    <row r="263" spans="1:48" ht="13.5" customHeight="1" outlineLevel="1" thickBot="1">
      <c r="A263" s="119"/>
      <c r="B263" s="82"/>
      <c r="C263" s="425"/>
      <c r="D263" s="425"/>
      <c r="E263" s="426"/>
      <c r="F263" s="427">
        <f>SUM(F258:F262)</f>
        <v>0</v>
      </c>
      <c r="G263" s="428"/>
      <c r="H263" s="427">
        <f>SUM(H258:H262)</f>
        <v>0</v>
      </c>
      <c r="I263" s="69"/>
      <c r="J263" s="427">
        <f>SUM(J258:J262)</f>
        <v>0</v>
      </c>
      <c r="K263" s="69"/>
      <c r="L263" s="427">
        <f>SUM(L258:L262)</f>
        <v>0</v>
      </c>
      <c r="M263" s="69"/>
      <c r="N263" s="427">
        <f>SUM(N258:N262)</f>
        <v>0</v>
      </c>
      <c r="O263" s="69"/>
      <c r="P263" s="427">
        <f>SUM(P258:P262)</f>
        <v>0</v>
      </c>
      <c r="Q263" s="69"/>
      <c r="R263" s="429"/>
      <c r="S263" s="430"/>
      <c r="T263" s="427">
        <f>SUM(T258:T262)</f>
        <v>0</v>
      </c>
      <c r="U263" s="428"/>
      <c r="V263" s="427">
        <f>SUM(V258:V262)</f>
        <v>0</v>
      </c>
      <c r="W263" s="69"/>
      <c r="X263" s="427">
        <f>SUM(X258:X262)</f>
        <v>0</v>
      </c>
      <c r="Y263" s="69"/>
      <c r="Z263" s="427">
        <f>SUM(Z258:Z262)</f>
        <v>0</v>
      </c>
      <c r="AA263" s="69"/>
      <c r="AB263" s="427">
        <f>SUM(AB258:AB262)</f>
        <v>0</v>
      </c>
      <c r="AC263" s="69"/>
      <c r="AD263" s="427">
        <f>SUM(AD258:AD262)</f>
        <v>0</v>
      </c>
      <c r="AE263" s="69"/>
      <c r="AF263" s="429"/>
      <c r="AG263" s="430"/>
      <c r="AH263" s="431"/>
      <c r="AI263" s="432"/>
      <c r="AJ263" s="65"/>
      <c r="AO263" s="692"/>
      <c r="AP263" s="692"/>
      <c r="AV263" s="56"/>
    </row>
    <row r="264" spans="1:48" ht="13.5" customHeight="1" outlineLevel="1" thickBot="1">
      <c r="A264" s="119"/>
      <c r="B264" s="82"/>
      <c r="C264" s="1098" t="s">
        <v>484</v>
      </c>
      <c r="D264" s="433">
        <f>D258</f>
        <v>0</v>
      </c>
      <c r="E264" s="426"/>
      <c r="F264" s="700"/>
      <c r="G264" s="428"/>
      <c r="H264" s="1106"/>
      <c r="I264" s="847"/>
      <c r="J264" s="1106"/>
      <c r="K264" s="847"/>
      <c r="L264" s="1106"/>
      <c r="M264" s="847"/>
      <c r="N264" s="1106"/>
      <c r="O264" s="847"/>
      <c r="P264" s="1106"/>
      <c r="Q264" s="69"/>
      <c r="R264" s="429"/>
      <c r="S264" s="430"/>
      <c r="T264" s="1106"/>
      <c r="U264" s="846"/>
      <c r="V264" s="1106"/>
      <c r="W264" s="847"/>
      <c r="X264" s="1106"/>
      <c r="Y264" s="847"/>
      <c r="Z264" s="1106"/>
      <c r="AA264" s="847"/>
      <c r="AB264" s="1106"/>
      <c r="AC264" s="847"/>
      <c r="AD264" s="1106"/>
      <c r="AE264" s="69"/>
      <c r="AF264" s="429"/>
      <c r="AG264" s="430"/>
      <c r="AH264" s="431"/>
      <c r="AI264" s="432"/>
      <c r="AJ264" s="65"/>
      <c r="AN264" s="742">
        <f>SUM(AF258:AF262)*AQ264</f>
        <v>0</v>
      </c>
      <c r="AO264" s="742">
        <f>SUM(R258:R262)*AQ264</f>
        <v>0</v>
      </c>
      <c r="AP264" s="742">
        <v>0</v>
      </c>
      <c r="AQ264" s="693">
        <v>0</v>
      </c>
      <c r="AS264" s="716">
        <f>SUM(AL258:AL262)</f>
        <v>0</v>
      </c>
      <c r="AT264" s="461">
        <f>F264+H264+J264+L264+N264+P264+T264+V264+X264+Z264+AB264+AD264</f>
        <v>0</v>
      </c>
      <c r="AU264" s="745">
        <f>AT264-AS264</f>
        <v>0</v>
      </c>
      <c r="AV264" s="462" t="e">
        <f>AT264/AS264</f>
        <v>#DIV/0!</v>
      </c>
    </row>
    <row r="265" spans="1:48" ht="13.5" customHeight="1" outlineLevel="1" thickBot="1">
      <c r="B265" s="82">
        <f>B258+1</f>
        <v>38</v>
      </c>
      <c r="C265" s="1230">
        <f>'Terms and Turnovers'!C53</f>
        <v>0</v>
      </c>
      <c r="D265" s="1230">
        <f>'Terms and Turnovers'!D53</f>
        <v>0</v>
      </c>
      <c r="E265" s="83" t="str">
        <f>'Terms and Turnovers'!$J$12</f>
        <v>FLIP-FLOPS</v>
      </c>
      <c r="F265" s="118">
        <f>$R265*G265</f>
        <v>0</v>
      </c>
      <c r="G265" s="69"/>
      <c r="H265" s="314">
        <f>$R265*I265</f>
        <v>0</v>
      </c>
      <c r="I265" s="69">
        <v>0</v>
      </c>
      <c r="J265" s="118">
        <f>$R265*K265</f>
        <v>0</v>
      </c>
      <c r="K265" s="69">
        <v>0</v>
      </c>
      <c r="L265" s="314">
        <f>$R265*M265</f>
        <v>0</v>
      </c>
      <c r="M265" s="69">
        <v>0</v>
      </c>
      <c r="N265" s="314">
        <f>$R265*O265</f>
        <v>0</v>
      </c>
      <c r="O265" s="69">
        <v>0</v>
      </c>
      <c r="P265" s="118">
        <f>$R265*Q265</f>
        <v>0</v>
      </c>
      <c r="Q265" s="69">
        <v>0</v>
      </c>
      <c r="R265" s="87">
        <f>'Terms and Turnovers'!K53</f>
        <v>0</v>
      </c>
      <c r="S265" s="160">
        <f t="shared" si="15"/>
        <v>0</v>
      </c>
      <c r="T265" s="118">
        <f>$AF265*U265</f>
        <v>0</v>
      </c>
      <c r="U265" s="69">
        <v>0</v>
      </c>
      <c r="V265" s="314">
        <f>$AF265*W265</f>
        <v>0</v>
      </c>
      <c r="W265" s="69">
        <v>0</v>
      </c>
      <c r="X265" s="118">
        <f>$AF265*Y265</f>
        <v>0</v>
      </c>
      <c r="Y265" s="69">
        <v>0</v>
      </c>
      <c r="Z265" s="314">
        <f>$AF265*AA265</f>
        <v>0</v>
      </c>
      <c r="AA265" s="69">
        <v>0</v>
      </c>
      <c r="AB265" s="314">
        <f>$AF265*AC265</f>
        <v>0</v>
      </c>
      <c r="AC265" s="69">
        <v>0</v>
      </c>
      <c r="AD265" s="118">
        <f>$AF265*AE265</f>
        <v>0</v>
      </c>
      <c r="AE265" s="69">
        <v>0</v>
      </c>
      <c r="AF265" s="87">
        <f>'Terms and Turnovers'!P53</f>
        <v>0</v>
      </c>
      <c r="AG265" s="160">
        <f t="shared" si="16"/>
        <v>0</v>
      </c>
      <c r="AH265" s="157">
        <f t="shared" si="17"/>
        <v>0</v>
      </c>
      <c r="AI265" s="131">
        <f t="shared" si="18"/>
        <v>0</v>
      </c>
      <c r="AJ265" s="65"/>
      <c r="AL265" s="461">
        <f>SUM(F265,H265,J265,L265,N265,P265,T265,V265,X265,Z265,AB265,AD265)</f>
        <v>0</v>
      </c>
      <c r="AM265" s="462">
        <f>AL265-AH265</f>
        <v>0</v>
      </c>
      <c r="AO265" s="692"/>
      <c r="AP265" s="692"/>
      <c r="AV265" s="56"/>
    </row>
    <row r="266" spans="1:48" ht="13.5" customHeight="1" outlineLevel="1" thickBot="1">
      <c r="B266" s="82"/>
      <c r="C266" s="1231"/>
      <c r="D266" s="1231"/>
      <c r="E266" s="84" t="str">
        <f>'Terms and Turnovers'!$T$12</f>
        <v>ORIGINALS</v>
      </c>
      <c r="F266" s="120">
        <f>$R266*G266</f>
        <v>0</v>
      </c>
      <c r="G266" s="723"/>
      <c r="H266" s="120">
        <f>$R266*I266</f>
        <v>0</v>
      </c>
      <c r="I266" s="69">
        <v>0</v>
      </c>
      <c r="J266" s="120">
        <f>$R266*K266</f>
        <v>0</v>
      </c>
      <c r="K266" s="69">
        <v>0</v>
      </c>
      <c r="L266" s="120">
        <f>$R266*M266</f>
        <v>0</v>
      </c>
      <c r="M266" s="69">
        <v>0</v>
      </c>
      <c r="N266" s="315">
        <f>$R266*O266</f>
        <v>0</v>
      </c>
      <c r="O266" s="69">
        <v>0</v>
      </c>
      <c r="P266" s="120">
        <f>$R266*Q266</f>
        <v>0</v>
      </c>
      <c r="Q266" s="69">
        <v>0</v>
      </c>
      <c r="R266" s="88">
        <f>'Terms and Turnovers'!U53</f>
        <v>0</v>
      </c>
      <c r="S266" s="161">
        <f t="shared" si="15"/>
        <v>0</v>
      </c>
      <c r="T266" s="120">
        <f>$AF266*U266</f>
        <v>0</v>
      </c>
      <c r="U266" s="69">
        <v>0</v>
      </c>
      <c r="V266" s="120">
        <f>$AF266*W266</f>
        <v>0</v>
      </c>
      <c r="W266" s="69">
        <v>0</v>
      </c>
      <c r="X266" s="120">
        <f>$AF266*Y266</f>
        <v>0</v>
      </c>
      <c r="Y266" s="69">
        <v>0</v>
      </c>
      <c r="Z266" s="120">
        <f>$AF266*AA266</f>
        <v>0</v>
      </c>
      <c r="AA266" s="69">
        <v>0</v>
      </c>
      <c r="AB266" s="315">
        <f>$AF266*AC266</f>
        <v>0</v>
      </c>
      <c r="AC266" s="69">
        <v>0</v>
      </c>
      <c r="AD266" s="120">
        <f>$AF266*AE266</f>
        <v>0</v>
      </c>
      <c r="AE266" s="69">
        <v>0</v>
      </c>
      <c r="AF266" s="88">
        <f>'Terms and Turnovers'!Z53</f>
        <v>0</v>
      </c>
      <c r="AG266" s="161">
        <f t="shared" si="16"/>
        <v>0</v>
      </c>
      <c r="AH266" s="158">
        <f t="shared" si="17"/>
        <v>0</v>
      </c>
      <c r="AI266" s="134">
        <f t="shared" si="18"/>
        <v>0</v>
      </c>
      <c r="AJ266" s="65"/>
      <c r="AL266" s="461">
        <f>SUM(F266,H266,J266,L266,N266,P266,T266,V266,X266,Z266,AB266,AD266)</f>
        <v>0</v>
      </c>
      <c r="AM266" s="462">
        <f>AL266-AH266</f>
        <v>0</v>
      </c>
      <c r="AO266" s="692"/>
      <c r="AP266" s="692"/>
      <c r="AV266" s="56"/>
    </row>
    <row r="267" spans="1:48" ht="13.5" customHeight="1" outlineLevel="1" thickBot="1">
      <c r="B267" s="82"/>
      <c r="C267" s="1231"/>
      <c r="D267" s="1231"/>
      <c r="E267" s="84" t="str">
        <f>'Terms and Turnovers'!$AD$12</f>
        <v>ACCESSORIES</v>
      </c>
      <c r="F267" s="120">
        <f>$R267*G267</f>
        <v>0</v>
      </c>
      <c r="G267" s="723"/>
      <c r="H267" s="120">
        <f>$R267*I267</f>
        <v>0</v>
      </c>
      <c r="I267" s="69">
        <v>0</v>
      </c>
      <c r="J267" s="120">
        <f>$R267*K267</f>
        <v>0</v>
      </c>
      <c r="K267" s="69">
        <v>0</v>
      </c>
      <c r="L267" s="120">
        <f>$R267*M267</f>
        <v>0</v>
      </c>
      <c r="M267" s="69">
        <v>0</v>
      </c>
      <c r="N267" s="315">
        <f>$R267*O267</f>
        <v>0</v>
      </c>
      <c r="O267" s="69">
        <v>0</v>
      </c>
      <c r="P267" s="120">
        <f>$R267*Q267</f>
        <v>0</v>
      </c>
      <c r="Q267" s="69">
        <v>0</v>
      </c>
      <c r="R267" s="88">
        <f>'Terms and Turnovers'!AE53</f>
        <v>0</v>
      </c>
      <c r="S267" s="161">
        <f t="shared" si="15"/>
        <v>0</v>
      </c>
      <c r="T267" s="120">
        <f>$AF267*U267</f>
        <v>0</v>
      </c>
      <c r="U267" s="69">
        <v>0</v>
      </c>
      <c r="V267" s="120">
        <f>$AF267*W267</f>
        <v>0</v>
      </c>
      <c r="W267" s="69">
        <v>0</v>
      </c>
      <c r="X267" s="120">
        <f>$AF267*Y267</f>
        <v>0</v>
      </c>
      <c r="Y267" s="69">
        <v>0</v>
      </c>
      <c r="Z267" s="120">
        <f>$AF267*AA267</f>
        <v>0</v>
      </c>
      <c r="AA267" s="69">
        <v>0</v>
      </c>
      <c r="AB267" s="315">
        <f>$AF267*AC267</f>
        <v>0</v>
      </c>
      <c r="AC267" s="69">
        <v>0</v>
      </c>
      <c r="AD267" s="120">
        <f>$AF267*AE267</f>
        <v>0</v>
      </c>
      <c r="AE267" s="69">
        <v>0</v>
      </c>
      <c r="AF267" s="88">
        <f>'Terms and Turnovers'!AJ53</f>
        <v>0</v>
      </c>
      <c r="AG267" s="161">
        <f t="shared" si="16"/>
        <v>0</v>
      </c>
      <c r="AH267" s="158">
        <f t="shared" si="17"/>
        <v>0</v>
      </c>
      <c r="AI267" s="134">
        <f t="shared" si="18"/>
        <v>0</v>
      </c>
      <c r="AJ267" s="65"/>
      <c r="AL267" s="461">
        <f>SUM(F267,H267,J267,L267,N267,P267,T267,V267,X267,Z267,AB267,AD267)</f>
        <v>0</v>
      </c>
      <c r="AM267" s="462">
        <f>AL267-AH267</f>
        <v>0</v>
      </c>
      <c r="AO267" s="692"/>
      <c r="AP267" s="692"/>
      <c r="AV267" s="56"/>
    </row>
    <row r="268" spans="1:48" ht="13.5" customHeight="1" outlineLevel="1" thickBot="1">
      <c r="B268" s="82"/>
      <c r="C268" s="1231"/>
      <c r="D268" s="1231"/>
      <c r="E268" s="84">
        <f>'Terms and Turnovers'!$AN$12</f>
        <v>0</v>
      </c>
      <c r="F268" s="120">
        <f>$R268*G268</f>
        <v>0</v>
      </c>
      <c r="G268" s="723"/>
      <c r="H268" s="120">
        <f>$R268*I268</f>
        <v>0</v>
      </c>
      <c r="I268" s="69">
        <v>0</v>
      </c>
      <c r="J268" s="120">
        <f>$R268*K268</f>
        <v>0</v>
      </c>
      <c r="K268" s="69">
        <v>0</v>
      </c>
      <c r="L268" s="120">
        <f>$R268*M268</f>
        <v>0</v>
      </c>
      <c r="M268" s="69">
        <v>0</v>
      </c>
      <c r="N268" s="315">
        <f>$R268*O268</f>
        <v>0</v>
      </c>
      <c r="O268" s="69">
        <v>0</v>
      </c>
      <c r="P268" s="120">
        <f>$R268*Q268</f>
        <v>0</v>
      </c>
      <c r="Q268" s="69">
        <v>0</v>
      </c>
      <c r="R268" s="88">
        <f>'Terms and Turnovers'!AO53</f>
        <v>0</v>
      </c>
      <c r="S268" s="161">
        <f t="shared" si="15"/>
        <v>0</v>
      </c>
      <c r="T268" s="120">
        <f>$AF268*U268</f>
        <v>0</v>
      </c>
      <c r="U268" s="69">
        <v>0</v>
      </c>
      <c r="V268" s="120">
        <f>$AF268*W268</f>
        <v>0</v>
      </c>
      <c r="W268" s="69">
        <v>0</v>
      </c>
      <c r="X268" s="120">
        <f>$AF268*Y268</f>
        <v>0</v>
      </c>
      <c r="Y268" s="69">
        <v>0</v>
      </c>
      <c r="Z268" s="120">
        <f>$AF268*AA268</f>
        <v>0</v>
      </c>
      <c r="AA268" s="69">
        <v>0</v>
      </c>
      <c r="AB268" s="315">
        <f>$AF268*AC268</f>
        <v>0</v>
      </c>
      <c r="AC268" s="69">
        <v>0</v>
      </c>
      <c r="AD268" s="120">
        <f>$AF268*AE268</f>
        <v>0</v>
      </c>
      <c r="AE268" s="69">
        <v>0</v>
      </c>
      <c r="AF268" s="88">
        <f>'Terms and Turnovers'!AT53</f>
        <v>0</v>
      </c>
      <c r="AG268" s="161">
        <f t="shared" si="16"/>
        <v>0</v>
      </c>
      <c r="AH268" s="158">
        <f t="shared" si="17"/>
        <v>0</v>
      </c>
      <c r="AI268" s="134">
        <f t="shared" si="18"/>
        <v>0</v>
      </c>
      <c r="AJ268" s="65"/>
      <c r="AL268" s="461">
        <f>SUM(F268,H268,J268,L268,N268,P268,T268,V268,X268,Z268,AB268,AD268)</f>
        <v>0</v>
      </c>
      <c r="AM268" s="462">
        <f>AL268-AH268</f>
        <v>0</v>
      </c>
      <c r="AO268" s="692"/>
      <c r="AP268" s="692"/>
      <c r="AV268" s="56"/>
    </row>
    <row r="269" spans="1:48" ht="13.5" customHeight="1" outlineLevel="1" thickBot="1">
      <c r="B269" s="82"/>
      <c r="C269" s="1232"/>
      <c r="D269" s="1232"/>
      <c r="E269" s="85">
        <f>'Terms and Turnovers'!$AX$12</f>
        <v>0</v>
      </c>
      <c r="F269" s="121">
        <f>$R269*G269</f>
        <v>0</v>
      </c>
      <c r="G269" s="72"/>
      <c r="H269" s="121">
        <f>$R269*I269</f>
        <v>0</v>
      </c>
      <c r="I269" s="69">
        <v>0</v>
      </c>
      <c r="J269" s="121">
        <f>$R269*K269</f>
        <v>0</v>
      </c>
      <c r="K269" s="69">
        <v>0</v>
      </c>
      <c r="L269" s="121">
        <f>$R269*M269</f>
        <v>0</v>
      </c>
      <c r="M269" s="69">
        <v>0</v>
      </c>
      <c r="N269" s="316">
        <f>$R269*O269</f>
        <v>0</v>
      </c>
      <c r="O269" s="69">
        <v>0</v>
      </c>
      <c r="P269" s="121">
        <f>$R269*Q269</f>
        <v>0</v>
      </c>
      <c r="Q269" s="69">
        <v>0</v>
      </c>
      <c r="R269" s="89">
        <f>'Terms and Turnovers'!AY53</f>
        <v>0</v>
      </c>
      <c r="S269" s="162">
        <f t="shared" si="15"/>
        <v>0</v>
      </c>
      <c r="T269" s="121">
        <f>$AF269*U269</f>
        <v>0</v>
      </c>
      <c r="U269" s="69">
        <v>0</v>
      </c>
      <c r="V269" s="121">
        <f>$AF269*W269</f>
        <v>0</v>
      </c>
      <c r="W269" s="69">
        <v>0</v>
      </c>
      <c r="X269" s="121">
        <f>$AF269*Y269</f>
        <v>0</v>
      </c>
      <c r="Y269" s="69">
        <v>0</v>
      </c>
      <c r="Z269" s="121">
        <f>$AF269*AA269</f>
        <v>0</v>
      </c>
      <c r="AA269" s="69">
        <v>0</v>
      </c>
      <c r="AB269" s="316">
        <f>$AF269*AC269</f>
        <v>0</v>
      </c>
      <c r="AC269" s="69">
        <v>0</v>
      </c>
      <c r="AD269" s="121">
        <f>$AF269*AE269</f>
        <v>0</v>
      </c>
      <c r="AE269" s="69">
        <v>0</v>
      </c>
      <c r="AF269" s="89">
        <f>'Terms and Turnovers'!BD53</f>
        <v>0</v>
      </c>
      <c r="AG269" s="162">
        <f t="shared" si="16"/>
        <v>0</v>
      </c>
      <c r="AH269" s="159">
        <f t="shared" si="17"/>
        <v>0</v>
      </c>
      <c r="AI269" s="137">
        <f t="shared" si="18"/>
        <v>0</v>
      </c>
      <c r="AJ269" s="65"/>
      <c r="AL269" s="461">
        <f>SUM(F269,H269,J269,L269,N269,P269,T269,V269,X269,Z269,AB269,AD269)</f>
        <v>0</v>
      </c>
      <c r="AM269" s="462">
        <f>AL269-AH269</f>
        <v>0</v>
      </c>
      <c r="AO269" s="692"/>
      <c r="AP269" s="692"/>
      <c r="AV269" s="56"/>
    </row>
    <row r="270" spans="1:48" ht="13.5" customHeight="1" outlineLevel="1" thickBot="1">
      <c r="A270" s="119"/>
      <c r="B270" s="82"/>
      <c r="C270" s="425"/>
      <c r="D270" s="425"/>
      <c r="E270" s="426"/>
      <c r="F270" s="427">
        <f>SUM(F265:F269)</f>
        <v>0</v>
      </c>
      <c r="G270" s="428"/>
      <c r="H270" s="427">
        <f>SUM(H265:H269)</f>
        <v>0</v>
      </c>
      <c r="I270" s="69"/>
      <c r="J270" s="427">
        <f>SUM(J265:J269)</f>
        <v>0</v>
      </c>
      <c r="K270" s="69"/>
      <c r="L270" s="427">
        <f>SUM(L265:L269)</f>
        <v>0</v>
      </c>
      <c r="M270" s="69"/>
      <c r="N270" s="427">
        <f>SUM(N265:N269)</f>
        <v>0</v>
      </c>
      <c r="O270" s="69"/>
      <c r="P270" s="427">
        <f>SUM(P265:P269)</f>
        <v>0</v>
      </c>
      <c r="Q270" s="69"/>
      <c r="R270" s="429"/>
      <c r="S270" s="430"/>
      <c r="T270" s="427">
        <f>SUM(T265:T269)</f>
        <v>0</v>
      </c>
      <c r="U270" s="428"/>
      <c r="V270" s="427">
        <f>SUM(V265:V269)</f>
        <v>0</v>
      </c>
      <c r="W270" s="69"/>
      <c r="X270" s="427">
        <f>SUM(X265:X269)</f>
        <v>0</v>
      </c>
      <c r="Y270" s="69"/>
      <c r="Z270" s="427">
        <f>SUM(Z265:Z269)</f>
        <v>0</v>
      </c>
      <c r="AA270" s="69"/>
      <c r="AB270" s="427">
        <f>SUM(AB265:AB269)</f>
        <v>0</v>
      </c>
      <c r="AC270" s="69"/>
      <c r="AD270" s="427">
        <f>SUM(AD265:AD269)</f>
        <v>0</v>
      </c>
      <c r="AE270" s="69"/>
      <c r="AF270" s="429"/>
      <c r="AG270" s="430"/>
      <c r="AH270" s="431"/>
      <c r="AI270" s="432"/>
      <c r="AJ270" s="65"/>
      <c r="AO270" s="692"/>
      <c r="AP270" s="692"/>
      <c r="AV270" s="56"/>
    </row>
    <row r="271" spans="1:48" ht="13.5" customHeight="1" outlineLevel="1" thickBot="1">
      <c r="A271" s="119"/>
      <c r="B271" s="82"/>
      <c r="C271" s="1098" t="s">
        <v>484</v>
      </c>
      <c r="D271" s="433">
        <f>D265</f>
        <v>0</v>
      </c>
      <c r="E271" s="426"/>
      <c r="F271" s="700"/>
      <c r="G271" s="428"/>
      <c r="H271" s="700"/>
      <c r="I271" s="69"/>
      <c r="J271" s="700"/>
      <c r="K271" s="69"/>
      <c r="L271" s="700"/>
      <c r="M271" s="69"/>
      <c r="N271" s="700"/>
      <c r="O271" s="69"/>
      <c r="P271" s="700"/>
      <c r="Q271" s="69"/>
      <c r="R271" s="429"/>
      <c r="S271" s="430"/>
      <c r="T271" s="700"/>
      <c r="U271" s="428">
        <f>Q270</f>
        <v>0</v>
      </c>
      <c r="V271" s="700"/>
      <c r="W271" s="69">
        <f>S270</f>
        <v>0</v>
      </c>
      <c r="X271" s="700"/>
      <c r="Y271" s="69">
        <f>U270</f>
        <v>0</v>
      </c>
      <c r="Z271" s="700"/>
      <c r="AA271" s="69">
        <f>W270</f>
        <v>0</v>
      </c>
      <c r="AB271" s="700"/>
      <c r="AC271" s="69">
        <f>Y270</f>
        <v>0</v>
      </c>
      <c r="AD271" s="700"/>
      <c r="AE271" s="69"/>
      <c r="AF271" s="429"/>
      <c r="AG271" s="430"/>
      <c r="AH271" s="431"/>
      <c r="AI271" s="432"/>
      <c r="AJ271" s="65"/>
      <c r="AN271" s="742">
        <f>SUM(AF265:AF269)*AQ271</f>
        <v>0</v>
      </c>
      <c r="AO271" s="742">
        <f>SUM(R265:R269)*AQ271</f>
        <v>0</v>
      </c>
      <c r="AP271" s="742"/>
      <c r="AQ271" s="693">
        <v>0.15</v>
      </c>
      <c r="AS271" s="716">
        <f>SUM(AL265:AL269)</f>
        <v>0</v>
      </c>
      <c r="AT271" s="461">
        <f>F271+H271+J271+L271+N271+P271+T271+V271+X271+Z271+AB271+AD271</f>
        <v>0</v>
      </c>
      <c r="AU271" s="745">
        <f>AT271-AS271</f>
        <v>0</v>
      </c>
      <c r="AV271" s="462" t="e">
        <f>AT271/AS271</f>
        <v>#DIV/0!</v>
      </c>
    </row>
    <row r="272" spans="1:48" ht="13.5" customHeight="1" outlineLevel="1" thickBot="1">
      <c r="B272" s="82">
        <f>B265+1</f>
        <v>39</v>
      </c>
      <c r="C272" s="1230">
        <f>'Terms and Turnovers'!C54</f>
        <v>0</v>
      </c>
      <c r="D272" s="1230">
        <f>'Terms and Turnovers'!D54</f>
        <v>0</v>
      </c>
      <c r="E272" s="83" t="str">
        <f>'Terms and Turnovers'!$J$12</f>
        <v>FLIP-FLOPS</v>
      </c>
      <c r="F272" s="118">
        <f>$R272*G272</f>
        <v>0</v>
      </c>
      <c r="G272" s="69"/>
      <c r="H272" s="314">
        <f>$R272*I272</f>
        <v>0</v>
      </c>
      <c r="I272" s="69">
        <v>0</v>
      </c>
      <c r="J272" s="118">
        <f>$R272*K272</f>
        <v>0</v>
      </c>
      <c r="K272" s="69">
        <v>0</v>
      </c>
      <c r="L272" s="314">
        <f>$R272*M272</f>
        <v>0</v>
      </c>
      <c r="M272" s="69">
        <v>0</v>
      </c>
      <c r="N272" s="314">
        <f>$R272*O272</f>
        <v>0</v>
      </c>
      <c r="O272" s="69">
        <v>0</v>
      </c>
      <c r="P272" s="118">
        <f>$R272*Q272</f>
        <v>0</v>
      </c>
      <c r="Q272" s="69">
        <v>0</v>
      </c>
      <c r="R272" s="87">
        <f>'Terms and Turnovers'!K54</f>
        <v>0</v>
      </c>
      <c r="S272" s="160">
        <f t="shared" si="15"/>
        <v>0</v>
      </c>
      <c r="T272" s="118">
        <f>$AF272*U272</f>
        <v>0</v>
      </c>
      <c r="U272" s="69">
        <v>0</v>
      </c>
      <c r="V272" s="314">
        <f>$AF272*W272</f>
        <v>0</v>
      </c>
      <c r="W272" s="69">
        <v>0</v>
      </c>
      <c r="X272" s="118">
        <f>$AF272*Y272</f>
        <v>0</v>
      </c>
      <c r="Y272" s="69">
        <v>0</v>
      </c>
      <c r="Z272" s="314">
        <f>$AF272*AA272</f>
        <v>0</v>
      </c>
      <c r="AA272" s="69">
        <v>0</v>
      </c>
      <c r="AB272" s="314">
        <f>$AF272*AC272</f>
        <v>0</v>
      </c>
      <c r="AC272" s="69">
        <v>0</v>
      </c>
      <c r="AD272" s="118">
        <f>$AF272*AE272</f>
        <v>0</v>
      </c>
      <c r="AE272" s="69">
        <v>0</v>
      </c>
      <c r="AF272" s="87">
        <f>'Terms and Turnovers'!P54</f>
        <v>0</v>
      </c>
      <c r="AG272" s="160">
        <f t="shared" si="16"/>
        <v>0</v>
      </c>
      <c r="AH272" s="157">
        <f t="shared" si="17"/>
        <v>0</v>
      </c>
      <c r="AI272" s="131">
        <f t="shared" si="18"/>
        <v>0</v>
      </c>
      <c r="AJ272" s="65"/>
      <c r="AL272" s="461">
        <f>SUM(F272,H272,J272,L272,N272,P272,T272,V272,X272,Z272,AB272,AD272)</f>
        <v>0</v>
      </c>
      <c r="AM272" s="462">
        <f>AL272-AH272</f>
        <v>0</v>
      </c>
      <c r="AO272" s="692"/>
      <c r="AP272" s="692"/>
      <c r="AV272" s="56"/>
    </row>
    <row r="273" spans="1:48" ht="13.5" customHeight="1" outlineLevel="1" thickBot="1">
      <c r="B273" s="82"/>
      <c r="C273" s="1231"/>
      <c r="D273" s="1231"/>
      <c r="E273" s="84" t="str">
        <f>'Terms and Turnovers'!$T$12</f>
        <v>ORIGINALS</v>
      </c>
      <c r="F273" s="120">
        <f>$R273*G273</f>
        <v>0</v>
      </c>
      <c r="G273" s="723"/>
      <c r="H273" s="120">
        <f>$R273*I273</f>
        <v>0</v>
      </c>
      <c r="I273" s="69">
        <v>0</v>
      </c>
      <c r="J273" s="120">
        <f>$R273*K273</f>
        <v>0</v>
      </c>
      <c r="K273" s="69">
        <v>0</v>
      </c>
      <c r="L273" s="120">
        <f>$R273*M273</f>
        <v>0</v>
      </c>
      <c r="M273" s="69">
        <v>0</v>
      </c>
      <c r="N273" s="315">
        <f>$R273*O273</f>
        <v>0</v>
      </c>
      <c r="O273" s="69">
        <v>0</v>
      </c>
      <c r="P273" s="120">
        <f>$R273*Q273</f>
        <v>0</v>
      </c>
      <c r="Q273" s="69">
        <v>0</v>
      </c>
      <c r="R273" s="88">
        <f>'Terms and Turnovers'!U54</f>
        <v>0</v>
      </c>
      <c r="S273" s="161">
        <f t="shared" si="15"/>
        <v>0</v>
      </c>
      <c r="T273" s="120">
        <f>$AF273*U273</f>
        <v>0</v>
      </c>
      <c r="U273" s="69">
        <v>0</v>
      </c>
      <c r="V273" s="120">
        <f>$AF273*W273</f>
        <v>0</v>
      </c>
      <c r="W273" s="69">
        <v>0</v>
      </c>
      <c r="X273" s="120">
        <f>$AF273*Y273</f>
        <v>0</v>
      </c>
      <c r="Y273" s="69">
        <v>0</v>
      </c>
      <c r="Z273" s="120">
        <f>$AF273*AA273</f>
        <v>0</v>
      </c>
      <c r="AA273" s="69">
        <v>0</v>
      </c>
      <c r="AB273" s="315">
        <f>$AF273*AC273</f>
        <v>0</v>
      </c>
      <c r="AC273" s="69">
        <v>0</v>
      </c>
      <c r="AD273" s="120">
        <f>$AF273*AE273</f>
        <v>0</v>
      </c>
      <c r="AE273" s="69">
        <v>0</v>
      </c>
      <c r="AF273" s="88">
        <f>'Terms and Turnovers'!Z54</f>
        <v>0</v>
      </c>
      <c r="AG273" s="161">
        <f t="shared" si="16"/>
        <v>0</v>
      </c>
      <c r="AH273" s="158">
        <f t="shared" si="17"/>
        <v>0</v>
      </c>
      <c r="AI273" s="134">
        <f t="shared" si="18"/>
        <v>0</v>
      </c>
      <c r="AJ273" s="65"/>
      <c r="AL273" s="461">
        <f>SUM(F273,H273,J273,L273,N273,P273,T273,V273,X273,Z273,AB273,AD273)</f>
        <v>0</v>
      </c>
      <c r="AM273" s="462">
        <f>AL273-AH273</f>
        <v>0</v>
      </c>
      <c r="AO273" s="692"/>
      <c r="AP273" s="692"/>
      <c r="AV273" s="56"/>
    </row>
    <row r="274" spans="1:48" ht="13.5" customHeight="1" outlineLevel="1" thickBot="1">
      <c r="B274" s="82"/>
      <c r="C274" s="1231"/>
      <c r="D274" s="1231"/>
      <c r="E274" s="84" t="str">
        <f>'Terms and Turnovers'!$AD$12</f>
        <v>ACCESSORIES</v>
      </c>
      <c r="F274" s="120">
        <f>$R274*G274</f>
        <v>0</v>
      </c>
      <c r="G274" s="723"/>
      <c r="H274" s="120">
        <f>$R274*I274</f>
        <v>0</v>
      </c>
      <c r="I274" s="69">
        <v>0</v>
      </c>
      <c r="J274" s="120">
        <f>$R274*K274</f>
        <v>0</v>
      </c>
      <c r="K274" s="69">
        <v>0</v>
      </c>
      <c r="L274" s="120">
        <f>$R274*M274</f>
        <v>0</v>
      </c>
      <c r="M274" s="69">
        <v>0</v>
      </c>
      <c r="N274" s="315">
        <f>$R274*O274</f>
        <v>0</v>
      </c>
      <c r="O274" s="69">
        <v>0</v>
      </c>
      <c r="P274" s="120">
        <f>$R274*Q274</f>
        <v>0</v>
      </c>
      <c r="Q274" s="69">
        <v>0</v>
      </c>
      <c r="R274" s="88">
        <f>'Terms and Turnovers'!AE54</f>
        <v>0</v>
      </c>
      <c r="S274" s="161">
        <f t="shared" si="15"/>
        <v>0</v>
      </c>
      <c r="T274" s="120">
        <f>$AF274*U274</f>
        <v>0</v>
      </c>
      <c r="U274" s="69">
        <v>0</v>
      </c>
      <c r="V274" s="120">
        <f>$AF274*W274</f>
        <v>0</v>
      </c>
      <c r="W274" s="69">
        <v>0</v>
      </c>
      <c r="X274" s="120">
        <f>$AF274*Y274</f>
        <v>0</v>
      </c>
      <c r="Y274" s="69">
        <v>0</v>
      </c>
      <c r="Z274" s="120">
        <f>$AF274*AA274</f>
        <v>0</v>
      </c>
      <c r="AA274" s="69">
        <v>0</v>
      </c>
      <c r="AB274" s="315">
        <f>$AF274*AC274</f>
        <v>0</v>
      </c>
      <c r="AC274" s="69">
        <v>0</v>
      </c>
      <c r="AD274" s="120">
        <f>$AF274*AE274</f>
        <v>0</v>
      </c>
      <c r="AE274" s="69">
        <v>0</v>
      </c>
      <c r="AF274" s="88">
        <f>'Terms and Turnovers'!AJ54</f>
        <v>0</v>
      </c>
      <c r="AG274" s="161">
        <f t="shared" si="16"/>
        <v>0</v>
      </c>
      <c r="AH274" s="158">
        <f t="shared" si="17"/>
        <v>0</v>
      </c>
      <c r="AI274" s="134">
        <f t="shared" si="18"/>
        <v>0</v>
      </c>
      <c r="AJ274" s="65"/>
      <c r="AL274" s="461">
        <f>SUM(F274,H274,J274,L274,N274,P274,T274,V274,X274,Z274,AB274,AD274)</f>
        <v>0</v>
      </c>
      <c r="AM274" s="462">
        <f>AL274-AH274</f>
        <v>0</v>
      </c>
      <c r="AO274" s="692"/>
      <c r="AP274" s="692"/>
      <c r="AV274" s="56"/>
    </row>
    <row r="275" spans="1:48" ht="13.5" customHeight="1" outlineLevel="1" thickBot="1">
      <c r="B275" s="82"/>
      <c r="C275" s="1231"/>
      <c r="D275" s="1231"/>
      <c r="E275" s="84">
        <f>'Terms and Turnovers'!$AN$12</f>
        <v>0</v>
      </c>
      <c r="F275" s="120">
        <f>$R275*G275</f>
        <v>0</v>
      </c>
      <c r="G275" s="723"/>
      <c r="H275" s="120">
        <f>$R275*I275</f>
        <v>0</v>
      </c>
      <c r="I275" s="69">
        <v>0</v>
      </c>
      <c r="J275" s="120">
        <f>$R275*K275</f>
        <v>0</v>
      </c>
      <c r="K275" s="69">
        <v>0</v>
      </c>
      <c r="L275" s="120">
        <f>$R275*M275</f>
        <v>0</v>
      </c>
      <c r="M275" s="69">
        <v>0</v>
      </c>
      <c r="N275" s="315">
        <f>$R275*O275</f>
        <v>0</v>
      </c>
      <c r="O275" s="69">
        <v>0</v>
      </c>
      <c r="P275" s="120">
        <f>$R275*Q275</f>
        <v>0</v>
      </c>
      <c r="Q275" s="69">
        <v>0</v>
      </c>
      <c r="R275" s="88">
        <f>'Terms and Turnovers'!AO54</f>
        <v>0</v>
      </c>
      <c r="S275" s="161">
        <f t="shared" si="15"/>
        <v>0</v>
      </c>
      <c r="T275" s="120">
        <f>$AF275*U275</f>
        <v>0</v>
      </c>
      <c r="U275" s="69">
        <v>0</v>
      </c>
      <c r="V275" s="120">
        <f>$AF275*W275</f>
        <v>0</v>
      </c>
      <c r="W275" s="69">
        <v>0</v>
      </c>
      <c r="X275" s="120">
        <f>$AF275*Y275</f>
        <v>0</v>
      </c>
      <c r="Y275" s="69">
        <v>0</v>
      </c>
      <c r="Z275" s="120">
        <f>$AF275*AA275</f>
        <v>0</v>
      </c>
      <c r="AA275" s="69">
        <v>0</v>
      </c>
      <c r="AB275" s="315">
        <f>$AF275*AC275</f>
        <v>0</v>
      </c>
      <c r="AC275" s="69">
        <v>0</v>
      </c>
      <c r="AD275" s="120">
        <f>$AF275*AE275</f>
        <v>0</v>
      </c>
      <c r="AE275" s="69">
        <v>0</v>
      </c>
      <c r="AF275" s="88">
        <f>'Terms and Turnovers'!AT54</f>
        <v>0</v>
      </c>
      <c r="AG275" s="161">
        <f t="shared" si="16"/>
        <v>0</v>
      </c>
      <c r="AH275" s="158">
        <f t="shared" si="17"/>
        <v>0</v>
      </c>
      <c r="AI275" s="134">
        <f t="shared" si="18"/>
        <v>0</v>
      </c>
      <c r="AJ275" s="65"/>
      <c r="AL275" s="461">
        <f>SUM(F275,H275,J275,L275,N275,P275,T275,V275,X275,Z275,AB275,AD275)</f>
        <v>0</v>
      </c>
      <c r="AM275" s="462">
        <f>AL275-AH275</f>
        <v>0</v>
      </c>
      <c r="AO275" s="692"/>
      <c r="AP275" s="692"/>
      <c r="AV275" s="56"/>
    </row>
    <row r="276" spans="1:48" ht="13.5" customHeight="1" outlineLevel="1" thickBot="1">
      <c r="B276" s="82"/>
      <c r="C276" s="1232"/>
      <c r="D276" s="1232"/>
      <c r="E276" s="85">
        <f>'Terms and Turnovers'!$AX$12</f>
        <v>0</v>
      </c>
      <c r="F276" s="121">
        <f>$R276*G276</f>
        <v>0</v>
      </c>
      <c r="G276" s="72"/>
      <c r="H276" s="121">
        <f>$R276*I276</f>
        <v>0</v>
      </c>
      <c r="I276" s="69">
        <v>0</v>
      </c>
      <c r="J276" s="121">
        <f>$R276*K276</f>
        <v>0</v>
      </c>
      <c r="K276" s="69">
        <v>0</v>
      </c>
      <c r="L276" s="121">
        <f>$R276*M276</f>
        <v>0</v>
      </c>
      <c r="M276" s="69">
        <v>0</v>
      </c>
      <c r="N276" s="316">
        <f>$R276*O276</f>
        <v>0</v>
      </c>
      <c r="O276" s="69">
        <v>0</v>
      </c>
      <c r="P276" s="121">
        <f>$R276*Q276</f>
        <v>0</v>
      </c>
      <c r="Q276" s="69">
        <v>0</v>
      </c>
      <c r="R276" s="89">
        <f>'Terms and Turnovers'!AY54</f>
        <v>0</v>
      </c>
      <c r="S276" s="162">
        <f t="shared" si="15"/>
        <v>0</v>
      </c>
      <c r="T276" s="121">
        <f>$AF276*U276</f>
        <v>0</v>
      </c>
      <c r="U276" s="69">
        <v>0</v>
      </c>
      <c r="V276" s="121">
        <f>$AF276*W276</f>
        <v>0</v>
      </c>
      <c r="W276" s="69">
        <v>0</v>
      </c>
      <c r="X276" s="121">
        <f>$AF276*Y276</f>
        <v>0</v>
      </c>
      <c r="Y276" s="69">
        <v>0</v>
      </c>
      <c r="Z276" s="121">
        <f>$AF276*AA276</f>
        <v>0</v>
      </c>
      <c r="AA276" s="69">
        <v>0</v>
      </c>
      <c r="AB276" s="316">
        <f>$AF276*AC276</f>
        <v>0</v>
      </c>
      <c r="AC276" s="69">
        <v>0</v>
      </c>
      <c r="AD276" s="121">
        <f>$AF276*AE276</f>
        <v>0</v>
      </c>
      <c r="AE276" s="69">
        <v>0</v>
      </c>
      <c r="AF276" s="89">
        <f>'Terms and Turnovers'!BD54</f>
        <v>0</v>
      </c>
      <c r="AG276" s="162">
        <f t="shared" si="16"/>
        <v>0</v>
      </c>
      <c r="AH276" s="159">
        <f t="shared" si="17"/>
        <v>0</v>
      </c>
      <c r="AI276" s="137">
        <f t="shared" si="18"/>
        <v>0</v>
      </c>
      <c r="AJ276" s="65"/>
      <c r="AL276" s="461">
        <f>SUM(F276,H276,J276,L276,N276,P276,T276,V276,X276,Z276,AB276,AD276)</f>
        <v>0</v>
      </c>
      <c r="AM276" s="462">
        <f>AL276-AH276</f>
        <v>0</v>
      </c>
      <c r="AO276" s="692"/>
      <c r="AP276" s="692"/>
      <c r="AV276" s="56"/>
    </row>
    <row r="277" spans="1:48" ht="13.5" customHeight="1" outlineLevel="1" thickBot="1">
      <c r="A277" s="119"/>
      <c r="B277" s="82"/>
      <c r="C277" s="425"/>
      <c r="D277" s="425"/>
      <c r="E277" s="426"/>
      <c r="F277" s="427">
        <f>SUM(F272:F276)</f>
        <v>0</v>
      </c>
      <c r="G277" s="428"/>
      <c r="H277" s="427">
        <f>SUM(H272:H276)</f>
        <v>0</v>
      </c>
      <c r="I277" s="69"/>
      <c r="J277" s="427">
        <f>SUM(J272:J276)</f>
        <v>0</v>
      </c>
      <c r="K277" s="69"/>
      <c r="L277" s="427">
        <f>SUM(L272:L276)</f>
        <v>0</v>
      </c>
      <c r="M277" s="69"/>
      <c r="N277" s="427">
        <f>SUM(N272:N276)</f>
        <v>0</v>
      </c>
      <c r="O277" s="69"/>
      <c r="P277" s="427">
        <f>SUM(P272:P276)</f>
        <v>0</v>
      </c>
      <c r="Q277" s="69"/>
      <c r="R277" s="429"/>
      <c r="S277" s="430"/>
      <c r="T277" s="427">
        <f>SUM(T272:T276)</f>
        <v>0</v>
      </c>
      <c r="U277" s="428"/>
      <c r="V277" s="427">
        <f>SUM(V272:V276)</f>
        <v>0</v>
      </c>
      <c r="W277" s="69"/>
      <c r="X277" s="427">
        <f>SUM(X272:X276)</f>
        <v>0</v>
      </c>
      <c r="Y277" s="69"/>
      <c r="Z277" s="427">
        <f>SUM(Z272:Z276)</f>
        <v>0</v>
      </c>
      <c r="AA277" s="69"/>
      <c r="AB277" s="427">
        <f>SUM(AB272:AB276)</f>
        <v>0</v>
      </c>
      <c r="AC277" s="69"/>
      <c r="AD277" s="427">
        <f>SUM(AD272:AD276)</f>
        <v>0</v>
      </c>
      <c r="AE277" s="69"/>
      <c r="AF277" s="429"/>
      <c r="AG277" s="430"/>
      <c r="AH277" s="431"/>
      <c r="AI277" s="432"/>
      <c r="AJ277" s="65"/>
      <c r="AO277" s="692"/>
      <c r="AP277" s="692"/>
      <c r="AV277" s="56"/>
    </row>
    <row r="278" spans="1:48" ht="13.5" customHeight="1" outlineLevel="1" thickBot="1">
      <c r="A278" s="119"/>
      <c r="B278" s="82"/>
      <c r="C278" s="1098" t="s">
        <v>484</v>
      </c>
      <c r="D278" s="433">
        <f>D272</f>
        <v>0</v>
      </c>
      <c r="E278" s="426"/>
      <c r="F278" s="700"/>
      <c r="G278" s="428"/>
      <c r="H278" s="700"/>
      <c r="I278" s="69"/>
      <c r="J278" s="700"/>
      <c r="K278" s="69"/>
      <c r="L278" s="700"/>
      <c r="M278" s="69"/>
      <c r="N278" s="700"/>
      <c r="O278" s="69"/>
      <c r="P278" s="700"/>
      <c r="Q278" s="69"/>
      <c r="R278" s="429"/>
      <c r="S278" s="430"/>
      <c r="T278" s="700"/>
      <c r="U278" s="428">
        <f>Q277</f>
        <v>0</v>
      </c>
      <c r="V278" s="700"/>
      <c r="W278" s="69">
        <f>S277</f>
        <v>0</v>
      </c>
      <c r="X278" s="700"/>
      <c r="Y278" s="69">
        <f>U277</f>
        <v>0</v>
      </c>
      <c r="Z278" s="700"/>
      <c r="AA278" s="69">
        <f>W277</f>
        <v>0</v>
      </c>
      <c r="AB278" s="700"/>
      <c r="AC278" s="69">
        <f>Y277</f>
        <v>0</v>
      </c>
      <c r="AD278" s="700"/>
      <c r="AE278" s="69"/>
      <c r="AF278" s="429"/>
      <c r="AG278" s="430"/>
      <c r="AH278" s="431"/>
      <c r="AI278" s="432"/>
      <c r="AJ278" s="65"/>
      <c r="AN278" s="742">
        <f>SUM(AF272:AF276)*AQ278</f>
        <v>0</v>
      </c>
      <c r="AO278" s="742">
        <f>SUM(R272:R276)*AQ278</f>
        <v>0</v>
      </c>
      <c r="AP278" s="742"/>
      <c r="AQ278" s="693">
        <v>0.15</v>
      </c>
      <c r="AR278" s="696"/>
      <c r="AS278" s="716">
        <f>SUM(AL272:AL276)</f>
        <v>0</v>
      </c>
      <c r="AT278" s="461">
        <f>F278+H278+J278+L278+N278+P278+T278+V278+X278+Z278+AB278+AD278</f>
        <v>0</v>
      </c>
      <c r="AU278" s="745">
        <f>AT278-AS278</f>
        <v>0</v>
      </c>
      <c r="AV278" s="462" t="e">
        <f>AT278/AS278</f>
        <v>#DIV/0!</v>
      </c>
    </row>
    <row r="279" spans="1:48" ht="13.5" customHeight="1" outlineLevel="1" thickBot="1">
      <c r="B279" s="82">
        <f>B272+1</f>
        <v>40</v>
      </c>
      <c r="C279" s="1230">
        <f>'Terms and Turnovers'!C55</f>
        <v>0</v>
      </c>
      <c r="D279" s="1230">
        <f>'Terms and Turnovers'!D55</f>
        <v>0</v>
      </c>
      <c r="E279" s="83" t="str">
        <f>'Terms and Turnovers'!$J$12</f>
        <v>FLIP-FLOPS</v>
      </c>
      <c r="F279" s="118">
        <f t="shared" ref="F279:F297" si="20">$R279*G279</f>
        <v>0</v>
      </c>
      <c r="G279" s="69"/>
      <c r="H279" s="314">
        <f t="shared" ref="H279:H297" si="21">$R279*I279</f>
        <v>0</v>
      </c>
      <c r="I279" s="69">
        <v>0</v>
      </c>
      <c r="J279" s="118">
        <f t="shared" ref="J279:J297" si="22">$R279*K279</f>
        <v>0</v>
      </c>
      <c r="K279" s="69">
        <v>0</v>
      </c>
      <c r="L279" s="314">
        <f t="shared" ref="L279:L297" si="23">$R279*M279</f>
        <v>0</v>
      </c>
      <c r="M279" s="69">
        <v>0</v>
      </c>
      <c r="N279" s="314">
        <f t="shared" ref="N279:N297" si="24">$R279*O279</f>
        <v>0</v>
      </c>
      <c r="O279" s="69">
        <v>0</v>
      </c>
      <c r="P279" s="118">
        <f t="shared" ref="P279:P297" si="25">$R279*Q279</f>
        <v>0</v>
      </c>
      <c r="Q279" s="69">
        <v>0</v>
      </c>
      <c r="R279" s="87">
        <f>'Terms and Turnovers'!K55</f>
        <v>0</v>
      </c>
      <c r="S279" s="160">
        <f t="shared" si="15"/>
        <v>0</v>
      </c>
      <c r="T279" s="118">
        <f t="shared" ref="T279:V283" si="26">$AF279*U279</f>
        <v>0</v>
      </c>
      <c r="U279" s="69">
        <v>0</v>
      </c>
      <c r="V279" s="118">
        <f t="shared" si="26"/>
        <v>0</v>
      </c>
      <c r="W279" s="69">
        <v>0</v>
      </c>
      <c r="X279" s="118">
        <f>$AF279*Y279</f>
        <v>0</v>
      </c>
      <c r="Y279" s="69">
        <v>0</v>
      </c>
      <c r="Z279" s="118">
        <f>$AF279*AA279</f>
        <v>0</v>
      </c>
      <c r="AA279" s="69">
        <v>0</v>
      </c>
      <c r="AB279" s="314">
        <f>$AF279*AC279</f>
        <v>0</v>
      </c>
      <c r="AC279" s="69">
        <v>0</v>
      </c>
      <c r="AD279" s="118">
        <f>$AF279*AE279</f>
        <v>0</v>
      </c>
      <c r="AE279" s="69">
        <v>0</v>
      </c>
      <c r="AF279" s="87">
        <f>'Terms and Turnovers'!P55</f>
        <v>0</v>
      </c>
      <c r="AG279" s="160">
        <f t="shared" si="16"/>
        <v>0</v>
      </c>
      <c r="AH279" s="157">
        <f t="shared" si="17"/>
        <v>0</v>
      </c>
      <c r="AI279" s="131">
        <f t="shared" si="18"/>
        <v>0</v>
      </c>
      <c r="AJ279" s="65"/>
      <c r="AL279" s="461">
        <f>SUM(F279,H279,J279,L279,N279,P279,T279,V279,X279,Z279,AB279,AD279)</f>
        <v>0</v>
      </c>
      <c r="AM279" s="462">
        <f>AL279-AH279</f>
        <v>0</v>
      </c>
      <c r="AO279" s="692"/>
      <c r="AP279" s="692"/>
      <c r="AV279" s="56"/>
    </row>
    <row r="280" spans="1:48" ht="13.5" customHeight="1" outlineLevel="1" thickBot="1">
      <c r="B280" s="82"/>
      <c r="C280" s="1231"/>
      <c r="D280" s="1231"/>
      <c r="E280" s="84" t="str">
        <f>'Terms and Turnovers'!$T$12</f>
        <v>ORIGINALS</v>
      </c>
      <c r="F280" s="120">
        <f t="shared" si="20"/>
        <v>0</v>
      </c>
      <c r="G280" s="723"/>
      <c r="H280" s="120">
        <f t="shared" si="21"/>
        <v>0</v>
      </c>
      <c r="I280" s="69">
        <v>0</v>
      </c>
      <c r="J280" s="120">
        <f t="shared" si="22"/>
        <v>0</v>
      </c>
      <c r="K280" s="69">
        <v>0</v>
      </c>
      <c r="L280" s="120">
        <f t="shared" si="23"/>
        <v>0</v>
      </c>
      <c r="M280" s="69">
        <v>0</v>
      </c>
      <c r="N280" s="315">
        <f t="shared" si="24"/>
        <v>0</v>
      </c>
      <c r="O280" s="69">
        <v>0</v>
      </c>
      <c r="P280" s="120">
        <f t="shared" si="25"/>
        <v>0</v>
      </c>
      <c r="Q280" s="69">
        <v>0</v>
      </c>
      <c r="R280" s="88">
        <f>'Terms and Turnovers'!U55</f>
        <v>0</v>
      </c>
      <c r="S280" s="161">
        <f t="shared" si="15"/>
        <v>0</v>
      </c>
      <c r="T280" s="120">
        <f t="shared" si="26"/>
        <v>0</v>
      </c>
      <c r="U280" s="69">
        <v>0</v>
      </c>
      <c r="V280" s="120">
        <f t="shared" si="26"/>
        <v>0</v>
      </c>
      <c r="W280" s="69">
        <v>0</v>
      </c>
      <c r="X280" s="120">
        <f>$AF280*Y280</f>
        <v>0</v>
      </c>
      <c r="Y280" s="69">
        <v>0</v>
      </c>
      <c r="Z280" s="120">
        <f>$AF280*AA280</f>
        <v>0</v>
      </c>
      <c r="AA280" s="69">
        <v>0</v>
      </c>
      <c r="AB280" s="315">
        <f>$AF280*AC280</f>
        <v>0</v>
      </c>
      <c r="AC280" s="69">
        <v>0</v>
      </c>
      <c r="AD280" s="120">
        <f>$AF280*AE280</f>
        <v>0</v>
      </c>
      <c r="AE280" s="69">
        <v>0</v>
      </c>
      <c r="AF280" s="88">
        <f>'Terms and Turnovers'!Z55</f>
        <v>0</v>
      </c>
      <c r="AG280" s="161">
        <f t="shared" si="16"/>
        <v>0</v>
      </c>
      <c r="AH280" s="158">
        <f t="shared" si="17"/>
        <v>0</v>
      </c>
      <c r="AI280" s="134">
        <f t="shared" si="18"/>
        <v>0</v>
      </c>
      <c r="AJ280" s="65"/>
      <c r="AL280" s="461">
        <f>SUM(F280,H280,J280,L280,N280,P280,T280,V280,X280,Z280,AB280,AD280)</f>
        <v>0</v>
      </c>
      <c r="AM280" s="462">
        <f>AL280-AH280</f>
        <v>0</v>
      </c>
      <c r="AO280" s="692"/>
      <c r="AP280" s="692"/>
      <c r="AV280" s="56"/>
    </row>
    <row r="281" spans="1:48" ht="13.5" customHeight="1" outlineLevel="1" thickBot="1">
      <c r="B281" s="82"/>
      <c r="C281" s="1231"/>
      <c r="D281" s="1231"/>
      <c r="E281" s="84" t="str">
        <f>'Terms and Turnovers'!$AD$12</f>
        <v>ACCESSORIES</v>
      </c>
      <c r="F281" s="120">
        <f t="shared" si="20"/>
        <v>0</v>
      </c>
      <c r="G281" s="723"/>
      <c r="H281" s="120">
        <f t="shared" si="21"/>
        <v>0</v>
      </c>
      <c r="I281" s="69">
        <v>0</v>
      </c>
      <c r="J281" s="120">
        <f t="shared" si="22"/>
        <v>0</v>
      </c>
      <c r="K281" s="69">
        <v>0</v>
      </c>
      <c r="L281" s="120">
        <f t="shared" si="23"/>
        <v>0</v>
      </c>
      <c r="M281" s="69">
        <v>0</v>
      </c>
      <c r="N281" s="315">
        <f t="shared" si="24"/>
        <v>0</v>
      </c>
      <c r="O281" s="69">
        <v>0</v>
      </c>
      <c r="P281" s="120">
        <f t="shared" si="25"/>
        <v>0</v>
      </c>
      <c r="Q281" s="69">
        <v>0</v>
      </c>
      <c r="R281" s="88">
        <f>'Terms and Turnovers'!AE55</f>
        <v>0</v>
      </c>
      <c r="S281" s="161">
        <f t="shared" si="15"/>
        <v>0</v>
      </c>
      <c r="T281" s="120">
        <f t="shared" si="26"/>
        <v>0</v>
      </c>
      <c r="U281" s="69">
        <v>0</v>
      </c>
      <c r="V281" s="120">
        <f t="shared" si="26"/>
        <v>0</v>
      </c>
      <c r="W281" s="69">
        <v>0</v>
      </c>
      <c r="X281" s="120">
        <f>$AF281*Y281</f>
        <v>0</v>
      </c>
      <c r="Y281" s="69">
        <v>0</v>
      </c>
      <c r="Z281" s="120">
        <f>$AF281*AA281</f>
        <v>0</v>
      </c>
      <c r="AA281" s="69">
        <v>0</v>
      </c>
      <c r="AB281" s="315">
        <f>$AF281*AC281</f>
        <v>0</v>
      </c>
      <c r="AC281" s="69">
        <v>0</v>
      </c>
      <c r="AD281" s="120">
        <f>$AF281*AE281</f>
        <v>0</v>
      </c>
      <c r="AE281" s="69">
        <v>0</v>
      </c>
      <c r="AF281" s="88">
        <f>'Terms and Turnovers'!AJ55</f>
        <v>0</v>
      </c>
      <c r="AG281" s="161">
        <f t="shared" si="16"/>
        <v>0</v>
      </c>
      <c r="AH281" s="158">
        <f t="shared" si="17"/>
        <v>0</v>
      </c>
      <c r="AI281" s="134">
        <f t="shared" si="18"/>
        <v>0</v>
      </c>
      <c r="AJ281" s="65"/>
      <c r="AL281" s="461">
        <f>SUM(F281,H281,J281,L281,N281,P281,T281,V281,X281,Z281,AB281,AD281)</f>
        <v>0</v>
      </c>
      <c r="AM281" s="462">
        <f>AL281-AH281</f>
        <v>0</v>
      </c>
      <c r="AO281" s="692"/>
      <c r="AP281" s="692"/>
      <c r="AV281" s="56"/>
    </row>
    <row r="282" spans="1:48" ht="13.5" customHeight="1" outlineLevel="1" thickBot="1">
      <c r="B282" s="82"/>
      <c r="C282" s="1231"/>
      <c r="D282" s="1231"/>
      <c r="E282" s="84">
        <f>'Terms and Turnovers'!$AN$12</f>
        <v>0</v>
      </c>
      <c r="F282" s="120">
        <f t="shared" si="20"/>
        <v>0</v>
      </c>
      <c r="G282" s="723"/>
      <c r="H282" s="120">
        <f t="shared" si="21"/>
        <v>0</v>
      </c>
      <c r="I282" s="69">
        <v>0</v>
      </c>
      <c r="J282" s="120">
        <f t="shared" si="22"/>
        <v>0</v>
      </c>
      <c r="K282" s="69">
        <v>0</v>
      </c>
      <c r="L282" s="120">
        <f t="shared" si="23"/>
        <v>0</v>
      </c>
      <c r="M282" s="69">
        <v>0</v>
      </c>
      <c r="N282" s="315">
        <f t="shared" si="24"/>
        <v>0</v>
      </c>
      <c r="O282" s="69">
        <v>0</v>
      </c>
      <c r="P282" s="120">
        <f t="shared" si="25"/>
        <v>0</v>
      </c>
      <c r="Q282" s="69">
        <v>0</v>
      </c>
      <c r="R282" s="88">
        <f>'Terms and Turnovers'!AO55</f>
        <v>0</v>
      </c>
      <c r="S282" s="161">
        <f t="shared" si="15"/>
        <v>0</v>
      </c>
      <c r="T282" s="120">
        <f t="shared" si="26"/>
        <v>0</v>
      </c>
      <c r="U282" s="69">
        <v>0</v>
      </c>
      <c r="V282" s="120">
        <f t="shared" si="26"/>
        <v>0</v>
      </c>
      <c r="W282" s="69">
        <v>0</v>
      </c>
      <c r="X282" s="120">
        <f>$AF282*Y282</f>
        <v>0</v>
      </c>
      <c r="Y282" s="69">
        <v>0</v>
      </c>
      <c r="Z282" s="120">
        <f>$AF282*AA282</f>
        <v>0</v>
      </c>
      <c r="AA282" s="69">
        <v>0</v>
      </c>
      <c r="AB282" s="315">
        <f>$AF282*AC282</f>
        <v>0</v>
      </c>
      <c r="AC282" s="69">
        <v>0</v>
      </c>
      <c r="AD282" s="120">
        <f>$AF282*AE282</f>
        <v>0</v>
      </c>
      <c r="AE282" s="69">
        <v>0</v>
      </c>
      <c r="AF282" s="88">
        <f>'Terms and Turnovers'!AT55</f>
        <v>0</v>
      </c>
      <c r="AG282" s="161">
        <f t="shared" si="16"/>
        <v>0</v>
      </c>
      <c r="AH282" s="158">
        <f t="shared" si="17"/>
        <v>0</v>
      </c>
      <c r="AI282" s="134">
        <f t="shared" si="18"/>
        <v>0</v>
      </c>
      <c r="AJ282" s="65"/>
      <c r="AL282" s="461">
        <f>SUM(F282,H282,J282,L282,N282,P282,T282,V282,X282,Z282,AB282,AD282)</f>
        <v>0</v>
      </c>
      <c r="AM282" s="462">
        <f>AL282-AH282</f>
        <v>0</v>
      </c>
      <c r="AO282" s="692"/>
      <c r="AP282" s="692"/>
      <c r="AV282" s="56"/>
    </row>
    <row r="283" spans="1:48" ht="13.5" customHeight="1" outlineLevel="1" thickBot="1">
      <c r="B283" s="82"/>
      <c r="C283" s="1232"/>
      <c r="D283" s="1232"/>
      <c r="E283" s="85">
        <f>'Terms and Turnovers'!$AX$12</f>
        <v>0</v>
      </c>
      <c r="F283" s="121">
        <f t="shared" si="20"/>
        <v>0</v>
      </c>
      <c r="G283" s="72"/>
      <c r="H283" s="121">
        <f t="shared" si="21"/>
        <v>0</v>
      </c>
      <c r="I283" s="69">
        <v>0</v>
      </c>
      <c r="J283" s="121">
        <f t="shared" si="22"/>
        <v>0</v>
      </c>
      <c r="K283" s="69">
        <v>0</v>
      </c>
      <c r="L283" s="121">
        <f t="shared" si="23"/>
        <v>0</v>
      </c>
      <c r="M283" s="69">
        <v>0</v>
      </c>
      <c r="N283" s="316">
        <f t="shared" si="24"/>
        <v>0</v>
      </c>
      <c r="O283" s="69">
        <v>0</v>
      </c>
      <c r="P283" s="121">
        <f t="shared" si="25"/>
        <v>0</v>
      </c>
      <c r="Q283" s="69">
        <v>0</v>
      </c>
      <c r="R283" s="89">
        <f>'Terms and Turnovers'!AY55</f>
        <v>0</v>
      </c>
      <c r="S283" s="162">
        <f t="shared" si="15"/>
        <v>0</v>
      </c>
      <c r="T283" s="121">
        <f t="shared" si="26"/>
        <v>0</v>
      </c>
      <c r="U283" s="69">
        <v>0</v>
      </c>
      <c r="V283" s="121">
        <f t="shared" si="26"/>
        <v>0</v>
      </c>
      <c r="W283" s="69">
        <v>0</v>
      </c>
      <c r="X283" s="121">
        <f>$AF283*Y283</f>
        <v>0</v>
      </c>
      <c r="Y283" s="69">
        <v>0</v>
      </c>
      <c r="Z283" s="121">
        <f>$AF283*AA283</f>
        <v>0</v>
      </c>
      <c r="AA283" s="69">
        <v>0</v>
      </c>
      <c r="AB283" s="316">
        <f>$AF283*AC283</f>
        <v>0</v>
      </c>
      <c r="AC283" s="69">
        <v>0</v>
      </c>
      <c r="AD283" s="121">
        <f>$AF283*AE283</f>
        <v>0</v>
      </c>
      <c r="AE283" s="69">
        <v>0</v>
      </c>
      <c r="AF283" s="89">
        <f>'Terms and Turnovers'!BD55</f>
        <v>0</v>
      </c>
      <c r="AG283" s="162">
        <f t="shared" si="16"/>
        <v>0</v>
      </c>
      <c r="AH283" s="159">
        <f t="shared" si="17"/>
        <v>0</v>
      </c>
      <c r="AI283" s="137">
        <f t="shared" si="18"/>
        <v>0</v>
      </c>
      <c r="AJ283" s="65"/>
      <c r="AL283" s="461">
        <f>SUM(F283,H283,J283,L283,N283,P283,T283,V283,X283,Z283,AB283,AD283)</f>
        <v>0</v>
      </c>
      <c r="AM283" s="462">
        <f>AL283-AH283</f>
        <v>0</v>
      </c>
      <c r="AO283" s="692"/>
      <c r="AP283" s="692"/>
      <c r="AV283" s="56"/>
    </row>
    <row r="284" spans="1:48" ht="13.5" customHeight="1" outlineLevel="1" thickBot="1">
      <c r="A284" s="119"/>
      <c r="B284" s="82"/>
      <c r="C284" s="425"/>
      <c r="D284" s="425"/>
      <c r="E284" s="426"/>
      <c r="F284" s="427">
        <f>SUM(F279:F283)</f>
        <v>0</v>
      </c>
      <c r="G284" s="428"/>
      <c r="H284" s="427">
        <f>SUM(H279:H283)</f>
        <v>0</v>
      </c>
      <c r="I284" s="69"/>
      <c r="J284" s="427">
        <f>SUM(J279:J283)</f>
        <v>0</v>
      </c>
      <c r="K284" s="69"/>
      <c r="L284" s="427">
        <f>SUM(L279:L283)</f>
        <v>0</v>
      </c>
      <c r="M284" s="69"/>
      <c r="N284" s="427">
        <f>SUM(N279:N283)</f>
        <v>0</v>
      </c>
      <c r="O284" s="69"/>
      <c r="P284" s="427">
        <f>SUM(P279:P283)</f>
        <v>0</v>
      </c>
      <c r="Q284" s="69"/>
      <c r="R284" s="429"/>
      <c r="S284" s="430"/>
      <c r="T284" s="427">
        <f>SUM(T279:T283)</f>
        <v>0</v>
      </c>
      <c r="U284" s="428"/>
      <c r="V284" s="427">
        <f>SUM(V279:V283)</f>
        <v>0</v>
      </c>
      <c r="W284" s="69"/>
      <c r="X284" s="427">
        <f>SUM(X279:X283)</f>
        <v>0</v>
      </c>
      <c r="Y284" s="69"/>
      <c r="Z284" s="427">
        <f>SUM(Z279:Z283)</f>
        <v>0</v>
      </c>
      <c r="AA284" s="69"/>
      <c r="AB284" s="427">
        <f>SUM(AB279:AB283)</f>
        <v>0</v>
      </c>
      <c r="AC284" s="69"/>
      <c r="AD284" s="427">
        <f>SUM(AD279:AD283)</f>
        <v>0</v>
      </c>
      <c r="AE284" s="69"/>
      <c r="AF284" s="429"/>
      <c r="AG284" s="430"/>
      <c r="AH284" s="431"/>
      <c r="AI284" s="432"/>
      <c r="AJ284" s="65"/>
      <c r="AO284" s="692"/>
      <c r="AP284" s="692"/>
      <c r="AV284" s="56"/>
    </row>
    <row r="285" spans="1:48" ht="13.5" customHeight="1" outlineLevel="1" thickBot="1">
      <c r="A285" s="119"/>
      <c r="B285" s="82"/>
      <c r="C285" s="1098" t="s">
        <v>484</v>
      </c>
      <c r="D285" s="433">
        <f>D279</f>
        <v>0</v>
      </c>
      <c r="E285" s="426"/>
      <c r="F285" s="700"/>
      <c r="G285" s="428"/>
      <c r="H285" s="700"/>
      <c r="I285" s="69"/>
      <c r="J285" s="700"/>
      <c r="K285" s="69"/>
      <c r="L285" s="700"/>
      <c r="M285" s="69"/>
      <c r="N285" s="700"/>
      <c r="O285" s="69"/>
      <c r="P285" s="700"/>
      <c r="Q285" s="69"/>
      <c r="R285" s="429"/>
      <c r="S285" s="430"/>
      <c r="T285" s="700"/>
      <c r="U285" s="428"/>
      <c r="V285" s="700"/>
      <c r="W285" s="69">
        <f t="shared" ref="W285:AC285" si="27">W284</f>
        <v>0</v>
      </c>
      <c r="X285" s="700"/>
      <c r="Y285" s="69">
        <f t="shared" si="27"/>
        <v>0</v>
      </c>
      <c r="Z285" s="700"/>
      <c r="AA285" s="69">
        <f t="shared" si="27"/>
        <v>0</v>
      </c>
      <c r="AB285" s="700"/>
      <c r="AC285" s="69">
        <f t="shared" si="27"/>
        <v>0</v>
      </c>
      <c r="AD285" s="700"/>
      <c r="AE285" s="69"/>
      <c r="AF285" s="429"/>
      <c r="AG285" s="430"/>
      <c r="AH285" s="431"/>
      <c r="AI285" s="432"/>
      <c r="AJ285" s="65"/>
      <c r="AN285" s="742">
        <f>SUM(AF279:AF283)*AQ285</f>
        <v>0</v>
      </c>
      <c r="AO285" s="742">
        <f>SUM(R279:R283)*AQ285</f>
        <v>0</v>
      </c>
      <c r="AP285" s="742"/>
      <c r="AQ285" s="693">
        <v>0.1</v>
      </c>
      <c r="AS285" s="716">
        <f>SUM(AL279:AL283)</f>
        <v>0</v>
      </c>
      <c r="AT285" s="461">
        <f>F285+H285+J285+L285+N285+P285+T285+V285+X285+Z285+AB285+AD285</f>
        <v>0</v>
      </c>
      <c r="AU285" s="745">
        <f>AT285-AS285</f>
        <v>0</v>
      </c>
      <c r="AV285" s="462" t="e">
        <f>AT285/AS285</f>
        <v>#DIV/0!</v>
      </c>
    </row>
    <row r="286" spans="1:48" ht="13.5" customHeight="1" outlineLevel="1" thickBot="1">
      <c r="B286" s="82">
        <f>B279+1</f>
        <v>41</v>
      </c>
      <c r="C286" s="1230">
        <f>'Terms and Turnovers'!C56</f>
        <v>0</v>
      </c>
      <c r="D286" s="1230">
        <f>'Terms and Turnovers'!D56</f>
        <v>0</v>
      </c>
      <c r="E286" s="83" t="str">
        <f>'Terms and Turnovers'!$J$12</f>
        <v>FLIP-FLOPS</v>
      </c>
      <c r="F286" s="118">
        <f>$R286*G286</f>
        <v>0</v>
      </c>
      <c r="G286" s="69"/>
      <c r="H286" s="314">
        <f>$R286*I286</f>
        <v>0</v>
      </c>
      <c r="I286" s="69">
        <v>0</v>
      </c>
      <c r="J286" s="118">
        <f>$R286*K286</f>
        <v>0</v>
      </c>
      <c r="K286" s="69">
        <v>0</v>
      </c>
      <c r="L286" s="314">
        <f>$R286*M286</f>
        <v>0</v>
      </c>
      <c r="M286" s="69">
        <v>0</v>
      </c>
      <c r="N286" s="314">
        <f>$R286*O286</f>
        <v>0</v>
      </c>
      <c r="O286" s="69">
        <v>0</v>
      </c>
      <c r="P286" s="118">
        <f>$R286*Q286</f>
        <v>0</v>
      </c>
      <c r="Q286" s="69">
        <v>0</v>
      </c>
      <c r="R286" s="87">
        <f>'Terms and Turnovers'!K56</f>
        <v>0</v>
      </c>
      <c r="S286" s="160">
        <f t="shared" si="15"/>
        <v>0</v>
      </c>
      <c r="T286" s="118">
        <f>$AF286*U286</f>
        <v>0</v>
      </c>
      <c r="U286" s="69">
        <v>0</v>
      </c>
      <c r="V286" s="118">
        <f>$AF286*W286</f>
        <v>0</v>
      </c>
      <c r="W286" s="69">
        <v>0</v>
      </c>
      <c r="X286" s="118">
        <f>$AF286*Y286</f>
        <v>0</v>
      </c>
      <c r="Y286" s="69">
        <v>0</v>
      </c>
      <c r="Z286" s="118">
        <f>$AF286*AA286</f>
        <v>0</v>
      </c>
      <c r="AA286" s="69">
        <v>0</v>
      </c>
      <c r="AB286" s="314">
        <f>$AF286*AC286</f>
        <v>0</v>
      </c>
      <c r="AC286" s="69">
        <v>0</v>
      </c>
      <c r="AD286" s="118">
        <f>$AF286*AE286</f>
        <v>0</v>
      </c>
      <c r="AE286" s="69">
        <v>0</v>
      </c>
      <c r="AF286" s="87">
        <f>'Terms and Turnovers'!P56</f>
        <v>0</v>
      </c>
      <c r="AG286" s="160">
        <f t="shared" si="16"/>
        <v>0</v>
      </c>
      <c r="AH286" s="157">
        <f t="shared" si="17"/>
        <v>0</v>
      </c>
      <c r="AI286" s="131">
        <f t="shared" si="18"/>
        <v>0</v>
      </c>
      <c r="AJ286" s="65"/>
      <c r="AL286" s="461">
        <f>SUM(F286,H286,J286,L286,N286,P286,T286,V286,X286,Z286,AB286,AD286)</f>
        <v>0</v>
      </c>
      <c r="AM286" s="462">
        <f>AL286-AH286</f>
        <v>0</v>
      </c>
      <c r="AO286" s="692"/>
      <c r="AP286" s="692"/>
      <c r="AV286" s="56"/>
    </row>
    <row r="287" spans="1:48" ht="13.5" customHeight="1" outlineLevel="1" thickBot="1">
      <c r="B287" s="82"/>
      <c r="C287" s="1231"/>
      <c r="D287" s="1231"/>
      <c r="E287" s="84" t="str">
        <f>'Terms and Turnovers'!$T$12</f>
        <v>ORIGINALS</v>
      </c>
      <c r="F287" s="120">
        <f>$R287*G287</f>
        <v>0</v>
      </c>
      <c r="G287" s="723"/>
      <c r="H287" s="120">
        <f>$R287*I287</f>
        <v>0</v>
      </c>
      <c r="I287" s="69">
        <v>0</v>
      </c>
      <c r="J287" s="120">
        <f>$R287*K287</f>
        <v>0</v>
      </c>
      <c r="K287" s="69">
        <v>0</v>
      </c>
      <c r="L287" s="120">
        <f>$R287*M287</f>
        <v>0</v>
      </c>
      <c r="M287" s="69">
        <v>0</v>
      </c>
      <c r="N287" s="315">
        <f>$R287*O287</f>
        <v>0</v>
      </c>
      <c r="O287" s="69">
        <v>0</v>
      </c>
      <c r="P287" s="120">
        <f>$R287*Q287</f>
        <v>0</v>
      </c>
      <c r="Q287" s="69">
        <v>0</v>
      </c>
      <c r="R287" s="88">
        <f>'Terms and Turnovers'!U56</f>
        <v>0</v>
      </c>
      <c r="S287" s="161">
        <f t="shared" si="15"/>
        <v>0</v>
      </c>
      <c r="T287" s="120">
        <f>$AF287*U287</f>
        <v>0</v>
      </c>
      <c r="U287" s="69">
        <v>0</v>
      </c>
      <c r="V287" s="120">
        <f>$AF287*W287</f>
        <v>0</v>
      </c>
      <c r="W287" s="69">
        <v>0</v>
      </c>
      <c r="X287" s="120">
        <f>$AF287*Y287</f>
        <v>0</v>
      </c>
      <c r="Y287" s="69">
        <v>0</v>
      </c>
      <c r="Z287" s="120">
        <f>$AF287*AA287</f>
        <v>0</v>
      </c>
      <c r="AA287" s="69">
        <v>0</v>
      </c>
      <c r="AB287" s="315">
        <f>$AF287*AC287</f>
        <v>0</v>
      </c>
      <c r="AC287" s="69">
        <v>0</v>
      </c>
      <c r="AD287" s="120">
        <f>$AF287*AE287</f>
        <v>0</v>
      </c>
      <c r="AE287" s="69">
        <v>0</v>
      </c>
      <c r="AF287" s="88">
        <f>'Terms and Turnovers'!Z56</f>
        <v>0</v>
      </c>
      <c r="AG287" s="161">
        <f t="shared" si="16"/>
        <v>0</v>
      </c>
      <c r="AH287" s="158">
        <f t="shared" si="17"/>
        <v>0</v>
      </c>
      <c r="AI287" s="134">
        <f t="shared" si="18"/>
        <v>0</v>
      </c>
      <c r="AJ287" s="65"/>
      <c r="AL287" s="461">
        <f>SUM(F287,H287,J287,L287,N287,P287,T287,V287,X287,Z287,AB287,AD287)</f>
        <v>0</v>
      </c>
      <c r="AM287" s="462">
        <f>AL287-AH287</f>
        <v>0</v>
      </c>
      <c r="AO287" s="692"/>
      <c r="AP287" s="692"/>
      <c r="AV287" s="56"/>
    </row>
    <row r="288" spans="1:48" ht="13.5" customHeight="1" outlineLevel="1" thickBot="1">
      <c r="B288" s="82"/>
      <c r="C288" s="1231"/>
      <c r="D288" s="1231"/>
      <c r="E288" s="84" t="str">
        <f>'Terms and Turnovers'!$AD$12</f>
        <v>ACCESSORIES</v>
      </c>
      <c r="F288" s="120">
        <f>$R288*G288</f>
        <v>0</v>
      </c>
      <c r="G288" s="723"/>
      <c r="H288" s="120">
        <f>$R288*I288</f>
        <v>0</v>
      </c>
      <c r="I288" s="69">
        <v>0</v>
      </c>
      <c r="J288" s="120">
        <f>$R288*K288</f>
        <v>0</v>
      </c>
      <c r="K288" s="69">
        <v>0</v>
      </c>
      <c r="L288" s="120">
        <f>$R288*M288</f>
        <v>0</v>
      </c>
      <c r="M288" s="69">
        <v>0</v>
      </c>
      <c r="N288" s="315">
        <f>$R288*O288</f>
        <v>0</v>
      </c>
      <c r="O288" s="69">
        <v>0</v>
      </c>
      <c r="P288" s="120">
        <f>$R288*Q288</f>
        <v>0</v>
      </c>
      <c r="Q288" s="69">
        <v>0</v>
      </c>
      <c r="R288" s="88">
        <f>'Terms and Turnovers'!AE56</f>
        <v>0</v>
      </c>
      <c r="S288" s="161">
        <f t="shared" si="15"/>
        <v>0</v>
      </c>
      <c r="T288" s="120">
        <f>$AF288*U288</f>
        <v>0</v>
      </c>
      <c r="U288" s="69">
        <v>0</v>
      </c>
      <c r="V288" s="120">
        <f>$AF288*W288</f>
        <v>0</v>
      </c>
      <c r="W288" s="69">
        <v>0</v>
      </c>
      <c r="X288" s="120">
        <f>$AF288*Y288</f>
        <v>0</v>
      </c>
      <c r="Y288" s="69">
        <v>0</v>
      </c>
      <c r="Z288" s="120">
        <f>$AF288*AA288</f>
        <v>0</v>
      </c>
      <c r="AA288" s="69">
        <v>0</v>
      </c>
      <c r="AB288" s="315">
        <f>$AF288*AC288</f>
        <v>0</v>
      </c>
      <c r="AC288" s="69">
        <v>0</v>
      </c>
      <c r="AD288" s="120">
        <f>$AF288*AE288</f>
        <v>0</v>
      </c>
      <c r="AE288" s="69">
        <v>0</v>
      </c>
      <c r="AF288" s="88">
        <f>'Terms and Turnovers'!AJ56</f>
        <v>0</v>
      </c>
      <c r="AG288" s="161">
        <f t="shared" si="16"/>
        <v>0</v>
      </c>
      <c r="AH288" s="158">
        <f t="shared" si="17"/>
        <v>0</v>
      </c>
      <c r="AI288" s="134">
        <f t="shared" si="18"/>
        <v>0</v>
      </c>
      <c r="AJ288" s="65"/>
      <c r="AL288" s="461">
        <f>SUM(F288,H288,J288,L288,N288,P288,T288,V288,X288,Z288,AB288,AD288)</f>
        <v>0</v>
      </c>
      <c r="AM288" s="462">
        <f>AL288-AH288</f>
        <v>0</v>
      </c>
      <c r="AO288" s="692"/>
      <c r="AP288" s="692"/>
      <c r="AV288" s="56"/>
    </row>
    <row r="289" spans="1:48" ht="13.5" customHeight="1" outlineLevel="1" thickBot="1">
      <c r="B289" s="82"/>
      <c r="C289" s="1231"/>
      <c r="D289" s="1231"/>
      <c r="E289" s="84">
        <f>'Terms and Turnovers'!$AN$12</f>
        <v>0</v>
      </c>
      <c r="F289" s="120">
        <f>$R289*G289</f>
        <v>0</v>
      </c>
      <c r="G289" s="723"/>
      <c r="H289" s="120">
        <f>$R289*I289</f>
        <v>0</v>
      </c>
      <c r="I289" s="69">
        <v>0</v>
      </c>
      <c r="J289" s="120">
        <f>$R289*K289</f>
        <v>0</v>
      </c>
      <c r="K289" s="69">
        <v>0</v>
      </c>
      <c r="L289" s="120">
        <f>$R289*M289</f>
        <v>0</v>
      </c>
      <c r="M289" s="69">
        <v>0</v>
      </c>
      <c r="N289" s="315">
        <f>$R289*O289</f>
        <v>0</v>
      </c>
      <c r="O289" s="69">
        <v>0</v>
      </c>
      <c r="P289" s="120">
        <f>$R289*Q289</f>
        <v>0</v>
      </c>
      <c r="Q289" s="69">
        <v>0</v>
      </c>
      <c r="R289" s="88">
        <f>'Terms and Turnovers'!AO56</f>
        <v>0</v>
      </c>
      <c r="S289" s="161">
        <f t="shared" si="15"/>
        <v>0</v>
      </c>
      <c r="T289" s="120">
        <f>$AF289*U289</f>
        <v>0</v>
      </c>
      <c r="U289" s="69">
        <v>0</v>
      </c>
      <c r="V289" s="120">
        <f>$AF289*W289</f>
        <v>0</v>
      </c>
      <c r="W289" s="69">
        <v>0</v>
      </c>
      <c r="X289" s="120">
        <f>$AF289*Y289</f>
        <v>0</v>
      </c>
      <c r="Y289" s="69">
        <v>0</v>
      </c>
      <c r="Z289" s="120">
        <f>$AF289*AA289</f>
        <v>0</v>
      </c>
      <c r="AA289" s="69">
        <v>0</v>
      </c>
      <c r="AB289" s="315">
        <f>$AF289*AC289</f>
        <v>0</v>
      </c>
      <c r="AC289" s="69">
        <v>0</v>
      </c>
      <c r="AD289" s="120">
        <f>$AF289*AE289</f>
        <v>0</v>
      </c>
      <c r="AE289" s="69">
        <v>0</v>
      </c>
      <c r="AF289" s="88">
        <f>'Terms and Turnovers'!AT56</f>
        <v>0</v>
      </c>
      <c r="AG289" s="161">
        <f t="shared" si="16"/>
        <v>0</v>
      </c>
      <c r="AH289" s="158">
        <f t="shared" si="17"/>
        <v>0</v>
      </c>
      <c r="AI289" s="134">
        <f t="shared" si="18"/>
        <v>0</v>
      </c>
      <c r="AJ289" s="65"/>
      <c r="AL289" s="461">
        <f>SUM(F289,H289,J289,L289,N289,P289,T289,V289,X289,Z289,AB289,AD289)</f>
        <v>0</v>
      </c>
      <c r="AM289" s="462">
        <f>AL289-AH289</f>
        <v>0</v>
      </c>
      <c r="AO289" s="692"/>
      <c r="AP289" s="692"/>
      <c r="AV289" s="56"/>
    </row>
    <row r="290" spans="1:48" ht="13.5" customHeight="1" outlineLevel="1" thickBot="1">
      <c r="B290" s="82"/>
      <c r="C290" s="1232"/>
      <c r="D290" s="1232"/>
      <c r="E290" s="85">
        <f>'Terms and Turnovers'!$AX$12</f>
        <v>0</v>
      </c>
      <c r="F290" s="121">
        <f>$R290*G290</f>
        <v>0</v>
      </c>
      <c r="G290" s="72"/>
      <c r="H290" s="121">
        <f>$R290*I290</f>
        <v>0</v>
      </c>
      <c r="I290" s="69">
        <v>0</v>
      </c>
      <c r="J290" s="121">
        <f>$R290*K290</f>
        <v>0</v>
      </c>
      <c r="K290" s="69">
        <v>0</v>
      </c>
      <c r="L290" s="121">
        <f>$R290*M290</f>
        <v>0</v>
      </c>
      <c r="M290" s="69">
        <v>0</v>
      </c>
      <c r="N290" s="316">
        <f>$R290*O290</f>
        <v>0</v>
      </c>
      <c r="O290" s="69">
        <v>0</v>
      </c>
      <c r="P290" s="121">
        <f>$R290*Q290</f>
        <v>0</v>
      </c>
      <c r="Q290" s="69">
        <v>0</v>
      </c>
      <c r="R290" s="89">
        <f>'Terms and Turnovers'!AY56</f>
        <v>0</v>
      </c>
      <c r="S290" s="162">
        <f t="shared" si="15"/>
        <v>0</v>
      </c>
      <c r="T290" s="121">
        <f>$AF290*U290</f>
        <v>0</v>
      </c>
      <c r="U290" s="69">
        <v>0</v>
      </c>
      <c r="V290" s="121">
        <f>$AF290*W290</f>
        <v>0</v>
      </c>
      <c r="W290" s="69">
        <v>0</v>
      </c>
      <c r="X290" s="121">
        <f>$AF290*Y290</f>
        <v>0</v>
      </c>
      <c r="Y290" s="69">
        <v>0</v>
      </c>
      <c r="Z290" s="121">
        <f>$AF290*AA290</f>
        <v>0</v>
      </c>
      <c r="AA290" s="69">
        <v>0</v>
      </c>
      <c r="AB290" s="316">
        <f>$AF290*AC290</f>
        <v>0</v>
      </c>
      <c r="AC290" s="69">
        <v>0</v>
      </c>
      <c r="AD290" s="121">
        <f>$AF290*AE290</f>
        <v>0</v>
      </c>
      <c r="AE290" s="69">
        <v>0</v>
      </c>
      <c r="AF290" s="89">
        <f>'Terms and Turnovers'!BD56</f>
        <v>0</v>
      </c>
      <c r="AG290" s="162">
        <f t="shared" si="16"/>
        <v>0</v>
      </c>
      <c r="AH290" s="159">
        <f t="shared" si="17"/>
        <v>0</v>
      </c>
      <c r="AI290" s="137">
        <f t="shared" si="18"/>
        <v>0</v>
      </c>
      <c r="AJ290" s="65"/>
      <c r="AL290" s="461">
        <f>SUM(F290,H290,J290,L290,N290,P290,T290,V290,X290,Z290,AB290,AD290)</f>
        <v>0</v>
      </c>
      <c r="AM290" s="462">
        <f>AL290-AH290</f>
        <v>0</v>
      </c>
      <c r="AO290" s="692"/>
      <c r="AP290" s="692"/>
      <c r="AV290" s="56"/>
    </row>
    <row r="291" spans="1:48" ht="13.5" customHeight="1" outlineLevel="1" thickBot="1">
      <c r="A291" s="119"/>
      <c r="B291" s="82"/>
      <c r="C291" s="425"/>
      <c r="D291" s="425"/>
      <c r="E291" s="426"/>
      <c r="F291" s="427">
        <f>SUM(F286:F290)</f>
        <v>0</v>
      </c>
      <c r="G291" s="428"/>
      <c r="H291" s="427">
        <f>SUM(H286:H290)</f>
        <v>0</v>
      </c>
      <c r="I291" s="69"/>
      <c r="J291" s="427">
        <f>SUM(J286:J290)</f>
        <v>0</v>
      </c>
      <c r="K291" s="69"/>
      <c r="L291" s="427">
        <f>SUM(L286:L290)</f>
        <v>0</v>
      </c>
      <c r="M291" s="69"/>
      <c r="N291" s="427">
        <f>SUM(N286:N290)</f>
        <v>0</v>
      </c>
      <c r="O291" s="69"/>
      <c r="P291" s="427">
        <f>SUM(P286:P290)</f>
        <v>0</v>
      </c>
      <c r="Q291" s="69"/>
      <c r="R291" s="429"/>
      <c r="S291" s="430"/>
      <c r="T291" s="427">
        <f>SUM(T286:T290)</f>
        <v>0</v>
      </c>
      <c r="U291" s="428"/>
      <c r="V291" s="427">
        <f>SUM(V286:V290)</f>
        <v>0</v>
      </c>
      <c r="W291" s="69"/>
      <c r="X291" s="427">
        <f>SUM(X286:X290)</f>
        <v>0</v>
      </c>
      <c r="Y291" s="69"/>
      <c r="Z291" s="427">
        <f>SUM(Z286:Z290)</f>
        <v>0</v>
      </c>
      <c r="AA291" s="69"/>
      <c r="AB291" s="427">
        <f>SUM(AB286:AB290)</f>
        <v>0</v>
      </c>
      <c r="AC291" s="69"/>
      <c r="AD291" s="427">
        <f>SUM(AD286:AD290)</f>
        <v>0</v>
      </c>
      <c r="AE291" s="69"/>
      <c r="AF291" s="429"/>
      <c r="AG291" s="430"/>
      <c r="AH291" s="431"/>
      <c r="AI291" s="432"/>
      <c r="AJ291" s="65"/>
      <c r="AO291" s="692"/>
      <c r="AP291" s="692"/>
      <c r="AV291" s="56"/>
    </row>
    <row r="292" spans="1:48" ht="13.5" customHeight="1" outlineLevel="1" thickBot="1">
      <c r="A292" s="119"/>
      <c r="B292" s="82"/>
      <c r="C292" s="1098" t="s">
        <v>484</v>
      </c>
      <c r="D292" s="433">
        <f>D286</f>
        <v>0</v>
      </c>
      <c r="E292" s="426"/>
      <c r="F292" s="700"/>
      <c r="G292" s="428"/>
      <c r="H292" s="700"/>
      <c r="I292" s="69"/>
      <c r="J292" s="700"/>
      <c r="K292" s="69"/>
      <c r="L292" s="700"/>
      <c r="M292" s="69"/>
      <c r="N292" s="700"/>
      <c r="O292" s="69"/>
      <c r="P292" s="700"/>
      <c r="Q292" s="69"/>
      <c r="R292" s="429"/>
      <c r="S292" s="430"/>
      <c r="T292" s="700"/>
      <c r="U292" s="428">
        <f>Q291</f>
        <v>0</v>
      </c>
      <c r="V292" s="700"/>
      <c r="W292" s="69">
        <f>S291</f>
        <v>0</v>
      </c>
      <c r="X292" s="700"/>
      <c r="Y292" s="69">
        <f>U291</f>
        <v>0</v>
      </c>
      <c r="Z292" s="700"/>
      <c r="AA292" s="69">
        <f>W291</f>
        <v>0</v>
      </c>
      <c r="AB292" s="700"/>
      <c r="AC292" s="69">
        <f>Y291</f>
        <v>0</v>
      </c>
      <c r="AD292" s="700"/>
      <c r="AE292" s="69"/>
      <c r="AF292" s="429"/>
      <c r="AG292" s="430"/>
      <c r="AH292" s="431"/>
      <c r="AI292" s="432"/>
      <c r="AJ292" s="65"/>
      <c r="AN292" s="742">
        <f>SUM(AF286:AF290)*AQ292</f>
        <v>0</v>
      </c>
      <c r="AO292" s="742">
        <f>SUM(R286:R290)*AQ292</f>
        <v>0</v>
      </c>
      <c r="AP292" s="742"/>
      <c r="AQ292" s="693">
        <v>0.15</v>
      </c>
      <c r="AR292" s="696"/>
      <c r="AS292" s="716">
        <f>SUM(AL286:AL290)</f>
        <v>0</v>
      </c>
      <c r="AT292" s="461">
        <f>F292+H292+J292+L292+N292+P292+T292+V292+X292+Z292+AB292+AD292</f>
        <v>0</v>
      </c>
      <c r="AU292" s="745">
        <f>AT292-AS292</f>
        <v>0</v>
      </c>
      <c r="AV292" s="462" t="e">
        <f>AT292/AS292</f>
        <v>#DIV/0!</v>
      </c>
    </row>
    <row r="293" spans="1:48" ht="13.5" customHeight="1" outlineLevel="1" thickBot="1">
      <c r="B293" s="82">
        <f>B286+1</f>
        <v>42</v>
      </c>
      <c r="C293" s="1230">
        <f>'Terms and Turnovers'!C57</f>
        <v>0</v>
      </c>
      <c r="D293" s="1251">
        <f>'Terms and Turnovers'!D57</f>
        <v>0</v>
      </c>
      <c r="E293" s="83" t="str">
        <f>'Terms and Turnovers'!$J$12</f>
        <v>FLIP-FLOPS</v>
      </c>
      <c r="F293" s="118">
        <f t="shared" si="20"/>
        <v>0</v>
      </c>
      <c r="G293" s="69">
        <v>0</v>
      </c>
      <c r="H293" s="314">
        <f t="shared" si="21"/>
        <v>0</v>
      </c>
      <c r="I293" s="69">
        <v>0</v>
      </c>
      <c r="J293" s="118">
        <f t="shared" si="22"/>
        <v>0</v>
      </c>
      <c r="K293" s="69">
        <v>0</v>
      </c>
      <c r="L293" s="314">
        <f t="shared" si="23"/>
        <v>0</v>
      </c>
      <c r="M293" s="69">
        <v>0</v>
      </c>
      <c r="N293" s="314">
        <f t="shared" si="24"/>
        <v>0</v>
      </c>
      <c r="O293" s="69">
        <v>0</v>
      </c>
      <c r="P293" s="118">
        <f t="shared" si="25"/>
        <v>0</v>
      </c>
      <c r="Q293" s="69">
        <v>0</v>
      </c>
      <c r="R293" s="87">
        <f>'Terms and Turnovers'!K57</f>
        <v>0</v>
      </c>
      <c r="S293" s="160">
        <f t="shared" si="15"/>
        <v>0</v>
      </c>
      <c r="T293" s="118">
        <f>$AF293*U293</f>
        <v>0</v>
      </c>
      <c r="U293" s="69">
        <v>0</v>
      </c>
      <c r="V293" s="118">
        <f>$AF293*W293</f>
        <v>0</v>
      </c>
      <c r="W293" s="69">
        <v>0</v>
      </c>
      <c r="X293" s="118">
        <f>$AF293*Y293</f>
        <v>0</v>
      </c>
      <c r="Y293" s="69">
        <v>0</v>
      </c>
      <c r="Z293" s="118">
        <f>$AF293*AA293</f>
        <v>0</v>
      </c>
      <c r="AA293" s="69">
        <v>0</v>
      </c>
      <c r="AB293" s="314">
        <f>$AF293*AC293</f>
        <v>0</v>
      </c>
      <c r="AC293" s="69">
        <v>0</v>
      </c>
      <c r="AD293" s="118">
        <f>$AF293*AE293</f>
        <v>0</v>
      </c>
      <c r="AE293" s="69">
        <v>0</v>
      </c>
      <c r="AF293" s="87">
        <f>'Terms and Turnovers'!P57</f>
        <v>0</v>
      </c>
      <c r="AG293" s="160">
        <f t="shared" si="16"/>
        <v>0</v>
      </c>
      <c r="AH293" s="157">
        <f t="shared" si="17"/>
        <v>0</v>
      </c>
      <c r="AI293" s="131">
        <f t="shared" si="18"/>
        <v>0</v>
      </c>
      <c r="AJ293" s="65"/>
      <c r="AL293" s="461">
        <f>SUM(F293,H293,J293,L293,N293,P293,T293,V293,X293,Z293,AB293,AD293)</f>
        <v>0</v>
      </c>
      <c r="AM293" s="462">
        <f>AL293-AH293</f>
        <v>0</v>
      </c>
      <c r="AO293" s="692"/>
      <c r="AP293" s="692"/>
      <c r="AV293" s="56"/>
    </row>
    <row r="294" spans="1:48" ht="13.5" customHeight="1" outlineLevel="1" thickBot="1">
      <c r="B294" s="82"/>
      <c r="C294" s="1231"/>
      <c r="D294" s="1252"/>
      <c r="E294" s="84" t="str">
        <f>'Terms and Turnovers'!$T$12</f>
        <v>ORIGINALS</v>
      </c>
      <c r="F294" s="120">
        <f t="shared" si="20"/>
        <v>0</v>
      </c>
      <c r="G294" s="723"/>
      <c r="H294" s="120">
        <f t="shared" si="21"/>
        <v>0</v>
      </c>
      <c r="I294" s="69">
        <v>0</v>
      </c>
      <c r="J294" s="120">
        <f t="shared" si="22"/>
        <v>0</v>
      </c>
      <c r="K294" s="69">
        <v>0</v>
      </c>
      <c r="L294" s="120">
        <f t="shared" si="23"/>
        <v>0</v>
      </c>
      <c r="M294" s="69">
        <v>0</v>
      </c>
      <c r="N294" s="315">
        <f t="shared" si="24"/>
        <v>0</v>
      </c>
      <c r="O294" s="69">
        <v>0</v>
      </c>
      <c r="P294" s="120">
        <f t="shared" si="25"/>
        <v>0</v>
      </c>
      <c r="Q294" s="69">
        <v>0</v>
      </c>
      <c r="R294" s="88">
        <f>'Terms and Turnovers'!U57</f>
        <v>0</v>
      </c>
      <c r="S294" s="161">
        <f t="shared" si="15"/>
        <v>0</v>
      </c>
      <c r="T294" s="120">
        <f>$AF294*U294</f>
        <v>0</v>
      </c>
      <c r="U294" s="69">
        <v>0</v>
      </c>
      <c r="V294" s="120">
        <f>$AF294*W294</f>
        <v>0</v>
      </c>
      <c r="W294" s="69">
        <v>0</v>
      </c>
      <c r="X294" s="120">
        <f>$AF294*Y294</f>
        <v>0</v>
      </c>
      <c r="Y294" s="69">
        <v>0</v>
      </c>
      <c r="Z294" s="120">
        <f>$AF294*AA294</f>
        <v>0</v>
      </c>
      <c r="AA294" s="69">
        <v>0</v>
      </c>
      <c r="AB294" s="315">
        <f>$AF294*AC294</f>
        <v>0</v>
      </c>
      <c r="AC294" s="69">
        <v>0</v>
      </c>
      <c r="AD294" s="120">
        <f>$AF294*AE294</f>
        <v>0</v>
      </c>
      <c r="AE294" s="69">
        <v>0</v>
      </c>
      <c r="AF294" s="88">
        <f>'Terms and Turnovers'!Z57</f>
        <v>0</v>
      </c>
      <c r="AG294" s="161">
        <f t="shared" si="16"/>
        <v>0</v>
      </c>
      <c r="AH294" s="158">
        <f t="shared" si="17"/>
        <v>0</v>
      </c>
      <c r="AI294" s="134">
        <f t="shared" si="18"/>
        <v>0</v>
      </c>
      <c r="AJ294" s="65"/>
      <c r="AL294" s="461">
        <f>SUM(F294,H294,J294,L294,N294,P294,T294,V294,X294,Z294,AB294,AD294)</f>
        <v>0</v>
      </c>
      <c r="AM294" s="462">
        <f>AL294-AH294</f>
        <v>0</v>
      </c>
      <c r="AO294" s="692"/>
      <c r="AP294" s="692"/>
      <c r="AV294" s="56"/>
    </row>
    <row r="295" spans="1:48" ht="13.5" customHeight="1" outlineLevel="1" thickBot="1">
      <c r="B295" s="82"/>
      <c r="C295" s="1231"/>
      <c r="D295" s="1252"/>
      <c r="E295" s="84" t="str">
        <f>'Terms and Turnovers'!$AD$12</f>
        <v>ACCESSORIES</v>
      </c>
      <c r="F295" s="120">
        <f t="shared" si="20"/>
        <v>0</v>
      </c>
      <c r="G295" s="723"/>
      <c r="H295" s="120">
        <f t="shared" si="21"/>
        <v>0</v>
      </c>
      <c r="I295" s="69">
        <v>0</v>
      </c>
      <c r="J295" s="120">
        <f t="shared" si="22"/>
        <v>0</v>
      </c>
      <c r="K295" s="69">
        <v>0</v>
      </c>
      <c r="L295" s="120">
        <f t="shared" si="23"/>
        <v>0</v>
      </c>
      <c r="M295" s="69">
        <v>0</v>
      </c>
      <c r="N295" s="315">
        <f t="shared" si="24"/>
        <v>0</v>
      </c>
      <c r="O295" s="69">
        <v>0</v>
      </c>
      <c r="P295" s="120">
        <f t="shared" si="25"/>
        <v>0</v>
      </c>
      <c r="Q295" s="69">
        <v>0</v>
      </c>
      <c r="R295" s="88">
        <f>'Terms and Turnovers'!AE57</f>
        <v>0</v>
      </c>
      <c r="S295" s="161">
        <f t="shared" si="15"/>
        <v>0</v>
      </c>
      <c r="T295" s="120">
        <f>$AF295*U295</f>
        <v>0</v>
      </c>
      <c r="U295" s="69">
        <v>0</v>
      </c>
      <c r="V295" s="120">
        <f>$AF295*W295</f>
        <v>0</v>
      </c>
      <c r="W295" s="69">
        <v>0</v>
      </c>
      <c r="X295" s="120">
        <f>$AF295*Y295</f>
        <v>0</v>
      </c>
      <c r="Y295" s="69">
        <v>0</v>
      </c>
      <c r="Z295" s="120">
        <f>$AF295*AA295</f>
        <v>0</v>
      </c>
      <c r="AA295" s="69">
        <v>0</v>
      </c>
      <c r="AB295" s="315">
        <f>$AF295*AC295</f>
        <v>0</v>
      </c>
      <c r="AC295" s="69">
        <v>0</v>
      </c>
      <c r="AD295" s="120">
        <f>$AF295*AE295</f>
        <v>0</v>
      </c>
      <c r="AE295" s="69">
        <v>0</v>
      </c>
      <c r="AF295" s="88">
        <f>'Terms and Turnovers'!AJ57</f>
        <v>0</v>
      </c>
      <c r="AG295" s="161">
        <f t="shared" si="16"/>
        <v>0</v>
      </c>
      <c r="AH295" s="158">
        <f t="shared" si="17"/>
        <v>0</v>
      </c>
      <c r="AI295" s="134">
        <f t="shared" si="18"/>
        <v>0</v>
      </c>
      <c r="AJ295" s="65"/>
      <c r="AL295" s="461">
        <f>SUM(F295,H295,J295,L295,N295,P295,T295,V295,X295,Z295,AB295,AD295)</f>
        <v>0</v>
      </c>
      <c r="AM295" s="462">
        <f>AL295-AH295</f>
        <v>0</v>
      </c>
      <c r="AO295" s="692"/>
      <c r="AP295" s="692"/>
      <c r="AV295" s="56"/>
    </row>
    <row r="296" spans="1:48" ht="13.5" customHeight="1" outlineLevel="1" thickBot="1">
      <c r="B296" s="82"/>
      <c r="C296" s="1231"/>
      <c r="D296" s="1252"/>
      <c r="E296" s="84">
        <f>'Terms and Turnovers'!$AN$12</f>
        <v>0</v>
      </c>
      <c r="F296" s="120">
        <f t="shared" si="20"/>
        <v>0</v>
      </c>
      <c r="G296" s="723">
        <v>0</v>
      </c>
      <c r="H296" s="120">
        <f t="shared" si="21"/>
        <v>0</v>
      </c>
      <c r="I296" s="69">
        <v>0</v>
      </c>
      <c r="J296" s="120">
        <f t="shared" si="22"/>
        <v>0</v>
      </c>
      <c r="K296" s="69">
        <v>0</v>
      </c>
      <c r="L296" s="120">
        <f t="shared" si="23"/>
        <v>0</v>
      </c>
      <c r="M296" s="69">
        <v>0</v>
      </c>
      <c r="N296" s="315">
        <f t="shared" si="24"/>
        <v>0</v>
      </c>
      <c r="O296" s="69">
        <v>0</v>
      </c>
      <c r="P296" s="120">
        <f t="shared" si="25"/>
        <v>0</v>
      </c>
      <c r="Q296" s="69">
        <v>0</v>
      </c>
      <c r="R296" s="88">
        <f>'Terms and Turnovers'!AO57</f>
        <v>0</v>
      </c>
      <c r="S296" s="161">
        <f t="shared" si="15"/>
        <v>0</v>
      </c>
      <c r="T296" s="120">
        <f>$AF296*U296</f>
        <v>0</v>
      </c>
      <c r="U296" s="69">
        <v>0</v>
      </c>
      <c r="V296" s="120">
        <f>$AF296*W296</f>
        <v>0</v>
      </c>
      <c r="W296" s="69">
        <v>0</v>
      </c>
      <c r="X296" s="120">
        <f>$AF296*Y296</f>
        <v>0</v>
      </c>
      <c r="Y296" s="69">
        <v>0</v>
      </c>
      <c r="Z296" s="120">
        <f>$AF296*AA296</f>
        <v>0</v>
      </c>
      <c r="AA296" s="69">
        <v>0</v>
      </c>
      <c r="AB296" s="315">
        <f>$AF296*AC296</f>
        <v>0</v>
      </c>
      <c r="AC296" s="69">
        <v>0</v>
      </c>
      <c r="AD296" s="120">
        <f>$AF296*AE296</f>
        <v>0</v>
      </c>
      <c r="AE296" s="69">
        <v>0</v>
      </c>
      <c r="AF296" s="88">
        <f>'Terms and Turnovers'!AT57</f>
        <v>0</v>
      </c>
      <c r="AG296" s="161">
        <f t="shared" si="16"/>
        <v>0</v>
      </c>
      <c r="AH296" s="158">
        <f t="shared" si="17"/>
        <v>0</v>
      </c>
      <c r="AI296" s="134">
        <f t="shared" si="18"/>
        <v>0</v>
      </c>
      <c r="AJ296" s="65"/>
      <c r="AL296" s="461">
        <f>SUM(F296,H296,J296,L296,N296,P296,T296,V296,X296,Z296,AB296,AD296)</f>
        <v>0</v>
      </c>
      <c r="AM296" s="462">
        <f>AL296-AH296</f>
        <v>0</v>
      </c>
      <c r="AO296" s="692"/>
      <c r="AP296" s="692"/>
      <c r="AV296" s="56"/>
    </row>
    <row r="297" spans="1:48" ht="13.5" customHeight="1" outlineLevel="1" thickBot="1">
      <c r="B297" s="82"/>
      <c r="C297" s="1232"/>
      <c r="D297" s="1253"/>
      <c r="E297" s="85">
        <f>'Terms and Turnovers'!$AX$12</f>
        <v>0</v>
      </c>
      <c r="F297" s="121">
        <f t="shared" si="20"/>
        <v>0</v>
      </c>
      <c r="G297" s="72"/>
      <c r="H297" s="121">
        <f t="shared" si="21"/>
        <v>0</v>
      </c>
      <c r="I297" s="69">
        <v>0</v>
      </c>
      <c r="J297" s="121">
        <f t="shared" si="22"/>
        <v>0</v>
      </c>
      <c r="K297" s="69">
        <v>0</v>
      </c>
      <c r="L297" s="121">
        <f t="shared" si="23"/>
        <v>0</v>
      </c>
      <c r="M297" s="69">
        <v>0</v>
      </c>
      <c r="N297" s="316">
        <f t="shared" si="24"/>
        <v>0</v>
      </c>
      <c r="O297" s="69">
        <v>0</v>
      </c>
      <c r="P297" s="121">
        <f t="shared" si="25"/>
        <v>0</v>
      </c>
      <c r="Q297" s="69">
        <v>0</v>
      </c>
      <c r="R297" s="89">
        <f>'Terms and Turnovers'!AY57</f>
        <v>0</v>
      </c>
      <c r="S297" s="162">
        <f t="shared" si="15"/>
        <v>0</v>
      </c>
      <c r="T297" s="121">
        <f>$AF297*U297</f>
        <v>0</v>
      </c>
      <c r="U297" s="69">
        <v>0</v>
      </c>
      <c r="V297" s="121">
        <f>$AF297*W297</f>
        <v>0</v>
      </c>
      <c r="W297" s="69">
        <v>0</v>
      </c>
      <c r="X297" s="121">
        <f>$AF297*Y297</f>
        <v>0</v>
      </c>
      <c r="Y297" s="69">
        <v>0</v>
      </c>
      <c r="Z297" s="121">
        <f>$AF297*AA297</f>
        <v>0</v>
      </c>
      <c r="AA297" s="69">
        <v>0</v>
      </c>
      <c r="AB297" s="316">
        <f>$AF297*AC297</f>
        <v>0</v>
      </c>
      <c r="AC297" s="69">
        <v>0</v>
      </c>
      <c r="AD297" s="121">
        <f>$AF297*AE297</f>
        <v>0</v>
      </c>
      <c r="AE297" s="69">
        <v>0</v>
      </c>
      <c r="AF297" s="89">
        <f>'Terms and Turnovers'!BD57</f>
        <v>0</v>
      </c>
      <c r="AG297" s="162">
        <f t="shared" si="16"/>
        <v>0</v>
      </c>
      <c r="AH297" s="159">
        <f t="shared" si="17"/>
        <v>0</v>
      </c>
      <c r="AI297" s="137">
        <f t="shared" si="18"/>
        <v>0</v>
      </c>
      <c r="AJ297" s="65"/>
      <c r="AL297" s="461">
        <f>SUM(F297,H297,J297,L297,N297,P297,T297,V297,X297,Z297,AB297,AD297)</f>
        <v>0</v>
      </c>
      <c r="AM297" s="462">
        <f>AL297-AH297</f>
        <v>0</v>
      </c>
      <c r="AO297" s="692"/>
      <c r="AP297" s="692"/>
      <c r="AV297" s="56"/>
    </row>
    <row r="298" spans="1:48" ht="13.5" customHeight="1" outlineLevel="1" thickBot="1">
      <c r="A298" s="119"/>
      <c r="B298" s="82"/>
      <c r="C298" s="425"/>
      <c r="D298" s="425"/>
      <c r="E298" s="426"/>
      <c r="F298" s="427">
        <f>SUM(F293:F297)</f>
        <v>0</v>
      </c>
      <c r="G298" s="428"/>
      <c r="H298" s="427">
        <f>SUM(H293:H297)</f>
        <v>0</v>
      </c>
      <c r="I298" s="69"/>
      <c r="J298" s="427">
        <f>SUM(J293:J297)</f>
        <v>0</v>
      </c>
      <c r="K298" s="69"/>
      <c r="L298" s="427">
        <f>SUM(L293:L297)</f>
        <v>0</v>
      </c>
      <c r="M298" s="69"/>
      <c r="N298" s="427">
        <f>SUM(N293:N297)</f>
        <v>0</v>
      </c>
      <c r="O298" s="69"/>
      <c r="P298" s="427">
        <f>SUM(P293:P297)</f>
        <v>0</v>
      </c>
      <c r="Q298" s="69"/>
      <c r="R298" s="429"/>
      <c r="S298" s="430"/>
      <c r="T298" s="427">
        <f>SUM(T293:T297)</f>
        <v>0</v>
      </c>
      <c r="U298" s="428"/>
      <c r="V298" s="427">
        <f>SUM(V293:V297)</f>
        <v>0</v>
      </c>
      <c r="W298" s="69"/>
      <c r="X298" s="427">
        <f>SUM(X293:X297)</f>
        <v>0</v>
      </c>
      <c r="Y298" s="69"/>
      <c r="Z298" s="427">
        <f>SUM(Z293:Z297)</f>
        <v>0</v>
      </c>
      <c r="AA298" s="69"/>
      <c r="AB298" s="427">
        <f>SUM(AB293:AB297)</f>
        <v>0</v>
      </c>
      <c r="AC298" s="69"/>
      <c r="AD298" s="427">
        <f>SUM(AD293:AD297)</f>
        <v>0</v>
      </c>
      <c r="AE298" s="69"/>
      <c r="AF298" s="429"/>
      <c r="AG298" s="430"/>
      <c r="AH298" s="431"/>
      <c r="AI298" s="432"/>
      <c r="AJ298" s="65"/>
      <c r="AO298" s="692"/>
      <c r="AP298" s="692"/>
      <c r="AV298" s="56"/>
    </row>
    <row r="299" spans="1:48" ht="13.5" customHeight="1" outlineLevel="1" thickBot="1">
      <c r="A299" s="119"/>
      <c r="B299" s="82"/>
      <c r="C299" s="1098" t="s">
        <v>484</v>
      </c>
      <c r="D299" s="433">
        <f>D293</f>
        <v>0</v>
      </c>
      <c r="E299" s="426"/>
      <c r="F299" s="1106"/>
      <c r="G299" s="428"/>
      <c r="H299" s="1106"/>
      <c r="I299" s="69"/>
      <c r="J299" s="1106"/>
      <c r="K299" s="69"/>
      <c r="L299" s="1106"/>
      <c r="M299" s="69"/>
      <c r="N299" s="1106"/>
      <c r="O299" s="69"/>
      <c r="P299" s="1106"/>
      <c r="Q299" s="69"/>
      <c r="R299" s="429"/>
      <c r="S299" s="430"/>
      <c r="T299" s="1106"/>
      <c r="U299" s="428"/>
      <c r="V299" s="1106"/>
      <c r="W299" s="69"/>
      <c r="X299" s="1106"/>
      <c r="Y299" s="69">
        <f>W298</f>
        <v>0</v>
      </c>
      <c r="Z299" s="1106"/>
      <c r="AA299" s="69">
        <f>Y298</f>
        <v>0</v>
      </c>
      <c r="AB299" s="1106"/>
      <c r="AC299" s="69">
        <f>AA298</f>
        <v>0</v>
      </c>
      <c r="AD299" s="1106"/>
      <c r="AE299" s="69"/>
      <c r="AF299" s="429"/>
      <c r="AG299" s="430"/>
      <c r="AH299" s="431"/>
      <c r="AI299" s="432"/>
      <c r="AJ299" s="65"/>
      <c r="AN299" s="742">
        <f>SUM(AF293:AF297)*AQ299</f>
        <v>0</v>
      </c>
      <c r="AO299" s="742">
        <f>SUM(R293:R297)*AQ299</f>
        <v>0</v>
      </c>
      <c r="AP299" s="742">
        <v>0</v>
      </c>
      <c r="AQ299" s="693">
        <v>0</v>
      </c>
      <c r="AS299" s="716">
        <f>SUM(AL293:AL297)</f>
        <v>0</v>
      </c>
      <c r="AT299" s="461">
        <f>F299+H299+J299+L299+N299+P299+T299+V299+X299+Z299+AB299+AD299</f>
        <v>0</v>
      </c>
      <c r="AU299" s="745">
        <f>AT299-AS299</f>
        <v>0</v>
      </c>
      <c r="AV299" s="462" t="e">
        <f>AT299/AS299</f>
        <v>#DIV/0!</v>
      </c>
    </row>
    <row r="300" spans="1:48" ht="13.5" customHeight="1" outlineLevel="1" thickBot="1">
      <c r="B300" s="82">
        <f>B293+1</f>
        <v>43</v>
      </c>
      <c r="C300" s="1230">
        <f>'Terms and Turnovers'!C58</f>
        <v>0</v>
      </c>
      <c r="D300" s="1230">
        <f>'Terms and Turnovers'!D58</f>
        <v>0</v>
      </c>
      <c r="E300" s="83" t="str">
        <f>'Terms and Turnovers'!$J$12</f>
        <v>FLIP-FLOPS</v>
      </c>
      <c r="F300" s="118">
        <f>$R300*G300</f>
        <v>0</v>
      </c>
      <c r="G300" s="69"/>
      <c r="H300" s="314">
        <f>$R300*I300</f>
        <v>0</v>
      </c>
      <c r="I300" s="69">
        <v>0</v>
      </c>
      <c r="J300" s="118">
        <f>$R300*K300</f>
        <v>0</v>
      </c>
      <c r="K300" s="69">
        <v>0</v>
      </c>
      <c r="L300" s="314">
        <f>$R300*M300</f>
        <v>0</v>
      </c>
      <c r="M300" s="69">
        <v>0</v>
      </c>
      <c r="N300" s="314">
        <f>$R300*O300</f>
        <v>0</v>
      </c>
      <c r="O300" s="69">
        <v>0</v>
      </c>
      <c r="P300" s="118">
        <f>$R300*Q300</f>
        <v>0</v>
      </c>
      <c r="Q300" s="69">
        <v>0</v>
      </c>
      <c r="R300" s="87">
        <f>'Terms and Turnovers'!K58</f>
        <v>0</v>
      </c>
      <c r="S300" s="160">
        <f t="shared" si="15"/>
        <v>0</v>
      </c>
      <c r="T300" s="118">
        <f>$AF300*U300</f>
        <v>0</v>
      </c>
      <c r="U300" s="69">
        <v>0</v>
      </c>
      <c r="V300" s="314">
        <f>$AF300*W300</f>
        <v>0</v>
      </c>
      <c r="W300" s="69">
        <v>0</v>
      </c>
      <c r="X300" s="118">
        <f>$AF300*Y300</f>
        <v>0</v>
      </c>
      <c r="Y300" s="69">
        <v>0</v>
      </c>
      <c r="Z300" s="118">
        <f>$AF300*AA300</f>
        <v>0</v>
      </c>
      <c r="AA300" s="69">
        <v>0</v>
      </c>
      <c r="AB300" s="314">
        <f>$AF300*AC300</f>
        <v>0</v>
      </c>
      <c r="AC300" s="69">
        <v>0</v>
      </c>
      <c r="AD300" s="118">
        <f>$AF300*AE300</f>
        <v>0</v>
      </c>
      <c r="AE300" s="69">
        <v>0</v>
      </c>
      <c r="AF300" s="87">
        <f>'Terms and Turnovers'!P58</f>
        <v>0</v>
      </c>
      <c r="AG300" s="160">
        <f t="shared" si="16"/>
        <v>0</v>
      </c>
      <c r="AH300" s="157">
        <f t="shared" si="17"/>
        <v>0</v>
      </c>
      <c r="AI300" s="131">
        <f t="shared" si="18"/>
        <v>0</v>
      </c>
      <c r="AJ300" s="65"/>
      <c r="AL300" s="461">
        <f>SUM(F300,H300,J300,L300,N300,P300,T300,V300,X300,Z300,AB300,AD300)</f>
        <v>0</v>
      </c>
      <c r="AM300" s="462">
        <f>AL300-AH300</f>
        <v>0</v>
      </c>
      <c r="AO300" s="692"/>
      <c r="AP300" s="692"/>
      <c r="AV300" s="56"/>
    </row>
    <row r="301" spans="1:48" ht="13.5" customHeight="1" outlineLevel="1" thickBot="1">
      <c r="B301" s="82"/>
      <c r="C301" s="1231"/>
      <c r="D301" s="1231"/>
      <c r="E301" s="84" t="str">
        <f>'Terms and Turnovers'!$T$12</f>
        <v>ORIGINALS</v>
      </c>
      <c r="F301" s="120">
        <f>$R301*G301</f>
        <v>0</v>
      </c>
      <c r="G301" s="723"/>
      <c r="H301" s="120">
        <f>$R301*I301</f>
        <v>0</v>
      </c>
      <c r="I301" s="69">
        <v>0</v>
      </c>
      <c r="J301" s="120">
        <f>$R301*K301</f>
        <v>0</v>
      </c>
      <c r="K301" s="69">
        <v>0</v>
      </c>
      <c r="L301" s="120">
        <f>$R301*M301</f>
        <v>0</v>
      </c>
      <c r="M301" s="69">
        <v>0</v>
      </c>
      <c r="N301" s="315">
        <f>$R301*O301</f>
        <v>0</v>
      </c>
      <c r="O301" s="69">
        <v>0</v>
      </c>
      <c r="P301" s="120">
        <f>$R301*Q301</f>
        <v>0</v>
      </c>
      <c r="Q301" s="69">
        <v>0</v>
      </c>
      <c r="R301" s="88">
        <f>'Terms and Turnovers'!U58</f>
        <v>0</v>
      </c>
      <c r="S301" s="161">
        <f t="shared" si="15"/>
        <v>0</v>
      </c>
      <c r="T301" s="120">
        <f>$AF301*U301</f>
        <v>0</v>
      </c>
      <c r="U301" s="69">
        <v>0</v>
      </c>
      <c r="V301" s="120">
        <f>$AF301*W301</f>
        <v>0</v>
      </c>
      <c r="W301" s="69">
        <v>0</v>
      </c>
      <c r="X301" s="120">
        <f>$AF301*Y301</f>
        <v>0</v>
      </c>
      <c r="Y301" s="69">
        <v>0</v>
      </c>
      <c r="Z301" s="120">
        <f>$AF301*AA301</f>
        <v>0</v>
      </c>
      <c r="AA301" s="69">
        <v>0</v>
      </c>
      <c r="AB301" s="315">
        <f>$AF301*AC301</f>
        <v>0</v>
      </c>
      <c r="AC301" s="69">
        <v>0</v>
      </c>
      <c r="AD301" s="120">
        <f>$AF301*AE301</f>
        <v>0</v>
      </c>
      <c r="AE301" s="69">
        <v>0</v>
      </c>
      <c r="AF301" s="88">
        <f>'Terms and Turnovers'!Z58</f>
        <v>0</v>
      </c>
      <c r="AG301" s="161">
        <f t="shared" si="16"/>
        <v>0</v>
      </c>
      <c r="AH301" s="158">
        <f t="shared" si="17"/>
        <v>0</v>
      </c>
      <c r="AI301" s="134">
        <f t="shared" si="18"/>
        <v>0</v>
      </c>
      <c r="AJ301" s="65"/>
      <c r="AL301" s="461">
        <f>SUM(F301,H301,J301,L301,N301,P301,T301,V301,X301,Z301,AB301,AD301)</f>
        <v>0</v>
      </c>
      <c r="AM301" s="462">
        <f>AL301-AH301</f>
        <v>0</v>
      </c>
      <c r="AO301" s="692"/>
      <c r="AP301" s="692"/>
      <c r="AV301" s="56"/>
    </row>
    <row r="302" spans="1:48" ht="13.5" customHeight="1" outlineLevel="1" thickBot="1">
      <c r="B302" s="82"/>
      <c r="C302" s="1231"/>
      <c r="D302" s="1231"/>
      <c r="E302" s="84" t="str">
        <f>'Terms and Turnovers'!$AD$12</f>
        <v>ACCESSORIES</v>
      </c>
      <c r="F302" s="120">
        <f>$R302*G302</f>
        <v>0</v>
      </c>
      <c r="G302" s="723"/>
      <c r="H302" s="120">
        <f>$R302*I302</f>
        <v>0</v>
      </c>
      <c r="I302" s="69">
        <v>0</v>
      </c>
      <c r="J302" s="120">
        <f>$R302*K302</f>
        <v>0</v>
      </c>
      <c r="K302" s="69">
        <v>0</v>
      </c>
      <c r="L302" s="120">
        <f>$R302*M302</f>
        <v>0</v>
      </c>
      <c r="M302" s="69">
        <v>0</v>
      </c>
      <c r="N302" s="315">
        <f>$R302*O302</f>
        <v>0</v>
      </c>
      <c r="O302" s="69">
        <v>0</v>
      </c>
      <c r="P302" s="120">
        <f>$R302*Q302</f>
        <v>0</v>
      </c>
      <c r="Q302" s="69">
        <v>0</v>
      </c>
      <c r="R302" s="88">
        <f>'Terms and Turnovers'!AE58</f>
        <v>0</v>
      </c>
      <c r="S302" s="161">
        <f t="shared" si="15"/>
        <v>0</v>
      </c>
      <c r="T302" s="120">
        <f>$AF302*U302</f>
        <v>0</v>
      </c>
      <c r="U302" s="69">
        <v>0</v>
      </c>
      <c r="V302" s="120">
        <f>$AF302*W302</f>
        <v>0</v>
      </c>
      <c r="W302" s="69">
        <v>0</v>
      </c>
      <c r="X302" s="120">
        <f>$AF302*Y302</f>
        <v>0</v>
      </c>
      <c r="Y302" s="69">
        <v>0</v>
      </c>
      <c r="Z302" s="120">
        <f>$AF302*AA302</f>
        <v>0</v>
      </c>
      <c r="AA302" s="69">
        <v>0</v>
      </c>
      <c r="AB302" s="315">
        <f>$AF302*AC302</f>
        <v>0</v>
      </c>
      <c r="AC302" s="69">
        <v>0</v>
      </c>
      <c r="AD302" s="120">
        <f>$AF302*AE302</f>
        <v>0</v>
      </c>
      <c r="AE302" s="69">
        <v>0</v>
      </c>
      <c r="AF302" s="88">
        <f>'Terms and Turnovers'!AJ58</f>
        <v>0</v>
      </c>
      <c r="AG302" s="161">
        <f t="shared" si="16"/>
        <v>0</v>
      </c>
      <c r="AH302" s="158">
        <f t="shared" si="17"/>
        <v>0</v>
      </c>
      <c r="AI302" s="134">
        <f t="shared" si="18"/>
        <v>0</v>
      </c>
      <c r="AJ302" s="65"/>
      <c r="AL302" s="461">
        <f>SUM(F302,H302,J302,L302,N302,P302,T302,V302,X302,Z302,AB302,AD302)</f>
        <v>0</v>
      </c>
      <c r="AM302" s="462">
        <f>AL302-AH302</f>
        <v>0</v>
      </c>
      <c r="AO302" s="692"/>
      <c r="AP302" s="692"/>
      <c r="AV302" s="56"/>
    </row>
    <row r="303" spans="1:48" ht="13.5" customHeight="1" outlineLevel="1" thickBot="1">
      <c r="B303" s="82"/>
      <c r="C303" s="1231"/>
      <c r="D303" s="1231"/>
      <c r="E303" s="84">
        <f>'Terms and Turnovers'!$AN$12</f>
        <v>0</v>
      </c>
      <c r="F303" s="120">
        <f>$R303*G303</f>
        <v>0</v>
      </c>
      <c r="G303" s="723"/>
      <c r="H303" s="120">
        <f>$R303*I303</f>
        <v>0</v>
      </c>
      <c r="I303" s="69">
        <v>0</v>
      </c>
      <c r="J303" s="120">
        <f>$R303*K303</f>
        <v>0</v>
      </c>
      <c r="K303" s="69">
        <v>0</v>
      </c>
      <c r="L303" s="120">
        <f>$R303*M303</f>
        <v>0</v>
      </c>
      <c r="M303" s="69">
        <v>0</v>
      </c>
      <c r="N303" s="315">
        <f>$R303*O303</f>
        <v>0</v>
      </c>
      <c r="O303" s="69">
        <v>0</v>
      </c>
      <c r="P303" s="120">
        <f>$R303*Q303</f>
        <v>0</v>
      </c>
      <c r="Q303" s="69">
        <v>0</v>
      </c>
      <c r="R303" s="88">
        <f>'Terms and Turnovers'!AO58</f>
        <v>0</v>
      </c>
      <c r="S303" s="161">
        <f t="shared" ref="S303:S378" si="28">SUM(G303,I303,K303,M303,O303,Q303)</f>
        <v>0</v>
      </c>
      <c r="T303" s="120">
        <f>$AF303*U303</f>
        <v>0</v>
      </c>
      <c r="U303" s="69">
        <v>0</v>
      </c>
      <c r="V303" s="120">
        <f>$AF303*W303</f>
        <v>0</v>
      </c>
      <c r="W303" s="69">
        <v>0</v>
      </c>
      <c r="X303" s="120">
        <f>$AF303*Y303</f>
        <v>0</v>
      </c>
      <c r="Y303" s="69">
        <v>0</v>
      </c>
      <c r="Z303" s="120">
        <f>$AF303*AA303</f>
        <v>0</v>
      </c>
      <c r="AA303" s="69">
        <v>0</v>
      </c>
      <c r="AB303" s="315">
        <f>$AF303*AC303</f>
        <v>0</v>
      </c>
      <c r="AC303" s="69">
        <v>0</v>
      </c>
      <c r="AD303" s="120">
        <f>$AF303*AE303</f>
        <v>0</v>
      </c>
      <c r="AE303" s="69">
        <v>0</v>
      </c>
      <c r="AF303" s="88">
        <f>'Terms and Turnovers'!AT58</f>
        <v>0</v>
      </c>
      <c r="AG303" s="161">
        <f t="shared" si="16"/>
        <v>0</v>
      </c>
      <c r="AH303" s="158">
        <f t="shared" si="17"/>
        <v>0</v>
      </c>
      <c r="AI303" s="134">
        <f t="shared" si="18"/>
        <v>0</v>
      </c>
      <c r="AJ303" s="65"/>
      <c r="AL303" s="461">
        <f>SUM(F303,H303,J303,L303,N303,P303,T303,V303,X303,Z303,AB303,AD303)</f>
        <v>0</v>
      </c>
      <c r="AM303" s="462">
        <f>AL303-AH303</f>
        <v>0</v>
      </c>
      <c r="AO303" s="692"/>
      <c r="AP303" s="692"/>
      <c r="AV303" s="56"/>
    </row>
    <row r="304" spans="1:48" ht="13.5" customHeight="1" outlineLevel="1" thickBot="1">
      <c r="B304" s="82"/>
      <c r="C304" s="1232"/>
      <c r="D304" s="1232"/>
      <c r="E304" s="85">
        <f>'Terms and Turnovers'!$AX$12</f>
        <v>0</v>
      </c>
      <c r="F304" s="121">
        <f>$R304*G304</f>
        <v>0</v>
      </c>
      <c r="G304" s="72"/>
      <c r="H304" s="121">
        <f>$R304*I304</f>
        <v>0</v>
      </c>
      <c r="I304" s="69">
        <v>0</v>
      </c>
      <c r="J304" s="121">
        <f>$R304*K304</f>
        <v>0</v>
      </c>
      <c r="K304" s="69">
        <v>0</v>
      </c>
      <c r="L304" s="121">
        <f>$R304*M304</f>
        <v>0</v>
      </c>
      <c r="M304" s="69">
        <v>0</v>
      </c>
      <c r="N304" s="316">
        <f>$R304*O304</f>
        <v>0</v>
      </c>
      <c r="O304" s="69">
        <v>0</v>
      </c>
      <c r="P304" s="121">
        <f>$R304*Q304</f>
        <v>0</v>
      </c>
      <c r="Q304" s="69">
        <v>0</v>
      </c>
      <c r="R304" s="89">
        <f>'Terms and Turnovers'!AY58</f>
        <v>0</v>
      </c>
      <c r="S304" s="162">
        <f t="shared" si="28"/>
        <v>0</v>
      </c>
      <c r="T304" s="121">
        <f>$AF304*U304</f>
        <v>0</v>
      </c>
      <c r="U304" s="69">
        <v>0</v>
      </c>
      <c r="V304" s="121">
        <f>$AF304*W304</f>
        <v>0</v>
      </c>
      <c r="W304" s="69">
        <v>0</v>
      </c>
      <c r="X304" s="121">
        <f>$AF304*Y304</f>
        <v>0</v>
      </c>
      <c r="Y304" s="69">
        <v>0</v>
      </c>
      <c r="Z304" s="121">
        <f>$AF304*AA304</f>
        <v>0</v>
      </c>
      <c r="AA304" s="69">
        <v>0</v>
      </c>
      <c r="AB304" s="316">
        <f>$AF304*AC304</f>
        <v>0</v>
      </c>
      <c r="AC304" s="69">
        <v>0</v>
      </c>
      <c r="AD304" s="121">
        <f>$AF304*AE304</f>
        <v>0</v>
      </c>
      <c r="AE304" s="69">
        <v>0</v>
      </c>
      <c r="AF304" s="89">
        <f>'Terms and Turnovers'!BD58</f>
        <v>0</v>
      </c>
      <c r="AG304" s="162">
        <f t="shared" ref="AG304:AG378" si="29">SUM(U304,W304,Y304,AA304,AC304,AE304)</f>
        <v>0</v>
      </c>
      <c r="AH304" s="159">
        <f t="shared" ref="AH304:AH378" si="30">SUM(R304,AF304)</f>
        <v>0</v>
      </c>
      <c r="AI304" s="137">
        <f t="shared" ref="AI304:AI378" si="31">S304+AG304</f>
        <v>0</v>
      </c>
      <c r="AJ304" s="65"/>
      <c r="AL304" s="461">
        <f>SUM(F304,H304,J304,L304,N304,P304,T304,V304,X304,Z304,AB304,AD304)</f>
        <v>0</v>
      </c>
      <c r="AM304" s="462">
        <f>AL304-AH304</f>
        <v>0</v>
      </c>
      <c r="AO304" s="692"/>
      <c r="AP304" s="692"/>
      <c r="AV304" s="56"/>
    </row>
    <row r="305" spans="1:48" ht="13.5" customHeight="1" outlineLevel="1" thickBot="1">
      <c r="A305" s="119"/>
      <c r="B305" s="82"/>
      <c r="C305" s="425"/>
      <c r="D305" s="425"/>
      <c r="E305" s="426"/>
      <c r="F305" s="427">
        <f>SUM(F300:F304)</f>
        <v>0</v>
      </c>
      <c r="G305" s="428"/>
      <c r="H305" s="427">
        <f>SUM(H300:H304)</f>
        <v>0</v>
      </c>
      <c r="I305" s="69"/>
      <c r="J305" s="427">
        <f>SUM(J300:J304)</f>
        <v>0</v>
      </c>
      <c r="K305" s="69"/>
      <c r="L305" s="427">
        <f>SUM(L300:L304)</f>
        <v>0</v>
      </c>
      <c r="M305" s="69"/>
      <c r="N305" s="427">
        <f>SUM(N300:N304)</f>
        <v>0</v>
      </c>
      <c r="O305" s="69"/>
      <c r="P305" s="427">
        <f>SUM(P300:P304)</f>
        <v>0</v>
      </c>
      <c r="Q305" s="69"/>
      <c r="R305" s="429"/>
      <c r="S305" s="430"/>
      <c r="T305" s="427">
        <f>SUM(T300:T304)</f>
        <v>0</v>
      </c>
      <c r="U305" s="428"/>
      <c r="V305" s="427">
        <f>SUM(V300:V304)</f>
        <v>0</v>
      </c>
      <c r="W305" s="69"/>
      <c r="X305" s="427">
        <f>SUM(X300:X304)</f>
        <v>0</v>
      </c>
      <c r="Y305" s="69"/>
      <c r="Z305" s="427">
        <f>SUM(Z300:Z304)</f>
        <v>0</v>
      </c>
      <c r="AA305" s="69"/>
      <c r="AB305" s="427">
        <f>SUM(AB300:AB304)</f>
        <v>0</v>
      </c>
      <c r="AC305" s="69"/>
      <c r="AD305" s="427">
        <f>SUM(AD300:AD304)</f>
        <v>0</v>
      </c>
      <c r="AE305" s="69"/>
      <c r="AF305" s="429"/>
      <c r="AG305" s="430"/>
      <c r="AH305" s="431"/>
      <c r="AI305" s="432"/>
      <c r="AJ305" s="65"/>
      <c r="AO305" s="692"/>
      <c r="AP305" s="692"/>
      <c r="AV305" s="56"/>
    </row>
    <row r="306" spans="1:48" ht="13.5" customHeight="1" outlineLevel="1" thickBot="1">
      <c r="A306" s="119"/>
      <c r="B306" s="82"/>
      <c r="C306" s="1098" t="s">
        <v>484</v>
      </c>
      <c r="D306" s="433">
        <f>D300</f>
        <v>0</v>
      </c>
      <c r="E306" s="426"/>
      <c r="F306" s="700"/>
      <c r="G306" s="428"/>
      <c r="H306" s="700"/>
      <c r="I306" s="69"/>
      <c r="J306" s="700"/>
      <c r="K306" s="69"/>
      <c r="L306" s="700"/>
      <c r="M306" s="69"/>
      <c r="N306" s="700"/>
      <c r="O306" s="69"/>
      <c r="P306" s="700"/>
      <c r="Q306" s="69"/>
      <c r="R306" s="429"/>
      <c r="S306" s="430"/>
      <c r="T306" s="700"/>
      <c r="U306" s="428">
        <f>Q305</f>
        <v>0</v>
      </c>
      <c r="V306" s="700"/>
      <c r="W306" s="69">
        <f>S305</f>
        <v>0</v>
      </c>
      <c r="X306" s="700"/>
      <c r="Y306" s="69">
        <f>U305</f>
        <v>0</v>
      </c>
      <c r="Z306" s="700"/>
      <c r="AA306" s="69">
        <f>W305</f>
        <v>0</v>
      </c>
      <c r="AB306" s="700"/>
      <c r="AC306" s="69">
        <f>Y305</f>
        <v>0</v>
      </c>
      <c r="AD306" s="700"/>
      <c r="AE306" s="69"/>
      <c r="AF306" s="429"/>
      <c r="AG306" s="430"/>
      <c r="AH306" s="431"/>
      <c r="AI306" s="432"/>
      <c r="AJ306" s="65"/>
      <c r="AN306" s="742">
        <f>SUM(AF300:AF304)*AQ306</f>
        <v>0</v>
      </c>
      <c r="AO306" s="742">
        <f>SUM(R300:R304)*AQ306</f>
        <v>0</v>
      </c>
      <c r="AP306" s="742">
        <v>0</v>
      </c>
      <c r="AQ306" s="693">
        <v>0</v>
      </c>
      <c r="AR306" s="696"/>
      <c r="AS306" s="716">
        <f>SUM(AL300:AL304)</f>
        <v>0</v>
      </c>
      <c r="AT306" s="461">
        <f>F306+H306+J306+L306+N306+P306+T306+V306+X306+Z306+AB306+AD306</f>
        <v>0</v>
      </c>
      <c r="AU306" s="745">
        <f>AT306-AS306</f>
        <v>0</v>
      </c>
    </row>
    <row r="307" spans="1:48" ht="12.75" customHeight="1" outlineLevel="1" thickBot="1">
      <c r="B307" s="82">
        <f>B300+1</f>
        <v>44</v>
      </c>
      <c r="C307" s="1230">
        <f>'Terms and Turnovers'!C59</f>
        <v>0</v>
      </c>
      <c r="D307" s="1230">
        <f>'Terms and Turnovers'!D59</f>
        <v>0</v>
      </c>
      <c r="E307" s="83" t="str">
        <f>'Terms and Turnovers'!$J$12</f>
        <v>FLIP-FLOPS</v>
      </c>
      <c r="F307" s="118">
        <f>$R307*G307</f>
        <v>0</v>
      </c>
      <c r="G307" s="69"/>
      <c r="H307" s="314">
        <f>$R307*I307</f>
        <v>0</v>
      </c>
      <c r="I307" s="69">
        <v>0</v>
      </c>
      <c r="J307" s="118">
        <f>$R307*K307</f>
        <v>0</v>
      </c>
      <c r="K307" s="69">
        <v>0</v>
      </c>
      <c r="L307" s="314">
        <f>$R307*M307</f>
        <v>0</v>
      </c>
      <c r="M307" s="69">
        <v>0</v>
      </c>
      <c r="N307" s="314">
        <f>$R307*O307</f>
        <v>0</v>
      </c>
      <c r="O307" s="69">
        <v>0</v>
      </c>
      <c r="P307" s="118">
        <f>$R307*Q307</f>
        <v>0</v>
      </c>
      <c r="Q307" s="69">
        <v>0</v>
      </c>
      <c r="R307" s="87">
        <f>'Terms and Turnovers'!K59</f>
        <v>0</v>
      </c>
      <c r="S307" s="160">
        <f t="shared" si="28"/>
        <v>0</v>
      </c>
      <c r="T307" s="118">
        <f>$AF307*U307</f>
        <v>0</v>
      </c>
      <c r="U307" s="69">
        <v>0</v>
      </c>
      <c r="V307" s="314">
        <f>$AF307*W307</f>
        <v>0</v>
      </c>
      <c r="W307" s="69">
        <v>0</v>
      </c>
      <c r="X307" s="118">
        <f>$AF307*Y307</f>
        <v>0</v>
      </c>
      <c r="Y307" s="69">
        <v>0</v>
      </c>
      <c r="Z307" s="314">
        <f>$AF307*AA307</f>
        <v>0</v>
      </c>
      <c r="AA307" s="69">
        <v>0</v>
      </c>
      <c r="AB307" s="314">
        <f>$AF307*AC307</f>
        <v>0</v>
      </c>
      <c r="AC307" s="69">
        <v>0</v>
      </c>
      <c r="AD307" s="118">
        <f>$AF307*AE307</f>
        <v>0</v>
      </c>
      <c r="AE307" s="69">
        <v>0</v>
      </c>
      <c r="AF307" s="87">
        <f>'Terms and Turnovers'!P59</f>
        <v>0</v>
      </c>
      <c r="AG307" s="160">
        <f t="shared" si="29"/>
        <v>0</v>
      </c>
      <c r="AH307" s="157">
        <f t="shared" si="30"/>
        <v>0</v>
      </c>
      <c r="AI307" s="131">
        <f t="shared" si="31"/>
        <v>0</v>
      </c>
      <c r="AJ307" s="65"/>
      <c r="AL307" s="461">
        <f>SUM(F307,H307,J307,L307,N307,P307,T307,V307,X307,Z307,AB307,AD307)</f>
        <v>0</v>
      </c>
      <c r="AM307" s="462">
        <f>AL307-AH307</f>
        <v>0</v>
      </c>
      <c r="AO307" s="692"/>
      <c r="AP307" s="692"/>
      <c r="AV307" s="56"/>
    </row>
    <row r="308" spans="1:48" ht="12.75" customHeight="1" outlineLevel="1" thickBot="1">
      <c r="B308" s="82"/>
      <c r="C308" s="1231"/>
      <c r="D308" s="1231"/>
      <c r="E308" s="84" t="str">
        <f>'Terms and Turnovers'!$T$12</f>
        <v>ORIGINALS</v>
      </c>
      <c r="F308" s="120">
        <f>$R308*G308</f>
        <v>0</v>
      </c>
      <c r="G308" s="723"/>
      <c r="H308" s="120">
        <f>$R308*I308</f>
        <v>0</v>
      </c>
      <c r="I308" s="69">
        <v>0</v>
      </c>
      <c r="J308" s="120">
        <f>$R308*K308</f>
        <v>0</v>
      </c>
      <c r="K308" s="69">
        <v>0</v>
      </c>
      <c r="L308" s="120">
        <f>$R308*M308</f>
        <v>0</v>
      </c>
      <c r="M308" s="69">
        <v>0</v>
      </c>
      <c r="N308" s="315">
        <f>$R308*O308</f>
        <v>0</v>
      </c>
      <c r="O308" s="69">
        <v>0</v>
      </c>
      <c r="P308" s="120">
        <f>$R308*Q308</f>
        <v>0</v>
      </c>
      <c r="Q308" s="69">
        <v>0</v>
      </c>
      <c r="R308" s="88">
        <f>'Terms and Turnovers'!U59</f>
        <v>0</v>
      </c>
      <c r="S308" s="161">
        <f t="shared" si="28"/>
        <v>0</v>
      </c>
      <c r="T308" s="120">
        <f>$AF308*U308</f>
        <v>0</v>
      </c>
      <c r="U308" s="69">
        <v>0</v>
      </c>
      <c r="V308" s="120">
        <f>$AF308*W308</f>
        <v>0</v>
      </c>
      <c r="W308" s="69">
        <v>0</v>
      </c>
      <c r="X308" s="120">
        <f>$AF308*Y308</f>
        <v>0</v>
      </c>
      <c r="Y308" s="69">
        <v>0</v>
      </c>
      <c r="Z308" s="120">
        <f>$AF308*AA308</f>
        <v>0</v>
      </c>
      <c r="AA308" s="69">
        <v>0</v>
      </c>
      <c r="AB308" s="315">
        <f>$AF308*AC308</f>
        <v>0</v>
      </c>
      <c r="AC308" s="69">
        <v>0</v>
      </c>
      <c r="AD308" s="120">
        <f>$AF308*AE308</f>
        <v>0</v>
      </c>
      <c r="AE308" s="69">
        <v>0</v>
      </c>
      <c r="AF308" s="88">
        <f>'Terms and Turnovers'!Z59</f>
        <v>0</v>
      </c>
      <c r="AG308" s="161">
        <f t="shared" si="29"/>
        <v>0</v>
      </c>
      <c r="AH308" s="158">
        <f t="shared" si="30"/>
        <v>0</v>
      </c>
      <c r="AI308" s="134">
        <f t="shared" si="31"/>
        <v>0</v>
      </c>
      <c r="AJ308" s="65"/>
      <c r="AL308" s="461">
        <f>SUM(F308,H308,J308,L308,N308,P308,T308,V308,X308,Z308,AB308,AD308)</f>
        <v>0</v>
      </c>
      <c r="AM308" s="462">
        <f>AL308-AH308</f>
        <v>0</v>
      </c>
      <c r="AO308" s="692"/>
      <c r="AP308" s="692"/>
      <c r="AV308" s="56"/>
    </row>
    <row r="309" spans="1:48" ht="12.75" customHeight="1" outlineLevel="1" thickBot="1">
      <c r="B309" s="82"/>
      <c r="C309" s="1231"/>
      <c r="D309" s="1231"/>
      <c r="E309" s="84" t="str">
        <f>'Terms and Turnovers'!$AD$12</f>
        <v>ACCESSORIES</v>
      </c>
      <c r="F309" s="120">
        <f>$R309*G309</f>
        <v>0</v>
      </c>
      <c r="G309" s="723"/>
      <c r="H309" s="120">
        <f>$R309*I309</f>
        <v>0</v>
      </c>
      <c r="I309" s="69">
        <v>0</v>
      </c>
      <c r="J309" s="120">
        <f>$R309*K309</f>
        <v>0</v>
      </c>
      <c r="K309" s="69">
        <v>0</v>
      </c>
      <c r="L309" s="120">
        <f>$R309*M309</f>
        <v>0</v>
      </c>
      <c r="M309" s="69">
        <v>0</v>
      </c>
      <c r="N309" s="315">
        <f>$R309*O309</f>
        <v>0</v>
      </c>
      <c r="O309" s="69">
        <v>0</v>
      </c>
      <c r="P309" s="120">
        <f>$R309*Q309</f>
        <v>0</v>
      </c>
      <c r="Q309" s="69">
        <v>0</v>
      </c>
      <c r="R309" s="88">
        <f>'Terms and Turnovers'!AE59</f>
        <v>0</v>
      </c>
      <c r="S309" s="161">
        <f t="shared" si="28"/>
        <v>0</v>
      </c>
      <c r="T309" s="120">
        <f>$AF309*U309</f>
        <v>0</v>
      </c>
      <c r="U309" s="69">
        <v>0</v>
      </c>
      <c r="V309" s="120">
        <f>$AF309*W309</f>
        <v>0</v>
      </c>
      <c r="W309" s="69">
        <v>0</v>
      </c>
      <c r="X309" s="120">
        <f>$AF309*Y309</f>
        <v>0</v>
      </c>
      <c r="Y309" s="69">
        <v>0</v>
      </c>
      <c r="Z309" s="120">
        <f>$AF309*AA309</f>
        <v>0</v>
      </c>
      <c r="AA309" s="69">
        <v>0</v>
      </c>
      <c r="AB309" s="315">
        <f>$AF309*AC309</f>
        <v>0</v>
      </c>
      <c r="AC309" s="69">
        <v>0</v>
      </c>
      <c r="AD309" s="120">
        <f>$AF309*AE309</f>
        <v>0</v>
      </c>
      <c r="AE309" s="69">
        <v>0</v>
      </c>
      <c r="AF309" s="88">
        <f>'Terms and Turnovers'!AJ59</f>
        <v>0</v>
      </c>
      <c r="AG309" s="161">
        <f t="shared" si="29"/>
        <v>0</v>
      </c>
      <c r="AH309" s="158">
        <f t="shared" si="30"/>
        <v>0</v>
      </c>
      <c r="AI309" s="134">
        <f t="shared" si="31"/>
        <v>0</v>
      </c>
      <c r="AJ309" s="65"/>
      <c r="AL309" s="461">
        <f>SUM(F309,H309,J309,L309,N309,P309,T309,V309,X309,Z309,AB309,AD309)</f>
        <v>0</v>
      </c>
      <c r="AM309" s="462">
        <f>AL309-AH309</f>
        <v>0</v>
      </c>
      <c r="AO309" s="692"/>
      <c r="AP309" s="692"/>
      <c r="AV309" s="56"/>
    </row>
    <row r="310" spans="1:48" ht="12.75" customHeight="1" outlineLevel="1" thickBot="1">
      <c r="B310" s="82"/>
      <c r="C310" s="1231"/>
      <c r="D310" s="1231"/>
      <c r="E310" s="84">
        <f>'Terms and Turnovers'!$AN$12</f>
        <v>0</v>
      </c>
      <c r="F310" s="120">
        <f>$R310*G310</f>
        <v>0</v>
      </c>
      <c r="G310" s="723"/>
      <c r="H310" s="120">
        <f>$R310*I310</f>
        <v>0</v>
      </c>
      <c r="I310" s="69">
        <v>0</v>
      </c>
      <c r="J310" s="120">
        <f>$R310*K310</f>
        <v>0</v>
      </c>
      <c r="K310" s="69">
        <v>0</v>
      </c>
      <c r="L310" s="120">
        <f>$R310*M310</f>
        <v>0</v>
      </c>
      <c r="M310" s="69">
        <v>0</v>
      </c>
      <c r="N310" s="315">
        <f>$R310*O310</f>
        <v>0</v>
      </c>
      <c r="O310" s="69">
        <v>0</v>
      </c>
      <c r="P310" s="120">
        <f>$R310*Q310</f>
        <v>0</v>
      </c>
      <c r="Q310" s="69">
        <v>0</v>
      </c>
      <c r="R310" s="88">
        <f>'Terms and Turnovers'!AO59</f>
        <v>0</v>
      </c>
      <c r="S310" s="161">
        <f t="shared" si="28"/>
        <v>0</v>
      </c>
      <c r="T310" s="120">
        <f>$AF310*U310</f>
        <v>0</v>
      </c>
      <c r="U310" s="69">
        <v>0</v>
      </c>
      <c r="V310" s="120">
        <f>$AF310*W310</f>
        <v>0</v>
      </c>
      <c r="W310" s="69">
        <v>0</v>
      </c>
      <c r="X310" s="120">
        <f>$AF310*Y310</f>
        <v>0</v>
      </c>
      <c r="Y310" s="69">
        <v>0</v>
      </c>
      <c r="Z310" s="120">
        <f>$AF310*AA310</f>
        <v>0</v>
      </c>
      <c r="AA310" s="69">
        <v>0</v>
      </c>
      <c r="AB310" s="315">
        <f>$AF310*AC310</f>
        <v>0</v>
      </c>
      <c r="AC310" s="69">
        <v>0</v>
      </c>
      <c r="AD310" s="120">
        <f>$AF310*AE310</f>
        <v>0</v>
      </c>
      <c r="AE310" s="69">
        <v>0</v>
      </c>
      <c r="AF310" s="88">
        <f>'Terms and Turnovers'!AT59</f>
        <v>0</v>
      </c>
      <c r="AG310" s="161">
        <f t="shared" si="29"/>
        <v>0</v>
      </c>
      <c r="AH310" s="158">
        <f t="shared" si="30"/>
        <v>0</v>
      </c>
      <c r="AI310" s="134">
        <f t="shared" si="31"/>
        <v>0</v>
      </c>
      <c r="AJ310" s="65"/>
      <c r="AL310" s="461">
        <f>SUM(F310,H310,J310,L310,N310,P310,T310,V310,X310,Z310,AB310,AD310)</f>
        <v>0</v>
      </c>
      <c r="AM310" s="462">
        <f>AL310-AH310</f>
        <v>0</v>
      </c>
      <c r="AO310" s="692"/>
      <c r="AP310" s="692"/>
      <c r="AV310" s="56"/>
    </row>
    <row r="311" spans="1:48" ht="13.5" customHeight="1" outlineLevel="1" thickBot="1">
      <c r="B311" s="82"/>
      <c r="C311" s="1232"/>
      <c r="D311" s="1232"/>
      <c r="E311" s="85">
        <f>'Terms and Turnovers'!$AX$12</f>
        <v>0</v>
      </c>
      <c r="F311" s="121">
        <f>$R311*G311</f>
        <v>0</v>
      </c>
      <c r="G311" s="72"/>
      <c r="H311" s="121">
        <f>$R311*I311</f>
        <v>0</v>
      </c>
      <c r="I311" s="69">
        <v>0</v>
      </c>
      <c r="J311" s="121">
        <f>$R311*K311</f>
        <v>0</v>
      </c>
      <c r="K311" s="69">
        <v>0</v>
      </c>
      <c r="L311" s="121">
        <f>$R311*M311</f>
        <v>0</v>
      </c>
      <c r="M311" s="69">
        <v>0</v>
      </c>
      <c r="N311" s="316">
        <f>$R311*O311</f>
        <v>0</v>
      </c>
      <c r="O311" s="69">
        <v>0</v>
      </c>
      <c r="P311" s="121">
        <f>$R311*Q311</f>
        <v>0</v>
      </c>
      <c r="Q311" s="69">
        <v>0</v>
      </c>
      <c r="R311" s="89">
        <f>'Terms and Turnovers'!AY59</f>
        <v>0</v>
      </c>
      <c r="S311" s="162">
        <f t="shared" si="28"/>
        <v>0</v>
      </c>
      <c r="T311" s="121">
        <f>$AF311*U311</f>
        <v>0</v>
      </c>
      <c r="U311" s="69">
        <v>0</v>
      </c>
      <c r="V311" s="121">
        <f>$AF311*W311</f>
        <v>0</v>
      </c>
      <c r="W311" s="69">
        <v>0</v>
      </c>
      <c r="X311" s="121">
        <f>$AF311*Y311</f>
        <v>0</v>
      </c>
      <c r="Y311" s="69">
        <v>0</v>
      </c>
      <c r="Z311" s="121">
        <f>$AF311*AA311</f>
        <v>0</v>
      </c>
      <c r="AA311" s="69">
        <v>0</v>
      </c>
      <c r="AB311" s="316">
        <f>$AF311*AC311</f>
        <v>0</v>
      </c>
      <c r="AC311" s="69">
        <v>0</v>
      </c>
      <c r="AD311" s="121">
        <f>$AF311*AE311</f>
        <v>0</v>
      </c>
      <c r="AE311" s="69">
        <v>0</v>
      </c>
      <c r="AF311" s="89">
        <f>'Terms and Turnovers'!BD59</f>
        <v>0</v>
      </c>
      <c r="AG311" s="162">
        <f t="shared" si="29"/>
        <v>0</v>
      </c>
      <c r="AH311" s="159">
        <f t="shared" si="30"/>
        <v>0</v>
      </c>
      <c r="AI311" s="137">
        <f t="shared" si="31"/>
        <v>0</v>
      </c>
      <c r="AJ311" s="65"/>
      <c r="AL311" s="461">
        <f>SUM(F311,H311,J311,L311,N311,P311,T311,V311,X311,Z311,AB311,AD311)</f>
        <v>0</v>
      </c>
      <c r="AM311" s="462">
        <f>AL311-AH311</f>
        <v>0</v>
      </c>
      <c r="AO311" s="692"/>
      <c r="AP311" s="692"/>
      <c r="AV311" s="56"/>
    </row>
    <row r="312" spans="1:48" ht="13.5" customHeight="1" outlineLevel="1" thickBot="1">
      <c r="A312" s="119"/>
      <c r="B312" s="82"/>
      <c r="C312" s="425"/>
      <c r="D312" s="425"/>
      <c r="E312" s="426"/>
      <c r="F312" s="427">
        <f>SUM(F307:F311)</f>
        <v>0</v>
      </c>
      <c r="G312" s="428"/>
      <c r="H312" s="427">
        <f>SUM(H307:H311)</f>
        <v>0</v>
      </c>
      <c r="I312" s="69"/>
      <c r="J312" s="427">
        <f>SUM(J307:J311)</f>
        <v>0</v>
      </c>
      <c r="K312" s="69"/>
      <c r="L312" s="427">
        <f>SUM(L307:L311)</f>
        <v>0</v>
      </c>
      <c r="M312" s="69"/>
      <c r="N312" s="427">
        <f>SUM(N307:N311)</f>
        <v>0</v>
      </c>
      <c r="O312" s="69"/>
      <c r="P312" s="427">
        <f>SUM(P307:P311)</f>
        <v>0</v>
      </c>
      <c r="Q312" s="69"/>
      <c r="R312" s="429"/>
      <c r="S312" s="430"/>
      <c r="T312" s="427">
        <f>SUM(T307:T311)</f>
        <v>0</v>
      </c>
      <c r="U312" s="428"/>
      <c r="V312" s="427">
        <f>SUM(V307:V311)</f>
        <v>0</v>
      </c>
      <c r="W312" s="69"/>
      <c r="X312" s="427">
        <f>SUM(X307:X311)</f>
        <v>0</v>
      </c>
      <c r="Y312" s="69"/>
      <c r="Z312" s="427">
        <f>SUM(Z307:Z311)</f>
        <v>0</v>
      </c>
      <c r="AA312" s="69"/>
      <c r="AB312" s="427">
        <f>SUM(AB307:AB311)</f>
        <v>0</v>
      </c>
      <c r="AC312" s="69"/>
      <c r="AD312" s="427">
        <f>SUM(AD307:AD311)</f>
        <v>0</v>
      </c>
      <c r="AE312" s="69"/>
      <c r="AF312" s="429"/>
      <c r="AG312" s="430"/>
      <c r="AH312" s="431"/>
      <c r="AI312" s="432"/>
      <c r="AJ312" s="65"/>
      <c r="AO312" s="692"/>
      <c r="AP312" s="692"/>
      <c r="AV312" s="56"/>
    </row>
    <row r="313" spans="1:48" ht="13.5" customHeight="1" outlineLevel="1" thickBot="1">
      <c r="A313" s="119"/>
      <c r="B313" s="82"/>
      <c r="C313" s="1098" t="s">
        <v>484</v>
      </c>
      <c r="D313" s="433">
        <f>D307</f>
        <v>0</v>
      </c>
      <c r="E313" s="426"/>
      <c r="F313" s="700"/>
      <c r="G313" s="428"/>
      <c r="H313" s="700"/>
      <c r="I313" s="69"/>
      <c r="J313" s="700"/>
      <c r="K313" s="69"/>
      <c r="L313" s="700"/>
      <c r="M313" s="69"/>
      <c r="N313" s="700"/>
      <c r="O313" s="69"/>
      <c r="P313" s="700"/>
      <c r="Q313" s="69"/>
      <c r="R313" s="429"/>
      <c r="S313" s="430"/>
      <c r="T313" s="700"/>
      <c r="U313" s="428">
        <f>Q312</f>
        <v>0</v>
      </c>
      <c r="V313" s="700"/>
      <c r="W313" s="69">
        <f>S312</f>
        <v>0</v>
      </c>
      <c r="X313" s="700"/>
      <c r="Y313" s="69">
        <f>U312</f>
        <v>0</v>
      </c>
      <c r="Z313" s="700"/>
      <c r="AA313" s="69">
        <f>W312</f>
        <v>0</v>
      </c>
      <c r="AB313" s="700"/>
      <c r="AC313" s="69">
        <f>Y312</f>
        <v>0</v>
      </c>
      <c r="AD313" s="700"/>
      <c r="AE313" s="69"/>
      <c r="AF313" s="429"/>
      <c r="AG313" s="430"/>
      <c r="AH313" s="431"/>
      <c r="AI313" s="432"/>
      <c r="AJ313" s="65"/>
      <c r="AN313" s="742">
        <f>SUM(AF307:AF311)*AQ313</f>
        <v>0</v>
      </c>
      <c r="AO313" s="742">
        <f>SUM(R307:R311)*AQ313</f>
        <v>0</v>
      </c>
      <c r="AP313" s="742">
        <v>0</v>
      </c>
      <c r="AS313" s="716">
        <f>SUM(AL307:AL311)</f>
        <v>0</v>
      </c>
      <c r="AT313" s="461">
        <f>F313+H313+J313+L313+N313+P313+T313+V313+X313+Z313+AB313+AD313</f>
        <v>0</v>
      </c>
      <c r="AU313" s="774">
        <f>AT313-AS313</f>
        <v>0</v>
      </c>
    </row>
    <row r="314" spans="1:48" ht="12.75" customHeight="1" outlineLevel="1" thickBot="1">
      <c r="B314" s="82">
        <f>B307+1</f>
        <v>45</v>
      </c>
      <c r="C314" s="1230">
        <f>'Terms and Turnovers'!C60</f>
        <v>0</v>
      </c>
      <c r="D314" s="1230">
        <f>'Terms and Turnovers'!D60</f>
        <v>0</v>
      </c>
      <c r="E314" s="83" t="str">
        <f>'Terms and Turnovers'!$J$12</f>
        <v>FLIP-FLOPS</v>
      </c>
      <c r="F314" s="118">
        <f>$R314*G314</f>
        <v>0</v>
      </c>
      <c r="G314" s="69"/>
      <c r="H314" s="314">
        <f>$R314*I314</f>
        <v>0</v>
      </c>
      <c r="I314" s="69">
        <v>0</v>
      </c>
      <c r="J314" s="118">
        <f>$R314*K314</f>
        <v>0</v>
      </c>
      <c r="K314" s="69">
        <v>0</v>
      </c>
      <c r="L314" s="314">
        <f>$R314*M314</f>
        <v>0</v>
      </c>
      <c r="M314" s="69">
        <v>0</v>
      </c>
      <c r="N314" s="314">
        <f>$R314*O314</f>
        <v>0</v>
      </c>
      <c r="O314" s="69">
        <v>0</v>
      </c>
      <c r="P314" s="118">
        <f>$R314*Q314</f>
        <v>0</v>
      </c>
      <c r="Q314" s="69">
        <v>0</v>
      </c>
      <c r="R314" s="87">
        <f>'Terms and Turnovers'!K60</f>
        <v>0</v>
      </c>
      <c r="S314" s="160">
        <f t="shared" si="28"/>
        <v>0</v>
      </c>
      <c r="T314" s="118">
        <f>R314*(1-S314)</f>
        <v>0</v>
      </c>
      <c r="U314" s="69">
        <v>0</v>
      </c>
      <c r="V314" s="314">
        <f>$AF314*W314</f>
        <v>0</v>
      </c>
      <c r="W314" s="69">
        <v>0</v>
      </c>
      <c r="X314" s="118">
        <f>$AF314*Y314</f>
        <v>0</v>
      </c>
      <c r="Y314" s="69">
        <v>0</v>
      </c>
      <c r="Z314" s="314">
        <f>$AF314*AA314</f>
        <v>0</v>
      </c>
      <c r="AA314" s="69">
        <v>0</v>
      </c>
      <c r="AB314" s="314">
        <f>$AF314*AC314</f>
        <v>0</v>
      </c>
      <c r="AC314" s="69">
        <v>0</v>
      </c>
      <c r="AD314" s="118">
        <f>$AF314*AE314</f>
        <v>0</v>
      </c>
      <c r="AE314" s="69">
        <v>0</v>
      </c>
      <c r="AF314" s="87">
        <f>'Terms and Turnovers'!P60</f>
        <v>0</v>
      </c>
      <c r="AG314" s="160">
        <f t="shared" si="29"/>
        <v>0</v>
      </c>
      <c r="AH314" s="157">
        <f t="shared" si="30"/>
        <v>0</v>
      </c>
      <c r="AI314" s="131">
        <f t="shared" si="31"/>
        <v>0</v>
      </c>
      <c r="AJ314" s="65"/>
      <c r="AL314" s="461">
        <f>SUM(F314,H314,J314,L314,N314,P314,T314,V314,X314,Z314,AB314,AD314)</f>
        <v>0</v>
      </c>
      <c r="AM314" s="462">
        <f>AL314-AH314</f>
        <v>0</v>
      </c>
      <c r="AO314" s="692"/>
      <c r="AP314" s="772"/>
      <c r="AV314" s="56"/>
    </row>
    <row r="315" spans="1:48" ht="12.75" customHeight="1" outlineLevel="1" thickBot="1">
      <c r="B315" s="82"/>
      <c r="C315" s="1231"/>
      <c r="D315" s="1231"/>
      <c r="E315" s="84" t="str">
        <f>'Terms and Turnovers'!$T$12</f>
        <v>ORIGINALS</v>
      </c>
      <c r="F315" s="120">
        <f>$R315*G315</f>
        <v>0</v>
      </c>
      <c r="G315" s="723"/>
      <c r="H315" s="120">
        <f>$R315*I315</f>
        <v>0</v>
      </c>
      <c r="I315" s="69">
        <v>0</v>
      </c>
      <c r="J315" s="120">
        <f>$R315*K315</f>
        <v>0</v>
      </c>
      <c r="K315" s="69">
        <v>0</v>
      </c>
      <c r="L315" s="120">
        <f>$R315*M315</f>
        <v>0</v>
      </c>
      <c r="M315" s="69">
        <v>0</v>
      </c>
      <c r="N315" s="315">
        <f>$R315*O315</f>
        <v>0</v>
      </c>
      <c r="O315" s="69">
        <v>0</v>
      </c>
      <c r="P315" s="120">
        <f>$R315*Q315</f>
        <v>0</v>
      </c>
      <c r="Q315" s="69">
        <v>0</v>
      </c>
      <c r="R315" s="88">
        <f>'Terms and Turnovers'!U60</f>
        <v>0</v>
      </c>
      <c r="S315" s="161">
        <f t="shared" si="28"/>
        <v>0</v>
      </c>
      <c r="T315" s="120">
        <f>$AF315*U315</f>
        <v>0</v>
      </c>
      <c r="U315" s="69">
        <v>0</v>
      </c>
      <c r="V315" s="120">
        <f>$AF315*W315</f>
        <v>0</v>
      </c>
      <c r="W315" s="69">
        <v>0</v>
      </c>
      <c r="X315" s="120">
        <f>$AF315*Y315</f>
        <v>0</v>
      </c>
      <c r="Y315" s="69">
        <v>0</v>
      </c>
      <c r="Z315" s="120">
        <f>$AF315*AA315</f>
        <v>0</v>
      </c>
      <c r="AA315" s="69">
        <v>0</v>
      </c>
      <c r="AB315" s="315">
        <f>$AF315*AC315</f>
        <v>0</v>
      </c>
      <c r="AC315" s="69">
        <v>0</v>
      </c>
      <c r="AD315" s="120">
        <f>$AF315*AE315</f>
        <v>0</v>
      </c>
      <c r="AE315" s="69">
        <v>0</v>
      </c>
      <c r="AF315" s="88">
        <f>'Terms and Turnovers'!Z60</f>
        <v>0</v>
      </c>
      <c r="AG315" s="161">
        <f t="shared" si="29"/>
        <v>0</v>
      </c>
      <c r="AH315" s="158">
        <f t="shared" si="30"/>
        <v>0</v>
      </c>
      <c r="AI315" s="134">
        <f t="shared" si="31"/>
        <v>0</v>
      </c>
      <c r="AJ315" s="65"/>
      <c r="AL315" s="461">
        <f>SUM(F315,H315,J315,L315,N315,P315,T315,V315,X315,Z315,AB315,AD315)</f>
        <v>0</v>
      </c>
      <c r="AM315" s="462">
        <f>AL315-AH315</f>
        <v>0</v>
      </c>
      <c r="AO315" s="692"/>
      <c r="AP315" s="692"/>
      <c r="AV315" s="56"/>
    </row>
    <row r="316" spans="1:48" ht="12.75" customHeight="1" outlineLevel="1" thickBot="1">
      <c r="B316" s="82"/>
      <c r="C316" s="1231"/>
      <c r="D316" s="1231"/>
      <c r="E316" s="84" t="str">
        <f>'Terms and Turnovers'!$AD$12</f>
        <v>ACCESSORIES</v>
      </c>
      <c r="F316" s="120">
        <f>$R316*G316</f>
        <v>0</v>
      </c>
      <c r="G316" s="723"/>
      <c r="H316" s="120">
        <f>$R316*I316</f>
        <v>0</v>
      </c>
      <c r="I316" s="69">
        <v>0</v>
      </c>
      <c r="J316" s="120">
        <f>$R316*K316</f>
        <v>0</v>
      </c>
      <c r="K316" s="69">
        <v>0</v>
      </c>
      <c r="L316" s="120">
        <f>$R316*M316</f>
        <v>0</v>
      </c>
      <c r="M316" s="69">
        <v>0</v>
      </c>
      <c r="N316" s="315">
        <f>$R316*O316</f>
        <v>0</v>
      </c>
      <c r="O316" s="69">
        <v>0</v>
      </c>
      <c r="P316" s="120">
        <f>$R316*Q316</f>
        <v>0</v>
      </c>
      <c r="Q316" s="69">
        <v>0</v>
      </c>
      <c r="R316" s="88">
        <f>'Terms and Turnovers'!AE60</f>
        <v>0</v>
      </c>
      <c r="S316" s="161">
        <f t="shared" si="28"/>
        <v>0</v>
      </c>
      <c r="T316" s="120">
        <f>$AF316*U316</f>
        <v>0</v>
      </c>
      <c r="U316" s="69">
        <v>0</v>
      </c>
      <c r="V316" s="120">
        <f>$AF316*W316</f>
        <v>0</v>
      </c>
      <c r="W316" s="69">
        <v>0</v>
      </c>
      <c r="X316" s="120">
        <f>$AF316*Y316</f>
        <v>0</v>
      </c>
      <c r="Y316" s="69">
        <v>0</v>
      </c>
      <c r="Z316" s="120">
        <f>$AF316*AA316</f>
        <v>0</v>
      </c>
      <c r="AA316" s="69">
        <v>0</v>
      </c>
      <c r="AB316" s="315">
        <f>$AF316*AC316</f>
        <v>0</v>
      </c>
      <c r="AC316" s="69">
        <v>0</v>
      </c>
      <c r="AD316" s="120">
        <f>$AF316*AE316</f>
        <v>0</v>
      </c>
      <c r="AE316" s="69">
        <v>0</v>
      </c>
      <c r="AF316" s="88">
        <f>'Terms and Turnovers'!AJ60</f>
        <v>0</v>
      </c>
      <c r="AG316" s="161">
        <f t="shared" si="29"/>
        <v>0</v>
      </c>
      <c r="AH316" s="158">
        <f t="shared" si="30"/>
        <v>0</v>
      </c>
      <c r="AI316" s="134">
        <f t="shared" si="31"/>
        <v>0</v>
      </c>
      <c r="AJ316" s="65"/>
      <c r="AL316" s="461">
        <f>SUM(F316,H316,J316,L316,N316,P316,T316,V316,X316,Z316,AB316,AD316)</f>
        <v>0</v>
      </c>
      <c r="AM316" s="462">
        <f>AL316-AH316</f>
        <v>0</v>
      </c>
      <c r="AO316" s="692"/>
      <c r="AP316" s="692"/>
      <c r="AV316" s="56"/>
    </row>
    <row r="317" spans="1:48" ht="12.75" customHeight="1" outlineLevel="1" thickBot="1">
      <c r="B317" s="82"/>
      <c r="C317" s="1231"/>
      <c r="D317" s="1231"/>
      <c r="E317" s="84">
        <f>'Terms and Turnovers'!$AN$12</f>
        <v>0</v>
      </c>
      <c r="F317" s="120">
        <f>$R317*G317</f>
        <v>0</v>
      </c>
      <c r="G317" s="723"/>
      <c r="H317" s="120">
        <f>$R317*I317</f>
        <v>0</v>
      </c>
      <c r="I317" s="69">
        <v>0</v>
      </c>
      <c r="J317" s="120">
        <f>$R317*K317</f>
        <v>0</v>
      </c>
      <c r="K317" s="69">
        <v>0</v>
      </c>
      <c r="L317" s="120">
        <f>$R317*M317</f>
        <v>0</v>
      </c>
      <c r="M317" s="69">
        <v>0</v>
      </c>
      <c r="N317" s="315">
        <f>$R317*O317</f>
        <v>0</v>
      </c>
      <c r="O317" s="69">
        <v>0</v>
      </c>
      <c r="P317" s="120">
        <f>$R317*Q317</f>
        <v>0</v>
      </c>
      <c r="Q317" s="69">
        <v>0</v>
      </c>
      <c r="R317" s="88">
        <f>'Terms and Turnovers'!AO60</f>
        <v>0</v>
      </c>
      <c r="S317" s="161">
        <f t="shared" si="28"/>
        <v>0</v>
      </c>
      <c r="T317" s="118">
        <f>R317*(1-S317)</f>
        <v>0</v>
      </c>
      <c r="U317" s="69">
        <v>0</v>
      </c>
      <c r="V317" s="120">
        <f>$AF317*W317</f>
        <v>0</v>
      </c>
      <c r="W317" s="69">
        <v>0</v>
      </c>
      <c r="X317" s="120">
        <f>$AF317*Y317</f>
        <v>0</v>
      </c>
      <c r="Y317" s="69">
        <v>0</v>
      </c>
      <c r="Z317" s="120">
        <f>$AF317*AA317</f>
        <v>0</v>
      </c>
      <c r="AA317" s="69">
        <v>0</v>
      </c>
      <c r="AB317" s="315">
        <f>$AF317*AC317</f>
        <v>0</v>
      </c>
      <c r="AC317" s="69">
        <v>0</v>
      </c>
      <c r="AD317" s="120">
        <f>$AF317*AE317</f>
        <v>0</v>
      </c>
      <c r="AE317" s="69">
        <v>0</v>
      </c>
      <c r="AF317" s="88">
        <f>'Terms and Turnovers'!AT60</f>
        <v>0</v>
      </c>
      <c r="AG317" s="161">
        <f t="shared" si="29"/>
        <v>0</v>
      </c>
      <c r="AH317" s="158">
        <f t="shared" si="30"/>
        <v>0</v>
      </c>
      <c r="AI317" s="134">
        <f t="shared" si="31"/>
        <v>0</v>
      </c>
      <c r="AJ317" s="65"/>
      <c r="AL317" s="461">
        <f>SUM(F317,H317,J317,L317,N317,P317,T317,V317,X317,Z317,AB317,AD317)</f>
        <v>0</v>
      </c>
      <c r="AM317" s="462">
        <f>AL317-AH317</f>
        <v>0</v>
      </c>
      <c r="AO317" s="692"/>
      <c r="AP317" s="692"/>
      <c r="AV317" s="56"/>
    </row>
    <row r="318" spans="1:48" ht="13.5" customHeight="1" outlineLevel="1" thickBot="1">
      <c r="B318" s="82"/>
      <c r="C318" s="1232"/>
      <c r="D318" s="1232"/>
      <c r="E318" s="85">
        <f>'Terms and Turnovers'!$AX$12</f>
        <v>0</v>
      </c>
      <c r="F318" s="121">
        <f>$R318*G318</f>
        <v>0</v>
      </c>
      <c r="G318" s="72"/>
      <c r="H318" s="121">
        <f>$R318*I318</f>
        <v>0</v>
      </c>
      <c r="I318" s="69">
        <v>0</v>
      </c>
      <c r="J318" s="121">
        <f>$R318*K318</f>
        <v>0</v>
      </c>
      <c r="K318" s="69">
        <v>0</v>
      </c>
      <c r="L318" s="121">
        <f>$R318*M318</f>
        <v>0</v>
      </c>
      <c r="M318" s="69">
        <v>0</v>
      </c>
      <c r="N318" s="316">
        <f>$R318*O318</f>
        <v>0</v>
      </c>
      <c r="O318" s="69">
        <v>0</v>
      </c>
      <c r="P318" s="121">
        <f>$R318*Q318</f>
        <v>0</v>
      </c>
      <c r="Q318" s="69">
        <v>0</v>
      </c>
      <c r="R318" s="89">
        <f>'Terms and Turnovers'!AY60</f>
        <v>0</v>
      </c>
      <c r="S318" s="162">
        <f t="shared" si="28"/>
        <v>0</v>
      </c>
      <c r="T318" s="118">
        <f>R318*(1-S318)</f>
        <v>0</v>
      </c>
      <c r="U318" s="69">
        <v>0</v>
      </c>
      <c r="V318" s="121">
        <f>$AF318*W318</f>
        <v>0</v>
      </c>
      <c r="W318" s="69">
        <v>0</v>
      </c>
      <c r="X318" s="121">
        <f>$AF318*Y318</f>
        <v>0</v>
      </c>
      <c r="Y318" s="69">
        <v>0</v>
      </c>
      <c r="Z318" s="121">
        <f>$AF318*AA318</f>
        <v>0</v>
      </c>
      <c r="AA318" s="69">
        <v>0</v>
      </c>
      <c r="AB318" s="316">
        <f>$AF318*AC318</f>
        <v>0</v>
      </c>
      <c r="AC318" s="69">
        <v>0</v>
      </c>
      <c r="AD318" s="121">
        <f>$AF318*AE318</f>
        <v>0</v>
      </c>
      <c r="AE318" s="69">
        <v>0</v>
      </c>
      <c r="AF318" s="89">
        <f>'Terms and Turnovers'!BD60</f>
        <v>0</v>
      </c>
      <c r="AG318" s="162">
        <f t="shared" si="29"/>
        <v>0</v>
      </c>
      <c r="AH318" s="159">
        <f t="shared" si="30"/>
        <v>0</v>
      </c>
      <c r="AI318" s="137">
        <f t="shared" si="31"/>
        <v>0</v>
      </c>
      <c r="AJ318" s="65"/>
      <c r="AL318" s="461">
        <f>SUM(F318,H318,J318,L318,N318,P318,T318,V318,X318,Z318,AB318,AD318)</f>
        <v>0</v>
      </c>
      <c r="AM318" s="462">
        <f>AL318-AH318</f>
        <v>0</v>
      </c>
      <c r="AO318" s="692"/>
      <c r="AP318" s="692"/>
      <c r="AV318" s="56"/>
    </row>
    <row r="319" spans="1:48" ht="13.5" customHeight="1" outlineLevel="1" thickBot="1">
      <c r="A319" s="119"/>
      <c r="B319" s="82"/>
      <c r="C319" s="425"/>
      <c r="D319" s="425"/>
      <c r="E319" s="426"/>
      <c r="F319" s="427">
        <f>SUM(F314:F318)</f>
        <v>0</v>
      </c>
      <c r="G319" s="428"/>
      <c r="H319" s="427">
        <f>SUM(H314:H318)</f>
        <v>0</v>
      </c>
      <c r="I319" s="69"/>
      <c r="J319" s="427">
        <f>SUM(J314:J318)</f>
        <v>0</v>
      </c>
      <c r="K319" s="69"/>
      <c r="L319" s="427">
        <f>SUM(L314:L318)</f>
        <v>0</v>
      </c>
      <c r="M319" s="69"/>
      <c r="N319" s="427">
        <f>SUM(N314:N318)</f>
        <v>0</v>
      </c>
      <c r="O319" s="69"/>
      <c r="P319" s="427">
        <f>SUM(P314:P318)</f>
        <v>0</v>
      </c>
      <c r="Q319" s="69"/>
      <c r="R319" s="429"/>
      <c r="S319" s="430"/>
      <c r="T319" s="427">
        <f>SUM(T314:T318)</f>
        <v>0</v>
      </c>
      <c r="U319" s="428"/>
      <c r="V319" s="427">
        <f>SUM(V314:V318)</f>
        <v>0</v>
      </c>
      <c r="W319" s="69"/>
      <c r="X319" s="427">
        <f>SUM(X314:X318)</f>
        <v>0</v>
      </c>
      <c r="Y319" s="69"/>
      <c r="Z319" s="427">
        <f>SUM(Z314:Z318)</f>
        <v>0</v>
      </c>
      <c r="AA319" s="69"/>
      <c r="AB319" s="427">
        <f>SUM(AB314:AB318)</f>
        <v>0</v>
      </c>
      <c r="AC319" s="69"/>
      <c r="AD319" s="427">
        <f>SUM(AD314:AD318)</f>
        <v>0</v>
      </c>
      <c r="AE319" s="69"/>
      <c r="AF319" s="429"/>
      <c r="AG319" s="430"/>
      <c r="AH319" s="431"/>
      <c r="AI319" s="432"/>
      <c r="AJ319" s="65"/>
      <c r="AO319" s="692"/>
      <c r="AP319" s="692"/>
      <c r="AV319" s="56"/>
    </row>
    <row r="320" spans="1:48" ht="13.5" customHeight="1" outlineLevel="1" thickBot="1">
      <c r="A320" s="119"/>
      <c r="B320" s="82"/>
      <c r="C320" s="1098" t="s">
        <v>484</v>
      </c>
      <c r="D320" s="433">
        <f>D314</f>
        <v>0</v>
      </c>
      <c r="E320" s="426"/>
      <c r="F320" s="700"/>
      <c r="G320" s="428"/>
      <c r="H320" s="700"/>
      <c r="I320" s="69"/>
      <c r="J320" s="700"/>
      <c r="K320" s="69"/>
      <c r="L320" s="700"/>
      <c r="M320" s="69"/>
      <c r="N320" s="700"/>
      <c r="O320" s="69"/>
      <c r="P320" s="700"/>
      <c r="Q320" s="69"/>
      <c r="R320" s="429"/>
      <c r="S320" s="430"/>
      <c r="T320" s="700"/>
      <c r="U320" s="428">
        <f>Q319</f>
        <v>0</v>
      </c>
      <c r="V320" s="700"/>
      <c r="W320" s="69">
        <f>S319</f>
        <v>0</v>
      </c>
      <c r="X320" s="700"/>
      <c r="Y320" s="69">
        <f>U319</f>
        <v>0</v>
      </c>
      <c r="Z320" s="700"/>
      <c r="AA320" s="69">
        <f>W319</f>
        <v>0</v>
      </c>
      <c r="AB320" s="700"/>
      <c r="AC320" s="69">
        <f>Y319</f>
        <v>0</v>
      </c>
      <c r="AD320" s="700"/>
      <c r="AE320" s="69"/>
      <c r="AF320" s="429"/>
      <c r="AG320" s="430"/>
      <c r="AH320" s="431"/>
      <c r="AI320" s="432"/>
      <c r="AJ320" s="65"/>
      <c r="AN320" s="742">
        <f>SUM(AF314:AF318)*AQ320</f>
        <v>0</v>
      </c>
      <c r="AO320" s="742">
        <f>SUM(R314:R318)*AQ320</f>
        <v>0</v>
      </c>
      <c r="AP320" s="742">
        <v>0</v>
      </c>
      <c r="AQ320" s="694"/>
      <c r="AR320" s="696"/>
      <c r="AS320" s="716">
        <f>SUM(AL314:AL318)</f>
        <v>0</v>
      </c>
      <c r="AT320" s="461">
        <f>F320+H320+J320+L320+N320+P320+T320+V320+X320+Z320+AB320+AD320</f>
        <v>0</v>
      </c>
      <c r="AU320" s="745">
        <f>AT320-AS320</f>
        <v>0</v>
      </c>
    </row>
    <row r="321" spans="1:48" ht="12.75" customHeight="1" outlineLevel="1" thickBot="1">
      <c r="B321" s="82">
        <f>B314+1</f>
        <v>46</v>
      </c>
      <c r="C321" s="1230">
        <f>'Terms and Turnovers'!C61</f>
        <v>0</v>
      </c>
      <c r="D321" s="1230">
        <f>'Terms and Turnovers'!D61</f>
        <v>0</v>
      </c>
      <c r="E321" s="83" t="str">
        <f>'Terms and Turnovers'!$J$12</f>
        <v>FLIP-FLOPS</v>
      </c>
      <c r="F321" s="118">
        <f>$R321*G321</f>
        <v>0</v>
      </c>
      <c r="G321" s="69"/>
      <c r="H321" s="314">
        <f>$R321*I321</f>
        <v>0</v>
      </c>
      <c r="I321" s="69">
        <v>0</v>
      </c>
      <c r="J321" s="118">
        <f>$R321*K321</f>
        <v>0</v>
      </c>
      <c r="K321" s="69">
        <v>0</v>
      </c>
      <c r="L321" s="314">
        <f>$R321*M321</f>
        <v>0</v>
      </c>
      <c r="M321" s="69">
        <v>0</v>
      </c>
      <c r="N321" s="314">
        <f>$R321*O321</f>
        <v>0</v>
      </c>
      <c r="O321" s="69">
        <v>0</v>
      </c>
      <c r="P321" s="118">
        <f>$R321*Q321</f>
        <v>0</v>
      </c>
      <c r="Q321" s="69">
        <v>0</v>
      </c>
      <c r="R321" s="87">
        <f>'Terms and Turnovers'!K61</f>
        <v>0</v>
      </c>
      <c r="S321" s="160">
        <f t="shared" si="28"/>
        <v>0</v>
      </c>
      <c r="T321" s="118">
        <f>$AF321*U321</f>
        <v>0</v>
      </c>
      <c r="U321" s="69">
        <v>0</v>
      </c>
      <c r="V321" s="314">
        <f>$AF321*W321</f>
        <v>0</v>
      </c>
      <c r="W321" s="69">
        <v>0</v>
      </c>
      <c r="X321" s="118">
        <f>$AF321*Y321</f>
        <v>0</v>
      </c>
      <c r="Y321" s="69">
        <v>0</v>
      </c>
      <c r="Z321" s="314">
        <f>$AF321*AA321</f>
        <v>0</v>
      </c>
      <c r="AA321" s="69">
        <v>0</v>
      </c>
      <c r="AB321" s="314">
        <f>$AF321*AC321</f>
        <v>0</v>
      </c>
      <c r="AC321" s="69">
        <v>0</v>
      </c>
      <c r="AD321" s="118">
        <f>$AF321*AE321</f>
        <v>0</v>
      </c>
      <c r="AE321" s="69">
        <v>0</v>
      </c>
      <c r="AF321" s="87">
        <f>'Terms and Turnovers'!P61</f>
        <v>0</v>
      </c>
      <c r="AG321" s="160">
        <f t="shared" si="29"/>
        <v>0</v>
      </c>
      <c r="AH321" s="157">
        <f t="shared" si="30"/>
        <v>0</v>
      </c>
      <c r="AI321" s="131">
        <f t="shared" si="31"/>
        <v>0</v>
      </c>
      <c r="AJ321" s="65"/>
      <c r="AL321" s="461">
        <f>SUM(F321,H321,J321,L321,N321,P321,T321,V321,X321,Z321,AB321,AD321)</f>
        <v>0</v>
      </c>
      <c r="AM321" s="462">
        <f>AL321-AH321</f>
        <v>0</v>
      </c>
      <c r="AO321" s="692"/>
      <c r="AP321" s="692"/>
      <c r="AV321" s="56"/>
    </row>
    <row r="322" spans="1:48" ht="12.75" customHeight="1" outlineLevel="1" thickBot="1">
      <c r="B322" s="82"/>
      <c r="C322" s="1231"/>
      <c r="D322" s="1231"/>
      <c r="E322" s="84" t="str">
        <f>'Terms and Turnovers'!$T$12</f>
        <v>ORIGINALS</v>
      </c>
      <c r="F322" s="120">
        <f>$R322*G322</f>
        <v>0</v>
      </c>
      <c r="G322" s="723"/>
      <c r="H322" s="120">
        <f>$R322*I322</f>
        <v>0</v>
      </c>
      <c r="I322" s="69">
        <v>0</v>
      </c>
      <c r="J322" s="120">
        <f>$R322*K322</f>
        <v>0</v>
      </c>
      <c r="K322" s="69">
        <v>0</v>
      </c>
      <c r="L322" s="120">
        <f>$R322*M322</f>
        <v>0</v>
      </c>
      <c r="M322" s="69">
        <v>0</v>
      </c>
      <c r="N322" s="315">
        <f>$R322*O322</f>
        <v>0</v>
      </c>
      <c r="O322" s="69">
        <v>0</v>
      </c>
      <c r="P322" s="120">
        <f>$R322*Q322</f>
        <v>0</v>
      </c>
      <c r="Q322" s="69">
        <v>0</v>
      </c>
      <c r="R322" s="88">
        <f>'Terms and Turnovers'!U61</f>
        <v>0</v>
      </c>
      <c r="S322" s="161">
        <f t="shared" si="28"/>
        <v>0</v>
      </c>
      <c r="T322" s="120">
        <f>$AF322*U322</f>
        <v>0</v>
      </c>
      <c r="U322" s="69">
        <v>0</v>
      </c>
      <c r="V322" s="120">
        <f>$AF322*W322</f>
        <v>0</v>
      </c>
      <c r="W322" s="69">
        <v>0</v>
      </c>
      <c r="X322" s="120">
        <f>$AF322*Y322</f>
        <v>0</v>
      </c>
      <c r="Y322" s="69">
        <v>0</v>
      </c>
      <c r="Z322" s="120">
        <f>$AF322*AA322</f>
        <v>0</v>
      </c>
      <c r="AA322" s="69">
        <v>0</v>
      </c>
      <c r="AB322" s="315">
        <f>$AF322*AC322</f>
        <v>0</v>
      </c>
      <c r="AC322" s="69">
        <v>0</v>
      </c>
      <c r="AD322" s="120">
        <f>$AF322*AE322</f>
        <v>0</v>
      </c>
      <c r="AE322" s="69">
        <v>0</v>
      </c>
      <c r="AF322" s="88">
        <f>'Terms and Turnovers'!Z61</f>
        <v>0</v>
      </c>
      <c r="AG322" s="161">
        <f t="shared" si="29"/>
        <v>0</v>
      </c>
      <c r="AH322" s="158">
        <f t="shared" si="30"/>
        <v>0</v>
      </c>
      <c r="AI322" s="134">
        <f t="shared" si="31"/>
        <v>0</v>
      </c>
      <c r="AJ322" s="65"/>
      <c r="AL322" s="461">
        <f>SUM(F322,H322,J322,L322,N322,P322,T322,V322,X322,Z322,AB322,AD322)</f>
        <v>0</v>
      </c>
      <c r="AM322" s="462">
        <f>AL322-AH322</f>
        <v>0</v>
      </c>
      <c r="AO322" s="692"/>
      <c r="AP322" s="692"/>
      <c r="AV322" s="56"/>
    </row>
    <row r="323" spans="1:48" ht="12.75" customHeight="1" outlineLevel="1" thickBot="1">
      <c r="B323" s="82"/>
      <c r="C323" s="1231"/>
      <c r="D323" s="1231"/>
      <c r="E323" s="84" t="str">
        <f>'Terms and Turnovers'!$AD$12</f>
        <v>ACCESSORIES</v>
      </c>
      <c r="F323" s="120">
        <f>$R323*G323</f>
        <v>0</v>
      </c>
      <c r="G323" s="723"/>
      <c r="H323" s="120">
        <f>$R323*I323</f>
        <v>0</v>
      </c>
      <c r="I323" s="69">
        <v>0</v>
      </c>
      <c r="J323" s="120">
        <f>$R323*K323</f>
        <v>0</v>
      </c>
      <c r="K323" s="69">
        <v>0</v>
      </c>
      <c r="L323" s="120">
        <f>$R323*M323</f>
        <v>0</v>
      </c>
      <c r="M323" s="69">
        <v>0</v>
      </c>
      <c r="N323" s="315">
        <f>$R323*O323</f>
        <v>0</v>
      </c>
      <c r="O323" s="69">
        <v>0</v>
      </c>
      <c r="P323" s="120">
        <f>$R323*Q323</f>
        <v>0</v>
      </c>
      <c r="Q323" s="69">
        <v>0</v>
      </c>
      <c r="R323" s="88">
        <f>'Terms and Turnovers'!AE61</f>
        <v>0</v>
      </c>
      <c r="S323" s="161">
        <f t="shared" si="28"/>
        <v>0</v>
      </c>
      <c r="T323" s="120">
        <f>$AF323*U323</f>
        <v>0</v>
      </c>
      <c r="U323" s="69">
        <v>0</v>
      </c>
      <c r="V323" s="120">
        <f>$AF323*W323</f>
        <v>0</v>
      </c>
      <c r="W323" s="69">
        <v>0</v>
      </c>
      <c r="X323" s="120">
        <f>$AF323*Y323</f>
        <v>0</v>
      </c>
      <c r="Y323" s="69">
        <v>0</v>
      </c>
      <c r="Z323" s="120">
        <f>$AF323*AA323</f>
        <v>0</v>
      </c>
      <c r="AA323" s="69">
        <v>0</v>
      </c>
      <c r="AB323" s="315">
        <f>$AF323*AC323</f>
        <v>0</v>
      </c>
      <c r="AC323" s="69">
        <v>0</v>
      </c>
      <c r="AD323" s="120">
        <f>$AF323*AE323</f>
        <v>0</v>
      </c>
      <c r="AE323" s="69">
        <v>0</v>
      </c>
      <c r="AF323" s="88">
        <f>'Terms and Turnovers'!AJ61</f>
        <v>0</v>
      </c>
      <c r="AG323" s="161">
        <f t="shared" si="29"/>
        <v>0</v>
      </c>
      <c r="AH323" s="158">
        <f t="shared" si="30"/>
        <v>0</v>
      </c>
      <c r="AI323" s="134">
        <f t="shared" si="31"/>
        <v>0</v>
      </c>
      <c r="AJ323" s="65"/>
      <c r="AL323" s="461">
        <f>SUM(F323,H323,J323,L323,N323,P323,T323,V323,X323,Z323,AB323,AD323)</f>
        <v>0</v>
      </c>
      <c r="AM323" s="462">
        <f>AL323-AH323</f>
        <v>0</v>
      </c>
      <c r="AO323" s="692"/>
      <c r="AP323" s="692"/>
      <c r="AV323" s="56"/>
    </row>
    <row r="324" spans="1:48" ht="12.75" customHeight="1" outlineLevel="1" thickBot="1">
      <c r="B324" s="82"/>
      <c r="C324" s="1231"/>
      <c r="D324" s="1231"/>
      <c r="E324" s="84">
        <f>'Terms and Turnovers'!$AN$12</f>
        <v>0</v>
      </c>
      <c r="F324" s="120">
        <f>$R324*G324</f>
        <v>0</v>
      </c>
      <c r="G324" s="723"/>
      <c r="H324" s="120">
        <f>$R324*I324</f>
        <v>0</v>
      </c>
      <c r="I324" s="69">
        <v>0</v>
      </c>
      <c r="J324" s="120">
        <f>$R324*K324</f>
        <v>0</v>
      </c>
      <c r="K324" s="69">
        <v>0</v>
      </c>
      <c r="L324" s="120">
        <f>$R324*M324</f>
        <v>0</v>
      </c>
      <c r="M324" s="69">
        <v>0</v>
      </c>
      <c r="N324" s="315">
        <f>$R324*O324</f>
        <v>0</v>
      </c>
      <c r="O324" s="69">
        <v>0</v>
      </c>
      <c r="P324" s="120">
        <f>$R324*Q324</f>
        <v>0</v>
      </c>
      <c r="Q324" s="69">
        <v>0</v>
      </c>
      <c r="R324" s="88">
        <f>'Terms and Turnovers'!AO61</f>
        <v>0</v>
      </c>
      <c r="S324" s="161">
        <f t="shared" si="28"/>
        <v>0</v>
      </c>
      <c r="T324" s="120">
        <f>$AF324*U324</f>
        <v>0</v>
      </c>
      <c r="U324" s="69">
        <v>0</v>
      </c>
      <c r="V324" s="120">
        <f>$AF324*W324</f>
        <v>0</v>
      </c>
      <c r="W324" s="69">
        <v>0</v>
      </c>
      <c r="X324" s="120">
        <f>$AF324*Y324</f>
        <v>0</v>
      </c>
      <c r="Y324" s="69">
        <v>0</v>
      </c>
      <c r="Z324" s="120">
        <f>$AF324*AA324</f>
        <v>0</v>
      </c>
      <c r="AA324" s="69">
        <v>0</v>
      </c>
      <c r="AB324" s="315">
        <f>$AF324*AC324</f>
        <v>0</v>
      </c>
      <c r="AC324" s="69">
        <v>0</v>
      </c>
      <c r="AD324" s="120">
        <f>$AF324*AE324</f>
        <v>0</v>
      </c>
      <c r="AE324" s="69">
        <v>0</v>
      </c>
      <c r="AF324" s="88">
        <f>'Terms and Turnovers'!AT61</f>
        <v>0</v>
      </c>
      <c r="AG324" s="161">
        <f t="shared" si="29"/>
        <v>0</v>
      </c>
      <c r="AH324" s="158">
        <f t="shared" si="30"/>
        <v>0</v>
      </c>
      <c r="AI324" s="134">
        <f t="shared" si="31"/>
        <v>0</v>
      </c>
      <c r="AJ324" s="65"/>
      <c r="AL324" s="461">
        <f>SUM(F324,H324,J324,L324,N324,P324,T324,V324,X324,Z324,AB324,AD324)</f>
        <v>0</v>
      </c>
      <c r="AM324" s="462">
        <f>AL324-AH324</f>
        <v>0</v>
      </c>
      <c r="AO324" s="692"/>
      <c r="AP324" s="692"/>
      <c r="AV324" s="56"/>
    </row>
    <row r="325" spans="1:48" ht="13.5" customHeight="1" outlineLevel="1" thickBot="1">
      <c r="B325" s="82"/>
      <c r="C325" s="1232"/>
      <c r="D325" s="1232"/>
      <c r="E325" s="85">
        <f>'Terms and Turnovers'!$AX$12</f>
        <v>0</v>
      </c>
      <c r="F325" s="121">
        <f>$R325*G325</f>
        <v>0</v>
      </c>
      <c r="G325" s="72"/>
      <c r="H325" s="121">
        <f>$R325*I325</f>
        <v>0</v>
      </c>
      <c r="I325" s="69">
        <v>0</v>
      </c>
      <c r="J325" s="121">
        <f>$R325*K325</f>
        <v>0</v>
      </c>
      <c r="K325" s="69">
        <v>0</v>
      </c>
      <c r="L325" s="121">
        <f>$R325*M325</f>
        <v>0</v>
      </c>
      <c r="M325" s="69">
        <v>0</v>
      </c>
      <c r="N325" s="316">
        <f>$R325*O325</f>
        <v>0</v>
      </c>
      <c r="O325" s="69">
        <v>0</v>
      </c>
      <c r="P325" s="121">
        <f>$R325*Q325</f>
        <v>0</v>
      </c>
      <c r="Q325" s="69">
        <v>0</v>
      </c>
      <c r="R325" s="89">
        <f>'Terms and Turnovers'!AY61</f>
        <v>0</v>
      </c>
      <c r="S325" s="162">
        <f t="shared" si="28"/>
        <v>0</v>
      </c>
      <c r="T325" s="121">
        <f>$AF325*U325</f>
        <v>0</v>
      </c>
      <c r="U325" s="69">
        <v>0</v>
      </c>
      <c r="V325" s="121">
        <f>$AF325*W325</f>
        <v>0</v>
      </c>
      <c r="W325" s="69">
        <v>0</v>
      </c>
      <c r="X325" s="121">
        <f>$AF325*Y325</f>
        <v>0</v>
      </c>
      <c r="Y325" s="69">
        <v>0</v>
      </c>
      <c r="Z325" s="121">
        <f>$AF325*AA325</f>
        <v>0</v>
      </c>
      <c r="AA325" s="69">
        <v>0</v>
      </c>
      <c r="AB325" s="316">
        <f>$AF325*AC325</f>
        <v>0</v>
      </c>
      <c r="AC325" s="69">
        <v>0</v>
      </c>
      <c r="AD325" s="121">
        <f>$AF325*AE325</f>
        <v>0</v>
      </c>
      <c r="AE325" s="69">
        <v>0</v>
      </c>
      <c r="AF325" s="89">
        <f>'Terms and Turnovers'!BD61</f>
        <v>0</v>
      </c>
      <c r="AG325" s="162">
        <f t="shared" si="29"/>
        <v>0</v>
      </c>
      <c r="AH325" s="159">
        <f t="shared" si="30"/>
        <v>0</v>
      </c>
      <c r="AI325" s="137">
        <f t="shared" si="31"/>
        <v>0</v>
      </c>
      <c r="AJ325" s="65"/>
      <c r="AL325" s="461">
        <f>SUM(F325,H325,J325,L325,N325,P325,T325,V325,X325,Z325,AB325,AD325)</f>
        <v>0</v>
      </c>
      <c r="AM325" s="462">
        <f>AL325-AH325</f>
        <v>0</v>
      </c>
      <c r="AO325" s="692"/>
      <c r="AP325" s="692"/>
      <c r="AV325" s="56"/>
    </row>
    <row r="326" spans="1:48" ht="13.5" customHeight="1" outlineLevel="1" thickBot="1">
      <c r="A326" s="119"/>
      <c r="B326" s="82"/>
      <c r="C326" s="425"/>
      <c r="D326" s="425"/>
      <c r="E326" s="426"/>
      <c r="F326" s="427">
        <f>SUM(F321:F325)</f>
        <v>0</v>
      </c>
      <c r="G326" s="428"/>
      <c r="H326" s="427">
        <f>SUM(H321:H325)</f>
        <v>0</v>
      </c>
      <c r="I326" s="69"/>
      <c r="J326" s="427">
        <f>SUM(J321:J325)</f>
        <v>0</v>
      </c>
      <c r="K326" s="69"/>
      <c r="L326" s="427">
        <f>SUM(L321:L325)</f>
        <v>0</v>
      </c>
      <c r="M326" s="69"/>
      <c r="N326" s="427">
        <f>SUM(N321:N325)</f>
        <v>0</v>
      </c>
      <c r="O326" s="69"/>
      <c r="P326" s="427">
        <f>SUM(P321:P325)</f>
        <v>0</v>
      </c>
      <c r="Q326" s="69"/>
      <c r="R326" s="429"/>
      <c r="S326" s="430"/>
      <c r="T326" s="427">
        <f>SUM(T321:T325)</f>
        <v>0</v>
      </c>
      <c r="U326" s="428"/>
      <c r="V326" s="427">
        <f>SUM(V321:V325)</f>
        <v>0</v>
      </c>
      <c r="W326" s="69"/>
      <c r="X326" s="427">
        <f>SUM(X321:X325)</f>
        <v>0</v>
      </c>
      <c r="Y326" s="69"/>
      <c r="Z326" s="427">
        <f>SUM(Z321:Z325)</f>
        <v>0</v>
      </c>
      <c r="AA326" s="69"/>
      <c r="AB326" s="427">
        <f>SUM(AB321:AB325)</f>
        <v>0</v>
      </c>
      <c r="AC326" s="69"/>
      <c r="AD326" s="427">
        <f>SUM(AD321:AD325)</f>
        <v>0</v>
      </c>
      <c r="AE326" s="69"/>
      <c r="AF326" s="429"/>
      <c r="AG326" s="430"/>
      <c r="AH326" s="431"/>
      <c r="AI326" s="432"/>
      <c r="AJ326" s="65"/>
      <c r="AO326" s="692"/>
      <c r="AP326" s="692"/>
      <c r="AV326" s="56"/>
    </row>
    <row r="327" spans="1:48" ht="13.5" customHeight="1" outlineLevel="1" thickBot="1">
      <c r="A327" s="119"/>
      <c r="B327" s="82"/>
      <c r="C327" s="1098" t="s">
        <v>484</v>
      </c>
      <c r="D327" s="433">
        <f>D321</f>
        <v>0</v>
      </c>
      <c r="E327" s="426"/>
      <c r="F327" s="700"/>
      <c r="G327" s="428"/>
      <c r="H327" s="700"/>
      <c r="I327" s="69"/>
      <c r="J327" s="700"/>
      <c r="K327" s="69"/>
      <c r="L327" s="700"/>
      <c r="M327" s="69"/>
      <c r="N327" s="700"/>
      <c r="O327" s="69"/>
      <c r="P327" s="700"/>
      <c r="Q327" s="69"/>
      <c r="R327" s="429"/>
      <c r="S327" s="430"/>
      <c r="T327" s="700"/>
      <c r="U327" s="428">
        <f>Q326</f>
        <v>0</v>
      </c>
      <c r="V327" s="700"/>
      <c r="W327" s="69">
        <f>S326</f>
        <v>0</v>
      </c>
      <c r="X327" s="700"/>
      <c r="Y327" s="69">
        <f>U326</f>
        <v>0</v>
      </c>
      <c r="Z327" s="700"/>
      <c r="AA327" s="69">
        <f>W326</f>
        <v>0</v>
      </c>
      <c r="AB327" s="700"/>
      <c r="AC327" s="69">
        <f>Y326</f>
        <v>0</v>
      </c>
      <c r="AD327" s="700"/>
      <c r="AE327" s="69"/>
      <c r="AF327" s="429"/>
      <c r="AG327" s="430"/>
      <c r="AH327" s="431"/>
      <c r="AI327" s="432"/>
      <c r="AJ327" s="65"/>
      <c r="AN327" s="695"/>
      <c r="AO327" s="742"/>
      <c r="AP327" s="742"/>
      <c r="AQ327" s="694"/>
      <c r="AR327" s="696"/>
      <c r="AS327" s="716">
        <f>SUM(AL321:AL325)</f>
        <v>0</v>
      </c>
      <c r="AT327" s="461">
        <f>F327+H327+J327+L327+N327+P327+T327+V327+X327+Z327+AB327+AD327</f>
        <v>0</v>
      </c>
      <c r="AU327" s="745">
        <f>AT327-AS327</f>
        <v>0</v>
      </c>
    </row>
    <row r="328" spans="1:48" ht="12.75" customHeight="1" outlineLevel="1" thickBot="1">
      <c r="B328" s="82">
        <f>B321+1</f>
        <v>47</v>
      </c>
      <c r="C328" s="1230">
        <f>'Terms and Turnovers'!C62</f>
        <v>0</v>
      </c>
      <c r="D328" s="1230">
        <f>'Terms and Turnovers'!D62</f>
        <v>0</v>
      </c>
      <c r="E328" s="83" t="str">
        <f>'Terms and Turnovers'!$J$12</f>
        <v>FLIP-FLOPS</v>
      </c>
      <c r="F328" s="118">
        <f>$R328*G328</f>
        <v>0</v>
      </c>
      <c r="G328" s="69"/>
      <c r="H328" s="314">
        <f>$R328*I328</f>
        <v>0</v>
      </c>
      <c r="I328" s="69">
        <v>0</v>
      </c>
      <c r="J328" s="118">
        <f>$R328*K328</f>
        <v>0</v>
      </c>
      <c r="K328" s="69">
        <v>0</v>
      </c>
      <c r="L328" s="314">
        <f>$R328*M328</f>
        <v>0</v>
      </c>
      <c r="M328" s="69">
        <v>0</v>
      </c>
      <c r="N328" s="314">
        <f>$R328*O328</f>
        <v>0</v>
      </c>
      <c r="O328" s="69">
        <v>0</v>
      </c>
      <c r="P328" s="118">
        <f>$R328*Q328</f>
        <v>0</v>
      </c>
      <c r="Q328" s="69">
        <v>0</v>
      </c>
      <c r="R328" s="87">
        <f>'Terms and Turnovers'!K62</f>
        <v>0</v>
      </c>
      <c r="S328" s="160">
        <f t="shared" si="28"/>
        <v>0</v>
      </c>
      <c r="T328" s="118">
        <f>$AF328*U328</f>
        <v>0</v>
      </c>
      <c r="U328" s="69">
        <v>0</v>
      </c>
      <c r="V328" s="314">
        <f>$AF328*W328</f>
        <v>0</v>
      </c>
      <c r="W328" s="69">
        <v>0</v>
      </c>
      <c r="X328" s="118">
        <f>$AF328*Y328</f>
        <v>0</v>
      </c>
      <c r="Y328" s="69">
        <v>0</v>
      </c>
      <c r="Z328" s="314">
        <f>$AF328*AA328</f>
        <v>0</v>
      </c>
      <c r="AA328" s="69">
        <v>0</v>
      </c>
      <c r="AB328" s="314">
        <f>$AF328*AC328</f>
        <v>0</v>
      </c>
      <c r="AC328" s="69">
        <v>0</v>
      </c>
      <c r="AD328" s="118">
        <f>$AF328*AE328</f>
        <v>0</v>
      </c>
      <c r="AE328" s="69">
        <v>0</v>
      </c>
      <c r="AF328" s="87">
        <f>'Terms and Turnovers'!P62</f>
        <v>0</v>
      </c>
      <c r="AG328" s="160">
        <f t="shared" si="29"/>
        <v>0</v>
      </c>
      <c r="AH328" s="157">
        <f t="shared" si="30"/>
        <v>0</v>
      </c>
      <c r="AI328" s="131">
        <f t="shared" si="31"/>
        <v>0</v>
      </c>
      <c r="AJ328" s="65"/>
      <c r="AL328" s="461">
        <f>SUM(F328,H328,J328,L328,N328,P328,T328,V328,X328,Z328,AB328,AD328)</f>
        <v>0</v>
      </c>
      <c r="AM328" s="462">
        <f>AL328-AH328</f>
        <v>0</v>
      </c>
      <c r="AO328" s="692"/>
      <c r="AP328" s="692"/>
      <c r="AV328" s="56"/>
    </row>
    <row r="329" spans="1:48" ht="12.75" customHeight="1" outlineLevel="1" thickBot="1">
      <c r="B329" s="82"/>
      <c r="C329" s="1231"/>
      <c r="D329" s="1231"/>
      <c r="E329" s="84" t="str">
        <f>'Terms and Turnovers'!$T$12</f>
        <v>ORIGINALS</v>
      </c>
      <c r="F329" s="120">
        <f>$R329*G329</f>
        <v>0</v>
      </c>
      <c r="G329" s="723"/>
      <c r="H329" s="120">
        <f>$R329*I329</f>
        <v>0</v>
      </c>
      <c r="I329" s="69">
        <v>0</v>
      </c>
      <c r="J329" s="120">
        <f>$R329*K329</f>
        <v>0</v>
      </c>
      <c r="K329" s="69">
        <v>0</v>
      </c>
      <c r="L329" s="120">
        <f>$R329*M329</f>
        <v>0</v>
      </c>
      <c r="M329" s="69">
        <v>0</v>
      </c>
      <c r="N329" s="315">
        <f>$R329*O329</f>
        <v>0</v>
      </c>
      <c r="O329" s="69">
        <v>0</v>
      </c>
      <c r="P329" s="120">
        <f>$R329*Q329</f>
        <v>0</v>
      </c>
      <c r="Q329" s="69">
        <v>0</v>
      </c>
      <c r="R329" s="88">
        <f>'Terms and Turnovers'!U62</f>
        <v>0</v>
      </c>
      <c r="S329" s="161">
        <f t="shared" si="28"/>
        <v>0</v>
      </c>
      <c r="T329" s="120">
        <f>$AF329*U329</f>
        <v>0</v>
      </c>
      <c r="U329" s="69">
        <v>0</v>
      </c>
      <c r="V329" s="120">
        <f>$AF329*W329</f>
        <v>0</v>
      </c>
      <c r="W329" s="69">
        <v>0</v>
      </c>
      <c r="X329" s="120">
        <f>$AF329*Y329</f>
        <v>0</v>
      </c>
      <c r="Y329" s="69">
        <v>0</v>
      </c>
      <c r="Z329" s="120">
        <f>$AF329*AA329</f>
        <v>0</v>
      </c>
      <c r="AA329" s="69">
        <v>0</v>
      </c>
      <c r="AB329" s="315">
        <f>$AF329*AC329</f>
        <v>0</v>
      </c>
      <c r="AC329" s="69">
        <v>0</v>
      </c>
      <c r="AD329" s="120">
        <f>$AF329*AE329</f>
        <v>0</v>
      </c>
      <c r="AE329" s="69">
        <v>0</v>
      </c>
      <c r="AF329" s="88">
        <f>'Terms and Turnovers'!Z62</f>
        <v>0</v>
      </c>
      <c r="AG329" s="161">
        <f t="shared" si="29"/>
        <v>0</v>
      </c>
      <c r="AH329" s="158">
        <f t="shared" si="30"/>
        <v>0</v>
      </c>
      <c r="AI329" s="134">
        <f t="shared" si="31"/>
        <v>0</v>
      </c>
      <c r="AJ329" s="65"/>
      <c r="AL329" s="461">
        <f>SUM(F329,H329,J329,L329,N329,P329,T329,V329,X329,Z329,AB329,AD329)</f>
        <v>0</v>
      </c>
      <c r="AM329" s="462">
        <f>AL329-AH329</f>
        <v>0</v>
      </c>
      <c r="AO329" s="692"/>
      <c r="AP329" s="692"/>
      <c r="AV329" s="56"/>
    </row>
    <row r="330" spans="1:48" ht="12.75" customHeight="1" outlineLevel="1" thickBot="1">
      <c r="B330" s="82"/>
      <c r="C330" s="1231"/>
      <c r="D330" s="1231"/>
      <c r="E330" s="84" t="str">
        <f>'Terms and Turnovers'!$AD$12</f>
        <v>ACCESSORIES</v>
      </c>
      <c r="F330" s="120">
        <f>$R330*G330</f>
        <v>0</v>
      </c>
      <c r="G330" s="723"/>
      <c r="H330" s="120">
        <f>$R330*I330</f>
        <v>0</v>
      </c>
      <c r="I330" s="69">
        <v>0</v>
      </c>
      <c r="J330" s="120">
        <f>$R330*K330</f>
        <v>0</v>
      </c>
      <c r="K330" s="69">
        <v>0</v>
      </c>
      <c r="L330" s="120">
        <f>$R330*M330</f>
        <v>0</v>
      </c>
      <c r="M330" s="69">
        <v>0</v>
      </c>
      <c r="N330" s="315">
        <f>$R330*O330</f>
        <v>0</v>
      </c>
      <c r="O330" s="69">
        <v>0</v>
      </c>
      <c r="P330" s="120">
        <f>$R330*Q330</f>
        <v>0</v>
      </c>
      <c r="Q330" s="69">
        <v>0</v>
      </c>
      <c r="R330" s="88">
        <f>'Terms and Turnovers'!AE62</f>
        <v>0</v>
      </c>
      <c r="S330" s="161">
        <f t="shared" si="28"/>
        <v>0</v>
      </c>
      <c r="T330" s="120">
        <f>$AF330*U330</f>
        <v>0</v>
      </c>
      <c r="U330" s="69">
        <v>0</v>
      </c>
      <c r="V330" s="120">
        <f>$AF330*W330</f>
        <v>0</v>
      </c>
      <c r="W330" s="69">
        <v>0</v>
      </c>
      <c r="X330" s="120">
        <f>$AF330*Y330</f>
        <v>0</v>
      </c>
      <c r="Y330" s="69">
        <v>0</v>
      </c>
      <c r="Z330" s="120">
        <f>$AF330*AA330</f>
        <v>0</v>
      </c>
      <c r="AA330" s="69">
        <v>0</v>
      </c>
      <c r="AB330" s="315">
        <f>$AF330*AC330</f>
        <v>0</v>
      </c>
      <c r="AC330" s="69">
        <v>0</v>
      </c>
      <c r="AD330" s="120">
        <f>$AF330*AE330</f>
        <v>0</v>
      </c>
      <c r="AE330" s="69">
        <v>0</v>
      </c>
      <c r="AF330" s="88">
        <f>'Terms and Turnovers'!AJ62</f>
        <v>0</v>
      </c>
      <c r="AG330" s="161">
        <f t="shared" si="29"/>
        <v>0</v>
      </c>
      <c r="AH330" s="158">
        <f t="shared" si="30"/>
        <v>0</v>
      </c>
      <c r="AI330" s="134">
        <f t="shared" si="31"/>
        <v>0</v>
      </c>
      <c r="AJ330" s="65"/>
      <c r="AL330" s="461">
        <f>SUM(F330,H330,J330,L330,N330,P330,T330,V330,X330,Z330,AB330,AD330)</f>
        <v>0</v>
      </c>
      <c r="AM330" s="462">
        <f>AL330-AH330</f>
        <v>0</v>
      </c>
      <c r="AO330" s="692"/>
      <c r="AP330" s="692"/>
      <c r="AV330" s="56"/>
    </row>
    <row r="331" spans="1:48" ht="12.75" customHeight="1" outlineLevel="1" thickBot="1">
      <c r="B331" s="82"/>
      <c r="C331" s="1231"/>
      <c r="D331" s="1231"/>
      <c r="E331" s="84">
        <f>'Terms and Turnovers'!$AN$12</f>
        <v>0</v>
      </c>
      <c r="F331" s="120">
        <f>$R331*G331</f>
        <v>0</v>
      </c>
      <c r="G331" s="723"/>
      <c r="H331" s="120">
        <f>$R331*I331</f>
        <v>0</v>
      </c>
      <c r="I331" s="69">
        <v>0</v>
      </c>
      <c r="J331" s="120">
        <f>$R331*K331</f>
        <v>0</v>
      </c>
      <c r="K331" s="69">
        <v>0</v>
      </c>
      <c r="L331" s="120">
        <f>$R331*M331</f>
        <v>0</v>
      </c>
      <c r="M331" s="69">
        <v>0</v>
      </c>
      <c r="N331" s="315">
        <f>$R331*O331</f>
        <v>0</v>
      </c>
      <c r="O331" s="69">
        <v>0</v>
      </c>
      <c r="P331" s="120">
        <f>$R331*Q331</f>
        <v>0</v>
      </c>
      <c r="Q331" s="69">
        <v>0</v>
      </c>
      <c r="R331" s="88">
        <f>'Terms and Turnovers'!AO62</f>
        <v>0</v>
      </c>
      <c r="S331" s="161">
        <f t="shared" si="28"/>
        <v>0</v>
      </c>
      <c r="T331" s="120">
        <f>$AF331*U331</f>
        <v>0</v>
      </c>
      <c r="U331" s="69">
        <v>0</v>
      </c>
      <c r="V331" s="120">
        <f>$AF331*W331</f>
        <v>0</v>
      </c>
      <c r="W331" s="69">
        <v>0</v>
      </c>
      <c r="X331" s="120">
        <f>$AF331*Y331</f>
        <v>0</v>
      </c>
      <c r="Y331" s="69">
        <v>0</v>
      </c>
      <c r="Z331" s="120">
        <f>$AF331*AA331</f>
        <v>0</v>
      </c>
      <c r="AA331" s="69">
        <v>0</v>
      </c>
      <c r="AB331" s="315">
        <f>$AF331*AC331</f>
        <v>0</v>
      </c>
      <c r="AC331" s="69">
        <v>0</v>
      </c>
      <c r="AD331" s="120">
        <f>$AF331*AE331</f>
        <v>0</v>
      </c>
      <c r="AE331" s="69">
        <v>0</v>
      </c>
      <c r="AF331" s="88">
        <f>'Terms and Turnovers'!AT62</f>
        <v>0</v>
      </c>
      <c r="AG331" s="161">
        <f t="shared" si="29"/>
        <v>0</v>
      </c>
      <c r="AH331" s="158">
        <f t="shared" si="30"/>
        <v>0</v>
      </c>
      <c r="AI331" s="134">
        <f t="shared" si="31"/>
        <v>0</v>
      </c>
      <c r="AJ331" s="65"/>
      <c r="AL331" s="461">
        <f>SUM(F331,H331,J331,L331,N331,P331,T331,V331,X331,Z331,AB331,AD331)</f>
        <v>0</v>
      </c>
      <c r="AM331" s="462">
        <f>AL331-AH331</f>
        <v>0</v>
      </c>
      <c r="AO331" s="692"/>
      <c r="AP331" s="692"/>
      <c r="AV331" s="56"/>
    </row>
    <row r="332" spans="1:48" ht="13.5" customHeight="1" outlineLevel="1" thickBot="1">
      <c r="B332" s="82"/>
      <c r="C332" s="1232"/>
      <c r="D332" s="1232"/>
      <c r="E332" s="85">
        <f>'Terms and Turnovers'!$AX$12</f>
        <v>0</v>
      </c>
      <c r="F332" s="121">
        <f>$R332*G332</f>
        <v>0</v>
      </c>
      <c r="G332" s="72"/>
      <c r="H332" s="121">
        <f>$R332*I332</f>
        <v>0</v>
      </c>
      <c r="I332" s="69">
        <v>0</v>
      </c>
      <c r="J332" s="121">
        <f>$R332*K332</f>
        <v>0</v>
      </c>
      <c r="K332" s="69">
        <v>0</v>
      </c>
      <c r="L332" s="121">
        <f>$R332*M332</f>
        <v>0</v>
      </c>
      <c r="M332" s="69">
        <v>0</v>
      </c>
      <c r="N332" s="316">
        <f>$R332*O332</f>
        <v>0</v>
      </c>
      <c r="O332" s="69">
        <v>0</v>
      </c>
      <c r="P332" s="121">
        <f>$R332*Q332</f>
        <v>0</v>
      </c>
      <c r="Q332" s="69">
        <v>0</v>
      </c>
      <c r="R332" s="89">
        <f>'Terms and Turnovers'!AY62</f>
        <v>0</v>
      </c>
      <c r="S332" s="162">
        <f t="shared" si="28"/>
        <v>0</v>
      </c>
      <c r="T332" s="121">
        <f>$AF332*U332</f>
        <v>0</v>
      </c>
      <c r="U332" s="69">
        <v>0</v>
      </c>
      <c r="V332" s="121">
        <f>$AF332*W332</f>
        <v>0</v>
      </c>
      <c r="W332" s="69">
        <v>0</v>
      </c>
      <c r="X332" s="121">
        <f>$AF332*Y332</f>
        <v>0</v>
      </c>
      <c r="Y332" s="69">
        <v>0</v>
      </c>
      <c r="Z332" s="121">
        <f>$AF332*AA332</f>
        <v>0</v>
      </c>
      <c r="AA332" s="69">
        <v>0</v>
      </c>
      <c r="AB332" s="316">
        <f>$AF332*AC332</f>
        <v>0</v>
      </c>
      <c r="AC332" s="69">
        <v>0</v>
      </c>
      <c r="AD332" s="121">
        <f>$AF332*AE332</f>
        <v>0</v>
      </c>
      <c r="AE332" s="69">
        <v>0</v>
      </c>
      <c r="AF332" s="89">
        <f>'Terms and Turnovers'!BD62</f>
        <v>0</v>
      </c>
      <c r="AG332" s="162">
        <f t="shared" si="29"/>
        <v>0</v>
      </c>
      <c r="AH332" s="159">
        <f t="shared" si="30"/>
        <v>0</v>
      </c>
      <c r="AI332" s="137">
        <f t="shared" si="31"/>
        <v>0</v>
      </c>
      <c r="AJ332" s="65"/>
      <c r="AL332" s="461">
        <f>SUM(F332,H332,J332,L332,N332,P332,T332,V332,X332,Z332,AB332,AD332)</f>
        <v>0</v>
      </c>
      <c r="AM332" s="462">
        <f>AL332-AH332</f>
        <v>0</v>
      </c>
      <c r="AO332" s="692"/>
      <c r="AP332" s="692"/>
      <c r="AV332" s="56"/>
    </row>
    <row r="333" spans="1:48" ht="13.5" customHeight="1" outlineLevel="1" thickBot="1">
      <c r="A333" s="119"/>
      <c r="B333" s="82"/>
      <c r="C333" s="425"/>
      <c r="D333" s="425"/>
      <c r="E333" s="426"/>
      <c r="F333" s="427">
        <f>SUM(F328:F332)</f>
        <v>0</v>
      </c>
      <c r="G333" s="428"/>
      <c r="H333" s="427">
        <f>SUM(H328:H332)</f>
        <v>0</v>
      </c>
      <c r="I333" s="69"/>
      <c r="J333" s="427">
        <f>SUM(J328:J332)</f>
        <v>0</v>
      </c>
      <c r="K333" s="69"/>
      <c r="L333" s="427">
        <f>SUM(L328:L332)</f>
        <v>0</v>
      </c>
      <c r="M333" s="69"/>
      <c r="N333" s="427">
        <f>SUM(N328:N332)</f>
        <v>0</v>
      </c>
      <c r="O333" s="69"/>
      <c r="P333" s="427">
        <f>SUM(P328:P332)</f>
        <v>0</v>
      </c>
      <c r="Q333" s="69"/>
      <c r="R333" s="429"/>
      <c r="S333" s="430"/>
      <c r="T333" s="427">
        <f>SUM(T328:T332)</f>
        <v>0</v>
      </c>
      <c r="U333" s="428"/>
      <c r="V333" s="427">
        <f>SUM(V328:V332)</f>
        <v>0</v>
      </c>
      <c r="W333" s="69"/>
      <c r="X333" s="427">
        <f>SUM(X328:X332)</f>
        <v>0</v>
      </c>
      <c r="Y333" s="69"/>
      <c r="Z333" s="427">
        <f>SUM(Z328:Z332)</f>
        <v>0</v>
      </c>
      <c r="AA333" s="69"/>
      <c r="AB333" s="427">
        <f>SUM(AB328:AB332)</f>
        <v>0</v>
      </c>
      <c r="AC333" s="69"/>
      <c r="AD333" s="427">
        <f>SUM(AD328:AD332)</f>
        <v>0</v>
      </c>
      <c r="AE333" s="69"/>
      <c r="AF333" s="429"/>
      <c r="AG333" s="430"/>
      <c r="AH333" s="431"/>
      <c r="AI333" s="432"/>
      <c r="AJ333" s="65"/>
      <c r="AO333" s="692"/>
      <c r="AP333" s="692"/>
      <c r="AV333" s="56"/>
    </row>
    <row r="334" spans="1:48" ht="13.5" customHeight="1" outlineLevel="1" thickBot="1">
      <c r="A334" s="119"/>
      <c r="B334" s="82"/>
      <c r="C334" s="1098" t="s">
        <v>484</v>
      </c>
      <c r="D334" s="433">
        <f>D328</f>
        <v>0</v>
      </c>
      <c r="E334" s="426"/>
      <c r="F334" s="700"/>
      <c r="G334" s="428"/>
      <c r="H334" s="700"/>
      <c r="I334" s="69"/>
      <c r="J334" s="700"/>
      <c r="K334" s="69"/>
      <c r="L334" s="700"/>
      <c r="M334" s="69"/>
      <c r="N334" s="700"/>
      <c r="O334" s="69"/>
      <c r="P334" s="700"/>
      <c r="Q334" s="69"/>
      <c r="R334" s="429"/>
      <c r="S334" s="430"/>
      <c r="T334" s="700"/>
      <c r="U334" s="428">
        <f>Q333</f>
        <v>0</v>
      </c>
      <c r="V334" s="700"/>
      <c r="W334" s="69">
        <f>S333</f>
        <v>0</v>
      </c>
      <c r="X334" s="700"/>
      <c r="Y334" s="69">
        <f>U333</f>
        <v>0</v>
      </c>
      <c r="Z334" s="700"/>
      <c r="AA334" s="69">
        <f>W333</f>
        <v>0</v>
      </c>
      <c r="AB334" s="700"/>
      <c r="AC334" s="69">
        <f>Y333</f>
        <v>0</v>
      </c>
      <c r="AD334" s="700"/>
      <c r="AE334" s="69"/>
      <c r="AF334" s="429"/>
      <c r="AG334" s="430"/>
      <c r="AH334" s="431"/>
      <c r="AI334" s="432"/>
      <c r="AJ334" s="65"/>
      <c r="AN334" s="695">
        <v>0</v>
      </c>
      <c r="AO334" s="742"/>
      <c r="AP334" s="742"/>
      <c r="AS334" s="716">
        <f>SUM(AL328:AL332)</f>
        <v>0</v>
      </c>
      <c r="AT334" s="461">
        <f>F334+H334+J334+L334+N334+P334+T334+V334+X334+Z334+AB334+AD334</f>
        <v>0</v>
      </c>
      <c r="AU334" s="745">
        <f>AT334-AS334</f>
        <v>0</v>
      </c>
    </row>
    <row r="335" spans="1:48" ht="12.75" customHeight="1" outlineLevel="1" thickBot="1">
      <c r="B335" s="82">
        <f>B328+1</f>
        <v>48</v>
      </c>
      <c r="C335" s="1230">
        <f>'Terms and Turnovers'!C63</f>
        <v>0</v>
      </c>
      <c r="D335" s="1230">
        <f>'Terms and Turnovers'!D63</f>
        <v>0</v>
      </c>
      <c r="E335" s="83" t="str">
        <f>'Terms and Turnovers'!$J$12</f>
        <v>FLIP-FLOPS</v>
      </c>
      <c r="F335" s="118">
        <f>$R335*G335</f>
        <v>0</v>
      </c>
      <c r="G335" s="69"/>
      <c r="H335" s="314">
        <f>$R335*I335</f>
        <v>0</v>
      </c>
      <c r="I335" s="69">
        <v>0</v>
      </c>
      <c r="J335" s="118">
        <f>$R335*K335</f>
        <v>0</v>
      </c>
      <c r="K335" s="69">
        <v>0</v>
      </c>
      <c r="L335" s="314">
        <f>$R335*M335</f>
        <v>0</v>
      </c>
      <c r="M335" s="69">
        <v>0</v>
      </c>
      <c r="N335" s="314">
        <f>$R335*O335</f>
        <v>0</v>
      </c>
      <c r="O335" s="69">
        <v>0</v>
      </c>
      <c r="P335" s="118">
        <f>$R335*Q335</f>
        <v>0</v>
      </c>
      <c r="Q335" s="69">
        <v>0</v>
      </c>
      <c r="R335" s="87">
        <f>'Terms and Turnovers'!K63</f>
        <v>0</v>
      </c>
      <c r="S335" s="160">
        <f t="shared" si="28"/>
        <v>0</v>
      </c>
      <c r="T335" s="118">
        <f>$AF335*U335</f>
        <v>0</v>
      </c>
      <c r="U335" s="69">
        <v>0</v>
      </c>
      <c r="V335" s="314">
        <f>$AF335*W335</f>
        <v>0</v>
      </c>
      <c r="W335" s="69">
        <v>0</v>
      </c>
      <c r="X335" s="118">
        <f>$AF335*Y335</f>
        <v>0</v>
      </c>
      <c r="Y335" s="69">
        <v>0</v>
      </c>
      <c r="Z335" s="314">
        <f>$AF335*AA335</f>
        <v>0</v>
      </c>
      <c r="AA335" s="69">
        <v>0</v>
      </c>
      <c r="AB335" s="314">
        <f>$AF335*AC335</f>
        <v>0</v>
      </c>
      <c r="AC335" s="69">
        <v>0</v>
      </c>
      <c r="AD335" s="118">
        <f>$AF335*AE335</f>
        <v>0</v>
      </c>
      <c r="AE335" s="69">
        <v>0</v>
      </c>
      <c r="AF335" s="87">
        <f>'Terms and Turnovers'!P63</f>
        <v>0</v>
      </c>
      <c r="AG335" s="160">
        <f t="shared" si="29"/>
        <v>0</v>
      </c>
      <c r="AH335" s="157">
        <f t="shared" si="30"/>
        <v>0</v>
      </c>
      <c r="AI335" s="131">
        <f t="shared" si="31"/>
        <v>0</v>
      </c>
      <c r="AJ335" s="65"/>
      <c r="AL335" s="461">
        <f>SUM(F335,H335,J335,L335,N335,P335,T335,V335,X335,Z335,AB335,AD335)</f>
        <v>0</v>
      </c>
      <c r="AM335" s="462">
        <f>AL335-AH335</f>
        <v>0</v>
      </c>
      <c r="AO335" s="692"/>
      <c r="AP335" s="692"/>
      <c r="AV335" s="56"/>
    </row>
    <row r="336" spans="1:48" ht="12.75" customHeight="1" outlineLevel="1" thickBot="1">
      <c r="B336" s="82"/>
      <c r="C336" s="1231"/>
      <c r="D336" s="1231"/>
      <c r="E336" s="84" t="str">
        <f>'Terms and Turnovers'!$T$12</f>
        <v>ORIGINALS</v>
      </c>
      <c r="F336" s="120">
        <f>$R336*G336</f>
        <v>0</v>
      </c>
      <c r="G336" s="723"/>
      <c r="H336" s="120">
        <f>$R336*I336</f>
        <v>0</v>
      </c>
      <c r="I336" s="69">
        <v>0</v>
      </c>
      <c r="J336" s="120">
        <f>$R336*K336</f>
        <v>0</v>
      </c>
      <c r="K336" s="69">
        <v>0</v>
      </c>
      <c r="L336" s="120">
        <f>$R336*M336</f>
        <v>0</v>
      </c>
      <c r="M336" s="69">
        <v>0</v>
      </c>
      <c r="N336" s="315">
        <f>$R336*O336</f>
        <v>0</v>
      </c>
      <c r="O336" s="69">
        <v>0</v>
      </c>
      <c r="P336" s="120">
        <f>$R336*Q336</f>
        <v>0</v>
      </c>
      <c r="Q336" s="69">
        <v>0</v>
      </c>
      <c r="R336" s="88">
        <f>'Terms and Turnovers'!U63</f>
        <v>0</v>
      </c>
      <c r="S336" s="161">
        <f t="shared" si="28"/>
        <v>0</v>
      </c>
      <c r="T336" s="120">
        <f>$AF336*U336</f>
        <v>0</v>
      </c>
      <c r="U336" s="69">
        <v>0</v>
      </c>
      <c r="V336" s="120">
        <f>$AF336*W336</f>
        <v>0</v>
      </c>
      <c r="W336" s="69">
        <v>0</v>
      </c>
      <c r="X336" s="120">
        <f>$AF336*Y336</f>
        <v>0</v>
      </c>
      <c r="Y336" s="69">
        <v>0</v>
      </c>
      <c r="Z336" s="120">
        <f>$AF336*AA336</f>
        <v>0</v>
      </c>
      <c r="AA336" s="69">
        <v>0</v>
      </c>
      <c r="AB336" s="315">
        <f>$AF336*AC336</f>
        <v>0</v>
      </c>
      <c r="AC336" s="69">
        <v>0</v>
      </c>
      <c r="AD336" s="120">
        <f>$AF336*AE336</f>
        <v>0</v>
      </c>
      <c r="AE336" s="69">
        <v>0</v>
      </c>
      <c r="AF336" s="88">
        <f>'Terms and Turnovers'!Z63</f>
        <v>0</v>
      </c>
      <c r="AG336" s="161">
        <f t="shared" si="29"/>
        <v>0</v>
      </c>
      <c r="AH336" s="158">
        <f t="shared" si="30"/>
        <v>0</v>
      </c>
      <c r="AI336" s="134">
        <f t="shared" si="31"/>
        <v>0</v>
      </c>
      <c r="AJ336" s="65"/>
      <c r="AL336" s="461">
        <f>SUM(F336,H336,J336,L336,N336,P336,T336,V336,X336,Z336,AB336,AD336)</f>
        <v>0</v>
      </c>
      <c r="AM336" s="462">
        <f>AL336-AH336</f>
        <v>0</v>
      </c>
      <c r="AO336" s="692"/>
      <c r="AP336" s="692"/>
      <c r="AV336" s="56"/>
    </row>
    <row r="337" spans="1:48" ht="12.75" customHeight="1" outlineLevel="1" thickBot="1">
      <c r="B337" s="82"/>
      <c r="C337" s="1231"/>
      <c r="D337" s="1231"/>
      <c r="E337" s="84" t="str">
        <f>'Terms and Turnovers'!$AD$12</f>
        <v>ACCESSORIES</v>
      </c>
      <c r="F337" s="120">
        <f>$R337*G337</f>
        <v>0</v>
      </c>
      <c r="G337" s="723"/>
      <c r="H337" s="120">
        <f>$R337*I337</f>
        <v>0</v>
      </c>
      <c r="I337" s="69">
        <v>0</v>
      </c>
      <c r="J337" s="120">
        <f>$R337*K337</f>
        <v>0</v>
      </c>
      <c r="K337" s="69">
        <v>0</v>
      </c>
      <c r="L337" s="120">
        <f>$R337*M337</f>
        <v>0</v>
      </c>
      <c r="M337" s="69">
        <v>0</v>
      </c>
      <c r="N337" s="315">
        <f>$R337*O337</f>
        <v>0</v>
      </c>
      <c r="O337" s="69">
        <v>0</v>
      </c>
      <c r="P337" s="120">
        <f>$R337*Q337</f>
        <v>0</v>
      </c>
      <c r="Q337" s="69">
        <v>0</v>
      </c>
      <c r="R337" s="88">
        <f>'Terms and Turnovers'!AE63</f>
        <v>0</v>
      </c>
      <c r="S337" s="161">
        <f t="shared" si="28"/>
        <v>0</v>
      </c>
      <c r="T337" s="120">
        <f>$AF337*U337</f>
        <v>0</v>
      </c>
      <c r="U337" s="69">
        <v>0</v>
      </c>
      <c r="V337" s="120">
        <f>$AF337*W337</f>
        <v>0</v>
      </c>
      <c r="W337" s="69">
        <v>0</v>
      </c>
      <c r="X337" s="120">
        <f>$AF337*Y337</f>
        <v>0</v>
      </c>
      <c r="Y337" s="69">
        <v>0</v>
      </c>
      <c r="Z337" s="120">
        <f>$AF337*AA337</f>
        <v>0</v>
      </c>
      <c r="AA337" s="69">
        <v>0</v>
      </c>
      <c r="AB337" s="315">
        <f>$AF337*AC337</f>
        <v>0</v>
      </c>
      <c r="AC337" s="69">
        <v>0</v>
      </c>
      <c r="AD337" s="120">
        <f>$AF337*AE337</f>
        <v>0</v>
      </c>
      <c r="AE337" s="69">
        <v>0</v>
      </c>
      <c r="AF337" s="88">
        <f>'Terms and Turnovers'!AJ63</f>
        <v>0</v>
      </c>
      <c r="AG337" s="161">
        <f t="shared" si="29"/>
        <v>0</v>
      </c>
      <c r="AH337" s="158">
        <f t="shared" si="30"/>
        <v>0</v>
      </c>
      <c r="AI337" s="134">
        <f t="shared" si="31"/>
        <v>0</v>
      </c>
      <c r="AJ337" s="65"/>
      <c r="AL337" s="461">
        <f>SUM(F337,H337,J337,L337,N337,P337,T337,V337,X337,Z337,AB337,AD337)</f>
        <v>0</v>
      </c>
      <c r="AM337" s="462">
        <f>AL337-AH337</f>
        <v>0</v>
      </c>
      <c r="AO337" s="692"/>
      <c r="AP337" s="692"/>
      <c r="AV337" s="56"/>
    </row>
    <row r="338" spans="1:48" ht="12.75" customHeight="1" outlineLevel="1" thickBot="1">
      <c r="B338" s="82"/>
      <c r="C338" s="1231"/>
      <c r="D338" s="1231"/>
      <c r="E338" s="84">
        <f>'Terms and Turnovers'!$AN$12</f>
        <v>0</v>
      </c>
      <c r="F338" s="120">
        <f>$R338*G338</f>
        <v>0</v>
      </c>
      <c r="G338" s="723"/>
      <c r="H338" s="120">
        <f>$R338*I338</f>
        <v>0</v>
      </c>
      <c r="I338" s="69">
        <v>0</v>
      </c>
      <c r="J338" s="120">
        <f>$R338*K338</f>
        <v>0</v>
      </c>
      <c r="K338" s="69">
        <v>0</v>
      </c>
      <c r="L338" s="120">
        <f>$R338*M338</f>
        <v>0</v>
      </c>
      <c r="M338" s="69">
        <v>0</v>
      </c>
      <c r="N338" s="315">
        <f>$R338*O338</f>
        <v>0</v>
      </c>
      <c r="O338" s="69">
        <v>0</v>
      </c>
      <c r="P338" s="120">
        <f>$R338*Q338</f>
        <v>0</v>
      </c>
      <c r="Q338" s="69">
        <v>0</v>
      </c>
      <c r="R338" s="88">
        <f>'Terms and Turnovers'!AO63</f>
        <v>0</v>
      </c>
      <c r="S338" s="161">
        <f t="shared" si="28"/>
        <v>0</v>
      </c>
      <c r="T338" s="120">
        <f>$AF338*U338</f>
        <v>0</v>
      </c>
      <c r="U338" s="69">
        <v>0</v>
      </c>
      <c r="V338" s="120">
        <f>$AF338*W338</f>
        <v>0</v>
      </c>
      <c r="W338" s="69">
        <v>0</v>
      </c>
      <c r="X338" s="120">
        <f>$AF338*Y338</f>
        <v>0</v>
      </c>
      <c r="Y338" s="69">
        <v>0</v>
      </c>
      <c r="Z338" s="120">
        <f>$AF338*AA338</f>
        <v>0</v>
      </c>
      <c r="AA338" s="69">
        <v>0</v>
      </c>
      <c r="AB338" s="315">
        <f>$AF338*AC338</f>
        <v>0</v>
      </c>
      <c r="AC338" s="69">
        <v>0</v>
      </c>
      <c r="AD338" s="120">
        <f>$AF338*AE338</f>
        <v>0</v>
      </c>
      <c r="AE338" s="69">
        <v>0</v>
      </c>
      <c r="AF338" s="88">
        <f>'Terms and Turnovers'!AT63</f>
        <v>0</v>
      </c>
      <c r="AG338" s="161">
        <f t="shared" si="29"/>
        <v>0</v>
      </c>
      <c r="AH338" s="158">
        <f t="shared" si="30"/>
        <v>0</v>
      </c>
      <c r="AI338" s="134">
        <f t="shared" si="31"/>
        <v>0</v>
      </c>
      <c r="AJ338" s="65"/>
      <c r="AL338" s="461">
        <f>SUM(F338,H338,J338,L338,N338,P338,T338,V338,X338,Z338,AB338,AD338)</f>
        <v>0</v>
      </c>
      <c r="AM338" s="462">
        <f>AL338-AH338</f>
        <v>0</v>
      </c>
      <c r="AO338" s="692"/>
      <c r="AP338" s="692"/>
      <c r="AV338" s="56"/>
    </row>
    <row r="339" spans="1:48" ht="13.5" customHeight="1" outlineLevel="1" thickBot="1">
      <c r="B339" s="82"/>
      <c r="C339" s="1232"/>
      <c r="D339" s="1232"/>
      <c r="E339" s="85">
        <f>'Terms and Turnovers'!$AX$12</f>
        <v>0</v>
      </c>
      <c r="F339" s="121">
        <f>$R339*G339</f>
        <v>0</v>
      </c>
      <c r="G339" s="72"/>
      <c r="H339" s="121">
        <f>$R339*I339</f>
        <v>0</v>
      </c>
      <c r="I339" s="69">
        <v>0</v>
      </c>
      <c r="J339" s="121">
        <f>$R339*K339</f>
        <v>0</v>
      </c>
      <c r="K339" s="69">
        <v>0</v>
      </c>
      <c r="L339" s="121">
        <f>$R339*M339</f>
        <v>0</v>
      </c>
      <c r="M339" s="69">
        <v>0</v>
      </c>
      <c r="N339" s="316">
        <f>$R339*O339</f>
        <v>0</v>
      </c>
      <c r="O339" s="69">
        <v>0</v>
      </c>
      <c r="P339" s="121">
        <f>$R339*Q339</f>
        <v>0</v>
      </c>
      <c r="Q339" s="69">
        <v>0</v>
      </c>
      <c r="R339" s="89">
        <f>'Terms and Turnovers'!AY63</f>
        <v>0</v>
      </c>
      <c r="S339" s="162">
        <f t="shared" si="28"/>
        <v>0</v>
      </c>
      <c r="T339" s="121">
        <f>$AF339*U339</f>
        <v>0</v>
      </c>
      <c r="U339" s="69">
        <v>0</v>
      </c>
      <c r="V339" s="121">
        <f>$AF339*W339</f>
        <v>0</v>
      </c>
      <c r="W339" s="69">
        <v>0</v>
      </c>
      <c r="X339" s="121">
        <f>$AF339*Y339</f>
        <v>0</v>
      </c>
      <c r="Y339" s="69">
        <v>0</v>
      </c>
      <c r="Z339" s="121">
        <f>$AF339*AA339</f>
        <v>0</v>
      </c>
      <c r="AA339" s="69">
        <v>0</v>
      </c>
      <c r="AB339" s="316">
        <f>$AF339*AC339</f>
        <v>0</v>
      </c>
      <c r="AC339" s="69">
        <v>0</v>
      </c>
      <c r="AD339" s="121">
        <f>$AF339*AE339</f>
        <v>0</v>
      </c>
      <c r="AE339" s="69">
        <v>0</v>
      </c>
      <c r="AF339" s="89">
        <f>'Terms and Turnovers'!BD63</f>
        <v>0</v>
      </c>
      <c r="AG339" s="162">
        <f t="shared" si="29"/>
        <v>0</v>
      </c>
      <c r="AH339" s="159">
        <f t="shared" si="30"/>
        <v>0</v>
      </c>
      <c r="AI339" s="137">
        <f t="shared" si="31"/>
        <v>0</v>
      </c>
      <c r="AJ339" s="65"/>
      <c r="AL339" s="461">
        <f>SUM(F339,H339,J339,L339,N339,P339,T339,V339,X339,Z339,AB339,AD339)</f>
        <v>0</v>
      </c>
      <c r="AM339" s="462">
        <f>AL339-AH339</f>
        <v>0</v>
      </c>
      <c r="AO339" s="692"/>
      <c r="AP339" s="692"/>
      <c r="AV339" s="56"/>
    </row>
    <row r="340" spans="1:48" ht="13.5" customHeight="1" outlineLevel="1" thickBot="1">
      <c r="A340" s="119"/>
      <c r="B340" s="82"/>
      <c r="C340" s="425"/>
      <c r="D340" s="425"/>
      <c r="E340" s="426"/>
      <c r="F340" s="427">
        <f>SUM(F335:F339)</f>
        <v>0</v>
      </c>
      <c r="G340" s="428"/>
      <c r="H340" s="427">
        <f>SUM(H335:H339)</f>
        <v>0</v>
      </c>
      <c r="I340" s="69"/>
      <c r="J340" s="427">
        <f>SUM(J335:J339)</f>
        <v>0</v>
      </c>
      <c r="K340" s="69"/>
      <c r="L340" s="427">
        <f>SUM(L335:L339)</f>
        <v>0</v>
      </c>
      <c r="M340" s="69"/>
      <c r="N340" s="427">
        <f>SUM(N335:N339)</f>
        <v>0</v>
      </c>
      <c r="O340" s="69"/>
      <c r="P340" s="427">
        <f>SUM(P335:P339)</f>
        <v>0</v>
      </c>
      <c r="Q340" s="69"/>
      <c r="R340" s="429"/>
      <c r="S340" s="430"/>
      <c r="T340" s="427">
        <f>SUM(T335:T339)</f>
        <v>0</v>
      </c>
      <c r="U340" s="428"/>
      <c r="V340" s="427">
        <f>SUM(V335:V339)</f>
        <v>0</v>
      </c>
      <c r="W340" s="69"/>
      <c r="X340" s="427">
        <f>SUM(X335:X339)</f>
        <v>0</v>
      </c>
      <c r="Y340" s="69"/>
      <c r="Z340" s="427">
        <f>SUM(Z335:Z339)</f>
        <v>0</v>
      </c>
      <c r="AA340" s="69"/>
      <c r="AB340" s="427">
        <f>SUM(AB335:AB339)</f>
        <v>0</v>
      </c>
      <c r="AC340" s="69"/>
      <c r="AD340" s="427">
        <f>SUM(AD335:AD339)</f>
        <v>0</v>
      </c>
      <c r="AE340" s="69"/>
      <c r="AF340" s="429"/>
      <c r="AG340" s="430"/>
      <c r="AH340" s="431"/>
      <c r="AI340" s="432"/>
      <c r="AJ340" s="65"/>
      <c r="AO340" s="692"/>
      <c r="AP340" s="692"/>
      <c r="AV340" s="56"/>
    </row>
    <row r="341" spans="1:48" ht="13.5" customHeight="1" outlineLevel="1" thickBot="1">
      <c r="A341" s="119"/>
      <c r="B341" s="82"/>
      <c r="C341" s="1098" t="s">
        <v>484</v>
      </c>
      <c r="D341" s="433">
        <f>D335</f>
        <v>0</v>
      </c>
      <c r="E341" s="426"/>
      <c r="F341" s="700"/>
      <c r="G341" s="428"/>
      <c r="H341" s="700"/>
      <c r="I341" s="69"/>
      <c r="J341" s="700"/>
      <c r="K341" s="69"/>
      <c r="L341" s="700"/>
      <c r="M341" s="69"/>
      <c r="N341" s="700"/>
      <c r="O341" s="69"/>
      <c r="P341" s="700"/>
      <c r="Q341" s="69"/>
      <c r="R341" s="429"/>
      <c r="S341" s="430"/>
      <c r="T341" s="700"/>
      <c r="U341" s="428">
        <f>Q340</f>
        <v>0</v>
      </c>
      <c r="V341" s="700"/>
      <c r="W341" s="69">
        <f>S340</f>
        <v>0</v>
      </c>
      <c r="X341" s="700"/>
      <c r="Y341" s="69">
        <f>U340</f>
        <v>0</v>
      </c>
      <c r="Z341" s="700"/>
      <c r="AA341" s="69">
        <f>W340</f>
        <v>0</v>
      </c>
      <c r="AB341" s="700"/>
      <c r="AC341" s="69">
        <f>Y340</f>
        <v>0</v>
      </c>
      <c r="AD341" s="700"/>
      <c r="AE341" s="69"/>
      <c r="AF341" s="429"/>
      <c r="AG341" s="430"/>
      <c r="AH341" s="431"/>
      <c r="AI341" s="432"/>
      <c r="AJ341" s="65"/>
      <c r="AN341" s="695">
        <v>0</v>
      </c>
      <c r="AO341" s="742"/>
      <c r="AP341" s="742">
        <v>0</v>
      </c>
      <c r="AR341" s="696"/>
      <c r="AS341" s="716">
        <f>SUM(AL335:AL339)</f>
        <v>0</v>
      </c>
      <c r="AT341" s="461">
        <f>F341+H341+J341+L341+N341+P341+T341+V341+X341+Z341+AB341+AD341</f>
        <v>0</v>
      </c>
      <c r="AU341" s="745">
        <f>AT341-AS341</f>
        <v>0</v>
      </c>
    </row>
    <row r="342" spans="1:48" ht="12.75" customHeight="1" outlineLevel="1" thickBot="1">
      <c r="B342" s="82">
        <f>B335+1</f>
        <v>49</v>
      </c>
      <c r="C342" s="1230">
        <f>'Terms and Turnovers'!C64</f>
        <v>0</v>
      </c>
      <c r="D342" s="1230">
        <f>'Terms and Turnovers'!D64</f>
        <v>0</v>
      </c>
      <c r="E342" s="83" t="str">
        <f>'Terms and Turnovers'!$J$12</f>
        <v>FLIP-FLOPS</v>
      </c>
      <c r="F342" s="118">
        <f>$R342*G342</f>
        <v>0</v>
      </c>
      <c r="G342" s="69"/>
      <c r="H342" s="314">
        <f>$R342*I342</f>
        <v>0</v>
      </c>
      <c r="I342" s="69">
        <v>0</v>
      </c>
      <c r="J342" s="118">
        <f>$R342*K342</f>
        <v>0</v>
      </c>
      <c r="K342" s="69">
        <v>0</v>
      </c>
      <c r="L342" s="314">
        <f>$R342*M342</f>
        <v>0</v>
      </c>
      <c r="M342" s="69">
        <v>0</v>
      </c>
      <c r="N342" s="314">
        <f>$R342*O342</f>
        <v>0</v>
      </c>
      <c r="O342" s="69">
        <v>0</v>
      </c>
      <c r="P342" s="118">
        <f>$R342*Q342</f>
        <v>0</v>
      </c>
      <c r="Q342" s="69">
        <v>0</v>
      </c>
      <c r="R342" s="87">
        <f>'Terms and Turnovers'!K64</f>
        <v>0</v>
      </c>
      <c r="S342" s="160">
        <f t="shared" si="28"/>
        <v>0</v>
      </c>
      <c r="T342" s="118">
        <f>R342*(1-S342)</f>
        <v>0</v>
      </c>
      <c r="U342" s="69">
        <v>0</v>
      </c>
      <c r="V342" s="314">
        <f>$AF342*W342</f>
        <v>0</v>
      </c>
      <c r="W342" s="69">
        <v>0</v>
      </c>
      <c r="X342" s="118">
        <f>$AF342*Y342</f>
        <v>0</v>
      </c>
      <c r="Y342" s="69">
        <v>0</v>
      </c>
      <c r="Z342" s="314">
        <f>$AF342*AA342</f>
        <v>0</v>
      </c>
      <c r="AA342" s="69">
        <v>0</v>
      </c>
      <c r="AB342" s="314">
        <f>$AF342*AC342</f>
        <v>0</v>
      </c>
      <c r="AC342" s="69">
        <v>0</v>
      </c>
      <c r="AD342" s="118">
        <f>$AF342*AE342</f>
        <v>0</v>
      </c>
      <c r="AE342" s="69">
        <v>0</v>
      </c>
      <c r="AF342" s="87">
        <f>'Terms and Turnovers'!P64</f>
        <v>0</v>
      </c>
      <c r="AG342" s="160">
        <f t="shared" si="29"/>
        <v>0</v>
      </c>
      <c r="AH342" s="157">
        <f t="shared" si="30"/>
        <v>0</v>
      </c>
      <c r="AI342" s="131">
        <f t="shared" si="31"/>
        <v>0</v>
      </c>
      <c r="AJ342" s="65"/>
      <c r="AL342" s="461">
        <f>SUM(F342,H342,J342,L342,N342,P342,T342,V342,X342,Z342,AB342,AD342)</f>
        <v>0</v>
      </c>
      <c r="AM342" s="462">
        <f>AL342-AH342</f>
        <v>0</v>
      </c>
      <c r="AO342" s="692"/>
      <c r="AP342" s="692"/>
      <c r="AV342" s="56"/>
    </row>
    <row r="343" spans="1:48" ht="12.75" customHeight="1" outlineLevel="1" thickBot="1">
      <c r="B343" s="82"/>
      <c r="C343" s="1231"/>
      <c r="D343" s="1231"/>
      <c r="E343" s="84" t="str">
        <f>'Terms and Turnovers'!$T$12</f>
        <v>ORIGINALS</v>
      </c>
      <c r="F343" s="120">
        <f>$R343*G343</f>
        <v>0</v>
      </c>
      <c r="G343" s="723"/>
      <c r="H343" s="120">
        <f>$R343*I343</f>
        <v>0</v>
      </c>
      <c r="I343" s="69">
        <v>0</v>
      </c>
      <c r="J343" s="120">
        <f>$R343*K343</f>
        <v>0</v>
      </c>
      <c r="K343" s="69">
        <v>0</v>
      </c>
      <c r="L343" s="120">
        <f>$R343*M343</f>
        <v>0</v>
      </c>
      <c r="M343" s="69">
        <v>0</v>
      </c>
      <c r="N343" s="315">
        <f>$R343*O343</f>
        <v>0</v>
      </c>
      <c r="O343" s="69">
        <v>0</v>
      </c>
      <c r="P343" s="120">
        <f>$R343*Q343</f>
        <v>0</v>
      </c>
      <c r="Q343" s="69">
        <v>0</v>
      </c>
      <c r="R343" s="88">
        <f>'Terms and Turnovers'!U64</f>
        <v>0</v>
      </c>
      <c r="S343" s="161">
        <f t="shared" si="28"/>
        <v>0</v>
      </c>
      <c r="T343" s="120"/>
      <c r="U343" s="69">
        <v>0</v>
      </c>
      <c r="V343" s="120">
        <f>$AF343*W343</f>
        <v>0</v>
      </c>
      <c r="W343" s="69">
        <v>0</v>
      </c>
      <c r="X343" s="120">
        <f>$AF343*Y343</f>
        <v>0</v>
      </c>
      <c r="Y343" s="69">
        <v>0</v>
      </c>
      <c r="Z343" s="120">
        <f>$AF343*AA343</f>
        <v>0</v>
      </c>
      <c r="AA343" s="69">
        <v>0</v>
      </c>
      <c r="AB343" s="315">
        <f>$AF343*AC343</f>
        <v>0</v>
      </c>
      <c r="AC343" s="69">
        <v>0</v>
      </c>
      <c r="AD343" s="120">
        <f>$AF343*AE343</f>
        <v>0</v>
      </c>
      <c r="AE343" s="69">
        <v>0</v>
      </c>
      <c r="AF343" s="88">
        <f>'Terms and Turnovers'!Z64</f>
        <v>0</v>
      </c>
      <c r="AG343" s="161">
        <f t="shared" si="29"/>
        <v>0</v>
      </c>
      <c r="AH343" s="158">
        <f t="shared" si="30"/>
        <v>0</v>
      </c>
      <c r="AI343" s="134">
        <f t="shared" si="31"/>
        <v>0</v>
      </c>
      <c r="AJ343" s="65"/>
      <c r="AL343" s="461">
        <f>SUM(F343,H343,J343,L343,N343,P343,T343,V343,X343,Z343,AB343,AD343)</f>
        <v>0</v>
      </c>
      <c r="AM343" s="462">
        <f>AL343-AH343</f>
        <v>0</v>
      </c>
      <c r="AO343" s="692"/>
      <c r="AP343" s="692"/>
      <c r="AV343" s="56"/>
    </row>
    <row r="344" spans="1:48" ht="12.75" customHeight="1" outlineLevel="1" thickBot="1">
      <c r="B344" s="82"/>
      <c r="C344" s="1231"/>
      <c r="D344" s="1231"/>
      <c r="E344" s="84" t="str">
        <f>'Terms and Turnovers'!$AD$12</f>
        <v>ACCESSORIES</v>
      </c>
      <c r="F344" s="120">
        <f>$R344*G344</f>
        <v>0</v>
      </c>
      <c r="G344" s="723"/>
      <c r="H344" s="120">
        <f>$R344*I344</f>
        <v>0</v>
      </c>
      <c r="I344" s="69">
        <v>0</v>
      </c>
      <c r="J344" s="120">
        <f>$R344*K344</f>
        <v>0</v>
      </c>
      <c r="K344" s="69">
        <v>0</v>
      </c>
      <c r="L344" s="120">
        <f>$R344*M344</f>
        <v>0</v>
      </c>
      <c r="M344" s="69">
        <v>0</v>
      </c>
      <c r="N344" s="315">
        <f>$R344*O344</f>
        <v>0</v>
      </c>
      <c r="O344" s="69">
        <v>0</v>
      </c>
      <c r="P344" s="120">
        <f>$R344*Q344</f>
        <v>0</v>
      </c>
      <c r="Q344" s="69">
        <v>0</v>
      </c>
      <c r="R344" s="88">
        <f>'Terms and Turnovers'!AE64</f>
        <v>0</v>
      </c>
      <c r="S344" s="161">
        <f t="shared" si="28"/>
        <v>0</v>
      </c>
      <c r="T344" s="120"/>
      <c r="U344" s="69">
        <v>0</v>
      </c>
      <c r="V344" s="120">
        <f>$AF344*W344</f>
        <v>0</v>
      </c>
      <c r="W344" s="69">
        <v>0</v>
      </c>
      <c r="X344" s="120">
        <f>$AF344*Y344</f>
        <v>0</v>
      </c>
      <c r="Y344" s="69">
        <v>0</v>
      </c>
      <c r="Z344" s="120">
        <f>$AF344*AA344</f>
        <v>0</v>
      </c>
      <c r="AA344" s="69">
        <v>0</v>
      </c>
      <c r="AB344" s="315">
        <f>$AF344*AC344</f>
        <v>0</v>
      </c>
      <c r="AC344" s="69">
        <v>0</v>
      </c>
      <c r="AD344" s="120">
        <f>$AF344*AE344</f>
        <v>0</v>
      </c>
      <c r="AE344" s="69">
        <v>0</v>
      </c>
      <c r="AF344" s="88">
        <f>'Terms and Turnovers'!AJ64</f>
        <v>0</v>
      </c>
      <c r="AG344" s="161">
        <f t="shared" si="29"/>
        <v>0</v>
      </c>
      <c r="AH344" s="158">
        <f t="shared" si="30"/>
        <v>0</v>
      </c>
      <c r="AI344" s="134">
        <f t="shared" si="31"/>
        <v>0</v>
      </c>
      <c r="AJ344" s="65"/>
      <c r="AL344" s="461">
        <f>SUM(F344,H344,J344,L344,N344,P344,T344,V344,X344,Z344,AB344,AD344)</f>
        <v>0</v>
      </c>
      <c r="AM344" s="462">
        <f>AL344-AH344</f>
        <v>0</v>
      </c>
      <c r="AO344" s="692"/>
      <c r="AP344" s="692"/>
      <c r="AV344" s="56"/>
    </row>
    <row r="345" spans="1:48" ht="12.75" customHeight="1" outlineLevel="1" thickBot="1">
      <c r="B345" s="82"/>
      <c r="C345" s="1231"/>
      <c r="D345" s="1231"/>
      <c r="E345" s="84">
        <f>'Terms and Turnovers'!$AN$12</f>
        <v>0</v>
      </c>
      <c r="F345" s="120">
        <f>$R345*G345</f>
        <v>0</v>
      </c>
      <c r="G345" s="723"/>
      <c r="H345" s="120">
        <f>$R345*I345</f>
        <v>0</v>
      </c>
      <c r="I345" s="69">
        <v>0</v>
      </c>
      <c r="J345" s="120">
        <f>$R345*K345</f>
        <v>0</v>
      </c>
      <c r="K345" s="69">
        <v>0</v>
      </c>
      <c r="L345" s="120">
        <f>$R345*M345</f>
        <v>0</v>
      </c>
      <c r="M345" s="69">
        <v>0</v>
      </c>
      <c r="N345" s="315">
        <f>$R345*O345</f>
        <v>0</v>
      </c>
      <c r="O345" s="69">
        <v>0</v>
      </c>
      <c r="P345" s="120">
        <f>$R345*Q345</f>
        <v>0</v>
      </c>
      <c r="Q345" s="69">
        <v>0</v>
      </c>
      <c r="R345" s="88">
        <f>'Terms and Turnovers'!AO64</f>
        <v>0</v>
      </c>
      <c r="S345" s="161">
        <f t="shared" si="28"/>
        <v>0</v>
      </c>
      <c r="T345" s="118">
        <f>R345*(1-S345)</f>
        <v>0</v>
      </c>
      <c r="U345" s="69">
        <v>0</v>
      </c>
      <c r="V345" s="120">
        <f>$AF345*W345</f>
        <v>0</v>
      </c>
      <c r="W345" s="69">
        <v>0</v>
      </c>
      <c r="X345" s="120">
        <f>$AF345*Y345</f>
        <v>0</v>
      </c>
      <c r="Y345" s="69">
        <v>0</v>
      </c>
      <c r="Z345" s="120">
        <f>$AF345*AA345</f>
        <v>0</v>
      </c>
      <c r="AA345" s="69">
        <v>0</v>
      </c>
      <c r="AB345" s="315">
        <f>$AF345*AC345</f>
        <v>0</v>
      </c>
      <c r="AC345" s="69">
        <v>0</v>
      </c>
      <c r="AD345" s="120">
        <f>$AF345*AE345</f>
        <v>0</v>
      </c>
      <c r="AE345" s="69">
        <v>0</v>
      </c>
      <c r="AF345" s="88">
        <f>'Terms and Turnovers'!AT64</f>
        <v>0</v>
      </c>
      <c r="AG345" s="161">
        <f t="shared" si="29"/>
        <v>0</v>
      </c>
      <c r="AH345" s="158">
        <f t="shared" si="30"/>
        <v>0</v>
      </c>
      <c r="AI345" s="134">
        <f t="shared" si="31"/>
        <v>0</v>
      </c>
      <c r="AJ345" s="65"/>
      <c r="AL345" s="461">
        <f>SUM(F345,H345,J345,L345,N345,P345,T345,V345,X345,Z345,AB345,AD345)</f>
        <v>0</v>
      </c>
      <c r="AM345" s="462">
        <f>AL345-AH345</f>
        <v>0</v>
      </c>
      <c r="AO345" s="692"/>
      <c r="AP345" s="692"/>
      <c r="AV345" s="56"/>
    </row>
    <row r="346" spans="1:48" ht="13.5" customHeight="1" outlineLevel="1" thickBot="1">
      <c r="B346" s="82"/>
      <c r="C346" s="1232"/>
      <c r="D346" s="1232"/>
      <c r="E346" s="85">
        <f>'Terms and Turnovers'!$AX$12</f>
        <v>0</v>
      </c>
      <c r="F346" s="121">
        <f>$R346*G346</f>
        <v>0</v>
      </c>
      <c r="G346" s="72"/>
      <c r="H346" s="121">
        <f>$R346*I346</f>
        <v>0</v>
      </c>
      <c r="I346" s="69">
        <v>0</v>
      </c>
      <c r="J346" s="121">
        <f>$R346*K346</f>
        <v>0</v>
      </c>
      <c r="K346" s="69">
        <v>0</v>
      </c>
      <c r="L346" s="121">
        <f>$R346*M346</f>
        <v>0</v>
      </c>
      <c r="M346" s="69">
        <v>0</v>
      </c>
      <c r="N346" s="316">
        <f>$R346*O346</f>
        <v>0</v>
      </c>
      <c r="O346" s="69">
        <v>0</v>
      </c>
      <c r="P346" s="121">
        <f>$R346*Q346</f>
        <v>0</v>
      </c>
      <c r="Q346" s="69">
        <v>0</v>
      </c>
      <c r="R346" s="89">
        <f>'Terms and Turnovers'!AY64</f>
        <v>0</v>
      </c>
      <c r="S346" s="162">
        <f t="shared" si="28"/>
        <v>0</v>
      </c>
      <c r="T346" s="118">
        <f>R346*(1-S346)</f>
        <v>0</v>
      </c>
      <c r="U346" s="69">
        <v>0</v>
      </c>
      <c r="V346" s="121">
        <f>$AF346*W346</f>
        <v>0</v>
      </c>
      <c r="W346" s="69">
        <v>0</v>
      </c>
      <c r="X346" s="121">
        <f>$AF346*Y346</f>
        <v>0</v>
      </c>
      <c r="Y346" s="69">
        <v>0</v>
      </c>
      <c r="Z346" s="121">
        <f>$AF346*AA346</f>
        <v>0</v>
      </c>
      <c r="AA346" s="69">
        <v>0</v>
      </c>
      <c r="AB346" s="316">
        <f>$AF346*AC346</f>
        <v>0</v>
      </c>
      <c r="AC346" s="69">
        <v>0</v>
      </c>
      <c r="AD346" s="121">
        <f>$AF346*AE346</f>
        <v>0</v>
      </c>
      <c r="AE346" s="69">
        <v>0</v>
      </c>
      <c r="AF346" s="89">
        <f>'Terms and Turnovers'!BD64</f>
        <v>0</v>
      </c>
      <c r="AG346" s="162">
        <f t="shared" si="29"/>
        <v>0</v>
      </c>
      <c r="AH346" s="159">
        <f t="shared" si="30"/>
        <v>0</v>
      </c>
      <c r="AI346" s="137">
        <f t="shared" si="31"/>
        <v>0</v>
      </c>
      <c r="AJ346" s="65"/>
      <c r="AL346" s="461">
        <f>SUM(F346,H346,J346,L346,N346,P346,T346,V346,X346,Z346,AB346,AD346)</f>
        <v>0</v>
      </c>
      <c r="AM346" s="462">
        <f>AL346-AH346</f>
        <v>0</v>
      </c>
      <c r="AO346" s="692"/>
      <c r="AP346" s="692"/>
      <c r="AV346" s="56"/>
    </row>
    <row r="347" spans="1:48" ht="13.5" customHeight="1" outlineLevel="1" thickBot="1">
      <c r="A347" s="119"/>
      <c r="B347" s="82"/>
      <c r="C347" s="425"/>
      <c r="D347" s="425"/>
      <c r="E347" s="426"/>
      <c r="F347" s="427">
        <f>SUM(F342:F346)</f>
        <v>0</v>
      </c>
      <c r="G347" s="428"/>
      <c r="H347" s="427">
        <f>SUM(H342:H346)</f>
        <v>0</v>
      </c>
      <c r="I347" s="69"/>
      <c r="J347" s="427">
        <f>SUM(J342:J346)</f>
        <v>0</v>
      </c>
      <c r="K347" s="69"/>
      <c r="L347" s="427">
        <f>SUM(L342:L346)</f>
        <v>0</v>
      </c>
      <c r="M347" s="69"/>
      <c r="N347" s="427">
        <f>SUM(N342:N346)</f>
        <v>0</v>
      </c>
      <c r="O347" s="69"/>
      <c r="P347" s="427">
        <f>SUM(P342:P346)</f>
        <v>0</v>
      </c>
      <c r="Q347" s="69"/>
      <c r="R347" s="429"/>
      <c r="S347" s="430"/>
      <c r="T347" s="427">
        <f>SUM(T342:T346)</f>
        <v>0</v>
      </c>
      <c r="U347" s="428"/>
      <c r="V347" s="427">
        <f>SUM(V342:V346)</f>
        <v>0</v>
      </c>
      <c r="W347" s="69"/>
      <c r="X347" s="427">
        <f>SUM(X342:X346)</f>
        <v>0</v>
      </c>
      <c r="Y347" s="69"/>
      <c r="Z347" s="427">
        <f>SUM(Z342:Z346)</f>
        <v>0</v>
      </c>
      <c r="AA347" s="69"/>
      <c r="AB347" s="427">
        <f>SUM(AB342:AB346)</f>
        <v>0</v>
      </c>
      <c r="AC347" s="69"/>
      <c r="AD347" s="427">
        <f>SUM(AD342:AD346)</f>
        <v>0</v>
      </c>
      <c r="AE347" s="69"/>
      <c r="AF347" s="429"/>
      <c r="AG347" s="430"/>
      <c r="AH347" s="431"/>
      <c r="AI347" s="432"/>
      <c r="AJ347" s="65"/>
      <c r="AO347" s="692"/>
      <c r="AP347" s="692"/>
      <c r="AV347" s="56"/>
    </row>
    <row r="348" spans="1:48" ht="13.5" customHeight="1" outlineLevel="1" thickBot="1">
      <c r="A348" s="119"/>
      <c r="B348" s="82"/>
      <c r="C348" s="1098" t="s">
        <v>484</v>
      </c>
      <c r="D348" s="433">
        <f>D342</f>
        <v>0</v>
      </c>
      <c r="E348" s="426"/>
      <c r="F348" s="700"/>
      <c r="G348" s="428"/>
      <c r="H348" s="700"/>
      <c r="I348" s="69"/>
      <c r="J348" s="700"/>
      <c r="K348" s="69"/>
      <c r="L348" s="700"/>
      <c r="M348" s="69"/>
      <c r="N348" s="700"/>
      <c r="O348" s="69"/>
      <c r="P348" s="700"/>
      <c r="Q348" s="69"/>
      <c r="R348" s="429"/>
      <c r="S348" s="430"/>
      <c r="T348" s="700"/>
      <c r="U348" s="428">
        <f>Q347</f>
        <v>0</v>
      </c>
      <c r="V348" s="700"/>
      <c r="W348" s="69">
        <f>S347</f>
        <v>0</v>
      </c>
      <c r="X348" s="700"/>
      <c r="Y348" s="69">
        <f>U347</f>
        <v>0</v>
      </c>
      <c r="Z348" s="700"/>
      <c r="AA348" s="69">
        <f>W347</f>
        <v>0</v>
      </c>
      <c r="AB348" s="700"/>
      <c r="AC348" s="69">
        <f>Y347</f>
        <v>0</v>
      </c>
      <c r="AD348" s="700"/>
      <c r="AE348" s="69"/>
      <c r="AF348" s="429"/>
      <c r="AG348" s="430"/>
      <c r="AH348" s="431"/>
      <c r="AI348" s="432"/>
      <c r="AJ348" s="65"/>
      <c r="AN348" s="695">
        <v>0</v>
      </c>
      <c r="AO348" s="742"/>
      <c r="AP348" s="742"/>
      <c r="AS348" s="716">
        <f>SUM(AL342:AL346)</f>
        <v>0</v>
      </c>
      <c r="AT348" s="461">
        <f>F348+H348+J348+L348+N348+P348+T348+V348+X348+Z348+AB348+AD348</f>
        <v>0</v>
      </c>
      <c r="AU348" s="745">
        <f>AT348-AS348</f>
        <v>0</v>
      </c>
    </row>
    <row r="349" spans="1:48" ht="12.75" customHeight="1" outlineLevel="1" thickBot="1">
      <c r="B349" s="82">
        <f>B342+1</f>
        <v>50</v>
      </c>
      <c r="C349" s="1230">
        <f>'Terms and Turnovers'!C65</f>
        <v>0</v>
      </c>
      <c r="D349" s="1230">
        <f>'Terms and Turnovers'!D65</f>
        <v>0</v>
      </c>
      <c r="E349" s="83" t="str">
        <f>'Terms and Turnovers'!$J$12</f>
        <v>FLIP-FLOPS</v>
      </c>
      <c r="F349" s="118">
        <f>$R349*G349</f>
        <v>0</v>
      </c>
      <c r="G349" s="69"/>
      <c r="H349" s="314">
        <f>$R349*I349</f>
        <v>0</v>
      </c>
      <c r="I349" s="69">
        <v>0</v>
      </c>
      <c r="J349" s="118">
        <f>$R349*K349</f>
        <v>0</v>
      </c>
      <c r="K349" s="69">
        <v>0</v>
      </c>
      <c r="L349" s="314">
        <f>$R349*M349</f>
        <v>0</v>
      </c>
      <c r="M349" s="69">
        <v>0</v>
      </c>
      <c r="N349" s="314">
        <f>$R349*O349</f>
        <v>0</v>
      </c>
      <c r="O349" s="69">
        <v>0</v>
      </c>
      <c r="P349" s="118">
        <f>$R349*Q349</f>
        <v>0</v>
      </c>
      <c r="Q349" s="69">
        <v>0</v>
      </c>
      <c r="R349" s="87">
        <f>'Terms and Turnovers'!K65</f>
        <v>0</v>
      </c>
      <c r="S349" s="160">
        <f t="shared" si="28"/>
        <v>0</v>
      </c>
      <c r="T349" s="118">
        <f>R349*(1-S349)</f>
        <v>0</v>
      </c>
      <c r="U349" s="69">
        <v>0</v>
      </c>
      <c r="V349" s="314">
        <f>$AF349*W349</f>
        <v>0</v>
      </c>
      <c r="W349" s="69">
        <v>0</v>
      </c>
      <c r="X349" s="118">
        <f>$AF349*Y349</f>
        <v>0</v>
      </c>
      <c r="Y349" s="69">
        <v>0</v>
      </c>
      <c r="Z349" s="314">
        <f>$AF349*AA349</f>
        <v>0</v>
      </c>
      <c r="AA349" s="69">
        <v>0</v>
      </c>
      <c r="AB349" s="314">
        <f>$AF349*AC349</f>
        <v>0</v>
      </c>
      <c r="AC349" s="69">
        <v>0</v>
      </c>
      <c r="AD349" s="118">
        <f>$AF349*AE349</f>
        <v>0</v>
      </c>
      <c r="AE349" s="69">
        <v>0</v>
      </c>
      <c r="AF349" s="87">
        <f>'Terms and Turnovers'!P65</f>
        <v>0</v>
      </c>
      <c r="AG349" s="160">
        <f t="shared" si="29"/>
        <v>0</v>
      </c>
      <c r="AH349" s="157">
        <f t="shared" si="30"/>
        <v>0</v>
      </c>
      <c r="AI349" s="131">
        <f t="shared" si="31"/>
        <v>0</v>
      </c>
      <c r="AJ349" s="65"/>
      <c r="AL349" s="461">
        <f>SUM(F349,H349,J349,L349,N349,P349,T349,V349,X349,Z349,AB349,AD349)</f>
        <v>0</v>
      </c>
      <c r="AM349" s="462">
        <f>AL349-AH349</f>
        <v>0</v>
      </c>
      <c r="AO349" s="692"/>
      <c r="AP349" s="692"/>
      <c r="AV349" s="56"/>
    </row>
    <row r="350" spans="1:48" ht="12.75" customHeight="1" outlineLevel="1" thickBot="1">
      <c r="B350" s="82"/>
      <c r="C350" s="1231"/>
      <c r="D350" s="1231"/>
      <c r="E350" s="84" t="str">
        <f>'Terms and Turnovers'!$T$12</f>
        <v>ORIGINALS</v>
      </c>
      <c r="F350" s="120">
        <f>$R350*G350</f>
        <v>0</v>
      </c>
      <c r="G350" s="723"/>
      <c r="H350" s="120">
        <f>$R350*I350</f>
        <v>0</v>
      </c>
      <c r="I350" s="69">
        <v>0</v>
      </c>
      <c r="J350" s="120">
        <f>$R350*K350</f>
        <v>0</v>
      </c>
      <c r="K350" s="69">
        <v>0</v>
      </c>
      <c r="L350" s="120">
        <f>$R350*M350</f>
        <v>0</v>
      </c>
      <c r="M350" s="69">
        <v>0</v>
      </c>
      <c r="N350" s="315">
        <f>$R350*O350</f>
        <v>0</v>
      </c>
      <c r="O350" s="69">
        <v>0</v>
      </c>
      <c r="P350" s="120">
        <f>$R350*Q350</f>
        <v>0</v>
      </c>
      <c r="Q350" s="69">
        <v>0</v>
      </c>
      <c r="R350" s="88">
        <f>'Terms and Turnovers'!U65</f>
        <v>0</v>
      </c>
      <c r="S350" s="161">
        <f t="shared" si="28"/>
        <v>0</v>
      </c>
      <c r="T350" s="120">
        <f>$AF350*U350</f>
        <v>0</v>
      </c>
      <c r="U350" s="69">
        <v>0</v>
      </c>
      <c r="V350" s="120">
        <f>$AF350*W350</f>
        <v>0</v>
      </c>
      <c r="W350" s="69">
        <v>0</v>
      </c>
      <c r="X350" s="120">
        <f>$AF350*Y350</f>
        <v>0</v>
      </c>
      <c r="Y350" s="69">
        <v>0</v>
      </c>
      <c r="Z350" s="120">
        <f>$AF350*AA350</f>
        <v>0</v>
      </c>
      <c r="AA350" s="69">
        <v>0</v>
      </c>
      <c r="AB350" s="315">
        <f>$AF350*AC350</f>
        <v>0</v>
      </c>
      <c r="AC350" s="69">
        <v>0</v>
      </c>
      <c r="AD350" s="120">
        <f>$AF350*AE350</f>
        <v>0</v>
      </c>
      <c r="AE350" s="69">
        <v>0</v>
      </c>
      <c r="AF350" s="88">
        <f>'Terms and Turnovers'!Z65</f>
        <v>0</v>
      </c>
      <c r="AG350" s="161">
        <f t="shared" si="29"/>
        <v>0</v>
      </c>
      <c r="AH350" s="158">
        <f t="shared" si="30"/>
        <v>0</v>
      </c>
      <c r="AI350" s="134">
        <f t="shared" si="31"/>
        <v>0</v>
      </c>
      <c r="AJ350" s="65"/>
      <c r="AL350" s="461">
        <f>SUM(F350,H350,J350,L350,N350,P350,T350,V350,X350,Z350,AB350,AD350)</f>
        <v>0</v>
      </c>
      <c r="AM350" s="462">
        <f>AL350-AH350</f>
        <v>0</v>
      </c>
      <c r="AO350" s="692"/>
      <c r="AP350" s="692"/>
      <c r="AV350" s="56"/>
    </row>
    <row r="351" spans="1:48" ht="12.75" customHeight="1" outlineLevel="1" thickBot="1">
      <c r="B351" s="82"/>
      <c r="C351" s="1231"/>
      <c r="D351" s="1231"/>
      <c r="E351" s="84" t="str">
        <f>'Terms and Turnovers'!$AD$12</f>
        <v>ACCESSORIES</v>
      </c>
      <c r="F351" s="120">
        <f>$R351*G351</f>
        <v>0</v>
      </c>
      <c r="G351" s="723"/>
      <c r="H351" s="120">
        <f>$R351*I351</f>
        <v>0</v>
      </c>
      <c r="I351" s="69">
        <v>0</v>
      </c>
      <c r="J351" s="120">
        <f>$R351*K351</f>
        <v>0</v>
      </c>
      <c r="K351" s="69">
        <v>0</v>
      </c>
      <c r="L351" s="120">
        <f>$R351*M351</f>
        <v>0</v>
      </c>
      <c r="M351" s="69">
        <v>0</v>
      </c>
      <c r="N351" s="315">
        <f>$R351*O351</f>
        <v>0</v>
      </c>
      <c r="O351" s="69">
        <v>0</v>
      </c>
      <c r="P351" s="120">
        <f>$R351*Q351</f>
        <v>0</v>
      </c>
      <c r="Q351" s="69">
        <v>0</v>
      </c>
      <c r="R351" s="88">
        <f>'Terms and Turnovers'!AE65</f>
        <v>0</v>
      </c>
      <c r="S351" s="161">
        <f t="shared" si="28"/>
        <v>0</v>
      </c>
      <c r="T351" s="120">
        <f>$AF351*U351</f>
        <v>0</v>
      </c>
      <c r="U351" s="69">
        <v>0</v>
      </c>
      <c r="V351" s="120">
        <f>$AF351*W351</f>
        <v>0</v>
      </c>
      <c r="W351" s="69">
        <v>0</v>
      </c>
      <c r="X351" s="120">
        <f>$AF351*Y351</f>
        <v>0</v>
      </c>
      <c r="Y351" s="69">
        <v>0</v>
      </c>
      <c r="Z351" s="120">
        <f>$AF351*AA351</f>
        <v>0</v>
      </c>
      <c r="AA351" s="69">
        <v>0</v>
      </c>
      <c r="AB351" s="315">
        <f>$AF351*AC351</f>
        <v>0</v>
      </c>
      <c r="AC351" s="69">
        <v>0</v>
      </c>
      <c r="AD351" s="120">
        <f>$AF351*AE351</f>
        <v>0</v>
      </c>
      <c r="AE351" s="69">
        <v>0</v>
      </c>
      <c r="AF351" s="88">
        <f>'Terms and Turnovers'!AJ65</f>
        <v>0</v>
      </c>
      <c r="AG351" s="161">
        <f t="shared" si="29"/>
        <v>0</v>
      </c>
      <c r="AH351" s="158">
        <f t="shared" si="30"/>
        <v>0</v>
      </c>
      <c r="AI351" s="134">
        <f t="shared" si="31"/>
        <v>0</v>
      </c>
      <c r="AJ351" s="65"/>
      <c r="AL351" s="461">
        <f>SUM(F351,H351,J351,L351,N351,P351,T351,V351,X351,Z351,AB351,AD351)</f>
        <v>0</v>
      </c>
      <c r="AM351" s="462">
        <f>AL351-AH351</f>
        <v>0</v>
      </c>
      <c r="AO351" s="692"/>
      <c r="AP351" s="692"/>
      <c r="AV351" s="56"/>
    </row>
    <row r="352" spans="1:48" ht="12.75" customHeight="1" outlineLevel="1" thickBot="1">
      <c r="B352" s="82"/>
      <c r="C352" s="1231"/>
      <c r="D352" s="1231"/>
      <c r="E352" s="84">
        <f>'Terms and Turnovers'!$AN$12</f>
        <v>0</v>
      </c>
      <c r="F352" s="120">
        <f>$R352*G352</f>
        <v>0</v>
      </c>
      <c r="G352" s="723"/>
      <c r="H352" s="120">
        <f>$R352*I352</f>
        <v>0</v>
      </c>
      <c r="I352" s="69">
        <v>0</v>
      </c>
      <c r="J352" s="120">
        <f>$R352*K352</f>
        <v>0</v>
      </c>
      <c r="K352" s="69">
        <v>0</v>
      </c>
      <c r="L352" s="120">
        <f>$R352*M352</f>
        <v>0</v>
      </c>
      <c r="M352" s="69">
        <v>0</v>
      </c>
      <c r="N352" s="315">
        <f>$R352*O352</f>
        <v>0</v>
      </c>
      <c r="O352" s="69">
        <v>0</v>
      </c>
      <c r="P352" s="120">
        <f>$R352*Q352</f>
        <v>0</v>
      </c>
      <c r="Q352" s="69">
        <v>0</v>
      </c>
      <c r="R352" s="88">
        <f>'Terms and Turnovers'!AO65</f>
        <v>0</v>
      </c>
      <c r="S352" s="161">
        <f t="shared" si="28"/>
        <v>0</v>
      </c>
      <c r="T352" s="120">
        <f>$AF352*U352</f>
        <v>0</v>
      </c>
      <c r="U352" s="69">
        <v>0</v>
      </c>
      <c r="V352" s="120">
        <f>$AF352*W352</f>
        <v>0</v>
      </c>
      <c r="W352" s="69">
        <v>0</v>
      </c>
      <c r="X352" s="120">
        <f>$AF352*Y352</f>
        <v>0</v>
      </c>
      <c r="Y352" s="69">
        <v>0</v>
      </c>
      <c r="Z352" s="120">
        <f>$AF352*AA352</f>
        <v>0</v>
      </c>
      <c r="AA352" s="69">
        <v>0</v>
      </c>
      <c r="AB352" s="315">
        <f>$AF352*AC352</f>
        <v>0</v>
      </c>
      <c r="AC352" s="69">
        <v>0</v>
      </c>
      <c r="AD352" s="120">
        <f>$AF352*AE352</f>
        <v>0</v>
      </c>
      <c r="AE352" s="69">
        <v>0</v>
      </c>
      <c r="AF352" s="88">
        <f>'Terms and Turnovers'!AT65</f>
        <v>0</v>
      </c>
      <c r="AG352" s="161">
        <f t="shared" si="29"/>
        <v>0</v>
      </c>
      <c r="AH352" s="158">
        <f t="shared" si="30"/>
        <v>0</v>
      </c>
      <c r="AI352" s="134">
        <f t="shared" si="31"/>
        <v>0</v>
      </c>
      <c r="AJ352" s="65"/>
      <c r="AL352" s="461">
        <f>SUM(F352,H352,J352,L352,N352,P352,T352,V352,X352,Z352,AB352,AD352)</f>
        <v>0</v>
      </c>
      <c r="AM352" s="462">
        <f>AL352-AH352</f>
        <v>0</v>
      </c>
      <c r="AO352" s="692"/>
      <c r="AP352" s="692"/>
      <c r="AV352" s="56"/>
    </row>
    <row r="353" spans="1:48" ht="13.5" customHeight="1" outlineLevel="1" thickBot="1">
      <c r="B353" s="82"/>
      <c r="C353" s="1232"/>
      <c r="D353" s="1232"/>
      <c r="E353" s="85">
        <f>'Terms and Turnovers'!$AX$12</f>
        <v>0</v>
      </c>
      <c r="F353" s="121">
        <f>$R353*G353</f>
        <v>0</v>
      </c>
      <c r="G353" s="72"/>
      <c r="H353" s="121">
        <f>$R353*I353</f>
        <v>0</v>
      </c>
      <c r="I353" s="69">
        <v>0</v>
      </c>
      <c r="J353" s="121">
        <f>$R353*K353</f>
        <v>0</v>
      </c>
      <c r="K353" s="69">
        <v>0</v>
      </c>
      <c r="L353" s="121">
        <f>$R353*M353</f>
        <v>0</v>
      </c>
      <c r="M353" s="69">
        <v>0</v>
      </c>
      <c r="N353" s="316">
        <f>$R353*O353</f>
        <v>0</v>
      </c>
      <c r="O353" s="69">
        <v>0</v>
      </c>
      <c r="P353" s="121">
        <f>$R353*Q353</f>
        <v>0</v>
      </c>
      <c r="Q353" s="69">
        <v>0</v>
      </c>
      <c r="R353" s="89">
        <f>'Terms and Turnovers'!AY65</f>
        <v>0</v>
      </c>
      <c r="S353" s="162">
        <f t="shared" si="28"/>
        <v>0</v>
      </c>
      <c r="T353" s="121">
        <f>$AF353*U353</f>
        <v>0</v>
      </c>
      <c r="U353" s="69">
        <v>0</v>
      </c>
      <c r="V353" s="121">
        <f>$AF353*W353</f>
        <v>0</v>
      </c>
      <c r="W353" s="69">
        <v>0</v>
      </c>
      <c r="X353" s="121">
        <f>$AF353*Y353</f>
        <v>0</v>
      </c>
      <c r="Y353" s="69">
        <v>0</v>
      </c>
      <c r="Z353" s="121">
        <f>$AF353*AA353</f>
        <v>0</v>
      </c>
      <c r="AA353" s="69">
        <v>0</v>
      </c>
      <c r="AB353" s="316">
        <f>$AF353*AC353</f>
        <v>0</v>
      </c>
      <c r="AC353" s="69">
        <v>0</v>
      </c>
      <c r="AD353" s="121">
        <f>$AF353*AE353</f>
        <v>0</v>
      </c>
      <c r="AE353" s="69">
        <v>0</v>
      </c>
      <c r="AF353" s="89">
        <f>'Terms and Turnovers'!BD65</f>
        <v>0</v>
      </c>
      <c r="AG353" s="162">
        <f t="shared" si="29"/>
        <v>0</v>
      </c>
      <c r="AH353" s="159">
        <f t="shared" si="30"/>
        <v>0</v>
      </c>
      <c r="AI353" s="137">
        <f t="shared" si="31"/>
        <v>0</v>
      </c>
      <c r="AJ353" s="65"/>
      <c r="AL353" s="461">
        <f>SUM(F353,H353,J353,L353,N353,P353,T353,V353,X353,Z353,AB353,AD353)</f>
        <v>0</v>
      </c>
      <c r="AM353" s="462">
        <f>AL353-AH353</f>
        <v>0</v>
      </c>
      <c r="AO353" s="692"/>
      <c r="AP353" s="692"/>
      <c r="AV353" s="56"/>
    </row>
    <row r="354" spans="1:48" ht="13.5" customHeight="1" outlineLevel="1" thickBot="1">
      <c r="A354" s="119"/>
      <c r="B354" s="82"/>
      <c r="C354" s="425"/>
      <c r="D354" s="425"/>
      <c r="E354" s="426"/>
      <c r="F354" s="427">
        <f>SUM(F349:F353)</f>
        <v>0</v>
      </c>
      <c r="G354" s="428"/>
      <c r="H354" s="427">
        <f>SUM(H349:H353)</f>
        <v>0</v>
      </c>
      <c r="I354" s="69"/>
      <c r="J354" s="427">
        <f>SUM(J349:J353)</f>
        <v>0</v>
      </c>
      <c r="K354" s="69"/>
      <c r="L354" s="427">
        <f>SUM(L349:L353)</f>
        <v>0</v>
      </c>
      <c r="M354" s="69"/>
      <c r="N354" s="427">
        <f>SUM(N349:N353)</f>
        <v>0</v>
      </c>
      <c r="O354" s="69"/>
      <c r="P354" s="427">
        <f>SUM(P349:P353)</f>
        <v>0</v>
      </c>
      <c r="Q354" s="69"/>
      <c r="R354" s="429"/>
      <c r="S354" s="430"/>
      <c r="T354" s="427">
        <f>SUM(T349:T353)</f>
        <v>0</v>
      </c>
      <c r="U354" s="428"/>
      <c r="V354" s="427">
        <f>SUM(V349:V353)</f>
        <v>0</v>
      </c>
      <c r="W354" s="69"/>
      <c r="X354" s="427">
        <f>SUM(X349:X353)</f>
        <v>0</v>
      </c>
      <c r="Y354" s="69"/>
      <c r="Z354" s="427">
        <f>SUM(Z349:Z353)</f>
        <v>0</v>
      </c>
      <c r="AA354" s="69"/>
      <c r="AB354" s="427">
        <f>SUM(AB349:AB353)</f>
        <v>0</v>
      </c>
      <c r="AC354" s="69"/>
      <c r="AD354" s="427">
        <f>SUM(AD349:AD353)</f>
        <v>0</v>
      </c>
      <c r="AE354" s="69"/>
      <c r="AF354" s="429"/>
      <c r="AG354" s="430"/>
      <c r="AH354" s="431"/>
      <c r="AI354" s="432"/>
      <c r="AJ354" s="65"/>
      <c r="AO354" s="692"/>
      <c r="AP354" s="692"/>
      <c r="AV354" s="56"/>
    </row>
    <row r="355" spans="1:48" ht="13.5" customHeight="1" outlineLevel="1" thickBot="1">
      <c r="A355" s="119"/>
      <c r="B355" s="82"/>
      <c r="C355" s="1098" t="s">
        <v>484</v>
      </c>
      <c r="D355" s="433">
        <f>D349</f>
        <v>0</v>
      </c>
      <c r="E355" s="426"/>
      <c r="F355" s="700"/>
      <c r="G355" s="428"/>
      <c r="H355" s="700"/>
      <c r="I355" s="69"/>
      <c r="J355" s="700"/>
      <c r="K355" s="69"/>
      <c r="L355" s="700"/>
      <c r="M355" s="69"/>
      <c r="N355" s="700"/>
      <c r="O355" s="69"/>
      <c r="P355" s="700"/>
      <c r="Q355" s="69"/>
      <c r="R355" s="429"/>
      <c r="S355" s="430"/>
      <c r="T355" s="700"/>
      <c r="U355" s="428">
        <f>Q354</f>
        <v>0</v>
      </c>
      <c r="V355" s="700"/>
      <c r="W355" s="69">
        <f>S354</f>
        <v>0</v>
      </c>
      <c r="X355" s="700"/>
      <c r="Y355" s="69">
        <f>U354</f>
        <v>0</v>
      </c>
      <c r="Z355" s="700"/>
      <c r="AA355" s="69">
        <f>W354</f>
        <v>0</v>
      </c>
      <c r="AB355" s="700"/>
      <c r="AC355" s="69">
        <f>Y354</f>
        <v>0</v>
      </c>
      <c r="AD355" s="700"/>
      <c r="AE355" s="69"/>
      <c r="AF355" s="429"/>
      <c r="AG355" s="430"/>
      <c r="AH355" s="431"/>
      <c r="AI355" s="432"/>
      <c r="AJ355" s="65"/>
      <c r="AN355" s="695">
        <v>0</v>
      </c>
      <c r="AO355" s="742"/>
      <c r="AP355" s="742"/>
      <c r="AS355" s="716">
        <f>SUM(AL349:AL353)</f>
        <v>0</v>
      </c>
      <c r="AT355" s="461">
        <f>F355+H355+J355+L355+N355+P355+T355+V355+X355+Z355+AB355+AD355</f>
        <v>0</v>
      </c>
      <c r="AU355" s="745">
        <f>AT355-AS355</f>
        <v>0</v>
      </c>
    </row>
    <row r="356" spans="1:48" ht="13.5" customHeight="1" outlineLevel="1" thickBot="1">
      <c r="B356" s="82">
        <f>B349+1</f>
        <v>51</v>
      </c>
      <c r="C356" s="1230">
        <f>'Terms and Turnovers'!C66</f>
        <v>0</v>
      </c>
      <c r="D356" s="1230">
        <f>'Terms and Turnovers'!D66</f>
        <v>0</v>
      </c>
      <c r="E356" s="83" t="str">
        <f>'Terms and Turnovers'!$J$12</f>
        <v>FLIP-FLOPS</v>
      </c>
      <c r="F356" s="118">
        <f t="shared" ref="F356:F374" si="32">$R356*G356</f>
        <v>0</v>
      </c>
      <c r="G356" s="69"/>
      <c r="H356" s="314">
        <f t="shared" ref="H356:H374" si="33">$R356*I356</f>
        <v>0</v>
      </c>
      <c r="I356" s="69">
        <v>0</v>
      </c>
      <c r="J356" s="118">
        <f t="shared" ref="J356:J374" si="34">$R356*K356</f>
        <v>0</v>
      </c>
      <c r="K356" s="69">
        <v>0</v>
      </c>
      <c r="L356" s="314">
        <f t="shared" ref="L356:L374" si="35">$R356*M356</f>
        <v>0</v>
      </c>
      <c r="M356" s="69">
        <v>0</v>
      </c>
      <c r="N356" s="314">
        <f t="shared" ref="N356:N374" si="36">$R356*O356</f>
        <v>0</v>
      </c>
      <c r="O356" s="69">
        <v>0</v>
      </c>
      <c r="P356" s="118">
        <f t="shared" ref="P356:P374" si="37">$R356*Q356</f>
        <v>0</v>
      </c>
      <c r="Q356" s="69">
        <v>0</v>
      </c>
      <c r="R356" s="87">
        <f>'Terms and Turnovers'!K66</f>
        <v>0</v>
      </c>
      <c r="S356" s="160">
        <f t="shared" si="28"/>
        <v>0</v>
      </c>
      <c r="T356" s="118">
        <f>$AF356*U356</f>
        <v>0</v>
      </c>
      <c r="U356" s="69">
        <v>0</v>
      </c>
      <c r="V356" s="314">
        <f>$AF356*W356</f>
        <v>0</v>
      </c>
      <c r="W356" s="69">
        <v>0</v>
      </c>
      <c r="X356" s="118">
        <f>$AF356*Y356</f>
        <v>0</v>
      </c>
      <c r="Y356" s="69">
        <v>0</v>
      </c>
      <c r="Z356" s="314">
        <f>$AF356*AA356</f>
        <v>0</v>
      </c>
      <c r="AA356" s="69">
        <v>0</v>
      </c>
      <c r="AB356" s="314">
        <f>$AF356*AC356</f>
        <v>0</v>
      </c>
      <c r="AC356" s="69">
        <v>0</v>
      </c>
      <c r="AD356" s="118">
        <f>$AF356*AE356</f>
        <v>0</v>
      </c>
      <c r="AE356" s="69">
        <v>0</v>
      </c>
      <c r="AF356" s="87">
        <f>'Terms and Turnovers'!P66</f>
        <v>0</v>
      </c>
      <c r="AG356" s="160">
        <f t="shared" si="29"/>
        <v>0</v>
      </c>
      <c r="AH356" s="157">
        <f t="shared" si="30"/>
        <v>0</v>
      </c>
      <c r="AI356" s="131">
        <f t="shared" si="31"/>
        <v>0</v>
      </c>
      <c r="AJ356" s="65"/>
      <c r="AL356" s="461">
        <f>SUM(F356,H356,J356,L356,N356,P356,T356,V356,X356,Z356,AB356,AD356)</f>
        <v>0</v>
      </c>
      <c r="AM356" s="462">
        <f>AL356-AH356</f>
        <v>0</v>
      </c>
      <c r="AO356" s="692"/>
      <c r="AP356" s="692"/>
      <c r="AV356" s="56"/>
    </row>
    <row r="357" spans="1:48" ht="13.5" customHeight="1" outlineLevel="1" thickBot="1">
      <c r="B357" s="82"/>
      <c r="C357" s="1231"/>
      <c r="D357" s="1231"/>
      <c r="E357" s="84" t="str">
        <f>'Terms and Turnovers'!$T$12</f>
        <v>ORIGINALS</v>
      </c>
      <c r="F357" s="120">
        <f t="shared" si="32"/>
        <v>0</v>
      </c>
      <c r="G357" s="723"/>
      <c r="H357" s="120">
        <f t="shared" si="33"/>
        <v>0</v>
      </c>
      <c r="I357" s="69">
        <v>0</v>
      </c>
      <c r="J357" s="120">
        <f t="shared" si="34"/>
        <v>0</v>
      </c>
      <c r="K357" s="69">
        <v>0</v>
      </c>
      <c r="L357" s="120">
        <f t="shared" si="35"/>
        <v>0</v>
      </c>
      <c r="M357" s="69">
        <v>0</v>
      </c>
      <c r="N357" s="315">
        <f t="shared" si="36"/>
        <v>0</v>
      </c>
      <c r="O357" s="69">
        <v>0</v>
      </c>
      <c r="P357" s="120">
        <f t="shared" si="37"/>
        <v>0</v>
      </c>
      <c r="Q357" s="69">
        <v>0</v>
      </c>
      <c r="R357" s="88">
        <f>'Terms and Turnovers'!U66</f>
        <v>0</v>
      </c>
      <c r="S357" s="161">
        <f t="shared" si="28"/>
        <v>0</v>
      </c>
      <c r="T357" s="120">
        <f>$AF357*U357</f>
        <v>0</v>
      </c>
      <c r="U357" s="69">
        <v>0</v>
      </c>
      <c r="V357" s="120">
        <f>$AF357*W357</f>
        <v>0</v>
      </c>
      <c r="W357" s="69">
        <v>0</v>
      </c>
      <c r="X357" s="120">
        <f>$AF357*Y357</f>
        <v>0</v>
      </c>
      <c r="Y357" s="69">
        <v>0</v>
      </c>
      <c r="Z357" s="120">
        <f>$AF357*AA357</f>
        <v>0</v>
      </c>
      <c r="AA357" s="69">
        <v>0</v>
      </c>
      <c r="AB357" s="315">
        <f>$AF357*AC357</f>
        <v>0</v>
      </c>
      <c r="AC357" s="69">
        <v>0</v>
      </c>
      <c r="AD357" s="120">
        <f>$AF357*AE357</f>
        <v>0</v>
      </c>
      <c r="AE357" s="69">
        <v>0</v>
      </c>
      <c r="AF357" s="88">
        <f>'Terms and Turnovers'!Z66</f>
        <v>0</v>
      </c>
      <c r="AG357" s="161">
        <f t="shared" si="29"/>
        <v>0</v>
      </c>
      <c r="AH357" s="158">
        <f t="shared" si="30"/>
        <v>0</v>
      </c>
      <c r="AI357" s="134">
        <f t="shared" si="31"/>
        <v>0</v>
      </c>
      <c r="AJ357" s="65"/>
      <c r="AL357" s="461">
        <f>SUM(F357,H357,J357,L357,N357,P357,T357,V357,X357,Z357,AB357,AD357)</f>
        <v>0</v>
      </c>
      <c r="AM357" s="462">
        <f>AL357-AH357</f>
        <v>0</v>
      </c>
      <c r="AO357" s="692"/>
      <c r="AP357" s="692"/>
      <c r="AV357" s="56"/>
    </row>
    <row r="358" spans="1:48" ht="13.5" customHeight="1" outlineLevel="1" thickBot="1">
      <c r="B358" s="82"/>
      <c r="C358" s="1231"/>
      <c r="D358" s="1231"/>
      <c r="E358" s="84" t="str">
        <f>'Terms and Turnovers'!$AD$12</f>
        <v>ACCESSORIES</v>
      </c>
      <c r="F358" s="120">
        <f t="shared" si="32"/>
        <v>0</v>
      </c>
      <c r="G358" s="723"/>
      <c r="H358" s="120">
        <f t="shared" si="33"/>
        <v>0</v>
      </c>
      <c r="I358" s="69">
        <v>0</v>
      </c>
      <c r="J358" s="120">
        <f t="shared" si="34"/>
        <v>0</v>
      </c>
      <c r="K358" s="69">
        <v>0</v>
      </c>
      <c r="L358" s="120">
        <f t="shared" si="35"/>
        <v>0</v>
      </c>
      <c r="M358" s="69">
        <v>0</v>
      </c>
      <c r="N358" s="315">
        <f t="shared" si="36"/>
        <v>0</v>
      </c>
      <c r="O358" s="69">
        <v>0</v>
      </c>
      <c r="P358" s="120">
        <f t="shared" si="37"/>
        <v>0</v>
      </c>
      <c r="Q358" s="69">
        <v>0</v>
      </c>
      <c r="R358" s="88">
        <f>'Terms and Turnovers'!AE66</f>
        <v>0</v>
      </c>
      <c r="S358" s="161">
        <f t="shared" si="28"/>
        <v>0</v>
      </c>
      <c r="T358" s="120">
        <f>$AF358*U358</f>
        <v>0</v>
      </c>
      <c r="U358" s="69">
        <v>0</v>
      </c>
      <c r="V358" s="120">
        <f>$AF358*W358</f>
        <v>0</v>
      </c>
      <c r="W358" s="69">
        <v>0</v>
      </c>
      <c r="X358" s="120">
        <f>$AF358*Y358</f>
        <v>0</v>
      </c>
      <c r="Y358" s="69">
        <v>0</v>
      </c>
      <c r="Z358" s="120">
        <f>$AF358*AA358</f>
        <v>0</v>
      </c>
      <c r="AA358" s="69">
        <v>0</v>
      </c>
      <c r="AB358" s="315">
        <f>$AF358*AC358</f>
        <v>0</v>
      </c>
      <c r="AC358" s="69">
        <v>0</v>
      </c>
      <c r="AD358" s="120">
        <f>$AF358*AE358</f>
        <v>0</v>
      </c>
      <c r="AE358" s="69">
        <v>0</v>
      </c>
      <c r="AF358" s="88">
        <f>'Terms and Turnovers'!AJ66</f>
        <v>0</v>
      </c>
      <c r="AG358" s="161">
        <f t="shared" si="29"/>
        <v>0</v>
      </c>
      <c r="AH358" s="158">
        <f t="shared" si="30"/>
        <v>0</v>
      </c>
      <c r="AI358" s="134">
        <f t="shared" si="31"/>
        <v>0</v>
      </c>
      <c r="AJ358" s="65"/>
      <c r="AL358" s="461">
        <f>SUM(F358,H358,J358,L358,N358,P358,T358,V358,X358,Z358,AB358,AD358)</f>
        <v>0</v>
      </c>
      <c r="AM358" s="462">
        <f>AL358-AH358</f>
        <v>0</v>
      </c>
      <c r="AO358" s="692"/>
      <c r="AP358" s="692"/>
      <c r="AV358" s="56"/>
    </row>
    <row r="359" spans="1:48" ht="13.5" customHeight="1" outlineLevel="1" thickBot="1">
      <c r="B359" s="82"/>
      <c r="C359" s="1231"/>
      <c r="D359" s="1231"/>
      <c r="E359" s="84">
        <f>'Terms and Turnovers'!$AN$12</f>
        <v>0</v>
      </c>
      <c r="F359" s="120">
        <f t="shared" si="32"/>
        <v>0</v>
      </c>
      <c r="G359" s="723"/>
      <c r="H359" s="120">
        <f t="shared" si="33"/>
        <v>0</v>
      </c>
      <c r="I359" s="69">
        <v>0</v>
      </c>
      <c r="J359" s="120">
        <f t="shared" si="34"/>
        <v>0</v>
      </c>
      <c r="K359" s="69">
        <v>0</v>
      </c>
      <c r="L359" s="120">
        <f t="shared" si="35"/>
        <v>0</v>
      </c>
      <c r="M359" s="69">
        <v>0</v>
      </c>
      <c r="N359" s="315">
        <f t="shared" si="36"/>
        <v>0</v>
      </c>
      <c r="O359" s="69">
        <v>0</v>
      </c>
      <c r="P359" s="120">
        <f t="shared" si="37"/>
        <v>0</v>
      </c>
      <c r="Q359" s="69">
        <v>0</v>
      </c>
      <c r="R359" s="88">
        <f>'Terms and Turnovers'!AO66</f>
        <v>0</v>
      </c>
      <c r="S359" s="161">
        <f t="shared" si="28"/>
        <v>0</v>
      </c>
      <c r="T359" s="120">
        <f>$AF359*U359</f>
        <v>0</v>
      </c>
      <c r="U359" s="69">
        <v>0</v>
      </c>
      <c r="V359" s="120">
        <f>$AF359*W359</f>
        <v>0</v>
      </c>
      <c r="W359" s="69">
        <v>0</v>
      </c>
      <c r="X359" s="120">
        <f>$AF359*Y359</f>
        <v>0</v>
      </c>
      <c r="Y359" s="69">
        <v>0</v>
      </c>
      <c r="Z359" s="120">
        <f>$AF359*AA359</f>
        <v>0</v>
      </c>
      <c r="AA359" s="69">
        <v>0</v>
      </c>
      <c r="AB359" s="315">
        <f>$AF359*AC359</f>
        <v>0</v>
      </c>
      <c r="AC359" s="69">
        <v>0</v>
      </c>
      <c r="AD359" s="120">
        <f>$AF359*AE359</f>
        <v>0</v>
      </c>
      <c r="AE359" s="69">
        <v>0</v>
      </c>
      <c r="AF359" s="88">
        <f>'Terms and Turnovers'!AT66</f>
        <v>0</v>
      </c>
      <c r="AG359" s="161">
        <f t="shared" si="29"/>
        <v>0</v>
      </c>
      <c r="AH359" s="158">
        <f t="shared" si="30"/>
        <v>0</v>
      </c>
      <c r="AI359" s="134">
        <f t="shared" si="31"/>
        <v>0</v>
      </c>
      <c r="AJ359" s="65"/>
      <c r="AL359" s="461">
        <f>SUM(F359,H359,J359,L359,N359,P359,T359,V359,X359,Z359,AB359,AD359)</f>
        <v>0</v>
      </c>
      <c r="AM359" s="462">
        <f>AL359-AH359</f>
        <v>0</v>
      </c>
      <c r="AO359" s="692"/>
      <c r="AP359" s="692"/>
      <c r="AV359" s="56"/>
    </row>
    <row r="360" spans="1:48" ht="13.5" customHeight="1" outlineLevel="1" thickBot="1">
      <c r="B360" s="82"/>
      <c r="C360" s="1232"/>
      <c r="D360" s="1232"/>
      <c r="E360" s="85">
        <f>'Terms and Turnovers'!$AX$12</f>
        <v>0</v>
      </c>
      <c r="F360" s="121">
        <f t="shared" si="32"/>
        <v>0</v>
      </c>
      <c r="G360" s="72"/>
      <c r="H360" s="121">
        <f t="shared" si="33"/>
        <v>0</v>
      </c>
      <c r="I360" s="69">
        <v>0</v>
      </c>
      <c r="J360" s="121">
        <f t="shared" si="34"/>
        <v>0</v>
      </c>
      <c r="K360" s="69">
        <v>0</v>
      </c>
      <c r="L360" s="121">
        <f t="shared" si="35"/>
        <v>0</v>
      </c>
      <c r="M360" s="69">
        <v>0</v>
      </c>
      <c r="N360" s="316">
        <f t="shared" si="36"/>
        <v>0</v>
      </c>
      <c r="O360" s="69">
        <v>0</v>
      </c>
      <c r="P360" s="121">
        <f t="shared" si="37"/>
        <v>0</v>
      </c>
      <c r="Q360" s="69">
        <v>0</v>
      </c>
      <c r="R360" s="89">
        <f>'Terms and Turnovers'!AY66</f>
        <v>0</v>
      </c>
      <c r="S360" s="162">
        <f t="shared" si="28"/>
        <v>0</v>
      </c>
      <c r="T360" s="121">
        <f>$AF360*U360</f>
        <v>0</v>
      </c>
      <c r="U360" s="69">
        <v>0</v>
      </c>
      <c r="V360" s="121">
        <f>$AF360*W360</f>
        <v>0</v>
      </c>
      <c r="W360" s="69">
        <v>0</v>
      </c>
      <c r="X360" s="121">
        <f>$AF360*Y360</f>
        <v>0</v>
      </c>
      <c r="Y360" s="69">
        <v>0</v>
      </c>
      <c r="Z360" s="121">
        <f>$AF360*AA360</f>
        <v>0</v>
      </c>
      <c r="AA360" s="69">
        <v>0</v>
      </c>
      <c r="AB360" s="316">
        <f>$AF360*AC360</f>
        <v>0</v>
      </c>
      <c r="AC360" s="69">
        <v>0</v>
      </c>
      <c r="AD360" s="121">
        <f>$AF360*AE360</f>
        <v>0</v>
      </c>
      <c r="AE360" s="69">
        <v>0</v>
      </c>
      <c r="AF360" s="89">
        <f>'Terms and Turnovers'!BD66</f>
        <v>0</v>
      </c>
      <c r="AG360" s="162">
        <f t="shared" si="29"/>
        <v>0</v>
      </c>
      <c r="AH360" s="159">
        <f t="shared" si="30"/>
        <v>0</v>
      </c>
      <c r="AI360" s="137">
        <f t="shared" si="31"/>
        <v>0</v>
      </c>
      <c r="AJ360" s="65"/>
      <c r="AL360" s="461">
        <f>SUM(F360,H360,J360,L360,N360,P360,T360,V360,X360,Z360,AB360,AD360)</f>
        <v>0</v>
      </c>
      <c r="AM360" s="462">
        <f>AL360-AH360</f>
        <v>0</v>
      </c>
      <c r="AO360" s="692"/>
      <c r="AP360" s="692"/>
      <c r="AV360" s="56"/>
    </row>
    <row r="361" spans="1:48" ht="13.5" customHeight="1" outlineLevel="1" thickBot="1">
      <c r="A361" s="119"/>
      <c r="B361" s="82"/>
      <c r="C361" s="425"/>
      <c r="D361" s="425"/>
      <c r="E361" s="426"/>
      <c r="F361" s="427">
        <f>SUM(F356:F360)</f>
        <v>0</v>
      </c>
      <c r="G361" s="428"/>
      <c r="H361" s="427">
        <f>SUM(H356:H360)</f>
        <v>0</v>
      </c>
      <c r="I361" s="69"/>
      <c r="J361" s="427">
        <f>SUM(J356:J360)</f>
        <v>0</v>
      </c>
      <c r="K361" s="69"/>
      <c r="L361" s="427">
        <f>SUM(L356:L360)</f>
        <v>0</v>
      </c>
      <c r="M361" s="69"/>
      <c r="N361" s="427">
        <f>SUM(N356:N360)</f>
        <v>0</v>
      </c>
      <c r="O361" s="69"/>
      <c r="P361" s="427">
        <f>SUM(P356:P360)</f>
        <v>0</v>
      </c>
      <c r="Q361" s="69"/>
      <c r="R361" s="429"/>
      <c r="S361" s="430"/>
      <c r="T361" s="427">
        <f>SUM(T356:T360)</f>
        <v>0</v>
      </c>
      <c r="U361" s="428"/>
      <c r="V361" s="427">
        <f>SUM(V356:V360)</f>
        <v>0</v>
      </c>
      <c r="W361" s="69"/>
      <c r="X361" s="427">
        <f>SUM(X356:X360)</f>
        <v>0</v>
      </c>
      <c r="Y361" s="69"/>
      <c r="Z361" s="427">
        <f>SUM(Z356:Z360)</f>
        <v>0</v>
      </c>
      <c r="AA361" s="69"/>
      <c r="AB361" s="427">
        <f>SUM(AB356:AB360)</f>
        <v>0</v>
      </c>
      <c r="AC361" s="69"/>
      <c r="AD361" s="427">
        <f>SUM(AD356:AD360)</f>
        <v>0</v>
      </c>
      <c r="AE361" s="69"/>
      <c r="AF361" s="429"/>
      <c r="AG361" s="430"/>
      <c r="AH361" s="431"/>
      <c r="AI361" s="432"/>
      <c r="AJ361" s="65"/>
      <c r="AO361" s="692"/>
      <c r="AP361" s="692"/>
      <c r="AV361" s="56"/>
    </row>
    <row r="362" spans="1:48" ht="13.5" customHeight="1" outlineLevel="1" thickBot="1">
      <c r="A362" s="119"/>
      <c r="B362" s="82"/>
      <c r="C362" s="1098" t="s">
        <v>484</v>
      </c>
      <c r="D362" s="433">
        <f>D356</f>
        <v>0</v>
      </c>
      <c r="E362" s="426"/>
      <c r="F362" s="700"/>
      <c r="G362" s="428"/>
      <c r="H362" s="700"/>
      <c r="I362" s="69"/>
      <c r="J362" s="700"/>
      <c r="K362" s="69"/>
      <c r="L362" s="700"/>
      <c r="M362" s="69"/>
      <c r="N362" s="700"/>
      <c r="O362" s="69"/>
      <c r="P362" s="700"/>
      <c r="Q362" s="69"/>
      <c r="R362" s="429"/>
      <c r="S362" s="430"/>
      <c r="T362" s="700"/>
      <c r="U362" s="428"/>
      <c r="V362" s="700"/>
      <c r="W362" s="69"/>
      <c r="X362" s="700"/>
      <c r="Y362" s="69"/>
      <c r="Z362" s="700"/>
      <c r="AA362" s="69"/>
      <c r="AB362" s="700"/>
      <c r="AC362" s="69"/>
      <c r="AD362" s="700"/>
      <c r="AE362" s="69"/>
      <c r="AF362" s="429"/>
      <c r="AG362" s="430"/>
      <c r="AH362" s="431"/>
      <c r="AI362" s="432"/>
      <c r="AJ362" s="65"/>
      <c r="AN362" s="695">
        <v>0</v>
      </c>
      <c r="AO362" s="742"/>
      <c r="AP362" s="742"/>
      <c r="AS362" s="716">
        <f>SUM(AL356:AL360)</f>
        <v>0</v>
      </c>
      <c r="AT362" s="461">
        <f>F362+H362+J362+L362+N362+P362+T362+V362+X362+Z362+AB362+AD362</f>
        <v>0</v>
      </c>
      <c r="AU362" s="745">
        <f>AT362-AS362</f>
        <v>0</v>
      </c>
    </row>
    <row r="363" spans="1:48" ht="13.5" customHeight="1" outlineLevel="1" thickBot="1">
      <c r="B363" s="82">
        <f>B356+1</f>
        <v>52</v>
      </c>
      <c r="C363" s="1230">
        <f>'Terms and Turnovers'!C67</f>
        <v>0</v>
      </c>
      <c r="D363" s="1230">
        <f>'Terms and Turnovers'!D67</f>
        <v>0</v>
      </c>
      <c r="E363" s="83" t="str">
        <f>'Terms and Turnovers'!$J$12</f>
        <v>FLIP-FLOPS</v>
      </c>
      <c r="F363" s="118">
        <f>$R363*G363</f>
        <v>0</v>
      </c>
      <c r="G363" s="69"/>
      <c r="H363" s="314">
        <f>$R363*I363</f>
        <v>0</v>
      </c>
      <c r="I363" s="69">
        <v>0</v>
      </c>
      <c r="J363" s="118">
        <f>$R363*K363</f>
        <v>0</v>
      </c>
      <c r="K363" s="69">
        <v>0</v>
      </c>
      <c r="L363" s="314">
        <f>$R363*M363</f>
        <v>0</v>
      </c>
      <c r="M363" s="69">
        <v>0</v>
      </c>
      <c r="N363" s="314">
        <f>$R363*O363</f>
        <v>0</v>
      </c>
      <c r="O363" s="69">
        <v>0</v>
      </c>
      <c r="P363" s="118">
        <f>$R363*Q363</f>
        <v>0</v>
      </c>
      <c r="Q363" s="69">
        <v>0</v>
      </c>
      <c r="R363" s="87">
        <f>'Terms and Turnovers'!K67</f>
        <v>0</v>
      </c>
      <c r="S363" s="160">
        <f t="shared" si="28"/>
        <v>0</v>
      </c>
      <c r="T363" s="118">
        <f>$AF363*U363</f>
        <v>0</v>
      </c>
      <c r="U363" s="69">
        <v>0</v>
      </c>
      <c r="V363" s="314">
        <f>$AF363*W363</f>
        <v>0</v>
      </c>
      <c r="W363" s="69">
        <v>0</v>
      </c>
      <c r="X363" s="118">
        <f>$AF363*Y363</f>
        <v>0</v>
      </c>
      <c r="Y363" s="69">
        <v>0</v>
      </c>
      <c r="Z363" s="314">
        <f>$AF363*AA363</f>
        <v>0</v>
      </c>
      <c r="AA363" s="69">
        <v>0</v>
      </c>
      <c r="AB363" s="314">
        <f>$AF363*AC363</f>
        <v>0</v>
      </c>
      <c r="AC363" s="69">
        <v>0</v>
      </c>
      <c r="AD363" s="118">
        <f>$AF363*AE363</f>
        <v>0</v>
      </c>
      <c r="AE363" s="69">
        <v>0</v>
      </c>
      <c r="AF363" s="87">
        <f>'Terms and Turnovers'!P67</f>
        <v>0</v>
      </c>
      <c r="AG363" s="160">
        <f t="shared" si="29"/>
        <v>0</v>
      </c>
      <c r="AH363" s="157">
        <f t="shared" si="30"/>
        <v>0</v>
      </c>
      <c r="AI363" s="131">
        <f t="shared" si="31"/>
        <v>0</v>
      </c>
      <c r="AJ363" s="65"/>
      <c r="AL363" s="461">
        <f>SUM(F363,H363,J363,L363,N363,P363,T363,V363,X363,Z363,AB363,AD363)</f>
        <v>0</v>
      </c>
      <c r="AM363" s="462">
        <f>AL363-AH363</f>
        <v>0</v>
      </c>
      <c r="AO363" s="692"/>
      <c r="AP363" s="692"/>
      <c r="AV363" s="56"/>
    </row>
    <row r="364" spans="1:48" ht="13.5" customHeight="1" outlineLevel="1" thickBot="1">
      <c r="B364" s="82"/>
      <c r="C364" s="1231"/>
      <c r="D364" s="1231"/>
      <c r="E364" s="84" t="str">
        <f>'Terms and Turnovers'!$T$12</f>
        <v>ORIGINALS</v>
      </c>
      <c r="F364" s="120">
        <f>$R364*G364</f>
        <v>0</v>
      </c>
      <c r="G364" s="723"/>
      <c r="H364" s="120">
        <f>$R364*I364</f>
        <v>0</v>
      </c>
      <c r="I364" s="69">
        <v>0</v>
      </c>
      <c r="J364" s="120">
        <f>$R364*K364</f>
        <v>0</v>
      </c>
      <c r="K364" s="69">
        <v>0</v>
      </c>
      <c r="L364" s="120">
        <f>$R364*M364</f>
        <v>0</v>
      </c>
      <c r="M364" s="69">
        <v>0</v>
      </c>
      <c r="N364" s="315">
        <f>$R364*O364</f>
        <v>0</v>
      </c>
      <c r="O364" s="69">
        <v>0</v>
      </c>
      <c r="P364" s="120">
        <f>$R364*Q364</f>
        <v>0</v>
      </c>
      <c r="Q364" s="69">
        <v>0</v>
      </c>
      <c r="R364" s="88">
        <f>'Terms and Turnovers'!U67</f>
        <v>0</v>
      </c>
      <c r="S364" s="161">
        <f t="shared" si="28"/>
        <v>0</v>
      </c>
      <c r="T364" s="120">
        <f>$AF364*U364</f>
        <v>0</v>
      </c>
      <c r="U364" s="69">
        <v>0</v>
      </c>
      <c r="V364" s="120">
        <f>$AF364*W364</f>
        <v>0</v>
      </c>
      <c r="W364" s="69">
        <v>0</v>
      </c>
      <c r="X364" s="120">
        <f>$AF364*Y364</f>
        <v>0</v>
      </c>
      <c r="Y364" s="69">
        <v>0</v>
      </c>
      <c r="Z364" s="120">
        <f>$AF364*AA364</f>
        <v>0</v>
      </c>
      <c r="AA364" s="69">
        <v>0</v>
      </c>
      <c r="AB364" s="315">
        <f>$AF364*AC364</f>
        <v>0</v>
      </c>
      <c r="AC364" s="69">
        <v>0</v>
      </c>
      <c r="AD364" s="120">
        <f>$AF364*AE364</f>
        <v>0</v>
      </c>
      <c r="AE364" s="69">
        <v>0</v>
      </c>
      <c r="AF364" s="88">
        <f>'Terms and Turnovers'!Z67</f>
        <v>0</v>
      </c>
      <c r="AG364" s="161">
        <f t="shared" si="29"/>
        <v>0</v>
      </c>
      <c r="AH364" s="158">
        <f t="shared" si="30"/>
        <v>0</v>
      </c>
      <c r="AI364" s="134">
        <f t="shared" si="31"/>
        <v>0</v>
      </c>
      <c r="AJ364" s="65"/>
      <c r="AL364" s="461">
        <f>SUM(F364,H364,J364,L364,N364,P364,T364,V364,X364,Z364,AB364,AD364)</f>
        <v>0</v>
      </c>
      <c r="AM364" s="462">
        <f>AL364-AH364</f>
        <v>0</v>
      </c>
      <c r="AO364" s="692"/>
      <c r="AP364" s="692"/>
      <c r="AV364" s="56"/>
    </row>
    <row r="365" spans="1:48" ht="13.5" customHeight="1" outlineLevel="1" thickBot="1">
      <c r="B365" s="82"/>
      <c r="C365" s="1231"/>
      <c r="D365" s="1231"/>
      <c r="E365" s="84" t="str">
        <f>'Terms and Turnovers'!$AD$12</f>
        <v>ACCESSORIES</v>
      </c>
      <c r="F365" s="120">
        <f>$R365*G365</f>
        <v>0</v>
      </c>
      <c r="G365" s="723"/>
      <c r="H365" s="120">
        <f>$R365*I365</f>
        <v>0</v>
      </c>
      <c r="I365" s="69">
        <v>0</v>
      </c>
      <c r="J365" s="120">
        <f>$R365*K365</f>
        <v>0</v>
      </c>
      <c r="K365" s="69">
        <v>0</v>
      </c>
      <c r="L365" s="120">
        <f>$R365*M365</f>
        <v>0</v>
      </c>
      <c r="M365" s="69">
        <v>0</v>
      </c>
      <c r="N365" s="315">
        <f>$R365*O365</f>
        <v>0</v>
      </c>
      <c r="O365" s="69">
        <v>0</v>
      </c>
      <c r="P365" s="120">
        <f>$R365*Q365</f>
        <v>0</v>
      </c>
      <c r="Q365" s="69">
        <v>0</v>
      </c>
      <c r="R365" s="88">
        <f>'Terms and Turnovers'!AE67</f>
        <v>0</v>
      </c>
      <c r="S365" s="161">
        <f t="shared" si="28"/>
        <v>0</v>
      </c>
      <c r="T365" s="120">
        <f>$AF365*U365</f>
        <v>0</v>
      </c>
      <c r="U365" s="69">
        <v>0</v>
      </c>
      <c r="V365" s="120">
        <f>$AF365*W365</f>
        <v>0</v>
      </c>
      <c r="W365" s="69">
        <v>0</v>
      </c>
      <c r="X365" s="120">
        <f>$AF365*Y365</f>
        <v>0</v>
      </c>
      <c r="Y365" s="69">
        <v>0</v>
      </c>
      <c r="Z365" s="120">
        <f>$AF365*AA365</f>
        <v>0</v>
      </c>
      <c r="AA365" s="69">
        <v>0</v>
      </c>
      <c r="AB365" s="315">
        <f>$AF365*AC365</f>
        <v>0</v>
      </c>
      <c r="AC365" s="69">
        <v>0</v>
      </c>
      <c r="AD365" s="120">
        <f>$AF365*AE365</f>
        <v>0</v>
      </c>
      <c r="AE365" s="69">
        <v>0</v>
      </c>
      <c r="AF365" s="88">
        <f>'Terms and Turnovers'!AJ67</f>
        <v>0</v>
      </c>
      <c r="AG365" s="161">
        <f t="shared" si="29"/>
        <v>0</v>
      </c>
      <c r="AH365" s="158">
        <f t="shared" si="30"/>
        <v>0</v>
      </c>
      <c r="AI365" s="134">
        <f t="shared" si="31"/>
        <v>0</v>
      </c>
      <c r="AJ365" s="65"/>
      <c r="AL365" s="461">
        <f>SUM(F365,H365,J365,L365,N365,P365,T365,V365,X365,Z365,AB365,AD365)</f>
        <v>0</v>
      </c>
      <c r="AM365" s="462">
        <f>AL365-AH365</f>
        <v>0</v>
      </c>
      <c r="AO365" s="692"/>
      <c r="AP365" s="692"/>
      <c r="AV365" s="56"/>
    </row>
    <row r="366" spans="1:48" ht="13.5" customHeight="1" outlineLevel="1" thickBot="1">
      <c r="B366" s="82"/>
      <c r="C366" s="1231"/>
      <c r="D366" s="1231"/>
      <c r="E366" s="84">
        <f>'Terms and Turnovers'!$AN$12</f>
        <v>0</v>
      </c>
      <c r="F366" s="120">
        <f>$R366*G366</f>
        <v>0</v>
      </c>
      <c r="G366" s="723"/>
      <c r="H366" s="120">
        <f>$R366*I366</f>
        <v>0</v>
      </c>
      <c r="I366" s="69">
        <v>0</v>
      </c>
      <c r="J366" s="120">
        <f>$R366*K366</f>
        <v>0</v>
      </c>
      <c r="K366" s="69">
        <v>0</v>
      </c>
      <c r="L366" s="120">
        <f>$R366*M366</f>
        <v>0</v>
      </c>
      <c r="M366" s="69">
        <v>0</v>
      </c>
      <c r="N366" s="315">
        <f>$R366*O366</f>
        <v>0</v>
      </c>
      <c r="O366" s="69">
        <v>0</v>
      </c>
      <c r="P366" s="120">
        <f>$R366*Q366</f>
        <v>0</v>
      </c>
      <c r="Q366" s="69">
        <v>0</v>
      </c>
      <c r="R366" s="88">
        <f>'Terms and Turnovers'!AO67</f>
        <v>0</v>
      </c>
      <c r="S366" s="161">
        <f t="shared" si="28"/>
        <v>0</v>
      </c>
      <c r="T366" s="120">
        <f>$AF366*U366</f>
        <v>0</v>
      </c>
      <c r="U366" s="69">
        <v>0</v>
      </c>
      <c r="V366" s="120">
        <f>$AF366*W366</f>
        <v>0</v>
      </c>
      <c r="W366" s="69">
        <v>0</v>
      </c>
      <c r="X366" s="120">
        <f>$AF366*Y366</f>
        <v>0</v>
      </c>
      <c r="Y366" s="69">
        <v>0</v>
      </c>
      <c r="Z366" s="120">
        <f>$AF366*AA366</f>
        <v>0</v>
      </c>
      <c r="AA366" s="69">
        <v>0</v>
      </c>
      <c r="AB366" s="315">
        <f>$AF366*AC366</f>
        <v>0</v>
      </c>
      <c r="AC366" s="69">
        <v>0</v>
      </c>
      <c r="AD366" s="120">
        <f>$AF366*AE366</f>
        <v>0</v>
      </c>
      <c r="AE366" s="69">
        <v>0</v>
      </c>
      <c r="AF366" s="88">
        <f>'Terms and Turnovers'!AT67</f>
        <v>0</v>
      </c>
      <c r="AG366" s="161">
        <f t="shared" si="29"/>
        <v>0</v>
      </c>
      <c r="AH366" s="158">
        <f t="shared" si="30"/>
        <v>0</v>
      </c>
      <c r="AI366" s="134">
        <f t="shared" si="31"/>
        <v>0</v>
      </c>
      <c r="AJ366" s="65"/>
      <c r="AL366" s="461">
        <f>SUM(F366,H366,J366,L366,N366,P366,T366,V366,X366,Z366,AB366,AD366)</f>
        <v>0</v>
      </c>
      <c r="AM366" s="462">
        <f>AL366-AH366</f>
        <v>0</v>
      </c>
      <c r="AO366" s="692"/>
      <c r="AP366" s="692"/>
      <c r="AV366" s="56"/>
    </row>
    <row r="367" spans="1:48" ht="13.5" customHeight="1" outlineLevel="1" thickBot="1">
      <c r="B367" s="82"/>
      <c r="C367" s="1232"/>
      <c r="D367" s="1232"/>
      <c r="E367" s="85">
        <f>'Terms and Turnovers'!$AX$12</f>
        <v>0</v>
      </c>
      <c r="F367" s="121">
        <f>$R367*G367</f>
        <v>0</v>
      </c>
      <c r="G367" s="72"/>
      <c r="H367" s="121">
        <f>$R367*I367</f>
        <v>0</v>
      </c>
      <c r="I367" s="69">
        <v>0</v>
      </c>
      <c r="J367" s="121">
        <f>$R367*K367</f>
        <v>0</v>
      </c>
      <c r="K367" s="69">
        <v>0</v>
      </c>
      <c r="L367" s="121">
        <f>$R367*M367</f>
        <v>0</v>
      </c>
      <c r="M367" s="69">
        <v>0</v>
      </c>
      <c r="N367" s="316">
        <f>$R367*O367</f>
        <v>0</v>
      </c>
      <c r="O367" s="69">
        <v>0</v>
      </c>
      <c r="P367" s="121">
        <f>$R367*Q367</f>
        <v>0</v>
      </c>
      <c r="Q367" s="69">
        <v>0</v>
      </c>
      <c r="R367" s="89">
        <f>'Terms and Turnovers'!AY67</f>
        <v>0</v>
      </c>
      <c r="S367" s="162">
        <f t="shared" si="28"/>
        <v>0</v>
      </c>
      <c r="T367" s="121">
        <f>$AF367*U367</f>
        <v>0</v>
      </c>
      <c r="U367" s="69">
        <v>0</v>
      </c>
      <c r="V367" s="121">
        <f>$AF367*W367</f>
        <v>0</v>
      </c>
      <c r="W367" s="69">
        <v>0</v>
      </c>
      <c r="X367" s="121">
        <f>$AF367*Y367</f>
        <v>0</v>
      </c>
      <c r="Y367" s="69">
        <v>0</v>
      </c>
      <c r="Z367" s="121">
        <f>$AF367*AA367</f>
        <v>0</v>
      </c>
      <c r="AA367" s="69">
        <v>0</v>
      </c>
      <c r="AB367" s="316">
        <f>$AF367*AC367</f>
        <v>0</v>
      </c>
      <c r="AC367" s="69">
        <v>0</v>
      </c>
      <c r="AD367" s="121">
        <f>$AF367*AE367</f>
        <v>0</v>
      </c>
      <c r="AE367" s="69">
        <v>0</v>
      </c>
      <c r="AF367" s="89">
        <f>'Terms and Turnovers'!BD67</f>
        <v>0</v>
      </c>
      <c r="AG367" s="162">
        <f t="shared" si="29"/>
        <v>0</v>
      </c>
      <c r="AH367" s="159">
        <f t="shared" si="30"/>
        <v>0</v>
      </c>
      <c r="AI367" s="137">
        <f t="shared" si="31"/>
        <v>0</v>
      </c>
      <c r="AJ367" s="65"/>
      <c r="AL367" s="461">
        <f>SUM(F367,H367,J367,L367,N367,P367,T367,V367,X367,Z367,AB367,AD367)</f>
        <v>0</v>
      </c>
      <c r="AM367" s="462">
        <f>AL367-AH367</f>
        <v>0</v>
      </c>
      <c r="AO367" s="692"/>
      <c r="AP367" s="692"/>
      <c r="AV367" s="56"/>
    </row>
    <row r="368" spans="1:48" ht="13.5" customHeight="1" outlineLevel="1" thickBot="1">
      <c r="A368" s="119"/>
      <c r="B368" s="82"/>
      <c r="C368" s="425"/>
      <c r="D368" s="425"/>
      <c r="E368" s="426"/>
      <c r="F368" s="427">
        <f>SUM(F363:F367)</f>
        <v>0</v>
      </c>
      <c r="G368" s="428"/>
      <c r="H368" s="427">
        <f>SUM(H363:H367)</f>
        <v>0</v>
      </c>
      <c r="I368" s="69"/>
      <c r="J368" s="427">
        <f>SUM(J363:J367)</f>
        <v>0</v>
      </c>
      <c r="K368" s="69"/>
      <c r="L368" s="427">
        <f>SUM(L363:L367)</f>
        <v>0</v>
      </c>
      <c r="M368" s="69"/>
      <c r="N368" s="427">
        <f>SUM(N363:N367)</f>
        <v>0</v>
      </c>
      <c r="O368" s="69"/>
      <c r="P368" s="427">
        <f>SUM(P363:P367)</f>
        <v>0</v>
      </c>
      <c r="Q368" s="69"/>
      <c r="R368" s="429"/>
      <c r="S368" s="430"/>
      <c r="T368" s="427">
        <f>SUM(T363:T367)</f>
        <v>0</v>
      </c>
      <c r="U368" s="428"/>
      <c r="V368" s="427">
        <f>SUM(V363:V367)</f>
        <v>0</v>
      </c>
      <c r="W368" s="69"/>
      <c r="X368" s="427">
        <f>SUM(X363:X367)</f>
        <v>0</v>
      </c>
      <c r="Y368" s="69"/>
      <c r="Z368" s="427">
        <f>SUM(Z363:Z367)</f>
        <v>0</v>
      </c>
      <c r="AA368" s="69"/>
      <c r="AB368" s="427">
        <f>SUM(AB363:AB367)</f>
        <v>0</v>
      </c>
      <c r="AC368" s="69"/>
      <c r="AD368" s="427">
        <f>SUM(AD363:AD367)</f>
        <v>0</v>
      </c>
      <c r="AE368" s="69"/>
      <c r="AF368" s="429"/>
      <c r="AG368" s="430"/>
      <c r="AH368" s="431"/>
      <c r="AI368" s="432"/>
      <c r="AJ368" s="65"/>
      <c r="AO368" s="692"/>
      <c r="AP368" s="692"/>
      <c r="AV368" s="56"/>
    </row>
    <row r="369" spans="1:48" ht="13.5" customHeight="1" outlineLevel="1" thickBot="1">
      <c r="A369" s="119"/>
      <c r="B369" s="82"/>
      <c r="C369" s="1098" t="s">
        <v>484</v>
      </c>
      <c r="D369" s="433">
        <f>D363</f>
        <v>0</v>
      </c>
      <c r="E369" s="426"/>
      <c r="F369" s="700"/>
      <c r="G369" s="428"/>
      <c r="H369" s="700"/>
      <c r="I369" s="69"/>
      <c r="J369" s="700"/>
      <c r="K369" s="69"/>
      <c r="L369" s="700"/>
      <c r="M369" s="69"/>
      <c r="N369" s="700"/>
      <c r="O369" s="69"/>
      <c r="P369" s="700"/>
      <c r="Q369" s="69"/>
      <c r="R369" s="429"/>
      <c r="S369" s="430"/>
      <c r="T369" s="700"/>
      <c r="U369" s="428">
        <f>Q368</f>
        <v>0</v>
      </c>
      <c r="V369" s="700"/>
      <c r="W369" s="69">
        <f>S368</f>
        <v>0</v>
      </c>
      <c r="X369" s="700"/>
      <c r="Y369" s="69">
        <f>U368</f>
        <v>0</v>
      </c>
      <c r="Z369" s="700"/>
      <c r="AA369" s="69">
        <f>W368</f>
        <v>0</v>
      </c>
      <c r="AB369" s="700"/>
      <c r="AC369" s="69">
        <f>Y368</f>
        <v>0</v>
      </c>
      <c r="AD369" s="700"/>
      <c r="AE369" s="69"/>
      <c r="AF369" s="429"/>
      <c r="AG369" s="430"/>
      <c r="AH369" s="431"/>
      <c r="AI369" s="432"/>
      <c r="AJ369" s="65"/>
      <c r="AN369" s="695"/>
      <c r="AO369" s="742"/>
      <c r="AP369" s="742"/>
      <c r="AS369" s="716">
        <f>SUM(AL363:AL367)</f>
        <v>0</v>
      </c>
      <c r="AT369" s="461">
        <f>F369+H369+J369+L369+N369+P369+T369+V369+X369+Z369+AB369+AD369</f>
        <v>0</v>
      </c>
      <c r="AU369" s="745">
        <f>AT369-AS369</f>
        <v>0</v>
      </c>
    </row>
    <row r="370" spans="1:48" ht="13.5" customHeight="1" outlineLevel="1" thickBot="1">
      <c r="B370" s="82">
        <f>B363+1</f>
        <v>53</v>
      </c>
      <c r="C370" s="1230">
        <f>'Terms and Turnovers'!C68</f>
        <v>0</v>
      </c>
      <c r="D370" s="1230">
        <f>'Terms and Turnovers'!D68</f>
        <v>0</v>
      </c>
      <c r="E370" s="83" t="str">
        <f>'Terms and Turnovers'!$J$12</f>
        <v>FLIP-FLOPS</v>
      </c>
      <c r="F370" s="118">
        <f t="shared" si="32"/>
        <v>0</v>
      </c>
      <c r="G370" s="69"/>
      <c r="H370" s="314">
        <f t="shared" si="33"/>
        <v>0</v>
      </c>
      <c r="I370" s="69">
        <v>0</v>
      </c>
      <c r="J370" s="118">
        <f t="shared" si="34"/>
        <v>0</v>
      </c>
      <c r="K370" s="69">
        <v>0</v>
      </c>
      <c r="L370" s="314">
        <f t="shared" si="35"/>
        <v>0</v>
      </c>
      <c r="M370" s="69">
        <v>0</v>
      </c>
      <c r="N370" s="314">
        <f t="shared" si="36"/>
        <v>0</v>
      </c>
      <c r="O370" s="69">
        <v>0</v>
      </c>
      <c r="P370" s="118">
        <f t="shared" si="37"/>
        <v>0</v>
      </c>
      <c r="Q370" s="69">
        <v>0</v>
      </c>
      <c r="R370" s="87">
        <f>'Terms and Turnovers'!K68</f>
        <v>0</v>
      </c>
      <c r="S370" s="160">
        <f t="shared" si="28"/>
        <v>0</v>
      </c>
      <c r="T370" s="118">
        <f>$AF370*U370</f>
        <v>0</v>
      </c>
      <c r="U370" s="69">
        <v>0</v>
      </c>
      <c r="V370" s="314">
        <f>$AF370*W370</f>
        <v>0</v>
      </c>
      <c r="W370" s="69">
        <v>0</v>
      </c>
      <c r="X370" s="118">
        <f>$AF370*Y370</f>
        <v>0</v>
      </c>
      <c r="Y370" s="69">
        <v>0</v>
      </c>
      <c r="Z370" s="314">
        <f>$AF370*AA370</f>
        <v>0</v>
      </c>
      <c r="AA370" s="69">
        <v>0</v>
      </c>
      <c r="AB370" s="314">
        <f>$AF370*AC370</f>
        <v>0</v>
      </c>
      <c r="AC370" s="69">
        <v>0</v>
      </c>
      <c r="AD370" s="118">
        <f>$AF370*AE370</f>
        <v>0</v>
      </c>
      <c r="AE370" s="69">
        <v>0</v>
      </c>
      <c r="AF370" s="87">
        <f>'Terms and Turnovers'!P68</f>
        <v>0</v>
      </c>
      <c r="AG370" s="160">
        <f t="shared" si="29"/>
        <v>0</v>
      </c>
      <c r="AH370" s="157">
        <f t="shared" si="30"/>
        <v>0</v>
      </c>
      <c r="AI370" s="131">
        <f t="shared" si="31"/>
        <v>0</v>
      </c>
      <c r="AJ370" s="65"/>
      <c r="AL370" s="461">
        <f>SUM(F370,H370,J370,L370,N370,P370,T370,V370,X370,Z370,AB370,AD370)</f>
        <v>0</v>
      </c>
      <c r="AM370" s="462">
        <f>AL370-AH370</f>
        <v>0</v>
      </c>
      <c r="AO370" s="692"/>
      <c r="AP370" s="692"/>
      <c r="AV370" s="56"/>
    </row>
    <row r="371" spans="1:48" ht="13.5" customHeight="1" outlineLevel="1" thickBot="1">
      <c r="B371" s="82"/>
      <c r="C371" s="1231"/>
      <c r="D371" s="1231"/>
      <c r="E371" s="84" t="str">
        <f>'Terms and Turnovers'!$T$12</f>
        <v>ORIGINALS</v>
      </c>
      <c r="F371" s="120">
        <f t="shared" si="32"/>
        <v>0</v>
      </c>
      <c r="G371" s="723"/>
      <c r="H371" s="120">
        <f t="shared" si="33"/>
        <v>0</v>
      </c>
      <c r="I371" s="69">
        <v>0</v>
      </c>
      <c r="J371" s="120">
        <f t="shared" si="34"/>
        <v>0</v>
      </c>
      <c r="K371" s="69">
        <v>0</v>
      </c>
      <c r="L371" s="120">
        <f t="shared" si="35"/>
        <v>0</v>
      </c>
      <c r="M371" s="69">
        <v>0</v>
      </c>
      <c r="N371" s="315">
        <f t="shared" si="36"/>
        <v>0</v>
      </c>
      <c r="O371" s="69">
        <v>0</v>
      </c>
      <c r="P371" s="120">
        <f t="shared" si="37"/>
        <v>0</v>
      </c>
      <c r="Q371" s="69">
        <v>0</v>
      </c>
      <c r="R371" s="88">
        <f>'Terms and Turnovers'!U68</f>
        <v>0</v>
      </c>
      <c r="S371" s="161">
        <f t="shared" si="28"/>
        <v>0</v>
      </c>
      <c r="T371" s="120">
        <f>$AF371*U371</f>
        <v>0</v>
      </c>
      <c r="U371" s="69">
        <v>0</v>
      </c>
      <c r="V371" s="120">
        <f>$AF371*W371</f>
        <v>0</v>
      </c>
      <c r="W371" s="69">
        <v>0</v>
      </c>
      <c r="X371" s="120">
        <f>$AF371*Y371</f>
        <v>0</v>
      </c>
      <c r="Y371" s="69">
        <v>0</v>
      </c>
      <c r="Z371" s="120">
        <f>$AF371*AA371</f>
        <v>0</v>
      </c>
      <c r="AA371" s="69">
        <v>0</v>
      </c>
      <c r="AB371" s="315">
        <f>$AF371*AC371</f>
        <v>0</v>
      </c>
      <c r="AC371" s="69">
        <v>0</v>
      </c>
      <c r="AD371" s="120">
        <f>$AF371*AE371</f>
        <v>0</v>
      </c>
      <c r="AE371" s="69">
        <v>0</v>
      </c>
      <c r="AF371" s="88">
        <f>'Terms and Turnovers'!Z68</f>
        <v>0</v>
      </c>
      <c r="AG371" s="161">
        <f t="shared" si="29"/>
        <v>0</v>
      </c>
      <c r="AH371" s="158">
        <f t="shared" si="30"/>
        <v>0</v>
      </c>
      <c r="AI371" s="134">
        <f t="shared" si="31"/>
        <v>0</v>
      </c>
      <c r="AJ371" s="65"/>
      <c r="AL371" s="461">
        <f>SUM(F371,H371,J371,L371,N371,P371,T371,V371,X371,Z371,AB371,AD371)</f>
        <v>0</v>
      </c>
      <c r="AM371" s="462">
        <f>AL371-AH371</f>
        <v>0</v>
      </c>
      <c r="AO371" s="692"/>
      <c r="AP371" s="692"/>
      <c r="AV371" s="56"/>
    </row>
    <row r="372" spans="1:48" ht="13.5" customHeight="1" outlineLevel="1" thickBot="1">
      <c r="B372" s="82"/>
      <c r="C372" s="1231"/>
      <c r="D372" s="1231"/>
      <c r="E372" s="84" t="str">
        <f>'Terms and Turnovers'!$AD$12</f>
        <v>ACCESSORIES</v>
      </c>
      <c r="F372" s="120">
        <f t="shared" si="32"/>
        <v>0</v>
      </c>
      <c r="G372" s="723"/>
      <c r="H372" s="120">
        <f t="shared" si="33"/>
        <v>0</v>
      </c>
      <c r="I372" s="69">
        <v>0</v>
      </c>
      <c r="J372" s="120">
        <f t="shared" si="34"/>
        <v>0</v>
      </c>
      <c r="K372" s="69">
        <v>0</v>
      </c>
      <c r="L372" s="120">
        <f t="shared" si="35"/>
        <v>0</v>
      </c>
      <c r="M372" s="69">
        <v>0</v>
      </c>
      <c r="N372" s="315">
        <f t="shared" si="36"/>
        <v>0</v>
      </c>
      <c r="O372" s="69">
        <v>0</v>
      </c>
      <c r="P372" s="120">
        <f t="shared" si="37"/>
        <v>0</v>
      </c>
      <c r="Q372" s="69">
        <v>0</v>
      </c>
      <c r="R372" s="88">
        <f>'Terms and Turnovers'!AE68</f>
        <v>0</v>
      </c>
      <c r="S372" s="161">
        <f t="shared" si="28"/>
        <v>0</v>
      </c>
      <c r="T372" s="120">
        <f>$AF372*U372</f>
        <v>0</v>
      </c>
      <c r="U372" s="69">
        <v>0</v>
      </c>
      <c r="V372" s="120">
        <f>$AF372*W372</f>
        <v>0</v>
      </c>
      <c r="W372" s="69">
        <v>0</v>
      </c>
      <c r="X372" s="120">
        <f>$AF372*Y372</f>
        <v>0</v>
      </c>
      <c r="Y372" s="69">
        <v>0</v>
      </c>
      <c r="Z372" s="120">
        <f>$AF372*AA372</f>
        <v>0</v>
      </c>
      <c r="AA372" s="69">
        <v>0</v>
      </c>
      <c r="AB372" s="315">
        <f>$AF372*AC372</f>
        <v>0</v>
      </c>
      <c r="AC372" s="69">
        <v>0</v>
      </c>
      <c r="AD372" s="120">
        <f>$AF372*AE372</f>
        <v>0</v>
      </c>
      <c r="AE372" s="69">
        <v>0</v>
      </c>
      <c r="AF372" s="88">
        <f>'Terms and Turnovers'!AJ68</f>
        <v>0</v>
      </c>
      <c r="AG372" s="161">
        <f t="shared" si="29"/>
        <v>0</v>
      </c>
      <c r="AH372" s="158">
        <f t="shared" si="30"/>
        <v>0</v>
      </c>
      <c r="AI372" s="134">
        <f t="shared" si="31"/>
        <v>0</v>
      </c>
      <c r="AJ372" s="65"/>
      <c r="AL372" s="461">
        <f>SUM(F372,H372,J372,L372,N372,P372,T372,V372,X372,Z372,AB372,AD372)</f>
        <v>0</v>
      </c>
      <c r="AM372" s="462">
        <f>AL372-AH372</f>
        <v>0</v>
      </c>
      <c r="AO372" s="692"/>
      <c r="AP372" s="692"/>
      <c r="AV372" s="56"/>
    </row>
    <row r="373" spans="1:48" ht="13.5" customHeight="1" outlineLevel="1" thickBot="1">
      <c r="B373" s="82"/>
      <c r="C373" s="1231"/>
      <c r="D373" s="1231"/>
      <c r="E373" s="84">
        <f>'Terms and Turnovers'!$AN$12</f>
        <v>0</v>
      </c>
      <c r="F373" s="120">
        <f t="shared" si="32"/>
        <v>0</v>
      </c>
      <c r="G373" s="723"/>
      <c r="H373" s="120">
        <f t="shared" si="33"/>
        <v>0</v>
      </c>
      <c r="I373" s="69">
        <v>0</v>
      </c>
      <c r="J373" s="120">
        <f t="shared" si="34"/>
        <v>0</v>
      </c>
      <c r="K373" s="69">
        <v>0</v>
      </c>
      <c r="L373" s="120">
        <f t="shared" si="35"/>
        <v>0</v>
      </c>
      <c r="M373" s="69">
        <v>0</v>
      </c>
      <c r="N373" s="315">
        <f t="shared" si="36"/>
        <v>0</v>
      </c>
      <c r="O373" s="69">
        <v>0</v>
      </c>
      <c r="P373" s="120">
        <f t="shared" si="37"/>
        <v>0</v>
      </c>
      <c r="Q373" s="69">
        <v>0</v>
      </c>
      <c r="R373" s="88">
        <f>'Terms and Turnovers'!AO68</f>
        <v>0</v>
      </c>
      <c r="S373" s="161">
        <f t="shared" si="28"/>
        <v>0</v>
      </c>
      <c r="T373" s="120">
        <f>$AF373*U373</f>
        <v>0</v>
      </c>
      <c r="U373" s="69">
        <v>0</v>
      </c>
      <c r="V373" s="120">
        <f>$AF373*W373</f>
        <v>0</v>
      </c>
      <c r="W373" s="69">
        <v>0</v>
      </c>
      <c r="X373" s="120">
        <f>$AF373*Y373</f>
        <v>0</v>
      </c>
      <c r="Y373" s="69">
        <v>0</v>
      </c>
      <c r="Z373" s="120">
        <f>$AF373*AA373</f>
        <v>0</v>
      </c>
      <c r="AA373" s="69">
        <v>0</v>
      </c>
      <c r="AB373" s="315">
        <f>$AF373*AC373</f>
        <v>0</v>
      </c>
      <c r="AC373" s="69">
        <v>0</v>
      </c>
      <c r="AD373" s="120">
        <f>$AF373*AE373</f>
        <v>0</v>
      </c>
      <c r="AE373" s="69">
        <v>0</v>
      </c>
      <c r="AF373" s="88">
        <f>'Terms and Turnovers'!AT68</f>
        <v>0</v>
      </c>
      <c r="AG373" s="161">
        <f t="shared" si="29"/>
        <v>0</v>
      </c>
      <c r="AH373" s="158">
        <f t="shared" si="30"/>
        <v>0</v>
      </c>
      <c r="AI373" s="134">
        <f t="shared" si="31"/>
        <v>0</v>
      </c>
      <c r="AJ373" s="65"/>
      <c r="AL373" s="461">
        <f>SUM(F373,H373,J373,L373,N373,P373,T373,V373,X373,Z373,AB373,AD373)</f>
        <v>0</v>
      </c>
      <c r="AM373" s="462">
        <f>AL373-AH373</f>
        <v>0</v>
      </c>
      <c r="AO373" s="692"/>
      <c r="AP373" s="692"/>
      <c r="AV373" s="56"/>
    </row>
    <row r="374" spans="1:48" ht="13.5" customHeight="1" outlineLevel="1" thickBot="1">
      <c r="B374" s="82"/>
      <c r="C374" s="1232"/>
      <c r="D374" s="1232"/>
      <c r="E374" s="85">
        <f>'Terms and Turnovers'!$AX$12</f>
        <v>0</v>
      </c>
      <c r="F374" s="121">
        <f t="shared" si="32"/>
        <v>0</v>
      </c>
      <c r="G374" s="72"/>
      <c r="H374" s="121">
        <f t="shared" si="33"/>
        <v>0</v>
      </c>
      <c r="I374" s="69">
        <v>0</v>
      </c>
      <c r="J374" s="121">
        <f t="shared" si="34"/>
        <v>0</v>
      </c>
      <c r="K374" s="69">
        <v>0</v>
      </c>
      <c r="L374" s="121">
        <f t="shared" si="35"/>
        <v>0</v>
      </c>
      <c r="M374" s="69">
        <v>0</v>
      </c>
      <c r="N374" s="316">
        <f t="shared" si="36"/>
        <v>0</v>
      </c>
      <c r="O374" s="69">
        <v>0</v>
      </c>
      <c r="P374" s="121">
        <f t="shared" si="37"/>
        <v>0</v>
      </c>
      <c r="Q374" s="69">
        <v>0</v>
      </c>
      <c r="R374" s="89">
        <f>'Terms and Turnovers'!AY68</f>
        <v>0</v>
      </c>
      <c r="S374" s="162">
        <f t="shared" si="28"/>
        <v>0</v>
      </c>
      <c r="T374" s="121">
        <f>$AF374*U374</f>
        <v>0</v>
      </c>
      <c r="U374" s="69">
        <v>0</v>
      </c>
      <c r="V374" s="121">
        <f>$AF374*W374</f>
        <v>0</v>
      </c>
      <c r="W374" s="69">
        <v>0</v>
      </c>
      <c r="X374" s="121">
        <f>$AF374*Y374</f>
        <v>0</v>
      </c>
      <c r="Y374" s="69">
        <v>0</v>
      </c>
      <c r="Z374" s="121">
        <f>$AF374*AA374</f>
        <v>0</v>
      </c>
      <c r="AA374" s="69">
        <v>0</v>
      </c>
      <c r="AB374" s="316">
        <f>$AF374*AC374</f>
        <v>0</v>
      </c>
      <c r="AC374" s="69">
        <v>0</v>
      </c>
      <c r="AD374" s="121">
        <f>$AF374*AE374</f>
        <v>0</v>
      </c>
      <c r="AE374" s="69">
        <v>0</v>
      </c>
      <c r="AF374" s="89">
        <f>'Terms and Turnovers'!BD68</f>
        <v>0</v>
      </c>
      <c r="AG374" s="162">
        <f t="shared" si="29"/>
        <v>0</v>
      </c>
      <c r="AH374" s="159">
        <f t="shared" si="30"/>
        <v>0</v>
      </c>
      <c r="AI374" s="137">
        <f t="shared" si="31"/>
        <v>0</v>
      </c>
      <c r="AJ374" s="65"/>
      <c r="AL374" s="461">
        <f>SUM(F374,H374,J374,L374,N374,P374,T374,V374,X374,Z374,AB374,AD374)</f>
        <v>0</v>
      </c>
      <c r="AM374" s="462">
        <f>AL374-AH374</f>
        <v>0</v>
      </c>
      <c r="AO374" s="692"/>
      <c r="AP374" s="692"/>
      <c r="AV374" s="56"/>
    </row>
    <row r="375" spans="1:48" ht="13.5" customHeight="1" outlineLevel="1" thickBot="1">
      <c r="A375" s="119"/>
      <c r="B375" s="82"/>
      <c r="C375" s="425"/>
      <c r="D375" s="425"/>
      <c r="E375" s="426"/>
      <c r="F375" s="427">
        <f>SUM(F370:F374)</f>
        <v>0</v>
      </c>
      <c r="G375" s="428"/>
      <c r="H375" s="427">
        <f>SUM(H370:H374)</f>
        <v>0</v>
      </c>
      <c r="I375" s="69"/>
      <c r="J375" s="427">
        <f>SUM(J370:J374)</f>
        <v>0</v>
      </c>
      <c r="K375" s="69"/>
      <c r="L375" s="427">
        <f>SUM(L370:L374)</f>
        <v>0</v>
      </c>
      <c r="M375" s="69"/>
      <c r="N375" s="427">
        <f>SUM(N370:N374)</f>
        <v>0</v>
      </c>
      <c r="O375" s="69"/>
      <c r="P375" s="427">
        <f>SUM(P370:P374)</f>
        <v>0</v>
      </c>
      <c r="Q375" s="69"/>
      <c r="R375" s="429"/>
      <c r="S375" s="430"/>
      <c r="T375" s="427">
        <f>SUM(T370:T374)</f>
        <v>0</v>
      </c>
      <c r="U375" s="428"/>
      <c r="V375" s="427">
        <f>SUM(V370:V374)</f>
        <v>0</v>
      </c>
      <c r="W375" s="69"/>
      <c r="X375" s="427">
        <f>SUM(X370:X374)</f>
        <v>0</v>
      </c>
      <c r="Y375" s="69"/>
      <c r="Z375" s="427">
        <f>SUM(Z370:Z374)</f>
        <v>0</v>
      </c>
      <c r="AA375" s="69"/>
      <c r="AB375" s="427">
        <f>SUM(AB370:AB374)</f>
        <v>0</v>
      </c>
      <c r="AC375" s="69"/>
      <c r="AD375" s="427">
        <f>SUM(AD370:AD374)</f>
        <v>0</v>
      </c>
      <c r="AE375" s="69"/>
      <c r="AF375" s="429"/>
      <c r="AG375" s="430"/>
      <c r="AH375" s="431"/>
      <c r="AI375" s="432"/>
      <c r="AJ375" s="65"/>
      <c r="AO375" s="692"/>
      <c r="AP375" s="692"/>
      <c r="AV375" s="56"/>
    </row>
    <row r="376" spans="1:48" ht="13.5" customHeight="1" outlineLevel="1" thickBot="1">
      <c r="A376" s="119"/>
      <c r="B376" s="82"/>
      <c r="C376" s="1098" t="s">
        <v>484</v>
      </c>
      <c r="D376" s="433">
        <f>D370</f>
        <v>0</v>
      </c>
      <c r="E376" s="426"/>
      <c r="F376" s="700"/>
      <c r="G376" s="428"/>
      <c r="H376" s="700"/>
      <c r="I376" s="69"/>
      <c r="J376" s="700"/>
      <c r="K376" s="69"/>
      <c r="L376" s="700"/>
      <c r="M376" s="69"/>
      <c r="N376" s="700"/>
      <c r="O376" s="69"/>
      <c r="P376" s="700"/>
      <c r="Q376" s="69"/>
      <c r="R376" s="429"/>
      <c r="S376" s="430"/>
      <c r="T376" s="700"/>
      <c r="U376" s="428"/>
      <c r="V376" s="700"/>
      <c r="W376" s="69"/>
      <c r="X376" s="700"/>
      <c r="Y376" s="69"/>
      <c r="Z376" s="700"/>
      <c r="AA376" s="69"/>
      <c r="AB376" s="700"/>
      <c r="AC376" s="69"/>
      <c r="AD376" s="700"/>
      <c r="AE376" s="69"/>
      <c r="AF376" s="429"/>
      <c r="AG376" s="430"/>
      <c r="AH376" s="431"/>
      <c r="AI376" s="432"/>
      <c r="AJ376" s="65"/>
      <c r="AN376" s="695"/>
      <c r="AO376" s="742"/>
      <c r="AP376" s="742"/>
      <c r="AS376" s="716">
        <f>SUM(AL370:AL374)</f>
        <v>0</v>
      </c>
      <c r="AT376" s="461">
        <f>F376+H376+J376+L376+N376+P376+T376+V376+X376+Z376+AB376+AD376</f>
        <v>0</v>
      </c>
      <c r="AU376" s="745">
        <f>AT376-AS376</f>
        <v>0</v>
      </c>
    </row>
    <row r="377" spans="1:48" ht="13.5" customHeight="1" outlineLevel="1" thickBot="1">
      <c r="B377" s="82">
        <f>B370+1</f>
        <v>54</v>
      </c>
      <c r="C377" s="1230">
        <f>'Terms and Turnovers'!C69</f>
        <v>0</v>
      </c>
      <c r="D377" s="1230">
        <f>'Terms and Turnovers'!D69</f>
        <v>0</v>
      </c>
      <c r="E377" s="83" t="str">
        <f>'Terms and Turnovers'!$J$12</f>
        <v>FLIP-FLOPS</v>
      </c>
      <c r="F377" s="118">
        <f>$R377*G377</f>
        <v>0</v>
      </c>
      <c r="G377" s="69"/>
      <c r="H377" s="314">
        <f>$R377*I377</f>
        <v>0</v>
      </c>
      <c r="I377" s="69">
        <v>0</v>
      </c>
      <c r="J377" s="118">
        <f>$R377*K377</f>
        <v>0</v>
      </c>
      <c r="K377" s="69">
        <v>0</v>
      </c>
      <c r="L377" s="314">
        <f>$R377*M377</f>
        <v>0</v>
      </c>
      <c r="M377" s="69">
        <v>0</v>
      </c>
      <c r="N377" s="314">
        <f>$R377*O377</f>
        <v>0</v>
      </c>
      <c r="O377" s="69">
        <v>0</v>
      </c>
      <c r="P377" s="118">
        <f>$R377*Q377</f>
        <v>0</v>
      </c>
      <c r="Q377" s="69">
        <v>0</v>
      </c>
      <c r="R377" s="87">
        <f>'Terms and Turnovers'!K69</f>
        <v>0</v>
      </c>
      <c r="S377" s="160">
        <f t="shared" si="28"/>
        <v>0</v>
      </c>
      <c r="T377" s="118">
        <f>$AF377*U377</f>
        <v>0</v>
      </c>
      <c r="U377" s="69">
        <v>0</v>
      </c>
      <c r="V377" s="314">
        <f>$AF377*W377</f>
        <v>0</v>
      </c>
      <c r="W377" s="69">
        <v>0</v>
      </c>
      <c r="X377" s="118">
        <f>$AF377*Y377</f>
        <v>0</v>
      </c>
      <c r="Y377" s="69">
        <v>0</v>
      </c>
      <c r="Z377" s="314">
        <f>$AF377*AA377</f>
        <v>0</v>
      </c>
      <c r="AA377" s="69">
        <v>0</v>
      </c>
      <c r="AB377" s="314">
        <f>$AF377*AC377</f>
        <v>0</v>
      </c>
      <c r="AC377" s="69">
        <v>0</v>
      </c>
      <c r="AD377" s="118">
        <f>$AF377*AE377</f>
        <v>0</v>
      </c>
      <c r="AE377" s="69">
        <v>0</v>
      </c>
      <c r="AF377" s="87">
        <f>'Terms and Turnovers'!P69</f>
        <v>0</v>
      </c>
      <c r="AG377" s="160">
        <f t="shared" si="29"/>
        <v>0</v>
      </c>
      <c r="AH377" s="157">
        <f t="shared" si="30"/>
        <v>0</v>
      </c>
      <c r="AI377" s="131">
        <f t="shared" si="31"/>
        <v>0</v>
      </c>
      <c r="AJ377" s="65"/>
      <c r="AL377" s="461">
        <f>SUM(F377,H377,J377,L377,N377,P377,T377,V377,X377,Z377,AB377,AD377)</f>
        <v>0</v>
      </c>
      <c r="AM377" s="462">
        <f>AL377-AH377</f>
        <v>0</v>
      </c>
      <c r="AO377" s="692"/>
      <c r="AP377" s="692"/>
      <c r="AV377" s="56"/>
    </row>
    <row r="378" spans="1:48" ht="13.5" customHeight="1" outlineLevel="1" thickBot="1">
      <c r="B378" s="82"/>
      <c r="C378" s="1231"/>
      <c r="D378" s="1231"/>
      <c r="E378" s="84" t="str">
        <f>'Terms and Turnovers'!$T$12</f>
        <v>ORIGINALS</v>
      </c>
      <c r="F378" s="120">
        <f>$R378*G378</f>
        <v>0</v>
      </c>
      <c r="G378" s="723"/>
      <c r="H378" s="120">
        <f>$R378*I378</f>
        <v>0</v>
      </c>
      <c r="I378" s="69">
        <v>0</v>
      </c>
      <c r="J378" s="120">
        <f>$R378*K378</f>
        <v>0</v>
      </c>
      <c r="K378" s="69">
        <v>0</v>
      </c>
      <c r="L378" s="120">
        <f>$R378*M378</f>
        <v>0</v>
      </c>
      <c r="M378" s="69">
        <v>0</v>
      </c>
      <c r="N378" s="315">
        <f>$R378*O378</f>
        <v>0</v>
      </c>
      <c r="O378" s="69">
        <v>0</v>
      </c>
      <c r="P378" s="120">
        <f>$R378*Q378</f>
        <v>0</v>
      </c>
      <c r="Q378" s="69">
        <v>0</v>
      </c>
      <c r="R378" s="88">
        <f>'Terms and Turnovers'!U69</f>
        <v>0</v>
      </c>
      <c r="S378" s="161">
        <f t="shared" si="28"/>
        <v>0</v>
      </c>
      <c r="T378" s="120">
        <f>$AF378*U378</f>
        <v>0</v>
      </c>
      <c r="U378" s="69">
        <v>0</v>
      </c>
      <c r="V378" s="120">
        <f>$AF378*W378</f>
        <v>0</v>
      </c>
      <c r="W378" s="69">
        <v>0</v>
      </c>
      <c r="X378" s="120">
        <f>$AF378*Y378</f>
        <v>0</v>
      </c>
      <c r="Y378" s="69">
        <v>0</v>
      </c>
      <c r="Z378" s="120">
        <f>$AF378*AA378</f>
        <v>0</v>
      </c>
      <c r="AA378" s="69">
        <v>0</v>
      </c>
      <c r="AB378" s="315">
        <f>$AF378*AC378</f>
        <v>0</v>
      </c>
      <c r="AC378" s="69">
        <v>0</v>
      </c>
      <c r="AD378" s="120">
        <f>$AF378*AE378</f>
        <v>0</v>
      </c>
      <c r="AE378" s="69">
        <v>0</v>
      </c>
      <c r="AF378" s="88">
        <f>'Terms and Turnovers'!Z69</f>
        <v>0</v>
      </c>
      <c r="AG378" s="161">
        <f t="shared" si="29"/>
        <v>0</v>
      </c>
      <c r="AH378" s="158">
        <f t="shared" si="30"/>
        <v>0</v>
      </c>
      <c r="AI378" s="134">
        <f t="shared" si="31"/>
        <v>0</v>
      </c>
      <c r="AJ378" s="65"/>
      <c r="AL378" s="461">
        <f>SUM(F378,H378,J378,L378,N378,P378,T378,V378,X378,Z378,AB378,AD378)</f>
        <v>0</v>
      </c>
      <c r="AM378" s="462">
        <f>AL378-AH378</f>
        <v>0</v>
      </c>
      <c r="AO378" s="692"/>
      <c r="AP378" s="692"/>
      <c r="AV378" s="56"/>
    </row>
    <row r="379" spans="1:48" ht="13.5" customHeight="1" outlineLevel="1" thickBot="1">
      <c r="B379" s="82"/>
      <c r="C379" s="1231"/>
      <c r="D379" s="1231"/>
      <c r="E379" s="84" t="str">
        <f>'Terms and Turnovers'!$AD$12</f>
        <v>ACCESSORIES</v>
      </c>
      <c r="F379" s="120">
        <f>$R379*G379</f>
        <v>0</v>
      </c>
      <c r="G379" s="723"/>
      <c r="H379" s="120">
        <f>$R379*I379</f>
        <v>0</v>
      </c>
      <c r="I379" s="69">
        <v>0</v>
      </c>
      <c r="J379" s="120">
        <f>$R379*K379</f>
        <v>0</v>
      </c>
      <c r="K379" s="69">
        <v>0</v>
      </c>
      <c r="L379" s="120">
        <f>$R379*M379</f>
        <v>0</v>
      </c>
      <c r="M379" s="69">
        <v>0</v>
      </c>
      <c r="N379" s="315">
        <f>$R379*O379</f>
        <v>0</v>
      </c>
      <c r="O379" s="69">
        <v>0</v>
      </c>
      <c r="P379" s="120">
        <f>$R379*Q379</f>
        <v>0</v>
      </c>
      <c r="Q379" s="69">
        <v>0</v>
      </c>
      <c r="R379" s="88">
        <f>'Terms and Turnovers'!AE69</f>
        <v>0</v>
      </c>
      <c r="S379" s="161">
        <f t="shared" ref="S379:S409" si="38">SUM(G379,I379,K379,M379,O379,Q379)</f>
        <v>0</v>
      </c>
      <c r="T379" s="120">
        <f>$AF379*U379</f>
        <v>0</v>
      </c>
      <c r="U379" s="69">
        <v>0</v>
      </c>
      <c r="V379" s="120">
        <f>$AF379*W379</f>
        <v>0</v>
      </c>
      <c r="W379" s="69">
        <v>0</v>
      </c>
      <c r="X379" s="120">
        <f>$AF379*Y379</f>
        <v>0</v>
      </c>
      <c r="Y379" s="69">
        <v>0</v>
      </c>
      <c r="Z379" s="120">
        <f>$AF379*AA379</f>
        <v>0</v>
      </c>
      <c r="AA379" s="69">
        <v>0</v>
      </c>
      <c r="AB379" s="315">
        <f>$AF379*AC379</f>
        <v>0</v>
      </c>
      <c r="AC379" s="69">
        <v>0</v>
      </c>
      <c r="AD379" s="120">
        <f>$AF379*AE379</f>
        <v>0</v>
      </c>
      <c r="AE379" s="69">
        <v>0</v>
      </c>
      <c r="AF379" s="88">
        <f>'Terms and Turnovers'!AJ69</f>
        <v>0</v>
      </c>
      <c r="AG379" s="161">
        <f t="shared" ref="AG379:AG409" si="39">SUM(U379,W379,Y379,AA379,AC379,AE379)</f>
        <v>0</v>
      </c>
      <c r="AH379" s="158">
        <f t="shared" ref="AH379:AH409" si="40">SUM(R379,AF379)</f>
        <v>0</v>
      </c>
      <c r="AI379" s="134">
        <f t="shared" ref="AI379:AI409" si="41">S379+AG379</f>
        <v>0</v>
      </c>
      <c r="AJ379" s="65"/>
      <c r="AL379" s="461">
        <f>SUM(F379,H379,J379,L379,N379,P379,T379,V379,X379,Z379,AB379,AD379)</f>
        <v>0</v>
      </c>
      <c r="AM379" s="462">
        <f>AL379-AH379</f>
        <v>0</v>
      </c>
      <c r="AO379" s="692"/>
      <c r="AP379" s="692"/>
      <c r="AV379" s="56"/>
    </row>
    <row r="380" spans="1:48" ht="13.5" customHeight="1" outlineLevel="1" thickBot="1">
      <c r="B380" s="82"/>
      <c r="C380" s="1231"/>
      <c r="D380" s="1231"/>
      <c r="E380" s="84">
        <f>'Terms and Turnovers'!$AN$12</f>
        <v>0</v>
      </c>
      <c r="F380" s="120">
        <f>$R380*G380</f>
        <v>0</v>
      </c>
      <c r="G380" s="723"/>
      <c r="H380" s="120">
        <f>$R380*I380</f>
        <v>0</v>
      </c>
      <c r="I380" s="69">
        <v>0</v>
      </c>
      <c r="J380" s="120">
        <f>$R380*K380</f>
        <v>0</v>
      </c>
      <c r="K380" s="69">
        <v>0</v>
      </c>
      <c r="L380" s="120">
        <f>$R380*M380</f>
        <v>0</v>
      </c>
      <c r="M380" s="69">
        <v>0</v>
      </c>
      <c r="N380" s="315">
        <f>$R380*O380</f>
        <v>0</v>
      </c>
      <c r="O380" s="69">
        <v>0</v>
      </c>
      <c r="P380" s="120">
        <f>$R380*Q380</f>
        <v>0</v>
      </c>
      <c r="Q380" s="69">
        <v>0</v>
      </c>
      <c r="R380" s="88">
        <f>'Terms and Turnovers'!AO69</f>
        <v>0</v>
      </c>
      <c r="S380" s="161">
        <f t="shared" si="38"/>
        <v>0</v>
      </c>
      <c r="T380" s="120">
        <f>$AF380*U380</f>
        <v>0</v>
      </c>
      <c r="U380" s="69">
        <v>0</v>
      </c>
      <c r="V380" s="120">
        <f>$AF380*W380</f>
        <v>0</v>
      </c>
      <c r="W380" s="69">
        <v>0</v>
      </c>
      <c r="X380" s="120">
        <f>$AF380*Y380</f>
        <v>0</v>
      </c>
      <c r="Y380" s="69">
        <v>0</v>
      </c>
      <c r="Z380" s="120">
        <f>$AF380*AA380</f>
        <v>0</v>
      </c>
      <c r="AA380" s="69">
        <v>0</v>
      </c>
      <c r="AB380" s="315">
        <f>$AF380*AC380</f>
        <v>0</v>
      </c>
      <c r="AC380" s="69">
        <v>0</v>
      </c>
      <c r="AD380" s="120">
        <f>$AF380*AE380</f>
        <v>0</v>
      </c>
      <c r="AE380" s="69">
        <v>0</v>
      </c>
      <c r="AF380" s="88">
        <f>'Terms and Turnovers'!AT69</f>
        <v>0</v>
      </c>
      <c r="AG380" s="161">
        <f t="shared" si="39"/>
        <v>0</v>
      </c>
      <c r="AH380" s="158">
        <f t="shared" si="40"/>
        <v>0</v>
      </c>
      <c r="AI380" s="134">
        <f t="shared" si="41"/>
        <v>0</v>
      </c>
      <c r="AJ380" s="65"/>
      <c r="AL380" s="461">
        <f>SUM(F380,H380,J380,L380,N380,P380,T380,V380,X380,Z380,AB380,AD380)</f>
        <v>0</v>
      </c>
      <c r="AM380" s="462">
        <f>AL380-AH380</f>
        <v>0</v>
      </c>
      <c r="AO380" s="692"/>
      <c r="AP380" s="692"/>
      <c r="AV380" s="56"/>
    </row>
    <row r="381" spans="1:48" ht="13.5" customHeight="1" outlineLevel="1" thickBot="1">
      <c r="B381" s="82"/>
      <c r="C381" s="1232"/>
      <c r="D381" s="1232"/>
      <c r="E381" s="85">
        <f>'Terms and Turnovers'!$AX$12</f>
        <v>0</v>
      </c>
      <c r="F381" s="121">
        <f>$R381*G381</f>
        <v>0</v>
      </c>
      <c r="G381" s="72"/>
      <c r="H381" s="121">
        <f>$R381*I381</f>
        <v>0</v>
      </c>
      <c r="I381" s="69">
        <v>0</v>
      </c>
      <c r="J381" s="121">
        <f>$R381*K381</f>
        <v>0</v>
      </c>
      <c r="K381" s="69">
        <v>0</v>
      </c>
      <c r="L381" s="121">
        <f>$R381*M381</f>
        <v>0</v>
      </c>
      <c r="M381" s="69">
        <v>0</v>
      </c>
      <c r="N381" s="316">
        <f>$R381*O381</f>
        <v>0</v>
      </c>
      <c r="O381" s="69">
        <v>0</v>
      </c>
      <c r="P381" s="121">
        <f>$R381*Q381</f>
        <v>0</v>
      </c>
      <c r="Q381" s="69">
        <v>0</v>
      </c>
      <c r="R381" s="89">
        <f>'Terms and Turnovers'!AY69</f>
        <v>0</v>
      </c>
      <c r="S381" s="162">
        <f t="shared" si="38"/>
        <v>0</v>
      </c>
      <c r="T381" s="121">
        <f>$AF381*U381</f>
        <v>0</v>
      </c>
      <c r="U381" s="69">
        <v>0</v>
      </c>
      <c r="V381" s="121">
        <f>$AF381*W381</f>
        <v>0</v>
      </c>
      <c r="W381" s="69">
        <v>0</v>
      </c>
      <c r="X381" s="121">
        <f>$AF381*Y381</f>
        <v>0</v>
      </c>
      <c r="Y381" s="69">
        <v>0</v>
      </c>
      <c r="Z381" s="121">
        <f>$AF381*AA381</f>
        <v>0</v>
      </c>
      <c r="AA381" s="69">
        <v>0</v>
      </c>
      <c r="AB381" s="316">
        <f>$AF381*AC381</f>
        <v>0</v>
      </c>
      <c r="AC381" s="69">
        <v>0</v>
      </c>
      <c r="AD381" s="121">
        <f>$AF381*AE381</f>
        <v>0</v>
      </c>
      <c r="AE381" s="69">
        <v>0</v>
      </c>
      <c r="AF381" s="89">
        <f>'Terms and Turnovers'!BD69</f>
        <v>0</v>
      </c>
      <c r="AG381" s="162">
        <f t="shared" si="39"/>
        <v>0</v>
      </c>
      <c r="AH381" s="159">
        <f t="shared" si="40"/>
        <v>0</v>
      </c>
      <c r="AI381" s="137">
        <f t="shared" si="41"/>
        <v>0</v>
      </c>
      <c r="AJ381" s="65"/>
      <c r="AL381" s="461">
        <f>SUM(F381,H381,J381,L381,N381,P381,T381,V381,X381,Z381,AB381,AD381)</f>
        <v>0</v>
      </c>
      <c r="AM381" s="462">
        <f>AL381-AH381</f>
        <v>0</v>
      </c>
      <c r="AO381" s="692"/>
      <c r="AP381" s="692"/>
      <c r="AV381" s="56"/>
    </row>
    <row r="382" spans="1:48" ht="13.5" customHeight="1" outlineLevel="1" thickBot="1">
      <c r="A382" s="119"/>
      <c r="B382" s="82"/>
      <c r="C382" s="425"/>
      <c r="D382" s="425"/>
      <c r="E382" s="426"/>
      <c r="F382" s="427">
        <f>SUM(F377:F381)</f>
        <v>0</v>
      </c>
      <c r="G382" s="428"/>
      <c r="H382" s="427">
        <f>SUM(H377:H381)</f>
        <v>0</v>
      </c>
      <c r="I382" s="69"/>
      <c r="J382" s="427">
        <f>SUM(J377:J381)</f>
        <v>0</v>
      </c>
      <c r="K382" s="69"/>
      <c r="L382" s="427">
        <f>SUM(L377:L381)</f>
        <v>0</v>
      </c>
      <c r="M382" s="69"/>
      <c r="N382" s="427">
        <f>SUM(N377:N381)</f>
        <v>0</v>
      </c>
      <c r="O382" s="69"/>
      <c r="P382" s="427">
        <f>SUM(P377:P381)</f>
        <v>0</v>
      </c>
      <c r="Q382" s="69"/>
      <c r="R382" s="429"/>
      <c r="S382" s="430"/>
      <c r="T382" s="427">
        <f>SUM(T377:T381)</f>
        <v>0</v>
      </c>
      <c r="U382" s="428"/>
      <c r="V382" s="427">
        <f>SUM(V377:V381)</f>
        <v>0</v>
      </c>
      <c r="W382" s="69"/>
      <c r="X382" s="427">
        <f>SUM(X377:X381)</f>
        <v>0</v>
      </c>
      <c r="Y382" s="69"/>
      <c r="Z382" s="427">
        <f>SUM(Z377:Z381)</f>
        <v>0</v>
      </c>
      <c r="AA382" s="69"/>
      <c r="AB382" s="427">
        <f>SUM(AB377:AB381)</f>
        <v>0</v>
      </c>
      <c r="AC382" s="69"/>
      <c r="AD382" s="427">
        <f>SUM(AD377:AD381)</f>
        <v>0</v>
      </c>
      <c r="AE382" s="69"/>
      <c r="AF382" s="429"/>
      <c r="AG382" s="430"/>
      <c r="AH382" s="431"/>
      <c r="AI382" s="432"/>
      <c r="AJ382" s="65"/>
      <c r="AO382" s="692"/>
      <c r="AP382" s="692"/>
      <c r="AV382" s="56"/>
    </row>
    <row r="383" spans="1:48" ht="13.5" customHeight="1" outlineLevel="1" thickBot="1">
      <c r="A383" s="119"/>
      <c r="B383" s="82"/>
      <c r="C383" s="1098" t="s">
        <v>484</v>
      </c>
      <c r="D383" s="433">
        <f>D377</f>
        <v>0</v>
      </c>
      <c r="E383" s="426"/>
      <c r="F383" s="700"/>
      <c r="G383" s="428"/>
      <c r="H383" s="700"/>
      <c r="I383" s="69"/>
      <c r="J383" s="700"/>
      <c r="K383" s="69"/>
      <c r="L383" s="700"/>
      <c r="M383" s="69"/>
      <c r="N383" s="700"/>
      <c r="O383" s="69"/>
      <c r="P383" s="700"/>
      <c r="Q383" s="69"/>
      <c r="R383" s="429"/>
      <c r="S383" s="430"/>
      <c r="T383" s="700"/>
      <c r="U383" s="428">
        <f>Q382</f>
        <v>0</v>
      </c>
      <c r="V383" s="700"/>
      <c r="W383" s="69">
        <f>S382</f>
        <v>0</v>
      </c>
      <c r="X383" s="700"/>
      <c r="Y383" s="69">
        <f>U382</f>
        <v>0</v>
      </c>
      <c r="Z383" s="700"/>
      <c r="AA383" s="69">
        <f>W382</f>
        <v>0</v>
      </c>
      <c r="AB383" s="700"/>
      <c r="AC383" s="69">
        <f>Y382</f>
        <v>0</v>
      </c>
      <c r="AD383" s="700"/>
      <c r="AE383" s="69"/>
      <c r="AF383" s="429"/>
      <c r="AG383" s="430"/>
      <c r="AH383" s="431"/>
      <c r="AI383" s="432"/>
      <c r="AJ383" s="65"/>
      <c r="AN383" s="695"/>
      <c r="AO383" s="742"/>
      <c r="AP383" s="742"/>
      <c r="AS383" s="716">
        <f>SUM(AL377:AL381)</f>
        <v>0</v>
      </c>
      <c r="AT383" s="461">
        <f>F383+H383+J383+L383+N383+P383+T383+V383+X383+Z383+AB383+AD383</f>
        <v>0</v>
      </c>
      <c r="AU383" s="745">
        <f>AT383-AS383</f>
        <v>0</v>
      </c>
    </row>
    <row r="384" spans="1:48" ht="13.5" customHeight="1" outlineLevel="1" thickBot="1">
      <c r="B384" s="82">
        <f>B377+1</f>
        <v>55</v>
      </c>
      <c r="C384" s="1230">
        <f>'Terms and Turnovers'!C70</f>
        <v>0</v>
      </c>
      <c r="D384" s="1230">
        <f>'Terms and Turnovers'!D70</f>
        <v>0</v>
      </c>
      <c r="E384" s="83" t="str">
        <f>'Terms and Turnovers'!$J$12</f>
        <v>FLIP-FLOPS</v>
      </c>
      <c r="F384" s="118">
        <f>$R384*G384</f>
        <v>0</v>
      </c>
      <c r="G384" s="69"/>
      <c r="H384" s="314">
        <f>$R384*I384</f>
        <v>0</v>
      </c>
      <c r="I384" s="69">
        <v>0</v>
      </c>
      <c r="J384" s="118">
        <f>$R384*K384</f>
        <v>0</v>
      </c>
      <c r="K384" s="69">
        <v>0</v>
      </c>
      <c r="L384" s="314">
        <f>$R384*M384</f>
        <v>0</v>
      </c>
      <c r="M384" s="69">
        <v>0</v>
      </c>
      <c r="N384" s="314">
        <f>$R384*O384</f>
        <v>0</v>
      </c>
      <c r="O384" s="69">
        <v>0</v>
      </c>
      <c r="P384" s="118">
        <f>$R384*Q384</f>
        <v>0</v>
      </c>
      <c r="Q384" s="69">
        <v>0</v>
      </c>
      <c r="R384" s="87">
        <f>'Terms and Turnovers'!K70</f>
        <v>0</v>
      </c>
      <c r="S384" s="160">
        <f t="shared" si="38"/>
        <v>0</v>
      </c>
      <c r="T384" s="118">
        <f>$AF384*U384</f>
        <v>0</v>
      </c>
      <c r="U384" s="69">
        <v>0</v>
      </c>
      <c r="V384" s="314">
        <f>$AF384*W384</f>
        <v>0</v>
      </c>
      <c r="W384" s="69">
        <v>0</v>
      </c>
      <c r="X384" s="118">
        <f>$AF384*Y384</f>
        <v>0</v>
      </c>
      <c r="Y384" s="69">
        <v>0</v>
      </c>
      <c r="Z384" s="314">
        <f>$AF384*AA384</f>
        <v>0</v>
      </c>
      <c r="AA384" s="69">
        <v>0</v>
      </c>
      <c r="AB384" s="314">
        <f>$AF384*AC384</f>
        <v>0</v>
      </c>
      <c r="AC384" s="69">
        <v>0</v>
      </c>
      <c r="AD384" s="118">
        <f>$AF384*AE384</f>
        <v>0</v>
      </c>
      <c r="AE384" s="69">
        <v>0</v>
      </c>
      <c r="AF384" s="87">
        <f>'Terms and Turnovers'!P70</f>
        <v>0</v>
      </c>
      <c r="AG384" s="160">
        <f t="shared" si="39"/>
        <v>0</v>
      </c>
      <c r="AH384" s="157">
        <f t="shared" si="40"/>
        <v>0</v>
      </c>
      <c r="AI384" s="131">
        <f t="shared" si="41"/>
        <v>0</v>
      </c>
      <c r="AJ384" s="65"/>
      <c r="AL384" s="461">
        <f>SUM(F384,H384,J384,L384,N384,P384,T384,V384,X384,Z384,AB384,AD384)</f>
        <v>0</v>
      </c>
      <c r="AM384" s="462">
        <f>AL384-AH384</f>
        <v>0</v>
      </c>
      <c r="AO384" s="692"/>
      <c r="AP384" s="692"/>
      <c r="AV384" s="56"/>
    </row>
    <row r="385" spans="1:48" ht="13.5" customHeight="1" outlineLevel="1" thickBot="1">
      <c r="B385" s="82"/>
      <c r="C385" s="1231"/>
      <c r="D385" s="1231"/>
      <c r="E385" s="84" t="str">
        <f>'Terms and Turnovers'!$T$12</f>
        <v>ORIGINALS</v>
      </c>
      <c r="F385" s="120">
        <f>$R385*G385</f>
        <v>0</v>
      </c>
      <c r="G385" s="723"/>
      <c r="H385" s="120">
        <f>$R385*I385</f>
        <v>0</v>
      </c>
      <c r="I385" s="69">
        <v>0</v>
      </c>
      <c r="J385" s="120">
        <f>$R385*K385</f>
        <v>0</v>
      </c>
      <c r="K385" s="69">
        <v>0</v>
      </c>
      <c r="L385" s="120">
        <f>$R385*M385</f>
        <v>0</v>
      </c>
      <c r="M385" s="69">
        <v>0</v>
      </c>
      <c r="N385" s="315">
        <f>$R385*O385</f>
        <v>0</v>
      </c>
      <c r="O385" s="69">
        <v>0</v>
      </c>
      <c r="P385" s="120">
        <f>$R385*Q385</f>
        <v>0</v>
      </c>
      <c r="Q385" s="69">
        <v>0</v>
      </c>
      <c r="R385" s="88">
        <f>'Terms and Turnovers'!U70</f>
        <v>0</v>
      </c>
      <c r="S385" s="161">
        <f t="shared" si="38"/>
        <v>0</v>
      </c>
      <c r="T385" s="120">
        <f>$AF385*U385</f>
        <v>0</v>
      </c>
      <c r="U385" s="69">
        <v>0</v>
      </c>
      <c r="V385" s="120">
        <f>$AF385*W385</f>
        <v>0</v>
      </c>
      <c r="W385" s="69">
        <v>0</v>
      </c>
      <c r="X385" s="120">
        <f>$AF385*Y385</f>
        <v>0</v>
      </c>
      <c r="Y385" s="69">
        <v>0</v>
      </c>
      <c r="Z385" s="120">
        <f>$AF385*AA385</f>
        <v>0</v>
      </c>
      <c r="AA385" s="69">
        <v>0</v>
      </c>
      <c r="AB385" s="315">
        <f>$AF385*AC385</f>
        <v>0</v>
      </c>
      <c r="AC385" s="69">
        <v>0</v>
      </c>
      <c r="AD385" s="120">
        <f>$AF385*AE385</f>
        <v>0</v>
      </c>
      <c r="AE385" s="69">
        <v>0</v>
      </c>
      <c r="AF385" s="88">
        <f>'Terms and Turnovers'!Z70</f>
        <v>0</v>
      </c>
      <c r="AG385" s="161">
        <f t="shared" si="39"/>
        <v>0</v>
      </c>
      <c r="AH385" s="158">
        <f t="shared" si="40"/>
        <v>0</v>
      </c>
      <c r="AI385" s="134">
        <f t="shared" si="41"/>
        <v>0</v>
      </c>
      <c r="AJ385" s="65"/>
      <c r="AL385" s="461">
        <f>SUM(F385,H385,J385,L385,N385,P385,T385,V385,X385,Z385,AB385,AD385)</f>
        <v>0</v>
      </c>
      <c r="AM385" s="462">
        <f>AL385-AH385</f>
        <v>0</v>
      </c>
      <c r="AO385" s="692"/>
      <c r="AP385" s="692"/>
      <c r="AV385" s="56"/>
    </row>
    <row r="386" spans="1:48" ht="13.5" customHeight="1" outlineLevel="1" thickBot="1">
      <c r="B386" s="82"/>
      <c r="C386" s="1231"/>
      <c r="D386" s="1231"/>
      <c r="E386" s="84" t="str">
        <f>'Terms and Turnovers'!$AD$12</f>
        <v>ACCESSORIES</v>
      </c>
      <c r="F386" s="120">
        <f>$R386*G386</f>
        <v>0</v>
      </c>
      <c r="G386" s="723"/>
      <c r="H386" s="120">
        <f>$R386*I386</f>
        <v>0</v>
      </c>
      <c r="I386" s="69">
        <v>0</v>
      </c>
      <c r="J386" s="120">
        <f>$R386*K386</f>
        <v>0</v>
      </c>
      <c r="K386" s="69">
        <v>0</v>
      </c>
      <c r="L386" s="120">
        <f>$R386*M386</f>
        <v>0</v>
      </c>
      <c r="M386" s="69">
        <v>0</v>
      </c>
      <c r="N386" s="315">
        <f>$R386*O386</f>
        <v>0</v>
      </c>
      <c r="O386" s="69">
        <v>0</v>
      </c>
      <c r="P386" s="120">
        <f>$R386*Q386</f>
        <v>0</v>
      </c>
      <c r="Q386" s="69">
        <v>0</v>
      </c>
      <c r="R386" s="88">
        <f>'Terms and Turnovers'!AE70</f>
        <v>0</v>
      </c>
      <c r="S386" s="161">
        <f t="shared" si="38"/>
        <v>0</v>
      </c>
      <c r="T386" s="120">
        <f>$AF386*U386</f>
        <v>0</v>
      </c>
      <c r="U386" s="69">
        <v>0</v>
      </c>
      <c r="V386" s="120">
        <f>$AF386*W386</f>
        <v>0</v>
      </c>
      <c r="W386" s="69">
        <v>0</v>
      </c>
      <c r="X386" s="120">
        <f>$AF386*Y386</f>
        <v>0</v>
      </c>
      <c r="Y386" s="69">
        <v>0</v>
      </c>
      <c r="Z386" s="120">
        <f>$AF386*AA386</f>
        <v>0</v>
      </c>
      <c r="AA386" s="69">
        <v>0</v>
      </c>
      <c r="AB386" s="315">
        <f>$AF386*AC386</f>
        <v>0</v>
      </c>
      <c r="AC386" s="69">
        <v>0</v>
      </c>
      <c r="AD386" s="120">
        <f>$AF386*AE386</f>
        <v>0</v>
      </c>
      <c r="AE386" s="69">
        <v>0</v>
      </c>
      <c r="AF386" s="88">
        <f>'Terms and Turnovers'!AJ70</f>
        <v>0</v>
      </c>
      <c r="AG386" s="161">
        <f t="shared" si="39"/>
        <v>0</v>
      </c>
      <c r="AH386" s="158">
        <f t="shared" si="40"/>
        <v>0</v>
      </c>
      <c r="AI386" s="134">
        <f t="shared" si="41"/>
        <v>0</v>
      </c>
      <c r="AJ386" s="65"/>
      <c r="AL386" s="461">
        <f>SUM(F386,H386,J386,L386,N386,P386,T386,V386,X386,Z386,AB386,AD386)</f>
        <v>0</v>
      </c>
      <c r="AM386" s="462">
        <f>AL386-AH386</f>
        <v>0</v>
      </c>
      <c r="AO386" s="692"/>
      <c r="AP386" s="692"/>
      <c r="AV386" s="56"/>
    </row>
    <row r="387" spans="1:48" ht="13.5" customHeight="1" outlineLevel="1" thickBot="1">
      <c r="B387" s="82"/>
      <c r="C387" s="1231"/>
      <c r="D387" s="1231"/>
      <c r="E387" s="84">
        <f>'Terms and Turnovers'!$AN$12</f>
        <v>0</v>
      </c>
      <c r="F387" s="120">
        <f>$R387*G387</f>
        <v>0</v>
      </c>
      <c r="G387" s="723"/>
      <c r="H387" s="120">
        <f>$R387*I387</f>
        <v>0</v>
      </c>
      <c r="I387" s="69">
        <v>0</v>
      </c>
      <c r="J387" s="120">
        <f>$R387*K387</f>
        <v>0</v>
      </c>
      <c r="K387" s="69">
        <v>0</v>
      </c>
      <c r="L387" s="120">
        <f>$R387*M387</f>
        <v>0</v>
      </c>
      <c r="M387" s="69">
        <v>0</v>
      </c>
      <c r="N387" s="315">
        <f>$R387*O387</f>
        <v>0</v>
      </c>
      <c r="O387" s="69">
        <v>0</v>
      </c>
      <c r="P387" s="120">
        <f>$R387*Q387</f>
        <v>0</v>
      </c>
      <c r="Q387" s="69">
        <v>0</v>
      </c>
      <c r="R387" s="88">
        <f>'Terms and Turnovers'!AO70</f>
        <v>0</v>
      </c>
      <c r="S387" s="161">
        <f t="shared" si="38"/>
        <v>0</v>
      </c>
      <c r="T387" s="120">
        <f>$AF387*U387</f>
        <v>0</v>
      </c>
      <c r="U387" s="69">
        <v>0</v>
      </c>
      <c r="V387" s="120">
        <f>$AF387*W387</f>
        <v>0</v>
      </c>
      <c r="W387" s="69">
        <v>0</v>
      </c>
      <c r="X387" s="120">
        <f>$AF387*Y387</f>
        <v>0</v>
      </c>
      <c r="Y387" s="69">
        <v>0</v>
      </c>
      <c r="Z387" s="120">
        <f>$AF387*AA387</f>
        <v>0</v>
      </c>
      <c r="AA387" s="69">
        <v>0</v>
      </c>
      <c r="AB387" s="315">
        <f>$AF387*AC387</f>
        <v>0</v>
      </c>
      <c r="AC387" s="69">
        <v>0</v>
      </c>
      <c r="AD387" s="120">
        <f>$AF387*AE387</f>
        <v>0</v>
      </c>
      <c r="AE387" s="69">
        <v>0</v>
      </c>
      <c r="AF387" s="88">
        <f>'Terms and Turnovers'!AT70</f>
        <v>0</v>
      </c>
      <c r="AG387" s="161">
        <f t="shared" si="39"/>
        <v>0</v>
      </c>
      <c r="AH387" s="158">
        <f t="shared" si="40"/>
        <v>0</v>
      </c>
      <c r="AI387" s="134">
        <f t="shared" si="41"/>
        <v>0</v>
      </c>
      <c r="AJ387" s="65"/>
      <c r="AL387" s="461">
        <f>SUM(F387,H387,J387,L387,N387,P387,T387,V387,X387,Z387,AB387,AD387)</f>
        <v>0</v>
      </c>
      <c r="AM387" s="462">
        <f>AL387-AH387</f>
        <v>0</v>
      </c>
      <c r="AO387" s="692"/>
      <c r="AP387" s="692"/>
      <c r="AV387" s="56"/>
    </row>
    <row r="388" spans="1:48" ht="13.5" customHeight="1" outlineLevel="1" thickBot="1">
      <c r="B388" s="82"/>
      <c r="C388" s="1232"/>
      <c r="D388" s="1232"/>
      <c r="E388" s="85">
        <f>'Terms and Turnovers'!$AX$12</f>
        <v>0</v>
      </c>
      <c r="F388" s="121">
        <f>$R388*G388</f>
        <v>0</v>
      </c>
      <c r="G388" s="72"/>
      <c r="H388" s="121">
        <f>$R388*I388</f>
        <v>0</v>
      </c>
      <c r="I388" s="69">
        <v>0</v>
      </c>
      <c r="J388" s="121">
        <f>$R388*K388</f>
        <v>0</v>
      </c>
      <c r="K388" s="69">
        <v>0</v>
      </c>
      <c r="L388" s="121">
        <f>$R388*M388</f>
        <v>0</v>
      </c>
      <c r="M388" s="69">
        <v>0</v>
      </c>
      <c r="N388" s="316">
        <f>$R388*O388</f>
        <v>0</v>
      </c>
      <c r="O388" s="69">
        <v>0</v>
      </c>
      <c r="P388" s="121">
        <f>$R388*Q388</f>
        <v>0</v>
      </c>
      <c r="Q388" s="69">
        <v>0</v>
      </c>
      <c r="R388" s="89">
        <f>'Terms and Turnovers'!AY70</f>
        <v>0</v>
      </c>
      <c r="S388" s="162">
        <f t="shared" si="38"/>
        <v>0</v>
      </c>
      <c r="T388" s="121">
        <f>$AF388*U388</f>
        <v>0</v>
      </c>
      <c r="U388" s="69">
        <v>0</v>
      </c>
      <c r="V388" s="121">
        <f>$AF388*W388</f>
        <v>0</v>
      </c>
      <c r="W388" s="69">
        <v>0</v>
      </c>
      <c r="X388" s="121">
        <f>$AF388*Y388</f>
        <v>0</v>
      </c>
      <c r="Y388" s="69">
        <v>0</v>
      </c>
      <c r="Z388" s="121">
        <f>$AF388*AA388</f>
        <v>0</v>
      </c>
      <c r="AA388" s="69">
        <v>0</v>
      </c>
      <c r="AB388" s="316">
        <f>$AF388*AC388</f>
        <v>0</v>
      </c>
      <c r="AC388" s="69">
        <v>0</v>
      </c>
      <c r="AD388" s="121">
        <f>$AF388*AE388</f>
        <v>0</v>
      </c>
      <c r="AE388" s="69">
        <v>0</v>
      </c>
      <c r="AF388" s="89">
        <f>'Terms and Turnovers'!BD70</f>
        <v>0</v>
      </c>
      <c r="AG388" s="162">
        <f t="shared" si="39"/>
        <v>0</v>
      </c>
      <c r="AH388" s="159">
        <f t="shared" si="40"/>
        <v>0</v>
      </c>
      <c r="AI388" s="137">
        <f t="shared" si="41"/>
        <v>0</v>
      </c>
      <c r="AJ388" s="65"/>
      <c r="AL388" s="461">
        <f>SUM(F388,H388,J388,L388,N388,P388,T388,V388,X388,Z388,AB388,AD388)</f>
        <v>0</v>
      </c>
      <c r="AM388" s="462">
        <f>AL388-AH388</f>
        <v>0</v>
      </c>
      <c r="AO388" s="692"/>
      <c r="AP388" s="692"/>
      <c r="AV388" s="56"/>
    </row>
    <row r="389" spans="1:48" ht="13.5" customHeight="1" outlineLevel="1" thickBot="1">
      <c r="A389" s="119"/>
      <c r="B389" s="82"/>
      <c r="C389" s="425"/>
      <c r="D389" s="425"/>
      <c r="E389" s="426"/>
      <c r="F389" s="427">
        <f>SUM(F384:F388)</f>
        <v>0</v>
      </c>
      <c r="G389" s="428"/>
      <c r="H389" s="427">
        <f>SUM(H384:H388)</f>
        <v>0</v>
      </c>
      <c r="I389" s="69"/>
      <c r="J389" s="427">
        <f>SUM(J384:J388)</f>
        <v>0</v>
      </c>
      <c r="K389" s="69"/>
      <c r="L389" s="427">
        <f>SUM(L384:L388)</f>
        <v>0</v>
      </c>
      <c r="M389" s="69"/>
      <c r="N389" s="427">
        <f>SUM(N384:N388)</f>
        <v>0</v>
      </c>
      <c r="O389" s="69"/>
      <c r="P389" s="427">
        <f>SUM(P384:P388)</f>
        <v>0</v>
      </c>
      <c r="Q389" s="69"/>
      <c r="R389" s="429"/>
      <c r="S389" s="430"/>
      <c r="T389" s="427">
        <f>SUM(T384:T388)</f>
        <v>0</v>
      </c>
      <c r="U389" s="428"/>
      <c r="V389" s="427">
        <f>SUM(V384:V388)</f>
        <v>0</v>
      </c>
      <c r="W389" s="69"/>
      <c r="X389" s="427">
        <f>SUM(X384:X388)</f>
        <v>0</v>
      </c>
      <c r="Y389" s="69"/>
      <c r="Z389" s="427">
        <f>SUM(Z384:Z388)</f>
        <v>0</v>
      </c>
      <c r="AA389" s="69"/>
      <c r="AB389" s="427">
        <f>SUM(AB384:AB388)</f>
        <v>0</v>
      </c>
      <c r="AC389" s="69"/>
      <c r="AD389" s="427">
        <f>SUM(AD384:AD388)</f>
        <v>0</v>
      </c>
      <c r="AE389" s="69"/>
      <c r="AF389" s="429"/>
      <c r="AG389" s="430"/>
      <c r="AH389" s="431"/>
      <c r="AI389" s="432"/>
      <c r="AJ389" s="65"/>
      <c r="AO389" s="692"/>
      <c r="AP389" s="692"/>
      <c r="AV389" s="56"/>
    </row>
    <row r="390" spans="1:48" ht="13.5" customHeight="1" outlineLevel="1" thickBot="1">
      <c r="A390" s="119"/>
      <c r="B390" s="82"/>
      <c r="C390" s="1098" t="s">
        <v>484</v>
      </c>
      <c r="D390" s="433">
        <f>D384</f>
        <v>0</v>
      </c>
      <c r="E390" s="426"/>
      <c r="F390" s="700"/>
      <c r="G390" s="428"/>
      <c r="H390" s="700"/>
      <c r="I390" s="69"/>
      <c r="J390" s="700"/>
      <c r="K390" s="69"/>
      <c r="L390" s="700"/>
      <c r="M390" s="69"/>
      <c r="N390" s="700"/>
      <c r="O390" s="69"/>
      <c r="P390" s="700"/>
      <c r="Q390" s="69"/>
      <c r="R390" s="429"/>
      <c r="S390" s="430"/>
      <c r="T390" s="700"/>
      <c r="U390" s="428">
        <f>Q389</f>
        <v>0</v>
      </c>
      <c r="V390" s="700"/>
      <c r="W390" s="69">
        <f>S389</f>
        <v>0</v>
      </c>
      <c r="X390" s="700"/>
      <c r="Y390" s="69">
        <f>U389</f>
        <v>0</v>
      </c>
      <c r="Z390" s="700"/>
      <c r="AA390" s="69">
        <f>W389</f>
        <v>0</v>
      </c>
      <c r="AB390" s="700"/>
      <c r="AC390" s="69">
        <f>Y389</f>
        <v>0</v>
      </c>
      <c r="AD390" s="700"/>
      <c r="AE390" s="69"/>
      <c r="AF390" s="429"/>
      <c r="AG390" s="430"/>
      <c r="AH390" s="431"/>
      <c r="AI390" s="432"/>
      <c r="AJ390" s="65"/>
      <c r="AN390" s="695">
        <v>0</v>
      </c>
      <c r="AO390" s="742"/>
      <c r="AP390" s="742"/>
      <c r="AS390" s="716">
        <f>SUM(AL384:AL388)</f>
        <v>0</v>
      </c>
      <c r="AT390" s="461">
        <f>F390+H390+J390+L390+N390+P390+T390+V390+X390+Z390+AB390+AD390</f>
        <v>0</v>
      </c>
      <c r="AU390" s="745">
        <f>AT390-AS390</f>
        <v>0</v>
      </c>
    </row>
    <row r="391" spans="1:48" ht="13.5" customHeight="1" outlineLevel="1" thickBot="1">
      <c r="B391" s="82">
        <f>B384+1</f>
        <v>56</v>
      </c>
      <c r="C391" s="1230">
        <f>'Terms and Turnovers'!C71</f>
        <v>0</v>
      </c>
      <c r="D391" s="1230">
        <f>'Terms and Turnovers'!D71</f>
        <v>0</v>
      </c>
      <c r="E391" s="83" t="str">
        <f>'Terms and Turnovers'!$J$12</f>
        <v>FLIP-FLOPS</v>
      </c>
      <c r="F391" s="118">
        <f>$R391*G391</f>
        <v>0</v>
      </c>
      <c r="G391" s="69">
        <v>0</v>
      </c>
      <c r="H391" s="314">
        <f>$R391*I391</f>
        <v>0</v>
      </c>
      <c r="I391" s="69">
        <v>0</v>
      </c>
      <c r="J391" s="118">
        <f>$R391*K391</f>
        <v>0</v>
      </c>
      <c r="K391" s="69">
        <v>0</v>
      </c>
      <c r="L391" s="314">
        <f>$R391*M391</f>
        <v>0</v>
      </c>
      <c r="M391" s="69">
        <v>0</v>
      </c>
      <c r="N391" s="314">
        <f>$R391*O391</f>
        <v>0</v>
      </c>
      <c r="O391" s="69">
        <v>0</v>
      </c>
      <c r="P391" s="118">
        <f>$R391*Q391</f>
        <v>0</v>
      </c>
      <c r="Q391" s="69">
        <v>0</v>
      </c>
      <c r="R391" s="87">
        <f>'Terms and Turnovers'!K71</f>
        <v>0</v>
      </c>
      <c r="S391" s="160">
        <f t="shared" si="38"/>
        <v>0</v>
      </c>
      <c r="T391" s="118">
        <f>$AF391*U391</f>
        <v>0</v>
      </c>
      <c r="U391" s="69">
        <v>0</v>
      </c>
      <c r="V391" s="314">
        <f>$AF391*W391</f>
        <v>0</v>
      </c>
      <c r="W391" s="69">
        <v>0</v>
      </c>
      <c r="X391" s="118">
        <f>$AF391*Y391</f>
        <v>0</v>
      </c>
      <c r="Y391" s="69">
        <v>0</v>
      </c>
      <c r="Z391" s="314">
        <f>$AF391*AA391</f>
        <v>0</v>
      </c>
      <c r="AA391" s="69">
        <v>0</v>
      </c>
      <c r="AB391" s="314">
        <f>$AF391*AC391</f>
        <v>0</v>
      </c>
      <c r="AC391" s="69">
        <v>0</v>
      </c>
      <c r="AD391" s="118">
        <f>$AF391*AE391</f>
        <v>0</v>
      </c>
      <c r="AE391" s="69">
        <v>0</v>
      </c>
      <c r="AF391" s="87">
        <f>'Terms and Turnovers'!P71</f>
        <v>0</v>
      </c>
      <c r="AG391" s="160">
        <f t="shared" si="39"/>
        <v>0</v>
      </c>
      <c r="AH391" s="157">
        <f t="shared" si="40"/>
        <v>0</v>
      </c>
      <c r="AI391" s="131">
        <f t="shared" si="41"/>
        <v>0</v>
      </c>
      <c r="AJ391" s="65"/>
      <c r="AL391" s="461">
        <f>SUM(F391,H391,J391,L391,N391,P391,T391,V391,X391,Z391,AB391,AD391)</f>
        <v>0</v>
      </c>
      <c r="AM391" s="462">
        <f>AL391-AH391</f>
        <v>0</v>
      </c>
      <c r="AV391" s="56"/>
    </row>
    <row r="392" spans="1:48" ht="13.5" customHeight="1" outlineLevel="1" thickBot="1">
      <c r="B392" s="82"/>
      <c r="C392" s="1231"/>
      <c r="D392" s="1231"/>
      <c r="E392" s="84" t="str">
        <f>'Terms and Turnovers'!$T$12</f>
        <v>ORIGINALS</v>
      </c>
      <c r="F392" s="120">
        <f>$R392*G392</f>
        <v>0</v>
      </c>
      <c r="G392" s="69">
        <v>0</v>
      </c>
      <c r="H392" s="120">
        <f>$R392*I392</f>
        <v>0</v>
      </c>
      <c r="I392" s="69">
        <v>0</v>
      </c>
      <c r="J392" s="120">
        <f>$R392*K392</f>
        <v>0</v>
      </c>
      <c r="K392" s="69">
        <v>0</v>
      </c>
      <c r="L392" s="120">
        <f>$R392*M392</f>
        <v>0</v>
      </c>
      <c r="M392" s="69">
        <v>0</v>
      </c>
      <c r="N392" s="315">
        <f>$R392*O392</f>
        <v>0</v>
      </c>
      <c r="O392" s="69">
        <v>0</v>
      </c>
      <c r="P392" s="120">
        <f>$R392*Q392</f>
        <v>0</v>
      </c>
      <c r="Q392" s="69">
        <v>0</v>
      </c>
      <c r="R392" s="88">
        <f>'Terms and Turnovers'!U71</f>
        <v>0</v>
      </c>
      <c r="S392" s="161">
        <f t="shared" si="38"/>
        <v>0</v>
      </c>
      <c r="T392" s="120">
        <f>$AF392*U392</f>
        <v>0</v>
      </c>
      <c r="U392" s="69">
        <v>0</v>
      </c>
      <c r="V392" s="120">
        <f>$AF392*W392</f>
        <v>0</v>
      </c>
      <c r="W392" s="69">
        <v>0</v>
      </c>
      <c r="X392" s="120">
        <f>$AF392*Y392</f>
        <v>0</v>
      </c>
      <c r="Y392" s="69">
        <v>0</v>
      </c>
      <c r="Z392" s="120">
        <f>$AF392*AA392</f>
        <v>0</v>
      </c>
      <c r="AA392" s="69">
        <v>0</v>
      </c>
      <c r="AB392" s="315">
        <f>$AF392*AC392</f>
        <v>0</v>
      </c>
      <c r="AC392" s="69">
        <v>0</v>
      </c>
      <c r="AD392" s="120">
        <f>$AF392*AE392</f>
        <v>0</v>
      </c>
      <c r="AE392" s="69">
        <v>0</v>
      </c>
      <c r="AF392" s="88">
        <f>'Terms and Turnovers'!Z71</f>
        <v>0</v>
      </c>
      <c r="AG392" s="161">
        <f t="shared" si="39"/>
        <v>0</v>
      </c>
      <c r="AH392" s="158">
        <f t="shared" si="40"/>
        <v>0</v>
      </c>
      <c r="AI392" s="134">
        <f t="shared" si="41"/>
        <v>0</v>
      </c>
      <c r="AJ392" s="65"/>
      <c r="AL392" s="461">
        <f>SUM(F392,H392,J392,L392,N392,P392,T392,V392,X392,Z392,AB392,AD392)</f>
        <v>0</v>
      </c>
      <c r="AM392" s="462">
        <f>AL392-AH392</f>
        <v>0</v>
      </c>
      <c r="AV392" s="56"/>
    </row>
    <row r="393" spans="1:48" ht="13.5" customHeight="1" outlineLevel="1" thickBot="1">
      <c r="B393" s="82"/>
      <c r="C393" s="1231"/>
      <c r="D393" s="1231"/>
      <c r="E393" s="84" t="str">
        <f>'Terms and Turnovers'!$AD$12</f>
        <v>ACCESSORIES</v>
      </c>
      <c r="F393" s="120">
        <f>$R393*G393</f>
        <v>0</v>
      </c>
      <c r="G393" s="69">
        <v>0</v>
      </c>
      <c r="H393" s="120">
        <f>$R393*I393</f>
        <v>0</v>
      </c>
      <c r="I393" s="69">
        <v>0</v>
      </c>
      <c r="J393" s="120">
        <f>$R393*K393</f>
        <v>0</v>
      </c>
      <c r="K393" s="69">
        <v>0</v>
      </c>
      <c r="L393" s="120">
        <f>$R393*M393</f>
        <v>0</v>
      </c>
      <c r="M393" s="69">
        <v>0</v>
      </c>
      <c r="N393" s="315">
        <f>$R393*O393</f>
        <v>0</v>
      </c>
      <c r="O393" s="69">
        <v>0</v>
      </c>
      <c r="P393" s="120">
        <f>$R393*Q393</f>
        <v>0</v>
      </c>
      <c r="Q393" s="69">
        <v>0</v>
      </c>
      <c r="R393" s="88">
        <f>'Terms and Turnovers'!AE71</f>
        <v>0</v>
      </c>
      <c r="S393" s="161">
        <f t="shared" si="38"/>
        <v>0</v>
      </c>
      <c r="T393" s="120">
        <f>$AF393*U393</f>
        <v>0</v>
      </c>
      <c r="U393" s="69">
        <v>0</v>
      </c>
      <c r="V393" s="120">
        <f>$AF393*W393</f>
        <v>0</v>
      </c>
      <c r="W393" s="69">
        <v>0</v>
      </c>
      <c r="X393" s="120">
        <f>$AF393*Y393</f>
        <v>0</v>
      </c>
      <c r="Y393" s="69">
        <v>0</v>
      </c>
      <c r="Z393" s="120">
        <f>$AF393*AA393</f>
        <v>0</v>
      </c>
      <c r="AA393" s="69">
        <v>0</v>
      </c>
      <c r="AB393" s="315">
        <f>$AF393*AC393</f>
        <v>0</v>
      </c>
      <c r="AC393" s="69">
        <v>0</v>
      </c>
      <c r="AD393" s="120">
        <f>$AF393*AE393</f>
        <v>0</v>
      </c>
      <c r="AE393" s="69">
        <v>0</v>
      </c>
      <c r="AF393" s="88">
        <f>'Terms and Turnovers'!AJ71</f>
        <v>0</v>
      </c>
      <c r="AG393" s="161">
        <f t="shared" si="39"/>
        <v>0</v>
      </c>
      <c r="AH393" s="158">
        <f t="shared" si="40"/>
        <v>0</v>
      </c>
      <c r="AI393" s="134">
        <f t="shared" si="41"/>
        <v>0</v>
      </c>
      <c r="AJ393" s="65"/>
      <c r="AL393" s="461">
        <f>SUM(F393,H393,J393,L393,N393,P393,T393,V393,X393,Z393,AB393,AD393)</f>
        <v>0</v>
      </c>
      <c r="AM393" s="462">
        <f>AL393-AH393</f>
        <v>0</v>
      </c>
      <c r="AV393" s="56"/>
    </row>
    <row r="394" spans="1:48" ht="13.5" customHeight="1" outlineLevel="1" thickBot="1">
      <c r="B394" s="82"/>
      <c r="C394" s="1231"/>
      <c r="D394" s="1231"/>
      <c r="E394" s="84">
        <f>'Terms and Turnovers'!$AN$12</f>
        <v>0</v>
      </c>
      <c r="F394" s="120">
        <f>$R394*G394</f>
        <v>0</v>
      </c>
      <c r="G394" s="69">
        <v>0</v>
      </c>
      <c r="H394" s="120">
        <f>$R394*I394</f>
        <v>0</v>
      </c>
      <c r="I394" s="69">
        <v>0</v>
      </c>
      <c r="J394" s="120">
        <f>$R394*K394</f>
        <v>0</v>
      </c>
      <c r="K394" s="69">
        <v>0</v>
      </c>
      <c r="L394" s="120">
        <f>$R394*M394</f>
        <v>0</v>
      </c>
      <c r="M394" s="69">
        <v>0</v>
      </c>
      <c r="N394" s="315">
        <f>$R394*O394</f>
        <v>0</v>
      </c>
      <c r="O394" s="69">
        <v>0</v>
      </c>
      <c r="P394" s="120">
        <f>$R394*Q394</f>
        <v>0</v>
      </c>
      <c r="Q394" s="69">
        <v>0</v>
      </c>
      <c r="R394" s="88">
        <f>'Terms and Turnovers'!AO71</f>
        <v>0</v>
      </c>
      <c r="S394" s="161">
        <f t="shared" si="38"/>
        <v>0</v>
      </c>
      <c r="T394" s="120">
        <f>$AF394*U394</f>
        <v>0</v>
      </c>
      <c r="U394" s="69">
        <v>0</v>
      </c>
      <c r="V394" s="120">
        <f>$AF394*W394</f>
        <v>0</v>
      </c>
      <c r="W394" s="69">
        <v>0</v>
      </c>
      <c r="X394" s="120">
        <f>$AF394*Y394</f>
        <v>0</v>
      </c>
      <c r="Y394" s="69">
        <v>0</v>
      </c>
      <c r="Z394" s="120">
        <f>$AF394*AA394</f>
        <v>0</v>
      </c>
      <c r="AA394" s="69">
        <v>0</v>
      </c>
      <c r="AB394" s="315">
        <f>$AF394*AC394</f>
        <v>0</v>
      </c>
      <c r="AC394" s="69">
        <v>0</v>
      </c>
      <c r="AD394" s="120">
        <f>$AF394*AE394</f>
        <v>0</v>
      </c>
      <c r="AE394" s="69">
        <v>0</v>
      </c>
      <c r="AF394" s="88">
        <f>'Terms and Turnovers'!AT71</f>
        <v>0</v>
      </c>
      <c r="AG394" s="161">
        <f t="shared" si="39"/>
        <v>0</v>
      </c>
      <c r="AH394" s="158">
        <f t="shared" si="40"/>
        <v>0</v>
      </c>
      <c r="AI394" s="134">
        <f t="shared" si="41"/>
        <v>0</v>
      </c>
      <c r="AJ394" s="65"/>
      <c r="AL394" s="461">
        <f>SUM(F394,H394,J394,L394,N394,P394,T394,V394,X394,Z394,AB394,AD394)</f>
        <v>0</v>
      </c>
      <c r="AM394" s="462">
        <f>AL394-AH394</f>
        <v>0</v>
      </c>
      <c r="AV394" s="56"/>
    </row>
    <row r="395" spans="1:48" ht="13.5" customHeight="1" outlineLevel="1" thickBot="1">
      <c r="B395" s="82"/>
      <c r="C395" s="1232"/>
      <c r="D395" s="1232"/>
      <c r="E395" s="85">
        <f>'Terms and Turnovers'!$AX$12</f>
        <v>0</v>
      </c>
      <c r="F395" s="121">
        <f>$R395*G395</f>
        <v>0</v>
      </c>
      <c r="G395" s="69">
        <v>0</v>
      </c>
      <c r="H395" s="121">
        <f>$R395*I395</f>
        <v>0</v>
      </c>
      <c r="I395" s="69">
        <v>0</v>
      </c>
      <c r="J395" s="121">
        <f>$R395*K395</f>
        <v>0</v>
      </c>
      <c r="K395" s="69">
        <v>0</v>
      </c>
      <c r="L395" s="121">
        <f>$R395*M395</f>
        <v>0</v>
      </c>
      <c r="M395" s="69">
        <v>0</v>
      </c>
      <c r="N395" s="316">
        <f>$R395*O395</f>
        <v>0</v>
      </c>
      <c r="O395" s="69">
        <v>0</v>
      </c>
      <c r="P395" s="121">
        <f>$R395*Q395</f>
        <v>0</v>
      </c>
      <c r="Q395" s="69">
        <v>0</v>
      </c>
      <c r="R395" s="89">
        <f>'Terms and Turnovers'!AY71</f>
        <v>0</v>
      </c>
      <c r="S395" s="162">
        <f t="shared" si="38"/>
        <v>0</v>
      </c>
      <c r="T395" s="121">
        <f>$AF395*U395</f>
        <v>0</v>
      </c>
      <c r="U395" s="69">
        <v>0</v>
      </c>
      <c r="V395" s="121">
        <f>$AF395*W395</f>
        <v>0</v>
      </c>
      <c r="W395" s="69">
        <v>0</v>
      </c>
      <c r="X395" s="121">
        <f>$AF395*Y395</f>
        <v>0</v>
      </c>
      <c r="Y395" s="69">
        <v>0</v>
      </c>
      <c r="Z395" s="121">
        <f>$AF395*AA395</f>
        <v>0</v>
      </c>
      <c r="AA395" s="69">
        <v>0</v>
      </c>
      <c r="AB395" s="316">
        <f>$AF395*AC395</f>
        <v>0</v>
      </c>
      <c r="AC395" s="69">
        <v>0</v>
      </c>
      <c r="AD395" s="121">
        <f>$AF395*AE395</f>
        <v>0</v>
      </c>
      <c r="AE395" s="69">
        <v>0</v>
      </c>
      <c r="AF395" s="89">
        <f>'Terms and Turnovers'!BD71</f>
        <v>0</v>
      </c>
      <c r="AG395" s="162">
        <f t="shared" si="39"/>
        <v>0</v>
      </c>
      <c r="AH395" s="159">
        <f t="shared" si="40"/>
        <v>0</v>
      </c>
      <c r="AI395" s="137">
        <f t="shared" si="41"/>
        <v>0</v>
      </c>
      <c r="AJ395" s="65"/>
      <c r="AL395" s="461">
        <f>SUM(F395,H395,J395,L395,N395,P395,T395,V395,X395,Z395,AB395,AD395)</f>
        <v>0</v>
      </c>
      <c r="AM395" s="462">
        <f>AL395-AH395</f>
        <v>0</v>
      </c>
      <c r="AV395" s="56"/>
    </row>
    <row r="396" spans="1:48" ht="13.5" customHeight="1" outlineLevel="1" thickBot="1">
      <c r="A396" s="119"/>
      <c r="B396" s="82"/>
      <c r="C396" s="425"/>
      <c r="D396" s="425"/>
      <c r="E396" s="426"/>
      <c r="F396" s="427">
        <f>SUM(F391:F395)</f>
        <v>0</v>
      </c>
      <c r="G396" s="428"/>
      <c r="H396" s="427">
        <f>SUM(H391:H395)</f>
        <v>0</v>
      </c>
      <c r="I396" s="69"/>
      <c r="J396" s="427">
        <f>SUM(J391:J395)</f>
        <v>0</v>
      </c>
      <c r="K396" s="69"/>
      <c r="L396" s="427">
        <f>SUM(L391:L395)</f>
        <v>0</v>
      </c>
      <c r="M396" s="69"/>
      <c r="N396" s="427">
        <f>SUM(N391:N395)</f>
        <v>0</v>
      </c>
      <c r="O396" s="69"/>
      <c r="P396" s="427">
        <f>SUM(P391:P395)</f>
        <v>0</v>
      </c>
      <c r="Q396" s="69"/>
      <c r="R396" s="429"/>
      <c r="S396" s="430"/>
      <c r="T396" s="427">
        <f>SUM(T391:T395)</f>
        <v>0</v>
      </c>
      <c r="U396" s="428"/>
      <c r="V396" s="427">
        <f>SUM(V391:V395)</f>
        <v>0</v>
      </c>
      <c r="W396" s="69"/>
      <c r="X396" s="427">
        <f>SUM(X391:X395)</f>
        <v>0</v>
      </c>
      <c r="Y396" s="69"/>
      <c r="Z396" s="427">
        <f>SUM(Z391:Z395)</f>
        <v>0</v>
      </c>
      <c r="AA396" s="69"/>
      <c r="AB396" s="427">
        <f>SUM(AB391:AB395)</f>
        <v>0</v>
      </c>
      <c r="AC396" s="69"/>
      <c r="AD396" s="427">
        <f>SUM(AD391:AD395)</f>
        <v>0</v>
      </c>
      <c r="AE396" s="69"/>
      <c r="AF396" s="429"/>
      <c r="AG396" s="430"/>
      <c r="AH396" s="431"/>
      <c r="AI396" s="432"/>
      <c r="AJ396" s="65"/>
      <c r="AV396" s="56"/>
    </row>
    <row r="397" spans="1:48" ht="13.5" customHeight="1" outlineLevel="1" thickBot="1">
      <c r="A397" s="119"/>
      <c r="B397" s="82"/>
      <c r="C397" s="1098" t="s">
        <v>484</v>
      </c>
      <c r="D397" s="433">
        <f>D391</f>
        <v>0</v>
      </c>
      <c r="E397" s="426"/>
      <c r="F397" s="700"/>
      <c r="G397" s="428"/>
      <c r="H397" s="700"/>
      <c r="I397" s="69"/>
      <c r="J397" s="700"/>
      <c r="K397" s="69"/>
      <c r="L397" s="700"/>
      <c r="M397" s="69"/>
      <c r="N397" s="700"/>
      <c r="O397" s="69"/>
      <c r="P397" s="700"/>
      <c r="Q397" s="69"/>
      <c r="R397" s="429"/>
      <c r="S397" s="430"/>
      <c r="T397" s="700"/>
      <c r="U397" s="428">
        <f>Q396</f>
        <v>0</v>
      </c>
      <c r="V397" s="700"/>
      <c r="W397" s="69">
        <f>S396</f>
        <v>0</v>
      </c>
      <c r="X397" s="700"/>
      <c r="Y397" s="69">
        <f>U396</f>
        <v>0</v>
      </c>
      <c r="Z397" s="700"/>
      <c r="AA397" s="69">
        <f>W396</f>
        <v>0</v>
      </c>
      <c r="AB397" s="700"/>
      <c r="AC397" s="69">
        <f>Y396</f>
        <v>0</v>
      </c>
      <c r="AD397" s="700"/>
      <c r="AE397" s="69"/>
      <c r="AF397" s="429"/>
      <c r="AG397" s="430"/>
      <c r="AH397" s="431"/>
      <c r="AI397" s="432"/>
      <c r="AJ397" s="65"/>
      <c r="AN397" s="695"/>
      <c r="AO397" s="742"/>
      <c r="AP397" s="742"/>
      <c r="AS397" s="716">
        <f>SUM(AL391:AL395)</f>
        <v>0</v>
      </c>
      <c r="AT397" s="461">
        <f>F397+H397+J397+L397+N397+P397+T397+V397+X397+Z397+AB397+AD397</f>
        <v>0</v>
      </c>
      <c r="AU397" s="745">
        <f>AT397-AS397</f>
        <v>0</v>
      </c>
    </row>
    <row r="398" spans="1:48" ht="13.5" customHeight="1" outlineLevel="1" thickBot="1">
      <c r="B398" s="82">
        <f>B391+1</f>
        <v>57</v>
      </c>
      <c r="C398" s="1230">
        <f>'Terms and Turnovers'!C72</f>
        <v>0</v>
      </c>
      <c r="D398" s="1230">
        <f>'Terms and Turnovers'!D72</f>
        <v>0</v>
      </c>
      <c r="E398" s="83" t="str">
        <f>'Terms and Turnovers'!$J$12</f>
        <v>FLIP-FLOPS</v>
      </c>
      <c r="F398" s="118">
        <f>$R398*G398</f>
        <v>0</v>
      </c>
      <c r="G398" s="69">
        <v>0</v>
      </c>
      <c r="H398" s="314">
        <f>$R398*I398</f>
        <v>0</v>
      </c>
      <c r="I398" s="69">
        <v>0</v>
      </c>
      <c r="J398" s="118">
        <f>$R398*K398</f>
        <v>0</v>
      </c>
      <c r="K398" s="69">
        <v>0</v>
      </c>
      <c r="L398" s="314">
        <f>$R398*M398</f>
        <v>0</v>
      </c>
      <c r="M398" s="69">
        <v>0</v>
      </c>
      <c r="N398" s="314">
        <f>$R398*O398</f>
        <v>0</v>
      </c>
      <c r="O398" s="69">
        <v>0</v>
      </c>
      <c r="P398" s="118">
        <f>$R398*Q398</f>
        <v>0</v>
      </c>
      <c r="Q398" s="69">
        <v>0</v>
      </c>
      <c r="R398" s="87">
        <f>'Terms and Turnovers'!K72</f>
        <v>0</v>
      </c>
      <c r="S398" s="160">
        <f t="shared" si="38"/>
        <v>0</v>
      </c>
      <c r="T398" s="118">
        <f>$AF398*U398</f>
        <v>0</v>
      </c>
      <c r="U398" s="69">
        <v>0</v>
      </c>
      <c r="V398" s="314">
        <f>$AF398*W398</f>
        <v>0</v>
      </c>
      <c r="W398" s="69">
        <v>0</v>
      </c>
      <c r="X398" s="118">
        <f>$AF398*Y398</f>
        <v>0</v>
      </c>
      <c r="Y398" s="69">
        <v>0</v>
      </c>
      <c r="Z398" s="314">
        <f>$AF398*AA398</f>
        <v>0</v>
      </c>
      <c r="AA398" s="69">
        <v>0</v>
      </c>
      <c r="AB398" s="314">
        <f>$AF398*AC398</f>
        <v>0</v>
      </c>
      <c r="AC398" s="69">
        <v>0</v>
      </c>
      <c r="AD398" s="118">
        <f>$AF398*AE398</f>
        <v>0</v>
      </c>
      <c r="AE398" s="69">
        <v>0</v>
      </c>
      <c r="AF398" s="87">
        <f>'Terms and Turnovers'!P72</f>
        <v>0</v>
      </c>
      <c r="AG398" s="160">
        <f t="shared" si="39"/>
        <v>0</v>
      </c>
      <c r="AH398" s="157">
        <f t="shared" si="40"/>
        <v>0</v>
      </c>
      <c r="AI398" s="131">
        <f t="shared" si="41"/>
        <v>0</v>
      </c>
      <c r="AJ398" s="65"/>
      <c r="AL398" s="461">
        <f>SUM(F398,H398,J398,L398,N398,P398,T398,V398,X398,Z398,AB398,AD398)</f>
        <v>0</v>
      </c>
      <c r="AM398" s="462">
        <f>AL398-AH398</f>
        <v>0</v>
      </c>
      <c r="AV398" s="56"/>
    </row>
    <row r="399" spans="1:48" ht="13.5" customHeight="1" outlineLevel="1" thickBot="1">
      <c r="B399" s="82"/>
      <c r="C399" s="1231"/>
      <c r="D399" s="1231"/>
      <c r="E399" s="84" t="str">
        <f>'Terms and Turnovers'!$T$12</f>
        <v>ORIGINALS</v>
      </c>
      <c r="F399" s="120">
        <f>$R399*G399</f>
        <v>0</v>
      </c>
      <c r="G399" s="723"/>
      <c r="H399" s="120">
        <f>$R399*I399</f>
        <v>0</v>
      </c>
      <c r="I399" s="69">
        <v>0</v>
      </c>
      <c r="J399" s="120">
        <f>$R399*K399</f>
        <v>0</v>
      </c>
      <c r="K399" s="69">
        <v>0</v>
      </c>
      <c r="L399" s="120">
        <f>$R399*M399</f>
        <v>0</v>
      </c>
      <c r="M399" s="69">
        <v>0</v>
      </c>
      <c r="N399" s="315">
        <f>$R399*O399</f>
        <v>0</v>
      </c>
      <c r="O399" s="69">
        <v>0</v>
      </c>
      <c r="P399" s="120">
        <f>$R399*Q399</f>
        <v>0</v>
      </c>
      <c r="Q399" s="69">
        <v>0</v>
      </c>
      <c r="R399" s="88">
        <f>'Terms and Turnovers'!U72</f>
        <v>0</v>
      </c>
      <c r="S399" s="161">
        <f t="shared" si="38"/>
        <v>0</v>
      </c>
      <c r="T399" s="120">
        <f>$AF399*U399</f>
        <v>0</v>
      </c>
      <c r="U399" s="69">
        <v>0</v>
      </c>
      <c r="V399" s="120">
        <f>$AF399*W399</f>
        <v>0</v>
      </c>
      <c r="W399" s="69">
        <v>0</v>
      </c>
      <c r="X399" s="120">
        <f>$AF399*Y399</f>
        <v>0</v>
      </c>
      <c r="Y399" s="69">
        <v>0</v>
      </c>
      <c r="Z399" s="120">
        <f>$AF399*AA399</f>
        <v>0</v>
      </c>
      <c r="AA399" s="69">
        <v>0</v>
      </c>
      <c r="AB399" s="315">
        <f>$AF399*AC399</f>
        <v>0</v>
      </c>
      <c r="AC399" s="69">
        <v>0</v>
      </c>
      <c r="AD399" s="120">
        <f>$AF399*AE399</f>
        <v>0</v>
      </c>
      <c r="AE399" s="69">
        <v>0</v>
      </c>
      <c r="AF399" s="88">
        <f>'Terms and Turnovers'!Z72</f>
        <v>0</v>
      </c>
      <c r="AG399" s="161">
        <f t="shared" si="39"/>
        <v>0</v>
      </c>
      <c r="AH399" s="158">
        <f t="shared" si="40"/>
        <v>0</v>
      </c>
      <c r="AI399" s="134">
        <f t="shared" si="41"/>
        <v>0</v>
      </c>
      <c r="AJ399" s="65"/>
      <c r="AL399" s="461">
        <f>SUM(F399,H399,J399,L399,N399,P399,T399,V399,X399,Z399,AB399,AD399)</f>
        <v>0</v>
      </c>
      <c r="AM399" s="462">
        <f>AL399-AH399</f>
        <v>0</v>
      </c>
      <c r="AV399" s="56"/>
    </row>
    <row r="400" spans="1:48" ht="13.5" customHeight="1" outlineLevel="1" thickBot="1">
      <c r="B400" s="82"/>
      <c r="C400" s="1231"/>
      <c r="D400" s="1231"/>
      <c r="E400" s="84" t="str">
        <f>'Terms and Turnovers'!$AD$12</f>
        <v>ACCESSORIES</v>
      </c>
      <c r="F400" s="120">
        <f>$R400*G400</f>
        <v>0</v>
      </c>
      <c r="G400" s="723"/>
      <c r="H400" s="120">
        <f>$R400*I400</f>
        <v>0</v>
      </c>
      <c r="I400" s="69">
        <v>0</v>
      </c>
      <c r="J400" s="120">
        <f>$R400*K400</f>
        <v>0</v>
      </c>
      <c r="K400" s="69">
        <v>0</v>
      </c>
      <c r="L400" s="120">
        <f>$R400*M400</f>
        <v>0</v>
      </c>
      <c r="M400" s="69">
        <v>0</v>
      </c>
      <c r="N400" s="315">
        <f>$R400*O400</f>
        <v>0</v>
      </c>
      <c r="O400" s="69">
        <v>0</v>
      </c>
      <c r="P400" s="120">
        <f>$R400*Q400</f>
        <v>0</v>
      </c>
      <c r="Q400" s="69">
        <v>0</v>
      </c>
      <c r="R400" s="88">
        <f>'Terms and Turnovers'!AE72</f>
        <v>0</v>
      </c>
      <c r="S400" s="161">
        <f t="shared" si="38"/>
        <v>0</v>
      </c>
      <c r="T400" s="120">
        <f>$AF400*U400</f>
        <v>0</v>
      </c>
      <c r="U400" s="69">
        <v>0</v>
      </c>
      <c r="V400" s="120">
        <f>$AF400*W400</f>
        <v>0</v>
      </c>
      <c r="W400" s="69">
        <v>0</v>
      </c>
      <c r="X400" s="120">
        <f>$AF400*Y400</f>
        <v>0</v>
      </c>
      <c r="Y400" s="69">
        <v>0</v>
      </c>
      <c r="Z400" s="120">
        <f>$AF400*AA400</f>
        <v>0</v>
      </c>
      <c r="AA400" s="69">
        <v>0</v>
      </c>
      <c r="AB400" s="315">
        <f>$AF400*AC400</f>
        <v>0</v>
      </c>
      <c r="AC400" s="69">
        <v>0</v>
      </c>
      <c r="AD400" s="120">
        <f>$AF400*AE400</f>
        <v>0</v>
      </c>
      <c r="AE400" s="69">
        <v>0</v>
      </c>
      <c r="AF400" s="88">
        <f>'Terms and Turnovers'!AJ72</f>
        <v>0</v>
      </c>
      <c r="AG400" s="161">
        <f t="shared" si="39"/>
        <v>0</v>
      </c>
      <c r="AH400" s="158">
        <f t="shared" si="40"/>
        <v>0</v>
      </c>
      <c r="AI400" s="134">
        <f t="shared" si="41"/>
        <v>0</v>
      </c>
      <c r="AJ400" s="65"/>
      <c r="AL400" s="461">
        <f>SUM(F400,H400,J400,L400,N400,P400,T400,V400,X400,Z400,AB400,AD400)</f>
        <v>0</v>
      </c>
      <c r="AM400" s="462">
        <f>AL400-AH400</f>
        <v>0</v>
      </c>
      <c r="AV400" s="56"/>
    </row>
    <row r="401" spans="1:48" ht="13.5" customHeight="1" outlineLevel="1" thickBot="1">
      <c r="B401" s="82"/>
      <c r="C401" s="1231"/>
      <c r="D401" s="1231"/>
      <c r="E401" s="84">
        <f>'Terms and Turnovers'!$AN$12</f>
        <v>0</v>
      </c>
      <c r="F401" s="120">
        <f>$R401*G401</f>
        <v>0</v>
      </c>
      <c r="G401" s="723">
        <v>0</v>
      </c>
      <c r="H401" s="120">
        <f>$R401*I401</f>
        <v>0</v>
      </c>
      <c r="I401" s="69">
        <v>0</v>
      </c>
      <c r="J401" s="120">
        <f>$R401*K401</f>
        <v>0</v>
      </c>
      <c r="K401" s="69">
        <v>0</v>
      </c>
      <c r="L401" s="120">
        <f>$R401*M401</f>
        <v>0</v>
      </c>
      <c r="M401" s="69">
        <v>0</v>
      </c>
      <c r="N401" s="315">
        <f>$R401*O401</f>
        <v>0</v>
      </c>
      <c r="O401" s="69">
        <v>0</v>
      </c>
      <c r="P401" s="120">
        <f>$R401*Q401</f>
        <v>0</v>
      </c>
      <c r="Q401" s="69">
        <v>0</v>
      </c>
      <c r="R401" s="88">
        <f>'Terms and Turnovers'!AO72</f>
        <v>0</v>
      </c>
      <c r="S401" s="161">
        <f t="shared" si="38"/>
        <v>0</v>
      </c>
      <c r="T401" s="120">
        <f>$AF401*U401</f>
        <v>0</v>
      </c>
      <c r="U401" s="69">
        <v>0</v>
      </c>
      <c r="V401" s="120">
        <f>$AF401*W401</f>
        <v>0</v>
      </c>
      <c r="W401" s="69">
        <v>0</v>
      </c>
      <c r="X401" s="120">
        <f>$AF401*Y401</f>
        <v>0</v>
      </c>
      <c r="Y401" s="69">
        <v>0</v>
      </c>
      <c r="Z401" s="120">
        <f>$AF401*AA401</f>
        <v>0</v>
      </c>
      <c r="AA401" s="69">
        <v>0</v>
      </c>
      <c r="AB401" s="315">
        <f>$AF401*AC401</f>
        <v>0</v>
      </c>
      <c r="AC401" s="69">
        <v>0</v>
      </c>
      <c r="AD401" s="120">
        <f>$AF401*AE401</f>
        <v>0</v>
      </c>
      <c r="AE401" s="69">
        <v>0</v>
      </c>
      <c r="AF401" s="88">
        <f>'Terms and Turnovers'!AT72</f>
        <v>0</v>
      </c>
      <c r="AG401" s="161">
        <f t="shared" si="39"/>
        <v>0</v>
      </c>
      <c r="AH401" s="158">
        <f t="shared" si="40"/>
        <v>0</v>
      </c>
      <c r="AI401" s="134">
        <f t="shared" si="41"/>
        <v>0</v>
      </c>
      <c r="AJ401" s="65"/>
      <c r="AL401" s="461">
        <f>SUM(F401,H401,J401,L401,N401,P401,T401,V401,X401,Z401,AB401,AD401)</f>
        <v>0</v>
      </c>
      <c r="AM401" s="462">
        <f>AL401-AH401</f>
        <v>0</v>
      </c>
      <c r="AV401" s="56"/>
    </row>
    <row r="402" spans="1:48" ht="13.5" customHeight="1" outlineLevel="1" thickBot="1">
      <c r="B402" s="82"/>
      <c r="C402" s="1232"/>
      <c r="D402" s="1232"/>
      <c r="E402" s="85">
        <f>'Terms and Turnovers'!$AX$12</f>
        <v>0</v>
      </c>
      <c r="F402" s="121">
        <f>$R402*G402</f>
        <v>0</v>
      </c>
      <c r="G402" s="72">
        <v>0</v>
      </c>
      <c r="H402" s="121">
        <f>$R402*I402</f>
        <v>0</v>
      </c>
      <c r="I402" s="69">
        <v>0</v>
      </c>
      <c r="J402" s="121">
        <f>$R402*K402</f>
        <v>0</v>
      </c>
      <c r="K402" s="69">
        <v>0</v>
      </c>
      <c r="L402" s="121">
        <f>$R402*M402</f>
        <v>0</v>
      </c>
      <c r="M402" s="69">
        <v>0</v>
      </c>
      <c r="N402" s="316">
        <f>$R402*O402</f>
        <v>0</v>
      </c>
      <c r="O402" s="69">
        <v>0</v>
      </c>
      <c r="P402" s="121">
        <f>$R402*Q402</f>
        <v>0</v>
      </c>
      <c r="Q402" s="69">
        <v>0</v>
      </c>
      <c r="R402" s="89">
        <f>'Terms and Turnovers'!AY72</f>
        <v>0</v>
      </c>
      <c r="S402" s="162">
        <f t="shared" si="38"/>
        <v>0</v>
      </c>
      <c r="T402" s="121">
        <f>$AF402*U402</f>
        <v>0</v>
      </c>
      <c r="U402" s="69">
        <v>0</v>
      </c>
      <c r="V402" s="121">
        <f>$AF402*W402</f>
        <v>0</v>
      </c>
      <c r="W402" s="69">
        <v>0</v>
      </c>
      <c r="X402" s="121">
        <f>$AF402*Y402</f>
        <v>0</v>
      </c>
      <c r="Y402" s="69">
        <v>0</v>
      </c>
      <c r="Z402" s="121">
        <f>$AF402*AA402</f>
        <v>0</v>
      </c>
      <c r="AA402" s="69">
        <v>0</v>
      </c>
      <c r="AB402" s="316">
        <f>$AF402*AC402</f>
        <v>0</v>
      </c>
      <c r="AC402" s="69">
        <v>0</v>
      </c>
      <c r="AD402" s="121">
        <f>$AF402*AE402</f>
        <v>0</v>
      </c>
      <c r="AE402" s="69">
        <v>0</v>
      </c>
      <c r="AF402" s="89">
        <f>'Terms and Turnovers'!BD72</f>
        <v>0</v>
      </c>
      <c r="AG402" s="162">
        <f t="shared" si="39"/>
        <v>0</v>
      </c>
      <c r="AH402" s="159">
        <f t="shared" si="40"/>
        <v>0</v>
      </c>
      <c r="AI402" s="137">
        <f t="shared" si="41"/>
        <v>0</v>
      </c>
      <c r="AJ402" s="65"/>
      <c r="AL402" s="461">
        <f>SUM(F402,H402,J402,L402,N402,P402,T402,V402,X402,Z402,AB402,AD402)</f>
        <v>0</v>
      </c>
      <c r="AM402" s="462">
        <f>AL402-AH402</f>
        <v>0</v>
      </c>
      <c r="AV402" s="56"/>
    </row>
    <row r="403" spans="1:48" ht="13.5" customHeight="1" outlineLevel="1" thickBot="1">
      <c r="A403" s="119"/>
      <c r="B403" s="82"/>
      <c r="C403" s="425"/>
      <c r="D403" s="425"/>
      <c r="E403" s="426"/>
      <c r="F403" s="427">
        <f>SUM(F398:F402)</f>
        <v>0</v>
      </c>
      <c r="G403" s="428"/>
      <c r="H403" s="427">
        <f>SUM(H398:H402)</f>
        <v>0</v>
      </c>
      <c r="I403" s="69"/>
      <c r="J403" s="427">
        <f>SUM(J398:J402)</f>
        <v>0</v>
      </c>
      <c r="K403" s="69"/>
      <c r="L403" s="427">
        <f>SUM(L398:L402)</f>
        <v>0</v>
      </c>
      <c r="M403" s="69"/>
      <c r="N403" s="427">
        <f>SUM(N398:N402)</f>
        <v>0</v>
      </c>
      <c r="O403" s="69"/>
      <c r="P403" s="427">
        <f>SUM(P398:P402)</f>
        <v>0</v>
      </c>
      <c r="Q403" s="69"/>
      <c r="R403" s="429"/>
      <c r="S403" s="430"/>
      <c r="T403" s="427">
        <f>SUM(T398:T402)</f>
        <v>0</v>
      </c>
      <c r="U403" s="428"/>
      <c r="V403" s="427">
        <f>SUM(V398:V402)</f>
        <v>0</v>
      </c>
      <c r="W403" s="69"/>
      <c r="X403" s="427">
        <f>SUM(X398:X402)</f>
        <v>0</v>
      </c>
      <c r="Y403" s="69"/>
      <c r="Z403" s="427">
        <f>SUM(Z398:Z402)</f>
        <v>0</v>
      </c>
      <c r="AA403" s="69"/>
      <c r="AB403" s="427">
        <f>SUM(AB398:AB402)</f>
        <v>0</v>
      </c>
      <c r="AC403" s="69"/>
      <c r="AD403" s="427">
        <f>SUM(AD398:AD402)</f>
        <v>0</v>
      </c>
      <c r="AE403" s="69"/>
      <c r="AF403" s="429"/>
      <c r="AG403" s="430"/>
      <c r="AH403" s="431"/>
      <c r="AI403" s="432"/>
      <c r="AJ403" s="65"/>
      <c r="AV403" s="56"/>
    </row>
    <row r="404" spans="1:48" ht="13.5" customHeight="1" outlineLevel="1" thickBot="1">
      <c r="A404" s="119"/>
      <c r="B404" s="82"/>
      <c r="C404" s="1098" t="s">
        <v>484</v>
      </c>
      <c r="D404" s="433">
        <f>D398</f>
        <v>0</v>
      </c>
      <c r="E404" s="426"/>
      <c r="F404" s="700"/>
      <c r="G404" s="428"/>
      <c r="H404" s="700"/>
      <c r="I404" s="69"/>
      <c r="J404" s="700"/>
      <c r="K404" s="69"/>
      <c r="L404" s="700"/>
      <c r="M404" s="69"/>
      <c r="N404" s="700"/>
      <c r="O404" s="69"/>
      <c r="P404" s="700"/>
      <c r="Q404" s="69"/>
      <c r="R404" s="429"/>
      <c r="S404" s="430"/>
      <c r="T404" s="700"/>
      <c r="U404" s="428">
        <f>Q403</f>
        <v>0</v>
      </c>
      <c r="V404" s="700"/>
      <c r="W404" s="69">
        <f>S403</f>
        <v>0</v>
      </c>
      <c r="X404" s="700"/>
      <c r="Y404" s="69">
        <f>U403</f>
        <v>0</v>
      </c>
      <c r="Z404" s="700"/>
      <c r="AA404" s="69">
        <f>W403</f>
        <v>0</v>
      </c>
      <c r="AB404" s="700"/>
      <c r="AC404" s="69">
        <f>Y403</f>
        <v>0</v>
      </c>
      <c r="AD404" s="700"/>
      <c r="AE404" s="69"/>
      <c r="AF404" s="429"/>
      <c r="AG404" s="430"/>
      <c r="AH404" s="431"/>
      <c r="AI404" s="432"/>
      <c r="AJ404" s="65"/>
      <c r="AN404" s="695"/>
      <c r="AO404" s="742"/>
      <c r="AP404" s="742"/>
      <c r="AS404" s="716">
        <f>SUM(AL398:AL402)</f>
        <v>0</v>
      </c>
      <c r="AT404" s="461">
        <f>F404+H404+J404+L404+N404+P404+T404+V404+X404+Z404+AB404+AD404</f>
        <v>0</v>
      </c>
      <c r="AU404" s="745">
        <f>AT404-AS404</f>
        <v>0</v>
      </c>
    </row>
    <row r="405" spans="1:48" ht="13.5" customHeight="1" outlineLevel="1" thickBot="1">
      <c r="B405" s="82">
        <f>B398+1</f>
        <v>58</v>
      </c>
      <c r="C405" s="1230">
        <f>'Terms and Turnovers'!C73</f>
        <v>0</v>
      </c>
      <c r="D405" s="1230">
        <f>'Terms and Turnovers'!D73</f>
        <v>0</v>
      </c>
      <c r="E405" s="83" t="str">
        <f>'Terms and Turnovers'!$J$12</f>
        <v>FLIP-FLOPS</v>
      </c>
      <c r="F405" s="118">
        <f>$R405*G405</f>
        <v>0</v>
      </c>
      <c r="G405" s="69"/>
      <c r="H405" s="314">
        <f>$R405*I405</f>
        <v>0</v>
      </c>
      <c r="I405" s="69">
        <v>0</v>
      </c>
      <c r="J405" s="118">
        <f>$R405*K405</f>
        <v>0</v>
      </c>
      <c r="K405" s="69">
        <v>0</v>
      </c>
      <c r="L405" s="314">
        <f>$R405*M405</f>
        <v>0</v>
      </c>
      <c r="M405" s="69">
        <v>0</v>
      </c>
      <c r="N405" s="314">
        <f>$R405*O405</f>
        <v>0</v>
      </c>
      <c r="O405" s="69">
        <v>0</v>
      </c>
      <c r="P405" s="118">
        <f>$R405*Q405</f>
        <v>0</v>
      </c>
      <c r="Q405" s="69">
        <v>0</v>
      </c>
      <c r="R405" s="87">
        <f>'Terms and Turnovers'!K73</f>
        <v>0</v>
      </c>
      <c r="S405" s="160">
        <f t="shared" si="38"/>
        <v>0</v>
      </c>
      <c r="T405" s="118">
        <f>$AF405*U405</f>
        <v>0</v>
      </c>
      <c r="U405" s="69">
        <v>0</v>
      </c>
      <c r="V405" s="314">
        <f>$AF405*W405</f>
        <v>0</v>
      </c>
      <c r="W405" s="69">
        <v>0</v>
      </c>
      <c r="X405" s="118">
        <f>$AF405*Y405</f>
        <v>0</v>
      </c>
      <c r="Y405" s="69">
        <v>0</v>
      </c>
      <c r="Z405" s="314">
        <f>$AF405*AA405</f>
        <v>0</v>
      </c>
      <c r="AA405" s="69">
        <v>0</v>
      </c>
      <c r="AB405" s="314">
        <f>$AF405*AC405</f>
        <v>0</v>
      </c>
      <c r="AC405" s="69">
        <v>0</v>
      </c>
      <c r="AD405" s="118">
        <f>$AF405*AE405</f>
        <v>0</v>
      </c>
      <c r="AE405" s="69">
        <v>0</v>
      </c>
      <c r="AF405" s="87">
        <f>'Terms and Turnovers'!P73</f>
        <v>0</v>
      </c>
      <c r="AG405" s="160">
        <f t="shared" si="39"/>
        <v>0</v>
      </c>
      <c r="AH405" s="157">
        <f t="shared" si="40"/>
        <v>0</v>
      </c>
      <c r="AI405" s="131">
        <f t="shared" si="41"/>
        <v>0</v>
      </c>
      <c r="AJ405" s="65"/>
      <c r="AL405" s="461">
        <f>SUM(F405,H405,J405,L405,N405,P405,T405,V405,X405,Z405,AB405,AD405)</f>
        <v>0</v>
      </c>
      <c r="AM405" s="462">
        <f>AL405-AH405</f>
        <v>0</v>
      </c>
      <c r="AV405" s="56"/>
    </row>
    <row r="406" spans="1:48" ht="13.5" customHeight="1" outlineLevel="1" thickBot="1">
      <c r="B406" s="82"/>
      <c r="C406" s="1231"/>
      <c r="D406" s="1231"/>
      <c r="E406" s="84" t="str">
        <f>'Terms and Turnovers'!$T$12</f>
        <v>ORIGINALS</v>
      </c>
      <c r="F406" s="120">
        <f>$R406*G406</f>
        <v>0</v>
      </c>
      <c r="G406" s="723"/>
      <c r="H406" s="120">
        <f>$R406*I406</f>
        <v>0</v>
      </c>
      <c r="I406" s="69">
        <v>0</v>
      </c>
      <c r="J406" s="120">
        <f>$R406*K406</f>
        <v>0</v>
      </c>
      <c r="K406" s="69">
        <v>0</v>
      </c>
      <c r="L406" s="120">
        <f>$R406*M406</f>
        <v>0</v>
      </c>
      <c r="M406" s="69">
        <v>0</v>
      </c>
      <c r="N406" s="315">
        <f>$R406*O406</f>
        <v>0</v>
      </c>
      <c r="O406" s="69">
        <v>0</v>
      </c>
      <c r="P406" s="120">
        <f>$R406*Q406</f>
        <v>0</v>
      </c>
      <c r="Q406" s="69">
        <v>0</v>
      </c>
      <c r="R406" s="88">
        <f>'Terms and Turnovers'!U73</f>
        <v>0</v>
      </c>
      <c r="S406" s="161">
        <f t="shared" si="38"/>
        <v>0</v>
      </c>
      <c r="T406" s="120">
        <f>$AF406*U406</f>
        <v>0</v>
      </c>
      <c r="U406" s="69">
        <v>0</v>
      </c>
      <c r="V406" s="120">
        <f>$AF406*W406</f>
        <v>0</v>
      </c>
      <c r="W406" s="69">
        <v>0</v>
      </c>
      <c r="X406" s="120">
        <f>$AF406*Y406</f>
        <v>0</v>
      </c>
      <c r="Y406" s="69">
        <v>0</v>
      </c>
      <c r="Z406" s="120">
        <f>$AF406*AA406</f>
        <v>0</v>
      </c>
      <c r="AA406" s="69">
        <v>0</v>
      </c>
      <c r="AB406" s="315">
        <f>$AF406*AC406</f>
        <v>0</v>
      </c>
      <c r="AC406" s="69">
        <v>0</v>
      </c>
      <c r="AD406" s="120">
        <f>$AF406*AE406</f>
        <v>0</v>
      </c>
      <c r="AE406" s="69">
        <v>0</v>
      </c>
      <c r="AF406" s="88">
        <f>'Terms and Turnovers'!Z73</f>
        <v>0</v>
      </c>
      <c r="AG406" s="161">
        <f t="shared" si="39"/>
        <v>0</v>
      </c>
      <c r="AH406" s="158">
        <f t="shared" si="40"/>
        <v>0</v>
      </c>
      <c r="AI406" s="134">
        <f t="shared" si="41"/>
        <v>0</v>
      </c>
      <c r="AJ406" s="65"/>
      <c r="AL406" s="461">
        <f>SUM(F406,H406,J406,L406,N406,P406,T406,V406,X406,Z406,AB406,AD406)</f>
        <v>0</v>
      </c>
      <c r="AM406" s="462">
        <f>AL406-AH406</f>
        <v>0</v>
      </c>
      <c r="AV406" s="56"/>
    </row>
    <row r="407" spans="1:48" ht="13.5" customHeight="1" outlineLevel="1" thickBot="1">
      <c r="B407" s="82"/>
      <c r="C407" s="1231"/>
      <c r="D407" s="1231"/>
      <c r="E407" s="84" t="str">
        <f>'Terms and Turnovers'!$AD$12</f>
        <v>ACCESSORIES</v>
      </c>
      <c r="F407" s="120">
        <f>$R407*G407</f>
        <v>0</v>
      </c>
      <c r="G407" s="723"/>
      <c r="H407" s="120">
        <f>$R407*I407</f>
        <v>0</v>
      </c>
      <c r="I407" s="69">
        <v>0</v>
      </c>
      <c r="J407" s="120">
        <f>$R407*K407</f>
        <v>0</v>
      </c>
      <c r="K407" s="69">
        <v>0</v>
      </c>
      <c r="L407" s="120">
        <f>$R407*M407</f>
        <v>0</v>
      </c>
      <c r="M407" s="69">
        <v>0</v>
      </c>
      <c r="N407" s="315">
        <f>$R407*O407</f>
        <v>0</v>
      </c>
      <c r="O407" s="69">
        <v>0</v>
      </c>
      <c r="P407" s="120">
        <f>$R407*Q407</f>
        <v>0</v>
      </c>
      <c r="Q407" s="69">
        <v>0</v>
      </c>
      <c r="R407" s="88">
        <f>'Terms and Turnovers'!AE73</f>
        <v>0</v>
      </c>
      <c r="S407" s="161">
        <f t="shared" si="38"/>
        <v>0</v>
      </c>
      <c r="T407" s="120">
        <f>$AF407*U407</f>
        <v>0</v>
      </c>
      <c r="U407" s="69">
        <v>0</v>
      </c>
      <c r="V407" s="120">
        <f>$AF407*W407</f>
        <v>0</v>
      </c>
      <c r="W407" s="69">
        <v>0</v>
      </c>
      <c r="X407" s="120">
        <f>$AF407*Y407</f>
        <v>0</v>
      </c>
      <c r="Y407" s="69">
        <v>0</v>
      </c>
      <c r="Z407" s="120">
        <f>$AF407*AA407</f>
        <v>0</v>
      </c>
      <c r="AA407" s="69">
        <v>0</v>
      </c>
      <c r="AB407" s="315">
        <f>$AF407*AC407</f>
        <v>0</v>
      </c>
      <c r="AC407" s="69">
        <v>0</v>
      </c>
      <c r="AD407" s="120">
        <f>$AF407*AE407</f>
        <v>0</v>
      </c>
      <c r="AE407" s="69">
        <v>0</v>
      </c>
      <c r="AF407" s="88">
        <f>'Terms and Turnovers'!AJ73</f>
        <v>0</v>
      </c>
      <c r="AG407" s="161">
        <f t="shared" si="39"/>
        <v>0</v>
      </c>
      <c r="AH407" s="158">
        <f t="shared" si="40"/>
        <v>0</v>
      </c>
      <c r="AI407" s="134">
        <f t="shared" si="41"/>
        <v>0</v>
      </c>
      <c r="AJ407" s="65"/>
      <c r="AL407" s="461">
        <f>SUM(F407,H407,J407,L407,N407,P407,T407,V407,X407,Z407,AB407,AD407)</f>
        <v>0</v>
      </c>
      <c r="AM407" s="462">
        <f>AL407-AH407</f>
        <v>0</v>
      </c>
      <c r="AV407" s="56"/>
    </row>
    <row r="408" spans="1:48" ht="13.5" customHeight="1" outlineLevel="1" thickBot="1">
      <c r="B408" s="82"/>
      <c r="C408" s="1231"/>
      <c r="D408" s="1231"/>
      <c r="E408" s="84">
        <f>'Terms and Turnovers'!$AN$12</f>
        <v>0</v>
      </c>
      <c r="F408" s="120">
        <f>$R408*G408</f>
        <v>0</v>
      </c>
      <c r="G408" s="723"/>
      <c r="H408" s="120">
        <f>$R408*I408</f>
        <v>0</v>
      </c>
      <c r="I408" s="69">
        <v>0</v>
      </c>
      <c r="J408" s="120">
        <f>$R408*K408</f>
        <v>0</v>
      </c>
      <c r="K408" s="69">
        <v>0</v>
      </c>
      <c r="L408" s="120">
        <f>$R408*M408</f>
        <v>0</v>
      </c>
      <c r="M408" s="69">
        <v>0</v>
      </c>
      <c r="N408" s="315">
        <f>$R408*O408</f>
        <v>0</v>
      </c>
      <c r="O408" s="69">
        <v>0</v>
      </c>
      <c r="P408" s="120">
        <f>$R408*Q408</f>
        <v>0</v>
      </c>
      <c r="Q408" s="69">
        <v>0</v>
      </c>
      <c r="R408" s="88">
        <f>'Terms and Turnovers'!AO73</f>
        <v>0</v>
      </c>
      <c r="S408" s="161">
        <f t="shared" si="38"/>
        <v>0</v>
      </c>
      <c r="T408" s="120">
        <f>$AF408*U408</f>
        <v>0</v>
      </c>
      <c r="U408" s="69">
        <v>0</v>
      </c>
      <c r="V408" s="120">
        <f>$AF408*W408</f>
        <v>0</v>
      </c>
      <c r="W408" s="69">
        <v>0</v>
      </c>
      <c r="X408" s="120">
        <f>$AF408*Y408</f>
        <v>0</v>
      </c>
      <c r="Y408" s="69">
        <v>0</v>
      </c>
      <c r="Z408" s="120">
        <f>$AF408*AA408</f>
        <v>0</v>
      </c>
      <c r="AA408" s="69">
        <v>0</v>
      </c>
      <c r="AB408" s="315">
        <f>$AF408*AC408</f>
        <v>0</v>
      </c>
      <c r="AC408" s="69">
        <v>0</v>
      </c>
      <c r="AD408" s="120">
        <f>$AF408*AE408</f>
        <v>0</v>
      </c>
      <c r="AE408" s="69">
        <v>0</v>
      </c>
      <c r="AF408" s="88">
        <f>'Terms and Turnovers'!AT73</f>
        <v>0</v>
      </c>
      <c r="AG408" s="161">
        <f t="shared" si="39"/>
        <v>0</v>
      </c>
      <c r="AH408" s="158">
        <f t="shared" si="40"/>
        <v>0</v>
      </c>
      <c r="AI408" s="134">
        <f t="shared" si="41"/>
        <v>0</v>
      </c>
      <c r="AJ408" s="65"/>
      <c r="AL408" s="461">
        <f>SUM(F408,H408,J408,L408,N408,P408,T408,V408,X408,Z408,AB408,AD408)</f>
        <v>0</v>
      </c>
      <c r="AM408" s="462">
        <f>AL408-AH408</f>
        <v>0</v>
      </c>
      <c r="AV408" s="56"/>
    </row>
    <row r="409" spans="1:48" ht="13.5" customHeight="1" outlineLevel="1" thickBot="1">
      <c r="B409" s="82"/>
      <c r="C409" s="1232"/>
      <c r="D409" s="1232"/>
      <c r="E409" s="85">
        <f>'Terms and Turnovers'!$AX$12</f>
        <v>0</v>
      </c>
      <c r="F409" s="121">
        <f>$R409*G409</f>
        <v>0</v>
      </c>
      <c r="G409" s="72"/>
      <c r="H409" s="121">
        <f>$R409*I409</f>
        <v>0</v>
      </c>
      <c r="I409" s="69">
        <v>0</v>
      </c>
      <c r="J409" s="121">
        <f>$R409*K409</f>
        <v>0</v>
      </c>
      <c r="K409" s="69">
        <v>0</v>
      </c>
      <c r="L409" s="121">
        <f>$R409*M409</f>
        <v>0</v>
      </c>
      <c r="M409" s="69">
        <v>0</v>
      </c>
      <c r="N409" s="316">
        <f>$R409*O409</f>
        <v>0</v>
      </c>
      <c r="O409" s="69">
        <v>0</v>
      </c>
      <c r="P409" s="121">
        <f>$R409*Q409</f>
        <v>0</v>
      </c>
      <c r="Q409" s="69">
        <v>0</v>
      </c>
      <c r="R409" s="89">
        <f>'Terms and Turnovers'!AY73</f>
        <v>0</v>
      </c>
      <c r="S409" s="162">
        <f t="shared" si="38"/>
        <v>0</v>
      </c>
      <c r="T409" s="121">
        <f>$AF409*U409</f>
        <v>0</v>
      </c>
      <c r="U409" s="69">
        <v>0</v>
      </c>
      <c r="V409" s="121">
        <f>$AF409*W409</f>
        <v>0</v>
      </c>
      <c r="W409" s="69">
        <v>0</v>
      </c>
      <c r="X409" s="121">
        <f>$AF409*Y409</f>
        <v>0</v>
      </c>
      <c r="Y409" s="69">
        <v>0</v>
      </c>
      <c r="Z409" s="121">
        <f>$AF409*AA409</f>
        <v>0</v>
      </c>
      <c r="AA409" s="69">
        <v>0</v>
      </c>
      <c r="AB409" s="316">
        <f>$AF409*AC409</f>
        <v>0</v>
      </c>
      <c r="AC409" s="69">
        <v>0</v>
      </c>
      <c r="AD409" s="121">
        <f>$AF409*AE409</f>
        <v>0</v>
      </c>
      <c r="AE409" s="69">
        <v>0</v>
      </c>
      <c r="AF409" s="89">
        <f>'Terms and Turnovers'!BD73</f>
        <v>0</v>
      </c>
      <c r="AG409" s="162">
        <f t="shared" si="39"/>
        <v>0</v>
      </c>
      <c r="AH409" s="159">
        <f t="shared" si="40"/>
        <v>0</v>
      </c>
      <c r="AI409" s="137">
        <f t="shared" si="41"/>
        <v>0</v>
      </c>
      <c r="AJ409" s="65"/>
      <c r="AL409" s="461">
        <f>SUM(F409,H409,J409,L409,N409,P409,T409,V409,X409,Z409,AB409,AD409)</f>
        <v>0</v>
      </c>
      <c r="AM409" s="462">
        <f>AL409-AH409</f>
        <v>0</v>
      </c>
      <c r="AV409" s="56"/>
    </row>
    <row r="410" spans="1:48" ht="13.5" customHeight="1" outlineLevel="1" thickBot="1">
      <c r="A410" s="119"/>
      <c r="B410" s="82"/>
      <c r="C410" s="425"/>
      <c r="D410" s="425"/>
      <c r="E410" s="426"/>
      <c r="F410" s="427">
        <f>SUM(F405:F409)</f>
        <v>0</v>
      </c>
      <c r="G410" s="428"/>
      <c r="H410" s="427">
        <f>SUM(H405:H409)</f>
        <v>0</v>
      </c>
      <c r="I410" s="69"/>
      <c r="J410" s="427">
        <f>SUM(J405:J409)</f>
        <v>0</v>
      </c>
      <c r="K410" s="69"/>
      <c r="L410" s="427">
        <f>SUM(L405:L409)</f>
        <v>0</v>
      </c>
      <c r="M410" s="69"/>
      <c r="N410" s="427">
        <f>SUM(N405:N409)</f>
        <v>0</v>
      </c>
      <c r="O410" s="69"/>
      <c r="P410" s="427">
        <f>SUM(P405:P409)</f>
        <v>0</v>
      </c>
      <c r="Q410" s="69"/>
      <c r="R410" s="429"/>
      <c r="S410" s="430"/>
      <c r="T410" s="427">
        <f>SUM(T405:T409)</f>
        <v>0</v>
      </c>
      <c r="U410" s="428"/>
      <c r="V410" s="427">
        <f>SUM(V405:V409)</f>
        <v>0</v>
      </c>
      <c r="W410" s="69"/>
      <c r="X410" s="427">
        <f>SUM(X405:X409)</f>
        <v>0</v>
      </c>
      <c r="Y410" s="69"/>
      <c r="Z410" s="427">
        <f>SUM(Z405:Z409)</f>
        <v>0</v>
      </c>
      <c r="AA410" s="69"/>
      <c r="AB410" s="427">
        <f>SUM(AB405:AB409)</f>
        <v>0</v>
      </c>
      <c r="AC410" s="69"/>
      <c r="AD410" s="427">
        <f>SUM(AD405:AD409)</f>
        <v>0</v>
      </c>
      <c r="AE410" s="69"/>
      <c r="AF410" s="429"/>
      <c r="AG410" s="430"/>
      <c r="AH410" s="431"/>
      <c r="AI410" s="432"/>
      <c r="AJ410" s="65"/>
      <c r="AV410" s="56"/>
    </row>
    <row r="411" spans="1:48" ht="13.5" customHeight="1" outlineLevel="1" thickBot="1">
      <c r="A411" s="119"/>
      <c r="B411" s="82"/>
      <c r="C411" s="1098" t="s">
        <v>484</v>
      </c>
      <c r="D411" s="433">
        <f>D405</f>
        <v>0</v>
      </c>
      <c r="E411" s="426"/>
      <c r="F411" s="700"/>
      <c r="G411" s="428"/>
      <c r="H411" s="700"/>
      <c r="I411" s="69"/>
      <c r="J411" s="700"/>
      <c r="K411" s="69"/>
      <c r="L411" s="700"/>
      <c r="M411" s="69"/>
      <c r="N411" s="700"/>
      <c r="O411" s="69"/>
      <c r="P411" s="700"/>
      <c r="Q411" s="69"/>
      <c r="R411" s="429"/>
      <c r="S411" s="430"/>
      <c r="T411" s="700"/>
      <c r="U411" s="428">
        <f>Q410</f>
        <v>0</v>
      </c>
      <c r="V411" s="700"/>
      <c r="W411" s="69">
        <f>S410</f>
        <v>0</v>
      </c>
      <c r="X411" s="700"/>
      <c r="Y411" s="69">
        <f>U410</f>
        <v>0</v>
      </c>
      <c r="Z411" s="700"/>
      <c r="AA411" s="69">
        <f>W410</f>
        <v>0</v>
      </c>
      <c r="AB411" s="700"/>
      <c r="AC411" s="69">
        <f>Y410</f>
        <v>0</v>
      </c>
      <c r="AD411" s="700"/>
      <c r="AE411" s="69"/>
      <c r="AF411" s="429"/>
      <c r="AG411" s="430"/>
      <c r="AH411" s="431"/>
      <c r="AI411" s="432"/>
      <c r="AJ411" s="65"/>
      <c r="AN411" s="695"/>
      <c r="AO411" s="697"/>
      <c r="AP411" s="742"/>
      <c r="AS411" s="716">
        <f>SUM(AL405:AL409)</f>
        <v>0</v>
      </c>
      <c r="AT411" s="461">
        <f>F411+H411+J411+L411+N411+P411+T411+V411+X411+Z411+AB411+AD411</f>
        <v>0</v>
      </c>
      <c r="AU411" s="743">
        <f>AT411-AS411</f>
        <v>0</v>
      </c>
    </row>
    <row r="412" spans="1:48" ht="13.5" customHeight="1" outlineLevel="1" thickBot="1">
      <c r="B412" s="82">
        <f>B405+1</f>
        <v>59</v>
      </c>
      <c r="C412" s="1230">
        <f>'Terms and Turnovers'!C74</f>
        <v>0</v>
      </c>
      <c r="D412" s="1230">
        <f>'Terms and Turnovers'!D74</f>
        <v>0</v>
      </c>
      <c r="E412" s="83" t="str">
        <f>'Terms and Turnovers'!$J$12</f>
        <v>FLIP-FLOPS</v>
      </c>
      <c r="F412" s="118">
        <f>$R412*G412</f>
        <v>0</v>
      </c>
      <c r="G412" s="69"/>
      <c r="H412" s="314">
        <f>$R412*I412</f>
        <v>0</v>
      </c>
      <c r="I412" s="69">
        <v>0</v>
      </c>
      <c r="J412" s="118">
        <f>$R412*K412</f>
        <v>0</v>
      </c>
      <c r="K412" s="69">
        <v>0</v>
      </c>
      <c r="L412" s="314">
        <f>$R412*M412</f>
        <v>0</v>
      </c>
      <c r="M412" s="69">
        <v>0</v>
      </c>
      <c r="N412" s="314">
        <f>$R412*O412</f>
        <v>0</v>
      </c>
      <c r="O412" s="69">
        <v>0</v>
      </c>
      <c r="P412" s="118">
        <f>$R412*Q412</f>
        <v>0</v>
      </c>
      <c r="Q412" s="69">
        <v>0</v>
      </c>
      <c r="R412" s="87">
        <f>'Terms and Turnovers'!K74</f>
        <v>0</v>
      </c>
      <c r="S412" s="160">
        <f t="shared" ref="S412:S499" si="42">SUM(G412,I412,K412,M412,O412,Q412)</f>
        <v>0</v>
      </c>
      <c r="T412" s="118">
        <f>$AF412*U412</f>
        <v>0</v>
      </c>
      <c r="U412" s="69">
        <v>0</v>
      </c>
      <c r="V412" s="314">
        <f>$AF412*W412</f>
        <v>0</v>
      </c>
      <c r="W412" s="69">
        <v>0</v>
      </c>
      <c r="X412" s="118">
        <f>$AF412*Y412</f>
        <v>0</v>
      </c>
      <c r="Y412" s="69">
        <v>0</v>
      </c>
      <c r="Z412" s="314">
        <f>$AF412*AA412</f>
        <v>0</v>
      </c>
      <c r="AA412" s="69">
        <v>0</v>
      </c>
      <c r="AB412" s="314">
        <f>$AF412*AC412</f>
        <v>0</v>
      </c>
      <c r="AC412" s="69">
        <v>0</v>
      </c>
      <c r="AD412" s="118">
        <f>$AF412*AE412</f>
        <v>0</v>
      </c>
      <c r="AE412" s="69">
        <v>0</v>
      </c>
      <c r="AF412" s="87">
        <f>'Terms and Turnovers'!P74</f>
        <v>0</v>
      </c>
      <c r="AG412" s="160">
        <f t="shared" ref="AG412:AG499" si="43">SUM(U412,W412,Y412,AA412,AC412,AE412)</f>
        <v>0</v>
      </c>
      <c r="AH412" s="157">
        <f t="shared" ref="AH412:AH499" si="44">SUM(R412,AF412)</f>
        <v>0</v>
      </c>
      <c r="AI412" s="131">
        <f t="shared" ref="AI412:AI499" si="45">S412+AG412</f>
        <v>0</v>
      </c>
      <c r="AJ412" s="65"/>
      <c r="AL412" s="461">
        <f>SUM(F412,H412,J412,L412,N412,P412,T412,V412,X412,Z412,AB412,AD412)</f>
        <v>0</v>
      </c>
      <c r="AM412" s="462">
        <f>AL412-AH412</f>
        <v>0</v>
      </c>
      <c r="AV412" s="56"/>
    </row>
    <row r="413" spans="1:48" ht="13.5" customHeight="1" outlineLevel="1" thickBot="1">
      <c r="B413" s="82"/>
      <c r="C413" s="1231"/>
      <c r="D413" s="1231"/>
      <c r="E413" s="84" t="str">
        <f>'Terms and Turnovers'!$T$12</f>
        <v>ORIGINALS</v>
      </c>
      <c r="F413" s="120">
        <f>$R413*G413</f>
        <v>0</v>
      </c>
      <c r="G413" s="723"/>
      <c r="H413" s="120">
        <f>$R413*I413</f>
        <v>0</v>
      </c>
      <c r="I413" s="69">
        <v>0</v>
      </c>
      <c r="J413" s="120">
        <f>$R413*K413</f>
        <v>0</v>
      </c>
      <c r="K413" s="69">
        <v>0</v>
      </c>
      <c r="L413" s="120">
        <f>$R413*M413</f>
        <v>0</v>
      </c>
      <c r="M413" s="69">
        <v>0</v>
      </c>
      <c r="N413" s="315">
        <f>$R413*O413</f>
        <v>0</v>
      </c>
      <c r="O413" s="69">
        <v>0</v>
      </c>
      <c r="P413" s="120">
        <f>$R413*Q413</f>
        <v>0</v>
      </c>
      <c r="Q413" s="69">
        <v>0</v>
      </c>
      <c r="R413" s="88">
        <f>'Terms and Turnovers'!U74</f>
        <v>0</v>
      </c>
      <c r="S413" s="161">
        <f t="shared" si="42"/>
        <v>0</v>
      </c>
      <c r="T413" s="120">
        <f>$AF413*U413</f>
        <v>0</v>
      </c>
      <c r="U413" s="69">
        <v>0</v>
      </c>
      <c r="V413" s="120">
        <f>$AF413*W413</f>
        <v>0</v>
      </c>
      <c r="W413" s="69">
        <v>0</v>
      </c>
      <c r="X413" s="120">
        <f>$AF413*Y413</f>
        <v>0</v>
      </c>
      <c r="Y413" s="69">
        <v>0</v>
      </c>
      <c r="Z413" s="120">
        <f>$AF413*AA413</f>
        <v>0</v>
      </c>
      <c r="AA413" s="69">
        <v>0</v>
      </c>
      <c r="AB413" s="315">
        <f>$AF413*AC413</f>
        <v>0</v>
      </c>
      <c r="AC413" s="69">
        <v>0</v>
      </c>
      <c r="AD413" s="120">
        <f>$AF413*AE413</f>
        <v>0</v>
      </c>
      <c r="AE413" s="69">
        <v>0</v>
      </c>
      <c r="AF413" s="88">
        <f>'Terms and Turnovers'!Z74</f>
        <v>0</v>
      </c>
      <c r="AG413" s="161">
        <f t="shared" si="43"/>
        <v>0</v>
      </c>
      <c r="AH413" s="158">
        <f t="shared" si="44"/>
        <v>0</v>
      </c>
      <c r="AI413" s="134">
        <f t="shared" si="45"/>
        <v>0</v>
      </c>
      <c r="AJ413" s="65"/>
      <c r="AL413" s="461">
        <f>SUM(F413,H413,J413,L413,N413,P413,T413,V413,X413,Z413,AB413,AD413)</f>
        <v>0</v>
      </c>
      <c r="AM413" s="462">
        <f>AL413-AH413</f>
        <v>0</v>
      </c>
      <c r="AV413" s="56"/>
    </row>
    <row r="414" spans="1:48" ht="13.5" customHeight="1" outlineLevel="1" thickBot="1">
      <c r="B414" s="82"/>
      <c r="C414" s="1231"/>
      <c r="D414" s="1231"/>
      <c r="E414" s="84" t="str">
        <f>'Terms and Turnovers'!$AD$12</f>
        <v>ACCESSORIES</v>
      </c>
      <c r="F414" s="120">
        <f>$R414*G414</f>
        <v>0</v>
      </c>
      <c r="G414" s="723"/>
      <c r="H414" s="120">
        <f>$R414*I414</f>
        <v>0</v>
      </c>
      <c r="I414" s="69">
        <v>0</v>
      </c>
      <c r="J414" s="120">
        <f>$R414*K414</f>
        <v>0</v>
      </c>
      <c r="K414" s="69">
        <v>0</v>
      </c>
      <c r="L414" s="120">
        <f>$R414*M414</f>
        <v>0</v>
      </c>
      <c r="M414" s="69">
        <v>0</v>
      </c>
      <c r="N414" s="315">
        <f>$R414*O414</f>
        <v>0</v>
      </c>
      <c r="O414" s="69">
        <v>0</v>
      </c>
      <c r="P414" s="120">
        <f>$R414*Q414</f>
        <v>0</v>
      </c>
      <c r="Q414" s="69">
        <v>0</v>
      </c>
      <c r="R414" s="88">
        <f>'Terms and Turnovers'!AE74</f>
        <v>0</v>
      </c>
      <c r="S414" s="161">
        <f t="shared" si="42"/>
        <v>0</v>
      </c>
      <c r="T414" s="120">
        <f>$AF414*U414</f>
        <v>0</v>
      </c>
      <c r="U414" s="69">
        <v>0</v>
      </c>
      <c r="V414" s="120">
        <f>$AF414*W414</f>
        <v>0</v>
      </c>
      <c r="W414" s="69">
        <v>0</v>
      </c>
      <c r="X414" s="120">
        <f>$AF414*Y414</f>
        <v>0</v>
      </c>
      <c r="Y414" s="69">
        <v>0</v>
      </c>
      <c r="Z414" s="120">
        <f>$AF414*AA414</f>
        <v>0</v>
      </c>
      <c r="AA414" s="69">
        <v>0</v>
      </c>
      <c r="AB414" s="315">
        <f>$AF414*AC414</f>
        <v>0</v>
      </c>
      <c r="AC414" s="69">
        <v>0</v>
      </c>
      <c r="AD414" s="120">
        <f>$AF414*AE414</f>
        <v>0</v>
      </c>
      <c r="AE414" s="69">
        <v>0</v>
      </c>
      <c r="AF414" s="88">
        <f>'Terms and Turnovers'!AJ74</f>
        <v>0</v>
      </c>
      <c r="AG414" s="161">
        <f t="shared" si="43"/>
        <v>0</v>
      </c>
      <c r="AH414" s="158">
        <f t="shared" si="44"/>
        <v>0</v>
      </c>
      <c r="AI414" s="134">
        <f t="shared" si="45"/>
        <v>0</v>
      </c>
      <c r="AJ414" s="65"/>
      <c r="AL414" s="461">
        <f>SUM(F414,H414,J414,L414,N414,P414,T414,V414,X414,Z414,AB414,AD414)</f>
        <v>0</v>
      </c>
      <c r="AM414" s="462">
        <f>AL414-AH414</f>
        <v>0</v>
      </c>
      <c r="AV414" s="56"/>
    </row>
    <row r="415" spans="1:48" ht="13.5" customHeight="1" outlineLevel="1" thickBot="1">
      <c r="B415" s="82"/>
      <c r="C415" s="1231"/>
      <c r="D415" s="1231"/>
      <c r="E415" s="84">
        <f>'Terms and Turnovers'!$AN$12</f>
        <v>0</v>
      </c>
      <c r="F415" s="120">
        <f>$R415*G415</f>
        <v>0</v>
      </c>
      <c r="G415" s="723"/>
      <c r="H415" s="120">
        <f>$R415*I415</f>
        <v>0</v>
      </c>
      <c r="I415" s="69">
        <v>0</v>
      </c>
      <c r="J415" s="120">
        <f>$R415*K415</f>
        <v>0</v>
      </c>
      <c r="K415" s="69">
        <v>0</v>
      </c>
      <c r="L415" s="120">
        <f>$R415*M415</f>
        <v>0</v>
      </c>
      <c r="M415" s="69">
        <v>0</v>
      </c>
      <c r="N415" s="315">
        <f>$R415*O415</f>
        <v>0</v>
      </c>
      <c r="O415" s="69">
        <v>0</v>
      </c>
      <c r="P415" s="120">
        <f>$R415*Q415</f>
        <v>0</v>
      </c>
      <c r="Q415" s="69">
        <v>0</v>
      </c>
      <c r="R415" s="88">
        <f>'Terms and Turnovers'!AO74</f>
        <v>0</v>
      </c>
      <c r="S415" s="161">
        <f t="shared" si="42"/>
        <v>0</v>
      </c>
      <c r="T415" s="120">
        <f>$AF415*U415</f>
        <v>0</v>
      </c>
      <c r="U415" s="69">
        <v>0</v>
      </c>
      <c r="V415" s="120">
        <f>$AF415*W415</f>
        <v>0</v>
      </c>
      <c r="W415" s="69">
        <v>0</v>
      </c>
      <c r="X415" s="120">
        <f>$AF415*Y415</f>
        <v>0</v>
      </c>
      <c r="Y415" s="69">
        <v>0</v>
      </c>
      <c r="Z415" s="120">
        <f>$AF415*AA415</f>
        <v>0</v>
      </c>
      <c r="AA415" s="69">
        <v>0</v>
      </c>
      <c r="AB415" s="315">
        <f>$AF415*AC415</f>
        <v>0</v>
      </c>
      <c r="AC415" s="69">
        <v>0</v>
      </c>
      <c r="AD415" s="120">
        <f>$AF415*AE415</f>
        <v>0</v>
      </c>
      <c r="AE415" s="69">
        <v>0</v>
      </c>
      <c r="AF415" s="88">
        <f>'Terms and Turnovers'!AT74</f>
        <v>0</v>
      </c>
      <c r="AG415" s="161">
        <f t="shared" si="43"/>
        <v>0</v>
      </c>
      <c r="AH415" s="158">
        <f t="shared" si="44"/>
        <v>0</v>
      </c>
      <c r="AI415" s="134">
        <f t="shared" si="45"/>
        <v>0</v>
      </c>
      <c r="AJ415" s="65"/>
      <c r="AL415" s="461">
        <f>SUM(F415,H415,J415,L415,N415,P415,T415,V415,X415,Z415,AB415,AD415)</f>
        <v>0</v>
      </c>
      <c r="AM415" s="462">
        <f>AL415-AH415</f>
        <v>0</v>
      </c>
      <c r="AV415" s="56"/>
    </row>
    <row r="416" spans="1:48" ht="13.5" customHeight="1" outlineLevel="1" thickBot="1">
      <c r="B416" s="82"/>
      <c r="C416" s="1232"/>
      <c r="D416" s="1232"/>
      <c r="E416" s="85">
        <f>'Terms and Turnovers'!$AX$12</f>
        <v>0</v>
      </c>
      <c r="F416" s="121">
        <f>$R416*G416</f>
        <v>0</v>
      </c>
      <c r="G416" s="72"/>
      <c r="H416" s="121">
        <f>$R416*I416</f>
        <v>0</v>
      </c>
      <c r="I416" s="69">
        <v>0</v>
      </c>
      <c r="J416" s="121">
        <f>$R416*K416</f>
        <v>0</v>
      </c>
      <c r="K416" s="69">
        <v>0</v>
      </c>
      <c r="L416" s="121">
        <f>$R416*M416</f>
        <v>0</v>
      </c>
      <c r="M416" s="69">
        <v>0</v>
      </c>
      <c r="N416" s="316">
        <f>$R416*O416</f>
        <v>0</v>
      </c>
      <c r="O416" s="69">
        <v>0</v>
      </c>
      <c r="P416" s="121">
        <f>$R416*Q416</f>
        <v>0</v>
      </c>
      <c r="Q416" s="69">
        <v>0</v>
      </c>
      <c r="R416" s="89">
        <f>'Terms and Turnovers'!AY74</f>
        <v>0</v>
      </c>
      <c r="S416" s="162">
        <f t="shared" si="42"/>
        <v>0</v>
      </c>
      <c r="T416" s="121">
        <f>$AF416*U416</f>
        <v>0</v>
      </c>
      <c r="U416" s="69">
        <v>0</v>
      </c>
      <c r="V416" s="121">
        <f>$AF416*W416</f>
        <v>0</v>
      </c>
      <c r="W416" s="69">
        <v>0</v>
      </c>
      <c r="X416" s="121">
        <f>$AF416*Y416</f>
        <v>0</v>
      </c>
      <c r="Y416" s="69">
        <v>0</v>
      </c>
      <c r="Z416" s="121">
        <f>$AF416*AA416</f>
        <v>0</v>
      </c>
      <c r="AA416" s="69">
        <v>0</v>
      </c>
      <c r="AB416" s="316">
        <f>$AF416*AC416</f>
        <v>0</v>
      </c>
      <c r="AC416" s="69">
        <v>0</v>
      </c>
      <c r="AD416" s="121">
        <f>$AF416*AE416</f>
        <v>0</v>
      </c>
      <c r="AE416" s="69">
        <v>0</v>
      </c>
      <c r="AF416" s="89">
        <f>'Terms and Turnovers'!BD74</f>
        <v>0</v>
      </c>
      <c r="AG416" s="162">
        <f t="shared" si="43"/>
        <v>0</v>
      </c>
      <c r="AH416" s="159">
        <f t="shared" si="44"/>
        <v>0</v>
      </c>
      <c r="AI416" s="137">
        <f t="shared" si="45"/>
        <v>0</v>
      </c>
      <c r="AJ416" s="65"/>
      <c r="AL416" s="461">
        <f>SUM(F416,H416,J416,L416,N416,P416,T416,V416,X416,Z416,AB416,AD416)</f>
        <v>0</v>
      </c>
      <c r="AM416" s="462">
        <f>AL416-AH416</f>
        <v>0</v>
      </c>
      <c r="AV416" s="56"/>
    </row>
    <row r="417" spans="1:48" ht="13.5" customHeight="1" outlineLevel="1" thickBot="1">
      <c r="A417" s="119"/>
      <c r="B417" s="82"/>
      <c r="C417" s="425"/>
      <c r="D417" s="425"/>
      <c r="E417" s="426"/>
      <c r="F417" s="427">
        <f>SUM(F412:F416)</f>
        <v>0</v>
      </c>
      <c r="G417" s="428"/>
      <c r="H417" s="427">
        <f>SUM(H412:H416)</f>
        <v>0</v>
      </c>
      <c r="I417" s="69"/>
      <c r="J417" s="427">
        <f>SUM(J412:J416)</f>
        <v>0</v>
      </c>
      <c r="K417" s="69"/>
      <c r="L417" s="427">
        <f>SUM(L412:L416)</f>
        <v>0</v>
      </c>
      <c r="M417" s="69"/>
      <c r="N417" s="427">
        <f>SUM(N412:N416)</f>
        <v>0</v>
      </c>
      <c r="O417" s="69"/>
      <c r="P417" s="427">
        <f>SUM(P412:P416)</f>
        <v>0</v>
      </c>
      <c r="Q417" s="69"/>
      <c r="R417" s="429"/>
      <c r="S417" s="430"/>
      <c r="T417" s="427">
        <f>SUM(T412:T416)</f>
        <v>0</v>
      </c>
      <c r="U417" s="428"/>
      <c r="V417" s="427">
        <f>SUM(V412:V416)</f>
        <v>0</v>
      </c>
      <c r="W417" s="69">
        <v>0</v>
      </c>
      <c r="X417" s="427">
        <f>SUM(X412:X416)</f>
        <v>0</v>
      </c>
      <c r="Y417" s="69"/>
      <c r="Z417" s="427">
        <f>SUM(Z412:Z416)</f>
        <v>0</v>
      </c>
      <c r="AA417" s="69"/>
      <c r="AB417" s="427">
        <f>SUM(AB412:AB416)</f>
        <v>0</v>
      </c>
      <c r="AC417" s="69"/>
      <c r="AD417" s="427">
        <f>SUM(AD412:AD416)</f>
        <v>0</v>
      </c>
      <c r="AE417" s="69"/>
      <c r="AF417" s="429"/>
      <c r="AG417" s="430"/>
      <c r="AH417" s="431"/>
      <c r="AI417" s="432"/>
      <c r="AJ417" s="65"/>
      <c r="AV417" s="56"/>
    </row>
    <row r="418" spans="1:48" ht="13.5" customHeight="1" outlineLevel="1" thickBot="1">
      <c r="A418" s="119"/>
      <c r="B418" s="82"/>
      <c r="C418" s="1098" t="s">
        <v>484</v>
      </c>
      <c r="D418" s="433">
        <f>D412</f>
        <v>0</v>
      </c>
      <c r="E418" s="426"/>
      <c r="F418" s="700"/>
      <c r="G418" s="428"/>
      <c r="H418" s="700"/>
      <c r="I418" s="69"/>
      <c r="J418" s="700"/>
      <c r="K418" s="69"/>
      <c r="L418" s="700"/>
      <c r="M418" s="69"/>
      <c r="N418" s="700"/>
      <c r="O418" s="69"/>
      <c r="P418" s="700"/>
      <c r="Q418" s="69"/>
      <c r="R418" s="429"/>
      <c r="S418" s="430"/>
      <c r="T418" s="700"/>
      <c r="U418" s="428"/>
      <c r="V418" s="700"/>
      <c r="W418" s="69"/>
      <c r="X418" s="700"/>
      <c r="Y418" s="69"/>
      <c r="Z418" s="700"/>
      <c r="AA418" s="69"/>
      <c r="AB418" s="700"/>
      <c r="AC418" s="69"/>
      <c r="AD418" s="700"/>
      <c r="AE418" s="69"/>
      <c r="AF418" s="429"/>
      <c r="AG418" s="430"/>
      <c r="AH418" s="431"/>
      <c r="AI418" s="432"/>
      <c r="AJ418" s="65"/>
      <c r="AN418" s="695">
        <v>0</v>
      </c>
      <c r="AO418" s="697"/>
      <c r="AP418" s="742">
        <v>0</v>
      </c>
      <c r="AS418" s="716">
        <f>SUM(AL412:AL416)</f>
        <v>0</v>
      </c>
      <c r="AT418" s="461">
        <f>F418+H418+J418+L418+N418+P418+T418+V418+X418+Z418+AB418+AD418</f>
        <v>0</v>
      </c>
      <c r="AU418" s="743">
        <f>AT418-AS418</f>
        <v>0</v>
      </c>
    </row>
    <row r="419" spans="1:48" ht="13.5" customHeight="1" outlineLevel="1" thickBot="1">
      <c r="B419" s="82">
        <f>B412+1</f>
        <v>60</v>
      </c>
      <c r="C419" s="1230">
        <f>'Terms and Turnovers'!C75</f>
        <v>0</v>
      </c>
      <c r="D419" s="1230">
        <f>'Terms and Turnovers'!D75</f>
        <v>0</v>
      </c>
      <c r="E419" s="83" t="str">
        <f>'Terms and Turnovers'!$J$12</f>
        <v>FLIP-FLOPS</v>
      </c>
      <c r="F419" s="118">
        <f>$R419*G419</f>
        <v>0</v>
      </c>
      <c r="G419" s="69"/>
      <c r="H419" s="314">
        <f>$R419*I419</f>
        <v>0</v>
      </c>
      <c r="I419" s="69">
        <v>0</v>
      </c>
      <c r="J419" s="118">
        <f>$R419*K419</f>
        <v>0</v>
      </c>
      <c r="K419" s="69">
        <v>0</v>
      </c>
      <c r="L419" s="314">
        <f>$R419*M419</f>
        <v>0</v>
      </c>
      <c r="M419" s="69">
        <v>0</v>
      </c>
      <c r="N419" s="314">
        <f>$R419*O419</f>
        <v>0</v>
      </c>
      <c r="O419" s="69">
        <v>0</v>
      </c>
      <c r="P419" s="118">
        <f>$R419*Q419</f>
        <v>0</v>
      </c>
      <c r="Q419" s="69">
        <v>0</v>
      </c>
      <c r="R419" s="87">
        <f>'Terms and Turnovers'!K75</f>
        <v>0</v>
      </c>
      <c r="S419" s="160">
        <f t="shared" si="42"/>
        <v>0</v>
      </c>
      <c r="T419" s="118">
        <f>$AF419*U419</f>
        <v>0</v>
      </c>
      <c r="U419" s="69">
        <v>0</v>
      </c>
      <c r="V419" s="314">
        <f>$AF419*W419</f>
        <v>0</v>
      </c>
      <c r="W419" s="69">
        <v>0</v>
      </c>
      <c r="X419" s="118">
        <f>$AF419*Y419</f>
        <v>0</v>
      </c>
      <c r="Y419" s="69">
        <v>0</v>
      </c>
      <c r="Z419" s="314">
        <f>$AF419*AA419</f>
        <v>0</v>
      </c>
      <c r="AA419" s="69">
        <v>0</v>
      </c>
      <c r="AB419" s="314">
        <f>$AF419*AC419</f>
        <v>0</v>
      </c>
      <c r="AC419" s="69">
        <v>0</v>
      </c>
      <c r="AD419" s="118">
        <f>$AF419*AE419</f>
        <v>0</v>
      </c>
      <c r="AE419" s="69">
        <v>0</v>
      </c>
      <c r="AF419" s="87">
        <f>'Terms and Turnovers'!P75</f>
        <v>0</v>
      </c>
      <c r="AG419" s="160">
        <f t="shared" si="43"/>
        <v>0</v>
      </c>
      <c r="AH419" s="157">
        <f t="shared" si="44"/>
        <v>0</v>
      </c>
      <c r="AI419" s="131">
        <f t="shared" si="45"/>
        <v>0</v>
      </c>
      <c r="AJ419" s="65"/>
      <c r="AL419" s="461">
        <f>SUM(F419,H419,J419,L419,N419,P419,T419,V419,X419,Z419,AB419,AD419)</f>
        <v>0</v>
      </c>
      <c r="AM419" s="462">
        <f>AL419-AH419</f>
        <v>0</v>
      </c>
      <c r="AV419" s="56"/>
    </row>
    <row r="420" spans="1:48" ht="13.5" customHeight="1" outlineLevel="1" thickBot="1">
      <c r="B420" s="82"/>
      <c r="C420" s="1231"/>
      <c r="D420" s="1231"/>
      <c r="E420" s="84" t="str">
        <f>'Terms and Turnovers'!$T$12</f>
        <v>ORIGINALS</v>
      </c>
      <c r="F420" s="120">
        <f>$R420*G420</f>
        <v>0</v>
      </c>
      <c r="G420" s="723"/>
      <c r="H420" s="120">
        <f>$R420*I420</f>
        <v>0</v>
      </c>
      <c r="I420" s="69">
        <v>0</v>
      </c>
      <c r="J420" s="120">
        <f>$R420*K420</f>
        <v>0</v>
      </c>
      <c r="K420" s="69">
        <v>0</v>
      </c>
      <c r="L420" s="120">
        <f>$R420*M420</f>
        <v>0</v>
      </c>
      <c r="M420" s="69">
        <v>0</v>
      </c>
      <c r="N420" s="315">
        <f>$R420*O420</f>
        <v>0</v>
      </c>
      <c r="O420" s="69">
        <v>0</v>
      </c>
      <c r="P420" s="120">
        <f>$R420*Q420</f>
        <v>0</v>
      </c>
      <c r="Q420" s="69">
        <v>0</v>
      </c>
      <c r="R420" s="88">
        <f>'Terms and Turnovers'!U75</f>
        <v>0</v>
      </c>
      <c r="S420" s="161">
        <f t="shared" si="42"/>
        <v>0</v>
      </c>
      <c r="T420" s="120">
        <f>$AF420*U420</f>
        <v>0</v>
      </c>
      <c r="U420" s="69">
        <v>0</v>
      </c>
      <c r="V420" s="120">
        <f>$AF420*W420</f>
        <v>0</v>
      </c>
      <c r="W420" s="69">
        <v>0</v>
      </c>
      <c r="X420" s="120">
        <f>$AF420*Y420</f>
        <v>0</v>
      </c>
      <c r="Y420" s="69">
        <v>0</v>
      </c>
      <c r="Z420" s="120">
        <f>$AF420*AA420</f>
        <v>0</v>
      </c>
      <c r="AA420" s="69">
        <v>0</v>
      </c>
      <c r="AB420" s="315">
        <f>$AF420*AC420</f>
        <v>0</v>
      </c>
      <c r="AC420" s="69">
        <v>0</v>
      </c>
      <c r="AD420" s="120">
        <f>$AF420*AE420</f>
        <v>0</v>
      </c>
      <c r="AE420" s="69">
        <v>0</v>
      </c>
      <c r="AF420" s="88">
        <f>'Terms and Turnovers'!Z75</f>
        <v>0</v>
      </c>
      <c r="AG420" s="161">
        <f t="shared" si="43"/>
        <v>0</v>
      </c>
      <c r="AH420" s="158">
        <f t="shared" si="44"/>
        <v>0</v>
      </c>
      <c r="AI420" s="134">
        <f t="shared" si="45"/>
        <v>0</v>
      </c>
      <c r="AJ420" s="65"/>
      <c r="AL420" s="461">
        <f>SUM(F420,H420,J420,L420,N420,P420,T420,V420,X420,Z420,AB420,AD420)</f>
        <v>0</v>
      </c>
      <c r="AM420" s="462">
        <f>AL420-AH420</f>
        <v>0</v>
      </c>
      <c r="AV420" s="56"/>
    </row>
    <row r="421" spans="1:48" ht="13.5" customHeight="1" outlineLevel="1" thickBot="1">
      <c r="B421" s="82"/>
      <c r="C421" s="1231"/>
      <c r="D421" s="1231"/>
      <c r="E421" s="84" t="str">
        <f>'Terms and Turnovers'!$AD$12</f>
        <v>ACCESSORIES</v>
      </c>
      <c r="F421" s="120">
        <f>$R421*G421</f>
        <v>0</v>
      </c>
      <c r="G421" s="723"/>
      <c r="H421" s="120">
        <f>$R421*I421</f>
        <v>0</v>
      </c>
      <c r="I421" s="69">
        <v>0</v>
      </c>
      <c r="J421" s="120">
        <f>$R421*K421</f>
        <v>0</v>
      </c>
      <c r="K421" s="69">
        <v>0</v>
      </c>
      <c r="L421" s="120">
        <f>$R421*M421</f>
        <v>0</v>
      </c>
      <c r="M421" s="69">
        <v>0</v>
      </c>
      <c r="N421" s="315">
        <f>$R421*O421</f>
        <v>0</v>
      </c>
      <c r="O421" s="69">
        <v>0</v>
      </c>
      <c r="P421" s="120">
        <f>$R421*Q421</f>
        <v>0</v>
      </c>
      <c r="Q421" s="69">
        <v>0</v>
      </c>
      <c r="R421" s="88">
        <f>'Terms and Turnovers'!AE75</f>
        <v>0</v>
      </c>
      <c r="S421" s="161">
        <f t="shared" si="42"/>
        <v>0</v>
      </c>
      <c r="T421" s="120">
        <f>$AF421*U421</f>
        <v>0</v>
      </c>
      <c r="U421" s="69">
        <v>0</v>
      </c>
      <c r="V421" s="120">
        <f>$AF421*W421</f>
        <v>0</v>
      </c>
      <c r="W421" s="69">
        <v>0</v>
      </c>
      <c r="X421" s="120">
        <f>$AF421*Y421</f>
        <v>0</v>
      </c>
      <c r="Y421" s="69">
        <v>0</v>
      </c>
      <c r="Z421" s="120">
        <f>$AF421*AA421</f>
        <v>0</v>
      </c>
      <c r="AA421" s="69">
        <v>0</v>
      </c>
      <c r="AB421" s="315">
        <f>$AF421*AC421</f>
        <v>0</v>
      </c>
      <c r="AC421" s="69">
        <v>0</v>
      </c>
      <c r="AD421" s="120">
        <f>$AF421*AE421</f>
        <v>0</v>
      </c>
      <c r="AE421" s="69">
        <v>0</v>
      </c>
      <c r="AF421" s="88">
        <f>'Terms and Turnovers'!AJ75</f>
        <v>0</v>
      </c>
      <c r="AG421" s="161">
        <f t="shared" si="43"/>
        <v>0</v>
      </c>
      <c r="AH421" s="158">
        <f t="shared" si="44"/>
        <v>0</v>
      </c>
      <c r="AI421" s="134">
        <f t="shared" si="45"/>
        <v>0</v>
      </c>
      <c r="AJ421" s="65"/>
      <c r="AL421" s="461">
        <f>SUM(F421,H421,J421,L421,N421,P421,T421,V421,X421,Z421,AB421,AD421)</f>
        <v>0</v>
      </c>
      <c r="AM421" s="462">
        <f>AL421-AH421</f>
        <v>0</v>
      </c>
      <c r="AV421" s="56"/>
    </row>
    <row r="422" spans="1:48" ht="13.5" customHeight="1" outlineLevel="1" thickBot="1">
      <c r="B422" s="82"/>
      <c r="C422" s="1231"/>
      <c r="D422" s="1231"/>
      <c r="E422" s="84">
        <f>'Terms and Turnovers'!$AN$12</f>
        <v>0</v>
      </c>
      <c r="F422" s="120">
        <f>$R422*G422</f>
        <v>0</v>
      </c>
      <c r="G422" s="723"/>
      <c r="H422" s="120">
        <f>$R422*I422</f>
        <v>0</v>
      </c>
      <c r="I422" s="69">
        <v>0</v>
      </c>
      <c r="J422" s="120">
        <f>$R422*K422</f>
        <v>0</v>
      </c>
      <c r="K422" s="69">
        <v>0</v>
      </c>
      <c r="L422" s="120">
        <f>$R422*M422</f>
        <v>0</v>
      </c>
      <c r="M422" s="69">
        <v>0</v>
      </c>
      <c r="N422" s="315">
        <f>$R422*O422</f>
        <v>0</v>
      </c>
      <c r="O422" s="69">
        <v>0</v>
      </c>
      <c r="P422" s="120">
        <f>$R422*Q422</f>
        <v>0</v>
      </c>
      <c r="Q422" s="69">
        <v>0</v>
      </c>
      <c r="R422" s="88">
        <f>'Terms and Turnovers'!AO75</f>
        <v>0</v>
      </c>
      <c r="S422" s="161">
        <f t="shared" si="42"/>
        <v>0</v>
      </c>
      <c r="T422" s="120">
        <f>$AF422*U422</f>
        <v>0</v>
      </c>
      <c r="U422" s="69">
        <v>0</v>
      </c>
      <c r="V422" s="120">
        <f>$AF422*W422</f>
        <v>0</v>
      </c>
      <c r="W422" s="69">
        <v>0</v>
      </c>
      <c r="X422" s="120">
        <f>$AF422*Y422</f>
        <v>0</v>
      </c>
      <c r="Y422" s="69">
        <v>0</v>
      </c>
      <c r="Z422" s="120">
        <f>$AF422*AA422</f>
        <v>0</v>
      </c>
      <c r="AA422" s="69">
        <v>0</v>
      </c>
      <c r="AB422" s="315">
        <f>$AF422*AC422</f>
        <v>0</v>
      </c>
      <c r="AC422" s="69">
        <v>0</v>
      </c>
      <c r="AD422" s="120">
        <f>$AF422*AE422</f>
        <v>0</v>
      </c>
      <c r="AE422" s="69">
        <v>0</v>
      </c>
      <c r="AF422" s="88">
        <f>'Terms and Turnovers'!AT75</f>
        <v>0</v>
      </c>
      <c r="AG422" s="161">
        <f t="shared" si="43"/>
        <v>0</v>
      </c>
      <c r="AH422" s="158">
        <f t="shared" si="44"/>
        <v>0</v>
      </c>
      <c r="AI422" s="134">
        <f t="shared" si="45"/>
        <v>0</v>
      </c>
      <c r="AJ422" s="65"/>
      <c r="AL422" s="461">
        <f>SUM(F422,H422,J422,L422,N422,P422,T422,V422,X422,Z422,AB422,AD422)</f>
        <v>0</v>
      </c>
      <c r="AM422" s="462">
        <f>AL422-AH422</f>
        <v>0</v>
      </c>
      <c r="AV422" s="56"/>
    </row>
    <row r="423" spans="1:48" ht="13.5" customHeight="1" outlineLevel="1" thickBot="1">
      <c r="B423" s="82"/>
      <c r="C423" s="1232"/>
      <c r="D423" s="1232"/>
      <c r="E423" s="85">
        <f>'Terms and Turnovers'!$AX$12</f>
        <v>0</v>
      </c>
      <c r="F423" s="121">
        <f>$R423*G423</f>
        <v>0</v>
      </c>
      <c r="G423" s="72"/>
      <c r="H423" s="121">
        <f>$R423*I423</f>
        <v>0</v>
      </c>
      <c r="I423" s="69">
        <v>0</v>
      </c>
      <c r="J423" s="121">
        <f>$R423*K423</f>
        <v>0</v>
      </c>
      <c r="K423" s="69">
        <v>0</v>
      </c>
      <c r="L423" s="121">
        <f>$R423*M423</f>
        <v>0</v>
      </c>
      <c r="M423" s="69">
        <v>0</v>
      </c>
      <c r="N423" s="316">
        <f>$R423*O423</f>
        <v>0</v>
      </c>
      <c r="O423" s="69">
        <v>0</v>
      </c>
      <c r="P423" s="121">
        <f>$R423*Q423</f>
        <v>0</v>
      </c>
      <c r="Q423" s="69">
        <v>0</v>
      </c>
      <c r="R423" s="89">
        <f>'Terms and Turnovers'!AY75</f>
        <v>0</v>
      </c>
      <c r="S423" s="162">
        <f t="shared" si="42"/>
        <v>0</v>
      </c>
      <c r="T423" s="121">
        <f>$AF423*U423</f>
        <v>0</v>
      </c>
      <c r="U423" s="69">
        <v>0</v>
      </c>
      <c r="V423" s="121">
        <f>$AF423*W423</f>
        <v>0</v>
      </c>
      <c r="W423" s="69">
        <v>0</v>
      </c>
      <c r="X423" s="121">
        <f>$AF423*Y423</f>
        <v>0</v>
      </c>
      <c r="Y423" s="69">
        <v>0</v>
      </c>
      <c r="Z423" s="121">
        <f>$AF423*AA423</f>
        <v>0</v>
      </c>
      <c r="AA423" s="69">
        <v>0</v>
      </c>
      <c r="AB423" s="316">
        <f>$AF423*AC423</f>
        <v>0</v>
      </c>
      <c r="AC423" s="69">
        <v>0</v>
      </c>
      <c r="AD423" s="121">
        <f>$AF423*AE423</f>
        <v>0</v>
      </c>
      <c r="AE423" s="69">
        <v>0</v>
      </c>
      <c r="AF423" s="89">
        <f>'Terms and Turnovers'!BD75</f>
        <v>0</v>
      </c>
      <c r="AG423" s="162">
        <f t="shared" si="43"/>
        <v>0</v>
      </c>
      <c r="AH423" s="159">
        <f t="shared" si="44"/>
        <v>0</v>
      </c>
      <c r="AI423" s="137">
        <f t="shared" si="45"/>
        <v>0</v>
      </c>
      <c r="AJ423" s="65"/>
      <c r="AL423" s="461">
        <f>SUM(F423,H423,J423,L423,N423,P423,T423,V423,X423,Z423,AB423,AD423)</f>
        <v>0</v>
      </c>
      <c r="AM423" s="462">
        <f>AL423-AH423</f>
        <v>0</v>
      </c>
      <c r="AV423" s="56"/>
    </row>
    <row r="424" spans="1:48" ht="13.5" customHeight="1" outlineLevel="1" thickBot="1">
      <c r="A424" s="119"/>
      <c r="B424" s="82"/>
      <c r="C424" s="425"/>
      <c r="D424" s="425"/>
      <c r="E424" s="426"/>
      <c r="F424" s="427">
        <f>SUM(F419:F423)</f>
        <v>0</v>
      </c>
      <c r="G424" s="428"/>
      <c r="H424" s="427">
        <f>SUM(H419:H423)</f>
        <v>0</v>
      </c>
      <c r="I424" s="69"/>
      <c r="J424" s="427">
        <f>SUM(J419:J423)</f>
        <v>0</v>
      </c>
      <c r="K424" s="69"/>
      <c r="L424" s="427">
        <f>SUM(L419:L423)</f>
        <v>0</v>
      </c>
      <c r="M424" s="69"/>
      <c r="N424" s="427">
        <f>SUM(N419:N423)</f>
        <v>0</v>
      </c>
      <c r="O424" s="69"/>
      <c r="P424" s="427">
        <f>SUM(P419:P423)</f>
        <v>0</v>
      </c>
      <c r="Q424" s="69"/>
      <c r="R424" s="429"/>
      <c r="S424" s="430"/>
      <c r="T424" s="427">
        <f>SUM(T419:T423)</f>
        <v>0</v>
      </c>
      <c r="U424" s="428"/>
      <c r="V424" s="427">
        <f>SUM(V419:V423)</f>
        <v>0</v>
      </c>
      <c r="W424" s="69"/>
      <c r="X424" s="427">
        <f>SUM(X419:X423)</f>
        <v>0</v>
      </c>
      <c r="Y424" s="69"/>
      <c r="Z424" s="427">
        <f>SUM(Z419:Z423)</f>
        <v>0</v>
      </c>
      <c r="AA424" s="69"/>
      <c r="AB424" s="427">
        <f>SUM(AB419:AB423)</f>
        <v>0</v>
      </c>
      <c r="AC424" s="69"/>
      <c r="AD424" s="427">
        <f>SUM(AD419:AD423)</f>
        <v>0</v>
      </c>
      <c r="AE424" s="69"/>
      <c r="AF424" s="429"/>
      <c r="AG424" s="430"/>
      <c r="AH424" s="431"/>
      <c r="AI424" s="432"/>
      <c r="AJ424" s="65"/>
      <c r="AV424" s="56"/>
    </row>
    <row r="425" spans="1:48" ht="13.5" customHeight="1" outlineLevel="1" thickBot="1">
      <c r="A425" s="119"/>
      <c r="B425" s="82"/>
      <c r="C425" s="1098" t="s">
        <v>484</v>
      </c>
      <c r="D425" s="433">
        <f>D419</f>
        <v>0</v>
      </c>
      <c r="E425" s="426"/>
      <c r="F425" s="700"/>
      <c r="G425" s="428"/>
      <c r="H425" s="700"/>
      <c r="I425" s="69"/>
      <c r="J425" s="700"/>
      <c r="K425" s="69"/>
      <c r="L425" s="700"/>
      <c r="M425" s="69"/>
      <c r="N425" s="700"/>
      <c r="O425" s="69"/>
      <c r="P425" s="700"/>
      <c r="Q425" s="69"/>
      <c r="R425" s="429"/>
      <c r="S425" s="430"/>
      <c r="T425" s="700"/>
      <c r="U425" s="428">
        <f>Q424</f>
        <v>0</v>
      </c>
      <c r="V425" s="700"/>
      <c r="W425" s="69">
        <f>S424</f>
        <v>0</v>
      </c>
      <c r="X425" s="700"/>
      <c r="Y425" s="69">
        <f>U424</f>
        <v>0</v>
      </c>
      <c r="Z425" s="700"/>
      <c r="AA425" s="69">
        <f>W424</f>
        <v>0</v>
      </c>
      <c r="AB425" s="700"/>
      <c r="AC425" s="69">
        <f>Y424</f>
        <v>0</v>
      </c>
      <c r="AD425" s="700"/>
      <c r="AE425" s="69"/>
      <c r="AF425" s="429"/>
      <c r="AG425" s="430"/>
      <c r="AH425" s="431"/>
      <c r="AI425" s="432"/>
      <c r="AJ425" s="65"/>
      <c r="AN425" s="695"/>
      <c r="AO425" s="697"/>
      <c r="AP425" s="742">
        <v>0</v>
      </c>
      <c r="AS425" s="716">
        <f>SUM(AL419:AL423)</f>
        <v>0</v>
      </c>
      <c r="AT425" s="461">
        <f>F425+H425+J425+L425+N425+P425+T425+V425+X425+Z425+AB425+AD425</f>
        <v>0</v>
      </c>
      <c r="AU425" s="743">
        <f>AT425-AS425</f>
        <v>0</v>
      </c>
    </row>
    <row r="426" spans="1:48" ht="13.5" customHeight="1" outlineLevel="1" thickBot="1">
      <c r="B426" s="82">
        <f>B419+1</f>
        <v>61</v>
      </c>
      <c r="C426" s="1230">
        <f>'Terms and Turnovers'!C76</f>
        <v>0</v>
      </c>
      <c r="D426" s="1230">
        <f>'Terms and Turnovers'!D76</f>
        <v>0</v>
      </c>
      <c r="E426" s="83" t="str">
        <f>'Terms and Turnovers'!$J$12</f>
        <v>FLIP-FLOPS</v>
      </c>
      <c r="F426" s="118">
        <f>$R426*G426</f>
        <v>0</v>
      </c>
      <c r="G426" s="69"/>
      <c r="H426" s="314">
        <f>$R426*I426</f>
        <v>0</v>
      </c>
      <c r="I426" s="69">
        <v>0</v>
      </c>
      <c r="J426" s="118">
        <f>$R426*K426</f>
        <v>0</v>
      </c>
      <c r="K426" s="69">
        <v>0</v>
      </c>
      <c r="L426" s="314">
        <f>$R426*M426</f>
        <v>0</v>
      </c>
      <c r="M426" s="69">
        <v>0</v>
      </c>
      <c r="N426" s="314">
        <f>$R426*O426</f>
        <v>0</v>
      </c>
      <c r="O426" s="69">
        <v>0</v>
      </c>
      <c r="P426" s="118">
        <f>$R426*Q426</f>
        <v>0</v>
      </c>
      <c r="Q426" s="69">
        <v>0</v>
      </c>
      <c r="R426" s="87">
        <f>'Terms and Turnovers'!K76</f>
        <v>0</v>
      </c>
      <c r="S426" s="160">
        <f t="shared" si="42"/>
        <v>0</v>
      </c>
      <c r="T426" s="118">
        <f>$AF426*U426</f>
        <v>0</v>
      </c>
      <c r="U426" s="69">
        <v>0</v>
      </c>
      <c r="V426" s="314">
        <f>$AF426*W426</f>
        <v>0</v>
      </c>
      <c r="W426" s="69">
        <v>0</v>
      </c>
      <c r="X426" s="118">
        <f>$AF426*Y426</f>
        <v>0</v>
      </c>
      <c r="Y426" s="69">
        <v>0</v>
      </c>
      <c r="Z426" s="314">
        <f>$AF426*AA426</f>
        <v>0</v>
      </c>
      <c r="AA426" s="69">
        <v>0</v>
      </c>
      <c r="AB426" s="314">
        <f>$AF426*AC426</f>
        <v>0</v>
      </c>
      <c r="AC426" s="69">
        <v>0</v>
      </c>
      <c r="AD426" s="118">
        <f>$AF426*AE426</f>
        <v>0</v>
      </c>
      <c r="AE426" s="69">
        <v>0</v>
      </c>
      <c r="AF426" s="87">
        <f>'Terms and Turnovers'!P76</f>
        <v>0</v>
      </c>
      <c r="AG426" s="160">
        <f t="shared" si="43"/>
        <v>0</v>
      </c>
      <c r="AH426" s="157">
        <f t="shared" si="44"/>
        <v>0</v>
      </c>
      <c r="AI426" s="131">
        <f t="shared" si="45"/>
        <v>0</v>
      </c>
      <c r="AJ426" s="65"/>
      <c r="AL426" s="461">
        <f>SUM(F426,H426,J426,L426,N426,P426,T426,V426,X426,Z426,AB426,AD426)</f>
        <v>0</v>
      </c>
      <c r="AM426" s="462">
        <f>AL426-AH426</f>
        <v>0</v>
      </c>
      <c r="AV426" s="56"/>
    </row>
    <row r="427" spans="1:48" ht="13.5" customHeight="1" outlineLevel="1" thickBot="1">
      <c r="B427" s="82"/>
      <c r="C427" s="1231"/>
      <c r="D427" s="1231"/>
      <c r="E427" s="84" t="str">
        <f>'Terms and Turnovers'!$T$12</f>
        <v>ORIGINALS</v>
      </c>
      <c r="F427" s="120">
        <f>$R427*G427</f>
        <v>0</v>
      </c>
      <c r="G427" s="723"/>
      <c r="H427" s="120">
        <f>$R427*I427</f>
        <v>0</v>
      </c>
      <c r="I427" s="69">
        <v>0</v>
      </c>
      <c r="J427" s="120">
        <f>$R427*K427</f>
        <v>0</v>
      </c>
      <c r="K427" s="69">
        <v>0</v>
      </c>
      <c r="L427" s="120">
        <f>$R427*M427</f>
        <v>0</v>
      </c>
      <c r="M427" s="69">
        <v>0</v>
      </c>
      <c r="N427" s="315">
        <f>$R427*O427</f>
        <v>0</v>
      </c>
      <c r="O427" s="69">
        <v>0</v>
      </c>
      <c r="P427" s="120">
        <f>$R427*Q427</f>
        <v>0</v>
      </c>
      <c r="Q427" s="69">
        <v>0</v>
      </c>
      <c r="R427" s="88">
        <f>'Terms and Turnovers'!U76</f>
        <v>0</v>
      </c>
      <c r="S427" s="161">
        <f t="shared" si="42"/>
        <v>0</v>
      </c>
      <c r="T427" s="120">
        <f>$AF427*U427</f>
        <v>0</v>
      </c>
      <c r="U427" s="69">
        <v>0</v>
      </c>
      <c r="V427" s="120">
        <f>$AF427*W427</f>
        <v>0</v>
      </c>
      <c r="W427" s="69">
        <v>0</v>
      </c>
      <c r="X427" s="120">
        <f>$AF427*Y427</f>
        <v>0</v>
      </c>
      <c r="Y427" s="69">
        <v>0</v>
      </c>
      <c r="Z427" s="120">
        <f>$AF427*AA427</f>
        <v>0</v>
      </c>
      <c r="AA427" s="69">
        <v>0</v>
      </c>
      <c r="AB427" s="315">
        <f>$AF427*AC427</f>
        <v>0</v>
      </c>
      <c r="AC427" s="69">
        <v>0</v>
      </c>
      <c r="AD427" s="120">
        <f>$AF427*AE427</f>
        <v>0</v>
      </c>
      <c r="AE427" s="69">
        <v>0</v>
      </c>
      <c r="AF427" s="88">
        <f>'Terms and Turnovers'!Z76</f>
        <v>0</v>
      </c>
      <c r="AG427" s="161">
        <f t="shared" si="43"/>
        <v>0</v>
      </c>
      <c r="AH427" s="158">
        <f t="shared" si="44"/>
        <v>0</v>
      </c>
      <c r="AI427" s="134">
        <f t="shared" si="45"/>
        <v>0</v>
      </c>
      <c r="AJ427" s="65"/>
      <c r="AL427" s="461">
        <f>SUM(F427,H427,J427,L427,N427,P427,T427,V427,X427,Z427,AB427,AD427)</f>
        <v>0</v>
      </c>
      <c r="AM427" s="462">
        <f>AL427-AH427</f>
        <v>0</v>
      </c>
      <c r="AV427" s="56"/>
    </row>
    <row r="428" spans="1:48" ht="13.5" customHeight="1" outlineLevel="1" thickBot="1">
      <c r="B428" s="82"/>
      <c r="C428" s="1231"/>
      <c r="D428" s="1231"/>
      <c r="E428" s="84" t="str">
        <f>'Terms and Turnovers'!$AD$12</f>
        <v>ACCESSORIES</v>
      </c>
      <c r="F428" s="120">
        <f>$R428*G428</f>
        <v>0</v>
      </c>
      <c r="G428" s="723"/>
      <c r="H428" s="120">
        <f>$R428*I428</f>
        <v>0</v>
      </c>
      <c r="I428" s="69">
        <v>0</v>
      </c>
      <c r="J428" s="120">
        <f>$R428*K428</f>
        <v>0</v>
      </c>
      <c r="K428" s="69">
        <v>0</v>
      </c>
      <c r="L428" s="120">
        <f>$R428*M428</f>
        <v>0</v>
      </c>
      <c r="M428" s="69">
        <v>0</v>
      </c>
      <c r="N428" s="315">
        <f>$R428*O428</f>
        <v>0</v>
      </c>
      <c r="O428" s="69">
        <v>0</v>
      </c>
      <c r="P428" s="120">
        <f>$R428*Q428</f>
        <v>0</v>
      </c>
      <c r="Q428" s="69">
        <v>0</v>
      </c>
      <c r="R428" s="88">
        <f>'Terms and Turnovers'!AE76</f>
        <v>0</v>
      </c>
      <c r="S428" s="161">
        <f t="shared" si="42"/>
        <v>0</v>
      </c>
      <c r="T428" s="120">
        <f>$AF428*U428</f>
        <v>0</v>
      </c>
      <c r="U428" s="69">
        <v>0</v>
      </c>
      <c r="V428" s="120">
        <f>$AF428*W428</f>
        <v>0</v>
      </c>
      <c r="W428" s="69">
        <v>0</v>
      </c>
      <c r="X428" s="120">
        <f>$AF428*Y428</f>
        <v>0</v>
      </c>
      <c r="Y428" s="69">
        <v>0</v>
      </c>
      <c r="Z428" s="120">
        <f>$AF428*AA428</f>
        <v>0</v>
      </c>
      <c r="AA428" s="69">
        <v>0</v>
      </c>
      <c r="AB428" s="315">
        <f>$AF428*AC428</f>
        <v>0</v>
      </c>
      <c r="AC428" s="69">
        <v>0</v>
      </c>
      <c r="AD428" s="120">
        <f>$AF428*AE428</f>
        <v>0</v>
      </c>
      <c r="AE428" s="69">
        <v>0</v>
      </c>
      <c r="AF428" s="88">
        <f>'Terms and Turnovers'!AJ76</f>
        <v>0</v>
      </c>
      <c r="AG428" s="161">
        <f t="shared" si="43"/>
        <v>0</v>
      </c>
      <c r="AH428" s="158">
        <f t="shared" si="44"/>
        <v>0</v>
      </c>
      <c r="AI428" s="134">
        <f t="shared" si="45"/>
        <v>0</v>
      </c>
      <c r="AJ428" s="65"/>
      <c r="AL428" s="461">
        <f>SUM(F428,H428,J428,L428,N428,P428,T428,V428,X428,Z428,AB428,AD428)</f>
        <v>0</v>
      </c>
      <c r="AM428" s="462">
        <f>AL428-AH428</f>
        <v>0</v>
      </c>
      <c r="AV428" s="56"/>
    </row>
    <row r="429" spans="1:48" ht="13.5" customHeight="1" outlineLevel="1" thickBot="1">
      <c r="B429" s="82"/>
      <c r="C429" s="1231"/>
      <c r="D429" s="1231"/>
      <c r="E429" s="84">
        <f>'Terms and Turnovers'!$AN$12</f>
        <v>0</v>
      </c>
      <c r="F429" s="120">
        <f>$R429*G429</f>
        <v>0</v>
      </c>
      <c r="G429" s="723"/>
      <c r="H429" s="120">
        <f>$R429*I429</f>
        <v>0</v>
      </c>
      <c r="I429" s="69">
        <v>0</v>
      </c>
      <c r="J429" s="120">
        <f>$R429*K429</f>
        <v>0</v>
      </c>
      <c r="K429" s="69">
        <v>0</v>
      </c>
      <c r="L429" s="120">
        <f>$R429*M429</f>
        <v>0</v>
      </c>
      <c r="M429" s="69">
        <v>0</v>
      </c>
      <c r="N429" s="315">
        <f>$R429*O429</f>
        <v>0</v>
      </c>
      <c r="O429" s="69">
        <v>0</v>
      </c>
      <c r="P429" s="120">
        <f>$R429*Q429</f>
        <v>0</v>
      </c>
      <c r="Q429" s="69">
        <v>0</v>
      </c>
      <c r="R429" s="88">
        <f>'Terms and Turnovers'!AO76</f>
        <v>0</v>
      </c>
      <c r="S429" s="161">
        <f t="shared" si="42"/>
        <v>0</v>
      </c>
      <c r="T429" s="120">
        <f>$AF429*U429</f>
        <v>0</v>
      </c>
      <c r="U429" s="69">
        <v>0</v>
      </c>
      <c r="V429" s="120">
        <f>$AF429*W429</f>
        <v>0</v>
      </c>
      <c r="W429" s="69">
        <v>0</v>
      </c>
      <c r="X429" s="120">
        <f>$AF429*Y429</f>
        <v>0</v>
      </c>
      <c r="Y429" s="69">
        <v>0</v>
      </c>
      <c r="Z429" s="120">
        <f>$AF429*AA429</f>
        <v>0</v>
      </c>
      <c r="AA429" s="69">
        <v>0</v>
      </c>
      <c r="AB429" s="315">
        <f>$AF429*AC429</f>
        <v>0</v>
      </c>
      <c r="AC429" s="69">
        <v>0</v>
      </c>
      <c r="AD429" s="120">
        <f>$AF429*AE429</f>
        <v>0</v>
      </c>
      <c r="AE429" s="69">
        <v>0</v>
      </c>
      <c r="AF429" s="88">
        <f>'Terms and Turnovers'!AT76</f>
        <v>0</v>
      </c>
      <c r="AG429" s="161">
        <f t="shared" si="43"/>
        <v>0</v>
      </c>
      <c r="AH429" s="158">
        <f t="shared" si="44"/>
        <v>0</v>
      </c>
      <c r="AI429" s="134">
        <f t="shared" si="45"/>
        <v>0</v>
      </c>
      <c r="AJ429" s="65"/>
      <c r="AL429" s="461">
        <f>SUM(F429,H429,J429,L429,N429,P429,T429,V429,X429,Z429,AB429,AD429)</f>
        <v>0</v>
      </c>
      <c r="AM429" s="462">
        <f>AL429-AH429</f>
        <v>0</v>
      </c>
      <c r="AV429" s="56"/>
    </row>
    <row r="430" spans="1:48" ht="13.5" customHeight="1" outlineLevel="1" thickBot="1">
      <c r="B430" s="82"/>
      <c r="C430" s="1232"/>
      <c r="D430" s="1232"/>
      <c r="E430" s="85">
        <f>'Terms and Turnovers'!$AX$12</f>
        <v>0</v>
      </c>
      <c r="F430" s="121">
        <f>$R430*G430</f>
        <v>0</v>
      </c>
      <c r="G430" s="72"/>
      <c r="H430" s="121">
        <f>$R430*I430</f>
        <v>0</v>
      </c>
      <c r="I430" s="69">
        <v>0</v>
      </c>
      <c r="J430" s="121">
        <f>$R430*K430</f>
        <v>0</v>
      </c>
      <c r="K430" s="69">
        <v>0</v>
      </c>
      <c r="L430" s="121">
        <f>$R430*M430</f>
        <v>0</v>
      </c>
      <c r="M430" s="69">
        <v>0</v>
      </c>
      <c r="N430" s="316">
        <f>$R430*O430</f>
        <v>0</v>
      </c>
      <c r="O430" s="69">
        <v>0</v>
      </c>
      <c r="P430" s="121">
        <f>$R430*Q430</f>
        <v>0</v>
      </c>
      <c r="Q430" s="69">
        <v>0</v>
      </c>
      <c r="R430" s="89">
        <f>'Terms and Turnovers'!AY76</f>
        <v>0</v>
      </c>
      <c r="S430" s="162">
        <f t="shared" si="42"/>
        <v>0</v>
      </c>
      <c r="T430" s="121">
        <f>$AF430*U430</f>
        <v>0</v>
      </c>
      <c r="U430" s="69">
        <v>0</v>
      </c>
      <c r="V430" s="121">
        <f>$AF430*W430</f>
        <v>0</v>
      </c>
      <c r="W430" s="69">
        <v>0</v>
      </c>
      <c r="X430" s="121">
        <f>$AF430*Y430</f>
        <v>0</v>
      </c>
      <c r="Y430" s="69">
        <v>0</v>
      </c>
      <c r="Z430" s="121">
        <f>$AF430*AA430</f>
        <v>0</v>
      </c>
      <c r="AA430" s="69">
        <v>0</v>
      </c>
      <c r="AB430" s="316">
        <f>$AF430*AC430</f>
        <v>0</v>
      </c>
      <c r="AC430" s="69">
        <v>0</v>
      </c>
      <c r="AD430" s="121">
        <f>$AF430*AE430</f>
        <v>0</v>
      </c>
      <c r="AE430" s="69">
        <v>0</v>
      </c>
      <c r="AF430" s="89">
        <f>'Terms and Turnovers'!BD76</f>
        <v>0</v>
      </c>
      <c r="AG430" s="162">
        <f t="shared" si="43"/>
        <v>0</v>
      </c>
      <c r="AH430" s="159">
        <f t="shared" si="44"/>
        <v>0</v>
      </c>
      <c r="AI430" s="137">
        <f t="shared" si="45"/>
        <v>0</v>
      </c>
      <c r="AJ430" s="65"/>
      <c r="AL430" s="461">
        <f>SUM(F430,H430,J430,L430,N430,P430,T430,V430,X430,Z430,AB430,AD430)</f>
        <v>0</v>
      </c>
      <c r="AM430" s="462">
        <f>AL430-AH430</f>
        <v>0</v>
      </c>
      <c r="AV430" s="56"/>
    </row>
    <row r="431" spans="1:48" ht="13.5" customHeight="1" outlineLevel="1" thickBot="1">
      <c r="A431" s="119"/>
      <c r="B431" s="82"/>
      <c r="C431" s="425"/>
      <c r="D431" s="425"/>
      <c r="E431" s="426"/>
      <c r="F431" s="427">
        <f>SUM(F426:F430)</f>
        <v>0</v>
      </c>
      <c r="G431" s="428"/>
      <c r="H431" s="427">
        <f>SUM(H426:H430)</f>
        <v>0</v>
      </c>
      <c r="I431" s="69"/>
      <c r="J431" s="427">
        <f>SUM(J426:J430)</f>
        <v>0</v>
      </c>
      <c r="K431" s="69"/>
      <c r="L431" s="427">
        <f>SUM(L426:L430)</f>
        <v>0</v>
      </c>
      <c r="M431" s="69"/>
      <c r="N431" s="427">
        <f>SUM(N426:N430)</f>
        <v>0</v>
      </c>
      <c r="O431" s="69"/>
      <c r="P431" s="427">
        <f>SUM(P426:P430)</f>
        <v>0</v>
      </c>
      <c r="Q431" s="69"/>
      <c r="R431" s="429"/>
      <c r="S431" s="430"/>
      <c r="T431" s="427">
        <f>SUM(T426:T430)</f>
        <v>0</v>
      </c>
      <c r="U431" s="428"/>
      <c r="V431" s="427">
        <f>SUM(V426:V430)</f>
        <v>0</v>
      </c>
      <c r="W431" s="69"/>
      <c r="X431" s="427">
        <f>SUM(X426:X430)</f>
        <v>0</v>
      </c>
      <c r="Y431" s="69"/>
      <c r="Z431" s="427">
        <f>SUM(Z426:Z430)</f>
        <v>0</v>
      </c>
      <c r="AA431" s="69"/>
      <c r="AB431" s="427">
        <f>SUM(AB426:AB430)</f>
        <v>0</v>
      </c>
      <c r="AC431" s="69"/>
      <c r="AD431" s="427">
        <f>SUM(AD426:AD430)</f>
        <v>0</v>
      </c>
      <c r="AE431" s="69"/>
      <c r="AF431" s="429"/>
      <c r="AG431" s="430"/>
      <c r="AH431" s="431"/>
      <c r="AI431" s="432"/>
      <c r="AJ431" s="65"/>
      <c r="AV431" s="56"/>
    </row>
    <row r="432" spans="1:48" ht="13.5" customHeight="1" outlineLevel="1" thickBot="1">
      <c r="A432" s="119"/>
      <c r="B432" s="82"/>
      <c r="C432" s="1098" t="s">
        <v>484</v>
      </c>
      <c r="D432" s="433">
        <f>D426</f>
        <v>0</v>
      </c>
      <c r="E432" s="426"/>
      <c r="F432" s="700"/>
      <c r="G432" s="428"/>
      <c r="H432" s="700"/>
      <c r="I432" s="69"/>
      <c r="J432" s="700"/>
      <c r="K432" s="69"/>
      <c r="L432" s="700"/>
      <c r="M432" s="69"/>
      <c r="N432" s="700"/>
      <c r="O432" s="69"/>
      <c r="P432" s="700"/>
      <c r="Q432" s="69"/>
      <c r="R432" s="429"/>
      <c r="S432" s="430"/>
      <c r="T432" s="700"/>
      <c r="U432" s="428">
        <f>Q431</f>
        <v>0</v>
      </c>
      <c r="V432" s="700"/>
      <c r="W432" s="69">
        <f>S431</f>
        <v>0</v>
      </c>
      <c r="X432" s="700"/>
      <c r="Y432" s="69">
        <f>U431</f>
        <v>0</v>
      </c>
      <c r="Z432" s="700"/>
      <c r="AA432" s="69">
        <f>W431</f>
        <v>0</v>
      </c>
      <c r="AB432" s="700"/>
      <c r="AC432" s="69">
        <f>Y431</f>
        <v>0</v>
      </c>
      <c r="AD432" s="700"/>
      <c r="AE432" s="69"/>
      <c r="AF432" s="429"/>
      <c r="AG432" s="430"/>
      <c r="AH432" s="431"/>
      <c r="AI432" s="432"/>
      <c r="AJ432" s="65"/>
      <c r="AN432" s="695"/>
      <c r="AO432" s="697"/>
      <c r="AP432" s="742">
        <v>0</v>
      </c>
      <c r="AS432" s="716">
        <f>SUM(AL426:AL430)</f>
        <v>0</v>
      </c>
      <c r="AT432" s="461">
        <f>F432+H432+J432+L432+N432+P432+T432+V432+X432+Z432+AB432+AD432</f>
        <v>0</v>
      </c>
      <c r="AU432" s="743">
        <f>AT432-AS432</f>
        <v>0</v>
      </c>
    </row>
    <row r="433" spans="1:48" ht="13.5" customHeight="1" outlineLevel="1" thickBot="1">
      <c r="B433" s="82">
        <f>B426+1</f>
        <v>62</v>
      </c>
      <c r="C433" s="1230">
        <f>'Terms and Turnovers'!C77</f>
        <v>0</v>
      </c>
      <c r="D433" s="1230">
        <f>'Terms and Turnovers'!D77</f>
        <v>0</v>
      </c>
      <c r="E433" s="83" t="str">
        <f>'Terms and Turnovers'!$J$12</f>
        <v>FLIP-FLOPS</v>
      </c>
      <c r="F433" s="118">
        <f>$R433*G433</f>
        <v>0</v>
      </c>
      <c r="G433" s="69"/>
      <c r="H433" s="314">
        <f>$R433*I433</f>
        <v>0</v>
      </c>
      <c r="I433" s="69">
        <v>0</v>
      </c>
      <c r="J433" s="118">
        <f>$R433*K433</f>
        <v>0</v>
      </c>
      <c r="K433" s="69">
        <v>0</v>
      </c>
      <c r="L433" s="314">
        <f>$R433*M433</f>
        <v>0</v>
      </c>
      <c r="M433" s="69">
        <v>0</v>
      </c>
      <c r="N433" s="314">
        <f>$R433*O433</f>
        <v>0</v>
      </c>
      <c r="O433" s="69">
        <v>0</v>
      </c>
      <c r="P433" s="118">
        <f>$R433*Q433</f>
        <v>0</v>
      </c>
      <c r="Q433" s="69">
        <v>0</v>
      </c>
      <c r="R433" s="87">
        <f>'Terms and Turnovers'!K77</f>
        <v>0</v>
      </c>
      <c r="S433" s="160">
        <f t="shared" si="42"/>
        <v>0</v>
      </c>
      <c r="T433" s="118">
        <f>$AF433*U433</f>
        <v>0</v>
      </c>
      <c r="U433" s="69">
        <v>0</v>
      </c>
      <c r="V433" s="314">
        <f>$AF433*W433</f>
        <v>0</v>
      </c>
      <c r="W433" s="69">
        <v>0</v>
      </c>
      <c r="X433" s="118">
        <f>$AF433*Y433</f>
        <v>0</v>
      </c>
      <c r="Y433" s="69">
        <v>0</v>
      </c>
      <c r="Z433" s="314">
        <f>$AF433*AA433</f>
        <v>0</v>
      </c>
      <c r="AA433" s="69">
        <v>0</v>
      </c>
      <c r="AB433" s="314">
        <f>$AF433*AC433</f>
        <v>0</v>
      </c>
      <c r="AC433" s="69">
        <v>0</v>
      </c>
      <c r="AD433" s="118">
        <f>$AF433*AE433</f>
        <v>0</v>
      </c>
      <c r="AE433" s="69">
        <v>0</v>
      </c>
      <c r="AF433" s="87">
        <f>'Terms and Turnovers'!P77</f>
        <v>0</v>
      </c>
      <c r="AG433" s="160">
        <f t="shared" si="43"/>
        <v>0</v>
      </c>
      <c r="AH433" s="157">
        <f t="shared" si="44"/>
        <v>0</v>
      </c>
      <c r="AI433" s="131">
        <f t="shared" si="45"/>
        <v>0</v>
      </c>
      <c r="AJ433" s="65"/>
      <c r="AL433" s="461">
        <f>SUM(F433,H433,J433,L433,N433,P433,T433,V433,X433,Z433,AB433,AD433)</f>
        <v>0</v>
      </c>
      <c r="AM433" s="462">
        <f>AL433-AH433</f>
        <v>0</v>
      </c>
      <c r="AV433" s="56"/>
    </row>
    <row r="434" spans="1:48" ht="13.5" customHeight="1" outlineLevel="1" thickBot="1">
      <c r="B434" s="82"/>
      <c r="C434" s="1231"/>
      <c r="D434" s="1231"/>
      <c r="E434" s="84" t="str">
        <f>'Terms and Turnovers'!$T$12</f>
        <v>ORIGINALS</v>
      </c>
      <c r="F434" s="120">
        <f>$R434*G434</f>
        <v>0</v>
      </c>
      <c r="G434" s="723"/>
      <c r="H434" s="120">
        <f>$R434*I434</f>
        <v>0</v>
      </c>
      <c r="I434" s="69">
        <v>0</v>
      </c>
      <c r="J434" s="120">
        <f>$R434*K434</f>
        <v>0</v>
      </c>
      <c r="K434" s="69">
        <v>0</v>
      </c>
      <c r="L434" s="120">
        <f>$R434*M434</f>
        <v>0</v>
      </c>
      <c r="M434" s="69">
        <v>0</v>
      </c>
      <c r="N434" s="315">
        <f>$R434*O434</f>
        <v>0</v>
      </c>
      <c r="O434" s="69">
        <v>0</v>
      </c>
      <c r="P434" s="120">
        <f>$R434*Q434</f>
        <v>0</v>
      </c>
      <c r="Q434" s="69">
        <v>0</v>
      </c>
      <c r="R434" s="88">
        <f>'Terms and Turnovers'!U77</f>
        <v>0</v>
      </c>
      <c r="S434" s="161">
        <f t="shared" si="42"/>
        <v>0</v>
      </c>
      <c r="T434" s="120">
        <f>$AF434*U434</f>
        <v>0</v>
      </c>
      <c r="U434" s="69">
        <v>0</v>
      </c>
      <c r="V434" s="120">
        <f>$AF434*W434</f>
        <v>0</v>
      </c>
      <c r="W434" s="69">
        <v>0</v>
      </c>
      <c r="X434" s="120">
        <f>$AF434*Y434</f>
        <v>0</v>
      </c>
      <c r="Y434" s="69">
        <v>0</v>
      </c>
      <c r="Z434" s="120">
        <f>$AF434*AA434</f>
        <v>0</v>
      </c>
      <c r="AA434" s="69">
        <v>0</v>
      </c>
      <c r="AB434" s="315">
        <f>$AF434*AC434</f>
        <v>0</v>
      </c>
      <c r="AC434" s="69">
        <v>0</v>
      </c>
      <c r="AD434" s="120">
        <f>$AF434*AE434</f>
        <v>0</v>
      </c>
      <c r="AE434" s="69">
        <v>0</v>
      </c>
      <c r="AF434" s="88">
        <f>'Terms and Turnovers'!Z77</f>
        <v>0</v>
      </c>
      <c r="AG434" s="161">
        <f t="shared" si="43"/>
        <v>0</v>
      </c>
      <c r="AH434" s="158">
        <f t="shared" si="44"/>
        <v>0</v>
      </c>
      <c r="AI434" s="134">
        <f t="shared" si="45"/>
        <v>0</v>
      </c>
      <c r="AJ434" s="65"/>
      <c r="AL434" s="461">
        <f>SUM(F434,H434,J434,L434,N434,P434,T434,V434,X434,Z434,AB434,AD434)</f>
        <v>0</v>
      </c>
      <c r="AM434" s="462">
        <f>AL434-AH434</f>
        <v>0</v>
      </c>
      <c r="AV434" s="56"/>
    </row>
    <row r="435" spans="1:48" ht="13.5" customHeight="1" outlineLevel="1" thickBot="1">
      <c r="B435" s="82"/>
      <c r="C435" s="1231"/>
      <c r="D435" s="1231"/>
      <c r="E435" s="84" t="str">
        <f>'Terms and Turnovers'!$AD$12</f>
        <v>ACCESSORIES</v>
      </c>
      <c r="F435" s="120">
        <f>$R435*G435</f>
        <v>0</v>
      </c>
      <c r="G435" s="723"/>
      <c r="H435" s="120">
        <f>$R435*I435</f>
        <v>0</v>
      </c>
      <c r="I435" s="69">
        <v>0</v>
      </c>
      <c r="J435" s="120">
        <f>$R435*K435</f>
        <v>0</v>
      </c>
      <c r="K435" s="69">
        <v>0</v>
      </c>
      <c r="L435" s="120">
        <f>$R435*M435</f>
        <v>0</v>
      </c>
      <c r="M435" s="69">
        <v>0</v>
      </c>
      <c r="N435" s="315">
        <f>$R435*O435</f>
        <v>0</v>
      </c>
      <c r="O435" s="69">
        <v>0</v>
      </c>
      <c r="P435" s="120">
        <f>$R435*Q435</f>
        <v>0</v>
      </c>
      <c r="Q435" s="69">
        <v>0</v>
      </c>
      <c r="R435" s="88">
        <f>'Terms and Turnovers'!AE77</f>
        <v>0</v>
      </c>
      <c r="S435" s="161">
        <f t="shared" si="42"/>
        <v>0</v>
      </c>
      <c r="T435" s="120">
        <f>$AF435*U435</f>
        <v>0</v>
      </c>
      <c r="U435" s="69">
        <v>0</v>
      </c>
      <c r="V435" s="120">
        <f>$AF435*W435</f>
        <v>0</v>
      </c>
      <c r="W435" s="69">
        <v>0</v>
      </c>
      <c r="X435" s="120">
        <f>$AF435*Y435</f>
        <v>0</v>
      </c>
      <c r="Y435" s="69">
        <v>0</v>
      </c>
      <c r="Z435" s="120">
        <f>$AF435*AA435</f>
        <v>0</v>
      </c>
      <c r="AA435" s="69">
        <v>0</v>
      </c>
      <c r="AB435" s="315">
        <f>$AF435*AC435</f>
        <v>0</v>
      </c>
      <c r="AC435" s="69">
        <v>0</v>
      </c>
      <c r="AD435" s="120">
        <f>$AF435*AE435</f>
        <v>0</v>
      </c>
      <c r="AE435" s="69">
        <v>0</v>
      </c>
      <c r="AF435" s="88">
        <f>'Terms and Turnovers'!AJ77</f>
        <v>0</v>
      </c>
      <c r="AG435" s="161">
        <f t="shared" si="43"/>
        <v>0</v>
      </c>
      <c r="AH435" s="158">
        <f t="shared" si="44"/>
        <v>0</v>
      </c>
      <c r="AI435" s="134">
        <f t="shared" si="45"/>
        <v>0</v>
      </c>
      <c r="AJ435" s="65"/>
      <c r="AL435" s="461">
        <f>SUM(F435,H435,J435,L435,N435,P435,T435,V435,X435,Z435,AB435,AD435)</f>
        <v>0</v>
      </c>
      <c r="AM435" s="462">
        <f>AL435-AH435</f>
        <v>0</v>
      </c>
      <c r="AV435" s="56"/>
    </row>
    <row r="436" spans="1:48" ht="13.5" customHeight="1" outlineLevel="1" thickBot="1">
      <c r="B436" s="82"/>
      <c r="C436" s="1231"/>
      <c r="D436" s="1231"/>
      <c r="E436" s="84">
        <f>'Terms and Turnovers'!$AN$12</f>
        <v>0</v>
      </c>
      <c r="F436" s="120">
        <f>$R436*G436</f>
        <v>0</v>
      </c>
      <c r="G436" s="723"/>
      <c r="H436" s="120">
        <f>$R436*I436</f>
        <v>0</v>
      </c>
      <c r="I436" s="69">
        <v>0</v>
      </c>
      <c r="J436" s="120">
        <f>$R436*K436</f>
        <v>0</v>
      </c>
      <c r="K436" s="69">
        <v>0</v>
      </c>
      <c r="L436" s="120">
        <f>$R436*M436</f>
        <v>0</v>
      </c>
      <c r="M436" s="69">
        <v>0</v>
      </c>
      <c r="N436" s="315">
        <f>$R436*O436</f>
        <v>0</v>
      </c>
      <c r="O436" s="69">
        <v>0</v>
      </c>
      <c r="P436" s="120">
        <f>$R436*Q436</f>
        <v>0</v>
      </c>
      <c r="Q436" s="69">
        <v>0</v>
      </c>
      <c r="R436" s="88">
        <f>'Terms and Turnovers'!AO77</f>
        <v>0</v>
      </c>
      <c r="S436" s="161">
        <f t="shared" si="42"/>
        <v>0</v>
      </c>
      <c r="T436" s="120">
        <f>$AF436*U436</f>
        <v>0</v>
      </c>
      <c r="U436" s="69">
        <v>0</v>
      </c>
      <c r="V436" s="120">
        <f>$AF436*W436</f>
        <v>0</v>
      </c>
      <c r="W436" s="69">
        <v>0</v>
      </c>
      <c r="X436" s="120">
        <f>$AF436*Y436</f>
        <v>0</v>
      </c>
      <c r="Y436" s="69">
        <v>0</v>
      </c>
      <c r="Z436" s="120">
        <f>$AF436*AA436</f>
        <v>0</v>
      </c>
      <c r="AA436" s="69">
        <v>0</v>
      </c>
      <c r="AB436" s="315">
        <f>$AF436*AC436</f>
        <v>0</v>
      </c>
      <c r="AC436" s="69">
        <v>0</v>
      </c>
      <c r="AD436" s="120">
        <f>$AF436*AE436</f>
        <v>0</v>
      </c>
      <c r="AE436" s="69">
        <v>0</v>
      </c>
      <c r="AF436" s="88">
        <f>'Terms and Turnovers'!AT77</f>
        <v>0</v>
      </c>
      <c r="AG436" s="161">
        <f t="shared" si="43"/>
        <v>0</v>
      </c>
      <c r="AH436" s="158">
        <f t="shared" si="44"/>
        <v>0</v>
      </c>
      <c r="AI436" s="134">
        <f t="shared" si="45"/>
        <v>0</v>
      </c>
      <c r="AJ436" s="65"/>
      <c r="AL436" s="461">
        <f>SUM(F436,H436,J436,L436,N436,P436,T436,V436,X436,Z436,AB436,AD436)</f>
        <v>0</v>
      </c>
      <c r="AM436" s="462">
        <f>AL436-AH436</f>
        <v>0</v>
      </c>
      <c r="AV436" s="56"/>
    </row>
    <row r="437" spans="1:48" ht="13.5" customHeight="1" outlineLevel="1" thickBot="1">
      <c r="B437" s="82"/>
      <c r="C437" s="1232"/>
      <c r="D437" s="1232"/>
      <c r="E437" s="85">
        <f>'Terms and Turnovers'!$AX$12</f>
        <v>0</v>
      </c>
      <c r="F437" s="121">
        <f>$R437*G437</f>
        <v>0</v>
      </c>
      <c r="G437" s="72"/>
      <c r="H437" s="121">
        <f>$R437*I437</f>
        <v>0</v>
      </c>
      <c r="I437" s="69">
        <v>0</v>
      </c>
      <c r="J437" s="121">
        <f>$R437*K437</f>
        <v>0</v>
      </c>
      <c r="K437" s="69">
        <v>0</v>
      </c>
      <c r="L437" s="121">
        <f>$R437*M437</f>
        <v>0</v>
      </c>
      <c r="M437" s="69">
        <v>0</v>
      </c>
      <c r="N437" s="316">
        <f>$R437*O437</f>
        <v>0</v>
      </c>
      <c r="O437" s="69">
        <v>0</v>
      </c>
      <c r="P437" s="121">
        <f>$R437*Q437</f>
        <v>0</v>
      </c>
      <c r="Q437" s="69">
        <v>0</v>
      </c>
      <c r="R437" s="89">
        <f>'Terms and Turnovers'!AY77</f>
        <v>0</v>
      </c>
      <c r="S437" s="162">
        <f t="shared" si="42"/>
        <v>0</v>
      </c>
      <c r="T437" s="121">
        <f>$AF437*U437</f>
        <v>0</v>
      </c>
      <c r="U437" s="69">
        <v>0</v>
      </c>
      <c r="V437" s="121">
        <f>$AF437*W437</f>
        <v>0</v>
      </c>
      <c r="W437" s="69">
        <v>0</v>
      </c>
      <c r="X437" s="121">
        <f>$AF437*Y437</f>
        <v>0</v>
      </c>
      <c r="Y437" s="69">
        <v>0</v>
      </c>
      <c r="Z437" s="121">
        <f>$AF437*AA437</f>
        <v>0</v>
      </c>
      <c r="AA437" s="69">
        <v>0</v>
      </c>
      <c r="AB437" s="316">
        <f>$AF437*AC437</f>
        <v>0</v>
      </c>
      <c r="AC437" s="69">
        <v>0</v>
      </c>
      <c r="AD437" s="121">
        <f>$AF437*AE437</f>
        <v>0</v>
      </c>
      <c r="AE437" s="69">
        <v>0</v>
      </c>
      <c r="AF437" s="89">
        <f>'Terms and Turnovers'!BD77</f>
        <v>0</v>
      </c>
      <c r="AG437" s="162">
        <f t="shared" si="43"/>
        <v>0</v>
      </c>
      <c r="AH437" s="159">
        <f t="shared" si="44"/>
        <v>0</v>
      </c>
      <c r="AI437" s="137">
        <f t="shared" si="45"/>
        <v>0</v>
      </c>
      <c r="AJ437" s="65"/>
      <c r="AL437" s="461">
        <f>SUM(F437,H437,J437,L437,N437,P437,T437,V437,X437,Z437,AB437,AD437)</f>
        <v>0</v>
      </c>
      <c r="AM437" s="462">
        <f>AL437-AH437</f>
        <v>0</v>
      </c>
      <c r="AV437" s="56"/>
    </row>
    <row r="438" spans="1:48" ht="13.5" customHeight="1" outlineLevel="1" thickBot="1">
      <c r="A438" s="119"/>
      <c r="B438" s="82"/>
      <c r="C438" s="425"/>
      <c r="D438" s="425"/>
      <c r="E438" s="426"/>
      <c r="F438" s="427">
        <f>SUM(F433:F437)</f>
        <v>0</v>
      </c>
      <c r="G438" s="428"/>
      <c r="H438" s="427">
        <f>SUM(H433:H437)</f>
        <v>0</v>
      </c>
      <c r="I438" s="69"/>
      <c r="J438" s="427">
        <f>SUM(J433:J437)</f>
        <v>0</v>
      </c>
      <c r="K438" s="69"/>
      <c r="L438" s="427">
        <f>SUM(L433:L437)</f>
        <v>0</v>
      </c>
      <c r="M438" s="69"/>
      <c r="N438" s="427">
        <f>SUM(N433:N437)</f>
        <v>0</v>
      </c>
      <c r="O438" s="69"/>
      <c r="P438" s="427">
        <f>SUM(P433:P437)</f>
        <v>0</v>
      </c>
      <c r="Q438" s="69"/>
      <c r="R438" s="429"/>
      <c r="S438" s="430"/>
      <c r="T438" s="427">
        <f>SUM(T433:T437)</f>
        <v>0</v>
      </c>
      <c r="U438" s="428"/>
      <c r="V438" s="427">
        <f>SUM(V433:V437)</f>
        <v>0</v>
      </c>
      <c r="W438" s="69"/>
      <c r="X438" s="427">
        <f>SUM(X433:X437)</f>
        <v>0</v>
      </c>
      <c r="Y438" s="69"/>
      <c r="Z438" s="427">
        <f>SUM(Z433:Z437)</f>
        <v>0</v>
      </c>
      <c r="AA438" s="69"/>
      <c r="AB438" s="427">
        <f>SUM(AB433:AB437)</f>
        <v>0</v>
      </c>
      <c r="AC438" s="69"/>
      <c r="AD438" s="427">
        <f>SUM(AD433:AD437)</f>
        <v>0</v>
      </c>
      <c r="AE438" s="69"/>
      <c r="AF438" s="429"/>
      <c r="AG438" s="430"/>
      <c r="AH438" s="431"/>
      <c r="AI438" s="432"/>
      <c r="AJ438" s="65"/>
      <c r="AV438" s="56"/>
    </row>
    <row r="439" spans="1:48" ht="13.5" customHeight="1" outlineLevel="1" thickBot="1">
      <c r="A439" s="119"/>
      <c r="B439" s="82"/>
      <c r="C439" s="1098" t="s">
        <v>484</v>
      </c>
      <c r="D439" s="433">
        <f>D433</f>
        <v>0</v>
      </c>
      <c r="E439" s="426"/>
      <c r="F439" s="700"/>
      <c r="G439" s="428"/>
      <c r="H439" s="700"/>
      <c r="I439" s="69"/>
      <c r="J439" s="700"/>
      <c r="K439" s="69"/>
      <c r="L439" s="700"/>
      <c r="M439" s="69"/>
      <c r="N439" s="700"/>
      <c r="O439" s="69"/>
      <c r="P439" s="700"/>
      <c r="Q439" s="69"/>
      <c r="R439" s="429"/>
      <c r="S439" s="430"/>
      <c r="T439" s="700"/>
      <c r="U439" s="428">
        <f>Q438</f>
        <v>0</v>
      </c>
      <c r="V439" s="700"/>
      <c r="W439" s="69">
        <f>S438</f>
        <v>0</v>
      </c>
      <c r="X439" s="700"/>
      <c r="Y439" s="69">
        <f>U438</f>
        <v>0</v>
      </c>
      <c r="Z439" s="700"/>
      <c r="AA439" s="69">
        <f>W438</f>
        <v>0</v>
      </c>
      <c r="AB439" s="700"/>
      <c r="AC439" s="69">
        <f>Y438</f>
        <v>0</v>
      </c>
      <c r="AD439" s="700"/>
      <c r="AE439" s="69"/>
      <c r="AF439" s="429"/>
      <c r="AG439" s="430"/>
      <c r="AH439" s="431"/>
      <c r="AI439" s="432"/>
      <c r="AJ439" s="65"/>
      <c r="AN439" s="695">
        <v>0</v>
      </c>
      <c r="AO439" s="697"/>
      <c r="AP439" s="742">
        <v>0</v>
      </c>
      <c r="AS439" s="716">
        <f>SUM(AL433:AL437)</f>
        <v>0</v>
      </c>
      <c r="AT439" s="461">
        <f>F439+H439+J439+L439+N439+P439+T439+V439+X439+Z439+AB439+AD439</f>
        <v>0</v>
      </c>
      <c r="AU439" s="743">
        <f>AT439-AS439</f>
        <v>0</v>
      </c>
    </row>
    <row r="440" spans="1:48" ht="13.5" customHeight="1" outlineLevel="1" thickBot="1">
      <c r="B440" s="82">
        <f>B433+1</f>
        <v>63</v>
      </c>
      <c r="C440" s="1230">
        <f>'Terms and Turnovers'!C78</f>
        <v>0</v>
      </c>
      <c r="D440" s="1230">
        <f>'Terms and Turnovers'!D78</f>
        <v>0</v>
      </c>
      <c r="E440" s="83" t="str">
        <f>'Terms and Turnovers'!$J$12</f>
        <v>FLIP-FLOPS</v>
      </c>
      <c r="F440" s="118">
        <f>$R440*G440</f>
        <v>0</v>
      </c>
      <c r="G440" s="69"/>
      <c r="H440" s="314">
        <f>$R440*I440</f>
        <v>0</v>
      </c>
      <c r="I440" s="69">
        <v>0</v>
      </c>
      <c r="J440" s="118">
        <f>$R440*K440</f>
        <v>0</v>
      </c>
      <c r="K440" s="69">
        <v>0</v>
      </c>
      <c r="L440" s="314">
        <f>$R440*M440</f>
        <v>0</v>
      </c>
      <c r="M440" s="69">
        <v>0</v>
      </c>
      <c r="N440" s="314">
        <f>$R440*O440</f>
        <v>0</v>
      </c>
      <c r="O440" s="69">
        <v>0</v>
      </c>
      <c r="P440" s="118">
        <f>$R440*Q440</f>
        <v>0</v>
      </c>
      <c r="Q440" s="69">
        <v>0</v>
      </c>
      <c r="R440" s="87">
        <f>'Terms and Turnovers'!K78</f>
        <v>0</v>
      </c>
      <c r="S440" s="160">
        <f t="shared" si="42"/>
        <v>0</v>
      </c>
      <c r="T440" s="118">
        <f>$AF440*U440</f>
        <v>0</v>
      </c>
      <c r="U440" s="69">
        <v>0</v>
      </c>
      <c r="V440" s="314">
        <f>$AF440*W440</f>
        <v>0</v>
      </c>
      <c r="W440" s="69">
        <v>0</v>
      </c>
      <c r="X440" s="118">
        <f>$AF440*Y440</f>
        <v>0</v>
      </c>
      <c r="Y440" s="69">
        <v>0</v>
      </c>
      <c r="Z440" s="314">
        <f>$AF440*AA440</f>
        <v>0</v>
      </c>
      <c r="AA440" s="69">
        <v>0</v>
      </c>
      <c r="AB440" s="314">
        <f>$AF440*AC440</f>
        <v>0</v>
      </c>
      <c r="AC440" s="69">
        <v>0</v>
      </c>
      <c r="AD440" s="118">
        <f>$AF440*AE440</f>
        <v>0</v>
      </c>
      <c r="AE440" s="69">
        <v>0</v>
      </c>
      <c r="AF440" s="87">
        <f>'Terms and Turnovers'!P78</f>
        <v>0</v>
      </c>
      <c r="AG440" s="160">
        <f t="shared" si="43"/>
        <v>0</v>
      </c>
      <c r="AH440" s="157">
        <f t="shared" si="44"/>
        <v>0</v>
      </c>
      <c r="AI440" s="131">
        <f t="shared" si="45"/>
        <v>0</v>
      </c>
      <c r="AJ440" s="65"/>
      <c r="AL440" s="461">
        <f>SUM(F440,H440,J440,L440,N440,P440,T440,V440,X440,Z440,AB440,AD440)</f>
        <v>0</v>
      </c>
      <c r="AM440" s="462">
        <f>AL440-AH440</f>
        <v>0</v>
      </c>
      <c r="AV440" s="56"/>
    </row>
    <row r="441" spans="1:48" ht="13.5" customHeight="1" outlineLevel="1" thickBot="1">
      <c r="B441" s="82"/>
      <c r="C441" s="1231"/>
      <c r="D441" s="1231"/>
      <c r="E441" s="84" t="str">
        <f>'Terms and Turnovers'!$T$12</f>
        <v>ORIGINALS</v>
      </c>
      <c r="F441" s="120">
        <f>$R441*G441</f>
        <v>0</v>
      </c>
      <c r="G441" s="723"/>
      <c r="H441" s="120">
        <f>$R441*I441</f>
        <v>0</v>
      </c>
      <c r="I441" s="69">
        <v>0</v>
      </c>
      <c r="J441" s="120">
        <f>$R441*K441</f>
        <v>0</v>
      </c>
      <c r="K441" s="69">
        <v>0</v>
      </c>
      <c r="L441" s="120">
        <f>$R441*M441</f>
        <v>0</v>
      </c>
      <c r="M441" s="69">
        <v>0</v>
      </c>
      <c r="N441" s="315">
        <f>$R441*O441</f>
        <v>0</v>
      </c>
      <c r="O441" s="69">
        <v>0</v>
      </c>
      <c r="P441" s="120">
        <f>$R441*Q441</f>
        <v>0</v>
      </c>
      <c r="Q441" s="69">
        <v>0</v>
      </c>
      <c r="R441" s="88">
        <f>'Terms and Turnovers'!U78</f>
        <v>0</v>
      </c>
      <c r="S441" s="161">
        <f t="shared" si="42"/>
        <v>0</v>
      </c>
      <c r="T441" s="120">
        <f>$AF441*U441</f>
        <v>0</v>
      </c>
      <c r="U441" s="69">
        <v>0</v>
      </c>
      <c r="V441" s="120">
        <f>$AF441*W441</f>
        <v>0</v>
      </c>
      <c r="W441" s="69">
        <v>0</v>
      </c>
      <c r="X441" s="120">
        <f>$AF441*Y441</f>
        <v>0</v>
      </c>
      <c r="Y441" s="69">
        <v>0</v>
      </c>
      <c r="Z441" s="120">
        <f>$AF441*AA441</f>
        <v>0</v>
      </c>
      <c r="AA441" s="69">
        <v>0</v>
      </c>
      <c r="AB441" s="315">
        <f>$AF441*AC441</f>
        <v>0</v>
      </c>
      <c r="AC441" s="69">
        <v>0</v>
      </c>
      <c r="AD441" s="120">
        <f>$AF441*AE441</f>
        <v>0</v>
      </c>
      <c r="AE441" s="69">
        <v>0</v>
      </c>
      <c r="AF441" s="88">
        <f>'Terms and Turnovers'!Z78</f>
        <v>0</v>
      </c>
      <c r="AG441" s="161">
        <f t="shared" si="43"/>
        <v>0</v>
      </c>
      <c r="AH441" s="158">
        <f t="shared" si="44"/>
        <v>0</v>
      </c>
      <c r="AI441" s="134">
        <f t="shared" si="45"/>
        <v>0</v>
      </c>
      <c r="AJ441" s="65"/>
      <c r="AL441" s="461">
        <f>SUM(F441,H441,J441,L441,N441,P441,T441,V441,X441,Z441,AB441,AD441)</f>
        <v>0</v>
      </c>
      <c r="AM441" s="462">
        <f>AL441-AH441</f>
        <v>0</v>
      </c>
      <c r="AV441" s="56"/>
    </row>
    <row r="442" spans="1:48" ht="13.5" customHeight="1" outlineLevel="1" thickBot="1">
      <c r="B442" s="82"/>
      <c r="C442" s="1231"/>
      <c r="D442" s="1231"/>
      <c r="E442" s="84" t="str">
        <f>'Terms and Turnovers'!$AD$12</f>
        <v>ACCESSORIES</v>
      </c>
      <c r="F442" s="120">
        <f>$R442*G442</f>
        <v>0</v>
      </c>
      <c r="G442" s="723"/>
      <c r="H442" s="120">
        <f>$R442*I442</f>
        <v>0</v>
      </c>
      <c r="I442" s="69">
        <v>0</v>
      </c>
      <c r="J442" s="120">
        <f>$R442*K442</f>
        <v>0</v>
      </c>
      <c r="K442" s="69">
        <v>0</v>
      </c>
      <c r="L442" s="120">
        <f>$R442*M442</f>
        <v>0</v>
      </c>
      <c r="M442" s="69">
        <v>0</v>
      </c>
      <c r="N442" s="315">
        <f>$R442*O442</f>
        <v>0</v>
      </c>
      <c r="O442" s="69">
        <v>0</v>
      </c>
      <c r="P442" s="120">
        <f>$R442*Q442</f>
        <v>0</v>
      </c>
      <c r="Q442" s="69">
        <v>0</v>
      </c>
      <c r="R442" s="88">
        <f>'Terms and Turnovers'!AE78</f>
        <v>0</v>
      </c>
      <c r="S442" s="161">
        <f t="shared" si="42"/>
        <v>0</v>
      </c>
      <c r="T442" s="120">
        <f>$AF442*U442</f>
        <v>0</v>
      </c>
      <c r="U442" s="69">
        <v>0</v>
      </c>
      <c r="V442" s="120">
        <f>$AF442*W442</f>
        <v>0</v>
      </c>
      <c r="W442" s="69">
        <v>0</v>
      </c>
      <c r="X442" s="120">
        <f>$AF442*Y442</f>
        <v>0</v>
      </c>
      <c r="Y442" s="69">
        <v>0</v>
      </c>
      <c r="Z442" s="120">
        <f>$AF442*AA442</f>
        <v>0</v>
      </c>
      <c r="AA442" s="69">
        <v>0</v>
      </c>
      <c r="AB442" s="315">
        <f>$AF442*AC442</f>
        <v>0</v>
      </c>
      <c r="AC442" s="69">
        <v>0</v>
      </c>
      <c r="AD442" s="120">
        <f>$AF442*AE442</f>
        <v>0</v>
      </c>
      <c r="AE442" s="69">
        <v>0</v>
      </c>
      <c r="AF442" s="88">
        <f>'Terms and Turnovers'!AJ78</f>
        <v>0</v>
      </c>
      <c r="AG442" s="161">
        <f t="shared" si="43"/>
        <v>0</v>
      </c>
      <c r="AH442" s="158">
        <f t="shared" si="44"/>
        <v>0</v>
      </c>
      <c r="AI442" s="134">
        <f t="shared" si="45"/>
        <v>0</v>
      </c>
      <c r="AJ442" s="65"/>
      <c r="AL442" s="461">
        <f>SUM(F442,H442,J442,L442,N442,P442,T442,V442,X442,Z442,AB442,AD442)</f>
        <v>0</v>
      </c>
      <c r="AM442" s="462">
        <f>AL442-AH442</f>
        <v>0</v>
      </c>
      <c r="AV442" s="56"/>
    </row>
    <row r="443" spans="1:48" ht="13.5" customHeight="1" outlineLevel="1" thickBot="1">
      <c r="B443" s="82"/>
      <c r="C443" s="1231"/>
      <c r="D443" s="1231"/>
      <c r="E443" s="84">
        <f>'Terms and Turnovers'!$AN$12</f>
        <v>0</v>
      </c>
      <c r="F443" s="120">
        <f>$R443*G443</f>
        <v>0</v>
      </c>
      <c r="G443" s="723"/>
      <c r="H443" s="120">
        <f>$R443*I443</f>
        <v>0</v>
      </c>
      <c r="I443" s="69">
        <v>0</v>
      </c>
      <c r="J443" s="120">
        <f>$R443*K443</f>
        <v>0</v>
      </c>
      <c r="K443" s="69">
        <v>0</v>
      </c>
      <c r="L443" s="120">
        <f>$R443*M443</f>
        <v>0</v>
      </c>
      <c r="M443" s="69">
        <v>0</v>
      </c>
      <c r="N443" s="315">
        <f>$R443*O443</f>
        <v>0</v>
      </c>
      <c r="O443" s="69">
        <v>0</v>
      </c>
      <c r="P443" s="120">
        <f>$R443*Q443</f>
        <v>0</v>
      </c>
      <c r="Q443" s="69">
        <v>0</v>
      </c>
      <c r="R443" s="88">
        <f>'Terms and Turnovers'!AO78</f>
        <v>0</v>
      </c>
      <c r="S443" s="161">
        <f t="shared" si="42"/>
        <v>0</v>
      </c>
      <c r="T443" s="120">
        <f>$AF443*U443</f>
        <v>0</v>
      </c>
      <c r="U443" s="69">
        <v>0</v>
      </c>
      <c r="V443" s="120">
        <f>$AF443*W443</f>
        <v>0</v>
      </c>
      <c r="W443" s="69">
        <v>0</v>
      </c>
      <c r="X443" s="120">
        <f>$AF443*Y443</f>
        <v>0</v>
      </c>
      <c r="Y443" s="69">
        <v>0</v>
      </c>
      <c r="Z443" s="120">
        <f>$AF443*AA443</f>
        <v>0</v>
      </c>
      <c r="AA443" s="69">
        <v>0</v>
      </c>
      <c r="AB443" s="315">
        <f>$AF443*AC443</f>
        <v>0</v>
      </c>
      <c r="AC443" s="69">
        <v>0</v>
      </c>
      <c r="AD443" s="120">
        <f>$AF443*AE443</f>
        <v>0</v>
      </c>
      <c r="AE443" s="69">
        <v>0</v>
      </c>
      <c r="AF443" s="88">
        <f>'Terms and Turnovers'!AT78</f>
        <v>0</v>
      </c>
      <c r="AG443" s="161">
        <f t="shared" si="43"/>
        <v>0</v>
      </c>
      <c r="AH443" s="158">
        <f t="shared" si="44"/>
        <v>0</v>
      </c>
      <c r="AI443" s="134">
        <f t="shared" si="45"/>
        <v>0</v>
      </c>
      <c r="AJ443" s="65"/>
      <c r="AL443" s="461">
        <f>SUM(F443,H443,J443,L443,N443,P443,T443,V443,X443,Z443,AB443,AD443)</f>
        <v>0</v>
      </c>
      <c r="AM443" s="462">
        <f>AL443-AH443</f>
        <v>0</v>
      </c>
      <c r="AV443" s="56"/>
    </row>
    <row r="444" spans="1:48" ht="13.5" customHeight="1" outlineLevel="1" thickBot="1">
      <c r="B444" s="82"/>
      <c r="C444" s="1232"/>
      <c r="D444" s="1232"/>
      <c r="E444" s="85">
        <f>'Terms and Turnovers'!$AX$12</f>
        <v>0</v>
      </c>
      <c r="F444" s="121">
        <f>$R444*G444</f>
        <v>0</v>
      </c>
      <c r="G444" s="72"/>
      <c r="H444" s="121">
        <f>$R444*I444</f>
        <v>0</v>
      </c>
      <c r="I444" s="69">
        <v>0</v>
      </c>
      <c r="J444" s="121">
        <f>$R444*K444</f>
        <v>0</v>
      </c>
      <c r="K444" s="69">
        <v>0</v>
      </c>
      <c r="L444" s="121">
        <f>$R444*M444</f>
        <v>0</v>
      </c>
      <c r="M444" s="69">
        <v>0</v>
      </c>
      <c r="N444" s="316">
        <f>$R444*O444</f>
        <v>0</v>
      </c>
      <c r="O444" s="69">
        <v>0</v>
      </c>
      <c r="P444" s="121">
        <f>$R444*Q444</f>
        <v>0</v>
      </c>
      <c r="Q444" s="69">
        <v>0</v>
      </c>
      <c r="R444" s="89">
        <f>'Terms and Turnovers'!AY78</f>
        <v>0</v>
      </c>
      <c r="S444" s="162">
        <f t="shared" si="42"/>
        <v>0</v>
      </c>
      <c r="T444" s="121">
        <f>$AF444*U444</f>
        <v>0</v>
      </c>
      <c r="U444" s="69">
        <v>0</v>
      </c>
      <c r="V444" s="121">
        <f>$AF444*W444</f>
        <v>0</v>
      </c>
      <c r="W444" s="69">
        <v>0</v>
      </c>
      <c r="X444" s="121">
        <f>$AF444*Y444</f>
        <v>0</v>
      </c>
      <c r="Y444" s="69">
        <v>0</v>
      </c>
      <c r="Z444" s="121">
        <f>$AF444*AA444</f>
        <v>0</v>
      </c>
      <c r="AA444" s="69">
        <v>0</v>
      </c>
      <c r="AB444" s="316">
        <f>$AF444*AC444</f>
        <v>0</v>
      </c>
      <c r="AC444" s="69">
        <v>0</v>
      </c>
      <c r="AD444" s="121">
        <f>$AF444*AE444</f>
        <v>0</v>
      </c>
      <c r="AE444" s="69">
        <v>0</v>
      </c>
      <c r="AF444" s="89">
        <f>'Terms and Turnovers'!BD78</f>
        <v>0</v>
      </c>
      <c r="AG444" s="162">
        <f t="shared" si="43"/>
        <v>0</v>
      </c>
      <c r="AH444" s="159">
        <f t="shared" si="44"/>
        <v>0</v>
      </c>
      <c r="AI444" s="137">
        <f t="shared" si="45"/>
        <v>0</v>
      </c>
      <c r="AJ444" s="65"/>
      <c r="AL444" s="461">
        <f>SUM(F444,H444,J444,L444,N444,P444,T444,V444,X444,Z444,AB444,AD444)</f>
        <v>0</v>
      </c>
      <c r="AM444" s="462">
        <f>AL444-AH444</f>
        <v>0</v>
      </c>
      <c r="AV444" s="56"/>
    </row>
    <row r="445" spans="1:48" ht="13.5" customHeight="1" outlineLevel="1" thickBot="1">
      <c r="A445" s="119"/>
      <c r="B445" s="82"/>
      <c r="C445" s="425"/>
      <c r="D445" s="425"/>
      <c r="E445" s="426"/>
      <c r="F445" s="427">
        <f>SUM(F440:F444)</f>
        <v>0</v>
      </c>
      <c r="G445" s="428"/>
      <c r="H445" s="427">
        <f>SUM(H440:H444)</f>
        <v>0</v>
      </c>
      <c r="I445" s="69"/>
      <c r="J445" s="427">
        <f>SUM(J440:J444)</f>
        <v>0</v>
      </c>
      <c r="K445" s="69"/>
      <c r="L445" s="427">
        <f>SUM(L440:L444)</f>
        <v>0</v>
      </c>
      <c r="M445" s="69"/>
      <c r="N445" s="427">
        <f>SUM(N440:N444)</f>
        <v>0</v>
      </c>
      <c r="O445" s="69"/>
      <c r="P445" s="427">
        <f>SUM(P440:P444)</f>
        <v>0</v>
      </c>
      <c r="Q445" s="69"/>
      <c r="R445" s="429"/>
      <c r="S445" s="430"/>
      <c r="T445" s="427">
        <f>SUM(T440:T444)</f>
        <v>0</v>
      </c>
      <c r="U445" s="428"/>
      <c r="V445" s="427">
        <f>SUM(V440:V444)</f>
        <v>0</v>
      </c>
      <c r="W445" s="69"/>
      <c r="X445" s="427">
        <f>SUM(X440:X444)</f>
        <v>0</v>
      </c>
      <c r="Y445" s="69"/>
      <c r="Z445" s="427">
        <f>SUM(Z440:Z444)</f>
        <v>0</v>
      </c>
      <c r="AA445" s="69"/>
      <c r="AB445" s="427">
        <f>SUM(AB440:AB444)</f>
        <v>0</v>
      </c>
      <c r="AC445" s="69"/>
      <c r="AD445" s="427">
        <f>SUM(AD440:AD444)</f>
        <v>0</v>
      </c>
      <c r="AE445" s="69"/>
      <c r="AF445" s="429"/>
      <c r="AG445" s="430"/>
      <c r="AH445" s="431"/>
      <c r="AI445" s="432"/>
      <c r="AJ445" s="65"/>
      <c r="AV445" s="56"/>
    </row>
    <row r="446" spans="1:48" ht="13.5" customHeight="1" outlineLevel="1" thickBot="1">
      <c r="A446" s="119"/>
      <c r="B446" s="82"/>
      <c r="C446" s="1098" t="s">
        <v>484</v>
      </c>
      <c r="D446" s="433">
        <f>D440</f>
        <v>0</v>
      </c>
      <c r="E446" s="426"/>
      <c r="F446" s="700"/>
      <c r="G446" s="428"/>
      <c r="H446" s="700"/>
      <c r="I446" s="69"/>
      <c r="J446" s="700"/>
      <c r="K446" s="69"/>
      <c r="L446" s="700"/>
      <c r="M446" s="69"/>
      <c r="N446" s="700"/>
      <c r="O446" s="69"/>
      <c r="P446" s="700"/>
      <c r="Q446" s="69"/>
      <c r="R446" s="429"/>
      <c r="S446" s="430"/>
      <c r="T446" s="700"/>
      <c r="U446" s="428">
        <f>Q445</f>
        <v>0</v>
      </c>
      <c r="V446" s="700"/>
      <c r="W446" s="69">
        <f>S445</f>
        <v>0</v>
      </c>
      <c r="X446" s="700"/>
      <c r="Y446" s="69">
        <f>U445</f>
        <v>0</v>
      </c>
      <c r="Z446" s="700"/>
      <c r="AA446" s="69">
        <f>W445</f>
        <v>0</v>
      </c>
      <c r="AB446" s="700"/>
      <c r="AC446" s="69">
        <f>Y445</f>
        <v>0</v>
      </c>
      <c r="AD446" s="700"/>
      <c r="AE446" s="69"/>
      <c r="AF446" s="429"/>
      <c r="AG446" s="430"/>
      <c r="AH446" s="431"/>
      <c r="AI446" s="432"/>
      <c r="AJ446" s="65"/>
      <c r="AN446" s="695"/>
      <c r="AO446" s="697"/>
      <c r="AP446" s="742"/>
      <c r="AS446" s="716">
        <f>SUM(AL440:AL444)</f>
        <v>0</v>
      </c>
      <c r="AT446" s="461">
        <f>F446+H446+J446+L446+N446+P446+T446+V446+X446+Z446+AB446+AD446</f>
        <v>0</v>
      </c>
      <c r="AU446" s="743">
        <f>AT446-AS446</f>
        <v>0</v>
      </c>
    </row>
    <row r="447" spans="1:48" ht="13.5" customHeight="1" outlineLevel="1" thickBot="1">
      <c r="B447" s="82">
        <f>B440+1</f>
        <v>64</v>
      </c>
      <c r="C447" s="1230">
        <f>'Terms and Turnovers'!C79</f>
        <v>0</v>
      </c>
      <c r="D447" s="1230">
        <f>'Terms and Turnovers'!D79</f>
        <v>0</v>
      </c>
      <c r="E447" s="83" t="str">
        <f>'Terms and Turnovers'!$J$12</f>
        <v>FLIP-FLOPS</v>
      </c>
      <c r="F447" s="118">
        <f>$R447*G447</f>
        <v>0</v>
      </c>
      <c r="G447" s="69"/>
      <c r="H447" s="314">
        <f>$R447*I447</f>
        <v>0</v>
      </c>
      <c r="I447" s="69">
        <v>0</v>
      </c>
      <c r="J447" s="118">
        <f>$R447*K447</f>
        <v>0</v>
      </c>
      <c r="K447" s="69">
        <v>0</v>
      </c>
      <c r="L447" s="314">
        <f>$R447*M447</f>
        <v>0</v>
      </c>
      <c r="M447" s="69">
        <v>0</v>
      </c>
      <c r="N447" s="314">
        <f>$R447*O447</f>
        <v>0</v>
      </c>
      <c r="O447" s="69">
        <v>0</v>
      </c>
      <c r="P447" s="118">
        <f>$R447*Q447</f>
        <v>0</v>
      </c>
      <c r="Q447" s="69">
        <v>0</v>
      </c>
      <c r="R447" s="87">
        <f>'Terms and Turnovers'!K79</f>
        <v>0</v>
      </c>
      <c r="S447" s="160">
        <f t="shared" si="42"/>
        <v>0</v>
      </c>
      <c r="T447" s="118">
        <f>$AF447*U447</f>
        <v>0</v>
      </c>
      <c r="U447" s="69">
        <v>0</v>
      </c>
      <c r="V447" s="314">
        <f>$AF447*W447</f>
        <v>0</v>
      </c>
      <c r="W447" s="69">
        <v>0</v>
      </c>
      <c r="X447" s="118">
        <f>$AF447*Y447</f>
        <v>0</v>
      </c>
      <c r="Y447" s="69">
        <v>0</v>
      </c>
      <c r="Z447" s="314">
        <f>$AF447*AA447</f>
        <v>0</v>
      </c>
      <c r="AA447" s="69">
        <v>0</v>
      </c>
      <c r="AB447" s="314">
        <f>$AF447*AC447</f>
        <v>0</v>
      </c>
      <c r="AC447" s="69">
        <v>0</v>
      </c>
      <c r="AD447" s="118">
        <f>$AF447*AE447</f>
        <v>0</v>
      </c>
      <c r="AE447" s="69">
        <v>0</v>
      </c>
      <c r="AF447" s="87">
        <f>'Terms and Turnovers'!P79</f>
        <v>0</v>
      </c>
      <c r="AG447" s="160">
        <f t="shared" si="43"/>
        <v>0</v>
      </c>
      <c r="AH447" s="157">
        <f t="shared" si="44"/>
        <v>0</v>
      </c>
      <c r="AI447" s="131">
        <f t="shared" si="45"/>
        <v>0</v>
      </c>
      <c r="AJ447" s="65"/>
      <c r="AL447" s="461">
        <f>SUM(F447,H447,J447,L447,N447,P447,T447,V447,X447,Z447,AB447,AD447)</f>
        <v>0</v>
      </c>
      <c r="AM447" s="462">
        <f>AL447-AH447</f>
        <v>0</v>
      </c>
      <c r="AV447" s="56"/>
    </row>
    <row r="448" spans="1:48" ht="13.5" customHeight="1" outlineLevel="1" thickBot="1">
      <c r="B448" s="82"/>
      <c r="C448" s="1231"/>
      <c r="D448" s="1231"/>
      <c r="E448" s="84" t="str">
        <f>'Terms and Turnovers'!$T$12</f>
        <v>ORIGINALS</v>
      </c>
      <c r="F448" s="120">
        <f>$R448*G448</f>
        <v>0</v>
      </c>
      <c r="G448" s="723"/>
      <c r="H448" s="120">
        <f>$R448*I448</f>
        <v>0</v>
      </c>
      <c r="I448" s="69">
        <v>0</v>
      </c>
      <c r="J448" s="120">
        <f>$R448*K448</f>
        <v>0</v>
      </c>
      <c r="K448" s="69">
        <v>0</v>
      </c>
      <c r="L448" s="120">
        <f>$R448*M448</f>
        <v>0</v>
      </c>
      <c r="M448" s="69">
        <v>0</v>
      </c>
      <c r="N448" s="315">
        <f>$R448*O448</f>
        <v>0</v>
      </c>
      <c r="O448" s="69">
        <v>0</v>
      </c>
      <c r="P448" s="120">
        <f>$R448*Q448</f>
        <v>0</v>
      </c>
      <c r="Q448" s="69">
        <v>0</v>
      </c>
      <c r="R448" s="88">
        <f>'Terms and Turnovers'!U79</f>
        <v>0</v>
      </c>
      <c r="S448" s="161">
        <f t="shared" si="42"/>
        <v>0</v>
      </c>
      <c r="T448" s="120">
        <f>$AF448*U448</f>
        <v>0</v>
      </c>
      <c r="U448" s="69">
        <v>0</v>
      </c>
      <c r="V448" s="120">
        <f>$AF448*W448</f>
        <v>0</v>
      </c>
      <c r="W448" s="69">
        <v>0</v>
      </c>
      <c r="X448" s="120">
        <f>$AF448*Y448</f>
        <v>0</v>
      </c>
      <c r="Y448" s="69">
        <v>0</v>
      </c>
      <c r="Z448" s="120">
        <f>$AF448*AA448</f>
        <v>0</v>
      </c>
      <c r="AA448" s="69">
        <v>0</v>
      </c>
      <c r="AB448" s="315">
        <f>$AF448*AC448</f>
        <v>0</v>
      </c>
      <c r="AC448" s="69">
        <v>0</v>
      </c>
      <c r="AD448" s="120">
        <f>$AF448*AE448</f>
        <v>0</v>
      </c>
      <c r="AE448" s="69">
        <v>0</v>
      </c>
      <c r="AF448" s="88">
        <f>'Terms and Turnovers'!Z79</f>
        <v>0</v>
      </c>
      <c r="AG448" s="161">
        <f t="shared" si="43"/>
        <v>0</v>
      </c>
      <c r="AH448" s="158">
        <f t="shared" si="44"/>
        <v>0</v>
      </c>
      <c r="AI448" s="134">
        <f t="shared" si="45"/>
        <v>0</v>
      </c>
      <c r="AJ448" s="65"/>
      <c r="AL448" s="461">
        <f>SUM(F448,H448,J448,L448,N448,P448,T448,V448,X448,Z448,AB448,AD448)</f>
        <v>0</v>
      </c>
      <c r="AM448" s="462">
        <f>AL448-AH448</f>
        <v>0</v>
      </c>
      <c r="AV448" s="56"/>
    </row>
    <row r="449" spans="1:48" ht="13.5" customHeight="1" outlineLevel="1" thickBot="1">
      <c r="B449" s="82"/>
      <c r="C449" s="1231"/>
      <c r="D449" s="1231"/>
      <c r="E449" s="84" t="str">
        <f>'Terms and Turnovers'!$AD$12</f>
        <v>ACCESSORIES</v>
      </c>
      <c r="F449" s="120">
        <f>$R449*G449</f>
        <v>0</v>
      </c>
      <c r="G449" s="723"/>
      <c r="H449" s="120">
        <f>$R449*I449</f>
        <v>0</v>
      </c>
      <c r="I449" s="69">
        <v>0</v>
      </c>
      <c r="J449" s="120">
        <f>$R449*K449</f>
        <v>0</v>
      </c>
      <c r="K449" s="69">
        <v>0</v>
      </c>
      <c r="L449" s="120">
        <f>$R449*M449</f>
        <v>0</v>
      </c>
      <c r="M449" s="69">
        <v>0</v>
      </c>
      <c r="N449" s="315">
        <f>$R449*O449</f>
        <v>0</v>
      </c>
      <c r="O449" s="69">
        <v>0</v>
      </c>
      <c r="P449" s="120">
        <f>$R449*Q449</f>
        <v>0</v>
      </c>
      <c r="Q449" s="69">
        <v>0</v>
      </c>
      <c r="R449" s="88">
        <f>'Terms and Turnovers'!AE79</f>
        <v>0</v>
      </c>
      <c r="S449" s="161">
        <f t="shared" si="42"/>
        <v>0</v>
      </c>
      <c r="T449" s="120">
        <f>$AF449*U449</f>
        <v>0</v>
      </c>
      <c r="U449" s="69">
        <v>0</v>
      </c>
      <c r="V449" s="120">
        <f>$AF449*W449</f>
        <v>0</v>
      </c>
      <c r="W449" s="69">
        <v>0</v>
      </c>
      <c r="X449" s="120">
        <f>$AF449*Y449</f>
        <v>0</v>
      </c>
      <c r="Y449" s="69">
        <v>0</v>
      </c>
      <c r="Z449" s="120">
        <f>$AF449*AA449</f>
        <v>0</v>
      </c>
      <c r="AA449" s="69">
        <v>0</v>
      </c>
      <c r="AB449" s="315">
        <f>$AF449*AC449</f>
        <v>0</v>
      </c>
      <c r="AC449" s="69">
        <v>0</v>
      </c>
      <c r="AD449" s="120">
        <f>$AF449*AE449</f>
        <v>0</v>
      </c>
      <c r="AE449" s="69">
        <v>0</v>
      </c>
      <c r="AF449" s="88">
        <f>'Terms and Turnovers'!AJ79</f>
        <v>0</v>
      </c>
      <c r="AG449" s="161">
        <f t="shared" si="43"/>
        <v>0</v>
      </c>
      <c r="AH449" s="158">
        <f t="shared" si="44"/>
        <v>0</v>
      </c>
      <c r="AI449" s="134">
        <f t="shared" si="45"/>
        <v>0</v>
      </c>
      <c r="AJ449" s="65"/>
      <c r="AL449" s="461">
        <f>SUM(F449,H449,J449,L449,N449,P449,T449,V449,X449,Z449,AB449,AD449)</f>
        <v>0</v>
      </c>
      <c r="AM449" s="462">
        <f>AL449-AH449</f>
        <v>0</v>
      </c>
      <c r="AV449" s="56"/>
    </row>
    <row r="450" spans="1:48" ht="13.5" customHeight="1" outlineLevel="1" thickBot="1">
      <c r="B450" s="82"/>
      <c r="C450" s="1231"/>
      <c r="D450" s="1231"/>
      <c r="E450" s="84">
        <f>'Terms and Turnovers'!$AN$12</f>
        <v>0</v>
      </c>
      <c r="F450" s="120">
        <f>$R450*G450</f>
        <v>0</v>
      </c>
      <c r="G450" s="723"/>
      <c r="H450" s="120">
        <f>$R450*I450</f>
        <v>0</v>
      </c>
      <c r="I450" s="69">
        <v>0</v>
      </c>
      <c r="J450" s="120">
        <f>$R450*K450</f>
        <v>0</v>
      </c>
      <c r="K450" s="69">
        <v>0</v>
      </c>
      <c r="L450" s="120">
        <f>$R450*M450</f>
        <v>0</v>
      </c>
      <c r="M450" s="69">
        <v>0</v>
      </c>
      <c r="N450" s="315">
        <f>$R450*O450</f>
        <v>0</v>
      </c>
      <c r="O450" s="69">
        <v>0</v>
      </c>
      <c r="P450" s="120">
        <f>$R450*Q450</f>
        <v>0</v>
      </c>
      <c r="Q450" s="69">
        <v>0</v>
      </c>
      <c r="R450" s="88">
        <f>'Terms and Turnovers'!AO79</f>
        <v>0</v>
      </c>
      <c r="S450" s="161">
        <f t="shared" si="42"/>
        <v>0</v>
      </c>
      <c r="T450" s="120">
        <f>$AF450*U450</f>
        <v>0</v>
      </c>
      <c r="U450" s="69">
        <v>0</v>
      </c>
      <c r="V450" s="120">
        <f>$AF450*W450</f>
        <v>0</v>
      </c>
      <c r="W450" s="69">
        <v>0</v>
      </c>
      <c r="X450" s="120">
        <f>$AF450*Y450</f>
        <v>0</v>
      </c>
      <c r="Y450" s="69">
        <v>0</v>
      </c>
      <c r="Z450" s="120">
        <f>$AF450*AA450</f>
        <v>0</v>
      </c>
      <c r="AA450" s="69">
        <v>0</v>
      </c>
      <c r="AB450" s="315">
        <f>$AF450*AC450</f>
        <v>0</v>
      </c>
      <c r="AC450" s="69">
        <v>0</v>
      </c>
      <c r="AD450" s="120">
        <f>$AF450*AE450</f>
        <v>0</v>
      </c>
      <c r="AE450" s="69">
        <v>0</v>
      </c>
      <c r="AF450" s="88">
        <f>'Terms and Turnovers'!AT79</f>
        <v>0</v>
      </c>
      <c r="AG450" s="161">
        <f t="shared" si="43"/>
        <v>0</v>
      </c>
      <c r="AH450" s="158">
        <f t="shared" si="44"/>
        <v>0</v>
      </c>
      <c r="AI450" s="134">
        <f t="shared" si="45"/>
        <v>0</v>
      </c>
      <c r="AJ450" s="65"/>
      <c r="AL450" s="461">
        <f>SUM(F450,H450,J450,L450,N450,P450,T450,V450,X450,Z450,AB450,AD450)</f>
        <v>0</v>
      </c>
      <c r="AM450" s="462">
        <f>AL450-AH450</f>
        <v>0</v>
      </c>
      <c r="AV450" s="56"/>
    </row>
    <row r="451" spans="1:48" ht="13.5" customHeight="1" outlineLevel="1" thickBot="1">
      <c r="B451" s="82"/>
      <c r="C451" s="1232"/>
      <c r="D451" s="1232"/>
      <c r="E451" s="85">
        <f>'Terms and Turnovers'!$AX$12</f>
        <v>0</v>
      </c>
      <c r="F451" s="121">
        <f>$R451*G451</f>
        <v>0</v>
      </c>
      <c r="G451" s="72"/>
      <c r="H451" s="121">
        <f>$R451*I451</f>
        <v>0</v>
      </c>
      <c r="I451" s="69">
        <v>0</v>
      </c>
      <c r="J451" s="121">
        <f>$R451*K451</f>
        <v>0</v>
      </c>
      <c r="K451" s="69">
        <v>0</v>
      </c>
      <c r="L451" s="121">
        <f>$R451*M451</f>
        <v>0</v>
      </c>
      <c r="M451" s="69">
        <v>0</v>
      </c>
      <c r="N451" s="316">
        <f>$R451*O451</f>
        <v>0</v>
      </c>
      <c r="O451" s="69">
        <v>0</v>
      </c>
      <c r="P451" s="121">
        <f>$R451*Q451</f>
        <v>0</v>
      </c>
      <c r="Q451" s="69">
        <v>0</v>
      </c>
      <c r="R451" s="89">
        <f>'Terms and Turnovers'!AY79</f>
        <v>0</v>
      </c>
      <c r="S451" s="162">
        <f t="shared" si="42"/>
        <v>0</v>
      </c>
      <c r="T451" s="121">
        <f>$AF451*U451</f>
        <v>0</v>
      </c>
      <c r="U451" s="69">
        <v>0</v>
      </c>
      <c r="V451" s="121">
        <f>$AF451*W451</f>
        <v>0</v>
      </c>
      <c r="W451" s="69">
        <v>0</v>
      </c>
      <c r="X451" s="121">
        <f>$AF451*Y451</f>
        <v>0</v>
      </c>
      <c r="Y451" s="69">
        <v>0</v>
      </c>
      <c r="Z451" s="121">
        <f>$AF451*AA451</f>
        <v>0</v>
      </c>
      <c r="AA451" s="69">
        <v>0</v>
      </c>
      <c r="AB451" s="316">
        <f>$AF451*AC451</f>
        <v>0</v>
      </c>
      <c r="AC451" s="69">
        <v>0</v>
      </c>
      <c r="AD451" s="121">
        <f>$AF451*AE451</f>
        <v>0</v>
      </c>
      <c r="AE451" s="69">
        <v>0</v>
      </c>
      <c r="AF451" s="89">
        <f>'Terms and Turnovers'!BD79</f>
        <v>0</v>
      </c>
      <c r="AG451" s="162">
        <f t="shared" si="43"/>
        <v>0</v>
      </c>
      <c r="AH451" s="159">
        <f t="shared" si="44"/>
        <v>0</v>
      </c>
      <c r="AI451" s="137">
        <f t="shared" si="45"/>
        <v>0</v>
      </c>
      <c r="AJ451" s="65"/>
      <c r="AL451" s="461">
        <f>SUM(F451,H451,J451,L451,N451,P451,T451,V451,X451,Z451,AB451,AD451)</f>
        <v>0</v>
      </c>
      <c r="AM451" s="462">
        <f>AL451-AH451</f>
        <v>0</v>
      </c>
      <c r="AV451" s="56"/>
    </row>
    <row r="452" spans="1:48" ht="13.5" customHeight="1" outlineLevel="1" thickBot="1">
      <c r="A452" s="119"/>
      <c r="B452" s="82"/>
      <c r="C452" s="425"/>
      <c r="D452" s="425"/>
      <c r="E452" s="426"/>
      <c r="F452" s="427">
        <f>SUM(F447:F451)</f>
        <v>0</v>
      </c>
      <c r="G452" s="428"/>
      <c r="H452" s="427">
        <f>SUM(H447:H451)</f>
        <v>0</v>
      </c>
      <c r="I452" s="69"/>
      <c r="J452" s="427">
        <f>SUM(J447:J451)</f>
        <v>0</v>
      </c>
      <c r="K452" s="69"/>
      <c r="L452" s="427">
        <f>SUM(L447:L451)</f>
        <v>0</v>
      </c>
      <c r="M452" s="69"/>
      <c r="N452" s="427">
        <f>SUM(N447:N451)</f>
        <v>0</v>
      </c>
      <c r="O452" s="69"/>
      <c r="P452" s="427">
        <f>SUM(P447:P451)</f>
        <v>0</v>
      </c>
      <c r="Q452" s="69"/>
      <c r="R452" s="429"/>
      <c r="S452" s="430"/>
      <c r="T452" s="427">
        <f>SUM(T447:T451)</f>
        <v>0</v>
      </c>
      <c r="U452" s="428"/>
      <c r="V452" s="427">
        <f>SUM(V447:V451)</f>
        <v>0</v>
      </c>
      <c r="W452" s="69"/>
      <c r="X452" s="427">
        <f>SUM(X447:X451)</f>
        <v>0</v>
      </c>
      <c r="Y452" s="69"/>
      <c r="Z452" s="427">
        <f>SUM(Z447:Z451)</f>
        <v>0</v>
      </c>
      <c r="AA452" s="69"/>
      <c r="AB452" s="427">
        <f>SUM(AB447:AB451)</f>
        <v>0</v>
      </c>
      <c r="AC452" s="69"/>
      <c r="AD452" s="427">
        <f>SUM(AD447:AD451)</f>
        <v>0</v>
      </c>
      <c r="AE452" s="69"/>
      <c r="AF452" s="429"/>
      <c r="AG452" s="430"/>
      <c r="AH452" s="431"/>
      <c r="AI452" s="432"/>
      <c r="AJ452" s="65"/>
      <c r="AV452" s="56"/>
    </row>
    <row r="453" spans="1:48" ht="13.5" customHeight="1" outlineLevel="1" thickBot="1">
      <c r="A453" s="119"/>
      <c r="B453" s="82"/>
      <c r="C453" s="1098" t="s">
        <v>484</v>
      </c>
      <c r="D453" s="433">
        <f>D447</f>
        <v>0</v>
      </c>
      <c r="E453" s="426"/>
      <c r="F453" s="700"/>
      <c r="G453" s="428"/>
      <c r="H453" s="700"/>
      <c r="I453" s="69"/>
      <c r="J453" s="700"/>
      <c r="K453" s="69"/>
      <c r="L453" s="700"/>
      <c r="M453" s="69"/>
      <c r="N453" s="700"/>
      <c r="O453" s="69"/>
      <c r="P453" s="700"/>
      <c r="Q453" s="69"/>
      <c r="R453" s="429"/>
      <c r="S453" s="430"/>
      <c r="T453" s="700"/>
      <c r="U453" s="428">
        <f>Q452</f>
        <v>0</v>
      </c>
      <c r="V453" s="700"/>
      <c r="W453" s="69">
        <f>S452</f>
        <v>0</v>
      </c>
      <c r="X453" s="700"/>
      <c r="Y453" s="69">
        <f>U452</f>
        <v>0</v>
      </c>
      <c r="Z453" s="700"/>
      <c r="AA453" s="69">
        <f>W452</f>
        <v>0</v>
      </c>
      <c r="AB453" s="700"/>
      <c r="AC453" s="69">
        <f>Y452</f>
        <v>0</v>
      </c>
      <c r="AD453" s="700"/>
      <c r="AE453" s="69"/>
      <c r="AF453" s="429"/>
      <c r="AG453" s="430"/>
      <c r="AH453" s="431"/>
      <c r="AI453" s="432"/>
      <c r="AJ453" s="65"/>
      <c r="AN453" s="695">
        <v>0</v>
      </c>
      <c r="AO453" s="697"/>
      <c r="AP453" s="742">
        <v>0</v>
      </c>
      <c r="AS453" s="716">
        <f>SUM(AL447:AL451)</f>
        <v>0</v>
      </c>
      <c r="AT453" s="461">
        <f>F453+H453+J453+L453+N453+P453+T453+V453+X453+Z453+AB453+AD453</f>
        <v>0</v>
      </c>
      <c r="AU453" s="743">
        <f>AT453-AS453</f>
        <v>0</v>
      </c>
    </row>
    <row r="454" spans="1:48" ht="13.5" customHeight="1" outlineLevel="1" thickBot="1">
      <c r="B454" s="82">
        <f>B447+1</f>
        <v>65</v>
      </c>
      <c r="C454" s="1230">
        <f>'Terms and Turnovers'!C80</f>
        <v>0</v>
      </c>
      <c r="D454" s="1230">
        <f>'Terms and Turnovers'!D80</f>
        <v>0</v>
      </c>
      <c r="E454" s="83" t="str">
        <f>'Terms and Turnovers'!$J$12</f>
        <v>FLIP-FLOPS</v>
      </c>
      <c r="F454" s="118">
        <f>$R454*G454</f>
        <v>0</v>
      </c>
      <c r="G454" s="69"/>
      <c r="H454" s="314">
        <f>$R454*I454</f>
        <v>0</v>
      </c>
      <c r="I454" s="69">
        <v>0</v>
      </c>
      <c r="J454" s="118">
        <f>$R454*K454</f>
        <v>0</v>
      </c>
      <c r="K454" s="69">
        <v>0</v>
      </c>
      <c r="L454" s="314">
        <f>$R454*M454</f>
        <v>0</v>
      </c>
      <c r="M454" s="69">
        <v>0</v>
      </c>
      <c r="N454" s="314">
        <f>$R454*O454</f>
        <v>0</v>
      </c>
      <c r="O454" s="69">
        <v>0</v>
      </c>
      <c r="P454" s="118">
        <f>$R454*Q454</f>
        <v>0</v>
      </c>
      <c r="Q454" s="69">
        <v>0</v>
      </c>
      <c r="R454" s="87">
        <f>'Terms and Turnovers'!K80</f>
        <v>0</v>
      </c>
      <c r="S454" s="160">
        <f t="shared" si="42"/>
        <v>0</v>
      </c>
      <c r="T454" s="118">
        <f>$AF454*U454</f>
        <v>0</v>
      </c>
      <c r="U454" s="69">
        <v>0</v>
      </c>
      <c r="V454" s="314">
        <f>$AF454*W454</f>
        <v>0</v>
      </c>
      <c r="W454" s="69">
        <v>0</v>
      </c>
      <c r="X454" s="118">
        <f>$AF454*Y454</f>
        <v>0</v>
      </c>
      <c r="Y454" s="69">
        <v>0</v>
      </c>
      <c r="Z454" s="314">
        <f>$AF454*AA454</f>
        <v>0</v>
      </c>
      <c r="AA454" s="69">
        <v>0</v>
      </c>
      <c r="AB454" s="314">
        <f>$AF454*AC454</f>
        <v>0</v>
      </c>
      <c r="AC454" s="69">
        <v>0</v>
      </c>
      <c r="AD454" s="118">
        <f>$AF454*AE454</f>
        <v>0</v>
      </c>
      <c r="AE454" s="69">
        <v>0</v>
      </c>
      <c r="AF454" s="87">
        <f>'Terms and Turnovers'!P80</f>
        <v>0</v>
      </c>
      <c r="AG454" s="160">
        <f t="shared" si="43"/>
        <v>0</v>
      </c>
      <c r="AH454" s="157">
        <f t="shared" si="44"/>
        <v>0</v>
      </c>
      <c r="AI454" s="131">
        <f t="shared" si="45"/>
        <v>0</v>
      </c>
      <c r="AJ454" s="65"/>
      <c r="AL454" s="461">
        <f>SUM(F454,H454,J454,L454,N454,P454,T454,V454,X454,Z454,AB454,AD454)</f>
        <v>0</v>
      </c>
      <c r="AM454" s="462">
        <f>AL454-AH454</f>
        <v>0</v>
      </c>
      <c r="AV454" s="56"/>
    </row>
    <row r="455" spans="1:48" ht="13.5" customHeight="1" outlineLevel="1" thickBot="1">
      <c r="B455" s="82"/>
      <c r="C455" s="1231"/>
      <c r="D455" s="1231"/>
      <c r="E455" s="84" t="str">
        <f>'Terms and Turnovers'!$T$12</f>
        <v>ORIGINALS</v>
      </c>
      <c r="F455" s="120">
        <f>$R455*G455</f>
        <v>0</v>
      </c>
      <c r="G455" s="723"/>
      <c r="H455" s="120">
        <f>$R455*I455</f>
        <v>0</v>
      </c>
      <c r="I455" s="69">
        <v>0</v>
      </c>
      <c r="J455" s="120">
        <f>$R455*K455</f>
        <v>0</v>
      </c>
      <c r="K455" s="69">
        <v>0</v>
      </c>
      <c r="L455" s="120">
        <f>$R455*M455</f>
        <v>0</v>
      </c>
      <c r="M455" s="69">
        <v>0</v>
      </c>
      <c r="N455" s="315">
        <f>$R455*O455</f>
        <v>0</v>
      </c>
      <c r="O455" s="69">
        <v>0</v>
      </c>
      <c r="P455" s="120">
        <f>$R455*Q455</f>
        <v>0</v>
      </c>
      <c r="Q455" s="69">
        <v>0</v>
      </c>
      <c r="R455" s="88">
        <f>'Terms and Turnovers'!U80</f>
        <v>0</v>
      </c>
      <c r="S455" s="161">
        <f t="shared" si="42"/>
        <v>0</v>
      </c>
      <c r="T455" s="120">
        <f>$AF455*U455</f>
        <v>0</v>
      </c>
      <c r="U455" s="69">
        <v>0</v>
      </c>
      <c r="V455" s="120">
        <f>$AF455*W455</f>
        <v>0</v>
      </c>
      <c r="W455" s="69">
        <v>0</v>
      </c>
      <c r="X455" s="120">
        <f>$AF455*Y455</f>
        <v>0</v>
      </c>
      <c r="Y455" s="69">
        <v>0</v>
      </c>
      <c r="Z455" s="120">
        <f>$AF455*AA455</f>
        <v>0</v>
      </c>
      <c r="AA455" s="69">
        <v>0</v>
      </c>
      <c r="AB455" s="315">
        <f>$AF455*AC455</f>
        <v>0</v>
      </c>
      <c r="AC455" s="69">
        <v>0</v>
      </c>
      <c r="AD455" s="120">
        <f>$AF455*AE455</f>
        <v>0</v>
      </c>
      <c r="AE455" s="69">
        <v>0</v>
      </c>
      <c r="AF455" s="88">
        <f>'Terms and Turnovers'!Z80</f>
        <v>0</v>
      </c>
      <c r="AG455" s="161">
        <f t="shared" si="43"/>
        <v>0</v>
      </c>
      <c r="AH455" s="158">
        <f t="shared" si="44"/>
        <v>0</v>
      </c>
      <c r="AI455" s="134">
        <f t="shared" si="45"/>
        <v>0</v>
      </c>
      <c r="AJ455" s="65"/>
      <c r="AL455" s="461">
        <f>SUM(F455,H455,J455,L455,N455,P455,T455,V455,X455,Z455,AB455,AD455)</f>
        <v>0</v>
      </c>
      <c r="AM455" s="462">
        <f>AL455-AH455</f>
        <v>0</v>
      </c>
      <c r="AV455" s="56"/>
    </row>
    <row r="456" spans="1:48" ht="13.5" customHeight="1" outlineLevel="1" thickBot="1">
      <c r="B456" s="82"/>
      <c r="C456" s="1231"/>
      <c r="D456" s="1231"/>
      <c r="E456" s="84" t="str">
        <f>'Terms and Turnovers'!$AD$12</f>
        <v>ACCESSORIES</v>
      </c>
      <c r="F456" s="120">
        <f>$R456*G456</f>
        <v>0</v>
      </c>
      <c r="G456" s="723"/>
      <c r="H456" s="120">
        <f>$R456*I456</f>
        <v>0</v>
      </c>
      <c r="I456" s="69">
        <v>0</v>
      </c>
      <c r="J456" s="120">
        <f>$R456*K456</f>
        <v>0</v>
      </c>
      <c r="K456" s="69">
        <v>0</v>
      </c>
      <c r="L456" s="120">
        <f>$R456*M456</f>
        <v>0</v>
      </c>
      <c r="M456" s="69">
        <v>0</v>
      </c>
      <c r="N456" s="315">
        <f>$R456*O456</f>
        <v>0</v>
      </c>
      <c r="O456" s="69">
        <v>0</v>
      </c>
      <c r="P456" s="120">
        <f>$R456*Q456</f>
        <v>0</v>
      </c>
      <c r="Q456" s="69">
        <v>0</v>
      </c>
      <c r="R456" s="88">
        <f>'Terms and Turnovers'!AE80</f>
        <v>0</v>
      </c>
      <c r="S456" s="161">
        <f t="shared" si="42"/>
        <v>0</v>
      </c>
      <c r="T456" s="120">
        <f>$AF456*U456</f>
        <v>0</v>
      </c>
      <c r="U456" s="69">
        <v>0</v>
      </c>
      <c r="V456" s="120">
        <f>$AF456*W456</f>
        <v>0</v>
      </c>
      <c r="W456" s="69">
        <v>0</v>
      </c>
      <c r="X456" s="120">
        <f>$AF456*Y456</f>
        <v>0</v>
      </c>
      <c r="Y456" s="69">
        <v>0</v>
      </c>
      <c r="Z456" s="120">
        <f>$AF456*AA456</f>
        <v>0</v>
      </c>
      <c r="AA456" s="69">
        <v>0</v>
      </c>
      <c r="AB456" s="315">
        <f>$AF456*AC456</f>
        <v>0</v>
      </c>
      <c r="AC456" s="69">
        <v>0</v>
      </c>
      <c r="AD456" s="120">
        <f>$AF456*AE456</f>
        <v>0</v>
      </c>
      <c r="AE456" s="69">
        <v>0</v>
      </c>
      <c r="AF456" s="88">
        <f>'Terms and Turnovers'!AJ80</f>
        <v>0</v>
      </c>
      <c r="AG456" s="161">
        <f t="shared" si="43"/>
        <v>0</v>
      </c>
      <c r="AH456" s="158">
        <f t="shared" si="44"/>
        <v>0</v>
      </c>
      <c r="AI456" s="134">
        <f t="shared" si="45"/>
        <v>0</v>
      </c>
      <c r="AJ456" s="65"/>
      <c r="AL456" s="461">
        <f>SUM(F456,H456,J456,L456,N456,P456,T456,V456,X456,Z456,AB456,AD456)</f>
        <v>0</v>
      </c>
      <c r="AM456" s="462">
        <f>AL456-AH456</f>
        <v>0</v>
      </c>
      <c r="AV456" s="56"/>
    </row>
    <row r="457" spans="1:48" ht="13.5" customHeight="1" outlineLevel="1" thickBot="1">
      <c r="B457" s="82"/>
      <c r="C457" s="1231"/>
      <c r="D457" s="1231"/>
      <c r="E457" s="84">
        <f>'Terms and Turnovers'!$AN$12</f>
        <v>0</v>
      </c>
      <c r="F457" s="120">
        <f>$R457*G457</f>
        <v>0</v>
      </c>
      <c r="G457" s="723"/>
      <c r="H457" s="120">
        <f>$R457*I457</f>
        <v>0</v>
      </c>
      <c r="I457" s="69">
        <v>0</v>
      </c>
      <c r="J457" s="120">
        <f>$R457*K457</f>
        <v>0</v>
      </c>
      <c r="K457" s="69">
        <v>0</v>
      </c>
      <c r="L457" s="120">
        <f>$R457*M457</f>
        <v>0</v>
      </c>
      <c r="M457" s="69">
        <v>0</v>
      </c>
      <c r="N457" s="315">
        <f>$R457*O457</f>
        <v>0</v>
      </c>
      <c r="O457" s="69">
        <v>0</v>
      </c>
      <c r="P457" s="120">
        <f>$R457*Q457</f>
        <v>0</v>
      </c>
      <c r="Q457" s="69">
        <v>0</v>
      </c>
      <c r="R457" s="88">
        <f>'Terms and Turnovers'!AO80</f>
        <v>0</v>
      </c>
      <c r="S457" s="161">
        <f t="shared" si="42"/>
        <v>0</v>
      </c>
      <c r="T457" s="120">
        <f>$AF457*U457</f>
        <v>0</v>
      </c>
      <c r="U457" s="69">
        <v>0</v>
      </c>
      <c r="V457" s="120">
        <f>$AF457*W457</f>
        <v>0</v>
      </c>
      <c r="W457" s="69">
        <v>0</v>
      </c>
      <c r="X457" s="120">
        <f>$AF457*Y457</f>
        <v>0</v>
      </c>
      <c r="Y457" s="69">
        <v>0</v>
      </c>
      <c r="Z457" s="120">
        <f>$AF457*AA457</f>
        <v>0</v>
      </c>
      <c r="AA457" s="69">
        <v>0</v>
      </c>
      <c r="AB457" s="315">
        <f>$AF457*AC457</f>
        <v>0</v>
      </c>
      <c r="AC457" s="69">
        <v>0</v>
      </c>
      <c r="AD457" s="120">
        <f>$AF457*AE457</f>
        <v>0</v>
      </c>
      <c r="AE457" s="69">
        <v>0</v>
      </c>
      <c r="AF457" s="88">
        <f>'Terms and Turnovers'!AT80</f>
        <v>0</v>
      </c>
      <c r="AG457" s="161">
        <f t="shared" si="43"/>
        <v>0</v>
      </c>
      <c r="AH457" s="158">
        <f t="shared" si="44"/>
        <v>0</v>
      </c>
      <c r="AI457" s="134">
        <f t="shared" si="45"/>
        <v>0</v>
      </c>
      <c r="AJ457" s="65"/>
      <c r="AL457" s="461">
        <f>SUM(F457,H457,J457,L457,N457,P457,T457,V457,X457,Z457,AB457,AD457)</f>
        <v>0</v>
      </c>
      <c r="AM457" s="462">
        <f>AL457-AH457</f>
        <v>0</v>
      </c>
      <c r="AV457" s="56"/>
    </row>
    <row r="458" spans="1:48" ht="13.5" customHeight="1" outlineLevel="1" thickBot="1">
      <c r="B458" s="82"/>
      <c r="C458" s="1232"/>
      <c r="D458" s="1232"/>
      <c r="E458" s="85">
        <f>'Terms and Turnovers'!$AX$12</f>
        <v>0</v>
      </c>
      <c r="F458" s="121">
        <f>$R458*G458</f>
        <v>0</v>
      </c>
      <c r="G458" s="72"/>
      <c r="H458" s="121">
        <f>$R458*I458</f>
        <v>0</v>
      </c>
      <c r="I458" s="69">
        <v>0</v>
      </c>
      <c r="J458" s="121">
        <f>$R458*K458</f>
        <v>0</v>
      </c>
      <c r="K458" s="69">
        <v>0</v>
      </c>
      <c r="L458" s="121">
        <f>$R458*M458</f>
        <v>0</v>
      </c>
      <c r="M458" s="69">
        <v>0</v>
      </c>
      <c r="N458" s="316">
        <f>$R458*O458</f>
        <v>0</v>
      </c>
      <c r="O458" s="69">
        <v>0</v>
      </c>
      <c r="P458" s="121">
        <f>$R458*Q458</f>
        <v>0</v>
      </c>
      <c r="Q458" s="69">
        <v>0</v>
      </c>
      <c r="R458" s="89">
        <f>'Terms and Turnovers'!AY80</f>
        <v>0</v>
      </c>
      <c r="S458" s="162">
        <f t="shared" si="42"/>
        <v>0</v>
      </c>
      <c r="T458" s="121">
        <f>$AF458*U458</f>
        <v>0</v>
      </c>
      <c r="U458" s="69">
        <v>0</v>
      </c>
      <c r="V458" s="121">
        <f>$AF458*W458</f>
        <v>0</v>
      </c>
      <c r="W458" s="69">
        <v>0</v>
      </c>
      <c r="X458" s="121">
        <f>$AF458*Y458</f>
        <v>0</v>
      </c>
      <c r="Y458" s="69">
        <v>0</v>
      </c>
      <c r="Z458" s="121">
        <f>$AF458*AA458</f>
        <v>0</v>
      </c>
      <c r="AA458" s="69">
        <v>0</v>
      </c>
      <c r="AB458" s="316">
        <f>$AF458*AC458</f>
        <v>0</v>
      </c>
      <c r="AC458" s="69">
        <v>0</v>
      </c>
      <c r="AD458" s="121">
        <f>$AF458*AE458</f>
        <v>0</v>
      </c>
      <c r="AE458" s="69">
        <v>0</v>
      </c>
      <c r="AF458" s="89">
        <f>'Terms and Turnovers'!BD80</f>
        <v>0</v>
      </c>
      <c r="AG458" s="162">
        <f t="shared" si="43"/>
        <v>0</v>
      </c>
      <c r="AH458" s="159">
        <f t="shared" si="44"/>
        <v>0</v>
      </c>
      <c r="AI458" s="137">
        <f t="shared" si="45"/>
        <v>0</v>
      </c>
      <c r="AJ458" s="65"/>
      <c r="AL458" s="461">
        <f>SUM(F458,H458,J458,L458,N458,P458,T458,V458,X458,Z458,AB458,AD458)</f>
        <v>0</v>
      </c>
      <c r="AM458" s="462">
        <f>AL458-AH458</f>
        <v>0</v>
      </c>
      <c r="AV458" s="56"/>
    </row>
    <row r="459" spans="1:48" ht="13.5" customHeight="1" outlineLevel="1" thickBot="1">
      <c r="A459" s="119"/>
      <c r="B459" s="82"/>
      <c r="C459" s="425"/>
      <c r="D459" s="425"/>
      <c r="E459" s="426"/>
      <c r="F459" s="427">
        <f>SUM(F454:F458)</f>
        <v>0</v>
      </c>
      <c r="G459" s="428"/>
      <c r="H459" s="427">
        <f>SUM(H454:H458)</f>
        <v>0</v>
      </c>
      <c r="I459" s="69"/>
      <c r="J459" s="427">
        <f>SUM(J454:J458)</f>
        <v>0</v>
      </c>
      <c r="K459" s="69"/>
      <c r="L459" s="427">
        <f>SUM(L454:L458)</f>
        <v>0</v>
      </c>
      <c r="M459" s="69"/>
      <c r="N459" s="427">
        <f>SUM(N454:N458)</f>
        <v>0</v>
      </c>
      <c r="O459" s="69"/>
      <c r="P459" s="427">
        <f>SUM(P454:P458)</f>
        <v>0</v>
      </c>
      <c r="Q459" s="69"/>
      <c r="R459" s="429"/>
      <c r="S459" s="430"/>
      <c r="T459" s="427">
        <f>SUM(T454:T458)</f>
        <v>0</v>
      </c>
      <c r="U459" s="428"/>
      <c r="V459" s="427">
        <f>SUM(V454:V458)</f>
        <v>0</v>
      </c>
      <c r="W459" s="69"/>
      <c r="X459" s="427">
        <f>SUM(X454:X458)</f>
        <v>0</v>
      </c>
      <c r="Y459" s="69"/>
      <c r="Z459" s="427">
        <f>SUM(Z454:Z458)</f>
        <v>0</v>
      </c>
      <c r="AA459" s="69"/>
      <c r="AB459" s="427">
        <f>SUM(AB454:AB458)</f>
        <v>0</v>
      </c>
      <c r="AC459" s="69"/>
      <c r="AD459" s="427">
        <f>SUM(AD454:AD458)</f>
        <v>0</v>
      </c>
      <c r="AE459" s="69"/>
      <c r="AF459" s="429"/>
      <c r="AG459" s="430"/>
      <c r="AH459" s="431"/>
      <c r="AI459" s="432"/>
      <c r="AJ459" s="65"/>
      <c r="AV459" s="56"/>
    </row>
    <row r="460" spans="1:48" ht="13.5" customHeight="1" outlineLevel="1" thickBot="1">
      <c r="A460" s="119"/>
      <c r="B460" s="82"/>
      <c r="C460" s="1098" t="s">
        <v>484</v>
      </c>
      <c r="D460" s="433">
        <f>D454</f>
        <v>0</v>
      </c>
      <c r="E460" s="426"/>
      <c r="F460" s="700"/>
      <c r="G460" s="428"/>
      <c r="H460" s="700"/>
      <c r="I460" s="69"/>
      <c r="J460" s="700"/>
      <c r="K460" s="69"/>
      <c r="L460" s="700"/>
      <c r="M460" s="69"/>
      <c r="N460" s="700"/>
      <c r="O460" s="69"/>
      <c r="P460" s="700"/>
      <c r="Q460" s="69"/>
      <c r="R460" s="429"/>
      <c r="S460" s="430"/>
      <c r="T460" s="700"/>
      <c r="U460" s="428">
        <f>Q459</f>
        <v>0</v>
      </c>
      <c r="V460" s="700"/>
      <c r="W460" s="69">
        <f>S459</f>
        <v>0</v>
      </c>
      <c r="X460" s="700"/>
      <c r="Y460" s="69">
        <f>U459</f>
        <v>0</v>
      </c>
      <c r="Z460" s="700"/>
      <c r="AA460" s="69">
        <f>W459</f>
        <v>0</v>
      </c>
      <c r="AB460" s="700"/>
      <c r="AC460" s="69">
        <f>Y459</f>
        <v>0</v>
      </c>
      <c r="AD460" s="700"/>
      <c r="AE460" s="69"/>
      <c r="AF460" s="429"/>
      <c r="AG460" s="430"/>
      <c r="AH460" s="431"/>
      <c r="AI460" s="432"/>
      <c r="AJ460" s="65"/>
      <c r="AN460" s="695"/>
      <c r="AO460" s="697"/>
      <c r="AP460" s="742">
        <v>0</v>
      </c>
      <c r="AS460" s="716">
        <f>SUM(AL454:AL458)</f>
        <v>0</v>
      </c>
      <c r="AT460" s="461">
        <f>F460+H460+J460+L460+N460+P460+T460+V460+X460+Z460+AB460+AD460</f>
        <v>0</v>
      </c>
      <c r="AU460" s="743">
        <f>AT460-AS460</f>
        <v>0</v>
      </c>
    </row>
    <row r="461" spans="1:48" ht="13.5" customHeight="1" outlineLevel="1" thickBot="1">
      <c r="B461" s="82">
        <f>B454+1</f>
        <v>66</v>
      </c>
      <c r="C461" s="1230">
        <f>'Terms and Turnovers'!C81</f>
        <v>0</v>
      </c>
      <c r="D461" s="1248">
        <f>'Terms and Turnovers'!D81</f>
        <v>0</v>
      </c>
      <c r="E461" s="83" t="str">
        <f>'Terms and Turnovers'!$J$12</f>
        <v>FLIP-FLOPS</v>
      </c>
      <c r="F461" s="118">
        <f>$R461*G461</f>
        <v>0</v>
      </c>
      <c r="G461" s="69"/>
      <c r="H461" s="314">
        <f>$R461*I461</f>
        <v>0</v>
      </c>
      <c r="I461" s="69">
        <v>0</v>
      </c>
      <c r="J461" s="118">
        <f>$R461*K461</f>
        <v>0</v>
      </c>
      <c r="K461" s="69">
        <v>0</v>
      </c>
      <c r="L461" s="314">
        <f>$R461*M461</f>
        <v>0</v>
      </c>
      <c r="M461" s="69">
        <v>0</v>
      </c>
      <c r="N461" s="314">
        <f>$R461*O461</f>
        <v>0</v>
      </c>
      <c r="O461" s="69">
        <v>0</v>
      </c>
      <c r="P461" s="118">
        <f>$R461*Q461</f>
        <v>0</v>
      </c>
      <c r="Q461" s="69">
        <v>0</v>
      </c>
      <c r="R461" s="87">
        <f>'Terms and Turnovers'!K81</f>
        <v>0</v>
      </c>
      <c r="S461" s="160">
        <f t="shared" si="42"/>
        <v>0</v>
      </c>
      <c r="T461" s="118">
        <f>$AF461*U461</f>
        <v>0</v>
      </c>
      <c r="U461" s="69">
        <v>0</v>
      </c>
      <c r="V461" s="314">
        <f>$AF461*W461</f>
        <v>0</v>
      </c>
      <c r="W461" s="69">
        <v>0</v>
      </c>
      <c r="X461" s="118">
        <f>$AF461*Y461</f>
        <v>0</v>
      </c>
      <c r="Y461" s="69">
        <v>0</v>
      </c>
      <c r="Z461" s="314">
        <f>$AF461*AA461</f>
        <v>0</v>
      </c>
      <c r="AA461" s="69">
        <v>0</v>
      </c>
      <c r="AB461" s="314">
        <f>$AF461*AC461</f>
        <v>0</v>
      </c>
      <c r="AC461" s="69">
        <v>0</v>
      </c>
      <c r="AD461" s="118">
        <f>$AF461*AE461</f>
        <v>0</v>
      </c>
      <c r="AE461" s="69">
        <v>0</v>
      </c>
      <c r="AF461" s="87">
        <f>'Terms and Turnovers'!P81</f>
        <v>0</v>
      </c>
      <c r="AG461" s="160">
        <f t="shared" si="43"/>
        <v>0</v>
      </c>
      <c r="AH461" s="157">
        <f t="shared" si="44"/>
        <v>0</v>
      </c>
      <c r="AI461" s="131">
        <f t="shared" si="45"/>
        <v>0</v>
      </c>
      <c r="AJ461" s="65"/>
      <c r="AL461" s="461">
        <f>SUM(F461,H461,J461,L461,N461,P461,T461,V461,X461,Z461,AB461,AD461)</f>
        <v>0</v>
      </c>
      <c r="AM461" s="462">
        <f>AL461-AH461</f>
        <v>0</v>
      </c>
      <c r="AV461" s="56"/>
    </row>
    <row r="462" spans="1:48" ht="13.5" customHeight="1" outlineLevel="1" thickBot="1">
      <c r="B462" s="82"/>
      <c r="C462" s="1231"/>
      <c r="D462" s="1249"/>
      <c r="E462" s="84" t="str">
        <f>'Terms and Turnovers'!$T$12</f>
        <v>ORIGINALS</v>
      </c>
      <c r="F462" s="120">
        <f>$R462*G462</f>
        <v>0</v>
      </c>
      <c r="G462" s="723"/>
      <c r="H462" s="120">
        <f>$R462*I462</f>
        <v>0</v>
      </c>
      <c r="I462" s="69">
        <v>0</v>
      </c>
      <c r="J462" s="120">
        <f>$R462*K462</f>
        <v>0</v>
      </c>
      <c r="K462" s="69">
        <v>0</v>
      </c>
      <c r="L462" s="120">
        <f>$R462*M462</f>
        <v>0</v>
      </c>
      <c r="M462" s="69">
        <v>0</v>
      </c>
      <c r="N462" s="315">
        <f>$R462*O462</f>
        <v>0</v>
      </c>
      <c r="O462" s="69">
        <v>0</v>
      </c>
      <c r="P462" s="120">
        <f>$R462*Q462</f>
        <v>0</v>
      </c>
      <c r="Q462" s="69">
        <v>0</v>
      </c>
      <c r="R462" s="88">
        <f>'Terms and Turnovers'!U81</f>
        <v>0</v>
      </c>
      <c r="S462" s="161">
        <f t="shared" si="42"/>
        <v>0</v>
      </c>
      <c r="T462" s="120">
        <f>$AF462*U462</f>
        <v>0</v>
      </c>
      <c r="U462" s="69">
        <v>0</v>
      </c>
      <c r="V462" s="120">
        <f>$AF462*W462</f>
        <v>0</v>
      </c>
      <c r="W462" s="69">
        <v>0</v>
      </c>
      <c r="X462" s="120">
        <f>$AF462*Y462</f>
        <v>0</v>
      </c>
      <c r="Y462" s="69">
        <v>0</v>
      </c>
      <c r="Z462" s="120">
        <f>$AF462*AA462</f>
        <v>0</v>
      </c>
      <c r="AA462" s="69">
        <v>0</v>
      </c>
      <c r="AB462" s="315">
        <f>$AF462*AC462</f>
        <v>0</v>
      </c>
      <c r="AC462" s="69">
        <v>0</v>
      </c>
      <c r="AD462" s="120">
        <f>$AF462*AE462</f>
        <v>0</v>
      </c>
      <c r="AE462" s="69">
        <v>0</v>
      </c>
      <c r="AF462" s="88">
        <f>'Terms and Turnovers'!Z81</f>
        <v>0</v>
      </c>
      <c r="AG462" s="161">
        <f t="shared" si="43"/>
        <v>0</v>
      </c>
      <c r="AH462" s="158">
        <f t="shared" si="44"/>
        <v>0</v>
      </c>
      <c r="AI462" s="134">
        <f t="shared" si="45"/>
        <v>0</v>
      </c>
      <c r="AJ462" s="65"/>
      <c r="AL462" s="461">
        <f>SUM(F462,H462,J462,L462,N462,P462,T462,V462,X462,Z462,AB462,AD462)</f>
        <v>0</v>
      </c>
      <c r="AM462" s="462">
        <f>AL462-AH462</f>
        <v>0</v>
      </c>
      <c r="AV462" s="56"/>
    </row>
    <row r="463" spans="1:48" ht="13.5" customHeight="1" outlineLevel="1" thickBot="1">
      <c r="B463" s="82"/>
      <c r="C463" s="1231"/>
      <c r="D463" s="1249"/>
      <c r="E463" s="84" t="str">
        <f>'Terms and Turnovers'!$AD$12</f>
        <v>ACCESSORIES</v>
      </c>
      <c r="F463" s="120">
        <f>$R463*G463</f>
        <v>0</v>
      </c>
      <c r="G463" s="723"/>
      <c r="H463" s="120">
        <f>$R463*I463</f>
        <v>0</v>
      </c>
      <c r="I463" s="69">
        <v>0</v>
      </c>
      <c r="J463" s="120">
        <f>$R463*K463</f>
        <v>0</v>
      </c>
      <c r="K463" s="69">
        <v>0</v>
      </c>
      <c r="L463" s="120">
        <f>$R463*M463</f>
        <v>0</v>
      </c>
      <c r="M463" s="69">
        <v>0</v>
      </c>
      <c r="N463" s="315">
        <f>$R463*O463</f>
        <v>0</v>
      </c>
      <c r="O463" s="69">
        <v>0</v>
      </c>
      <c r="P463" s="120">
        <f>$R463*Q463</f>
        <v>0</v>
      </c>
      <c r="Q463" s="69">
        <v>0</v>
      </c>
      <c r="R463" s="88">
        <f>'Terms and Turnovers'!AE81</f>
        <v>0</v>
      </c>
      <c r="S463" s="161">
        <f t="shared" si="42"/>
        <v>0</v>
      </c>
      <c r="T463" s="120">
        <f>$AF463*U463</f>
        <v>0</v>
      </c>
      <c r="U463" s="69">
        <v>0</v>
      </c>
      <c r="V463" s="120">
        <f>$AF463*W463</f>
        <v>0</v>
      </c>
      <c r="W463" s="69">
        <v>0</v>
      </c>
      <c r="X463" s="120">
        <f>$AF463*Y463</f>
        <v>0</v>
      </c>
      <c r="Y463" s="69">
        <v>0</v>
      </c>
      <c r="Z463" s="120">
        <f>$AF463*AA463</f>
        <v>0</v>
      </c>
      <c r="AA463" s="69">
        <v>0</v>
      </c>
      <c r="AB463" s="315">
        <f>$AF463*AC463</f>
        <v>0</v>
      </c>
      <c r="AC463" s="69">
        <v>0</v>
      </c>
      <c r="AD463" s="120">
        <f>$AF463*AE463</f>
        <v>0</v>
      </c>
      <c r="AE463" s="69">
        <v>0</v>
      </c>
      <c r="AF463" s="88">
        <f>'Terms and Turnovers'!AJ81</f>
        <v>0</v>
      </c>
      <c r="AG463" s="161">
        <f t="shared" si="43"/>
        <v>0</v>
      </c>
      <c r="AH463" s="158">
        <f t="shared" si="44"/>
        <v>0</v>
      </c>
      <c r="AI463" s="134">
        <f t="shared" si="45"/>
        <v>0</v>
      </c>
      <c r="AJ463" s="65"/>
      <c r="AL463" s="461">
        <f>SUM(F463,H463,J463,L463,N463,P463,T463,V463,X463,Z463,AB463,AD463)</f>
        <v>0</v>
      </c>
      <c r="AM463" s="462">
        <f>AL463-AH463</f>
        <v>0</v>
      </c>
      <c r="AV463" s="56"/>
    </row>
    <row r="464" spans="1:48" ht="13.5" customHeight="1" outlineLevel="1" thickBot="1">
      <c r="B464" s="82"/>
      <c r="C464" s="1231"/>
      <c r="D464" s="1249"/>
      <c r="E464" s="84">
        <f>'Terms and Turnovers'!$AN$12</f>
        <v>0</v>
      </c>
      <c r="F464" s="120">
        <f>$R464*G464</f>
        <v>0</v>
      </c>
      <c r="G464" s="723"/>
      <c r="H464" s="120">
        <f>$R464*I464</f>
        <v>0</v>
      </c>
      <c r="I464" s="69">
        <v>0</v>
      </c>
      <c r="J464" s="120">
        <f>$R464*K464</f>
        <v>0</v>
      </c>
      <c r="K464" s="69">
        <v>0</v>
      </c>
      <c r="L464" s="120">
        <f>$R464*M464</f>
        <v>0</v>
      </c>
      <c r="M464" s="69">
        <v>0</v>
      </c>
      <c r="N464" s="315">
        <f>$R464*O464</f>
        <v>0</v>
      </c>
      <c r="O464" s="69">
        <v>0</v>
      </c>
      <c r="P464" s="120">
        <f>$R464*Q464</f>
        <v>0</v>
      </c>
      <c r="Q464" s="69">
        <v>0</v>
      </c>
      <c r="R464" s="88">
        <f>'Terms and Turnovers'!AO81</f>
        <v>0</v>
      </c>
      <c r="S464" s="161">
        <f t="shared" si="42"/>
        <v>0</v>
      </c>
      <c r="T464" s="120">
        <f>$AF464*U464</f>
        <v>0</v>
      </c>
      <c r="U464" s="69">
        <v>0</v>
      </c>
      <c r="V464" s="120">
        <f>$AF464*W464</f>
        <v>0</v>
      </c>
      <c r="W464" s="69">
        <v>0</v>
      </c>
      <c r="X464" s="120">
        <f>$AF464*Y464</f>
        <v>0</v>
      </c>
      <c r="Y464" s="69">
        <v>0</v>
      </c>
      <c r="Z464" s="120">
        <f>$AF464*AA464</f>
        <v>0</v>
      </c>
      <c r="AA464" s="69">
        <v>0</v>
      </c>
      <c r="AB464" s="315">
        <f>$AF464*AC464</f>
        <v>0</v>
      </c>
      <c r="AC464" s="69">
        <v>0</v>
      </c>
      <c r="AD464" s="120">
        <f>$AF464*AE464</f>
        <v>0</v>
      </c>
      <c r="AE464" s="69">
        <v>0</v>
      </c>
      <c r="AF464" s="88">
        <f>'Terms and Turnovers'!AT81</f>
        <v>0</v>
      </c>
      <c r="AG464" s="161">
        <f t="shared" si="43"/>
        <v>0</v>
      </c>
      <c r="AH464" s="158">
        <f t="shared" si="44"/>
        <v>0</v>
      </c>
      <c r="AI464" s="134">
        <f t="shared" si="45"/>
        <v>0</v>
      </c>
      <c r="AJ464" s="65"/>
      <c r="AL464" s="461">
        <f>SUM(F464,H464,J464,L464,N464,P464,T464,V464,X464,Z464,AB464,AD464)</f>
        <v>0</v>
      </c>
      <c r="AM464" s="462">
        <f>AL464-AH464</f>
        <v>0</v>
      </c>
      <c r="AV464" s="56"/>
    </row>
    <row r="465" spans="1:48" ht="13.5" customHeight="1" outlineLevel="1" thickBot="1">
      <c r="B465" s="82"/>
      <c r="C465" s="1232"/>
      <c r="D465" s="1250"/>
      <c r="E465" s="85">
        <f>'Terms and Turnovers'!$AX$12</f>
        <v>0</v>
      </c>
      <c r="F465" s="121">
        <f>$R465*G465</f>
        <v>0</v>
      </c>
      <c r="G465" s="72"/>
      <c r="H465" s="121">
        <f>$R465*I465</f>
        <v>0</v>
      </c>
      <c r="I465" s="69">
        <v>0</v>
      </c>
      <c r="J465" s="121">
        <f>$R465*K465</f>
        <v>0</v>
      </c>
      <c r="K465" s="69">
        <v>0</v>
      </c>
      <c r="L465" s="121">
        <f>$R465*M465</f>
        <v>0</v>
      </c>
      <c r="M465" s="69">
        <v>0</v>
      </c>
      <c r="N465" s="316">
        <f>$R465*O465</f>
        <v>0</v>
      </c>
      <c r="O465" s="69">
        <v>0</v>
      </c>
      <c r="P465" s="121">
        <f>$R465*Q465</f>
        <v>0</v>
      </c>
      <c r="Q465" s="69">
        <v>0</v>
      </c>
      <c r="R465" s="89">
        <f>'Terms and Turnovers'!AY81</f>
        <v>0</v>
      </c>
      <c r="S465" s="162">
        <f t="shared" si="42"/>
        <v>0</v>
      </c>
      <c r="T465" s="121">
        <f>$AF465*U465</f>
        <v>0</v>
      </c>
      <c r="U465" s="69">
        <v>0</v>
      </c>
      <c r="V465" s="121">
        <f>$AF465*W465</f>
        <v>0</v>
      </c>
      <c r="W465" s="69">
        <v>0</v>
      </c>
      <c r="X465" s="121">
        <f>$AF465*Y465</f>
        <v>0</v>
      </c>
      <c r="Y465" s="69">
        <v>0</v>
      </c>
      <c r="Z465" s="121">
        <f>$AF465*AA465</f>
        <v>0</v>
      </c>
      <c r="AA465" s="69">
        <v>0</v>
      </c>
      <c r="AB465" s="316">
        <f>$AF465*AC465</f>
        <v>0</v>
      </c>
      <c r="AC465" s="69">
        <v>0</v>
      </c>
      <c r="AD465" s="121">
        <f>$AF465*AE465</f>
        <v>0</v>
      </c>
      <c r="AE465" s="69">
        <v>0</v>
      </c>
      <c r="AF465" s="89">
        <f>'Terms and Turnovers'!BD81</f>
        <v>0</v>
      </c>
      <c r="AG465" s="162">
        <f t="shared" si="43"/>
        <v>0</v>
      </c>
      <c r="AH465" s="159">
        <f t="shared" si="44"/>
        <v>0</v>
      </c>
      <c r="AI465" s="137">
        <f t="shared" si="45"/>
        <v>0</v>
      </c>
      <c r="AJ465" s="65"/>
      <c r="AL465" s="461">
        <f>SUM(F465,H465,J465,L465,N465,P465,T465,V465,X465,Z465,AB465,AD465)</f>
        <v>0</v>
      </c>
      <c r="AM465" s="462">
        <f>AL465-AH465</f>
        <v>0</v>
      </c>
      <c r="AV465" s="56"/>
    </row>
    <row r="466" spans="1:48" ht="13.5" customHeight="1" outlineLevel="1" thickBot="1">
      <c r="A466" s="119"/>
      <c r="B466" s="82"/>
      <c r="C466" s="425"/>
      <c r="D466" s="425"/>
      <c r="E466" s="426"/>
      <c r="F466" s="427">
        <f>SUM(F461:F465)</f>
        <v>0</v>
      </c>
      <c r="G466" s="428"/>
      <c r="H466" s="427">
        <f>SUM(H461:H465)</f>
        <v>0</v>
      </c>
      <c r="I466" s="69"/>
      <c r="J466" s="427">
        <f>SUM(J461:J465)</f>
        <v>0</v>
      </c>
      <c r="K466" s="69"/>
      <c r="L466" s="427">
        <f>SUM(L461:L465)</f>
        <v>0</v>
      </c>
      <c r="M466" s="69"/>
      <c r="N466" s="427">
        <f>SUM(N461:N465)</f>
        <v>0</v>
      </c>
      <c r="O466" s="69"/>
      <c r="P466" s="427">
        <f>SUM(P461:P465)</f>
        <v>0</v>
      </c>
      <c r="Q466" s="69"/>
      <c r="R466" s="429"/>
      <c r="S466" s="430"/>
      <c r="T466" s="427">
        <f>SUM(T461:T465)</f>
        <v>0</v>
      </c>
      <c r="U466" s="428"/>
      <c r="V466" s="427">
        <f>SUM(V461:V465)</f>
        <v>0</v>
      </c>
      <c r="W466" s="69"/>
      <c r="X466" s="427">
        <f>SUM(X461:X465)</f>
        <v>0</v>
      </c>
      <c r="Y466" s="69"/>
      <c r="Z466" s="427">
        <f>SUM(Z461:Z465)</f>
        <v>0</v>
      </c>
      <c r="AA466" s="69"/>
      <c r="AB466" s="427">
        <f>SUM(AB461:AB465)</f>
        <v>0</v>
      </c>
      <c r="AC466" s="69"/>
      <c r="AD466" s="427">
        <f>SUM(AD461:AD465)</f>
        <v>0</v>
      </c>
      <c r="AE466" s="69"/>
      <c r="AF466" s="429"/>
      <c r="AG466" s="430"/>
      <c r="AH466" s="431"/>
      <c r="AI466" s="432"/>
      <c r="AJ466" s="65"/>
      <c r="AV466" s="56"/>
    </row>
    <row r="467" spans="1:48" ht="13.5" customHeight="1" outlineLevel="1" thickBot="1">
      <c r="A467" s="119"/>
      <c r="B467" s="82"/>
      <c r="C467" s="1098" t="s">
        <v>484</v>
      </c>
      <c r="D467" s="433">
        <f>D461</f>
        <v>0</v>
      </c>
      <c r="E467" s="426"/>
      <c r="F467" s="700"/>
      <c r="G467" s="428"/>
      <c r="H467" s="700"/>
      <c r="I467" s="69"/>
      <c r="J467" s="700"/>
      <c r="K467" s="69"/>
      <c r="L467" s="700"/>
      <c r="M467" s="69"/>
      <c r="N467" s="700"/>
      <c r="O467" s="69"/>
      <c r="P467" s="700"/>
      <c r="Q467" s="69"/>
      <c r="R467" s="429"/>
      <c r="S467" s="430"/>
      <c r="T467" s="700"/>
      <c r="U467" s="428">
        <f>Q466</f>
        <v>0</v>
      </c>
      <c r="V467" s="700"/>
      <c r="W467" s="69">
        <f>S466</f>
        <v>0</v>
      </c>
      <c r="X467" s="700"/>
      <c r="Y467" s="69">
        <f>U466</f>
        <v>0</v>
      </c>
      <c r="Z467" s="700"/>
      <c r="AA467" s="69">
        <f>W466</f>
        <v>0</v>
      </c>
      <c r="AB467" s="700"/>
      <c r="AC467" s="69">
        <f>Y466</f>
        <v>0</v>
      </c>
      <c r="AD467" s="700"/>
      <c r="AE467" s="69"/>
      <c r="AF467" s="429"/>
      <c r="AG467" s="430"/>
      <c r="AH467" s="431"/>
      <c r="AI467" s="432"/>
      <c r="AJ467" s="65"/>
      <c r="AN467" s="695"/>
      <c r="AO467" s="697"/>
      <c r="AP467" s="742"/>
      <c r="AS467" s="716">
        <f>SUM(AL461:AL465)</f>
        <v>0</v>
      </c>
      <c r="AT467" s="461">
        <f>F467+H467+J467+L467+N467+P467+T467+V467+X467+Z467+AB467+AD467</f>
        <v>0</v>
      </c>
      <c r="AU467" s="743">
        <f>AT467-AS467</f>
        <v>0</v>
      </c>
    </row>
    <row r="468" spans="1:48" ht="13.5" customHeight="1" outlineLevel="1" thickBot="1">
      <c r="B468" s="82">
        <f>B461+1</f>
        <v>67</v>
      </c>
      <c r="C468" s="1230">
        <f>'Terms and Turnovers'!C82</f>
        <v>0</v>
      </c>
      <c r="D468" s="1230">
        <f>'Terms and Turnovers'!D82</f>
        <v>0</v>
      </c>
      <c r="E468" s="83" t="str">
        <f>'Terms and Turnovers'!$J$12</f>
        <v>FLIP-FLOPS</v>
      </c>
      <c r="F468" s="118">
        <f>$R468*G468</f>
        <v>0</v>
      </c>
      <c r="G468" s="69"/>
      <c r="H468" s="314">
        <f>$R468*I468</f>
        <v>0</v>
      </c>
      <c r="I468" s="69">
        <v>0</v>
      </c>
      <c r="J468" s="118">
        <f>$R468*K468</f>
        <v>0</v>
      </c>
      <c r="K468" s="69">
        <v>0</v>
      </c>
      <c r="L468" s="314">
        <f>$R468*M468</f>
        <v>0</v>
      </c>
      <c r="M468" s="69">
        <v>0</v>
      </c>
      <c r="N468" s="314">
        <f>$R468*O468</f>
        <v>0</v>
      </c>
      <c r="O468" s="69">
        <v>0</v>
      </c>
      <c r="P468" s="118">
        <f>$R468*Q468</f>
        <v>0</v>
      </c>
      <c r="Q468" s="69">
        <v>0</v>
      </c>
      <c r="R468" s="87">
        <f>'Terms and Turnovers'!K82</f>
        <v>0</v>
      </c>
      <c r="S468" s="160">
        <f t="shared" si="42"/>
        <v>0</v>
      </c>
      <c r="T468" s="118">
        <f>$AF468*U468</f>
        <v>0</v>
      </c>
      <c r="U468" s="69">
        <v>0</v>
      </c>
      <c r="V468" s="314">
        <f>$AF468*W468</f>
        <v>0</v>
      </c>
      <c r="W468" s="69">
        <v>0</v>
      </c>
      <c r="X468" s="118">
        <f>$AF468*Y468</f>
        <v>0</v>
      </c>
      <c r="Y468" s="69">
        <v>0</v>
      </c>
      <c r="Z468" s="314">
        <f>$AF468*AA468</f>
        <v>0</v>
      </c>
      <c r="AA468" s="69">
        <v>0</v>
      </c>
      <c r="AB468" s="314">
        <f>$AF468*AC468</f>
        <v>0</v>
      </c>
      <c r="AC468" s="69">
        <v>0</v>
      </c>
      <c r="AD468" s="118">
        <f>$AF468*AE468</f>
        <v>0</v>
      </c>
      <c r="AE468" s="69">
        <v>0</v>
      </c>
      <c r="AF468" s="87">
        <f>'Terms and Turnovers'!P82</f>
        <v>0</v>
      </c>
      <c r="AG468" s="160">
        <f t="shared" si="43"/>
        <v>0</v>
      </c>
      <c r="AH468" s="157">
        <f t="shared" si="44"/>
        <v>0</v>
      </c>
      <c r="AI468" s="131">
        <f t="shared" si="45"/>
        <v>0</v>
      </c>
      <c r="AJ468" s="65"/>
      <c r="AL468" s="461">
        <f>SUM(F468,H468,J468,L468,N468,P468,T468,V468,X468,Z468,AB468,AD468)</f>
        <v>0</v>
      </c>
      <c r="AM468" s="462">
        <f>AL468-AH468</f>
        <v>0</v>
      </c>
      <c r="AV468" s="56"/>
    </row>
    <row r="469" spans="1:48" ht="13.5" customHeight="1" outlineLevel="1" thickBot="1">
      <c r="B469" s="82"/>
      <c r="C469" s="1231"/>
      <c r="D469" s="1231"/>
      <c r="E469" s="84" t="str">
        <f>'Terms and Turnovers'!$T$12</f>
        <v>ORIGINALS</v>
      </c>
      <c r="F469" s="120">
        <f>$R469*G469</f>
        <v>0</v>
      </c>
      <c r="G469" s="723"/>
      <c r="H469" s="120">
        <f>$R469*I469</f>
        <v>0</v>
      </c>
      <c r="I469" s="69">
        <v>0</v>
      </c>
      <c r="J469" s="120">
        <f>$R469*K469</f>
        <v>0</v>
      </c>
      <c r="K469" s="69">
        <v>0</v>
      </c>
      <c r="L469" s="120">
        <f>$R469*M469</f>
        <v>0</v>
      </c>
      <c r="M469" s="69">
        <v>0</v>
      </c>
      <c r="N469" s="315">
        <f>$R469*O469</f>
        <v>0</v>
      </c>
      <c r="O469" s="69">
        <v>0</v>
      </c>
      <c r="P469" s="120">
        <f>$R469*Q469</f>
        <v>0</v>
      </c>
      <c r="Q469" s="69">
        <v>0</v>
      </c>
      <c r="R469" s="88">
        <f>'Terms and Turnovers'!U82</f>
        <v>0</v>
      </c>
      <c r="S469" s="161">
        <f t="shared" si="42"/>
        <v>0</v>
      </c>
      <c r="T469" s="120">
        <f>$AF469*U469</f>
        <v>0</v>
      </c>
      <c r="U469" s="69">
        <v>0</v>
      </c>
      <c r="V469" s="120">
        <f>$AF469*W469</f>
        <v>0</v>
      </c>
      <c r="W469" s="69">
        <v>0</v>
      </c>
      <c r="X469" s="120">
        <f>$AF469*Y469</f>
        <v>0</v>
      </c>
      <c r="Y469" s="69">
        <v>0</v>
      </c>
      <c r="Z469" s="120">
        <f>$AF469*AA469</f>
        <v>0</v>
      </c>
      <c r="AA469" s="69">
        <v>0</v>
      </c>
      <c r="AB469" s="315">
        <f>$AF469*AC469</f>
        <v>0</v>
      </c>
      <c r="AC469" s="69">
        <v>0</v>
      </c>
      <c r="AD469" s="120">
        <f>$AF469*AE469</f>
        <v>0</v>
      </c>
      <c r="AE469" s="69">
        <v>0</v>
      </c>
      <c r="AF469" s="88">
        <f>'Terms and Turnovers'!Z82</f>
        <v>0</v>
      </c>
      <c r="AG469" s="161">
        <f t="shared" si="43"/>
        <v>0</v>
      </c>
      <c r="AH469" s="158">
        <f t="shared" si="44"/>
        <v>0</v>
      </c>
      <c r="AI469" s="134">
        <f t="shared" si="45"/>
        <v>0</v>
      </c>
      <c r="AJ469" s="65"/>
      <c r="AL469" s="461">
        <f>SUM(F469,H469,J469,L469,N469,P469,T469,V469,X469,Z469,AB469,AD469)</f>
        <v>0</v>
      </c>
      <c r="AM469" s="462">
        <f>AL469-AH469</f>
        <v>0</v>
      </c>
      <c r="AV469" s="56"/>
    </row>
    <row r="470" spans="1:48" ht="13.5" customHeight="1" outlineLevel="1" thickBot="1">
      <c r="B470" s="82"/>
      <c r="C470" s="1231"/>
      <c r="D470" s="1231"/>
      <c r="E470" s="84" t="str">
        <f>'Terms and Turnovers'!$AD$12</f>
        <v>ACCESSORIES</v>
      </c>
      <c r="F470" s="120">
        <f>$R470*G470</f>
        <v>0</v>
      </c>
      <c r="G470" s="723"/>
      <c r="H470" s="120">
        <f>$R470*I470</f>
        <v>0</v>
      </c>
      <c r="I470" s="69">
        <v>0</v>
      </c>
      <c r="J470" s="120">
        <f>$R470*K470</f>
        <v>0</v>
      </c>
      <c r="K470" s="69">
        <v>0</v>
      </c>
      <c r="L470" s="120">
        <f>$R470*M470</f>
        <v>0</v>
      </c>
      <c r="M470" s="69">
        <v>0</v>
      </c>
      <c r="N470" s="315">
        <f>$R470*O470</f>
        <v>0</v>
      </c>
      <c r="O470" s="69">
        <v>0</v>
      </c>
      <c r="P470" s="120">
        <f>$R470*Q470</f>
        <v>0</v>
      </c>
      <c r="Q470" s="69">
        <v>0</v>
      </c>
      <c r="R470" s="88">
        <f>'Terms and Turnovers'!AE82</f>
        <v>0</v>
      </c>
      <c r="S470" s="161">
        <f t="shared" si="42"/>
        <v>0</v>
      </c>
      <c r="T470" s="120">
        <f>$AF470*U470</f>
        <v>0</v>
      </c>
      <c r="U470" s="69">
        <v>0</v>
      </c>
      <c r="V470" s="120">
        <f>$AF470*W470</f>
        <v>0</v>
      </c>
      <c r="W470" s="69">
        <v>0</v>
      </c>
      <c r="X470" s="120">
        <f>$AF470*Y470</f>
        <v>0</v>
      </c>
      <c r="Y470" s="69">
        <v>0</v>
      </c>
      <c r="Z470" s="120">
        <f>$AF470*AA470</f>
        <v>0</v>
      </c>
      <c r="AA470" s="69">
        <v>0</v>
      </c>
      <c r="AB470" s="315">
        <f>$AF470*AC470</f>
        <v>0</v>
      </c>
      <c r="AC470" s="69">
        <v>0</v>
      </c>
      <c r="AD470" s="120">
        <f>$AF470*AE470</f>
        <v>0</v>
      </c>
      <c r="AE470" s="69">
        <v>0</v>
      </c>
      <c r="AF470" s="88">
        <f>'Terms and Turnovers'!AJ82</f>
        <v>0</v>
      </c>
      <c r="AG470" s="161">
        <f t="shared" si="43"/>
        <v>0</v>
      </c>
      <c r="AH470" s="158">
        <f t="shared" si="44"/>
        <v>0</v>
      </c>
      <c r="AI470" s="134">
        <f t="shared" si="45"/>
        <v>0</v>
      </c>
      <c r="AJ470" s="65"/>
      <c r="AL470" s="461">
        <f>SUM(F470,H470,J470,L470,N470,P470,T470,V470,X470,Z470,AB470,AD470)</f>
        <v>0</v>
      </c>
      <c r="AM470" s="462">
        <f>AL470-AH470</f>
        <v>0</v>
      </c>
      <c r="AV470" s="56"/>
    </row>
    <row r="471" spans="1:48" ht="13.5" customHeight="1" outlineLevel="1" thickBot="1">
      <c r="B471" s="82"/>
      <c r="C471" s="1231"/>
      <c r="D471" s="1231"/>
      <c r="E471" s="84">
        <f>'Terms and Turnovers'!$AN$12</f>
        <v>0</v>
      </c>
      <c r="F471" s="120">
        <f>$R471*G471</f>
        <v>0</v>
      </c>
      <c r="G471" s="723"/>
      <c r="H471" s="120">
        <f>$R471*I471</f>
        <v>0</v>
      </c>
      <c r="I471" s="69">
        <v>0</v>
      </c>
      <c r="J471" s="120">
        <f>$R471*K471</f>
        <v>0</v>
      </c>
      <c r="K471" s="69">
        <v>0</v>
      </c>
      <c r="L471" s="120">
        <f>$R471*M471</f>
        <v>0</v>
      </c>
      <c r="M471" s="69">
        <v>0</v>
      </c>
      <c r="N471" s="315">
        <f>$R471*O471</f>
        <v>0</v>
      </c>
      <c r="O471" s="69">
        <v>0</v>
      </c>
      <c r="P471" s="120">
        <f>$R471*Q471</f>
        <v>0</v>
      </c>
      <c r="Q471" s="69">
        <v>0</v>
      </c>
      <c r="R471" s="88">
        <f>'Terms and Turnovers'!AO82</f>
        <v>0</v>
      </c>
      <c r="S471" s="161">
        <f t="shared" si="42"/>
        <v>0</v>
      </c>
      <c r="T471" s="120">
        <f>$AF471*U471</f>
        <v>0</v>
      </c>
      <c r="U471" s="69">
        <v>0</v>
      </c>
      <c r="V471" s="120">
        <f>$AF471*W471</f>
        <v>0</v>
      </c>
      <c r="W471" s="69">
        <v>0</v>
      </c>
      <c r="X471" s="120">
        <f>$AF471*Y471</f>
        <v>0</v>
      </c>
      <c r="Y471" s="69">
        <v>0</v>
      </c>
      <c r="Z471" s="120">
        <f>$AF471*AA471</f>
        <v>0</v>
      </c>
      <c r="AA471" s="69">
        <v>0</v>
      </c>
      <c r="AB471" s="315">
        <f>$AF471*AC471</f>
        <v>0</v>
      </c>
      <c r="AC471" s="69">
        <v>0</v>
      </c>
      <c r="AD471" s="120">
        <f>$AF471*AE471</f>
        <v>0</v>
      </c>
      <c r="AE471" s="69">
        <v>0</v>
      </c>
      <c r="AF471" s="88">
        <f>'Terms and Turnovers'!AT82</f>
        <v>0</v>
      </c>
      <c r="AG471" s="161">
        <f t="shared" si="43"/>
        <v>0</v>
      </c>
      <c r="AH471" s="158">
        <f t="shared" si="44"/>
        <v>0</v>
      </c>
      <c r="AI471" s="134">
        <f t="shared" si="45"/>
        <v>0</v>
      </c>
      <c r="AJ471" s="65"/>
      <c r="AL471" s="461">
        <f>SUM(F471,H471,J471,L471,N471,P471,T471,V471,X471,Z471,AB471,AD471)</f>
        <v>0</v>
      </c>
      <c r="AM471" s="462">
        <f>AL471-AH471</f>
        <v>0</v>
      </c>
      <c r="AV471" s="56"/>
    </row>
    <row r="472" spans="1:48" ht="13.5" customHeight="1" outlineLevel="1" thickBot="1">
      <c r="B472" s="82"/>
      <c r="C472" s="1232"/>
      <c r="D472" s="1232"/>
      <c r="E472" s="85">
        <f>'Terms and Turnovers'!$AX$12</f>
        <v>0</v>
      </c>
      <c r="F472" s="121">
        <f>$R472*G472</f>
        <v>0</v>
      </c>
      <c r="G472" s="72"/>
      <c r="H472" s="121">
        <f>$R472*I472</f>
        <v>0</v>
      </c>
      <c r="I472" s="69">
        <v>0</v>
      </c>
      <c r="J472" s="121">
        <f>$R472*K472</f>
        <v>0</v>
      </c>
      <c r="K472" s="69">
        <v>0</v>
      </c>
      <c r="L472" s="121">
        <f>$R472*M472</f>
        <v>0</v>
      </c>
      <c r="M472" s="69">
        <v>0</v>
      </c>
      <c r="N472" s="316">
        <f>$R472*O472</f>
        <v>0</v>
      </c>
      <c r="O472" s="69">
        <v>0</v>
      </c>
      <c r="P472" s="121">
        <f>$R472*Q472</f>
        <v>0</v>
      </c>
      <c r="Q472" s="69">
        <v>0</v>
      </c>
      <c r="R472" s="89">
        <f>'Terms and Turnovers'!AY82</f>
        <v>0</v>
      </c>
      <c r="S472" s="162">
        <f t="shared" si="42"/>
        <v>0</v>
      </c>
      <c r="T472" s="121">
        <f>$AF472*U472</f>
        <v>0</v>
      </c>
      <c r="U472" s="69">
        <v>0</v>
      </c>
      <c r="V472" s="121">
        <f>$AF472*W472</f>
        <v>0</v>
      </c>
      <c r="W472" s="69">
        <v>0</v>
      </c>
      <c r="X472" s="121">
        <f>$AF472*Y472</f>
        <v>0</v>
      </c>
      <c r="Y472" s="69">
        <v>0</v>
      </c>
      <c r="Z472" s="121">
        <f>$AF472*AA472</f>
        <v>0</v>
      </c>
      <c r="AA472" s="69">
        <v>0</v>
      </c>
      <c r="AB472" s="316">
        <f>$AF472*AC472</f>
        <v>0</v>
      </c>
      <c r="AC472" s="69">
        <v>0</v>
      </c>
      <c r="AD472" s="121">
        <f>$AF472*AE472</f>
        <v>0</v>
      </c>
      <c r="AE472" s="69">
        <v>0</v>
      </c>
      <c r="AF472" s="89">
        <f>'Terms and Turnovers'!BD82</f>
        <v>0</v>
      </c>
      <c r="AG472" s="162">
        <f t="shared" si="43"/>
        <v>0</v>
      </c>
      <c r="AH472" s="159">
        <f t="shared" si="44"/>
        <v>0</v>
      </c>
      <c r="AI472" s="137">
        <f t="shared" si="45"/>
        <v>0</v>
      </c>
      <c r="AJ472" s="65"/>
      <c r="AL472" s="461">
        <f>SUM(F472,H472,J472,L472,N472,P472,T472,V472,X472,Z472,AB472,AD472)</f>
        <v>0</v>
      </c>
      <c r="AM472" s="462">
        <f>AL472-AH472</f>
        <v>0</v>
      </c>
      <c r="AV472" s="56"/>
    </row>
    <row r="473" spans="1:48" ht="13.5" customHeight="1" outlineLevel="1" thickBot="1">
      <c r="A473" s="119"/>
      <c r="B473" s="82"/>
      <c r="C473" s="425"/>
      <c r="D473" s="425"/>
      <c r="E473" s="426"/>
      <c r="F473" s="427">
        <f>SUM(F468:F472)</f>
        <v>0</v>
      </c>
      <c r="G473" s="428"/>
      <c r="H473" s="427">
        <f>SUM(H468:H472)</f>
        <v>0</v>
      </c>
      <c r="I473" s="69"/>
      <c r="J473" s="427">
        <f>SUM(J468:J472)</f>
        <v>0</v>
      </c>
      <c r="K473" s="69"/>
      <c r="L473" s="427">
        <f>SUM(L468:L472)</f>
        <v>0</v>
      </c>
      <c r="M473" s="69"/>
      <c r="N473" s="427">
        <f>SUM(N468:N472)</f>
        <v>0</v>
      </c>
      <c r="O473" s="69"/>
      <c r="P473" s="427">
        <f>SUM(P468:P472)</f>
        <v>0</v>
      </c>
      <c r="Q473" s="69"/>
      <c r="R473" s="429"/>
      <c r="S473" s="430"/>
      <c r="T473" s="427">
        <f>SUM(T468:T472)</f>
        <v>0</v>
      </c>
      <c r="U473" s="428"/>
      <c r="V473" s="427">
        <f>SUM(V468:V472)</f>
        <v>0</v>
      </c>
      <c r="W473" s="69"/>
      <c r="X473" s="427">
        <f>SUM(X468:X472)</f>
        <v>0</v>
      </c>
      <c r="Y473" s="69"/>
      <c r="Z473" s="427">
        <f>SUM(Z468:Z472)</f>
        <v>0</v>
      </c>
      <c r="AA473" s="69"/>
      <c r="AB473" s="427">
        <f>SUM(AB468:AB472)</f>
        <v>0</v>
      </c>
      <c r="AC473" s="69"/>
      <c r="AD473" s="427">
        <f>SUM(AD468:AD472)</f>
        <v>0</v>
      </c>
      <c r="AE473" s="69"/>
      <c r="AF473" s="429"/>
      <c r="AG473" s="430"/>
      <c r="AH473" s="431"/>
      <c r="AI473" s="432"/>
      <c r="AJ473" s="65"/>
      <c r="AV473" s="56"/>
    </row>
    <row r="474" spans="1:48" ht="13.5" customHeight="1" outlineLevel="1" thickBot="1">
      <c r="A474" s="119"/>
      <c r="B474" s="82"/>
      <c r="C474" s="1098" t="s">
        <v>484</v>
      </c>
      <c r="D474" s="433"/>
      <c r="E474" s="426"/>
      <c r="F474" s="700"/>
      <c r="G474" s="428"/>
      <c r="H474" s="700"/>
      <c r="I474" s="69"/>
      <c r="J474" s="700"/>
      <c r="K474" s="69"/>
      <c r="L474" s="700"/>
      <c r="M474" s="69"/>
      <c r="N474" s="700"/>
      <c r="O474" s="69"/>
      <c r="P474" s="700"/>
      <c r="Q474" s="69"/>
      <c r="R474" s="429"/>
      <c r="S474" s="430"/>
      <c r="T474" s="700"/>
      <c r="U474" s="428">
        <f>Q473</f>
        <v>0</v>
      </c>
      <c r="V474" s="700"/>
      <c r="W474" s="69">
        <f>S473</f>
        <v>0</v>
      </c>
      <c r="X474" s="700"/>
      <c r="Y474" s="69">
        <f>U473</f>
        <v>0</v>
      </c>
      <c r="Z474" s="700"/>
      <c r="AA474" s="69">
        <f>W473</f>
        <v>0</v>
      </c>
      <c r="AB474" s="700"/>
      <c r="AC474" s="69">
        <f>Y473</f>
        <v>0</v>
      </c>
      <c r="AD474" s="700"/>
      <c r="AE474" s="69"/>
      <c r="AF474" s="429"/>
      <c r="AG474" s="430"/>
      <c r="AH474" s="431"/>
      <c r="AI474" s="432"/>
      <c r="AJ474" s="65"/>
      <c r="AN474" s="695"/>
      <c r="AO474" s="697"/>
      <c r="AP474" s="742"/>
      <c r="AS474" s="716">
        <f>SUM(AL468:AL472)</f>
        <v>0</v>
      </c>
      <c r="AT474" s="461">
        <f>F474+H474+J474+L474+N474+P474+T474+V474+X474+Z474+AB474+AD474</f>
        <v>0</v>
      </c>
      <c r="AU474" s="743">
        <f>AT474-AS474</f>
        <v>0</v>
      </c>
      <c r="AV474" s="56"/>
    </row>
    <row r="475" spans="1:48" ht="13.5" customHeight="1" outlineLevel="1" thickBot="1">
      <c r="B475" s="82">
        <f>B468+1</f>
        <v>68</v>
      </c>
      <c r="C475" s="1230">
        <f>'Terms and Turnovers'!C83</f>
        <v>0</v>
      </c>
      <c r="D475" s="1230">
        <f>'Terms and Turnovers'!D83</f>
        <v>0</v>
      </c>
      <c r="E475" s="83" t="str">
        <f>'Terms and Turnovers'!$J$12</f>
        <v>FLIP-FLOPS</v>
      </c>
      <c r="F475" s="121">
        <f>$R475*G475</f>
        <v>0</v>
      </c>
      <c r="G475" s="69"/>
      <c r="H475" s="316">
        <f>$R475*I475</f>
        <v>0</v>
      </c>
      <c r="I475" s="69">
        <v>0</v>
      </c>
      <c r="J475" s="118">
        <f t="shared" ref="J475:J556" si="46">$R475*K475</f>
        <v>0</v>
      </c>
      <c r="K475" s="69">
        <v>0</v>
      </c>
      <c r="L475" s="314">
        <f t="shared" ref="L475:L556" si="47">$R475*M475</f>
        <v>0</v>
      </c>
      <c r="M475" s="69">
        <v>0</v>
      </c>
      <c r="N475" s="314">
        <f t="shared" ref="N475:N556" si="48">$R475*O475</f>
        <v>0</v>
      </c>
      <c r="O475" s="69">
        <v>0</v>
      </c>
      <c r="P475" s="121">
        <f t="shared" ref="P475:P556" si="49">$R475*Q475</f>
        <v>0</v>
      </c>
      <c r="Q475" s="69">
        <v>0</v>
      </c>
      <c r="R475" s="87">
        <f>'Terms and Turnovers'!K83</f>
        <v>0</v>
      </c>
      <c r="S475" s="160">
        <f t="shared" si="42"/>
        <v>0</v>
      </c>
      <c r="T475" s="118">
        <f>$AF475*U475</f>
        <v>0</v>
      </c>
      <c r="U475" s="69">
        <v>0</v>
      </c>
      <c r="V475" s="314">
        <f>$AF475*W475</f>
        <v>0</v>
      </c>
      <c r="W475" s="69">
        <v>0</v>
      </c>
      <c r="X475" s="118">
        <f>$AF475*Y475</f>
        <v>0</v>
      </c>
      <c r="Y475" s="69">
        <v>0</v>
      </c>
      <c r="Z475" s="314">
        <f>$AF475*AA475</f>
        <v>0</v>
      </c>
      <c r="AA475" s="69">
        <v>0</v>
      </c>
      <c r="AB475" s="314">
        <f>$AF475*AC475</f>
        <v>0</v>
      </c>
      <c r="AC475" s="69">
        <v>0</v>
      </c>
      <c r="AD475" s="118">
        <f>$AF475*AE475</f>
        <v>0</v>
      </c>
      <c r="AE475" s="69">
        <v>0</v>
      </c>
      <c r="AF475" s="87">
        <f>'Terms and Turnovers'!P83</f>
        <v>0</v>
      </c>
      <c r="AG475" s="160">
        <f t="shared" si="43"/>
        <v>0</v>
      </c>
      <c r="AH475" s="157">
        <f t="shared" si="44"/>
        <v>0</v>
      </c>
      <c r="AI475" s="131">
        <f t="shared" si="45"/>
        <v>0</v>
      </c>
      <c r="AJ475" s="65"/>
      <c r="AL475" s="461">
        <f>SUM(F475,H475,J475,L475,N475,P475,T475,V475,X475,Z475,AB475,AD475)</f>
        <v>0</v>
      </c>
      <c r="AM475" s="462">
        <f>AL475-AH475</f>
        <v>0</v>
      </c>
      <c r="AV475" s="56"/>
    </row>
    <row r="476" spans="1:48" ht="13.5" customHeight="1" outlineLevel="1" thickBot="1">
      <c r="B476" s="82"/>
      <c r="C476" s="1231"/>
      <c r="D476" s="1231"/>
      <c r="E476" s="84" t="str">
        <f>'Terms and Turnovers'!$T$12</f>
        <v>ORIGINALS</v>
      </c>
      <c r="F476" s="121">
        <f>$R476*G476</f>
        <v>0</v>
      </c>
      <c r="G476" s="723"/>
      <c r="H476" s="121">
        <f>$R476*I476</f>
        <v>0</v>
      </c>
      <c r="I476" s="69">
        <v>0</v>
      </c>
      <c r="J476" s="120">
        <f t="shared" si="46"/>
        <v>0</v>
      </c>
      <c r="K476" s="69">
        <v>0</v>
      </c>
      <c r="L476" s="120">
        <f t="shared" si="47"/>
        <v>0</v>
      </c>
      <c r="M476" s="69">
        <v>0</v>
      </c>
      <c r="N476" s="315">
        <f t="shared" si="48"/>
        <v>0</v>
      </c>
      <c r="O476" s="69">
        <v>0</v>
      </c>
      <c r="P476" s="121">
        <f t="shared" si="49"/>
        <v>0</v>
      </c>
      <c r="Q476" s="69">
        <v>0</v>
      </c>
      <c r="R476" s="88">
        <f>'Terms and Turnovers'!U83</f>
        <v>0</v>
      </c>
      <c r="S476" s="161">
        <f t="shared" si="42"/>
        <v>0</v>
      </c>
      <c r="T476" s="120">
        <f>$AF476*U476</f>
        <v>0</v>
      </c>
      <c r="U476" s="69">
        <v>0</v>
      </c>
      <c r="V476" s="120">
        <f>$AF476*W476</f>
        <v>0</v>
      </c>
      <c r="W476" s="69">
        <v>0</v>
      </c>
      <c r="X476" s="120">
        <f>$AF476*Y476</f>
        <v>0</v>
      </c>
      <c r="Y476" s="69">
        <v>0</v>
      </c>
      <c r="Z476" s="120">
        <f>$AF476*AA476</f>
        <v>0</v>
      </c>
      <c r="AA476" s="69">
        <v>0</v>
      </c>
      <c r="AB476" s="315">
        <f>$AF476*AC476</f>
        <v>0</v>
      </c>
      <c r="AC476" s="69">
        <v>0</v>
      </c>
      <c r="AD476" s="120">
        <f>$AF476*AE476</f>
        <v>0</v>
      </c>
      <c r="AE476" s="69">
        <v>0</v>
      </c>
      <c r="AF476" s="88">
        <f>'Terms and Turnovers'!Z83</f>
        <v>0</v>
      </c>
      <c r="AG476" s="161">
        <f t="shared" si="43"/>
        <v>0</v>
      </c>
      <c r="AH476" s="158">
        <f t="shared" si="44"/>
        <v>0</v>
      </c>
      <c r="AI476" s="134">
        <f t="shared" si="45"/>
        <v>0</v>
      </c>
      <c r="AJ476" s="65"/>
      <c r="AL476" s="461">
        <f>SUM(F476,H476,J476,L476,N476,P476,T476,V476,X476,Z476,AB476,AD476)</f>
        <v>0</v>
      </c>
      <c r="AM476" s="462">
        <f>AL476-AH476</f>
        <v>0</v>
      </c>
      <c r="AV476" s="56"/>
    </row>
    <row r="477" spans="1:48" ht="13.5" customHeight="1" outlineLevel="1" thickBot="1">
      <c r="B477" s="82"/>
      <c r="C477" s="1231"/>
      <c r="D477" s="1231"/>
      <c r="E477" s="84" t="str">
        <f>'Terms and Turnovers'!$AD$12</f>
        <v>ACCESSORIES</v>
      </c>
      <c r="F477" s="121">
        <f>$R477*G477</f>
        <v>0</v>
      </c>
      <c r="G477" s="723"/>
      <c r="H477" s="121">
        <f>$R477*I477</f>
        <v>0</v>
      </c>
      <c r="I477" s="69">
        <v>0</v>
      </c>
      <c r="J477" s="120">
        <f t="shared" si="46"/>
        <v>0</v>
      </c>
      <c r="K477" s="69">
        <v>0</v>
      </c>
      <c r="L477" s="120">
        <f t="shared" si="47"/>
        <v>0</v>
      </c>
      <c r="M477" s="69">
        <v>0</v>
      </c>
      <c r="N477" s="315">
        <f t="shared" si="48"/>
        <v>0</v>
      </c>
      <c r="O477" s="69">
        <v>0</v>
      </c>
      <c r="P477" s="121">
        <f t="shared" si="49"/>
        <v>0</v>
      </c>
      <c r="Q477" s="69">
        <v>0</v>
      </c>
      <c r="R477" s="88">
        <f>'Terms and Turnovers'!AE83</f>
        <v>0</v>
      </c>
      <c r="S477" s="161">
        <f t="shared" si="42"/>
        <v>0</v>
      </c>
      <c r="T477" s="120">
        <f>$AF477*U477</f>
        <v>0</v>
      </c>
      <c r="U477" s="69">
        <v>0</v>
      </c>
      <c r="V477" s="120">
        <f>$AF477*W477</f>
        <v>0</v>
      </c>
      <c r="W477" s="69">
        <v>0</v>
      </c>
      <c r="X477" s="120">
        <f>$AF477*Y477</f>
        <v>0</v>
      </c>
      <c r="Y477" s="69">
        <v>0</v>
      </c>
      <c r="Z477" s="120">
        <f>$AF477*AA477</f>
        <v>0</v>
      </c>
      <c r="AA477" s="69">
        <v>0</v>
      </c>
      <c r="AB477" s="315">
        <f>$AF477*AC477</f>
        <v>0</v>
      </c>
      <c r="AC477" s="69">
        <v>0</v>
      </c>
      <c r="AD477" s="120">
        <f>$AF477*AE477</f>
        <v>0</v>
      </c>
      <c r="AE477" s="69">
        <v>0</v>
      </c>
      <c r="AF477" s="88">
        <f>'Terms and Turnovers'!AJ83</f>
        <v>0</v>
      </c>
      <c r="AG477" s="161">
        <f t="shared" si="43"/>
        <v>0</v>
      </c>
      <c r="AH477" s="158">
        <f t="shared" si="44"/>
        <v>0</v>
      </c>
      <c r="AI477" s="134">
        <f t="shared" si="45"/>
        <v>0</v>
      </c>
      <c r="AJ477" s="65"/>
      <c r="AL477" s="461">
        <f>SUM(F477,H477,J477,L477,N477,P477,T477,V477,X477,Z477,AB477,AD477)</f>
        <v>0</v>
      </c>
      <c r="AM477" s="462">
        <f>AL477-AH477</f>
        <v>0</v>
      </c>
      <c r="AV477" s="56"/>
    </row>
    <row r="478" spans="1:48" ht="13.5" customHeight="1" outlineLevel="1" thickBot="1">
      <c r="B478" s="82"/>
      <c r="C478" s="1231"/>
      <c r="D478" s="1231"/>
      <c r="E478" s="84">
        <f>'Terms and Turnovers'!$AN$12</f>
        <v>0</v>
      </c>
      <c r="F478" s="121">
        <f>$R478*G478</f>
        <v>0</v>
      </c>
      <c r="G478" s="723"/>
      <c r="H478" s="121">
        <f>$R478*I478</f>
        <v>0</v>
      </c>
      <c r="I478" s="69">
        <v>0</v>
      </c>
      <c r="J478" s="120">
        <f t="shared" si="46"/>
        <v>0</v>
      </c>
      <c r="K478" s="69">
        <v>0</v>
      </c>
      <c r="L478" s="120">
        <f t="shared" si="47"/>
        <v>0</v>
      </c>
      <c r="M478" s="69">
        <v>0</v>
      </c>
      <c r="N478" s="315">
        <f t="shared" si="48"/>
        <v>0</v>
      </c>
      <c r="O478" s="69">
        <v>0</v>
      </c>
      <c r="P478" s="121">
        <f t="shared" si="49"/>
        <v>0</v>
      </c>
      <c r="Q478" s="69">
        <v>0</v>
      </c>
      <c r="R478" s="88">
        <f>'Terms and Turnovers'!AO83</f>
        <v>0</v>
      </c>
      <c r="S478" s="161">
        <f t="shared" si="42"/>
        <v>0</v>
      </c>
      <c r="T478" s="120">
        <f>$AF478*U478</f>
        <v>0</v>
      </c>
      <c r="U478" s="69">
        <v>0</v>
      </c>
      <c r="V478" s="120">
        <f>$AF478*W478</f>
        <v>0</v>
      </c>
      <c r="W478" s="69">
        <v>0</v>
      </c>
      <c r="X478" s="120">
        <f>$AF478*Y478</f>
        <v>0</v>
      </c>
      <c r="Y478" s="69">
        <v>0</v>
      </c>
      <c r="Z478" s="120">
        <f>$AF478*AA478</f>
        <v>0</v>
      </c>
      <c r="AA478" s="69">
        <v>0</v>
      </c>
      <c r="AB478" s="315">
        <f>$AF478*AC478</f>
        <v>0</v>
      </c>
      <c r="AC478" s="69">
        <v>0</v>
      </c>
      <c r="AD478" s="120">
        <f>$AF478*AE478</f>
        <v>0</v>
      </c>
      <c r="AE478" s="69">
        <v>0</v>
      </c>
      <c r="AF478" s="88">
        <f>'Terms and Turnovers'!AT83</f>
        <v>0</v>
      </c>
      <c r="AG478" s="161">
        <f t="shared" si="43"/>
        <v>0</v>
      </c>
      <c r="AH478" s="158">
        <f t="shared" si="44"/>
        <v>0</v>
      </c>
      <c r="AI478" s="134">
        <f t="shared" si="45"/>
        <v>0</v>
      </c>
      <c r="AJ478" s="65"/>
      <c r="AL478" s="461">
        <f>SUM(F478,H478,J478,L478,N478,P478,T478,V478,X478,Z478,AB478,AD478)</f>
        <v>0</v>
      </c>
      <c r="AM478" s="462">
        <f>AL478-AH478</f>
        <v>0</v>
      </c>
      <c r="AV478" s="56"/>
    </row>
    <row r="479" spans="1:48" ht="13.5" customHeight="1" outlineLevel="1" thickBot="1">
      <c r="B479" s="82"/>
      <c r="C479" s="1232"/>
      <c r="D479" s="1232"/>
      <c r="E479" s="85">
        <f>'Terms and Turnovers'!$AX$12</f>
        <v>0</v>
      </c>
      <c r="F479" s="121">
        <f>$R479*G479</f>
        <v>0</v>
      </c>
      <c r="G479" s="72"/>
      <c r="H479" s="121">
        <f>$R479*I479</f>
        <v>0</v>
      </c>
      <c r="I479" s="69">
        <v>0</v>
      </c>
      <c r="J479" s="121">
        <f t="shared" si="46"/>
        <v>0</v>
      </c>
      <c r="K479" s="69">
        <v>0</v>
      </c>
      <c r="L479" s="121">
        <f t="shared" si="47"/>
        <v>0</v>
      </c>
      <c r="M479" s="69">
        <v>0</v>
      </c>
      <c r="N479" s="316">
        <f t="shared" si="48"/>
        <v>0</v>
      </c>
      <c r="O479" s="69">
        <v>0</v>
      </c>
      <c r="P479" s="121">
        <f t="shared" si="49"/>
        <v>0</v>
      </c>
      <c r="Q479" s="69">
        <v>0</v>
      </c>
      <c r="R479" s="89">
        <f>'Terms and Turnovers'!AY83</f>
        <v>0</v>
      </c>
      <c r="S479" s="162">
        <f t="shared" si="42"/>
        <v>0</v>
      </c>
      <c r="T479" s="121">
        <f>$AF479*U479</f>
        <v>0</v>
      </c>
      <c r="U479" s="69">
        <v>0</v>
      </c>
      <c r="V479" s="121">
        <f>$AF479*W479</f>
        <v>0</v>
      </c>
      <c r="W479" s="69">
        <v>0</v>
      </c>
      <c r="X479" s="121">
        <f>$AF479*Y479</f>
        <v>0</v>
      </c>
      <c r="Y479" s="69">
        <v>0</v>
      </c>
      <c r="Z479" s="121">
        <f>$AF479*AA479</f>
        <v>0</v>
      </c>
      <c r="AA479" s="69">
        <v>0</v>
      </c>
      <c r="AB479" s="316">
        <f>$AF479*AC479</f>
        <v>0</v>
      </c>
      <c r="AC479" s="69">
        <v>0</v>
      </c>
      <c r="AD479" s="121">
        <f>$AF479*AE479</f>
        <v>0</v>
      </c>
      <c r="AE479" s="69">
        <v>0</v>
      </c>
      <c r="AF479" s="89">
        <f>'Terms and Turnovers'!BD83</f>
        <v>0</v>
      </c>
      <c r="AG479" s="162">
        <f t="shared" si="43"/>
        <v>0</v>
      </c>
      <c r="AH479" s="159">
        <f t="shared" si="44"/>
        <v>0</v>
      </c>
      <c r="AI479" s="137">
        <f t="shared" si="45"/>
        <v>0</v>
      </c>
      <c r="AJ479" s="65"/>
      <c r="AL479" s="461">
        <f>SUM(F479,H479,J479,L479,N479,P479,T479,V479,X479,Z479,AB479,AD479)</f>
        <v>0</v>
      </c>
      <c r="AM479" s="462">
        <f>AL479-AH479</f>
        <v>0</v>
      </c>
      <c r="AV479" s="56"/>
    </row>
    <row r="480" spans="1:48" ht="13.5" customHeight="1" outlineLevel="1" thickBot="1">
      <c r="A480" s="119"/>
      <c r="B480" s="82"/>
      <c r="C480" s="425"/>
      <c r="D480" s="425"/>
      <c r="E480" s="426"/>
      <c r="F480" s="427">
        <f>SUM(F475:F479)</f>
        <v>0</v>
      </c>
      <c r="G480" s="428"/>
      <c r="H480" s="427">
        <f>SUM(H475:H479)</f>
        <v>0</v>
      </c>
      <c r="I480" s="69"/>
      <c r="J480" s="427">
        <f>SUM(J475:J479)</f>
        <v>0</v>
      </c>
      <c r="K480" s="69"/>
      <c r="L480" s="427">
        <f>SUM(L475:L479)</f>
        <v>0</v>
      </c>
      <c r="M480" s="69"/>
      <c r="N480" s="427">
        <f>SUM(N475:N479)</f>
        <v>0</v>
      </c>
      <c r="O480" s="69"/>
      <c r="P480" s="427">
        <f>SUM(P475:P479)</f>
        <v>0</v>
      </c>
      <c r="Q480" s="69"/>
      <c r="R480" s="429"/>
      <c r="S480" s="430"/>
      <c r="T480" s="427">
        <f>SUM(T475:T479)</f>
        <v>0</v>
      </c>
      <c r="U480" s="428"/>
      <c r="V480" s="427">
        <f>SUM(V475:V479)</f>
        <v>0</v>
      </c>
      <c r="W480" s="69"/>
      <c r="X480" s="427">
        <f>SUM(X475:X479)</f>
        <v>0</v>
      </c>
      <c r="Y480" s="69"/>
      <c r="Z480" s="427">
        <f>SUM(Z475:Z479)</f>
        <v>0</v>
      </c>
      <c r="AA480" s="69"/>
      <c r="AB480" s="427">
        <f>SUM(AB475:AB479)</f>
        <v>0</v>
      </c>
      <c r="AC480" s="69"/>
      <c r="AD480" s="427">
        <f>SUM(AD475:AD479)</f>
        <v>0</v>
      </c>
      <c r="AE480" s="69"/>
      <c r="AF480" s="429"/>
      <c r="AG480" s="430"/>
      <c r="AH480" s="431"/>
      <c r="AI480" s="432"/>
      <c r="AJ480" s="65"/>
      <c r="AV480" s="56"/>
    </row>
    <row r="481" spans="1:48" ht="13.5" customHeight="1" outlineLevel="1" thickBot="1">
      <c r="A481" s="119"/>
      <c r="B481" s="82"/>
      <c r="C481" s="1098" t="s">
        <v>484</v>
      </c>
      <c r="D481" s="433"/>
      <c r="E481" s="426"/>
      <c r="F481" s="700"/>
      <c r="G481" s="428"/>
      <c r="H481" s="700"/>
      <c r="I481" s="69"/>
      <c r="J481" s="700"/>
      <c r="K481" s="69"/>
      <c r="L481" s="700"/>
      <c r="M481" s="69"/>
      <c r="N481" s="700"/>
      <c r="O481" s="69"/>
      <c r="P481" s="700"/>
      <c r="Q481" s="69"/>
      <c r="R481" s="429"/>
      <c r="S481" s="430"/>
      <c r="T481" s="700"/>
      <c r="U481" s="428"/>
      <c r="V481" s="700"/>
      <c r="W481" s="69"/>
      <c r="X481" s="700"/>
      <c r="Y481" s="69"/>
      <c r="Z481" s="700"/>
      <c r="AA481" s="69"/>
      <c r="AB481" s="700"/>
      <c r="AC481" s="69"/>
      <c r="AD481" s="700"/>
      <c r="AE481" s="69"/>
      <c r="AF481" s="429"/>
      <c r="AG481" s="430"/>
      <c r="AH481" s="431"/>
      <c r="AI481" s="432"/>
      <c r="AJ481" s="65"/>
      <c r="AV481" s="56"/>
    </row>
    <row r="482" spans="1:48" ht="13.5" customHeight="1" outlineLevel="1" thickBot="1">
      <c r="B482" s="82">
        <f>B475+1</f>
        <v>69</v>
      </c>
      <c r="C482" s="1230">
        <f>'Terms and Turnovers'!C84</f>
        <v>0</v>
      </c>
      <c r="D482" s="1230">
        <f>'Terms and Turnovers'!D84</f>
        <v>0</v>
      </c>
      <c r="E482" s="83" t="str">
        <f>'Terms and Turnovers'!$J$12</f>
        <v>FLIP-FLOPS</v>
      </c>
      <c r="F482" s="118">
        <f>$R482*G482</f>
        <v>0</v>
      </c>
      <c r="G482" s="69"/>
      <c r="H482" s="314">
        <f>$R482*I482</f>
        <v>0</v>
      </c>
      <c r="I482" s="69">
        <v>0</v>
      </c>
      <c r="J482" s="118">
        <f>$R482*K482</f>
        <v>0</v>
      </c>
      <c r="K482" s="69">
        <v>0</v>
      </c>
      <c r="L482" s="314">
        <f>$R482*M482</f>
        <v>0</v>
      </c>
      <c r="M482" s="69">
        <v>0</v>
      </c>
      <c r="N482" s="314">
        <f>$R482*O482</f>
        <v>0</v>
      </c>
      <c r="O482" s="69">
        <v>0</v>
      </c>
      <c r="P482" s="118">
        <f>$R482*Q482</f>
        <v>0</v>
      </c>
      <c r="Q482" s="69">
        <v>0</v>
      </c>
      <c r="R482" s="87">
        <f>'Terms and Turnovers'!K84</f>
        <v>0</v>
      </c>
      <c r="S482" s="160">
        <f t="shared" si="42"/>
        <v>0</v>
      </c>
      <c r="T482" s="118">
        <f>$AF482*U482</f>
        <v>0</v>
      </c>
      <c r="U482" s="69">
        <v>0</v>
      </c>
      <c r="V482" s="314">
        <f>$AF482*W482</f>
        <v>0</v>
      </c>
      <c r="W482" s="69">
        <v>0</v>
      </c>
      <c r="X482" s="118">
        <f>$AF482*Y482</f>
        <v>0</v>
      </c>
      <c r="Y482" s="69">
        <v>0</v>
      </c>
      <c r="Z482" s="314">
        <f>$AF482*AA482</f>
        <v>0</v>
      </c>
      <c r="AA482" s="69">
        <v>0</v>
      </c>
      <c r="AB482" s="314">
        <f>$AF482*AC482</f>
        <v>0</v>
      </c>
      <c r="AC482" s="69">
        <v>0</v>
      </c>
      <c r="AD482" s="118">
        <f>$AF482*AE482</f>
        <v>0</v>
      </c>
      <c r="AE482" s="69">
        <v>0</v>
      </c>
      <c r="AF482" s="87">
        <f>'Terms and Turnovers'!P84</f>
        <v>0</v>
      </c>
      <c r="AG482" s="160">
        <f t="shared" si="43"/>
        <v>0</v>
      </c>
      <c r="AH482" s="157">
        <f t="shared" si="44"/>
        <v>0</v>
      </c>
      <c r="AI482" s="131">
        <f t="shared" si="45"/>
        <v>0</v>
      </c>
      <c r="AJ482" s="65"/>
      <c r="AL482" s="461">
        <f>SUM(F482,H482,J482,L482,N482,P482,T482,V482,X482,Z482,AB482,AD482)</f>
        <v>0</v>
      </c>
      <c r="AM482" s="462">
        <f>AL482-AH482</f>
        <v>0</v>
      </c>
      <c r="AV482" s="56"/>
    </row>
    <row r="483" spans="1:48" ht="13.5" customHeight="1" outlineLevel="1" thickBot="1">
      <c r="B483" s="82"/>
      <c r="C483" s="1231"/>
      <c r="D483" s="1231"/>
      <c r="E483" s="84" t="str">
        <f>'Terms and Turnovers'!$T$12</f>
        <v>ORIGINALS</v>
      </c>
      <c r="F483" s="120">
        <f>$R483*G483</f>
        <v>0</v>
      </c>
      <c r="G483" s="723"/>
      <c r="H483" s="120">
        <f>$R483*I483</f>
        <v>0</v>
      </c>
      <c r="I483" s="69">
        <v>0</v>
      </c>
      <c r="J483" s="120">
        <f>$R483*K483</f>
        <v>0</v>
      </c>
      <c r="K483" s="69">
        <v>0</v>
      </c>
      <c r="L483" s="120">
        <f>$R483*M483</f>
        <v>0</v>
      </c>
      <c r="M483" s="69">
        <v>0</v>
      </c>
      <c r="N483" s="315">
        <f>$R483*O483</f>
        <v>0</v>
      </c>
      <c r="O483" s="69">
        <v>0</v>
      </c>
      <c r="P483" s="120">
        <f>$R483*Q483</f>
        <v>0</v>
      </c>
      <c r="Q483" s="69">
        <v>0</v>
      </c>
      <c r="R483" s="88">
        <f>'Terms and Turnovers'!U84</f>
        <v>0</v>
      </c>
      <c r="S483" s="161">
        <f t="shared" si="42"/>
        <v>0</v>
      </c>
      <c r="T483" s="120">
        <f>$AF483*U483</f>
        <v>0</v>
      </c>
      <c r="U483" s="69">
        <v>0</v>
      </c>
      <c r="V483" s="120">
        <f>$AF483*W483</f>
        <v>0</v>
      </c>
      <c r="W483" s="69">
        <v>0</v>
      </c>
      <c r="X483" s="120">
        <f>$AF483*Y483</f>
        <v>0</v>
      </c>
      <c r="Y483" s="69">
        <v>0</v>
      </c>
      <c r="Z483" s="120">
        <f>$AF483*AA483</f>
        <v>0</v>
      </c>
      <c r="AA483" s="69">
        <v>0</v>
      </c>
      <c r="AB483" s="315">
        <f>$AF483*AC483</f>
        <v>0</v>
      </c>
      <c r="AC483" s="69">
        <v>0</v>
      </c>
      <c r="AD483" s="120">
        <f>$AF483*AE483</f>
        <v>0</v>
      </c>
      <c r="AE483" s="69">
        <v>0</v>
      </c>
      <c r="AF483" s="88">
        <f>'Terms and Turnovers'!Z84</f>
        <v>0</v>
      </c>
      <c r="AG483" s="161">
        <f t="shared" si="43"/>
        <v>0</v>
      </c>
      <c r="AH483" s="158">
        <f t="shared" si="44"/>
        <v>0</v>
      </c>
      <c r="AI483" s="134">
        <f t="shared" si="45"/>
        <v>0</v>
      </c>
      <c r="AJ483" s="65"/>
      <c r="AL483" s="461">
        <f>SUM(F483,H483,J483,L483,N483,P483,T483,V483,X483,Z483,AB483,AD483)</f>
        <v>0</v>
      </c>
      <c r="AM483" s="462">
        <f>AL483-AH483</f>
        <v>0</v>
      </c>
      <c r="AV483" s="56"/>
    </row>
    <row r="484" spans="1:48" ht="13.5" customHeight="1" outlineLevel="1" thickBot="1">
      <c r="B484" s="82"/>
      <c r="C484" s="1231"/>
      <c r="D484" s="1231"/>
      <c r="E484" s="84" t="str">
        <f>'Terms and Turnovers'!$AD$12</f>
        <v>ACCESSORIES</v>
      </c>
      <c r="F484" s="120">
        <f>$R484*G484</f>
        <v>0</v>
      </c>
      <c r="G484" s="723"/>
      <c r="H484" s="120">
        <f>$R484*I484</f>
        <v>0</v>
      </c>
      <c r="I484" s="69">
        <v>0</v>
      </c>
      <c r="J484" s="120">
        <f>$R484*K484</f>
        <v>0</v>
      </c>
      <c r="K484" s="69">
        <v>0</v>
      </c>
      <c r="L484" s="120">
        <f>$R484*M484</f>
        <v>0</v>
      </c>
      <c r="M484" s="69">
        <v>0</v>
      </c>
      <c r="N484" s="315">
        <f>$R484*O484</f>
        <v>0</v>
      </c>
      <c r="O484" s="69">
        <v>0</v>
      </c>
      <c r="P484" s="120">
        <f>$R484*Q484</f>
        <v>0</v>
      </c>
      <c r="Q484" s="69">
        <v>0</v>
      </c>
      <c r="R484" s="88">
        <f>'Terms and Turnovers'!AE84</f>
        <v>0</v>
      </c>
      <c r="S484" s="161">
        <f t="shared" si="42"/>
        <v>0</v>
      </c>
      <c r="T484" s="120">
        <f>$AF484*U484</f>
        <v>0</v>
      </c>
      <c r="U484" s="69">
        <v>0</v>
      </c>
      <c r="V484" s="120">
        <f>$AF484*W484</f>
        <v>0</v>
      </c>
      <c r="W484" s="69">
        <v>0</v>
      </c>
      <c r="X484" s="120">
        <f>$AF484*Y484</f>
        <v>0</v>
      </c>
      <c r="Y484" s="69">
        <v>0</v>
      </c>
      <c r="Z484" s="120">
        <f>$AF484*AA484</f>
        <v>0</v>
      </c>
      <c r="AA484" s="69">
        <v>0</v>
      </c>
      <c r="AB484" s="315">
        <f>$AF484*AC484</f>
        <v>0</v>
      </c>
      <c r="AC484" s="69">
        <v>0</v>
      </c>
      <c r="AD484" s="120">
        <f>$AF484*AE484</f>
        <v>0</v>
      </c>
      <c r="AE484" s="69">
        <v>0</v>
      </c>
      <c r="AF484" s="88">
        <f>'Terms and Turnovers'!AJ84</f>
        <v>0</v>
      </c>
      <c r="AG484" s="161">
        <f t="shared" si="43"/>
        <v>0</v>
      </c>
      <c r="AH484" s="158">
        <f t="shared" si="44"/>
        <v>0</v>
      </c>
      <c r="AI484" s="134">
        <f t="shared" si="45"/>
        <v>0</v>
      </c>
      <c r="AJ484" s="65"/>
      <c r="AL484" s="461">
        <f>SUM(F484,H484,J484,L484,N484,P484,T484,V484,X484,Z484,AB484,AD484)</f>
        <v>0</v>
      </c>
      <c r="AM484" s="462">
        <f>AL484-AH484</f>
        <v>0</v>
      </c>
      <c r="AV484" s="56"/>
    </row>
    <row r="485" spans="1:48" ht="13.5" customHeight="1" outlineLevel="1" thickBot="1">
      <c r="B485" s="82"/>
      <c r="C485" s="1231"/>
      <c r="D485" s="1231"/>
      <c r="E485" s="84">
        <f>'Terms and Turnovers'!$AN$12</f>
        <v>0</v>
      </c>
      <c r="F485" s="120">
        <f>$R485*G485</f>
        <v>0</v>
      </c>
      <c r="G485" s="723"/>
      <c r="H485" s="120">
        <f>$R485*I485</f>
        <v>0</v>
      </c>
      <c r="I485" s="69">
        <v>0</v>
      </c>
      <c r="J485" s="120">
        <f>$R485*K485</f>
        <v>0</v>
      </c>
      <c r="K485" s="69">
        <v>0</v>
      </c>
      <c r="L485" s="120">
        <f>$R485*M485</f>
        <v>0</v>
      </c>
      <c r="M485" s="69">
        <v>0</v>
      </c>
      <c r="N485" s="315">
        <f>$R485*O485</f>
        <v>0</v>
      </c>
      <c r="O485" s="69">
        <v>0</v>
      </c>
      <c r="P485" s="120">
        <f>$R485*Q485</f>
        <v>0</v>
      </c>
      <c r="Q485" s="69">
        <v>0</v>
      </c>
      <c r="R485" s="88">
        <f>'Terms and Turnovers'!AO84</f>
        <v>0</v>
      </c>
      <c r="S485" s="161">
        <f t="shared" si="42"/>
        <v>0</v>
      </c>
      <c r="T485" s="120">
        <f>$AF485*U485</f>
        <v>0</v>
      </c>
      <c r="U485" s="69">
        <v>0</v>
      </c>
      <c r="V485" s="120">
        <f>$AF485*W485</f>
        <v>0</v>
      </c>
      <c r="W485" s="69">
        <v>0</v>
      </c>
      <c r="X485" s="120">
        <f>$AF485*Y485</f>
        <v>0</v>
      </c>
      <c r="Y485" s="69">
        <v>0</v>
      </c>
      <c r="Z485" s="120">
        <f>$AF485*AA485</f>
        <v>0</v>
      </c>
      <c r="AA485" s="69">
        <v>0</v>
      </c>
      <c r="AB485" s="315">
        <f>$AF485*AC485</f>
        <v>0</v>
      </c>
      <c r="AC485" s="69">
        <v>0</v>
      </c>
      <c r="AD485" s="120">
        <f>$AF485*AE485</f>
        <v>0</v>
      </c>
      <c r="AE485" s="69">
        <v>0</v>
      </c>
      <c r="AF485" s="88">
        <f>'Terms and Turnovers'!AT84</f>
        <v>0</v>
      </c>
      <c r="AG485" s="161">
        <f t="shared" si="43"/>
        <v>0</v>
      </c>
      <c r="AH485" s="158">
        <f t="shared" si="44"/>
        <v>0</v>
      </c>
      <c r="AI485" s="134">
        <f t="shared" si="45"/>
        <v>0</v>
      </c>
      <c r="AJ485" s="65"/>
      <c r="AL485" s="461">
        <f>SUM(F485,H485,J485,L485,N485,P485,T485,V485,X485,Z485,AB485,AD485)</f>
        <v>0</v>
      </c>
      <c r="AM485" s="462">
        <f>AL485-AH485</f>
        <v>0</v>
      </c>
      <c r="AV485" s="56"/>
    </row>
    <row r="486" spans="1:48" ht="13.5" customHeight="1" outlineLevel="1" thickBot="1">
      <c r="B486" s="82"/>
      <c r="C486" s="1232"/>
      <c r="D486" s="1232"/>
      <c r="E486" s="85">
        <f>'Terms and Turnovers'!$AX$12</f>
        <v>0</v>
      </c>
      <c r="F486" s="121">
        <f>$R486*G486</f>
        <v>0</v>
      </c>
      <c r="G486" s="72"/>
      <c r="H486" s="121">
        <f>$R486*I486</f>
        <v>0</v>
      </c>
      <c r="I486" s="69">
        <v>0</v>
      </c>
      <c r="J486" s="121">
        <f>$R486*K486</f>
        <v>0</v>
      </c>
      <c r="K486" s="69">
        <v>0</v>
      </c>
      <c r="L486" s="121">
        <f>$R486*M486</f>
        <v>0</v>
      </c>
      <c r="M486" s="69">
        <v>0</v>
      </c>
      <c r="N486" s="316">
        <f>$R486*O486</f>
        <v>0</v>
      </c>
      <c r="O486" s="69">
        <v>0</v>
      </c>
      <c r="P486" s="121">
        <f>$R486*Q486</f>
        <v>0</v>
      </c>
      <c r="Q486" s="69">
        <v>0</v>
      </c>
      <c r="R486" s="89">
        <f>'Terms and Turnovers'!AY84</f>
        <v>0</v>
      </c>
      <c r="S486" s="162">
        <f t="shared" si="42"/>
        <v>0</v>
      </c>
      <c r="T486" s="121">
        <f>$AF486*U486</f>
        <v>0</v>
      </c>
      <c r="U486" s="69">
        <v>0</v>
      </c>
      <c r="V486" s="121">
        <f>$AF486*W486</f>
        <v>0</v>
      </c>
      <c r="W486" s="69">
        <v>0</v>
      </c>
      <c r="X486" s="121">
        <f>$AF486*Y486</f>
        <v>0</v>
      </c>
      <c r="Y486" s="69">
        <v>0</v>
      </c>
      <c r="Z486" s="121">
        <f>$AF486*AA486</f>
        <v>0</v>
      </c>
      <c r="AA486" s="69">
        <v>0</v>
      </c>
      <c r="AB486" s="316">
        <f>$AF486*AC486</f>
        <v>0</v>
      </c>
      <c r="AC486" s="69">
        <v>0</v>
      </c>
      <c r="AD486" s="121">
        <f>$AF486*AE486</f>
        <v>0</v>
      </c>
      <c r="AE486" s="69">
        <v>0</v>
      </c>
      <c r="AF486" s="89">
        <f>'Terms and Turnovers'!BD84</f>
        <v>0</v>
      </c>
      <c r="AG486" s="162">
        <f t="shared" si="43"/>
        <v>0</v>
      </c>
      <c r="AH486" s="159">
        <f t="shared" si="44"/>
        <v>0</v>
      </c>
      <c r="AI486" s="137">
        <f t="shared" si="45"/>
        <v>0</v>
      </c>
      <c r="AJ486" s="65"/>
      <c r="AL486" s="461">
        <f>SUM(F486,H486,J486,L486,N486,P486,T486,V486,X486,Z486,AB486,AD486)</f>
        <v>0</v>
      </c>
      <c r="AM486" s="462">
        <f>AL486-AH486</f>
        <v>0</v>
      </c>
      <c r="AV486" s="56"/>
    </row>
    <row r="487" spans="1:48" ht="13.5" customHeight="1" outlineLevel="1" thickBot="1">
      <c r="A487" s="119"/>
      <c r="B487" s="82"/>
      <c r="C487" s="425"/>
      <c r="D487" s="425"/>
      <c r="E487" s="426"/>
      <c r="F487" s="427">
        <f>SUM(F482:F486)</f>
        <v>0</v>
      </c>
      <c r="G487" s="428"/>
      <c r="H487" s="427">
        <f>SUM(H482:H486)</f>
        <v>0</v>
      </c>
      <c r="I487" s="69"/>
      <c r="J487" s="427">
        <f>SUM(J482:J486)</f>
        <v>0</v>
      </c>
      <c r="K487" s="69"/>
      <c r="L487" s="427">
        <f>SUM(L482:L486)</f>
        <v>0</v>
      </c>
      <c r="M487" s="69"/>
      <c r="N487" s="427">
        <f>SUM(N482:N486)</f>
        <v>0</v>
      </c>
      <c r="O487" s="69"/>
      <c r="P487" s="427">
        <f>SUM(P482:P486)</f>
        <v>0</v>
      </c>
      <c r="Q487" s="69"/>
      <c r="R487" s="429"/>
      <c r="S487" s="430"/>
      <c r="T487" s="427">
        <f>SUM(T482:T486)</f>
        <v>0</v>
      </c>
      <c r="U487" s="428"/>
      <c r="V487" s="427">
        <f>SUM(V482:V486)</f>
        <v>0</v>
      </c>
      <c r="W487" s="69"/>
      <c r="X487" s="427">
        <f>SUM(X482:X486)</f>
        <v>0</v>
      </c>
      <c r="Y487" s="69"/>
      <c r="Z487" s="427">
        <f>SUM(Z482:Z486)</f>
        <v>0</v>
      </c>
      <c r="AA487" s="69"/>
      <c r="AB487" s="427">
        <f>SUM(AB482:AB486)</f>
        <v>0</v>
      </c>
      <c r="AC487" s="69"/>
      <c r="AD487" s="427">
        <f>SUM(AD482:AD486)</f>
        <v>0</v>
      </c>
      <c r="AE487" s="69"/>
      <c r="AF487" s="429"/>
      <c r="AG487" s="430"/>
      <c r="AH487" s="431"/>
      <c r="AI487" s="432"/>
      <c r="AJ487" s="65"/>
      <c r="AV487" s="56"/>
    </row>
    <row r="488" spans="1:48" ht="13.5" customHeight="1" outlineLevel="1" thickBot="1">
      <c r="A488" s="119"/>
      <c r="B488" s="82"/>
      <c r="C488" s="1098" t="s">
        <v>484</v>
      </c>
      <c r="D488" s="433"/>
      <c r="E488" s="426"/>
      <c r="F488" s="700"/>
      <c r="G488" s="428"/>
      <c r="H488" s="700"/>
      <c r="I488" s="69"/>
      <c r="J488" s="700"/>
      <c r="K488" s="69"/>
      <c r="L488" s="700"/>
      <c r="M488" s="69"/>
      <c r="N488" s="700"/>
      <c r="O488" s="69"/>
      <c r="P488" s="700"/>
      <c r="Q488" s="69"/>
      <c r="R488" s="429"/>
      <c r="S488" s="430"/>
      <c r="T488" s="700"/>
      <c r="U488" s="428"/>
      <c r="V488" s="700"/>
      <c r="W488" s="69"/>
      <c r="X488" s="700"/>
      <c r="Y488" s="69"/>
      <c r="Z488" s="700"/>
      <c r="AA488" s="69"/>
      <c r="AB488" s="700"/>
      <c r="AC488" s="69"/>
      <c r="AD488" s="700"/>
      <c r="AE488" s="69"/>
      <c r="AF488" s="429"/>
      <c r="AG488" s="430"/>
      <c r="AH488" s="431"/>
      <c r="AI488" s="432"/>
      <c r="AJ488" s="65"/>
      <c r="AV488" s="56"/>
    </row>
    <row r="489" spans="1:48" ht="13.5" customHeight="1" outlineLevel="1" thickBot="1">
      <c r="B489" s="82">
        <f>B482+1</f>
        <v>70</v>
      </c>
      <c r="C489" s="1230">
        <f>'Terms and Turnovers'!C85</f>
        <v>0</v>
      </c>
      <c r="D489" s="1230">
        <f>'Terms and Turnovers'!D85</f>
        <v>0</v>
      </c>
      <c r="E489" s="83" t="str">
        <f>'Terms and Turnovers'!$J$12</f>
        <v>FLIP-FLOPS</v>
      </c>
      <c r="F489" s="121">
        <f>$R489*G489</f>
        <v>0</v>
      </c>
      <c r="G489" s="69"/>
      <c r="H489" s="316">
        <f>$R489*I489</f>
        <v>0</v>
      </c>
      <c r="I489" s="69">
        <v>0</v>
      </c>
      <c r="J489" s="118">
        <f t="shared" si="46"/>
        <v>0</v>
      </c>
      <c r="K489" s="69">
        <v>0</v>
      </c>
      <c r="L489" s="314">
        <f t="shared" si="47"/>
        <v>0</v>
      </c>
      <c r="M489" s="69">
        <v>0</v>
      </c>
      <c r="N489" s="314">
        <f t="shared" si="48"/>
        <v>0</v>
      </c>
      <c r="O489" s="69">
        <v>0</v>
      </c>
      <c r="P489" s="121">
        <f t="shared" si="49"/>
        <v>0</v>
      </c>
      <c r="Q489" s="69">
        <v>0</v>
      </c>
      <c r="R489" s="87">
        <f>'Terms and Turnovers'!K85</f>
        <v>0</v>
      </c>
      <c r="S489" s="160">
        <f t="shared" si="42"/>
        <v>0</v>
      </c>
      <c r="T489" s="121">
        <f t="shared" ref="T489:T500" si="50">$AF489*U489</f>
        <v>0</v>
      </c>
      <c r="U489" s="69">
        <v>0</v>
      </c>
      <c r="V489" s="316">
        <f t="shared" ref="V489:V528" si="51">$AF489*W489</f>
        <v>0</v>
      </c>
      <c r="W489" s="69">
        <v>0</v>
      </c>
      <c r="X489" s="118">
        <f t="shared" ref="X489:X552" si="52">$AF489*Y489</f>
        <v>0</v>
      </c>
      <c r="Y489" s="69">
        <v>0</v>
      </c>
      <c r="Z489" s="314">
        <f t="shared" ref="Z489:Z552" si="53">$AF489*AA489</f>
        <v>0</v>
      </c>
      <c r="AA489" s="69">
        <v>0</v>
      </c>
      <c r="AB489" s="314">
        <f t="shared" ref="AB489:AB552" si="54">$AF489*AC489</f>
        <v>0</v>
      </c>
      <c r="AC489" s="69">
        <v>0</v>
      </c>
      <c r="AD489" s="121">
        <f t="shared" ref="AD489:AD552" si="55">$AF489*AE489</f>
        <v>0</v>
      </c>
      <c r="AE489" s="69">
        <v>0</v>
      </c>
      <c r="AF489" s="87">
        <f>'Terms and Turnovers'!P85</f>
        <v>0</v>
      </c>
      <c r="AG489" s="160">
        <f t="shared" si="43"/>
        <v>0</v>
      </c>
      <c r="AH489" s="157">
        <f t="shared" si="44"/>
        <v>0</v>
      </c>
      <c r="AI489" s="131">
        <f t="shared" si="45"/>
        <v>0</v>
      </c>
      <c r="AJ489" s="65"/>
      <c r="AL489" s="461">
        <f>SUM(F489,H489,J489,L489,N489,P489,T489,V489,X489,Z489,AB489,AD489)</f>
        <v>0</v>
      </c>
      <c r="AM489" s="462">
        <f>AL489-AH489</f>
        <v>0</v>
      </c>
      <c r="AV489" s="56"/>
    </row>
    <row r="490" spans="1:48" ht="13.5" customHeight="1" outlineLevel="1" thickBot="1">
      <c r="B490" s="82"/>
      <c r="C490" s="1231"/>
      <c r="D490" s="1231"/>
      <c r="E490" s="84" t="str">
        <f>'Terms and Turnovers'!$T$12</f>
        <v>ORIGINALS</v>
      </c>
      <c r="F490" s="121">
        <f>$R490*G490</f>
        <v>0</v>
      </c>
      <c r="G490" s="723"/>
      <c r="H490" s="121">
        <f>$R490*I490</f>
        <v>0</v>
      </c>
      <c r="I490" s="69">
        <v>0</v>
      </c>
      <c r="J490" s="120">
        <f t="shared" si="46"/>
        <v>0</v>
      </c>
      <c r="K490" s="69">
        <v>0</v>
      </c>
      <c r="L490" s="120">
        <f t="shared" si="47"/>
        <v>0</v>
      </c>
      <c r="M490" s="69">
        <v>0</v>
      </c>
      <c r="N490" s="315">
        <f t="shared" si="48"/>
        <v>0</v>
      </c>
      <c r="O490" s="69">
        <v>0</v>
      </c>
      <c r="P490" s="121">
        <f t="shared" si="49"/>
        <v>0</v>
      </c>
      <c r="Q490" s="69">
        <v>0</v>
      </c>
      <c r="R490" s="88">
        <f>'Terms and Turnovers'!U85</f>
        <v>0</v>
      </c>
      <c r="S490" s="161">
        <f t="shared" si="42"/>
        <v>0</v>
      </c>
      <c r="T490" s="121">
        <f t="shared" si="50"/>
        <v>0</v>
      </c>
      <c r="U490" s="69">
        <v>0</v>
      </c>
      <c r="V490" s="121">
        <f t="shared" si="51"/>
        <v>0</v>
      </c>
      <c r="W490" s="69">
        <v>0</v>
      </c>
      <c r="X490" s="120">
        <f t="shared" si="52"/>
        <v>0</v>
      </c>
      <c r="Y490" s="69">
        <v>0</v>
      </c>
      <c r="Z490" s="120">
        <f t="shared" si="53"/>
        <v>0</v>
      </c>
      <c r="AA490" s="69">
        <v>0</v>
      </c>
      <c r="AB490" s="315">
        <f t="shared" si="54"/>
        <v>0</v>
      </c>
      <c r="AC490" s="69">
        <v>0</v>
      </c>
      <c r="AD490" s="121">
        <f t="shared" si="55"/>
        <v>0</v>
      </c>
      <c r="AE490" s="69">
        <v>0</v>
      </c>
      <c r="AF490" s="88">
        <f>'Terms and Turnovers'!Z85</f>
        <v>0</v>
      </c>
      <c r="AG490" s="161">
        <f t="shared" si="43"/>
        <v>0</v>
      </c>
      <c r="AH490" s="158">
        <f t="shared" si="44"/>
        <v>0</v>
      </c>
      <c r="AI490" s="134">
        <f t="shared" si="45"/>
        <v>0</v>
      </c>
      <c r="AJ490" s="65"/>
      <c r="AL490" s="461">
        <f>SUM(F490,H490,J490,L490,N490,P490,T490,V490,X490,Z490,AB490,AD490)</f>
        <v>0</v>
      </c>
      <c r="AM490" s="462">
        <f>AL490-AH490</f>
        <v>0</v>
      </c>
      <c r="AV490" s="56"/>
    </row>
    <row r="491" spans="1:48" ht="13.5" customHeight="1" outlineLevel="1" thickBot="1">
      <c r="B491" s="82"/>
      <c r="C491" s="1231"/>
      <c r="D491" s="1231"/>
      <c r="E491" s="84" t="str">
        <f>'Terms and Turnovers'!$AD$12</f>
        <v>ACCESSORIES</v>
      </c>
      <c r="F491" s="121">
        <f>$R491*G491</f>
        <v>0</v>
      </c>
      <c r="G491" s="723"/>
      <c r="H491" s="121">
        <f>$R491*I491</f>
        <v>0</v>
      </c>
      <c r="I491" s="69">
        <v>0</v>
      </c>
      <c r="J491" s="120">
        <f t="shared" si="46"/>
        <v>0</v>
      </c>
      <c r="K491" s="69">
        <v>0</v>
      </c>
      <c r="L491" s="120">
        <f t="shared" si="47"/>
        <v>0</v>
      </c>
      <c r="M491" s="69">
        <v>0</v>
      </c>
      <c r="N491" s="315">
        <f t="shared" si="48"/>
        <v>0</v>
      </c>
      <c r="O491" s="69">
        <v>0</v>
      </c>
      <c r="P491" s="121">
        <f t="shared" si="49"/>
        <v>0</v>
      </c>
      <c r="Q491" s="69">
        <v>0</v>
      </c>
      <c r="R491" s="88">
        <f>'Terms and Turnovers'!AE85</f>
        <v>0</v>
      </c>
      <c r="S491" s="161">
        <f t="shared" si="42"/>
        <v>0</v>
      </c>
      <c r="T491" s="121">
        <f t="shared" si="50"/>
        <v>0</v>
      </c>
      <c r="U491" s="69">
        <v>0</v>
      </c>
      <c r="V491" s="121">
        <f t="shared" si="51"/>
        <v>0</v>
      </c>
      <c r="W491" s="69">
        <v>0</v>
      </c>
      <c r="X491" s="120">
        <f t="shared" si="52"/>
        <v>0</v>
      </c>
      <c r="Y491" s="69">
        <v>0</v>
      </c>
      <c r="Z491" s="120">
        <f t="shared" si="53"/>
        <v>0</v>
      </c>
      <c r="AA491" s="69">
        <v>0</v>
      </c>
      <c r="AB491" s="315">
        <f t="shared" si="54"/>
        <v>0</v>
      </c>
      <c r="AC491" s="69">
        <v>0</v>
      </c>
      <c r="AD491" s="121">
        <f t="shared" si="55"/>
        <v>0</v>
      </c>
      <c r="AE491" s="69">
        <v>0</v>
      </c>
      <c r="AF491" s="88">
        <f>'Terms and Turnovers'!AJ85</f>
        <v>0</v>
      </c>
      <c r="AG491" s="161">
        <f t="shared" si="43"/>
        <v>0</v>
      </c>
      <c r="AH491" s="158">
        <f t="shared" si="44"/>
        <v>0</v>
      </c>
      <c r="AI491" s="134">
        <f t="shared" si="45"/>
        <v>0</v>
      </c>
      <c r="AJ491" s="65"/>
      <c r="AL491" s="461">
        <f>SUM(F491,H491,J491,L491,N491,P491,T491,V491,X491,Z491,AB491,AD491)</f>
        <v>0</v>
      </c>
      <c r="AM491" s="462">
        <f>AL491-AH491</f>
        <v>0</v>
      </c>
      <c r="AV491" s="56"/>
    </row>
    <row r="492" spans="1:48" ht="13.5" customHeight="1" outlineLevel="1" thickBot="1">
      <c r="B492" s="82"/>
      <c r="C492" s="1231"/>
      <c r="D492" s="1231"/>
      <c r="E492" s="84">
        <f>'Terms and Turnovers'!$AN$12</f>
        <v>0</v>
      </c>
      <c r="F492" s="121">
        <f>$R492*G492</f>
        <v>0</v>
      </c>
      <c r="G492" s="723"/>
      <c r="H492" s="121">
        <f>$R492*I492</f>
        <v>0</v>
      </c>
      <c r="I492" s="69">
        <v>0</v>
      </c>
      <c r="J492" s="120">
        <f t="shared" si="46"/>
        <v>0</v>
      </c>
      <c r="K492" s="69">
        <v>0</v>
      </c>
      <c r="L492" s="120">
        <f t="shared" si="47"/>
        <v>0</v>
      </c>
      <c r="M492" s="69">
        <v>0</v>
      </c>
      <c r="N492" s="315">
        <f t="shared" si="48"/>
        <v>0</v>
      </c>
      <c r="O492" s="69">
        <v>0</v>
      </c>
      <c r="P492" s="121">
        <f t="shared" si="49"/>
        <v>0</v>
      </c>
      <c r="Q492" s="69">
        <v>0</v>
      </c>
      <c r="R492" s="88">
        <f>'Terms and Turnovers'!AO85</f>
        <v>0</v>
      </c>
      <c r="S492" s="161">
        <f t="shared" si="42"/>
        <v>0</v>
      </c>
      <c r="T492" s="121">
        <f t="shared" si="50"/>
        <v>0</v>
      </c>
      <c r="U492" s="69">
        <v>0</v>
      </c>
      <c r="V492" s="121">
        <f t="shared" si="51"/>
        <v>0</v>
      </c>
      <c r="W492" s="69">
        <v>0</v>
      </c>
      <c r="X492" s="120">
        <f t="shared" si="52"/>
        <v>0</v>
      </c>
      <c r="Y492" s="69">
        <v>0</v>
      </c>
      <c r="Z492" s="120">
        <f t="shared" si="53"/>
        <v>0</v>
      </c>
      <c r="AA492" s="69">
        <v>0</v>
      </c>
      <c r="AB492" s="315">
        <f t="shared" si="54"/>
        <v>0</v>
      </c>
      <c r="AC492" s="69">
        <v>0</v>
      </c>
      <c r="AD492" s="121">
        <f t="shared" si="55"/>
        <v>0</v>
      </c>
      <c r="AE492" s="69">
        <v>0</v>
      </c>
      <c r="AF492" s="88">
        <f>'Terms and Turnovers'!AT85</f>
        <v>0</v>
      </c>
      <c r="AG492" s="161">
        <f t="shared" si="43"/>
        <v>0</v>
      </c>
      <c r="AH492" s="158">
        <f t="shared" si="44"/>
        <v>0</v>
      </c>
      <c r="AI492" s="134">
        <f t="shared" si="45"/>
        <v>0</v>
      </c>
      <c r="AJ492" s="65"/>
      <c r="AL492" s="461">
        <f>SUM(F492,H492,J492,L492,N492,P492,T492,V492,X492,Z492,AB492,AD492)</f>
        <v>0</v>
      </c>
      <c r="AM492" s="462">
        <f>AL492-AH492</f>
        <v>0</v>
      </c>
      <c r="AV492" s="56"/>
    </row>
    <row r="493" spans="1:48" ht="13.5" customHeight="1" outlineLevel="1" thickBot="1">
      <c r="B493" s="82"/>
      <c r="C493" s="1232"/>
      <c r="D493" s="1232"/>
      <c r="E493" s="85">
        <f>'Terms and Turnovers'!$AX$12</f>
        <v>0</v>
      </c>
      <c r="F493" s="121">
        <f>$R493*G493</f>
        <v>0</v>
      </c>
      <c r="G493" s="72"/>
      <c r="H493" s="121">
        <f>$R493*I493</f>
        <v>0</v>
      </c>
      <c r="I493" s="69">
        <v>0</v>
      </c>
      <c r="J493" s="121">
        <f t="shared" si="46"/>
        <v>0</v>
      </c>
      <c r="K493" s="69">
        <v>0</v>
      </c>
      <c r="L493" s="121">
        <f t="shared" si="47"/>
        <v>0</v>
      </c>
      <c r="M493" s="69">
        <v>0</v>
      </c>
      <c r="N493" s="316">
        <f t="shared" si="48"/>
        <v>0</v>
      </c>
      <c r="O493" s="69">
        <v>0</v>
      </c>
      <c r="P493" s="121">
        <f t="shared" si="49"/>
        <v>0</v>
      </c>
      <c r="Q493" s="69">
        <v>0</v>
      </c>
      <c r="R493" s="89">
        <f>'Terms and Turnovers'!AY85</f>
        <v>0</v>
      </c>
      <c r="S493" s="162">
        <f t="shared" si="42"/>
        <v>0</v>
      </c>
      <c r="T493" s="121">
        <f t="shared" si="50"/>
        <v>0</v>
      </c>
      <c r="U493" s="69">
        <v>0</v>
      </c>
      <c r="V493" s="121">
        <f t="shared" si="51"/>
        <v>0</v>
      </c>
      <c r="W493" s="69">
        <v>0</v>
      </c>
      <c r="X493" s="121">
        <f t="shared" si="52"/>
        <v>0</v>
      </c>
      <c r="Y493" s="69">
        <v>0</v>
      </c>
      <c r="Z493" s="121">
        <f t="shared" si="53"/>
        <v>0</v>
      </c>
      <c r="AA493" s="69">
        <v>0</v>
      </c>
      <c r="AB493" s="316">
        <f t="shared" si="54"/>
        <v>0</v>
      </c>
      <c r="AC493" s="69">
        <v>0</v>
      </c>
      <c r="AD493" s="121">
        <f t="shared" si="55"/>
        <v>0</v>
      </c>
      <c r="AE493" s="69">
        <v>0</v>
      </c>
      <c r="AF493" s="89">
        <f>'Terms and Turnovers'!BD85</f>
        <v>0</v>
      </c>
      <c r="AG493" s="162">
        <f t="shared" si="43"/>
        <v>0</v>
      </c>
      <c r="AH493" s="159">
        <f t="shared" si="44"/>
        <v>0</v>
      </c>
      <c r="AI493" s="137">
        <f t="shared" si="45"/>
        <v>0</v>
      </c>
      <c r="AJ493" s="65"/>
      <c r="AL493" s="461">
        <f>SUM(F493,H493,J493,L493,N493,P493,T493,V493,X493,Z493,AB493,AD493)</f>
        <v>0</v>
      </c>
      <c r="AM493" s="462">
        <f>AL493-AH493</f>
        <v>0</v>
      </c>
      <c r="AV493" s="56"/>
    </row>
    <row r="494" spans="1:48" ht="13.5" customHeight="1" outlineLevel="1" thickBot="1">
      <c r="A494" s="119"/>
      <c r="B494" s="82"/>
      <c r="C494" s="425"/>
      <c r="D494" s="425"/>
      <c r="E494" s="426"/>
      <c r="F494" s="427">
        <f>SUM(F489:F493)</f>
        <v>0</v>
      </c>
      <c r="G494" s="428"/>
      <c r="H494" s="427">
        <f>SUM(H489:H493)</f>
        <v>0</v>
      </c>
      <c r="I494" s="69"/>
      <c r="J494" s="427">
        <f>SUM(J489:J493)</f>
        <v>0</v>
      </c>
      <c r="K494" s="69"/>
      <c r="L494" s="427">
        <f>SUM(L489:L493)</f>
        <v>0</v>
      </c>
      <c r="M494" s="69"/>
      <c r="N494" s="427">
        <f>SUM(N489:N493)</f>
        <v>0</v>
      </c>
      <c r="O494" s="69"/>
      <c r="P494" s="427">
        <f>SUM(P489:P493)</f>
        <v>0</v>
      </c>
      <c r="Q494" s="69"/>
      <c r="R494" s="429"/>
      <c r="S494" s="430"/>
      <c r="T494" s="427">
        <f>SUM(T489:T493)</f>
        <v>0</v>
      </c>
      <c r="U494" s="428"/>
      <c r="V494" s="427">
        <f>SUM(V489:V493)</f>
        <v>0</v>
      </c>
      <c r="W494" s="69"/>
      <c r="X494" s="427">
        <f>SUM(X489:X493)</f>
        <v>0</v>
      </c>
      <c r="Y494" s="69"/>
      <c r="Z494" s="427">
        <f>SUM(Z489:Z493)</f>
        <v>0</v>
      </c>
      <c r="AA494" s="69"/>
      <c r="AB494" s="427">
        <f>SUM(AB489:AB493)</f>
        <v>0</v>
      </c>
      <c r="AC494" s="69"/>
      <c r="AD494" s="427">
        <f>SUM(AD489:AD493)</f>
        <v>0</v>
      </c>
      <c r="AE494" s="69"/>
      <c r="AF494" s="429"/>
      <c r="AG494" s="430"/>
      <c r="AH494" s="431"/>
      <c r="AI494" s="432"/>
      <c r="AJ494" s="65"/>
      <c r="AV494" s="56"/>
    </row>
    <row r="495" spans="1:48" ht="13.5" customHeight="1" outlineLevel="1" thickBot="1">
      <c r="A495" s="119"/>
      <c r="B495" s="82"/>
      <c r="C495" s="1098" t="s">
        <v>484</v>
      </c>
      <c r="D495" s="433"/>
      <c r="E495" s="426"/>
      <c r="F495" s="700"/>
      <c r="G495" s="428"/>
      <c r="H495" s="700"/>
      <c r="I495" s="69"/>
      <c r="J495" s="700"/>
      <c r="K495" s="69"/>
      <c r="L495" s="700"/>
      <c r="M495" s="69"/>
      <c r="N495" s="700"/>
      <c r="O495" s="69"/>
      <c r="P495" s="700"/>
      <c r="Q495" s="69"/>
      <c r="R495" s="429"/>
      <c r="S495" s="430"/>
      <c r="T495" s="700"/>
      <c r="U495" s="428"/>
      <c r="V495" s="700"/>
      <c r="W495" s="69"/>
      <c r="X495" s="700"/>
      <c r="Y495" s="69"/>
      <c r="Z495" s="700"/>
      <c r="AA495" s="69"/>
      <c r="AB495" s="1108"/>
      <c r="AC495" s="69"/>
      <c r="AD495" s="1108"/>
      <c r="AE495" s="69"/>
      <c r="AF495" s="429"/>
      <c r="AG495" s="430"/>
      <c r="AH495" s="431"/>
      <c r="AI495" s="432"/>
      <c r="AJ495" s="65"/>
      <c r="AV495" s="56"/>
    </row>
    <row r="496" spans="1:48" ht="13.5" customHeight="1" outlineLevel="1" thickBot="1">
      <c r="B496" s="82">
        <f>B489+1</f>
        <v>71</v>
      </c>
      <c r="C496" s="1230">
        <f>'Terms and Turnovers'!C86</f>
        <v>0</v>
      </c>
      <c r="D496" s="1230">
        <f>'Terms and Turnovers'!D86</f>
        <v>0</v>
      </c>
      <c r="E496" s="83" t="str">
        <f>'Terms and Turnovers'!$J$12</f>
        <v>FLIP-FLOPS</v>
      </c>
      <c r="F496" s="121">
        <f>$R496*G496</f>
        <v>0</v>
      </c>
      <c r="G496" s="69">
        <v>0</v>
      </c>
      <c r="H496" s="316">
        <f>$R496*I496</f>
        <v>0</v>
      </c>
      <c r="I496" s="69">
        <v>0</v>
      </c>
      <c r="J496" s="118">
        <f t="shared" si="46"/>
        <v>0</v>
      </c>
      <c r="K496" s="69">
        <v>0</v>
      </c>
      <c r="L496" s="314">
        <f t="shared" si="47"/>
        <v>0</v>
      </c>
      <c r="M496" s="69">
        <v>0</v>
      </c>
      <c r="N496" s="314">
        <f t="shared" si="48"/>
        <v>0</v>
      </c>
      <c r="O496" s="69">
        <v>0</v>
      </c>
      <c r="P496" s="121">
        <f t="shared" si="49"/>
        <v>0</v>
      </c>
      <c r="Q496" s="69">
        <v>0</v>
      </c>
      <c r="R496" s="87">
        <f>'Terms and Turnovers'!K86</f>
        <v>0</v>
      </c>
      <c r="S496" s="160">
        <f t="shared" si="42"/>
        <v>0</v>
      </c>
      <c r="T496" s="121">
        <f t="shared" si="50"/>
        <v>0</v>
      </c>
      <c r="U496" s="69">
        <v>0</v>
      </c>
      <c r="V496" s="316">
        <f t="shared" si="51"/>
        <v>0</v>
      </c>
      <c r="W496" s="69">
        <v>0</v>
      </c>
      <c r="X496" s="118">
        <f t="shared" si="52"/>
        <v>0</v>
      </c>
      <c r="Y496" s="69">
        <v>0</v>
      </c>
      <c r="Z496" s="314">
        <f t="shared" si="53"/>
        <v>0</v>
      </c>
      <c r="AA496" s="69">
        <v>0</v>
      </c>
      <c r="AB496" s="314">
        <f t="shared" si="54"/>
        <v>0</v>
      </c>
      <c r="AC496" s="69">
        <v>0</v>
      </c>
      <c r="AD496" s="121">
        <f t="shared" si="55"/>
        <v>0</v>
      </c>
      <c r="AE496" s="69">
        <v>0</v>
      </c>
      <c r="AF496" s="87">
        <f>'Terms and Turnovers'!P86</f>
        <v>0</v>
      </c>
      <c r="AG496" s="160">
        <f t="shared" si="43"/>
        <v>0</v>
      </c>
      <c r="AH496" s="157">
        <f t="shared" si="44"/>
        <v>0</v>
      </c>
      <c r="AI496" s="131">
        <f t="shared" si="45"/>
        <v>0</v>
      </c>
      <c r="AJ496" s="65"/>
      <c r="AL496" s="461">
        <f>SUM(F496,H496,J496,L496,N496,P496,T496,V496,X496,Z496,AB496,AD496)</f>
        <v>0</v>
      </c>
      <c r="AM496" s="462">
        <f>AL496-AH496</f>
        <v>0</v>
      </c>
      <c r="AV496" s="56"/>
    </row>
    <row r="497" spans="1:48" ht="13.5" customHeight="1" outlineLevel="1" thickBot="1">
      <c r="B497" s="82"/>
      <c r="C497" s="1231"/>
      <c r="D497" s="1231"/>
      <c r="E497" s="84" t="str">
        <f>'Terms and Turnovers'!$T$12</f>
        <v>ORIGINALS</v>
      </c>
      <c r="F497" s="121">
        <f>$R497*G497</f>
        <v>0</v>
      </c>
      <c r="G497" s="69">
        <v>0</v>
      </c>
      <c r="H497" s="121">
        <f>$R497*I497</f>
        <v>0</v>
      </c>
      <c r="I497" s="69">
        <v>0</v>
      </c>
      <c r="J497" s="120">
        <f t="shared" si="46"/>
        <v>0</v>
      </c>
      <c r="K497" s="69">
        <v>0</v>
      </c>
      <c r="L497" s="120">
        <f t="shared" si="47"/>
        <v>0</v>
      </c>
      <c r="M497" s="69">
        <v>0</v>
      </c>
      <c r="N497" s="315">
        <f t="shared" si="48"/>
        <v>0</v>
      </c>
      <c r="O497" s="69">
        <v>0</v>
      </c>
      <c r="P497" s="121">
        <f t="shared" si="49"/>
        <v>0</v>
      </c>
      <c r="Q497" s="69">
        <v>0</v>
      </c>
      <c r="R497" s="88">
        <f>'Terms and Turnovers'!U86</f>
        <v>0</v>
      </c>
      <c r="S497" s="161">
        <f t="shared" si="42"/>
        <v>0</v>
      </c>
      <c r="T497" s="121">
        <f t="shared" si="50"/>
        <v>0</v>
      </c>
      <c r="U497" s="69">
        <v>0</v>
      </c>
      <c r="V497" s="121">
        <f t="shared" si="51"/>
        <v>0</v>
      </c>
      <c r="W497" s="69">
        <v>0</v>
      </c>
      <c r="X497" s="120">
        <f t="shared" si="52"/>
        <v>0</v>
      </c>
      <c r="Y497" s="69">
        <v>0</v>
      </c>
      <c r="Z497" s="120">
        <f t="shared" si="53"/>
        <v>0</v>
      </c>
      <c r="AA497" s="69">
        <v>0</v>
      </c>
      <c r="AB497" s="315">
        <f t="shared" si="54"/>
        <v>0</v>
      </c>
      <c r="AC497" s="69">
        <v>0</v>
      </c>
      <c r="AD497" s="121">
        <f t="shared" si="55"/>
        <v>0</v>
      </c>
      <c r="AE497" s="69">
        <v>0</v>
      </c>
      <c r="AF497" s="88">
        <f>'Terms and Turnovers'!Z86</f>
        <v>0</v>
      </c>
      <c r="AG497" s="161">
        <f t="shared" si="43"/>
        <v>0</v>
      </c>
      <c r="AH497" s="158">
        <f t="shared" si="44"/>
        <v>0</v>
      </c>
      <c r="AI497" s="134">
        <f t="shared" si="45"/>
        <v>0</v>
      </c>
      <c r="AJ497" s="65"/>
      <c r="AL497" s="461">
        <f>SUM(F497,H497,J497,L497,N497,P497,T497,V497,X497,Z497,AB497,AD497)</f>
        <v>0</v>
      </c>
      <c r="AM497" s="462">
        <f>AL497-AH497</f>
        <v>0</v>
      </c>
      <c r="AV497" s="56"/>
    </row>
    <row r="498" spans="1:48" ht="13.5" customHeight="1" outlineLevel="1" thickBot="1">
      <c r="B498" s="82"/>
      <c r="C498" s="1231"/>
      <c r="D498" s="1231"/>
      <c r="E498" s="84" t="str">
        <f>'Terms and Turnovers'!$AD$12</f>
        <v>ACCESSORIES</v>
      </c>
      <c r="F498" s="121">
        <f>$R498*G498</f>
        <v>0</v>
      </c>
      <c r="G498" s="69">
        <v>0</v>
      </c>
      <c r="H498" s="121">
        <f>$R498*I498</f>
        <v>0</v>
      </c>
      <c r="I498" s="69">
        <v>0</v>
      </c>
      <c r="J498" s="120">
        <f t="shared" si="46"/>
        <v>0</v>
      </c>
      <c r="K498" s="69">
        <v>0</v>
      </c>
      <c r="L498" s="120">
        <f t="shared" si="47"/>
        <v>0</v>
      </c>
      <c r="M498" s="69">
        <v>0</v>
      </c>
      <c r="N498" s="315">
        <f t="shared" si="48"/>
        <v>0</v>
      </c>
      <c r="O498" s="69">
        <v>0</v>
      </c>
      <c r="P498" s="121">
        <f t="shared" si="49"/>
        <v>0</v>
      </c>
      <c r="Q498" s="69">
        <v>0</v>
      </c>
      <c r="R498" s="88">
        <f>'Terms and Turnovers'!AE86</f>
        <v>0</v>
      </c>
      <c r="S498" s="161">
        <f t="shared" si="42"/>
        <v>0</v>
      </c>
      <c r="T498" s="121">
        <f t="shared" si="50"/>
        <v>0</v>
      </c>
      <c r="U498" s="69">
        <v>0</v>
      </c>
      <c r="V498" s="121">
        <f t="shared" si="51"/>
        <v>0</v>
      </c>
      <c r="W498" s="69">
        <v>0</v>
      </c>
      <c r="X498" s="120">
        <f t="shared" si="52"/>
        <v>0</v>
      </c>
      <c r="Y498" s="69">
        <v>0</v>
      </c>
      <c r="Z498" s="120">
        <f t="shared" si="53"/>
        <v>0</v>
      </c>
      <c r="AA498" s="69">
        <v>0</v>
      </c>
      <c r="AB498" s="315">
        <f t="shared" si="54"/>
        <v>0</v>
      </c>
      <c r="AC498" s="69">
        <v>0</v>
      </c>
      <c r="AD498" s="121">
        <f t="shared" si="55"/>
        <v>0</v>
      </c>
      <c r="AE498" s="69">
        <v>0</v>
      </c>
      <c r="AF498" s="88">
        <f>'Terms and Turnovers'!AJ86</f>
        <v>0</v>
      </c>
      <c r="AG498" s="161">
        <f t="shared" si="43"/>
        <v>0</v>
      </c>
      <c r="AH498" s="158">
        <f t="shared" si="44"/>
        <v>0</v>
      </c>
      <c r="AI498" s="134">
        <f t="shared" si="45"/>
        <v>0</v>
      </c>
      <c r="AJ498" s="65"/>
      <c r="AL498" s="461">
        <f>SUM(F498,H498,J498,L498,N498,P498,T498,V498,X498,Z498,AB498,AD498)</f>
        <v>0</v>
      </c>
      <c r="AM498" s="462">
        <f>AL498-AH498</f>
        <v>0</v>
      </c>
      <c r="AV498" s="56"/>
    </row>
    <row r="499" spans="1:48" ht="13.5" customHeight="1" outlineLevel="1" thickBot="1">
      <c r="B499" s="82"/>
      <c r="C499" s="1231"/>
      <c r="D499" s="1231"/>
      <c r="E499" s="84">
        <f>'Terms and Turnovers'!$AN$12</f>
        <v>0</v>
      </c>
      <c r="F499" s="121">
        <f>$R499*G499</f>
        <v>0</v>
      </c>
      <c r="G499" s="723"/>
      <c r="H499" s="121">
        <f>$R499*I499</f>
        <v>0</v>
      </c>
      <c r="I499" s="69">
        <v>0</v>
      </c>
      <c r="J499" s="120">
        <f t="shared" si="46"/>
        <v>0</v>
      </c>
      <c r="K499" s="69">
        <v>0</v>
      </c>
      <c r="L499" s="120">
        <f t="shared" si="47"/>
        <v>0</v>
      </c>
      <c r="M499" s="69">
        <v>0</v>
      </c>
      <c r="N499" s="315">
        <f t="shared" si="48"/>
        <v>0</v>
      </c>
      <c r="O499" s="69">
        <v>0</v>
      </c>
      <c r="P499" s="121">
        <f t="shared" si="49"/>
        <v>0</v>
      </c>
      <c r="Q499" s="69">
        <v>0</v>
      </c>
      <c r="R499" s="88">
        <f>'Terms and Turnovers'!AO86</f>
        <v>0</v>
      </c>
      <c r="S499" s="161">
        <f t="shared" si="42"/>
        <v>0</v>
      </c>
      <c r="T499" s="121">
        <f t="shared" si="50"/>
        <v>0</v>
      </c>
      <c r="U499" s="69">
        <v>0</v>
      </c>
      <c r="V499" s="121">
        <f t="shared" si="51"/>
        <v>0</v>
      </c>
      <c r="W499" s="69">
        <v>0</v>
      </c>
      <c r="X499" s="120">
        <f t="shared" si="52"/>
        <v>0</v>
      </c>
      <c r="Y499" s="69">
        <v>0</v>
      </c>
      <c r="Z499" s="120">
        <f t="shared" si="53"/>
        <v>0</v>
      </c>
      <c r="AA499" s="69">
        <v>0</v>
      </c>
      <c r="AB499" s="315">
        <f t="shared" si="54"/>
        <v>0</v>
      </c>
      <c r="AC499" s="69">
        <v>0</v>
      </c>
      <c r="AD499" s="121">
        <f t="shared" si="55"/>
        <v>0</v>
      </c>
      <c r="AE499" s="69">
        <v>0</v>
      </c>
      <c r="AF499" s="88">
        <f>'Terms and Turnovers'!AT86</f>
        <v>0</v>
      </c>
      <c r="AG499" s="161">
        <f t="shared" si="43"/>
        <v>0</v>
      </c>
      <c r="AH499" s="158">
        <f t="shared" si="44"/>
        <v>0</v>
      </c>
      <c r="AI499" s="134">
        <f t="shared" si="45"/>
        <v>0</v>
      </c>
      <c r="AJ499" s="65"/>
      <c r="AL499" s="461">
        <f>SUM(F499,H499,J499,L499,N499,P499,T499,V499,X499,Z499,AB499,AD499)</f>
        <v>0</v>
      </c>
      <c r="AM499" s="462">
        <f>AL499-AH499</f>
        <v>0</v>
      </c>
      <c r="AV499" s="56"/>
    </row>
    <row r="500" spans="1:48" ht="13.5" customHeight="1" outlineLevel="1" thickBot="1">
      <c r="B500" s="82"/>
      <c r="C500" s="1232"/>
      <c r="D500" s="1232"/>
      <c r="E500" s="85">
        <f>'Terms and Turnovers'!$AX$12</f>
        <v>0</v>
      </c>
      <c r="F500" s="121">
        <f>$R500*G500</f>
        <v>0</v>
      </c>
      <c r="G500" s="72"/>
      <c r="H500" s="121">
        <f>$R500*I500</f>
        <v>0</v>
      </c>
      <c r="I500" s="69">
        <v>0</v>
      </c>
      <c r="J500" s="121">
        <f t="shared" si="46"/>
        <v>0</v>
      </c>
      <c r="K500" s="69">
        <v>0</v>
      </c>
      <c r="L500" s="121">
        <f t="shared" si="47"/>
        <v>0</v>
      </c>
      <c r="M500" s="69">
        <v>0</v>
      </c>
      <c r="N500" s="316">
        <f t="shared" si="48"/>
        <v>0</v>
      </c>
      <c r="O500" s="69">
        <v>0</v>
      </c>
      <c r="P500" s="121">
        <f t="shared" si="49"/>
        <v>0</v>
      </c>
      <c r="Q500" s="69">
        <v>0</v>
      </c>
      <c r="R500" s="89">
        <f>'Terms and Turnovers'!AY86</f>
        <v>0</v>
      </c>
      <c r="S500" s="162">
        <f t="shared" ref="S500:S589" si="56">SUM(G500,I500,K500,M500,O500,Q500)</f>
        <v>0</v>
      </c>
      <c r="T500" s="121">
        <f t="shared" si="50"/>
        <v>0</v>
      </c>
      <c r="U500" s="69">
        <v>0</v>
      </c>
      <c r="V500" s="121">
        <f t="shared" si="51"/>
        <v>0</v>
      </c>
      <c r="W500" s="69">
        <v>0</v>
      </c>
      <c r="X500" s="121">
        <f t="shared" si="52"/>
        <v>0</v>
      </c>
      <c r="Y500" s="69">
        <v>0</v>
      </c>
      <c r="Z500" s="121">
        <f t="shared" si="53"/>
        <v>0</v>
      </c>
      <c r="AA500" s="69">
        <v>0</v>
      </c>
      <c r="AB500" s="316">
        <f t="shared" si="54"/>
        <v>0</v>
      </c>
      <c r="AC500" s="69">
        <v>0</v>
      </c>
      <c r="AD500" s="121">
        <f t="shared" si="55"/>
        <v>0</v>
      </c>
      <c r="AE500" s="69">
        <v>0</v>
      </c>
      <c r="AF500" s="89">
        <f>'Terms and Turnovers'!BD86</f>
        <v>0</v>
      </c>
      <c r="AG500" s="162">
        <f t="shared" ref="AG500:AG589" si="57">SUM(U500,W500,Y500,AA500,AC500,AE500)</f>
        <v>0</v>
      </c>
      <c r="AH500" s="159">
        <f t="shared" ref="AH500:AH589" si="58">SUM(R500,AF500)</f>
        <v>0</v>
      </c>
      <c r="AI500" s="137">
        <f t="shared" ref="AI500:AI589" si="59">S500+AG500</f>
        <v>0</v>
      </c>
      <c r="AJ500" s="65"/>
      <c r="AL500" s="461">
        <f>SUM(F500,H500,J500,L500,N500,P500,T500,V500,X500,Z500,AB500,AD500)</f>
        <v>0</v>
      </c>
      <c r="AM500" s="462">
        <f>AL500-AH500</f>
        <v>0</v>
      </c>
      <c r="AV500" s="56"/>
    </row>
    <row r="501" spans="1:48" ht="13.5" customHeight="1" outlineLevel="1" thickBot="1">
      <c r="A501" s="119"/>
      <c r="B501" s="82"/>
      <c r="C501" s="425"/>
      <c r="D501" s="425"/>
      <c r="E501" s="426"/>
      <c r="F501" s="427">
        <f>SUM(F496:F500)</f>
        <v>0</v>
      </c>
      <c r="G501" s="428"/>
      <c r="H501" s="427">
        <f>SUM(H496:H500)</f>
        <v>0</v>
      </c>
      <c r="I501" s="69"/>
      <c r="J501" s="427">
        <f>SUM(J496:J500)</f>
        <v>0</v>
      </c>
      <c r="K501" s="69"/>
      <c r="L501" s="427">
        <f>SUM(L496:L500)</f>
        <v>0</v>
      </c>
      <c r="M501" s="69"/>
      <c r="N501" s="427">
        <f>SUM(N496:N500)</f>
        <v>0</v>
      </c>
      <c r="O501" s="69"/>
      <c r="P501" s="427">
        <f>SUM(P496:P500)</f>
        <v>0</v>
      </c>
      <c r="Q501" s="69"/>
      <c r="R501" s="429"/>
      <c r="S501" s="430"/>
      <c r="T501" s="427">
        <f>SUM(T496:T500)</f>
        <v>0</v>
      </c>
      <c r="U501" s="428"/>
      <c r="V501" s="427">
        <f>SUM(V496:V500)</f>
        <v>0</v>
      </c>
      <c r="W501" s="69"/>
      <c r="X501" s="427">
        <f>SUM(X496:X500)</f>
        <v>0</v>
      </c>
      <c r="Y501" s="69"/>
      <c r="Z501" s="427">
        <f>SUM(Z496:Z500)</f>
        <v>0</v>
      </c>
      <c r="AA501" s="69"/>
      <c r="AB501" s="427">
        <f>SUM(AB496:AB500)</f>
        <v>0</v>
      </c>
      <c r="AC501" s="69"/>
      <c r="AD501" s="427">
        <f>SUM(AD496:AD500)</f>
        <v>0</v>
      </c>
      <c r="AE501" s="69"/>
      <c r="AF501" s="429"/>
      <c r="AG501" s="430"/>
      <c r="AH501" s="431"/>
      <c r="AI501" s="432"/>
      <c r="AJ501" s="65"/>
      <c r="AV501" s="56"/>
    </row>
    <row r="502" spans="1:48" ht="13.5" customHeight="1" outlineLevel="1" thickBot="1">
      <c r="A502" s="119"/>
      <c r="B502" s="82"/>
      <c r="C502" s="1098" t="s">
        <v>484</v>
      </c>
      <c r="D502" s="433"/>
      <c r="E502" s="426"/>
      <c r="F502" s="700"/>
      <c r="G502" s="428"/>
      <c r="H502" s="700"/>
      <c r="I502" s="69"/>
      <c r="J502" s="700"/>
      <c r="K502" s="69"/>
      <c r="L502" s="700"/>
      <c r="M502" s="69"/>
      <c r="N502" s="700"/>
      <c r="O502" s="69"/>
      <c r="P502" s="700"/>
      <c r="Q502" s="69"/>
      <c r="R502" s="429"/>
      <c r="S502" s="430"/>
      <c r="T502" s="700"/>
      <c r="U502" s="428"/>
      <c r="V502" s="700"/>
      <c r="W502" s="69"/>
      <c r="X502" s="700"/>
      <c r="Y502" s="69"/>
      <c r="Z502" s="700"/>
      <c r="AA502" s="69"/>
      <c r="AB502" s="700"/>
      <c r="AC502" s="69"/>
      <c r="AD502" s="700"/>
      <c r="AE502" s="69"/>
      <c r="AF502" s="429"/>
      <c r="AG502" s="430"/>
      <c r="AH502" s="431"/>
      <c r="AI502" s="432"/>
      <c r="AJ502" s="65"/>
      <c r="AV502" s="56"/>
    </row>
    <row r="503" spans="1:48" ht="13.5" customHeight="1" outlineLevel="1" thickBot="1">
      <c r="B503" s="82">
        <f>B496+1</f>
        <v>72</v>
      </c>
      <c r="C503" s="1230">
        <f>'Terms and Turnovers'!C87</f>
        <v>0</v>
      </c>
      <c r="D503" s="1230">
        <f>'Terms and Turnovers'!D87</f>
        <v>0</v>
      </c>
      <c r="E503" s="83" t="str">
        <f>'Terms and Turnovers'!$J$12</f>
        <v>FLIP-FLOPS</v>
      </c>
      <c r="F503" s="121">
        <f>$R503*G503</f>
        <v>0</v>
      </c>
      <c r="G503" s="69"/>
      <c r="H503" s="316">
        <f>$R503*I503</f>
        <v>0</v>
      </c>
      <c r="I503" s="69">
        <v>0</v>
      </c>
      <c r="J503" s="118">
        <f t="shared" si="46"/>
        <v>0</v>
      </c>
      <c r="K503" s="69">
        <v>0</v>
      </c>
      <c r="L503" s="314">
        <f t="shared" si="47"/>
        <v>0</v>
      </c>
      <c r="M503" s="69">
        <v>0</v>
      </c>
      <c r="N503" s="314">
        <f t="shared" si="48"/>
        <v>0</v>
      </c>
      <c r="O503" s="69">
        <v>0</v>
      </c>
      <c r="P503" s="121">
        <f t="shared" si="49"/>
        <v>0</v>
      </c>
      <c r="Q503" s="69">
        <v>0</v>
      </c>
      <c r="R503" s="87">
        <f>'Terms and Turnovers'!K87</f>
        <v>0</v>
      </c>
      <c r="S503" s="160">
        <f t="shared" si="56"/>
        <v>0</v>
      </c>
      <c r="T503" s="121">
        <f t="shared" ref="T503:T590" si="60">$AF503*U503</f>
        <v>0</v>
      </c>
      <c r="U503" s="69">
        <v>0</v>
      </c>
      <c r="V503" s="316">
        <f t="shared" si="51"/>
        <v>0</v>
      </c>
      <c r="W503" s="69">
        <v>0</v>
      </c>
      <c r="X503" s="118">
        <f t="shared" si="52"/>
        <v>0</v>
      </c>
      <c r="Y503" s="69">
        <v>0</v>
      </c>
      <c r="Z503" s="314">
        <f t="shared" si="53"/>
        <v>0</v>
      </c>
      <c r="AA503" s="69">
        <v>0</v>
      </c>
      <c r="AB503" s="314">
        <f t="shared" si="54"/>
        <v>0</v>
      </c>
      <c r="AC503" s="69">
        <v>0</v>
      </c>
      <c r="AD503" s="121">
        <f t="shared" si="55"/>
        <v>0</v>
      </c>
      <c r="AE503" s="69">
        <v>0</v>
      </c>
      <c r="AF503" s="87">
        <f>'Terms and Turnovers'!P87</f>
        <v>0</v>
      </c>
      <c r="AG503" s="160">
        <f t="shared" si="57"/>
        <v>0</v>
      </c>
      <c r="AH503" s="157">
        <f t="shared" si="58"/>
        <v>0</v>
      </c>
      <c r="AI503" s="131">
        <f t="shared" si="59"/>
        <v>0</v>
      </c>
      <c r="AJ503" s="65"/>
      <c r="AL503" s="461">
        <f>SUM(F503,H503,J503,L503,N503,P503,T503,V503,X503,Z503,AB503,AD503)</f>
        <v>0</v>
      </c>
      <c r="AM503" s="462">
        <f>AL503-AH503</f>
        <v>0</v>
      </c>
      <c r="AV503" s="56"/>
    </row>
    <row r="504" spans="1:48" ht="13.5" customHeight="1" outlineLevel="1" thickBot="1">
      <c r="B504" s="82"/>
      <c r="C504" s="1231"/>
      <c r="D504" s="1231"/>
      <c r="E504" s="84" t="str">
        <f>'Terms and Turnovers'!$T$12</f>
        <v>ORIGINALS</v>
      </c>
      <c r="F504" s="121">
        <f>$R504*G504</f>
        <v>0</v>
      </c>
      <c r="G504" s="723"/>
      <c r="H504" s="121">
        <f>$R504*I504</f>
        <v>0</v>
      </c>
      <c r="I504" s="69">
        <v>0</v>
      </c>
      <c r="J504" s="120">
        <f t="shared" si="46"/>
        <v>0</v>
      </c>
      <c r="K504" s="69">
        <v>0</v>
      </c>
      <c r="L504" s="120">
        <f t="shared" si="47"/>
        <v>0</v>
      </c>
      <c r="M504" s="69">
        <v>0</v>
      </c>
      <c r="N504" s="315">
        <f t="shared" si="48"/>
        <v>0</v>
      </c>
      <c r="O504" s="69">
        <v>0</v>
      </c>
      <c r="P504" s="121">
        <f t="shared" si="49"/>
        <v>0</v>
      </c>
      <c r="Q504" s="69">
        <v>0</v>
      </c>
      <c r="R504" s="88">
        <f>'Terms and Turnovers'!U87</f>
        <v>0</v>
      </c>
      <c r="S504" s="161">
        <f t="shared" si="56"/>
        <v>0</v>
      </c>
      <c r="T504" s="121">
        <f t="shared" si="60"/>
        <v>0</v>
      </c>
      <c r="U504" s="69">
        <v>0</v>
      </c>
      <c r="V504" s="121">
        <f t="shared" si="51"/>
        <v>0</v>
      </c>
      <c r="W504" s="69">
        <v>0</v>
      </c>
      <c r="X504" s="120">
        <f t="shared" si="52"/>
        <v>0</v>
      </c>
      <c r="Y504" s="69">
        <v>0</v>
      </c>
      <c r="Z504" s="120">
        <f t="shared" si="53"/>
        <v>0</v>
      </c>
      <c r="AA504" s="69">
        <v>0</v>
      </c>
      <c r="AB504" s="315">
        <f t="shared" si="54"/>
        <v>0</v>
      </c>
      <c r="AC504" s="69">
        <v>0</v>
      </c>
      <c r="AD504" s="121">
        <f t="shared" si="55"/>
        <v>0</v>
      </c>
      <c r="AE504" s="69">
        <v>0</v>
      </c>
      <c r="AF504" s="88">
        <f>'Terms and Turnovers'!Z87</f>
        <v>0</v>
      </c>
      <c r="AG504" s="161">
        <f t="shared" si="57"/>
        <v>0</v>
      </c>
      <c r="AH504" s="158">
        <f t="shared" si="58"/>
        <v>0</v>
      </c>
      <c r="AI504" s="134">
        <f t="shared" si="59"/>
        <v>0</v>
      </c>
      <c r="AJ504" s="65"/>
      <c r="AL504" s="461">
        <f>SUM(F504,H504,J504,L504,N504,P504,T504,V504,X504,Z504,AB504,AD504)</f>
        <v>0</v>
      </c>
      <c r="AM504" s="462">
        <f>AL504-AH504</f>
        <v>0</v>
      </c>
      <c r="AV504" s="56"/>
    </row>
    <row r="505" spans="1:48" ht="13.5" customHeight="1" outlineLevel="1" thickBot="1">
      <c r="B505" s="82"/>
      <c r="C505" s="1231"/>
      <c r="D505" s="1231"/>
      <c r="E505" s="84" t="str">
        <f>'Terms and Turnovers'!$AD$12</f>
        <v>ACCESSORIES</v>
      </c>
      <c r="F505" s="121">
        <f>$R505*G505</f>
        <v>0</v>
      </c>
      <c r="G505" s="723"/>
      <c r="H505" s="121">
        <f>$R505*I505</f>
        <v>0</v>
      </c>
      <c r="I505" s="69">
        <v>0</v>
      </c>
      <c r="J505" s="120">
        <f t="shared" si="46"/>
        <v>0</v>
      </c>
      <c r="K505" s="69">
        <v>0</v>
      </c>
      <c r="L505" s="120">
        <f t="shared" si="47"/>
        <v>0</v>
      </c>
      <c r="M505" s="69">
        <v>0</v>
      </c>
      <c r="N505" s="315">
        <f t="shared" si="48"/>
        <v>0</v>
      </c>
      <c r="O505" s="69">
        <v>0</v>
      </c>
      <c r="P505" s="121">
        <f t="shared" si="49"/>
        <v>0</v>
      </c>
      <c r="Q505" s="69">
        <v>0</v>
      </c>
      <c r="R505" s="88">
        <f>'Terms and Turnovers'!AE87</f>
        <v>0</v>
      </c>
      <c r="S505" s="161">
        <f t="shared" si="56"/>
        <v>0</v>
      </c>
      <c r="T505" s="121">
        <f t="shared" si="60"/>
        <v>0</v>
      </c>
      <c r="U505" s="69">
        <v>0</v>
      </c>
      <c r="V505" s="121">
        <f t="shared" si="51"/>
        <v>0</v>
      </c>
      <c r="W505" s="69">
        <v>0</v>
      </c>
      <c r="X505" s="120">
        <f t="shared" si="52"/>
        <v>0</v>
      </c>
      <c r="Y505" s="69">
        <v>0</v>
      </c>
      <c r="Z505" s="120">
        <f t="shared" si="53"/>
        <v>0</v>
      </c>
      <c r="AA505" s="69">
        <v>0</v>
      </c>
      <c r="AB505" s="315">
        <f t="shared" si="54"/>
        <v>0</v>
      </c>
      <c r="AC505" s="69">
        <v>0</v>
      </c>
      <c r="AD505" s="121">
        <f t="shared" si="55"/>
        <v>0</v>
      </c>
      <c r="AE505" s="69">
        <v>0</v>
      </c>
      <c r="AF505" s="88">
        <f>'Terms and Turnovers'!AJ87</f>
        <v>0</v>
      </c>
      <c r="AG505" s="161">
        <f t="shared" si="57"/>
        <v>0</v>
      </c>
      <c r="AH505" s="158">
        <f t="shared" si="58"/>
        <v>0</v>
      </c>
      <c r="AI505" s="134">
        <f t="shared" si="59"/>
        <v>0</v>
      </c>
      <c r="AJ505" s="65"/>
      <c r="AL505" s="461">
        <f>SUM(F505,H505,J505,L505,N505,P505,T505,V505,X505,Z505,AB505,AD505)</f>
        <v>0</v>
      </c>
      <c r="AM505" s="462">
        <f>AL505-AH505</f>
        <v>0</v>
      </c>
      <c r="AV505" s="56"/>
    </row>
    <row r="506" spans="1:48" ht="13.5" customHeight="1" outlineLevel="1" thickBot="1">
      <c r="B506" s="82"/>
      <c r="C506" s="1231"/>
      <c r="D506" s="1231"/>
      <c r="E506" s="84">
        <f>'Terms and Turnovers'!$AN$12</f>
        <v>0</v>
      </c>
      <c r="F506" s="121">
        <f>$R506*G506</f>
        <v>0</v>
      </c>
      <c r="G506" s="723"/>
      <c r="H506" s="121">
        <f>$R506*I506</f>
        <v>0</v>
      </c>
      <c r="I506" s="69">
        <v>0</v>
      </c>
      <c r="J506" s="120">
        <f t="shared" si="46"/>
        <v>0</v>
      </c>
      <c r="K506" s="69">
        <v>0</v>
      </c>
      <c r="L506" s="120">
        <f t="shared" si="47"/>
        <v>0</v>
      </c>
      <c r="M506" s="69">
        <v>0</v>
      </c>
      <c r="N506" s="315">
        <f t="shared" si="48"/>
        <v>0</v>
      </c>
      <c r="O506" s="69">
        <v>0</v>
      </c>
      <c r="P506" s="121">
        <f t="shared" si="49"/>
        <v>0</v>
      </c>
      <c r="Q506" s="69">
        <v>0</v>
      </c>
      <c r="R506" s="88">
        <f>'Terms and Turnovers'!AO87</f>
        <v>0</v>
      </c>
      <c r="S506" s="161">
        <f t="shared" si="56"/>
        <v>0</v>
      </c>
      <c r="T506" s="121">
        <f t="shared" si="60"/>
        <v>0</v>
      </c>
      <c r="U506" s="69">
        <v>0</v>
      </c>
      <c r="V506" s="121">
        <f t="shared" si="51"/>
        <v>0</v>
      </c>
      <c r="W506" s="69">
        <v>0</v>
      </c>
      <c r="X506" s="120">
        <f t="shared" si="52"/>
        <v>0</v>
      </c>
      <c r="Y506" s="69">
        <v>0</v>
      </c>
      <c r="Z506" s="120">
        <f t="shared" si="53"/>
        <v>0</v>
      </c>
      <c r="AA506" s="69">
        <v>0</v>
      </c>
      <c r="AB506" s="315">
        <f t="shared" si="54"/>
        <v>0</v>
      </c>
      <c r="AC506" s="69">
        <v>0</v>
      </c>
      <c r="AD506" s="121">
        <f t="shared" si="55"/>
        <v>0</v>
      </c>
      <c r="AE506" s="69">
        <v>0</v>
      </c>
      <c r="AF506" s="88">
        <f>'Terms and Turnovers'!AT87</f>
        <v>0</v>
      </c>
      <c r="AG506" s="161">
        <f t="shared" si="57"/>
        <v>0</v>
      </c>
      <c r="AH506" s="158">
        <f t="shared" si="58"/>
        <v>0</v>
      </c>
      <c r="AI506" s="134">
        <f t="shared" si="59"/>
        <v>0</v>
      </c>
      <c r="AJ506" s="65"/>
      <c r="AL506" s="461">
        <f>SUM(F506,H506,J506,L506,N506,P506,T506,V506,X506,Z506,AB506,AD506)</f>
        <v>0</v>
      </c>
      <c r="AM506" s="462">
        <f>AL506-AH506</f>
        <v>0</v>
      </c>
      <c r="AV506" s="56"/>
    </row>
    <row r="507" spans="1:48" ht="13.5" customHeight="1" outlineLevel="1" thickBot="1">
      <c r="B507" s="82"/>
      <c r="C507" s="1232"/>
      <c r="D507" s="1232"/>
      <c r="E507" s="85">
        <f>'Terms and Turnovers'!$AX$12</f>
        <v>0</v>
      </c>
      <c r="F507" s="121">
        <f>$R507*G507</f>
        <v>0</v>
      </c>
      <c r="G507" s="72"/>
      <c r="H507" s="121">
        <f>$R507*I507</f>
        <v>0</v>
      </c>
      <c r="I507" s="69">
        <v>0</v>
      </c>
      <c r="J507" s="121">
        <f t="shared" si="46"/>
        <v>0</v>
      </c>
      <c r="K507" s="69">
        <v>0</v>
      </c>
      <c r="L507" s="121">
        <f t="shared" si="47"/>
        <v>0</v>
      </c>
      <c r="M507" s="69">
        <v>0</v>
      </c>
      <c r="N507" s="316">
        <f t="shared" si="48"/>
        <v>0</v>
      </c>
      <c r="O507" s="69">
        <v>0</v>
      </c>
      <c r="P507" s="121">
        <f t="shared" si="49"/>
        <v>0</v>
      </c>
      <c r="Q507" s="69">
        <v>0</v>
      </c>
      <c r="R507" s="89">
        <f>'Terms and Turnovers'!AY87</f>
        <v>0</v>
      </c>
      <c r="S507" s="162">
        <f t="shared" si="56"/>
        <v>0</v>
      </c>
      <c r="T507" s="121">
        <f t="shared" si="60"/>
        <v>0</v>
      </c>
      <c r="U507" s="69">
        <v>0</v>
      </c>
      <c r="V507" s="121">
        <f t="shared" si="51"/>
        <v>0</v>
      </c>
      <c r="W507" s="69">
        <v>0</v>
      </c>
      <c r="X507" s="121">
        <f t="shared" si="52"/>
        <v>0</v>
      </c>
      <c r="Y507" s="69">
        <v>0</v>
      </c>
      <c r="Z507" s="121">
        <f t="shared" si="53"/>
        <v>0</v>
      </c>
      <c r="AA507" s="69">
        <v>0</v>
      </c>
      <c r="AB507" s="316">
        <f t="shared" si="54"/>
        <v>0</v>
      </c>
      <c r="AC507" s="69">
        <v>0</v>
      </c>
      <c r="AD507" s="121">
        <f t="shared" si="55"/>
        <v>0</v>
      </c>
      <c r="AE507" s="69">
        <v>0</v>
      </c>
      <c r="AF507" s="89">
        <f>'Terms and Turnovers'!BD87</f>
        <v>0</v>
      </c>
      <c r="AG507" s="162">
        <f t="shared" si="57"/>
        <v>0</v>
      </c>
      <c r="AH507" s="159">
        <f t="shared" si="58"/>
        <v>0</v>
      </c>
      <c r="AI507" s="137">
        <f t="shared" si="59"/>
        <v>0</v>
      </c>
      <c r="AJ507" s="65"/>
      <c r="AL507" s="461">
        <f>SUM(F507,H507,J507,L507,N507,P507,T507,V507,X507,Z507,AB507,AD507)</f>
        <v>0</v>
      </c>
      <c r="AM507" s="462">
        <f>AL507-AH507</f>
        <v>0</v>
      </c>
      <c r="AV507" s="56"/>
    </row>
    <row r="508" spans="1:48" ht="13.5" customHeight="1" outlineLevel="1" thickBot="1">
      <c r="A508" s="119"/>
      <c r="B508" s="82"/>
      <c r="C508" s="425"/>
      <c r="D508" s="425"/>
      <c r="E508" s="426"/>
      <c r="F508" s="427">
        <f>SUM(F503:F507)</f>
        <v>0</v>
      </c>
      <c r="G508" s="428"/>
      <c r="H508" s="427">
        <f>SUM(H503:H507)</f>
        <v>0</v>
      </c>
      <c r="I508" s="69"/>
      <c r="J508" s="427">
        <f>SUM(J503:J507)</f>
        <v>0</v>
      </c>
      <c r="K508" s="69"/>
      <c r="L508" s="427">
        <f>SUM(L503:L507)</f>
        <v>0</v>
      </c>
      <c r="M508" s="69"/>
      <c r="N508" s="427">
        <f>SUM(N503:N507)</f>
        <v>0</v>
      </c>
      <c r="O508" s="69"/>
      <c r="P508" s="427">
        <f>SUM(P503:P507)</f>
        <v>0</v>
      </c>
      <c r="Q508" s="69"/>
      <c r="R508" s="429"/>
      <c r="S508" s="430"/>
      <c r="T508" s="427">
        <f>SUM(T503:T507)</f>
        <v>0</v>
      </c>
      <c r="U508" s="428"/>
      <c r="V508" s="427">
        <f>SUM(V503:V507)</f>
        <v>0</v>
      </c>
      <c r="W508" s="69"/>
      <c r="X508" s="427">
        <f>SUM(X503:X507)</f>
        <v>0</v>
      </c>
      <c r="Y508" s="69"/>
      <c r="Z508" s="427">
        <f>SUM(Z503:Z507)</f>
        <v>0</v>
      </c>
      <c r="AA508" s="69"/>
      <c r="AB508" s="427">
        <f>SUM(AB503:AB507)</f>
        <v>0</v>
      </c>
      <c r="AC508" s="69"/>
      <c r="AD508" s="427">
        <f>SUM(AD503:AD507)</f>
        <v>0</v>
      </c>
      <c r="AE508" s="69"/>
      <c r="AF508" s="429"/>
      <c r="AG508" s="430"/>
      <c r="AH508" s="431"/>
      <c r="AI508" s="432"/>
      <c r="AJ508" s="65"/>
      <c r="AV508" s="56"/>
    </row>
    <row r="509" spans="1:48" ht="13.5" customHeight="1" outlineLevel="1" thickBot="1">
      <c r="A509" s="119"/>
      <c r="B509" s="82"/>
      <c r="C509" s="1098" t="s">
        <v>484</v>
      </c>
      <c r="D509" s="433"/>
      <c r="E509" s="426"/>
      <c r="F509" s="700"/>
      <c r="G509" s="428"/>
      <c r="H509" s="700"/>
      <c r="I509" s="69"/>
      <c r="J509" s="700"/>
      <c r="K509" s="69"/>
      <c r="L509" s="700"/>
      <c r="M509" s="69"/>
      <c r="N509" s="700"/>
      <c r="O509" s="69"/>
      <c r="P509" s="700"/>
      <c r="Q509" s="69"/>
      <c r="R509" s="429"/>
      <c r="S509" s="430"/>
      <c r="T509" s="700"/>
      <c r="U509" s="428"/>
      <c r="V509" s="700"/>
      <c r="W509" s="69"/>
      <c r="X509" s="700"/>
      <c r="Y509" s="69"/>
      <c r="Z509" s="700"/>
      <c r="AA509" s="69"/>
      <c r="AB509" s="1108"/>
      <c r="AC509" s="69"/>
      <c r="AD509" s="1108"/>
      <c r="AE509" s="69"/>
      <c r="AF509" s="429"/>
      <c r="AG509" s="430"/>
      <c r="AH509" s="431"/>
      <c r="AI509" s="432"/>
      <c r="AJ509" s="65"/>
      <c r="AV509" s="56"/>
    </row>
    <row r="510" spans="1:48" ht="13.5" customHeight="1" outlineLevel="1" thickBot="1">
      <c r="B510" s="82">
        <f>B503+1</f>
        <v>73</v>
      </c>
      <c r="C510" s="1230">
        <f>'Terms and Turnovers'!C88</f>
        <v>0</v>
      </c>
      <c r="D510" s="1230">
        <f>'Terms and Turnovers'!D88</f>
        <v>0</v>
      </c>
      <c r="E510" s="83" t="str">
        <f>'Terms and Turnovers'!$J$12</f>
        <v>FLIP-FLOPS</v>
      </c>
      <c r="F510" s="121">
        <f>$R510*G510</f>
        <v>0</v>
      </c>
      <c r="G510" s="69">
        <v>0</v>
      </c>
      <c r="H510" s="316">
        <f>$R510*I510</f>
        <v>0</v>
      </c>
      <c r="I510" s="69">
        <v>0</v>
      </c>
      <c r="J510" s="118">
        <f t="shared" si="46"/>
        <v>0</v>
      </c>
      <c r="K510" s="69">
        <v>0</v>
      </c>
      <c r="L510" s="314">
        <f t="shared" si="47"/>
        <v>0</v>
      </c>
      <c r="M510" s="69">
        <v>0</v>
      </c>
      <c r="N510" s="314">
        <f t="shared" si="48"/>
        <v>0</v>
      </c>
      <c r="O510" s="69">
        <v>0</v>
      </c>
      <c r="P510" s="121">
        <f t="shared" si="49"/>
        <v>0</v>
      </c>
      <c r="Q510" s="69">
        <v>0</v>
      </c>
      <c r="R510" s="87">
        <f>'Terms and Turnovers'!K88</f>
        <v>0</v>
      </c>
      <c r="S510" s="160">
        <f t="shared" si="56"/>
        <v>0</v>
      </c>
      <c r="T510" s="121">
        <f t="shared" si="60"/>
        <v>0</v>
      </c>
      <c r="U510" s="69">
        <v>0</v>
      </c>
      <c r="V510" s="316">
        <f t="shared" si="51"/>
        <v>0</v>
      </c>
      <c r="W510" s="69">
        <v>0</v>
      </c>
      <c r="X510" s="118">
        <f t="shared" si="52"/>
        <v>0</v>
      </c>
      <c r="Y510" s="69">
        <v>0</v>
      </c>
      <c r="Z510" s="314">
        <f t="shared" si="53"/>
        <v>0</v>
      </c>
      <c r="AA510" s="69">
        <v>0</v>
      </c>
      <c r="AB510" s="314">
        <f t="shared" si="54"/>
        <v>0</v>
      </c>
      <c r="AC510" s="69">
        <v>0</v>
      </c>
      <c r="AD510" s="121">
        <f t="shared" si="55"/>
        <v>0</v>
      </c>
      <c r="AE510" s="69">
        <v>0</v>
      </c>
      <c r="AF510" s="87">
        <f>'Terms and Turnovers'!P88</f>
        <v>0</v>
      </c>
      <c r="AG510" s="160">
        <f t="shared" si="57"/>
        <v>0</v>
      </c>
      <c r="AH510" s="157">
        <f t="shared" si="58"/>
        <v>0</v>
      </c>
      <c r="AI510" s="131">
        <f t="shared" si="59"/>
        <v>0</v>
      </c>
      <c r="AJ510" s="65"/>
      <c r="AL510" s="461">
        <f>SUM(F510,H510,J510,L510,N510,P510,T510,V510,X510,Z510,AB510,AD510)</f>
        <v>0</v>
      </c>
      <c r="AM510" s="462">
        <f>AL510-AH510</f>
        <v>0</v>
      </c>
      <c r="AV510" s="56"/>
    </row>
    <row r="511" spans="1:48" ht="13.5" customHeight="1" outlineLevel="1" thickBot="1">
      <c r="B511" s="82"/>
      <c r="C511" s="1231"/>
      <c r="D511" s="1231"/>
      <c r="E511" s="84" t="str">
        <f>'Terms and Turnovers'!$T$12</f>
        <v>ORIGINALS</v>
      </c>
      <c r="F511" s="121">
        <f>$R511*G511</f>
        <v>0</v>
      </c>
      <c r="G511" s="723"/>
      <c r="H511" s="121">
        <f>$R511*I511</f>
        <v>0</v>
      </c>
      <c r="I511" s="69">
        <v>0</v>
      </c>
      <c r="J511" s="120">
        <f t="shared" si="46"/>
        <v>0</v>
      </c>
      <c r="K511" s="69">
        <v>0</v>
      </c>
      <c r="L511" s="120">
        <f t="shared" si="47"/>
        <v>0</v>
      </c>
      <c r="M511" s="69">
        <v>0</v>
      </c>
      <c r="N511" s="315">
        <f t="shared" si="48"/>
        <v>0</v>
      </c>
      <c r="O511" s="69">
        <v>0</v>
      </c>
      <c r="P511" s="121">
        <f t="shared" si="49"/>
        <v>0</v>
      </c>
      <c r="Q511" s="69">
        <v>0</v>
      </c>
      <c r="R511" s="88">
        <f>'Terms and Turnovers'!U88</f>
        <v>0</v>
      </c>
      <c r="S511" s="161">
        <f t="shared" si="56"/>
        <v>0</v>
      </c>
      <c r="T511" s="121">
        <f t="shared" si="60"/>
        <v>0</v>
      </c>
      <c r="U511" s="69">
        <v>0</v>
      </c>
      <c r="V511" s="121">
        <f t="shared" si="51"/>
        <v>0</v>
      </c>
      <c r="W511" s="69">
        <v>0</v>
      </c>
      <c r="X511" s="120">
        <f t="shared" si="52"/>
        <v>0</v>
      </c>
      <c r="Y511" s="69">
        <v>0</v>
      </c>
      <c r="Z511" s="120">
        <f t="shared" si="53"/>
        <v>0</v>
      </c>
      <c r="AA511" s="69">
        <v>0</v>
      </c>
      <c r="AB511" s="315">
        <f t="shared" si="54"/>
        <v>0</v>
      </c>
      <c r="AC511" s="69">
        <v>0</v>
      </c>
      <c r="AD511" s="121">
        <f t="shared" si="55"/>
        <v>0</v>
      </c>
      <c r="AE511" s="69">
        <v>0</v>
      </c>
      <c r="AF511" s="88">
        <f>'Terms and Turnovers'!Z88</f>
        <v>0</v>
      </c>
      <c r="AG511" s="161">
        <f t="shared" si="57"/>
        <v>0</v>
      </c>
      <c r="AH511" s="158">
        <f t="shared" si="58"/>
        <v>0</v>
      </c>
      <c r="AI511" s="134">
        <f t="shared" si="59"/>
        <v>0</v>
      </c>
      <c r="AJ511" s="65"/>
      <c r="AL511" s="461">
        <f>SUM(F511,H511,J511,L511,N511,P511,T511,V511,X511,Z511,AB511,AD511)</f>
        <v>0</v>
      </c>
      <c r="AM511" s="462">
        <f>AL511-AH511</f>
        <v>0</v>
      </c>
      <c r="AV511" s="56"/>
    </row>
    <row r="512" spans="1:48" ht="13.5" customHeight="1" outlineLevel="1" thickBot="1">
      <c r="B512" s="82"/>
      <c r="C512" s="1231"/>
      <c r="D512" s="1231"/>
      <c r="E512" s="84" t="str">
        <f>'Terms and Turnovers'!$AD$12</f>
        <v>ACCESSORIES</v>
      </c>
      <c r="F512" s="121">
        <f>$R512*G512</f>
        <v>0</v>
      </c>
      <c r="G512" s="723"/>
      <c r="H512" s="121">
        <f>$R512*I512</f>
        <v>0</v>
      </c>
      <c r="I512" s="69">
        <v>0</v>
      </c>
      <c r="J512" s="120">
        <f t="shared" si="46"/>
        <v>0</v>
      </c>
      <c r="K512" s="69">
        <v>0</v>
      </c>
      <c r="L512" s="120">
        <f t="shared" si="47"/>
        <v>0</v>
      </c>
      <c r="M512" s="69">
        <v>0</v>
      </c>
      <c r="N512" s="315">
        <f t="shared" si="48"/>
        <v>0</v>
      </c>
      <c r="O512" s="69">
        <v>0</v>
      </c>
      <c r="P512" s="121">
        <f t="shared" si="49"/>
        <v>0</v>
      </c>
      <c r="Q512" s="69">
        <v>0</v>
      </c>
      <c r="R512" s="88">
        <f>'Terms and Turnovers'!AE88</f>
        <v>0</v>
      </c>
      <c r="S512" s="161">
        <f t="shared" si="56"/>
        <v>0</v>
      </c>
      <c r="T512" s="121">
        <f t="shared" si="60"/>
        <v>0</v>
      </c>
      <c r="U512" s="69">
        <v>0</v>
      </c>
      <c r="V512" s="121">
        <f t="shared" si="51"/>
        <v>0</v>
      </c>
      <c r="W512" s="69">
        <v>0</v>
      </c>
      <c r="X512" s="120">
        <f t="shared" si="52"/>
        <v>0</v>
      </c>
      <c r="Y512" s="69">
        <v>0</v>
      </c>
      <c r="Z512" s="120">
        <f t="shared" si="53"/>
        <v>0</v>
      </c>
      <c r="AA512" s="69">
        <v>0</v>
      </c>
      <c r="AB512" s="315">
        <f t="shared" si="54"/>
        <v>0</v>
      </c>
      <c r="AC512" s="69">
        <v>0</v>
      </c>
      <c r="AD512" s="121">
        <f t="shared" si="55"/>
        <v>0</v>
      </c>
      <c r="AE512" s="69">
        <v>0</v>
      </c>
      <c r="AF512" s="88">
        <f>'Terms and Turnovers'!AJ88</f>
        <v>0</v>
      </c>
      <c r="AG512" s="161">
        <f t="shared" si="57"/>
        <v>0</v>
      </c>
      <c r="AH512" s="158">
        <f t="shared" si="58"/>
        <v>0</v>
      </c>
      <c r="AI512" s="134">
        <f t="shared" si="59"/>
        <v>0</v>
      </c>
      <c r="AJ512" s="65"/>
      <c r="AL512" s="461">
        <f>SUM(F512,H512,J512,L512,N512,P512,T512,V512,X512,Z512,AB512,AD512)</f>
        <v>0</v>
      </c>
      <c r="AM512" s="462">
        <f>AL512-AH512</f>
        <v>0</v>
      </c>
      <c r="AV512" s="56"/>
    </row>
    <row r="513" spans="1:48" ht="13.5" customHeight="1" outlineLevel="1" thickBot="1">
      <c r="B513" s="82"/>
      <c r="C513" s="1231"/>
      <c r="D513" s="1231"/>
      <c r="E513" s="84">
        <f>'Terms and Turnovers'!$AN$12</f>
        <v>0</v>
      </c>
      <c r="F513" s="121">
        <f>$R513*G513</f>
        <v>0</v>
      </c>
      <c r="G513" s="723"/>
      <c r="H513" s="121">
        <f>$R513*I513</f>
        <v>0</v>
      </c>
      <c r="I513" s="69">
        <v>0</v>
      </c>
      <c r="J513" s="120">
        <f t="shared" si="46"/>
        <v>0</v>
      </c>
      <c r="K513" s="69">
        <v>0</v>
      </c>
      <c r="L513" s="120">
        <f t="shared" si="47"/>
        <v>0</v>
      </c>
      <c r="M513" s="69">
        <v>0</v>
      </c>
      <c r="N513" s="315">
        <f t="shared" si="48"/>
        <v>0</v>
      </c>
      <c r="O513" s="69">
        <v>0</v>
      </c>
      <c r="P513" s="121">
        <f t="shared" si="49"/>
        <v>0</v>
      </c>
      <c r="Q513" s="69">
        <v>0</v>
      </c>
      <c r="R513" s="88">
        <f>'Terms and Turnovers'!AO88</f>
        <v>0</v>
      </c>
      <c r="S513" s="161">
        <f t="shared" si="56"/>
        <v>0</v>
      </c>
      <c r="T513" s="121">
        <f t="shared" si="60"/>
        <v>0</v>
      </c>
      <c r="U513" s="69">
        <v>0</v>
      </c>
      <c r="V513" s="121">
        <f t="shared" si="51"/>
        <v>0</v>
      </c>
      <c r="W513" s="69">
        <v>0</v>
      </c>
      <c r="X513" s="120">
        <f t="shared" si="52"/>
        <v>0</v>
      </c>
      <c r="Y513" s="69">
        <v>0</v>
      </c>
      <c r="Z513" s="120">
        <f t="shared" si="53"/>
        <v>0</v>
      </c>
      <c r="AA513" s="69">
        <v>0</v>
      </c>
      <c r="AB513" s="315">
        <f t="shared" si="54"/>
        <v>0</v>
      </c>
      <c r="AC513" s="69">
        <v>0</v>
      </c>
      <c r="AD513" s="121">
        <f t="shared" si="55"/>
        <v>0</v>
      </c>
      <c r="AE513" s="69">
        <v>0</v>
      </c>
      <c r="AF513" s="88">
        <f>'Terms and Turnovers'!AT88</f>
        <v>0</v>
      </c>
      <c r="AG513" s="161">
        <f t="shared" si="57"/>
        <v>0</v>
      </c>
      <c r="AH513" s="158">
        <f t="shared" si="58"/>
        <v>0</v>
      </c>
      <c r="AI513" s="134">
        <f t="shared" si="59"/>
        <v>0</v>
      </c>
      <c r="AJ513" s="65"/>
      <c r="AL513" s="461">
        <f>SUM(F513,H513,J513,L513,N513,P513,T513,V513,X513,Z513,AB513,AD513)</f>
        <v>0</v>
      </c>
      <c r="AM513" s="462">
        <f>AL513-AH513</f>
        <v>0</v>
      </c>
      <c r="AV513" s="56"/>
    </row>
    <row r="514" spans="1:48" ht="13.5" customHeight="1" outlineLevel="1" thickBot="1">
      <c r="B514" s="82"/>
      <c r="C514" s="1232"/>
      <c r="D514" s="1232"/>
      <c r="E514" s="85">
        <f>'Terms and Turnovers'!$AX$12</f>
        <v>0</v>
      </c>
      <c r="F514" s="121">
        <f>$R514*G514</f>
        <v>0</v>
      </c>
      <c r="G514" s="72"/>
      <c r="H514" s="121">
        <f>$R514*I514</f>
        <v>0</v>
      </c>
      <c r="I514" s="69">
        <v>0</v>
      </c>
      <c r="J514" s="121">
        <f t="shared" si="46"/>
        <v>0</v>
      </c>
      <c r="K514" s="69">
        <v>0</v>
      </c>
      <c r="L514" s="121">
        <f t="shared" si="47"/>
        <v>0</v>
      </c>
      <c r="M514" s="69">
        <v>0</v>
      </c>
      <c r="N514" s="316">
        <f t="shared" si="48"/>
        <v>0</v>
      </c>
      <c r="O514" s="69">
        <v>0</v>
      </c>
      <c r="P514" s="121">
        <f t="shared" si="49"/>
        <v>0</v>
      </c>
      <c r="Q514" s="69">
        <v>0</v>
      </c>
      <c r="R514" s="89">
        <f>'Terms and Turnovers'!AY88</f>
        <v>0</v>
      </c>
      <c r="S514" s="162">
        <f t="shared" si="56"/>
        <v>0</v>
      </c>
      <c r="T514" s="121">
        <f t="shared" si="60"/>
        <v>0</v>
      </c>
      <c r="U514" s="69">
        <v>0</v>
      </c>
      <c r="V514" s="121">
        <f t="shared" si="51"/>
        <v>0</v>
      </c>
      <c r="W514" s="69">
        <v>0</v>
      </c>
      <c r="X514" s="121">
        <f t="shared" si="52"/>
        <v>0</v>
      </c>
      <c r="Y514" s="69">
        <v>0</v>
      </c>
      <c r="Z514" s="121">
        <f t="shared" si="53"/>
        <v>0</v>
      </c>
      <c r="AA514" s="69">
        <v>0</v>
      </c>
      <c r="AB514" s="316">
        <f t="shared" si="54"/>
        <v>0</v>
      </c>
      <c r="AC514" s="69">
        <v>0</v>
      </c>
      <c r="AD514" s="121">
        <f t="shared" si="55"/>
        <v>0</v>
      </c>
      <c r="AE514" s="69">
        <v>0</v>
      </c>
      <c r="AF514" s="89">
        <f>'Terms and Turnovers'!BD88</f>
        <v>0</v>
      </c>
      <c r="AG514" s="162">
        <f t="shared" si="57"/>
        <v>0</v>
      </c>
      <c r="AH514" s="159">
        <f t="shared" si="58"/>
        <v>0</v>
      </c>
      <c r="AI514" s="137">
        <f t="shared" si="59"/>
        <v>0</v>
      </c>
      <c r="AJ514" s="65"/>
      <c r="AL514" s="461">
        <f>SUM(F514,H514,J514,L514,N514,P514,T514,V514,X514,Z514,AB514,AD514)</f>
        <v>0</v>
      </c>
      <c r="AM514" s="462">
        <f>AL514-AH514</f>
        <v>0</v>
      </c>
      <c r="AV514" s="56"/>
    </row>
    <row r="515" spans="1:48" ht="13.5" customHeight="1" outlineLevel="1" thickBot="1">
      <c r="A515" s="119"/>
      <c r="B515" s="82"/>
      <c r="C515" s="425"/>
      <c r="D515" s="425"/>
      <c r="E515" s="426"/>
      <c r="F515" s="427">
        <f>SUM(F510:F514)</f>
        <v>0</v>
      </c>
      <c r="G515" s="428"/>
      <c r="H515" s="427">
        <f>SUM(H510:H514)</f>
        <v>0</v>
      </c>
      <c r="I515" s="69"/>
      <c r="J515" s="427">
        <f>SUM(J510:J514)</f>
        <v>0</v>
      </c>
      <c r="K515" s="69"/>
      <c r="L515" s="427">
        <f>SUM(L510:L514)</f>
        <v>0</v>
      </c>
      <c r="M515" s="69"/>
      <c r="N515" s="427">
        <f>SUM(N510:N514)</f>
        <v>0</v>
      </c>
      <c r="O515" s="69"/>
      <c r="P515" s="427">
        <f>SUM(P510:P514)</f>
        <v>0</v>
      </c>
      <c r="Q515" s="69"/>
      <c r="R515" s="429"/>
      <c r="S515" s="430"/>
      <c r="T515" s="427">
        <f>SUM(T510:T514)</f>
        <v>0</v>
      </c>
      <c r="U515" s="428"/>
      <c r="V515" s="427">
        <f>SUM(V510:V514)</f>
        <v>0</v>
      </c>
      <c r="W515" s="69"/>
      <c r="X515" s="427">
        <f>SUM(X510:X514)</f>
        <v>0</v>
      </c>
      <c r="Y515" s="69"/>
      <c r="Z515" s="427">
        <f>SUM(Z510:Z514)</f>
        <v>0</v>
      </c>
      <c r="AA515" s="69"/>
      <c r="AB515" s="427">
        <f>SUM(AB510:AB514)</f>
        <v>0</v>
      </c>
      <c r="AC515" s="69"/>
      <c r="AD515" s="427">
        <f>SUM(AD510:AD514)</f>
        <v>0</v>
      </c>
      <c r="AE515" s="69"/>
      <c r="AF515" s="429"/>
      <c r="AG515" s="430"/>
      <c r="AH515" s="431"/>
      <c r="AI515" s="432"/>
      <c r="AJ515" s="65"/>
      <c r="AV515" s="56"/>
    </row>
    <row r="516" spans="1:48" ht="13.5" customHeight="1" outlineLevel="1" thickBot="1">
      <c r="A516" s="119"/>
      <c r="B516" s="82"/>
      <c r="C516" s="1098" t="s">
        <v>484</v>
      </c>
      <c r="D516" s="433"/>
      <c r="E516" s="426"/>
      <c r="F516" s="700"/>
      <c r="G516" s="428"/>
      <c r="H516" s="700"/>
      <c r="I516" s="69"/>
      <c r="J516" s="700"/>
      <c r="K516" s="69"/>
      <c r="L516" s="700"/>
      <c r="M516" s="69"/>
      <c r="N516" s="700"/>
      <c r="O516" s="69"/>
      <c r="P516" s="700"/>
      <c r="Q516" s="69"/>
      <c r="R516" s="429"/>
      <c r="S516" s="430"/>
      <c r="T516" s="700"/>
      <c r="U516" s="428"/>
      <c r="V516" s="700"/>
      <c r="W516" s="69"/>
      <c r="X516" s="700"/>
      <c r="Y516" s="69">
        <f>W515*0.3+Y515*0.7</f>
        <v>0</v>
      </c>
      <c r="Z516" s="700"/>
      <c r="AA516" s="69">
        <f>Y515*0.3+AA515*0.7</f>
        <v>0</v>
      </c>
      <c r="AB516" s="700"/>
      <c r="AC516" s="69">
        <f>AA515*0.3+AC515*0.7</f>
        <v>0</v>
      </c>
      <c r="AD516" s="700"/>
      <c r="AE516" s="69"/>
      <c r="AF516" s="429"/>
      <c r="AG516" s="430"/>
      <c r="AH516" s="431"/>
      <c r="AI516" s="432"/>
      <c r="AJ516" s="65"/>
      <c r="AV516" s="56"/>
    </row>
    <row r="517" spans="1:48" ht="13.5" customHeight="1" outlineLevel="1" thickBot="1">
      <c r="B517" s="82">
        <f>B510+1</f>
        <v>74</v>
      </c>
      <c r="C517" s="1230">
        <f>'Terms and Turnovers'!C89</f>
        <v>0</v>
      </c>
      <c r="D517" s="1230">
        <f>'Terms and Turnovers'!D89</f>
        <v>0</v>
      </c>
      <c r="E517" s="83" t="str">
        <f>'Terms and Turnovers'!$J$12</f>
        <v>FLIP-FLOPS</v>
      </c>
      <c r="F517" s="121">
        <f>$R517*G517</f>
        <v>0</v>
      </c>
      <c r="G517" s="69"/>
      <c r="H517" s="316">
        <f>$R517*I517</f>
        <v>0</v>
      </c>
      <c r="I517" s="69">
        <v>0</v>
      </c>
      <c r="J517" s="118">
        <f t="shared" si="46"/>
        <v>0</v>
      </c>
      <c r="K517" s="69">
        <v>0</v>
      </c>
      <c r="L517" s="314">
        <f t="shared" si="47"/>
        <v>0</v>
      </c>
      <c r="M517" s="69">
        <v>0</v>
      </c>
      <c r="N517" s="314">
        <f t="shared" si="48"/>
        <v>0</v>
      </c>
      <c r="O517" s="69">
        <v>0</v>
      </c>
      <c r="P517" s="121">
        <f t="shared" si="49"/>
        <v>0</v>
      </c>
      <c r="Q517" s="69">
        <v>0</v>
      </c>
      <c r="R517" s="87">
        <f>'Terms and Turnovers'!K89</f>
        <v>0</v>
      </c>
      <c r="S517" s="160">
        <f t="shared" si="56"/>
        <v>0</v>
      </c>
      <c r="T517" s="121">
        <f>$AF517*U517</f>
        <v>0</v>
      </c>
      <c r="U517" s="69">
        <v>0</v>
      </c>
      <c r="V517" s="316">
        <f>$AF517*W517</f>
        <v>0</v>
      </c>
      <c r="W517" s="69">
        <v>0</v>
      </c>
      <c r="X517" s="118">
        <f>$AF517*Y517</f>
        <v>0</v>
      </c>
      <c r="Y517" s="69">
        <v>0</v>
      </c>
      <c r="Z517" s="314">
        <f>$AF517*AA517</f>
        <v>0</v>
      </c>
      <c r="AA517" s="69">
        <v>0</v>
      </c>
      <c r="AB517" s="314">
        <f>$AF517*AC517</f>
        <v>0</v>
      </c>
      <c r="AC517" s="69">
        <v>0</v>
      </c>
      <c r="AD517" s="121">
        <f>$AF517*AE517</f>
        <v>0</v>
      </c>
      <c r="AE517" s="69">
        <v>0</v>
      </c>
      <c r="AF517" s="87">
        <f>'Terms and Turnovers'!P89</f>
        <v>0</v>
      </c>
      <c r="AG517" s="160">
        <f t="shared" si="57"/>
        <v>0</v>
      </c>
      <c r="AH517" s="157">
        <f t="shared" si="58"/>
        <v>0</v>
      </c>
      <c r="AI517" s="131">
        <f t="shared" si="59"/>
        <v>0</v>
      </c>
      <c r="AJ517" s="65"/>
      <c r="AL517" s="461">
        <f>SUM(F517,H517,J517,L517,N517,P517,T517,V517,X517,Z517,AB517,AD517)</f>
        <v>0</v>
      </c>
      <c r="AM517" s="462">
        <f>AL517-AH517</f>
        <v>0</v>
      </c>
      <c r="AV517" s="56"/>
    </row>
    <row r="518" spans="1:48" ht="13.5" customHeight="1" outlineLevel="1" thickBot="1">
      <c r="B518" s="82"/>
      <c r="C518" s="1231"/>
      <c r="D518" s="1231"/>
      <c r="E518" s="84" t="str">
        <f>'Terms and Turnovers'!$T$12</f>
        <v>ORIGINALS</v>
      </c>
      <c r="F518" s="121">
        <f>$R518*G518</f>
        <v>0</v>
      </c>
      <c r="G518" s="723">
        <v>0</v>
      </c>
      <c r="H518" s="121">
        <f>$R518*I518</f>
        <v>0</v>
      </c>
      <c r="I518" s="69">
        <v>0</v>
      </c>
      <c r="J518" s="120">
        <f t="shared" si="46"/>
        <v>0</v>
      </c>
      <c r="K518" s="69">
        <v>0</v>
      </c>
      <c r="L518" s="120">
        <f t="shared" si="47"/>
        <v>0</v>
      </c>
      <c r="M518" s="69">
        <v>0</v>
      </c>
      <c r="N518" s="315">
        <f t="shared" si="48"/>
        <v>0</v>
      </c>
      <c r="O518" s="69">
        <v>0</v>
      </c>
      <c r="P518" s="121">
        <f t="shared" si="49"/>
        <v>0</v>
      </c>
      <c r="Q518" s="69">
        <v>0</v>
      </c>
      <c r="R518" s="88">
        <f>'Terms and Turnovers'!U89</f>
        <v>0</v>
      </c>
      <c r="S518" s="161">
        <f t="shared" si="56"/>
        <v>0</v>
      </c>
      <c r="T518" s="121">
        <f>$AF518*U518</f>
        <v>0</v>
      </c>
      <c r="U518" s="69">
        <v>0</v>
      </c>
      <c r="V518" s="121">
        <f>$AF518*W518</f>
        <v>0</v>
      </c>
      <c r="W518" s="69">
        <v>0</v>
      </c>
      <c r="X518" s="120">
        <f>$AF518*Y518</f>
        <v>0</v>
      </c>
      <c r="Y518" s="69">
        <v>0</v>
      </c>
      <c r="Z518" s="120">
        <f>$AF518*AA518</f>
        <v>0</v>
      </c>
      <c r="AA518" s="69">
        <v>0</v>
      </c>
      <c r="AB518" s="315">
        <f>$AF518*AC518</f>
        <v>0</v>
      </c>
      <c r="AC518" s="69">
        <v>0</v>
      </c>
      <c r="AD518" s="121">
        <f>$AF518*AE518</f>
        <v>0</v>
      </c>
      <c r="AE518" s="69">
        <v>0</v>
      </c>
      <c r="AF518" s="88">
        <f>'Terms and Turnovers'!Z89</f>
        <v>0</v>
      </c>
      <c r="AG518" s="161">
        <f t="shared" si="57"/>
        <v>0</v>
      </c>
      <c r="AH518" s="158">
        <f t="shared" si="58"/>
        <v>0</v>
      </c>
      <c r="AI518" s="134">
        <f t="shared" si="59"/>
        <v>0</v>
      </c>
      <c r="AJ518" s="65"/>
      <c r="AL518" s="461">
        <f>SUM(F518,H518,J518,L518,N518,P518,T518,V518,X518,Z518,AB518,AD518)</f>
        <v>0</v>
      </c>
      <c r="AM518" s="462">
        <f>AL518-AH518</f>
        <v>0</v>
      </c>
      <c r="AV518" s="56"/>
    </row>
    <row r="519" spans="1:48" ht="13.5" customHeight="1" outlineLevel="1" thickBot="1">
      <c r="B519" s="82"/>
      <c r="C519" s="1231"/>
      <c r="D519" s="1231"/>
      <c r="E519" s="84" t="str">
        <f>'Terms and Turnovers'!$AD$12</f>
        <v>ACCESSORIES</v>
      </c>
      <c r="F519" s="121">
        <f>$R519*G519</f>
        <v>0</v>
      </c>
      <c r="G519" s="723"/>
      <c r="H519" s="121">
        <f>$R519*I519</f>
        <v>0</v>
      </c>
      <c r="I519" s="69">
        <v>0</v>
      </c>
      <c r="J519" s="120">
        <f t="shared" si="46"/>
        <v>0</v>
      </c>
      <c r="K519" s="69">
        <v>0</v>
      </c>
      <c r="L519" s="120">
        <f t="shared" si="47"/>
        <v>0</v>
      </c>
      <c r="M519" s="69">
        <v>0</v>
      </c>
      <c r="N519" s="315">
        <f t="shared" si="48"/>
        <v>0</v>
      </c>
      <c r="O519" s="69">
        <v>0</v>
      </c>
      <c r="P519" s="121">
        <f t="shared" si="49"/>
        <v>0</v>
      </c>
      <c r="Q519" s="69">
        <v>0</v>
      </c>
      <c r="R519" s="88">
        <f>'Terms and Turnovers'!AE89</f>
        <v>0</v>
      </c>
      <c r="S519" s="161">
        <f t="shared" si="56"/>
        <v>0</v>
      </c>
      <c r="T519" s="121">
        <f>$AF519*U519</f>
        <v>0</v>
      </c>
      <c r="U519" s="69">
        <v>0</v>
      </c>
      <c r="V519" s="121">
        <f>$AF519*W519</f>
        <v>0</v>
      </c>
      <c r="W519" s="69">
        <v>0</v>
      </c>
      <c r="X519" s="120">
        <f>$AF519*Y519</f>
        <v>0</v>
      </c>
      <c r="Y519" s="69">
        <v>0</v>
      </c>
      <c r="Z519" s="120">
        <f>$AF519*AA519</f>
        <v>0</v>
      </c>
      <c r="AA519" s="69">
        <v>0</v>
      </c>
      <c r="AB519" s="315">
        <f>$AF519*AC519</f>
        <v>0</v>
      </c>
      <c r="AC519" s="69">
        <v>0</v>
      </c>
      <c r="AD519" s="121">
        <f>$AF519*AE519</f>
        <v>0</v>
      </c>
      <c r="AE519" s="69">
        <v>0</v>
      </c>
      <c r="AF519" s="88">
        <f>'Terms and Turnovers'!AJ89</f>
        <v>0</v>
      </c>
      <c r="AG519" s="161">
        <f t="shared" si="57"/>
        <v>0</v>
      </c>
      <c r="AH519" s="158">
        <f t="shared" si="58"/>
        <v>0</v>
      </c>
      <c r="AI519" s="134">
        <f t="shared" si="59"/>
        <v>0</v>
      </c>
      <c r="AJ519" s="65"/>
      <c r="AL519" s="461">
        <f>SUM(F519,H519,J519,L519,N519,P519,T519,V519,X519,Z519,AB519,AD519)</f>
        <v>0</v>
      </c>
      <c r="AM519" s="462">
        <f>AL519-AH519</f>
        <v>0</v>
      </c>
      <c r="AV519" s="56"/>
    </row>
    <row r="520" spans="1:48" ht="13.5" customHeight="1" outlineLevel="1" thickBot="1">
      <c r="B520" s="82"/>
      <c r="C520" s="1231"/>
      <c r="D520" s="1231"/>
      <c r="E520" s="84">
        <f>'Terms and Turnovers'!$AN$12</f>
        <v>0</v>
      </c>
      <c r="F520" s="121">
        <f>$R520*G520</f>
        <v>0</v>
      </c>
      <c r="G520" s="723"/>
      <c r="H520" s="121">
        <f>$R520*I520</f>
        <v>0</v>
      </c>
      <c r="I520" s="69">
        <v>0</v>
      </c>
      <c r="J520" s="120">
        <f t="shared" si="46"/>
        <v>0</v>
      </c>
      <c r="K520" s="69">
        <v>0</v>
      </c>
      <c r="L520" s="120">
        <f t="shared" si="47"/>
        <v>0</v>
      </c>
      <c r="M520" s="69">
        <v>0</v>
      </c>
      <c r="N520" s="315">
        <f t="shared" si="48"/>
        <v>0</v>
      </c>
      <c r="O520" s="69">
        <v>0</v>
      </c>
      <c r="P520" s="121">
        <f t="shared" si="49"/>
        <v>0</v>
      </c>
      <c r="Q520" s="69">
        <v>0</v>
      </c>
      <c r="R520" s="88">
        <f>'Terms and Turnovers'!AO89</f>
        <v>0</v>
      </c>
      <c r="S520" s="161">
        <f t="shared" si="56"/>
        <v>0</v>
      </c>
      <c r="T520" s="121">
        <f>$AF520*U520</f>
        <v>0</v>
      </c>
      <c r="U520" s="69">
        <v>0</v>
      </c>
      <c r="V520" s="121">
        <f>$AF520*W520</f>
        <v>0</v>
      </c>
      <c r="W520" s="69">
        <v>0</v>
      </c>
      <c r="X520" s="120">
        <f>$AF520*Y520</f>
        <v>0</v>
      </c>
      <c r="Y520" s="69">
        <v>0</v>
      </c>
      <c r="Z520" s="120">
        <f>$AF520*AA520</f>
        <v>0</v>
      </c>
      <c r="AA520" s="69">
        <v>0</v>
      </c>
      <c r="AB520" s="315">
        <f>$AF520*AC520</f>
        <v>0</v>
      </c>
      <c r="AC520" s="69">
        <v>0</v>
      </c>
      <c r="AD520" s="121">
        <f>$AF520*AE520</f>
        <v>0</v>
      </c>
      <c r="AE520" s="69">
        <v>0</v>
      </c>
      <c r="AF520" s="88">
        <f>'Terms and Turnovers'!AT89</f>
        <v>0</v>
      </c>
      <c r="AG520" s="161">
        <f t="shared" si="57"/>
        <v>0</v>
      </c>
      <c r="AH520" s="158">
        <f t="shared" si="58"/>
        <v>0</v>
      </c>
      <c r="AI520" s="134">
        <f t="shared" si="59"/>
        <v>0</v>
      </c>
      <c r="AJ520" s="65"/>
      <c r="AL520" s="461">
        <f>SUM(F520,H520,J520,L520,N520,P520,T520,V520,X520,Z520,AB520,AD520)</f>
        <v>0</v>
      </c>
      <c r="AM520" s="462">
        <f>AL520-AH520</f>
        <v>0</v>
      </c>
      <c r="AV520" s="56"/>
    </row>
    <row r="521" spans="1:48" ht="13.5" customHeight="1" outlineLevel="1" thickBot="1">
      <c r="B521" s="82"/>
      <c r="C521" s="1232"/>
      <c r="D521" s="1232"/>
      <c r="E521" s="85">
        <f>'Terms and Turnovers'!$AX$12</f>
        <v>0</v>
      </c>
      <c r="F521" s="121">
        <f>$R521*G521</f>
        <v>0</v>
      </c>
      <c r="G521" s="72"/>
      <c r="H521" s="121">
        <f>$R521*I521</f>
        <v>0</v>
      </c>
      <c r="I521" s="69">
        <v>0</v>
      </c>
      <c r="J521" s="121">
        <f t="shared" si="46"/>
        <v>0</v>
      </c>
      <c r="K521" s="69">
        <v>0</v>
      </c>
      <c r="L521" s="121">
        <f t="shared" si="47"/>
        <v>0</v>
      </c>
      <c r="M521" s="69">
        <v>0</v>
      </c>
      <c r="N521" s="316">
        <f t="shared" si="48"/>
        <v>0</v>
      </c>
      <c r="O521" s="69">
        <v>0</v>
      </c>
      <c r="P521" s="121">
        <f t="shared" si="49"/>
        <v>0</v>
      </c>
      <c r="Q521" s="69">
        <v>0</v>
      </c>
      <c r="R521" s="89">
        <f>'Terms and Turnovers'!AY89</f>
        <v>0</v>
      </c>
      <c r="S521" s="162">
        <f t="shared" si="56"/>
        <v>0</v>
      </c>
      <c r="T521" s="121">
        <f>$AF521*U521</f>
        <v>0</v>
      </c>
      <c r="U521" s="69">
        <v>0</v>
      </c>
      <c r="V521" s="121">
        <f>$AF521*W521</f>
        <v>0</v>
      </c>
      <c r="W521" s="69">
        <v>0</v>
      </c>
      <c r="X521" s="121">
        <f>$AF521*Y521</f>
        <v>0</v>
      </c>
      <c r="Y521" s="69">
        <v>0</v>
      </c>
      <c r="Z521" s="121">
        <f>$AF521*AA521</f>
        <v>0</v>
      </c>
      <c r="AA521" s="69">
        <v>0</v>
      </c>
      <c r="AB521" s="316">
        <f>$AF521*AC521</f>
        <v>0</v>
      </c>
      <c r="AC521" s="69">
        <v>0</v>
      </c>
      <c r="AD521" s="121">
        <f>$AF521*AE521</f>
        <v>0</v>
      </c>
      <c r="AE521" s="69">
        <v>0</v>
      </c>
      <c r="AF521" s="89">
        <f>'Terms and Turnovers'!BD89</f>
        <v>0</v>
      </c>
      <c r="AG521" s="162">
        <f t="shared" si="57"/>
        <v>0</v>
      </c>
      <c r="AH521" s="159">
        <f t="shared" si="58"/>
        <v>0</v>
      </c>
      <c r="AI521" s="137">
        <f t="shared" si="59"/>
        <v>0</v>
      </c>
      <c r="AJ521" s="65"/>
      <c r="AL521" s="461">
        <f>SUM(F521,H521,J521,L521,N521,P521,T521,V521,X521,Z521,AB521,AD521)</f>
        <v>0</v>
      </c>
      <c r="AM521" s="462">
        <f>AL521-AH521</f>
        <v>0</v>
      </c>
      <c r="AV521" s="56"/>
    </row>
    <row r="522" spans="1:48" ht="13.5" customHeight="1" outlineLevel="1" thickBot="1">
      <c r="A522" s="119"/>
      <c r="B522" s="82"/>
      <c r="C522" s="425"/>
      <c r="D522" s="425"/>
      <c r="E522" s="426"/>
      <c r="F522" s="427">
        <f>SUM(F517:F521)</f>
        <v>0</v>
      </c>
      <c r="G522" s="428"/>
      <c r="H522" s="427">
        <f>SUM(H517:H521)</f>
        <v>0</v>
      </c>
      <c r="I522" s="69"/>
      <c r="J522" s="427">
        <f>SUM(J517:J521)</f>
        <v>0</v>
      </c>
      <c r="K522" s="69"/>
      <c r="L522" s="427">
        <f>SUM(L517:L521)</f>
        <v>0</v>
      </c>
      <c r="M522" s="69"/>
      <c r="N522" s="427">
        <f>SUM(N517:N521)</f>
        <v>0</v>
      </c>
      <c r="O522" s="69"/>
      <c r="P522" s="427">
        <f>SUM(P517:P521)</f>
        <v>0</v>
      </c>
      <c r="Q522" s="69"/>
      <c r="R522" s="429"/>
      <c r="S522" s="430"/>
      <c r="T522" s="427">
        <f>SUM(T517:T521)</f>
        <v>0</v>
      </c>
      <c r="U522" s="428"/>
      <c r="V522" s="427">
        <f>SUM(V517:V521)</f>
        <v>0</v>
      </c>
      <c r="W522" s="69"/>
      <c r="X522" s="427">
        <f>SUM(X517:X521)</f>
        <v>0</v>
      </c>
      <c r="Y522" s="69"/>
      <c r="Z522" s="427">
        <f>SUM(Z517:Z521)</f>
        <v>0</v>
      </c>
      <c r="AA522" s="69"/>
      <c r="AB522" s="427">
        <f>SUM(AB517:AB521)</f>
        <v>0</v>
      </c>
      <c r="AC522" s="69"/>
      <c r="AD522" s="427">
        <f>SUM(AD517:AD521)</f>
        <v>0</v>
      </c>
      <c r="AE522" s="69"/>
      <c r="AF522" s="429"/>
      <c r="AG522" s="430"/>
      <c r="AH522" s="431"/>
      <c r="AI522" s="432"/>
      <c r="AJ522" s="65"/>
      <c r="AV522" s="56"/>
    </row>
    <row r="523" spans="1:48" ht="13.5" customHeight="1" outlineLevel="1" thickBot="1">
      <c r="A523" s="119"/>
      <c r="B523" s="82"/>
      <c r="C523" s="1098" t="s">
        <v>484</v>
      </c>
      <c r="D523" s="433"/>
      <c r="E523" s="426"/>
      <c r="F523" s="700"/>
      <c r="G523" s="428"/>
      <c r="H523" s="700"/>
      <c r="I523" s="69"/>
      <c r="J523" s="700"/>
      <c r="K523" s="69"/>
      <c r="L523" s="700"/>
      <c r="M523" s="69"/>
      <c r="N523" s="700"/>
      <c r="O523" s="69"/>
      <c r="P523" s="700"/>
      <c r="Q523" s="69"/>
      <c r="R523" s="429"/>
      <c r="S523" s="430"/>
      <c r="T523" s="700"/>
      <c r="U523" s="428"/>
      <c r="V523" s="700"/>
      <c r="W523" s="69"/>
      <c r="X523" s="700"/>
      <c r="Y523" s="69">
        <f>W522*0.3+Y522*0.7</f>
        <v>0</v>
      </c>
      <c r="Z523" s="700"/>
      <c r="AA523" s="69">
        <f>Y522*0.3+AA522*0.7</f>
        <v>0</v>
      </c>
      <c r="AB523" s="700"/>
      <c r="AC523" s="69">
        <f>AA522*0.3+AC522*0.7</f>
        <v>0</v>
      </c>
      <c r="AD523" s="700"/>
      <c r="AE523" s="69"/>
      <c r="AF523" s="429"/>
      <c r="AG523" s="430"/>
      <c r="AH523" s="431"/>
      <c r="AI523" s="432"/>
      <c r="AJ523" s="65"/>
      <c r="AV523" s="56"/>
    </row>
    <row r="524" spans="1:48" ht="13.5" customHeight="1" outlineLevel="1" thickBot="1">
      <c r="B524" s="82">
        <f>B517+1</f>
        <v>75</v>
      </c>
      <c r="C524" s="1230">
        <f>'Terms and Turnovers'!C90</f>
        <v>0</v>
      </c>
      <c r="D524" s="1230">
        <f>'Terms and Turnovers'!D90</f>
        <v>0</v>
      </c>
      <c r="E524" s="83" t="str">
        <f>'Terms and Turnovers'!$J$12</f>
        <v>FLIP-FLOPS</v>
      </c>
      <c r="F524" s="121">
        <f>$R524*G524</f>
        <v>0</v>
      </c>
      <c r="G524" s="69"/>
      <c r="H524" s="316">
        <f>$R524*I524</f>
        <v>0</v>
      </c>
      <c r="I524" s="69">
        <v>0</v>
      </c>
      <c r="J524" s="118">
        <f t="shared" si="46"/>
        <v>0</v>
      </c>
      <c r="K524" s="69">
        <v>0</v>
      </c>
      <c r="L524" s="314">
        <f t="shared" si="47"/>
        <v>0</v>
      </c>
      <c r="M524" s="69">
        <v>0</v>
      </c>
      <c r="N524" s="314">
        <f t="shared" si="48"/>
        <v>0</v>
      </c>
      <c r="O524" s="69">
        <v>0</v>
      </c>
      <c r="P524" s="121">
        <f t="shared" si="49"/>
        <v>0</v>
      </c>
      <c r="Q524" s="69">
        <v>0</v>
      </c>
      <c r="R524" s="87">
        <f>'Terms and Turnovers'!K90</f>
        <v>0</v>
      </c>
      <c r="S524" s="160">
        <f t="shared" si="56"/>
        <v>0</v>
      </c>
      <c r="T524" s="121">
        <f t="shared" si="60"/>
        <v>0</v>
      </c>
      <c r="U524" s="69">
        <v>0</v>
      </c>
      <c r="V524" s="316">
        <f t="shared" si="51"/>
        <v>0</v>
      </c>
      <c r="W524" s="69">
        <v>0</v>
      </c>
      <c r="X524" s="118">
        <f t="shared" si="52"/>
        <v>0</v>
      </c>
      <c r="Y524" s="69">
        <v>0</v>
      </c>
      <c r="Z524" s="314">
        <f t="shared" si="53"/>
        <v>0</v>
      </c>
      <c r="AA524" s="69">
        <v>0</v>
      </c>
      <c r="AB524" s="314">
        <f t="shared" si="54"/>
        <v>0</v>
      </c>
      <c r="AC524" s="69">
        <v>0</v>
      </c>
      <c r="AD524" s="121">
        <f t="shared" si="55"/>
        <v>0</v>
      </c>
      <c r="AE524" s="69">
        <v>0</v>
      </c>
      <c r="AF524" s="87">
        <f>'Terms and Turnovers'!P90</f>
        <v>0</v>
      </c>
      <c r="AG524" s="160">
        <f t="shared" si="57"/>
        <v>0</v>
      </c>
      <c r="AH524" s="157">
        <f t="shared" si="58"/>
        <v>0</v>
      </c>
      <c r="AI524" s="131">
        <f t="shared" si="59"/>
        <v>0</v>
      </c>
      <c r="AJ524" s="65"/>
      <c r="AV524" s="56"/>
    </row>
    <row r="525" spans="1:48" ht="13.5" customHeight="1" outlineLevel="1" thickBot="1">
      <c r="B525" s="82"/>
      <c r="C525" s="1231"/>
      <c r="D525" s="1231"/>
      <c r="E525" s="84" t="str">
        <f>'Terms and Turnovers'!$T$12</f>
        <v>ORIGINALS</v>
      </c>
      <c r="F525" s="121">
        <f>$R525*G525</f>
        <v>0</v>
      </c>
      <c r="G525" s="723"/>
      <c r="H525" s="121">
        <f>$R525*I525</f>
        <v>0</v>
      </c>
      <c r="I525" s="69">
        <v>0</v>
      </c>
      <c r="J525" s="120">
        <f t="shared" si="46"/>
        <v>0</v>
      </c>
      <c r="K525" s="69">
        <v>0</v>
      </c>
      <c r="L525" s="120">
        <f t="shared" si="47"/>
        <v>0</v>
      </c>
      <c r="M525" s="69">
        <v>0</v>
      </c>
      <c r="N525" s="315">
        <f t="shared" si="48"/>
        <v>0</v>
      </c>
      <c r="O525" s="69">
        <v>0</v>
      </c>
      <c r="P525" s="121">
        <f t="shared" si="49"/>
        <v>0</v>
      </c>
      <c r="Q525" s="69">
        <v>0</v>
      </c>
      <c r="R525" s="88">
        <f>'Terms and Turnovers'!U90</f>
        <v>0</v>
      </c>
      <c r="S525" s="161">
        <f t="shared" si="56"/>
        <v>0</v>
      </c>
      <c r="T525" s="121">
        <f t="shared" si="60"/>
        <v>0</v>
      </c>
      <c r="U525" s="69">
        <v>0</v>
      </c>
      <c r="V525" s="121">
        <f t="shared" si="51"/>
        <v>0</v>
      </c>
      <c r="W525" s="69">
        <v>0</v>
      </c>
      <c r="X525" s="120">
        <f t="shared" si="52"/>
        <v>0</v>
      </c>
      <c r="Y525" s="69">
        <v>0</v>
      </c>
      <c r="Z525" s="120">
        <f t="shared" si="53"/>
        <v>0</v>
      </c>
      <c r="AA525" s="69">
        <v>0</v>
      </c>
      <c r="AB525" s="315">
        <f t="shared" si="54"/>
        <v>0</v>
      </c>
      <c r="AC525" s="69">
        <v>0</v>
      </c>
      <c r="AD525" s="121">
        <f t="shared" si="55"/>
        <v>0</v>
      </c>
      <c r="AE525" s="69">
        <v>0</v>
      </c>
      <c r="AF525" s="88">
        <f>'Terms and Turnovers'!Z90</f>
        <v>0</v>
      </c>
      <c r="AG525" s="161">
        <f t="shared" si="57"/>
        <v>0</v>
      </c>
      <c r="AH525" s="158">
        <f t="shared" si="58"/>
        <v>0</v>
      </c>
      <c r="AI525" s="134">
        <f t="shared" si="59"/>
        <v>0</v>
      </c>
      <c r="AJ525" s="65"/>
      <c r="AV525" s="56"/>
    </row>
    <row r="526" spans="1:48" ht="13.5" customHeight="1" outlineLevel="1" thickBot="1">
      <c r="B526" s="82"/>
      <c r="C526" s="1231"/>
      <c r="D526" s="1231"/>
      <c r="E526" s="84" t="str">
        <f>'Terms and Turnovers'!$AD$12</f>
        <v>ACCESSORIES</v>
      </c>
      <c r="F526" s="121">
        <f>$R526*G526</f>
        <v>0</v>
      </c>
      <c r="G526" s="723"/>
      <c r="H526" s="121">
        <f>$R526*I526</f>
        <v>0</v>
      </c>
      <c r="I526" s="69">
        <v>0</v>
      </c>
      <c r="J526" s="120">
        <f t="shared" si="46"/>
        <v>0</v>
      </c>
      <c r="K526" s="69">
        <v>0</v>
      </c>
      <c r="L526" s="120">
        <f t="shared" si="47"/>
        <v>0</v>
      </c>
      <c r="M526" s="69">
        <v>0</v>
      </c>
      <c r="N526" s="315">
        <f t="shared" si="48"/>
        <v>0</v>
      </c>
      <c r="O526" s="69">
        <v>0</v>
      </c>
      <c r="P526" s="121">
        <f t="shared" si="49"/>
        <v>0</v>
      </c>
      <c r="Q526" s="69">
        <v>0</v>
      </c>
      <c r="R526" s="88">
        <f>'Terms and Turnovers'!AE90</f>
        <v>0</v>
      </c>
      <c r="S526" s="161">
        <f t="shared" si="56"/>
        <v>0</v>
      </c>
      <c r="T526" s="121">
        <f t="shared" si="60"/>
        <v>0</v>
      </c>
      <c r="U526" s="69">
        <v>0</v>
      </c>
      <c r="V526" s="121">
        <f t="shared" si="51"/>
        <v>0</v>
      </c>
      <c r="W526" s="69">
        <v>0</v>
      </c>
      <c r="X526" s="120">
        <f t="shared" si="52"/>
        <v>0</v>
      </c>
      <c r="Y526" s="69">
        <v>0</v>
      </c>
      <c r="Z526" s="120">
        <f t="shared" si="53"/>
        <v>0</v>
      </c>
      <c r="AA526" s="69">
        <v>0</v>
      </c>
      <c r="AB526" s="315">
        <f t="shared" si="54"/>
        <v>0</v>
      </c>
      <c r="AC526" s="69">
        <v>0</v>
      </c>
      <c r="AD526" s="121">
        <f t="shared" si="55"/>
        <v>0</v>
      </c>
      <c r="AE526" s="69">
        <v>0</v>
      </c>
      <c r="AF526" s="88">
        <f>'Terms and Turnovers'!AJ90</f>
        <v>0</v>
      </c>
      <c r="AG526" s="161">
        <f t="shared" si="57"/>
        <v>0</v>
      </c>
      <c r="AH526" s="158">
        <f t="shared" si="58"/>
        <v>0</v>
      </c>
      <c r="AI526" s="134">
        <f t="shared" si="59"/>
        <v>0</v>
      </c>
      <c r="AJ526" s="65"/>
      <c r="AV526" s="56"/>
    </row>
    <row r="527" spans="1:48" ht="13.5" customHeight="1" outlineLevel="1" thickBot="1">
      <c r="B527" s="82"/>
      <c r="C527" s="1231"/>
      <c r="D527" s="1231"/>
      <c r="E527" s="84">
        <f>'Terms and Turnovers'!$AN$12</f>
        <v>0</v>
      </c>
      <c r="F527" s="121">
        <f>$R527*G527</f>
        <v>0</v>
      </c>
      <c r="G527" s="723"/>
      <c r="H527" s="121">
        <f>$R527*I527</f>
        <v>0</v>
      </c>
      <c r="I527" s="69">
        <v>0</v>
      </c>
      <c r="J527" s="120">
        <f t="shared" si="46"/>
        <v>0</v>
      </c>
      <c r="K527" s="69">
        <v>0</v>
      </c>
      <c r="L527" s="120">
        <f t="shared" si="47"/>
        <v>0</v>
      </c>
      <c r="M527" s="69">
        <v>0</v>
      </c>
      <c r="N527" s="315">
        <f t="shared" si="48"/>
        <v>0</v>
      </c>
      <c r="O527" s="69">
        <v>0</v>
      </c>
      <c r="P527" s="121">
        <f t="shared" si="49"/>
        <v>0</v>
      </c>
      <c r="Q527" s="69">
        <v>0</v>
      </c>
      <c r="R527" s="88">
        <f>'Terms and Turnovers'!AO90</f>
        <v>0</v>
      </c>
      <c r="S527" s="161">
        <f t="shared" si="56"/>
        <v>0</v>
      </c>
      <c r="T527" s="121">
        <f t="shared" si="60"/>
        <v>0</v>
      </c>
      <c r="U527" s="69">
        <v>0</v>
      </c>
      <c r="V527" s="121">
        <f t="shared" si="51"/>
        <v>0</v>
      </c>
      <c r="W527" s="69">
        <v>0</v>
      </c>
      <c r="X527" s="120">
        <f t="shared" si="52"/>
        <v>0</v>
      </c>
      <c r="Y527" s="69">
        <v>0</v>
      </c>
      <c r="Z527" s="120">
        <f t="shared" si="53"/>
        <v>0</v>
      </c>
      <c r="AA527" s="69">
        <v>0</v>
      </c>
      <c r="AB527" s="315">
        <f t="shared" si="54"/>
        <v>0</v>
      </c>
      <c r="AC527" s="69">
        <v>0</v>
      </c>
      <c r="AD527" s="121">
        <f t="shared" si="55"/>
        <v>0</v>
      </c>
      <c r="AE527" s="69">
        <v>0</v>
      </c>
      <c r="AF527" s="88">
        <f>'Terms and Turnovers'!AT90</f>
        <v>0</v>
      </c>
      <c r="AG527" s="161">
        <f t="shared" si="57"/>
        <v>0</v>
      </c>
      <c r="AH527" s="158">
        <f t="shared" si="58"/>
        <v>0</v>
      </c>
      <c r="AI527" s="134">
        <f t="shared" si="59"/>
        <v>0</v>
      </c>
      <c r="AJ527" s="65"/>
      <c r="AV527" s="56"/>
    </row>
    <row r="528" spans="1:48" ht="13.5" customHeight="1" outlineLevel="1" thickBot="1">
      <c r="B528" s="82"/>
      <c r="C528" s="1232"/>
      <c r="D528" s="1232"/>
      <c r="E528" s="85">
        <f>'Terms and Turnovers'!$AX$12</f>
        <v>0</v>
      </c>
      <c r="F528" s="121">
        <f>$R528*G528</f>
        <v>0</v>
      </c>
      <c r="G528" s="72"/>
      <c r="H528" s="121">
        <f>$R528*I528</f>
        <v>0</v>
      </c>
      <c r="I528" s="69">
        <v>0</v>
      </c>
      <c r="J528" s="121">
        <f t="shared" si="46"/>
        <v>0</v>
      </c>
      <c r="K528" s="69">
        <v>0</v>
      </c>
      <c r="L528" s="121">
        <f t="shared" si="47"/>
        <v>0</v>
      </c>
      <c r="M528" s="69">
        <v>0</v>
      </c>
      <c r="N528" s="316">
        <f t="shared" si="48"/>
        <v>0</v>
      </c>
      <c r="O528" s="69">
        <v>0</v>
      </c>
      <c r="P528" s="121">
        <f t="shared" si="49"/>
        <v>0</v>
      </c>
      <c r="Q528" s="69">
        <v>0</v>
      </c>
      <c r="R528" s="89">
        <f>'Terms and Turnovers'!AY90</f>
        <v>0</v>
      </c>
      <c r="S528" s="162">
        <f t="shared" si="56"/>
        <v>0</v>
      </c>
      <c r="T528" s="121">
        <f t="shared" si="60"/>
        <v>0</v>
      </c>
      <c r="U528" s="69">
        <v>0</v>
      </c>
      <c r="V528" s="121">
        <f t="shared" si="51"/>
        <v>0</v>
      </c>
      <c r="W528" s="69">
        <v>0</v>
      </c>
      <c r="X528" s="121">
        <f t="shared" si="52"/>
        <v>0</v>
      </c>
      <c r="Y528" s="69">
        <v>0</v>
      </c>
      <c r="Z528" s="121">
        <f t="shared" si="53"/>
        <v>0</v>
      </c>
      <c r="AA528" s="69">
        <v>0</v>
      </c>
      <c r="AB528" s="316">
        <f t="shared" si="54"/>
        <v>0</v>
      </c>
      <c r="AC528" s="69">
        <v>0</v>
      </c>
      <c r="AD528" s="121">
        <f t="shared" si="55"/>
        <v>0</v>
      </c>
      <c r="AE528" s="69">
        <v>0</v>
      </c>
      <c r="AF528" s="89">
        <f>'Terms and Turnovers'!BD90</f>
        <v>0</v>
      </c>
      <c r="AG528" s="162">
        <f t="shared" si="57"/>
        <v>0</v>
      </c>
      <c r="AH528" s="159">
        <f t="shared" si="58"/>
        <v>0</v>
      </c>
      <c r="AI528" s="137">
        <f t="shared" si="59"/>
        <v>0</v>
      </c>
      <c r="AJ528" s="65"/>
      <c r="AV528" s="56"/>
    </row>
    <row r="529" spans="1:48" ht="13.5" customHeight="1" outlineLevel="1" thickBot="1">
      <c r="A529" s="119"/>
      <c r="B529" s="82"/>
      <c r="C529" s="425"/>
      <c r="D529" s="425"/>
      <c r="E529" s="426"/>
      <c r="F529" s="427">
        <f>SUM(F524:F528)</f>
        <v>0</v>
      </c>
      <c r="G529" s="428"/>
      <c r="H529" s="427">
        <f>SUM(H524:H528)</f>
        <v>0</v>
      </c>
      <c r="I529" s="69"/>
      <c r="J529" s="427">
        <f>SUM(J524:J528)</f>
        <v>0</v>
      </c>
      <c r="K529" s="69"/>
      <c r="L529" s="427">
        <f>SUM(L524:L528)</f>
        <v>0</v>
      </c>
      <c r="M529" s="69"/>
      <c r="N529" s="427">
        <f>SUM(N524:N528)</f>
        <v>0</v>
      </c>
      <c r="O529" s="69"/>
      <c r="P529" s="427">
        <f>SUM(P524:P528)</f>
        <v>0</v>
      </c>
      <c r="Q529" s="69"/>
      <c r="R529" s="429"/>
      <c r="S529" s="430"/>
      <c r="T529" s="427">
        <f>SUM(T524:T528)</f>
        <v>0</v>
      </c>
      <c r="U529" s="428"/>
      <c r="V529" s="427">
        <f>SUM(V524:V528)</f>
        <v>0</v>
      </c>
      <c r="W529" s="69"/>
      <c r="X529" s="427">
        <f>SUM(X524:X528)</f>
        <v>0</v>
      </c>
      <c r="Y529" s="69"/>
      <c r="Z529" s="427">
        <f>SUM(Z524:Z528)</f>
        <v>0</v>
      </c>
      <c r="AA529" s="69"/>
      <c r="AB529" s="427">
        <f>SUM(AB524:AB528)</f>
        <v>0</v>
      </c>
      <c r="AC529" s="69"/>
      <c r="AD529" s="427">
        <f>SUM(AD524:AD528)</f>
        <v>0</v>
      </c>
      <c r="AE529" s="69"/>
      <c r="AF529" s="429"/>
      <c r="AG529" s="430"/>
      <c r="AH529" s="431"/>
      <c r="AI529" s="432"/>
      <c r="AJ529" s="65"/>
      <c r="AV529" s="56"/>
    </row>
    <row r="530" spans="1:48" ht="13.5" customHeight="1" outlineLevel="1" thickBot="1">
      <c r="A530" s="119"/>
      <c r="B530" s="82"/>
      <c r="C530" s="1098" t="s">
        <v>484</v>
      </c>
      <c r="D530" s="433"/>
      <c r="E530" s="426"/>
      <c r="F530" s="700"/>
      <c r="G530" s="428"/>
      <c r="H530" s="700"/>
      <c r="I530" s="69"/>
      <c r="J530" s="700"/>
      <c r="K530" s="69"/>
      <c r="L530" s="700"/>
      <c r="M530" s="69"/>
      <c r="N530" s="700"/>
      <c r="O530" s="69"/>
      <c r="P530" s="700"/>
      <c r="Q530" s="69"/>
      <c r="R530" s="429"/>
      <c r="S530" s="430"/>
      <c r="T530" s="700"/>
      <c r="U530" s="428"/>
      <c r="V530" s="700"/>
      <c r="W530" s="69"/>
      <c r="X530" s="700"/>
      <c r="Y530" s="69">
        <f>W528*0.3+Y528*0.7</f>
        <v>0</v>
      </c>
      <c r="Z530" s="700"/>
      <c r="AA530" s="69">
        <f>Y528*0.3+AA528*0.7</f>
        <v>0</v>
      </c>
      <c r="AB530" s="700"/>
      <c r="AC530" s="69">
        <f>AA528*0.3+AC528*0.7</f>
        <v>0</v>
      </c>
      <c r="AD530" s="700"/>
      <c r="AE530" s="69"/>
      <c r="AF530" s="429"/>
      <c r="AG530" s="430"/>
      <c r="AH530" s="431"/>
      <c r="AI530" s="432"/>
      <c r="AJ530" s="65"/>
      <c r="AV530" s="56"/>
    </row>
    <row r="531" spans="1:48" ht="13.5" customHeight="1" outlineLevel="1" thickBot="1">
      <c r="B531" s="82">
        <f>B524+1</f>
        <v>76</v>
      </c>
      <c r="C531" s="1230">
        <f>'Terms and Turnovers'!C91</f>
        <v>0</v>
      </c>
      <c r="D531" s="1230">
        <f>'Terms and Turnovers'!D91</f>
        <v>0</v>
      </c>
      <c r="E531" s="83" t="str">
        <f>'Terms and Turnovers'!$J$12</f>
        <v>FLIP-FLOPS</v>
      </c>
      <c r="F531" s="121">
        <f>$R531*G531</f>
        <v>0</v>
      </c>
      <c r="G531" s="69"/>
      <c r="H531" s="316">
        <f>$R531*I531</f>
        <v>0</v>
      </c>
      <c r="I531" s="69">
        <v>0</v>
      </c>
      <c r="J531" s="118">
        <f t="shared" si="46"/>
        <v>0</v>
      </c>
      <c r="K531" s="69">
        <v>0</v>
      </c>
      <c r="L531" s="314">
        <f t="shared" si="47"/>
        <v>0</v>
      </c>
      <c r="M531" s="69">
        <v>0</v>
      </c>
      <c r="N531" s="314">
        <f t="shared" si="48"/>
        <v>0</v>
      </c>
      <c r="O531" s="69">
        <v>0</v>
      </c>
      <c r="P531" s="121">
        <f t="shared" si="49"/>
        <v>0</v>
      </c>
      <c r="Q531" s="69">
        <v>0</v>
      </c>
      <c r="R531" s="87">
        <f>'Terms and Turnovers'!K91</f>
        <v>0</v>
      </c>
      <c r="S531" s="160">
        <f t="shared" si="56"/>
        <v>0</v>
      </c>
      <c r="T531" s="121">
        <f t="shared" si="60"/>
        <v>0</v>
      </c>
      <c r="U531" s="69">
        <v>0</v>
      </c>
      <c r="V531" s="314">
        <f>$AF531*W531</f>
        <v>0</v>
      </c>
      <c r="W531" s="69">
        <v>0</v>
      </c>
      <c r="X531" s="118">
        <f t="shared" si="52"/>
        <v>0</v>
      </c>
      <c r="Y531" s="69">
        <v>0</v>
      </c>
      <c r="Z531" s="314">
        <f t="shared" si="53"/>
        <v>0</v>
      </c>
      <c r="AA531" s="69">
        <v>0</v>
      </c>
      <c r="AB531" s="314">
        <f t="shared" si="54"/>
        <v>0</v>
      </c>
      <c r="AC531" s="69">
        <v>0</v>
      </c>
      <c r="AD531" s="118">
        <f t="shared" si="55"/>
        <v>0</v>
      </c>
      <c r="AE531" s="69">
        <v>0</v>
      </c>
      <c r="AF531" s="87">
        <f>'Terms and Turnovers'!P91</f>
        <v>0</v>
      </c>
      <c r="AG531" s="160">
        <f t="shared" si="57"/>
        <v>0</v>
      </c>
      <c r="AH531" s="157">
        <f t="shared" si="58"/>
        <v>0</v>
      </c>
      <c r="AI531" s="131">
        <f t="shared" si="59"/>
        <v>0</v>
      </c>
      <c r="AJ531" s="65"/>
      <c r="AV531" s="56"/>
    </row>
    <row r="532" spans="1:48" ht="13.5" customHeight="1" outlineLevel="1" thickBot="1">
      <c r="B532" s="82"/>
      <c r="C532" s="1231"/>
      <c r="D532" s="1231"/>
      <c r="E532" s="84" t="str">
        <f>'Terms and Turnovers'!$T$12</f>
        <v>ORIGINALS</v>
      </c>
      <c r="F532" s="121">
        <f>$R532*G532</f>
        <v>0</v>
      </c>
      <c r="G532" s="723"/>
      <c r="H532" s="121">
        <f>$R532*I532</f>
        <v>0</v>
      </c>
      <c r="I532" s="69">
        <v>0</v>
      </c>
      <c r="J532" s="120">
        <f t="shared" si="46"/>
        <v>0</v>
      </c>
      <c r="K532" s="69">
        <v>0</v>
      </c>
      <c r="L532" s="120">
        <f t="shared" si="47"/>
        <v>0</v>
      </c>
      <c r="M532" s="69">
        <v>0</v>
      </c>
      <c r="N532" s="315">
        <f t="shared" si="48"/>
        <v>0</v>
      </c>
      <c r="O532" s="69">
        <v>0</v>
      </c>
      <c r="P532" s="121">
        <f t="shared" si="49"/>
        <v>0</v>
      </c>
      <c r="Q532" s="69">
        <v>0</v>
      </c>
      <c r="R532" s="88">
        <f>'Terms and Turnovers'!U91</f>
        <v>0</v>
      </c>
      <c r="S532" s="161">
        <f t="shared" si="56"/>
        <v>0</v>
      </c>
      <c r="T532" s="121">
        <f t="shared" si="60"/>
        <v>0</v>
      </c>
      <c r="U532" s="69">
        <v>0</v>
      </c>
      <c r="V532" s="120">
        <f>$AF532*W532</f>
        <v>0</v>
      </c>
      <c r="W532" s="69">
        <v>0</v>
      </c>
      <c r="X532" s="120">
        <f t="shared" si="52"/>
        <v>0</v>
      </c>
      <c r="Y532" s="69">
        <v>0</v>
      </c>
      <c r="Z532" s="120">
        <f t="shared" si="53"/>
        <v>0</v>
      </c>
      <c r="AA532" s="69">
        <v>0</v>
      </c>
      <c r="AB532" s="315">
        <f t="shared" si="54"/>
        <v>0</v>
      </c>
      <c r="AC532" s="69">
        <v>0</v>
      </c>
      <c r="AD532" s="120">
        <f t="shared" si="55"/>
        <v>0</v>
      </c>
      <c r="AE532" s="69">
        <v>0</v>
      </c>
      <c r="AF532" s="88">
        <f>'Terms and Turnovers'!Z91</f>
        <v>0</v>
      </c>
      <c r="AG532" s="161">
        <f t="shared" si="57"/>
        <v>0</v>
      </c>
      <c r="AH532" s="158">
        <f t="shared" si="58"/>
        <v>0</v>
      </c>
      <c r="AI532" s="134">
        <f t="shared" si="59"/>
        <v>0</v>
      </c>
      <c r="AJ532" s="65"/>
      <c r="AV532" s="56"/>
    </row>
    <row r="533" spans="1:48" ht="13.5" customHeight="1" outlineLevel="1" thickBot="1">
      <c r="B533" s="82"/>
      <c r="C533" s="1231"/>
      <c r="D533" s="1231"/>
      <c r="E533" s="84" t="str">
        <f>'Terms and Turnovers'!$AD$12</f>
        <v>ACCESSORIES</v>
      </c>
      <c r="F533" s="121">
        <f>$R533*G533</f>
        <v>0</v>
      </c>
      <c r="G533" s="723"/>
      <c r="H533" s="121">
        <f>$R533*I533</f>
        <v>0</v>
      </c>
      <c r="I533" s="69">
        <v>0</v>
      </c>
      <c r="J533" s="120">
        <f t="shared" si="46"/>
        <v>0</v>
      </c>
      <c r="K533" s="69">
        <v>0</v>
      </c>
      <c r="L533" s="120">
        <f t="shared" si="47"/>
        <v>0</v>
      </c>
      <c r="M533" s="69">
        <v>0</v>
      </c>
      <c r="N533" s="315">
        <f t="shared" si="48"/>
        <v>0</v>
      </c>
      <c r="O533" s="69">
        <v>0</v>
      </c>
      <c r="P533" s="121">
        <f t="shared" si="49"/>
        <v>0</v>
      </c>
      <c r="Q533" s="69">
        <v>0</v>
      </c>
      <c r="R533" s="88">
        <f>'Terms and Turnovers'!AE91</f>
        <v>0</v>
      </c>
      <c r="S533" s="161">
        <f t="shared" si="56"/>
        <v>0</v>
      </c>
      <c r="T533" s="121">
        <f t="shared" si="60"/>
        <v>0</v>
      </c>
      <c r="U533" s="69">
        <v>0</v>
      </c>
      <c r="V533" s="120">
        <f>$AF533*W533</f>
        <v>0</v>
      </c>
      <c r="W533" s="69">
        <v>0</v>
      </c>
      <c r="X533" s="120">
        <f t="shared" si="52"/>
        <v>0</v>
      </c>
      <c r="Y533" s="69">
        <v>0</v>
      </c>
      <c r="Z533" s="120">
        <f t="shared" si="53"/>
        <v>0</v>
      </c>
      <c r="AA533" s="69">
        <v>0</v>
      </c>
      <c r="AB533" s="315">
        <f t="shared" si="54"/>
        <v>0</v>
      </c>
      <c r="AC533" s="69">
        <v>0</v>
      </c>
      <c r="AD533" s="120">
        <f t="shared" si="55"/>
        <v>0</v>
      </c>
      <c r="AE533" s="69">
        <v>0</v>
      </c>
      <c r="AF533" s="88">
        <f>'Terms and Turnovers'!AJ91</f>
        <v>0</v>
      </c>
      <c r="AG533" s="161">
        <f t="shared" si="57"/>
        <v>0</v>
      </c>
      <c r="AH533" s="158">
        <f t="shared" si="58"/>
        <v>0</v>
      </c>
      <c r="AI533" s="134">
        <f t="shared" si="59"/>
        <v>0</v>
      </c>
      <c r="AJ533" s="65"/>
      <c r="AV533" s="56"/>
    </row>
    <row r="534" spans="1:48" ht="13.5" customHeight="1" outlineLevel="1" thickBot="1">
      <c r="B534" s="82"/>
      <c r="C534" s="1231"/>
      <c r="D534" s="1231"/>
      <c r="E534" s="84">
        <f>'Terms and Turnovers'!$AN$12</f>
        <v>0</v>
      </c>
      <c r="F534" s="121">
        <f>$R534*G534</f>
        <v>0</v>
      </c>
      <c r="G534" s="723"/>
      <c r="H534" s="121">
        <f>$R534*I534</f>
        <v>0</v>
      </c>
      <c r="I534" s="69">
        <v>0</v>
      </c>
      <c r="J534" s="120">
        <f t="shared" si="46"/>
        <v>0</v>
      </c>
      <c r="K534" s="69">
        <v>0</v>
      </c>
      <c r="L534" s="120">
        <f t="shared" si="47"/>
        <v>0</v>
      </c>
      <c r="M534" s="69">
        <v>0</v>
      </c>
      <c r="N534" s="315">
        <f t="shared" si="48"/>
        <v>0</v>
      </c>
      <c r="O534" s="69">
        <v>0</v>
      </c>
      <c r="P534" s="121">
        <f t="shared" si="49"/>
        <v>0</v>
      </c>
      <c r="Q534" s="69">
        <v>0</v>
      </c>
      <c r="R534" s="88">
        <f>'Terms and Turnovers'!AO91</f>
        <v>0</v>
      </c>
      <c r="S534" s="161">
        <f t="shared" si="56"/>
        <v>0</v>
      </c>
      <c r="T534" s="121">
        <f t="shared" si="60"/>
        <v>0</v>
      </c>
      <c r="U534" s="69">
        <v>0</v>
      </c>
      <c r="V534" s="120">
        <f>$AF534*W534</f>
        <v>0</v>
      </c>
      <c r="W534" s="69">
        <v>0</v>
      </c>
      <c r="X534" s="120">
        <f t="shared" si="52"/>
        <v>0</v>
      </c>
      <c r="Y534" s="69">
        <v>0</v>
      </c>
      <c r="Z534" s="120">
        <f t="shared" si="53"/>
        <v>0</v>
      </c>
      <c r="AA534" s="69">
        <v>0</v>
      </c>
      <c r="AB534" s="315">
        <f t="shared" si="54"/>
        <v>0</v>
      </c>
      <c r="AC534" s="69">
        <v>0</v>
      </c>
      <c r="AD534" s="120">
        <f t="shared" si="55"/>
        <v>0</v>
      </c>
      <c r="AE534" s="69">
        <v>0</v>
      </c>
      <c r="AF534" s="88">
        <f>'Terms and Turnovers'!AT91</f>
        <v>0</v>
      </c>
      <c r="AG534" s="161">
        <f t="shared" si="57"/>
        <v>0</v>
      </c>
      <c r="AH534" s="158">
        <f t="shared" si="58"/>
        <v>0</v>
      </c>
      <c r="AI534" s="134">
        <f t="shared" si="59"/>
        <v>0</v>
      </c>
      <c r="AJ534" s="65"/>
      <c r="AV534" s="56"/>
    </row>
    <row r="535" spans="1:48" ht="13.5" customHeight="1" outlineLevel="1" thickBot="1">
      <c r="B535" s="82"/>
      <c r="C535" s="1232"/>
      <c r="D535" s="1232"/>
      <c r="E535" s="85">
        <f>'Terms and Turnovers'!$AX$12</f>
        <v>0</v>
      </c>
      <c r="F535" s="121">
        <f>$R535*G535</f>
        <v>0</v>
      </c>
      <c r="G535" s="72"/>
      <c r="H535" s="121">
        <f>$R535*I535</f>
        <v>0</v>
      </c>
      <c r="I535" s="69">
        <v>0</v>
      </c>
      <c r="J535" s="121">
        <f t="shared" si="46"/>
        <v>0</v>
      </c>
      <c r="K535" s="69">
        <v>0</v>
      </c>
      <c r="L535" s="121">
        <f t="shared" si="47"/>
        <v>0</v>
      </c>
      <c r="M535" s="69">
        <v>0</v>
      </c>
      <c r="N535" s="316">
        <f t="shared" si="48"/>
        <v>0</v>
      </c>
      <c r="O535" s="69">
        <v>0</v>
      </c>
      <c r="P535" s="121">
        <f t="shared" si="49"/>
        <v>0</v>
      </c>
      <c r="Q535" s="69">
        <v>0</v>
      </c>
      <c r="R535" s="89">
        <f>'Terms and Turnovers'!AY91</f>
        <v>0</v>
      </c>
      <c r="S535" s="162">
        <f t="shared" si="56"/>
        <v>0</v>
      </c>
      <c r="T535" s="121">
        <f t="shared" si="60"/>
        <v>0</v>
      </c>
      <c r="U535" s="69">
        <v>0</v>
      </c>
      <c r="V535" s="121">
        <f>$AF535*W535</f>
        <v>0</v>
      </c>
      <c r="W535" s="69">
        <v>0</v>
      </c>
      <c r="X535" s="121">
        <f t="shared" si="52"/>
        <v>0</v>
      </c>
      <c r="Y535" s="69">
        <v>0</v>
      </c>
      <c r="Z535" s="121">
        <f t="shared" si="53"/>
        <v>0</v>
      </c>
      <c r="AA535" s="69">
        <v>0</v>
      </c>
      <c r="AB535" s="316">
        <f t="shared" si="54"/>
        <v>0</v>
      </c>
      <c r="AC535" s="69">
        <v>0</v>
      </c>
      <c r="AD535" s="121">
        <f t="shared" si="55"/>
        <v>0</v>
      </c>
      <c r="AE535" s="69">
        <v>0</v>
      </c>
      <c r="AF535" s="89">
        <f>'Terms and Turnovers'!BD381</f>
        <v>0</v>
      </c>
      <c r="AG535" s="162">
        <f t="shared" si="57"/>
        <v>0</v>
      </c>
      <c r="AH535" s="159">
        <f t="shared" si="58"/>
        <v>0</v>
      </c>
      <c r="AI535" s="137">
        <f t="shared" si="59"/>
        <v>0</v>
      </c>
      <c r="AJ535" s="65"/>
      <c r="AV535" s="56"/>
    </row>
    <row r="536" spans="1:48" ht="13.5" customHeight="1" outlineLevel="1" thickBot="1">
      <c r="A536" s="119"/>
      <c r="B536" s="82"/>
      <c r="C536" s="425"/>
      <c r="D536" s="425"/>
      <c r="E536" s="426"/>
      <c r="F536" s="427">
        <f>SUM(F531:F535)</f>
        <v>0</v>
      </c>
      <c r="G536" s="428"/>
      <c r="H536" s="427">
        <f>SUM(H531:H535)</f>
        <v>0</v>
      </c>
      <c r="I536" s="69"/>
      <c r="J536" s="427">
        <f>SUM(J531:J535)</f>
        <v>0</v>
      </c>
      <c r="K536" s="69"/>
      <c r="L536" s="427">
        <f>SUM(L531:L535)</f>
        <v>0</v>
      </c>
      <c r="M536" s="69"/>
      <c r="N536" s="427">
        <f>SUM(N531:N535)</f>
        <v>0</v>
      </c>
      <c r="O536" s="69"/>
      <c r="P536" s="427">
        <f>SUM(P531:P535)</f>
        <v>0</v>
      </c>
      <c r="Q536" s="69"/>
      <c r="R536" s="429"/>
      <c r="S536" s="430"/>
      <c r="T536" s="427">
        <f>SUM(T531:T535)</f>
        <v>0</v>
      </c>
      <c r="U536" s="428"/>
      <c r="V536" s="427">
        <f>SUM(V531:V535)</f>
        <v>0</v>
      </c>
      <c r="W536" s="69"/>
      <c r="X536" s="427">
        <f>SUM(X531:X535)</f>
        <v>0</v>
      </c>
      <c r="Y536" s="69"/>
      <c r="Z536" s="427">
        <f>SUM(Z531:Z535)</f>
        <v>0</v>
      </c>
      <c r="AA536" s="69"/>
      <c r="AB536" s="427">
        <f>SUM(AB531:AB535)</f>
        <v>0</v>
      </c>
      <c r="AC536" s="69"/>
      <c r="AD536" s="427">
        <f>SUM(AD531:AD535)</f>
        <v>0</v>
      </c>
      <c r="AE536" s="69"/>
      <c r="AF536" s="429"/>
      <c r="AG536" s="430"/>
      <c r="AH536" s="431"/>
      <c r="AI536" s="432"/>
      <c r="AJ536" s="65"/>
      <c r="AV536" s="56"/>
    </row>
    <row r="537" spans="1:48" ht="13.5" customHeight="1" outlineLevel="1" thickBot="1">
      <c r="A537" s="119"/>
      <c r="B537" s="82"/>
      <c r="C537" s="1098" t="s">
        <v>484</v>
      </c>
      <c r="D537" s="433"/>
      <c r="E537" s="426"/>
      <c r="F537" s="700"/>
      <c r="G537" s="428"/>
      <c r="H537" s="700"/>
      <c r="I537" s="69"/>
      <c r="J537" s="700"/>
      <c r="K537" s="69"/>
      <c r="L537" s="700"/>
      <c r="M537" s="69"/>
      <c r="N537" s="700"/>
      <c r="O537" s="69"/>
      <c r="P537" s="700"/>
      <c r="Q537" s="69"/>
      <c r="R537" s="429"/>
      <c r="S537" s="430"/>
      <c r="T537" s="700"/>
      <c r="U537" s="428"/>
      <c r="V537" s="700"/>
      <c r="W537" s="69"/>
      <c r="X537" s="700"/>
      <c r="Y537" s="69"/>
      <c r="Z537" s="700"/>
      <c r="AA537" s="69"/>
      <c r="AB537" s="700"/>
      <c r="AC537" s="69"/>
      <c r="AD537" s="700"/>
      <c r="AE537" s="69"/>
      <c r="AF537" s="429"/>
      <c r="AG537" s="430"/>
      <c r="AH537" s="431"/>
      <c r="AI537" s="432"/>
      <c r="AJ537" s="65"/>
      <c r="AV537" s="56"/>
    </row>
    <row r="538" spans="1:48" ht="13.5" customHeight="1" outlineLevel="1" thickBot="1">
      <c r="B538" s="82">
        <f>B531+1</f>
        <v>77</v>
      </c>
      <c r="C538" s="1230">
        <f>'Terms and Turnovers'!C92</f>
        <v>0</v>
      </c>
      <c r="D538" s="1230">
        <f>'Terms and Turnovers'!D92</f>
        <v>0</v>
      </c>
      <c r="E538" s="83" t="str">
        <f>'Terms and Turnovers'!$J$12</f>
        <v>FLIP-FLOPS</v>
      </c>
      <c r="F538" s="121">
        <f>$R538*G538</f>
        <v>0</v>
      </c>
      <c r="G538" s="69"/>
      <c r="H538" s="316">
        <f>$R538*I538</f>
        <v>0</v>
      </c>
      <c r="I538" s="69">
        <v>0</v>
      </c>
      <c r="J538" s="118">
        <f t="shared" si="46"/>
        <v>0</v>
      </c>
      <c r="K538" s="69">
        <v>0</v>
      </c>
      <c r="L538" s="314">
        <f t="shared" si="47"/>
        <v>0</v>
      </c>
      <c r="M538" s="69">
        <v>0</v>
      </c>
      <c r="N538" s="314">
        <f t="shared" si="48"/>
        <v>0</v>
      </c>
      <c r="O538" s="69">
        <v>0</v>
      </c>
      <c r="P538" s="121">
        <f t="shared" si="49"/>
        <v>0</v>
      </c>
      <c r="Q538" s="69">
        <v>0</v>
      </c>
      <c r="R538" s="87">
        <f>'Terms and Turnovers'!K92</f>
        <v>0</v>
      </c>
      <c r="S538" s="160">
        <f t="shared" si="56"/>
        <v>0</v>
      </c>
      <c r="T538" s="121">
        <f t="shared" si="60"/>
        <v>0</v>
      </c>
      <c r="U538" s="69">
        <v>0</v>
      </c>
      <c r="V538" s="314">
        <f>$AF538*W538</f>
        <v>0</v>
      </c>
      <c r="W538" s="69">
        <v>0</v>
      </c>
      <c r="X538" s="118">
        <f t="shared" si="52"/>
        <v>0</v>
      </c>
      <c r="Y538" s="69">
        <v>0</v>
      </c>
      <c r="Z538" s="314">
        <f t="shared" si="53"/>
        <v>0</v>
      </c>
      <c r="AA538" s="69">
        <v>0</v>
      </c>
      <c r="AB538" s="314">
        <f t="shared" si="54"/>
        <v>0</v>
      </c>
      <c r="AC538" s="69">
        <v>0</v>
      </c>
      <c r="AD538" s="118">
        <f t="shared" si="55"/>
        <v>0</v>
      </c>
      <c r="AE538" s="69">
        <v>0</v>
      </c>
      <c r="AF538" s="87">
        <f>'Terms and Turnovers'!P92</f>
        <v>0</v>
      </c>
      <c r="AG538" s="160">
        <f t="shared" si="57"/>
        <v>0</v>
      </c>
      <c r="AH538" s="157">
        <f t="shared" si="58"/>
        <v>0</v>
      </c>
      <c r="AI538" s="131">
        <f t="shared" si="59"/>
        <v>0</v>
      </c>
      <c r="AJ538" s="65"/>
      <c r="AV538" s="56"/>
    </row>
    <row r="539" spans="1:48" ht="13.5" customHeight="1" outlineLevel="1" thickBot="1">
      <c r="B539" s="82"/>
      <c r="C539" s="1231"/>
      <c r="D539" s="1231"/>
      <c r="E539" s="84" t="str">
        <f>'Terms and Turnovers'!$T$12</f>
        <v>ORIGINALS</v>
      </c>
      <c r="F539" s="121">
        <f>$R539*G539</f>
        <v>0</v>
      </c>
      <c r="G539" s="723"/>
      <c r="H539" s="121">
        <f>$R539*I539</f>
        <v>0</v>
      </c>
      <c r="I539" s="69">
        <v>0</v>
      </c>
      <c r="J539" s="120">
        <f t="shared" si="46"/>
        <v>0</v>
      </c>
      <c r="K539" s="69">
        <v>0</v>
      </c>
      <c r="L539" s="120">
        <f t="shared" si="47"/>
        <v>0</v>
      </c>
      <c r="M539" s="69">
        <v>0</v>
      </c>
      <c r="N539" s="315">
        <f t="shared" si="48"/>
        <v>0</v>
      </c>
      <c r="O539" s="69">
        <v>0</v>
      </c>
      <c r="P539" s="121">
        <f t="shared" si="49"/>
        <v>0</v>
      </c>
      <c r="Q539" s="69">
        <v>0</v>
      </c>
      <c r="R539" s="88">
        <f>'Terms and Turnovers'!U92</f>
        <v>0</v>
      </c>
      <c r="S539" s="161">
        <f t="shared" si="56"/>
        <v>0</v>
      </c>
      <c r="T539" s="121">
        <f t="shared" si="60"/>
        <v>0</v>
      </c>
      <c r="U539" s="69">
        <v>0</v>
      </c>
      <c r="V539" s="120">
        <f>$AF539*W539</f>
        <v>0</v>
      </c>
      <c r="W539" s="69">
        <v>0</v>
      </c>
      <c r="X539" s="120">
        <f t="shared" si="52"/>
        <v>0</v>
      </c>
      <c r="Y539" s="69">
        <v>0</v>
      </c>
      <c r="Z539" s="120">
        <f t="shared" si="53"/>
        <v>0</v>
      </c>
      <c r="AA539" s="69">
        <v>0</v>
      </c>
      <c r="AB539" s="315">
        <f t="shared" si="54"/>
        <v>0</v>
      </c>
      <c r="AC539" s="69">
        <v>0</v>
      </c>
      <c r="AD539" s="120">
        <f t="shared" si="55"/>
        <v>0</v>
      </c>
      <c r="AE539" s="69">
        <v>0</v>
      </c>
      <c r="AF539" s="88">
        <f>'Terms and Turnovers'!Z92</f>
        <v>0</v>
      </c>
      <c r="AG539" s="161">
        <f t="shared" si="57"/>
        <v>0</v>
      </c>
      <c r="AH539" s="158">
        <f t="shared" si="58"/>
        <v>0</v>
      </c>
      <c r="AI539" s="134">
        <f t="shared" si="59"/>
        <v>0</v>
      </c>
      <c r="AJ539" s="65"/>
      <c r="AV539" s="56"/>
    </row>
    <row r="540" spans="1:48" ht="13.5" customHeight="1" outlineLevel="1" thickBot="1">
      <c r="B540" s="82"/>
      <c r="C540" s="1231"/>
      <c r="D540" s="1231"/>
      <c r="E540" s="84" t="str">
        <f>'Terms and Turnovers'!$AD$12</f>
        <v>ACCESSORIES</v>
      </c>
      <c r="F540" s="121">
        <f>$R540*G540</f>
        <v>0</v>
      </c>
      <c r="G540" s="723"/>
      <c r="H540" s="121">
        <f>$R540*I540</f>
        <v>0</v>
      </c>
      <c r="I540" s="69">
        <v>0</v>
      </c>
      <c r="J540" s="120">
        <f t="shared" si="46"/>
        <v>0</v>
      </c>
      <c r="K540" s="69">
        <v>0</v>
      </c>
      <c r="L540" s="120">
        <f t="shared" si="47"/>
        <v>0</v>
      </c>
      <c r="M540" s="69">
        <v>0</v>
      </c>
      <c r="N540" s="315">
        <f t="shared" si="48"/>
        <v>0</v>
      </c>
      <c r="O540" s="69">
        <v>0</v>
      </c>
      <c r="P540" s="121">
        <f t="shared" si="49"/>
        <v>0</v>
      </c>
      <c r="Q540" s="69">
        <v>0</v>
      </c>
      <c r="R540" s="88">
        <f>'Terms and Turnovers'!AE92</f>
        <v>0</v>
      </c>
      <c r="S540" s="161">
        <f t="shared" si="56"/>
        <v>0</v>
      </c>
      <c r="T540" s="121">
        <f t="shared" si="60"/>
        <v>0</v>
      </c>
      <c r="U540" s="69">
        <v>0</v>
      </c>
      <c r="V540" s="120">
        <f>$AF540*W540</f>
        <v>0</v>
      </c>
      <c r="W540" s="69">
        <v>0</v>
      </c>
      <c r="X540" s="120">
        <f t="shared" si="52"/>
        <v>0</v>
      </c>
      <c r="Y540" s="69">
        <v>0</v>
      </c>
      <c r="Z540" s="120">
        <f t="shared" si="53"/>
        <v>0</v>
      </c>
      <c r="AA540" s="69">
        <v>0</v>
      </c>
      <c r="AB540" s="315">
        <f t="shared" si="54"/>
        <v>0</v>
      </c>
      <c r="AC540" s="69">
        <v>0</v>
      </c>
      <c r="AD540" s="120">
        <f t="shared" si="55"/>
        <v>0</v>
      </c>
      <c r="AE540" s="69">
        <v>0</v>
      </c>
      <c r="AF540" s="88">
        <f>'Terms and Turnovers'!AJ92</f>
        <v>0</v>
      </c>
      <c r="AG540" s="161">
        <f t="shared" si="57"/>
        <v>0</v>
      </c>
      <c r="AH540" s="158">
        <f t="shared" si="58"/>
        <v>0</v>
      </c>
      <c r="AI540" s="134">
        <f t="shared" si="59"/>
        <v>0</v>
      </c>
      <c r="AJ540" s="65"/>
      <c r="AV540" s="56"/>
    </row>
    <row r="541" spans="1:48" ht="13.5" customHeight="1" outlineLevel="1" thickBot="1">
      <c r="B541" s="82"/>
      <c r="C541" s="1231"/>
      <c r="D541" s="1231"/>
      <c r="E541" s="84">
        <f>'Terms and Turnovers'!$AN$12</f>
        <v>0</v>
      </c>
      <c r="F541" s="121">
        <f>$R541*G541</f>
        <v>0</v>
      </c>
      <c r="G541" s="723"/>
      <c r="H541" s="121">
        <f>$R541*I541</f>
        <v>0</v>
      </c>
      <c r="I541" s="69">
        <v>0</v>
      </c>
      <c r="J541" s="120">
        <f t="shared" si="46"/>
        <v>0</v>
      </c>
      <c r="K541" s="69">
        <v>0</v>
      </c>
      <c r="L541" s="120">
        <f t="shared" si="47"/>
        <v>0</v>
      </c>
      <c r="M541" s="69">
        <v>0</v>
      </c>
      <c r="N541" s="315">
        <f t="shared" si="48"/>
        <v>0</v>
      </c>
      <c r="O541" s="69">
        <v>0</v>
      </c>
      <c r="P541" s="121">
        <f t="shared" si="49"/>
        <v>0</v>
      </c>
      <c r="Q541" s="69">
        <v>0</v>
      </c>
      <c r="R541" s="88">
        <f>'Terms and Turnovers'!AO92</f>
        <v>0</v>
      </c>
      <c r="S541" s="161">
        <f t="shared" si="56"/>
        <v>0</v>
      </c>
      <c r="T541" s="121">
        <f t="shared" si="60"/>
        <v>0</v>
      </c>
      <c r="U541" s="69">
        <v>0</v>
      </c>
      <c r="V541" s="120">
        <f>$AF541*W541</f>
        <v>0</v>
      </c>
      <c r="W541" s="69">
        <v>0</v>
      </c>
      <c r="X541" s="120">
        <f t="shared" si="52"/>
        <v>0</v>
      </c>
      <c r="Y541" s="69">
        <v>0</v>
      </c>
      <c r="Z541" s="120">
        <f t="shared" si="53"/>
        <v>0</v>
      </c>
      <c r="AA541" s="69">
        <v>0</v>
      </c>
      <c r="AB541" s="315">
        <f t="shared" si="54"/>
        <v>0</v>
      </c>
      <c r="AC541" s="69">
        <v>0</v>
      </c>
      <c r="AD541" s="120">
        <f t="shared" si="55"/>
        <v>0</v>
      </c>
      <c r="AE541" s="69">
        <v>0</v>
      </c>
      <c r="AF541" s="88">
        <f>'Terms and Turnovers'!AT92</f>
        <v>0</v>
      </c>
      <c r="AG541" s="161">
        <f t="shared" si="57"/>
        <v>0</v>
      </c>
      <c r="AH541" s="158">
        <f t="shared" si="58"/>
        <v>0</v>
      </c>
      <c r="AI541" s="134">
        <f t="shared" si="59"/>
        <v>0</v>
      </c>
      <c r="AJ541" s="65"/>
      <c r="AV541" s="56"/>
    </row>
    <row r="542" spans="1:48" ht="13.5" customHeight="1" outlineLevel="1" thickBot="1">
      <c r="B542" s="82"/>
      <c r="C542" s="1232"/>
      <c r="D542" s="1232"/>
      <c r="E542" s="85">
        <f>'Terms and Turnovers'!$AX$12</f>
        <v>0</v>
      </c>
      <c r="F542" s="121">
        <f>$R542*G542</f>
        <v>0</v>
      </c>
      <c r="G542" s="72"/>
      <c r="H542" s="121">
        <f>$R542*I542</f>
        <v>0</v>
      </c>
      <c r="I542" s="69">
        <v>0</v>
      </c>
      <c r="J542" s="121">
        <f t="shared" si="46"/>
        <v>0</v>
      </c>
      <c r="K542" s="69">
        <v>0</v>
      </c>
      <c r="L542" s="121">
        <f t="shared" si="47"/>
        <v>0</v>
      </c>
      <c r="M542" s="69">
        <v>0</v>
      </c>
      <c r="N542" s="316">
        <f t="shared" si="48"/>
        <v>0</v>
      </c>
      <c r="O542" s="69">
        <v>0</v>
      </c>
      <c r="P542" s="121">
        <f t="shared" si="49"/>
        <v>0</v>
      </c>
      <c r="Q542" s="69">
        <v>0</v>
      </c>
      <c r="R542" s="89">
        <f>'Terms and Turnovers'!AY92</f>
        <v>0</v>
      </c>
      <c r="S542" s="162">
        <f t="shared" si="56"/>
        <v>0</v>
      </c>
      <c r="T542" s="121">
        <f t="shared" si="60"/>
        <v>0</v>
      </c>
      <c r="U542" s="69">
        <v>0</v>
      </c>
      <c r="V542" s="121">
        <f>$AF542*W542</f>
        <v>0</v>
      </c>
      <c r="W542" s="69">
        <v>0</v>
      </c>
      <c r="X542" s="121">
        <f t="shared" si="52"/>
        <v>0</v>
      </c>
      <c r="Y542" s="69">
        <v>0</v>
      </c>
      <c r="Z542" s="121">
        <f t="shared" si="53"/>
        <v>0</v>
      </c>
      <c r="AA542" s="69">
        <v>0</v>
      </c>
      <c r="AB542" s="316">
        <f t="shared" si="54"/>
        <v>0</v>
      </c>
      <c r="AC542" s="69">
        <v>0</v>
      </c>
      <c r="AD542" s="121">
        <f t="shared" si="55"/>
        <v>0</v>
      </c>
      <c r="AE542" s="69">
        <v>0</v>
      </c>
      <c r="AF542" s="89">
        <f>'Terms and Turnovers'!BD92</f>
        <v>0</v>
      </c>
      <c r="AG542" s="162">
        <f t="shared" si="57"/>
        <v>0</v>
      </c>
      <c r="AH542" s="159">
        <f t="shared" si="58"/>
        <v>0</v>
      </c>
      <c r="AI542" s="137">
        <f t="shared" si="59"/>
        <v>0</v>
      </c>
      <c r="AJ542" s="65"/>
      <c r="AV542" s="56"/>
    </row>
    <row r="543" spans="1:48" ht="13.5" customHeight="1" outlineLevel="1" thickBot="1">
      <c r="A543" s="119"/>
      <c r="B543" s="82"/>
      <c r="C543" s="425"/>
      <c r="D543" s="425"/>
      <c r="E543" s="426"/>
      <c r="F543" s="427">
        <f>SUM(F538:F542)</f>
        <v>0</v>
      </c>
      <c r="G543" s="428"/>
      <c r="H543" s="427">
        <f>SUM(H538:H542)</f>
        <v>0</v>
      </c>
      <c r="I543" s="69"/>
      <c r="J543" s="427">
        <f>SUM(J538:J542)</f>
        <v>0</v>
      </c>
      <c r="K543" s="69"/>
      <c r="L543" s="427">
        <f>SUM(L538:L542)</f>
        <v>0</v>
      </c>
      <c r="M543" s="69"/>
      <c r="N543" s="427">
        <f>SUM(N538:N542)</f>
        <v>0</v>
      </c>
      <c r="O543" s="69"/>
      <c r="P543" s="427">
        <f>SUM(P538:P542)</f>
        <v>0</v>
      </c>
      <c r="Q543" s="69"/>
      <c r="R543" s="429"/>
      <c r="S543" s="430"/>
      <c r="T543" s="427">
        <f>SUM(T538:T542)</f>
        <v>0</v>
      </c>
      <c r="U543" s="428"/>
      <c r="V543" s="427">
        <f>SUM(V538:V542)</f>
        <v>0</v>
      </c>
      <c r="W543" s="69"/>
      <c r="X543" s="427">
        <f>SUM(X538:X542)</f>
        <v>0</v>
      </c>
      <c r="Y543" s="69"/>
      <c r="Z543" s="427">
        <f>SUM(Z538:Z542)</f>
        <v>0</v>
      </c>
      <c r="AA543" s="69"/>
      <c r="AB543" s="427">
        <f>SUM(AB538:AB542)</f>
        <v>0</v>
      </c>
      <c r="AC543" s="69"/>
      <c r="AD543" s="427">
        <f>SUM(AD538:AD542)</f>
        <v>0</v>
      </c>
      <c r="AE543" s="69"/>
      <c r="AF543" s="429"/>
      <c r="AG543" s="430"/>
      <c r="AH543" s="431"/>
      <c r="AI543" s="432"/>
      <c r="AJ543" s="65"/>
      <c r="AV543" s="56"/>
    </row>
    <row r="544" spans="1:48" ht="13.5" customHeight="1" outlineLevel="1" thickBot="1">
      <c r="A544" s="119"/>
      <c r="B544" s="82"/>
      <c r="C544" s="1098" t="s">
        <v>484</v>
      </c>
      <c r="D544" s="433"/>
      <c r="E544" s="426"/>
      <c r="F544" s="700"/>
      <c r="G544" s="428"/>
      <c r="H544" s="700"/>
      <c r="I544" s="69"/>
      <c r="J544" s="700"/>
      <c r="K544" s="69"/>
      <c r="L544" s="700"/>
      <c r="M544" s="69"/>
      <c r="N544" s="700"/>
      <c r="O544" s="69"/>
      <c r="P544" s="700"/>
      <c r="Q544" s="69"/>
      <c r="R544" s="429"/>
      <c r="S544" s="430"/>
      <c r="T544" s="700"/>
      <c r="U544" s="428"/>
      <c r="V544" s="700"/>
      <c r="W544" s="69"/>
      <c r="X544" s="700"/>
      <c r="Y544" s="69">
        <f>W542*0.3+Y542*0.7</f>
        <v>0</v>
      </c>
      <c r="Z544" s="700"/>
      <c r="AA544" s="69">
        <f>Y542*0.3+AA542*0.7</f>
        <v>0</v>
      </c>
      <c r="AB544" s="700"/>
      <c r="AC544" s="69">
        <f>AA542*0.3+AC542*0.7</f>
        <v>0</v>
      </c>
      <c r="AD544" s="700"/>
      <c r="AE544" s="69"/>
      <c r="AF544" s="429"/>
      <c r="AG544" s="430"/>
      <c r="AH544" s="431"/>
      <c r="AI544" s="432"/>
      <c r="AJ544" s="65"/>
      <c r="AV544" s="56"/>
    </row>
    <row r="545" spans="1:48" ht="13.5" customHeight="1" outlineLevel="1" thickBot="1">
      <c r="B545" s="82">
        <f>B538+1</f>
        <v>78</v>
      </c>
      <c r="C545" s="1230">
        <f>'Terms and Turnovers'!C93</f>
        <v>0</v>
      </c>
      <c r="D545" s="1230">
        <f>'Terms and Turnovers'!D93</f>
        <v>0</v>
      </c>
      <c r="E545" s="83" t="str">
        <f>'Terms and Turnovers'!$J$12</f>
        <v>FLIP-FLOPS</v>
      </c>
      <c r="F545" s="121">
        <f>$R545*G545</f>
        <v>0</v>
      </c>
      <c r="G545" s="69"/>
      <c r="H545" s="316">
        <f>$R545*I545</f>
        <v>0</v>
      </c>
      <c r="I545" s="69">
        <v>0</v>
      </c>
      <c r="J545" s="118">
        <f t="shared" si="46"/>
        <v>0</v>
      </c>
      <c r="K545" s="69">
        <v>0</v>
      </c>
      <c r="L545" s="314">
        <f t="shared" si="47"/>
        <v>0</v>
      </c>
      <c r="M545" s="69">
        <v>0</v>
      </c>
      <c r="N545" s="314">
        <f t="shared" si="48"/>
        <v>0</v>
      </c>
      <c r="O545" s="69">
        <v>0</v>
      </c>
      <c r="P545" s="121">
        <f t="shared" si="49"/>
        <v>0</v>
      </c>
      <c r="Q545" s="69">
        <v>0</v>
      </c>
      <c r="R545" s="87">
        <f>'Terms and Turnovers'!K93</f>
        <v>0</v>
      </c>
      <c r="S545" s="160">
        <f t="shared" si="56"/>
        <v>0</v>
      </c>
      <c r="T545" s="121">
        <f t="shared" si="60"/>
        <v>0</v>
      </c>
      <c r="U545" s="69">
        <v>0</v>
      </c>
      <c r="V545" s="314">
        <f>$AF545*W545</f>
        <v>0</v>
      </c>
      <c r="W545" s="69">
        <v>0</v>
      </c>
      <c r="X545" s="118">
        <f t="shared" si="52"/>
        <v>0</v>
      </c>
      <c r="Y545" s="69">
        <v>0</v>
      </c>
      <c r="Z545" s="314">
        <f t="shared" si="53"/>
        <v>0</v>
      </c>
      <c r="AA545" s="69">
        <v>0</v>
      </c>
      <c r="AB545" s="314">
        <f t="shared" si="54"/>
        <v>0</v>
      </c>
      <c r="AC545" s="69">
        <v>0</v>
      </c>
      <c r="AD545" s="118">
        <f t="shared" si="55"/>
        <v>0</v>
      </c>
      <c r="AE545" s="69">
        <v>0</v>
      </c>
      <c r="AF545" s="87">
        <f>'Terms and Turnovers'!P93</f>
        <v>0</v>
      </c>
      <c r="AG545" s="160">
        <f t="shared" si="57"/>
        <v>0</v>
      </c>
      <c r="AH545" s="157">
        <f t="shared" si="58"/>
        <v>0</v>
      </c>
      <c r="AI545" s="131">
        <f t="shared" si="59"/>
        <v>0</v>
      </c>
      <c r="AJ545" s="65"/>
      <c r="AV545" s="56"/>
    </row>
    <row r="546" spans="1:48" ht="13.5" customHeight="1" outlineLevel="1" thickBot="1">
      <c r="B546" s="82"/>
      <c r="C546" s="1231"/>
      <c r="D546" s="1231"/>
      <c r="E546" s="84" t="str">
        <f>'Terms and Turnovers'!$T$12</f>
        <v>ORIGINALS</v>
      </c>
      <c r="F546" s="121">
        <f>$R546*G546</f>
        <v>0</v>
      </c>
      <c r="G546" s="723"/>
      <c r="H546" s="121">
        <f>$R546*I546</f>
        <v>0</v>
      </c>
      <c r="I546" s="69">
        <v>0</v>
      </c>
      <c r="J546" s="120">
        <f t="shared" si="46"/>
        <v>0</v>
      </c>
      <c r="K546" s="69">
        <v>0</v>
      </c>
      <c r="L546" s="120">
        <f t="shared" si="47"/>
        <v>0</v>
      </c>
      <c r="M546" s="69">
        <v>0</v>
      </c>
      <c r="N546" s="315">
        <f t="shared" si="48"/>
        <v>0</v>
      </c>
      <c r="O546" s="69">
        <v>0</v>
      </c>
      <c r="P546" s="121">
        <f t="shared" si="49"/>
        <v>0</v>
      </c>
      <c r="Q546" s="69">
        <v>0</v>
      </c>
      <c r="R546" s="88">
        <f>'Terms and Turnovers'!U93</f>
        <v>0</v>
      </c>
      <c r="S546" s="161">
        <f t="shared" si="56"/>
        <v>0</v>
      </c>
      <c r="T546" s="121">
        <f t="shared" si="60"/>
        <v>0</v>
      </c>
      <c r="U546" s="69">
        <v>0</v>
      </c>
      <c r="V546" s="120">
        <f>$AF546*W546</f>
        <v>0</v>
      </c>
      <c r="W546" s="69">
        <v>0</v>
      </c>
      <c r="X546" s="120">
        <f t="shared" si="52"/>
        <v>0</v>
      </c>
      <c r="Y546" s="69">
        <v>0</v>
      </c>
      <c r="Z546" s="120">
        <f t="shared" si="53"/>
        <v>0</v>
      </c>
      <c r="AA546" s="69">
        <v>0</v>
      </c>
      <c r="AB546" s="315">
        <f t="shared" si="54"/>
        <v>0</v>
      </c>
      <c r="AC546" s="69">
        <v>0</v>
      </c>
      <c r="AD546" s="120">
        <f t="shared" si="55"/>
        <v>0</v>
      </c>
      <c r="AE546" s="69">
        <v>0</v>
      </c>
      <c r="AF546" s="88">
        <f>'Terms and Turnovers'!Z93</f>
        <v>0</v>
      </c>
      <c r="AG546" s="161">
        <f t="shared" si="57"/>
        <v>0</v>
      </c>
      <c r="AH546" s="158">
        <f t="shared" si="58"/>
        <v>0</v>
      </c>
      <c r="AI546" s="134">
        <f t="shared" si="59"/>
        <v>0</v>
      </c>
      <c r="AJ546" s="65"/>
      <c r="AV546" s="56"/>
    </row>
    <row r="547" spans="1:48" ht="13.5" customHeight="1" outlineLevel="1" thickBot="1">
      <c r="B547" s="82"/>
      <c r="C547" s="1231"/>
      <c r="D547" s="1231"/>
      <c r="E547" s="84" t="str">
        <f>'Terms and Turnovers'!$AD$12</f>
        <v>ACCESSORIES</v>
      </c>
      <c r="F547" s="121">
        <f>$R547*G547</f>
        <v>0</v>
      </c>
      <c r="G547" s="723"/>
      <c r="H547" s="121">
        <f>$R547*I547</f>
        <v>0</v>
      </c>
      <c r="I547" s="69">
        <v>0</v>
      </c>
      <c r="J547" s="120">
        <f t="shared" si="46"/>
        <v>0</v>
      </c>
      <c r="K547" s="69">
        <v>0</v>
      </c>
      <c r="L547" s="120">
        <f t="shared" si="47"/>
        <v>0</v>
      </c>
      <c r="M547" s="69">
        <v>0</v>
      </c>
      <c r="N547" s="315">
        <f t="shared" si="48"/>
        <v>0</v>
      </c>
      <c r="O547" s="69">
        <v>0</v>
      </c>
      <c r="P547" s="121">
        <f t="shared" si="49"/>
        <v>0</v>
      </c>
      <c r="Q547" s="69">
        <v>0</v>
      </c>
      <c r="R547" s="88">
        <f>'Terms and Turnovers'!AE93</f>
        <v>0</v>
      </c>
      <c r="S547" s="161">
        <f t="shared" si="56"/>
        <v>0</v>
      </c>
      <c r="T547" s="121">
        <f t="shared" si="60"/>
        <v>0</v>
      </c>
      <c r="U547" s="69">
        <v>0</v>
      </c>
      <c r="V547" s="120">
        <f>$AF547*W547</f>
        <v>0</v>
      </c>
      <c r="W547" s="69">
        <v>0</v>
      </c>
      <c r="X547" s="120">
        <f t="shared" si="52"/>
        <v>0</v>
      </c>
      <c r="Y547" s="69">
        <v>0</v>
      </c>
      <c r="Z547" s="120">
        <f t="shared" si="53"/>
        <v>0</v>
      </c>
      <c r="AA547" s="69">
        <v>0</v>
      </c>
      <c r="AB547" s="315">
        <f t="shared" si="54"/>
        <v>0</v>
      </c>
      <c r="AC547" s="69">
        <v>0</v>
      </c>
      <c r="AD547" s="120">
        <f t="shared" si="55"/>
        <v>0</v>
      </c>
      <c r="AE547" s="69">
        <v>0</v>
      </c>
      <c r="AF547" s="88">
        <f>'Terms and Turnovers'!AJ93</f>
        <v>0</v>
      </c>
      <c r="AG547" s="161">
        <f t="shared" si="57"/>
        <v>0</v>
      </c>
      <c r="AH547" s="158">
        <f t="shared" si="58"/>
        <v>0</v>
      </c>
      <c r="AI547" s="134">
        <f t="shared" si="59"/>
        <v>0</v>
      </c>
      <c r="AJ547" s="65"/>
      <c r="AV547" s="56"/>
    </row>
    <row r="548" spans="1:48" ht="13.5" customHeight="1" outlineLevel="1" thickBot="1">
      <c r="B548" s="82"/>
      <c r="C548" s="1231"/>
      <c r="D548" s="1231"/>
      <c r="E548" s="84">
        <f>'Terms and Turnovers'!$AN$12</f>
        <v>0</v>
      </c>
      <c r="F548" s="121">
        <f>$R548*G548</f>
        <v>0</v>
      </c>
      <c r="G548" s="723"/>
      <c r="H548" s="121">
        <f>$R548*I548</f>
        <v>0</v>
      </c>
      <c r="I548" s="69">
        <v>0</v>
      </c>
      <c r="J548" s="120">
        <f t="shared" si="46"/>
        <v>0</v>
      </c>
      <c r="K548" s="69">
        <v>0</v>
      </c>
      <c r="L548" s="120">
        <f t="shared" si="47"/>
        <v>0</v>
      </c>
      <c r="M548" s="69">
        <v>0</v>
      </c>
      <c r="N548" s="315">
        <f t="shared" si="48"/>
        <v>0</v>
      </c>
      <c r="O548" s="69">
        <v>0</v>
      </c>
      <c r="P548" s="121">
        <f t="shared" si="49"/>
        <v>0</v>
      </c>
      <c r="Q548" s="69">
        <v>0</v>
      </c>
      <c r="R548" s="88">
        <f>'Terms and Turnovers'!AO93</f>
        <v>0</v>
      </c>
      <c r="S548" s="161">
        <f t="shared" si="56"/>
        <v>0</v>
      </c>
      <c r="T548" s="121">
        <f t="shared" si="60"/>
        <v>0</v>
      </c>
      <c r="U548" s="69">
        <v>0</v>
      </c>
      <c r="V548" s="120">
        <f>$AF548*W548</f>
        <v>0</v>
      </c>
      <c r="W548" s="69">
        <v>0</v>
      </c>
      <c r="X548" s="120">
        <f t="shared" si="52"/>
        <v>0</v>
      </c>
      <c r="Y548" s="69">
        <v>0</v>
      </c>
      <c r="Z548" s="120">
        <f t="shared" si="53"/>
        <v>0</v>
      </c>
      <c r="AA548" s="69">
        <v>0</v>
      </c>
      <c r="AB548" s="315">
        <f t="shared" si="54"/>
        <v>0</v>
      </c>
      <c r="AC548" s="69">
        <v>0</v>
      </c>
      <c r="AD548" s="120">
        <f t="shared" si="55"/>
        <v>0</v>
      </c>
      <c r="AE548" s="69">
        <v>0</v>
      </c>
      <c r="AF548" s="88">
        <f>'Terms and Turnovers'!AT93</f>
        <v>0</v>
      </c>
      <c r="AG548" s="161">
        <f t="shared" si="57"/>
        <v>0</v>
      </c>
      <c r="AH548" s="158">
        <f t="shared" si="58"/>
        <v>0</v>
      </c>
      <c r="AI548" s="134">
        <f t="shared" si="59"/>
        <v>0</v>
      </c>
      <c r="AJ548" s="65"/>
      <c r="AV548" s="56"/>
    </row>
    <row r="549" spans="1:48" ht="13.5" customHeight="1" outlineLevel="1" thickBot="1">
      <c r="B549" s="82"/>
      <c r="C549" s="1232"/>
      <c r="D549" s="1232"/>
      <c r="E549" s="85">
        <f>'Terms and Turnovers'!$AX$12</f>
        <v>0</v>
      </c>
      <c r="F549" s="121">
        <f>$R549*G549</f>
        <v>0</v>
      </c>
      <c r="G549" s="72"/>
      <c r="H549" s="121">
        <f>$R549*I549</f>
        <v>0</v>
      </c>
      <c r="I549" s="69">
        <v>0</v>
      </c>
      <c r="J549" s="121">
        <f t="shared" si="46"/>
        <v>0</v>
      </c>
      <c r="K549" s="69">
        <v>0</v>
      </c>
      <c r="L549" s="121">
        <f t="shared" si="47"/>
        <v>0</v>
      </c>
      <c r="M549" s="69">
        <v>0</v>
      </c>
      <c r="N549" s="316">
        <f t="shared" si="48"/>
        <v>0</v>
      </c>
      <c r="O549" s="69">
        <v>0</v>
      </c>
      <c r="P549" s="121">
        <f t="shared" si="49"/>
        <v>0</v>
      </c>
      <c r="Q549" s="69">
        <v>0</v>
      </c>
      <c r="R549" s="89">
        <f>'Terms and Turnovers'!AY93</f>
        <v>0</v>
      </c>
      <c r="S549" s="162">
        <f t="shared" si="56"/>
        <v>0</v>
      </c>
      <c r="T549" s="121">
        <f t="shared" si="60"/>
        <v>0</v>
      </c>
      <c r="U549" s="69">
        <v>0</v>
      </c>
      <c r="V549" s="121">
        <f>$AF549*W549</f>
        <v>0</v>
      </c>
      <c r="W549" s="69">
        <v>0</v>
      </c>
      <c r="X549" s="121">
        <f t="shared" si="52"/>
        <v>0</v>
      </c>
      <c r="Y549" s="69">
        <v>0</v>
      </c>
      <c r="Z549" s="121">
        <f t="shared" si="53"/>
        <v>0</v>
      </c>
      <c r="AA549" s="69">
        <v>0</v>
      </c>
      <c r="AB549" s="316">
        <f t="shared" si="54"/>
        <v>0</v>
      </c>
      <c r="AC549" s="69">
        <v>0</v>
      </c>
      <c r="AD549" s="121">
        <f t="shared" si="55"/>
        <v>0</v>
      </c>
      <c r="AE549" s="69">
        <v>0</v>
      </c>
      <c r="AF549" s="89">
        <f>'Terms and Turnovers'!BD93</f>
        <v>0</v>
      </c>
      <c r="AG549" s="162">
        <f t="shared" si="57"/>
        <v>0</v>
      </c>
      <c r="AH549" s="159">
        <f t="shared" si="58"/>
        <v>0</v>
      </c>
      <c r="AI549" s="137">
        <f t="shared" si="59"/>
        <v>0</v>
      </c>
      <c r="AJ549" s="65"/>
      <c r="AV549" s="56"/>
    </row>
    <row r="550" spans="1:48" ht="13.5" customHeight="1" outlineLevel="1" thickBot="1">
      <c r="A550" s="119"/>
      <c r="B550" s="82"/>
      <c r="C550" s="425"/>
      <c r="D550" s="425"/>
      <c r="E550" s="426"/>
      <c r="F550" s="427">
        <f>SUM(F545:F549)</f>
        <v>0</v>
      </c>
      <c r="G550" s="428"/>
      <c r="H550" s="427">
        <f>SUM(H545:H549)</f>
        <v>0</v>
      </c>
      <c r="I550" s="69"/>
      <c r="J550" s="427">
        <f>SUM(J545:J549)</f>
        <v>0</v>
      </c>
      <c r="K550" s="69"/>
      <c r="L550" s="427">
        <f>SUM(L545:L549)</f>
        <v>0</v>
      </c>
      <c r="M550" s="69"/>
      <c r="N550" s="427">
        <f>SUM(N545:N549)</f>
        <v>0</v>
      </c>
      <c r="O550" s="69"/>
      <c r="P550" s="427">
        <f>SUM(P545:P549)</f>
        <v>0</v>
      </c>
      <c r="Q550" s="69"/>
      <c r="R550" s="429"/>
      <c r="S550" s="430"/>
      <c r="T550" s="427">
        <f>SUM(T545:T549)</f>
        <v>0</v>
      </c>
      <c r="U550" s="428"/>
      <c r="V550" s="427">
        <f>SUM(V545:V549)</f>
        <v>0</v>
      </c>
      <c r="W550" s="69"/>
      <c r="X550" s="427">
        <f>SUM(X545:X549)</f>
        <v>0</v>
      </c>
      <c r="Y550" s="69"/>
      <c r="Z550" s="427">
        <f>SUM(Z545:Z549)</f>
        <v>0</v>
      </c>
      <c r="AA550" s="69"/>
      <c r="AB550" s="427">
        <f>SUM(AB545:AB549)</f>
        <v>0</v>
      </c>
      <c r="AC550" s="69"/>
      <c r="AD550" s="427">
        <f>SUM(AD545:AD549)</f>
        <v>0</v>
      </c>
      <c r="AE550" s="69"/>
      <c r="AF550" s="429"/>
      <c r="AG550" s="430"/>
      <c r="AH550" s="431"/>
      <c r="AI550" s="432"/>
      <c r="AJ550" s="65"/>
      <c r="AV550" s="56"/>
    </row>
    <row r="551" spans="1:48" ht="13.5" customHeight="1" outlineLevel="1" thickBot="1">
      <c r="A551" s="119"/>
      <c r="B551" s="82"/>
      <c r="C551" s="1098" t="s">
        <v>484</v>
      </c>
      <c r="D551" s="433"/>
      <c r="E551" s="426"/>
      <c r="F551" s="700"/>
      <c r="G551" s="428"/>
      <c r="H551" s="700"/>
      <c r="I551" s="69"/>
      <c r="J551" s="700"/>
      <c r="K551" s="69"/>
      <c r="L551" s="700"/>
      <c r="M551" s="69"/>
      <c r="N551" s="700"/>
      <c r="O551" s="69"/>
      <c r="P551" s="700"/>
      <c r="Q551" s="69"/>
      <c r="R551" s="429"/>
      <c r="S551" s="430"/>
      <c r="T551" s="700"/>
      <c r="U551" s="428"/>
      <c r="V551" s="700"/>
      <c r="W551" s="69"/>
      <c r="X551" s="700"/>
      <c r="Y551" s="69">
        <f>W549*0.3+Y549*0.7</f>
        <v>0</v>
      </c>
      <c r="Z551" s="700"/>
      <c r="AA551" s="69">
        <f>Y549*0.3+AA549*0.7</f>
        <v>0</v>
      </c>
      <c r="AB551" s="700"/>
      <c r="AC551" s="69">
        <f>AA549*0.3+AC549*0.7</f>
        <v>0</v>
      </c>
      <c r="AD551" s="700"/>
      <c r="AE551" s="69"/>
      <c r="AF551" s="429"/>
      <c r="AG551" s="430"/>
      <c r="AH551" s="431"/>
      <c r="AI551" s="432"/>
      <c r="AJ551" s="65"/>
      <c r="AV551" s="56"/>
    </row>
    <row r="552" spans="1:48" ht="13.5" customHeight="1" outlineLevel="1" thickBot="1">
      <c r="B552" s="82">
        <f>B545+1</f>
        <v>79</v>
      </c>
      <c r="C552" s="1230">
        <f>'Terms and Turnovers'!C94</f>
        <v>0</v>
      </c>
      <c r="D552" s="1230">
        <f>'Terms and Turnovers'!D94</f>
        <v>0</v>
      </c>
      <c r="E552" s="83" t="str">
        <f>'Terms and Turnovers'!$J$12</f>
        <v>FLIP-FLOPS</v>
      </c>
      <c r="F552" s="121">
        <f>$R552*G552</f>
        <v>0</v>
      </c>
      <c r="G552" s="69"/>
      <c r="H552" s="316">
        <f>$R552*I552</f>
        <v>0</v>
      </c>
      <c r="I552" s="69">
        <v>0</v>
      </c>
      <c r="J552" s="118">
        <f t="shared" si="46"/>
        <v>0</v>
      </c>
      <c r="K552" s="69">
        <v>0</v>
      </c>
      <c r="L552" s="314">
        <f t="shared" si="47"/>
        <v>0</v>
      </c>
      <c r="M552" s="69">
        <v>0</v>
      </c>
      <c r="N552" s="314">
        <f t="shared" si="48"/>
        <v>0</v>
      </c>
      <c r="O552" s="69">
        <v>0</v>
      </c>
      <c r="P552" s="121">
        <f t="shared" si="49"/>
        <v>0</v>
      </c>
      <c r="Q552" s="69">
        <v>0</v>
      </c>
      <c r="R552" s="87">
        <f>'Terms and Turnovers'!K94</f>
        <v>0</v>
      </c>
      <c r="S552" s="160">
        <f t="shared" si="56"/>
        <v>0</v>
      </c>
      <c r="T552" s="121">
        <f t="shared" si="60"/>
        <v>0</v>
      </c>
      <c r="U552" s="69">
        <v>0</v>
      </c>
      <c r="V552" s="314">
        <f>$AF552*W552</f>
        <v>0</v>
      </c>
      <c r="W552" s="69">
        <v>0</v>
      </c>
      <c r="X552" s="118">
        <f t="shared" si="52"/>
        <v>0</v>
      </c>
      <c r="Y552" s="69">
        <v>0</v>
      </c>
      <c r="Z552" s="314">
        <f t="shared" si="53"/>
        <v>0</v>
      </c>
      <c r="AA552" s="69">
        <v>0</v>
      </c>
      <c r="AB552" s="314">
        <f t="shared" si="54"/>
        <v>0</v>
      </c>
      <c r="AC552" s="69">
        <v>0</v>
      </c>
      <c r="AD552" s="118">
        <f t="shared" si="55"/>
        <v>0</v>
      </c>
      <c r="AE552" s="69">
        <v>0</v>
      </c>
      <c r="AF552" s="87">
        <f>'Terms and Turnovers'!P94</f>
        <v>0</v>
      </c>
      <c r="AG552" s="160">
        <f t="shared" si="57"/>
        <v>0</v>
      </c>
      <c r="AH552" s="157">
        <f t="shared" si="58"/>
        <v>0</v>
      </c>
      <c r="AI552" s="131">
        <f t="shared" si="59"/>
        <v>0</v>
      </c>
      <c r="AJ552" s="65"/>
      <c r="AV552" s="56"/>
    </row>
    <row r="553" spans="1:48" ht="13.5" customHeight="1" outlineLevel="1" thickBot="1">
      <c r="B553" s="82"/>
      <c r="C553" s="1231"/>
      <c r="D553" s="1231"/>
      <c r="E553" s="84" t="str">
        <f>'Terms and Turnovers'!$T$12</f>
        <v>ORIGINALS</v>
      </c>
      <c r="F553" s="121">
        <f>$R553*G553</f>
        <v>0</v>
      </c>
      <c r="G553" s="723"/>
      <c r="H553" s="121">
        <f>$R553*I553</f>
        <v>0</v>
      </c>
      <c r="I553" s="69">
        <v>0</v>
      </c>
      <c r="J553" s="120">
        <f t="shared" si="46"/>
        <v>0</v>
      </c>
      <c r="K553" s="69">
        <v>0</v>
      </c>
      <c r="L553" s="120">
        <f t="shared" si="47"/>
        <v>0</v>
      </c>
      <c r="M553" s="69">
        <v>0</v>
      </c>
      <c r="N553" s="315">
        <f t="shared" si="48"/>
        <v>0</v>
      </c>
      <c r="O553" s="69">
        <v>0</v>
      </c>
      <c r="P553" s="121">
        <f t="shared" si="49"/>
        <v>0</v>
      </c>
      <c r="Q553" s="69">
        <v>0</v>
      </c>
      <c r="R553" s="88">
        <f>'Terms and Turnovers'!U94</f>
        <v>0</v>
      </c>
      <c r="S553" s="161">
        <f t="shared" si="56"/>
        <v>0</v>
      </c>
      <c r="T553" s="121">
        <f t="shared" si="60"/>
        <v>0</v>
      </c>
      <c r="U553" s="69">
        <v>0</v>
      </c>
      <c r="V553" s="120">
        <f>$AF553*W553</f>
        <v>0</v>
      </c>
      <c r="W553" s="69">
        <v>0</v>
      </c>
      <c r="X553" s="120">
        <f t="shared" ref="X553:X591" si="61">$AF553*Y553</f>
        <v>0</v>
      </c>
      <c r="Y553" s="69">
        <v>0</v>
      </c>
      <c r="Z553" s="120">
        <f t="shared" ref="Z553:Z591" si="62">$AF553*AA553</f>
        <v>0</v>
      </c>
      <c r="AA553" s="69">
        <v>0</v>
      </c>
      <c r="AB553" s="315">
        <f t="shared" ref="AB553:AB591" si="63">$AF553*AC553</f>
        <v>0</v>
      </c>
      <c r="AC553" s="69">
        <v>0</v>
      </c>
      <c r="AD553" s="120">
        <f t="shared" ref="AD553:AD591" si="64">$AF553*AE553</f>
        <v>0</v>
      </c>
      <c r="AE553" s="69">
        <v>0</v>
      </c>
      <c r="AF553" s="88">
        <f>'Terms and Turnovers'!Z94</f>
        <v>0</v>
      </c>
      <c r="AG553" s="161">
        <f t="shared" si="57"/>
        <v>0</v>
      </c>
      <c r="AH553" s="158">
        <f t="shared" si="58"/>
        <v>0</v>
      </c>
      <c r="AI553" s="134">
        <f t="shared" si="59"/>
        <v>0</v>
      </c>
      <c r="AJ553" s="65"/>
      <c r="AV553" s="56"/>
    </row>
    <row r="554" spans="1:48" ht="13.5" customHeight="1" outlineLevel="1" thickBot="1">
      <c r="B554" s="82"/>
      <c r="C554" s="1231"/>
      <c r="D554" s="1231"/>
      <c r="E554" s="84" t="str">
        <f>'Terms and Turnovers'!$AD$12</f>
        <v>ACCESSORIES</v>
      </c>
      <c r="F554" s="121">
        <f>$R554*G554</f>
        <v>0</v>
      </c>
      <c r="G554" s="723"/>
      <c r="H554" s="121">
        <f>$R554*I554</f>
        <v>0</v>
      </c>
      <c r="I554" s="69">
        <v>0</v>
      </c>
      <c r="J554" s="120">
        <f t="shared" si="46"/>
        <v>0</v>
      </c>
      <c r="K554" s="69">
        <v>0</v>
      </c>
      <c r="L554" s="120">
        <f t="shared" si="47"/>
        <v>0</v>
      </c>
      <c r="M554" s="69">
        <v>0</v>
      </c>
      <c r="N554" s="315">
        <f t="shared" si="48"/>
        <v>0</v>
      </c>
      <c r="O554" s="69">
        <v>0</v>
      </c>
      <c r="P554" s="121">
        <f t="shared" si="49"/>
        <v>0</v>
      </c>
      <c r="Q554" s="69">
        <v>0</v>
      </c>
      <c r="R554" s="88">
        <f>'Terms and Turnovers'!AE94</f>
        <v>0</v>
      </c>
      <c r="S554" s="161">
        <f t="shared" si="56"/>
        <v>0</v>
      </c>
      <c r="T554" s="121">
        <f t="shared" si="60"/>
        <v>0</v>
      </c>
      <c r="U554" s="69">
        <v>0</v>
      </c>
      <c r="V554" s="120">
        <f>$AF554*W554</f>
        <v>0</v>
      </c>
      <c r="W554" s="69">
        <v>0</v>
      </c>
      <c r="X554" s="120">
        <f t="shared" si="61"/>
        <v>0</v>
      </c>
      <c r="Y554" s="69">
        <v>0</v>
      </c>
      <c r="Z554" s="120">
        <f t="shared" si="62"/>
        <v>0</v>
      </c>
      <c r="AA554" s="69">
        <v>0</v>
      </c>
      <c r="AB554" s="315">
        <f t="shared" si="63"/>
        <v>0</v>
      </c>
      <c r="AC554" s="69">
        <v>0</v>
      </c>
      <c r="AD554" s="120">
        <f t="shared" si="64"/>
        <v>0</v>
      </c>
      <c r="AE554" s="69">
        <v>0</v>
      </c>
      <c r="AF554" s="88">
        <f>'Terms and Turnovers'!AJ94</f>
        <v>0</v>
      </c>
      <c r="AG554" s="161">
        <f t="shared" si="57"/>
        <v>0</v>
      </c>
      <c r="AH554" s="158">
        <f t="shared" si="58"/>
        <v>0</v>
      </c>
      <c r="AI554" s="134">
        <f t="shared" si="59"/>
        <v>0</v>
      </c>
      <c r="AJ554" s="65"/>
      <c r="AV554" s="56"/>
    </row>
    <row r="555" spans="1:48" ht="13.5" customHeight="1" outlineLevel="1" thickBot="1">
      <c r="B555" s="82"/>
      <c r="C555" s="1231"/>
      <c r="D555" s="1231"/>
      <c r="E555" s="84">
        <f>'Terms and Turnovers'!$AN$12</f>
        <v>0</v>
      </c>
      <c r="F555" s="121">
        <f>$R555*G555</f>
        <v>0</v>
      </c>
      <c r="G555" s="723"/>
      <c r="H555" s="121">
        <f>$R555*I555</f>
        <v>0</v>
      </c>
      <c r="I555" s="69">
        <v>0</v>
      </c>
      <c r="J555" s="120">
        <f t="shared" si="46"/>
        <v>0</v>
      </c>
      <c r="K555" s="69">
        <v>0</v>
      </c>
      <c r="L555" s="120">
        <f t="shared" si="47"/>
        <v>0</v>
      </c>
      <c r="M555" s="69">
        <v>0</v>
      </c>
      <c r="N555" s="315">
        <f t="shared" si="48"/>
        <v>0</v>
      </c>
      <c r="O555" s="69">
        <v>0</v>
      </c>
      <c r="P555" s="121">
        <f t="shared" si="49"/>
        <v>0</v>
      </c>
      <c r="Q555" s="69">
        <v>0</v>
      </c>
      <c r="R555" s="88">
        <f>'Terms and Turnovers'!AO94</f>
        <v>0</v>
      </c>
      <c r="S555" s="161">
        <f t="shared" si="56"/>
        <v>0</v>
      </c>
      <c r="T555" s="121">
        <f t="shared" si="60"/>
        <v>0</v>
      </c>
      <c r="U555" s="69">
        <v>0</v>
      </c>
      <c r="V555" s="120">
        <f>$AF555*W555</f>
        <v>0</v>
      </c>
      <c r="W555" s="69">
        <v>0</v>
      </c>
      <c r="X555" s="120">
        <f t="shared" si="61"/>
        <v>0</v>
      </c>
      <c r="Y555" s="69">
        <v>0</v>
      </c>
      <c r="Z555" s="120">
        <f t="shared" si="62"/>
        <v>0</v>
      </c>
      <c r="AA555" s="69">
        <v>0</v>
      </c>
      <c r="AB555" s="315">
        <f t="shared" si="63"/>
        <v>0</v>
      </c>
      <c r="AC555" s="69">
        <v>0</v>
      </c>
      <c r="AD555" s="120">
        <f t="shared" si="64"/>
        <v>0</v>
      </c>
      <c r="AE555" s="69">
        <v>0</v>
      </c>
      <c r="AF555" s="88">
        <f>'Terms and Turnovers'!AT94</f>
        <v>0</v>
      </c>
      <c r="AG555" s="161">
        <f t="shared" si="57"/>
        <v>0</v>
      </c>
      <c r="AH555" s="158">
        <f t="shared" si="58"/>
        <v>0</v>
      </c>
      <c r="AI555" s="134">
        <f t="shared" si="59"/>
        <v>0</v>
      </c>
      <c r="AJ555" s="65"/>
      <c r="AV555" s="56"/>
    </row>
    <row r="556" spans="1:48" ht="13.5" customHeight="1" outlineLevel="1" thickBot="1">
      <c r="B556" s="82"/>
      <c r="C556" s="1232"/>
      <c r="D556" s="1232"/>
      <c r="E556" s="85">
        <f>'Terms and Turnovers'!$AX$12</f>
        <v>0</v>
      </c>
      <c r="F556" s="121">
        <f>$R556*G556</f>
        <v>0</v>
      </c>
      <c r="G556" s="72"/>
      <c r="H556" s="121">
        <f>$R556*I556</f>
        <v>0</v>
      </c>
      <c r="I556" s="69">
        <v>0</v>
      </c>
      <c r="J556" s="121">
        <f t="shared" si="46"/>
        <v>0</v>
      </c>
      <c r="K556" s="69">
        <v>0</v>
      </c>
      <c r="L556" s="121">
        <f t="shared" si="47"/>
        <v>0</v>
      </c>
      <c r="M556" s="69">
        <v>0</v>
      </c>
      <c r="N556" s="316">
        <f t="shared" si="48"/>
        <v>0</v>
      </c>
      <c r="O556" s="69">
        <v>0</v>
      </c>
      <c r="P556" s="121">
        <f t="shared" si="49"/>
        <v>0</v>
      </c>
      <c r="Q556" s="69">
        <v>0</v>
      </c>
      <c r="R556" s="89">
        <f>'Terms and Turnovers'!AY94</f>
        <v>0</v>
      </c>
      <c r="S556" s="162">
        <f t="shared" si="56"/>
        <v>0</v>
      </c>
      <c r="T556" s="121">
        <f t="shared" si="60"/>
        <v>0</v>
      </c>
      <c r="U556" s="69">
        <v>0</v>
      </c>
      <c r="V556" s="121">
        <f>$AF556*W556</f>
        <v>0</v>
      </c>
      <c r="W556" s="69">
        <v>0</v>
      </c>
      <c r="X556" s="121">
        <f t="shared" si="61"/>
        <v>0</v>
      </c>
      <c r="Y556" s="69">
        <v>0</v>
      </c>
      <c r="Z556" s="121">
        <f t="shared" si="62"/>
        <v>0</v>
      </c>
      <c r="AA556" s="69">
        <v>0</v>
      </c>
      <c r="AB556" s="316">
        <f t="shared" si="63"/>
        <v>0</v>
      </c>
      <c r="AC556" s="69">
        <v>0</v>
      </c>
      <c r="AD556" s="121">
        <f t="shared" si="64"/>
        <v>0</v>
      </c>
      <c r="AE556" s="69">
        <v>0</v>
      </c>
      <c r="AF556" s="89">
        <f>'Terms and Turnovers'!BD94</f>
        <v>0</v>
      </c>
      <c r="AG556" s="162">
        <f t="shared" si="57"/>
        <v>0</v>
      </c>
      <c r="AH556" s="159">
        <f t="shared" si="58"/>
        <v>0</v>
      </c>
      <c r="AI556" s="137">
        <f t="shared" si="59"/>
        <v>0</v>
      </c>
      <c r="AJ556" s="65"/>
      <c r="AV556" s="56"/>
    </row>
    <row r="557" spans="1:48" ht="13.5" customHeight="1" outlineLevel="1" thickBot="1">
      <c r="A557" s="119"/>
      <c r="B557" s="82"/>
      <c r="C557" s="425"/>
      <c r="D557" s="425"/>
      <c r="E557" s="426"/>
      <c r="F557" s="427">
        <f>SUM(F552:F556)</f>
        <v>0</v>
      </c>
      <c r="G557" s="428"/>
      <c r="H557" s="427">
        <f>SUM(H552:H556)</f>
        <v>0</v>
      </c>
      <c r="I557" s="69"/>
      <c r="J557" s="427">
        <f>SUM(J552:J556)</f>
        <v>0</v>
      </c>
      <c r="K557" s="69"/>
      <c r="L557" s="427">
        <f>SUM(L552:L556)</f>
        <v>0</v>
      </c>
      <c r="M557" s="69"/>
      <c r="N557" s="427">
        <f>SUM(N552:N556)</f>
        <v>0</v>
      </c>
      <c r="O557" s="69"/>
      <c r="P557" s="427">
        <f>SUM(P552:P556)</f>
        <v>0</v>
      </c>
      <c r="Q557" s="69"/>
      <c r="R557" s="429"/>
      <c r="S557" s="430"/>
      <c r="T557" s="427">
        <f>SUM(T552:T556)</f>
        <v>0</v>
      </c>
      <c r="U557" s="428"/>
      <c r="V557" s="427">
        <f>SUM(V552:V556)</f>
        <v>0</v>
      </c>
      <c r="W557" s="69"/>
      <c r="X557" s="427">
        <f>SUM(X552:X556)</f>
        <v>0</v>
      </c>
      <c r="Y557" s="69"/>
      <c r="Z557" s="427">
        <f>SUM(Z552:Z556)</f>
        <v>0</v>
      </c>
      <c r="AA557" s="69"/>
      <c r="AB557" s="427">
        <f>SUM(AB552:AB556)</f>
        <v>0</v>
      </c>
      <c r="AC557" s="69"/>
      <c r="AD557" s="427">
        <f>SUM(AD552:AD556)</f>
        <v>0</v>
      </c>
      <c r="AE557" s="69"/>
      <c r="AF557" s="429"/>
      <c r="AG557" s="430"/>
      <c r="AH557" s="431"/>
      <c r="AI557" s="432"/>
      <c r="AJ557" s="65"/>
      <c r="AV557" s="56"/>
    </row>
    <row r="558" spans="1:48" ht="13.5" customHeight="1" outlineLevel="1" thickBot="1">
      <c r="A558" s="119"/>
      <c r="B558" s="82"/>
      <c r="C558" s="1098" t="s">
        <v>484</v>
      </c>
      <c r="D558" s="433"/>
      <c r="E558" s="426"/>
      <c r="F558" s="700"/>
      <c r="G558" s="428"/>
      <c r="H558" s="700"/>
      <c r="I558" s="69"/>
      <c r="J558" s="700"/>
      <c r="K558" s="69"/>
      <c r="L558" s="700"/>
      <c r="M558" s="69"/>
      <c r="N558" s="700"/>
      <c r="O558" s="69"/>
      <c r="P558" s="700"/>
      <c r="Q558" s="69"/>
      <c r="R558" s="429"/>
      <c r="S558" s="430"/>
      <c r="T558" s="700"/>
      <c r="U558" s="428"/>
      <c r="V558" s="700"/>
      <c r="W558" s="69"/>
      <c r="X558" s="700"/>
      <c r="Y558" s="69">
        <f>W556*0.3+Y556*0.7</f>
        <v>0</v>
      </c>
      <c r="Z558" s="700"/>
      <c r="AA558" s="69">
        <f>Y556*0.3+AA556*0.7</f>
        <v>0</v>
      </c>
      <c r="AB558" s="700"/>
      <c r="AC558" s="69">
        <f>AA556*0.3+AC556*0.7</f>
        <v>0</v>
      </c>
      <c r="AD558" s="700"/>
      <c r="AE558" s="69"/>
      <c r="AF558" s="429"/>
      <c r="AG558" s="430"/>
      <c r="AH558" s="431"/>
      <c r="AI558" s="432"/>
      <c r="AJ558" s="65"/>
      <c r="AV558" s="56"/>
    </row>
    <row r="559" spans="1:48" ht="13.5" customHeight="1" outlineLevel="1" thickBot="1">
      <c r="B559" s="82">
        <f>B552+1</f>
        <v>80</v>
      </c>
      <c r="C559" s="1230">
        <f>'Terms and Turnovers'!C95</f>
        <v>0</v>
      </c>
      <c r="D559" s="1230">
        <f>'Terms and Turnovers'!D95</f>
        <v>0</v>
      </c>
      <c r="E559" s="83" t="str">
        <f>'Terms and Turnovers'!$J$12</f>
        <v>FLIP-FLOPS</v>
      </c>
      <c r="F559" s="121">
        <f>$R559*G559</f>
        <v>0</v>
      </c>
      <c r="G559" s="69"/>
      <c r="H559" s="316">
        <f>$R559*I559</f>
        <v>0</v>
      </c>
      <c r="I559" s="69">
        <v>0</v>
      </c>
      <c r="J559" s="118">
        <f t="shared" ref="J559:J646" si="65">$R559*K559</f>
        <v>0</v>
      </c>
      <c r="K559" s="69">
        <v>0</v>
      </c>
      <c r="L559" s="314">
        <f t="shared" ref="L559:L646" si="66">$R559*M559</f>
        <v>0</v>
      </c>
      <c r="M559" s="69">
        <v>0</v>
      </c>
      <c r="N559" s="314">
        <f t="shared" ref="N559:N646" si="67">$R559*O559</f>
        <v>0</v>
      </c>
      <c r="O559" s="69">
        <v>0</v>
      </c>
      <c r="P559" s="121">
        <f t="shared" ref="P559:P646" si="68">$R559*Q559</f>
        <v>0</v>
      </c>
      <c r="Q559" s="69">
        <v>0</v>
      </c>
      <c r="R559" s="87">
        <f>'Terms and Turnovers'!K95</f>
        <v>0</v>
      </c>
      <c r="S559" s="160">
        <f t="shared" si="56"/>
        <v>0</v>
      </c>
      <c r="T559" s="121">
        <f t="shared" si="60"/>
        <v>0</v>
      </c>
      <c r="U559" s="69">
        <v>0</v>
      </c>
      <c r="V559" s="314">
        <f>$AF559*W559</f>
        <v>0</v>
      </c>
      <c r="W559" s="69">
        <v>0</v>
      </c>
      <c r="X559" s="118">
        <f t="shared" si="61"/>
        <v>0</v>
      </c>
      <c r="Y559" s="69">
        <v>0</v>
      </c>
      <c r="Z559" s="314">
        <f t="shared" si="62"/>
        <v>0</v>
      </c>
      <c r="AA559" s="69">
        <v>0</v>
      </c>
      <c r="AB559" s="314">
        <f t="shared" si="63"/>
        <v>0</v>
      </c>
      <c r="AC559" s="69">
        <v>0</v>
      </c>
      <c r="AD559" s="118">
        <f t="shared" si="64"/>
        <v>0</v>
      </c>
      <c r="AE559" s="69">
        <v>0</v>
      </c>
      <c r="AF559" s="87">
        <f>'Terms and Turnovers'!P95</f>
        <v>0</v>
      </c>
      <c r="AG559" s="160">
        <f t="shared" si="57"/>
        <v>0</v>
      </c>
      <c r="AH559" s="157">
        <f t="shared" si="58"/>
        <v>0</v>
      </c>
      <c r="AI559" s="131">
        <f t="shared" si="59"/>
        <v>0</v>
      </c>
      <c r="AJ559" s="65"/>
      <c r="AV559" s="56"/>
    </row>
    <row r="560" spans="1:48" ht="13.5" customHeight="1" outlineLevel="1" thickBot="1">
      <c r="B560" s="82"/>
      <c r="C560" s="1231"/>
      <c r="D560" s="1231"/>
      <c r="E560" s="84" t="str">
        <f>'Terms and Turnovers'!$T$12</f>
        <v>ORIGINALS</v>
      </c>
      <c r="F560" s="121">
        <f>$R560*G560</f>
        <v>0</v>
      </c>
      <c r="G560" s="723"/>
      <c r="H560" s="121">
        <f>$R560*I560</f>
        <v>0</v>
      </c>
      <c r="I560" s="69">
        <v>0</v>
      </c>
      <c r="J560" s="120">
        <f t="shared" si="65"/>
        <v>0</v>
      </c>
      <c r="K560" s="69">
        <v>0</v>
      </c>
      <c r="L560" s="120">
        <f t="shared" si="66"/>
        <v>0</v>
      </c>
      <c r="M560" s="69">
        <v>0</v>
      </c>
      <c r="N560" s="315">
        <f t="shared" si="67"/>
        <v>0</v>
      </c>
      <c r="O560" s="69">
        <v>0</v>
      </c>
      <c r="P560" s="121">
        <f t="shared" si="68"/>
        <v>0</v>
      </c>
      <c r="Q560" s="69">
        <v>0</v>
      </c>
      <c r="R560" s="88">
        <f>'Terms and Turnovers'!U95</f>
        <v>0</v>
      </c>
      <c r="S560" s="161">
        <f t="shared" si="56"/>
        <v>0</v>
      </c>
      <c r="T560" s="121">
        <f t="shared" si="60"/>
        <v>0</v>
      </c>
      <c r="U560" s="69">
        <v>0</v>
      </c>
      <c r="V560" s="120">
        <f>$AF560*W560</f>
        <v>0</v>
      </c>
      <c r="W560" s="69">
        <v>0</v>
      </c>
      <c r="X560" s="120">
        <f t="shared" si="61"/>
        <v>0</v>
      </c>
      <c r="Y560" s="69">
        <v>0</v>
      </c>
      <c r="Z560" s="120">
        <f t="shared" si="62"/>
        <v>0</v>
      </c>
      <c r="AA560" s="69">
        <v>0</v>
      </c>
      <c r="AB560" s="315">
        <f t="shared" si="63"/>
        <v>0</v>
      </c>
      <c r="AC560" s="69">
        <v>0</v>
      </c>
      <c r="AD560" s="120">
        <f t="shared" si="64"/>
        <v>0</v>
      </c>
      <c r="AE560" s="69">
        <v>0</v>
      </c>
      <c r="AF560" s="88">
        <f>'Terms and Turnovers'!Z95</f>
        <v>0</v>
      </c>
      <c r="AG560" s="161">
        <f t="shared" si="57"/>
        <v>0</v>
      </c>
      <c r="AH560" s="158">
        <f t="shared" si="58"/>
        <v>0</v>
      </c>
      <c r="AI560" s="134">
        <f t="shared" si="59"/>
        <v>0</v>
      </c>
      <c r="AJ560" s="65"/>
      <c r="AV560" s="56"/>
    </row>
    <row r="561" spans="1:48" ht="13.5" customHeight="1" outlineLevel="1" thickBot="1">
      <c r="B561" s="82"/>
      <c r="C561" s="1231"/>
      <c r="D561" s="1231"/>
      <c r="E561" s="84" t="str">
        <f>'Terms and Turnovers'!$AD$12</f>
        <v>ACCESSORIES</v>
      </c>
      <c r="F561" s="121">
        <f>$R561*G561</f>
        <v>0</v>
      </c>
      <c r="G561" s="723"/>
      <c r="H561" s="121">
        <f>$R561*I561</f>
        <v>0</v>
      </c>
      <c r="I561" s="69">
        <v>0</v>
      </c>
      <c r="J561" s="120">
        <f t="shared" si="65"/>
        <v>0</v>
      </c>
      <c r="K561" s="69">
        <v>0</v>
      </c>
      <c r="L561" s="120">
        <f t="shared" si="66"/>
        <v>0</v>
      </c>
      <c r="M561" s="69">
        <v>0</v>
      </c>
      <c r="N561" s="315">
        <f t="shared" si="67"/>
        <v>0</v>
      </c>
      <c r="O561" s="69">
        <v>0</v>
      </c>
      <c r="P561" s="121">
        <f t="shared" si="68"/>
        <v>0</v>
      </c>
      <c r="Q561" s="69">
        <v>0</v>
      </c>
      <c r="R561" s="88">
        <f>'Terms and Turnovers'!AE95</f>
        <v>0</v>
      </c>
      <c r="S561" s="161">
        <f t="shared" si="56"/>
        <v>0</v>
      </c>
      <c r="T561" s="121">
        <f t="shared" si="60"/>
        <v>0</v>
      </c>
      <c r="U561" s="69">
        <v>0</v>
      </c>
      <c r="V561" s="120">
        <f>$AF561*W561</f>
        <v>0</v>
      </c>
      <c r="W561" s="69">
        <v>0</v>
      </c>
      <c r="X561" s="120">
        <f t="shared" si="61"/>
        <v>0</v>
      </c>
      <c r="Y561" s="69">
        <v>0</v>
      </c>
      <c r="Z561" s="120">
        <f t="shared" si="62"/>
        <v>0</v>
      </c>
      <c r="AA561" s="69">
        <v>0</v>
      </c>
      <c r="AB561" s="315">
        <f t="shared" si="63"/>
        <v>0</v>
      </c>
      <c r="AC561" s="69">
        <v>0</v>
      </c>
      <c r="AD561" s="120">
        <f t="shared" si="64"/>
        <v>0</v>
      </c>
      <c r="AE561" s="69">
        <v>0</v>
      </c>
      <c r="AF561" s="88">
        <f>'Terms and Turnovers'!AJ95</f>
        <v>0</v>
      </c>
      <c r="AG561" s="161">
        <f t="shared" si="57"/>
        <v>0</v>
      </c>
      <c r="AH561" s="158">
        <f t="shared" si="58"/>
        <v>0</v>
      </c>
      <c r="AI561" s="134">
        <f t="shared" si="59"/>
        <v>0</v>
      </c>
      <c r="AJ561" s="65"/>
      <c r="AV561" s="56"/>
    </row>
    <row r="562" spans="1:48" ht="13.5" customHeight="1" outlineLevel="1" thickBot="1">
      <c r="B562" s="82"/>
      <c r="C562" s="1231"/>
      <c r="D562" s="1231"/>
      <c r="E562" s="84">
        <f>'Terms and Turnovers'!$AN$12</f>
        <v>0</v>
      </c>
      <c r="F562" s="121">
        <f>$R562*G562</f>
        <v>0</v>
      </c>
      <c r="G562" s="723"/>
      <c r="H562" s="121">
        <f>$R562*I562</f>
        <v>0</v>
      </c>
      <c r="I562" s="69">
        <v>0</v>
      </c>
      <c r="J562" s="120">
        <f t="shared" si="65"/>
        <v>0</v>
      </c>
      <c r="K562" s="69">
        <v>0</v>
      </c>
      <c r="L562" s="120">
        <f t="shared" si="66"/>
        <v>0</v>
      </c>
      <c r="M562" s="69">
        <v>0</v>
      </c>
      <c r="N562" s="315">
        <f t="shared" si="67"/>
        <v>0</v>
      </c>
      <c r="O562" s="69">
        <v>0</v>
      </c>
      <c r="P562" s="121">
        <f t="shared" si="68"/>
        <v>0</v>
      </c>
      <c r="Q562" s="69">
        <v>0</v>
      </c>
      <c r="R562" s="88">
        <f>'Terms and Turnovers'!AO95</f>
        <v>0</v>
      </c>
      <c r="S562" s="161">
        <f t="shared" si="56"/>
        <v>0</v>
      </c>
      <c r="T562" s="121">
        <f t="shared" si="60"/>
        <v>0</v>
      </c>
      <c r="U562" s="69">
        <v>0</v>
      </c>
      <c r="V562" s="120">
        <f>$AF562*W562</f>
        <v>0</v>
      </c>
      <c r="W562" s="69">
        <v>0</v>
      </c>
      <c r="X562" s="120">
        <f t="shared" si="61"/>
        <v>0</v>
      </c>
      <c r="Y562" s="69">
        <v>0</v>
      </c>
      <c r="Z562" s="120">
        <f t="shared" si="62"/>
        <v>0</v>
      </c>
      <c r="AA562" s="69">
        <v>0</v>
      </c>
      <c r="AB562" s="315">
        <f t="shared" si="63"/>
        <v>0</v>
      </c>
      <c r="AC562" s="69">
        <v>0</v>
      </c>
      <c r="AD562" s="120">
        <f t="shared" si="64"/>
        <v>0</v>
      </c>
      <c r="AE562" s="69">
        <v>0</v>
      </c>
      <c r="AF562" s="88">
        <f>'Terms and Turnovers'!AT95</f>
        <v>0</v>
      </c>
      <c r="AG562" s="161">
        <f t="shared" si="57"/>
        <v>0</v>
      </c>
      <c r="AH562" s="158">
        <f t="shared" si="58"/>
        <v>0</v>
      </c>
      <c r="AI562" s="134">
        <f t="shared" si="59"/>
        <v>0</v>
      </c>
      <c r="AJ562" s="65"/>
      <c r="AV562" s="56"/>
    </row>
    <row r="563" spans="1:48" ht="13.5" customHeight="1" outlineLevel="1" thickBot="1">
      <c r="B563" s="82"/>
      <c r="C563" s="1232"/>
      <c r="D563" s="1232"/>
      <c r="E563" s="85">
        <f>'Terms and Turnovers'!$AX$12</f>
        <v>0</v>
      </c>
      <c r="F563" s="121">
        <f>$R563*G563</f>
        <v>0</v>
      </c>
      <c r="G563" s="72"/>
      <c r="H563" s="121">
        <f>$R563*I563</f>
        <v>0</v>
      </c>
      <c r="I563" s="69">
        <v>0</v>
      </c>
      <c r="J563" s="121">
        <f t="shared" si="65"/>
        <v>0</v>
      </c>
      <c r="K563" s="69">
        <v>0</v>
      </c>
      <c r="L563" s="121">
        <f t="shared" si="66"/>
        <v>0</v>
      </c>
      <c r="M563" s="69">
        <v>0</v>
      </c>
      <c r="N563" s="316">
        <f t="shared" si="67"/>
        <v>0</v>
      </c>
      <c r="O563" s="69">
        <v>0</v>
      </c>
      <c r="P563" s="121">
        <f t="shared" si="68"/>
        <v>0</v>
      </c>
      <c r="Q563" s="69">
        <v>0</v>
      </c>
      <c r="R563" s="89">
        <f>'Terms and Turnovers'!AY95</f>
        <v>0</v>
      </c>
      <c r="S563" s="162">
        <f t="shared" si="56"/>
        <v>0</v>
      </c>
      <c r="T563" s="121">
        <f t="shared" si="60"/>
        <v>0</v>
      </c>
      <c r="U563" s="69">
        <v>0</v>
      </c>
      <c r="V563" s="121">
        <f>$AF563*W563</f>
        <v>0</v>
      </c>
      <c r="W563" s="69">
        <v>0</v>
      </c>
      <c r="X563" s="121">
        <f t="shared" si="61"/>
        <v>0</v>
      </c>
      <c r="Y563" s="69">
        <v>0</v>
      </c>
      <c r="Z563" s="121">
        <f t="shared" si="62"/>
        <v>0</v>
      </c>
      <c r="AA563" s="69">
        <v>0</v>
      </c>
      <c r="AB563" s="316">
        <f t="shared" si="63"/>
        <v>0</v>
      </c>
      <c r="AC563" s="69">
        <v>0</v>
      </c>
      <c r="AD563" s="121">
        <f t="shared" si="64"/>
        <v>0</v>
      </c>
      <c r="AE563" s="69">
        <v>0</v>
      </c>
      <c r="AF563" s="89">
        <f>'Terms and Turnovers'!BD95</f>
        <v>0</v>
      </c>
      <c r="AG563" s="162">
        <f t="shared" si="57"/>
        <v>0</v>
      </c>
      <c r="AH563" s="159">
        <f t="shared" si="58"/>
        <v>0</v>
      </c>
      <c r="AI563" s="137">
        <f t="shared" si="59"/>
        <v>0</v>
      </c>
      <c r="AJ563" s="65"/>
      <c r="AV563" s="56"/>
    </row>
    <row r="564" spans="1:48" ht="13.5" customHeight="1" outlineLevel="1" thickBot="1">
      <c r="A564" s="119"/>
      <c r="B564" s="82"/>
      <c r="C564" s="425"/>
      <c r="D564" s="425"/>
      <c r="E564" s="426"/>
      <c r="F564" s="427">
        <f>SUM(F559:F563)</f>
        <v>0</v>
      </c>
      <c r="G564" s="428"/>
      <c r="H564" s="427">
        <f>SUM(H559:H563)</f>
        <v>0</v>
      </c>
      <c r="I564" s="69"/>
      <c r="J564" s="427">
        <f>SUM(J559:J563)</f>
        <v>0</v>
      </c>
      <c r="K564" s="69"/>
      <c r="L564" s="427">
        <f>SUM(L559:L563)</f>
        <v>0</v>
      </c>
      <c r="M564" s="69"/>
      <c r="N564" s="427">
        <f>SUM(N559:N563)</f>
        <v>0</v>
      </c>
      <c r="O564" s="69"/>
      <c r="P564" s="427">
        <f>SUM(P559:P563)</f>
        <v>0</v>
      </c>
      <c r="Q564" s="69"/>
      <c r="R564" s="429"/>
      <c r="S564" s="430"/>
      <c r="T564" s="427">
        <f>SUM(T559:T563)</f>
        <v>0</v>
      </c>
      <c r="U564" s="428"/>
      <c r="V564" s="427">
        <f>SUM(V559:V563)</f>
        <v>0</v>
      </c>
      <c r="W564" s="69"/>
      <c r="X564" s="427">
        <f>SUM(X559:X563)</f>
        <v>0</v>
      </c>
      <c r="Y564" s="69"/>
      <c r="Z564" s="427">
        <f>SUM(Z559:Z563)</f>
        <v>0</v>
      </c>
      <c r="AA564" s="69"/>
      <c r="AB564" s="427">
        <f>SUM(AB559:AB563)</f>
        <v>0</v>
      </c>
      <c r="AC564" s="69"/>
      <c r="AD564" s="427">
        <f>SUM(AD559:AD563)</f>
        <v>0</v>
      </c>
      <c r="AE564" s="69"/>
      <c r="AF564" s="429"/>
      <c r="AG564" s="430"/>
      <c r="AH564" s="431"/>
      <c r="AI564" s="432"/>
      <c r="AJ564" s="65"/>
      <c r="AV564" s="56"/>
    </row>
    <row r="565" spans="1:48" ht="13.5" customHeight="1" outlineLevel="1" thickBot="1">
      <c r="A565" s="119"/>
      <c r="B565" s="82"/>
      <c r="C565" s="1098" t="s">
        <v>484</v>
      </c>
      <c r="D565" s="433"/>
      <c r="E565" s="426"/>
      <c r="F565" s="700"/>
      <c r="G565" s="428"/>
      <c r="H565" s="700"/>
      <c r="I565" s="69"/>
      <c r="J565" s="700"/>
      <c r="K565" s="69"/>
      <c r="L565" s="700"/>
      <c r="M565" s="69"/>
      <c r="N565" s="700"/>
      <c r="O565" s="69"/>
      <c r="P565" s="700"/>
      <c r="Q565" s="69"/>
      <c r="R565" s="429"/>
      <c r="S565" s="430"/>
      <c r="T565" s="700"/>
      <c r="U565" s="428"/>
      <c r="V565" s="700"/>
      <c r="W565" s="69"/>
      <c r="X565" s="700"/>
      <c r="Y565" s="69">
        <f>W563*0.3+Y563*0.7</f>
        <v>0</v>
      </c>
      <c r="Z565" s="700"/>
      <c r="AA565" s="69">
        <f>Y563*0.3+AA563*0.7</f>
        <v>0</v>
      </c>
      <c r="AB565" s="700"/>
      <c r="AC565" s="69">
        <f>AA563*0.3+AC563*0.7</f>
        <v>0</v>
      </c>
      <c r="AD565" s="700"/>
      <c r="AE565" s="69"/>
      <c r="AF565" s="429"/>
      <c r="AG565" s="430"/>
      <c r="AH565" s="431"/>
      <c r="AI565" s="432"/>
      <c r="AJ565" s="65"/>
      <c r="AV565" s="56"/>
    </row>
    <row r="566" spans="1:48" ht="13.5" customHeight="1" outlineLevel="1" thickBot="1">
      <c r="B566" s="82">
        <f>B559+1</f>
        <v>81</v>
      </c>
      <c r="C566" s="1230">
        <f>'Terms and Turnovers'!C96</f>
        <v>0</v>
      </c>
      <c r="D566" s="1230">
        <f>'Terms and Turnovers'!D96</f>
        <v>0</v>
      </c>
      <c r="E566" s="83" t="str">
        <f>'Terms and Turnovers'!$J$12</f>
        <v>FLIP-FLOPS</v>
      </c>
      <c r="F566" s="121">
        <f>$R566*G566</f>
        <v>0</v>
      </c>
      <c r="G566" s="69"/>
      <c r="H566" s="316">
        <f>$R566*I566</f>
        <v>0</v>
      </c>
      <c r="I566" s="69">
        <v>0</v>
      </c>
      <c r="J566" s="118">
        <f t="shared" si="65"/>
        <v>0</v>
      </c>
      <c r="K566" s="69">
        <v>0</v>
      </c>
      <c r="L566" s="314">
        <f t="shared" si="66"/>
        <v>0</v>
      </c>
      <c r="M566" s="69">
        <v>0</v>
      </c>
      <c r="N566" s="314">
        <f t="shared" si="67"/>
        <v>0</v>
      </c>
      <c r="O566" s="69">
        <v>0</v>
      </c>
      <c r="P566" s="121">
        <f t="shared" si="68"/>
        <v>0</v>
      </c>
      <c r="Q566" s="69">
        <v>0</v>
      </c>
      <c r="R566" s="87">
        <f>'Terms and Turnovers'!K96</f>
        <v>0</v>
      </c>
      <c r="S566" s="160">
        <f t="shared" si="56"/>
        <v>0</v>
      </c>
      <c r="T566" s="118">
        <f t="shared" si="60"/>
        <v>0</v>
      </c>
      <c r="U566" s="69">
        <v>0</v>
      </c>
      <c r="V566" s="314">
        <f>$AF566*W566</f>
        <v>0</v>
      </c>
      <c r="W566" s="69">
        <v>0</v>
      </c>
      <c r="X566" s="118">
        <f t="shared" si="61"/>
        <v>0</v>
      </c>
      <c r="Y566" s="69">
        <v>0</v>
      </c>
      <c r="Z566" s="314">
        <f t="shared" si="62"/>
        <v>0</v>
      </c>
      <c r="AA566" s="69">
        <v>0</v>
      </c>
      <c r="AB566" s="314">
        <f t="shared" si="63"/>
        <v>0</v>
      </c>
      <c r="AC566" s="69">
        <v>0</v>
      </c>
      <c r="AD566" s="118">
        <f t="shared" si="64"/>
        <v>0</v>
      </c>
      <c r="AE566" s="69">
        <v>0</v>
      </c>
      <c r="AF566" s="87">
        <f>'Terms and Turnovers'!P96</f>
        <v>0</v>
      </c>
      <c r="AG566" s="160">
        <f t="shared" si="57"/>
        <v>0</v>
      </c>
      <c r="AH566" s="157">
        <f t="shared" si="58"/>
        <v>0</v>
      </c>
      <c r="AI566" s="131">
        <f t="shared" si="59"/>
        <v>0</v>
      </c>
      <c r="AJ566" s="65"/>
      <c r="AV566" s="56"/>
    </row>
    <row r="567" spans="1:48" ht="13.5" customHeight="1" outlineLevel="1" thickBot="1">
      <c r="B567" s="82"/>
      <c r="C567" s="1231"/>
      <c r="D567" s="1231"/>
      <c r="E567" s="84" t="str">
        <f>'Terms and Turnovers'!$T$12</f>
        <v>ORIGINALS</v>
      </c>
      <c r="F567" s="121">
        <f>$R567*G567</f>
        <v>0</v>
      </c>
      <c r="G567" s="723"/>
      <c r="H567" s="121">
        <f>$R567*I567</f>
        <v>0</v>
      </c>
      <c r="I567" s="69">
        <v>0</v>
      </c>
      <c r="J567" s="120">
        <f t="shared" si="65"/>
        <v>0</v>
      </c>
      <c r="K567" s="69">
        <v>0</v>
      </c>
      <c r="L567" s="120">
        <f t="shared" si="66"/>
        <v>0</v>
      </c>
      <c r="M567" s="69">
        <v>0</v>
      </c>
      <c r="N567" s="315">
        <f t="shared" si="67"/>
        <v>0</v>
      </c>
      <c r="O567" s="69">
        <v>0</v>
      </c>
      <c r="P567" s="121">
        <f t="shared" si="68"/>
        <v>0</v>
      </c>
      <c r="Q567" s="69">
        <v>0</v>
      </c>
      <c r="R567" s="88">
        <f>'Terms and Turnovers'!U96</f>
        <v>0</v>
      </c>
      <c r="S567" s="161">
        <f t="shared" si="56"/>
        <v>0</v>
      </c>
      <c r="T567" s="120">
        <f t="shared" si="60"/>
        <v>0</v>
      </c>
      <c r="U567" s="69">
        <v>0</v>
      </c>
      <c r="V567" s="120">
        <f>$AF567*W567</f>
        <v>0</v>
      </c>
      <c r="W567" s="69">
        <v>0</v>
      </c>
      <c r="X567" s="120">
        <f t="shared" si="61"/>
        <v>0</v>
      </c>
      <c r="Y567" s="69">
        <v>0</v>
      </c>
      <c r="Z567" s="120">
        <f t="shared" si="62"/>
        <v>0</v>
      </c>
      <c r="AA567" s="69">
        <v>0</v>
      </c>
      <c r="AB567" s="315">
        <f t="shared" si="63"/>
        <v>0</v>
      </c>
      <c r="AC567" s="69">
        <v>0</v>
      </c>
      <c r="AD567" s="120">
        <f t="shared" si="64"/>
        <v>0</v>
      </c>
      <c r="AE567" s="69">
        <v>0</v>
      </c>
      <c r="AF567" s="88">
        <f>'Terms and Turnovers'!Z96</f>
        <v>0</v>
      </c>
      <c r="AG567" s="161">
        <f t="shared" si="57"/>
        <v>0</v>
      </c>
      <c r="AH567" s="158">
        <f t="shared" si="58"/>
        <v>0</v>
      </c>
      <c r="AI567" s="134">
        <f t="shared" si="59"/>
        <v>0</v>
      </c>
      <c r="AJ567" s="65"/>
      <c r="AV567" s="56"/>
    </row>
    <row r="568" spans="1:48" ht="13.5" customHeight="1" outlineLevel="1" thickBot="1">
      <c r="B568" s="82"/>
      <c r="C568" s="1231"/>
      <c r="D568" s="1231"/>
      <c r="E568" s="84" t="str">
        <f>'Terms and Turnovers'!$AD$12</f>
        <v>ACCESSORIES</v>
      </c>
      <c r="F568" s="121">
        <f>$R568*G568</f>
        <v>0</v>
      </c>
      <c r="G568" s="723"/>
      <c r="H568" s="121">
        <f>$R568*I568</f>
        <v>0</v>
      </c>
      <c r="I568" s="69">
        <v>0</v>
      </c>
      <c r="J568" s="120">
        <f t="shared" si="65"/>
        <v>0</v>
      </c>
      <c r="K568" s="69">
        <v>0</v>
      </c>
      <c r="L568" s="120">
        <f t="shared" si="66"/>
        <v>0</v>
      </c>
      <c r="M568" s="69">
        <v>0</v>
      </c>
      <c r="N568" s="315">
        <f t="shared" si="67"/>
        <v>0</v>
      </c>
      <c r="O568" s="69">
        <v>0</v>
      </c>
      <c r="P568" s="121">
        <f t="shared" si="68"/>
        <v>0</v>
      </c>
      <c r="Q568" s="69">
        <v>0</v>
      </c>
      <c r="R568" s="88">
        <f>'Terms and Turnovers'!AE96</f>
        <v>0</v>
      </c>
      <c r="S568" s="161">
        <f t="shared" si="56"/>
        <v>0</v>
      </c>
      <c r="T568" s="120">
        <f t="shared" si="60"/>
        <v>0</v>
      </c>
      <c r="U568" s="69">
        <v>0</v>
      </c>
      <c r="V568" s="120">
        <f>$AF568*W568</f>
        <v>0</v>
      </c>
      <c r="W568" s="69">
        <v>0</v>
      </c>
      <c r="X568" s="120">
        <f t="shared" si="61"/>
        <v>0</v>
      </c>
      <c r="Y568" s="69">
        <v>0</v>
      </c>
      <c r="Z568" s="120">
        <f t="shared" si="62"/>
        <v>0</v>
      </c>
      <c r="AA568" s="69">
        <v>0</v>
      </c>
      <c r="AB568" s="315">
        <f t="shared" si="63"/>
        <v>0</v>
      </c>
      <c r="AC568" s="69">
        <v>0</v>
      </c>
      <c r="AD568" s="120">
        <f t="shared" si="64"/>
        <v>0</v>
      </c>
      <c r="AE568" s="69">
        <v>0</v>
      </c>
      <c r="AF568" s="88">
        <f>'Terms and Turnovers'!AJ96</f>
        <v>0</v>
      </c>
      <c r="AG568" s="161">
        <f t="shared" si="57"/>
        <v>0</v>
      </c>
      <c r="AH568" s="158">
        <f t="shared" si="58"/>
        <v>0</v>
      </c>
      <c r="AI568" s="134">
        <f t="shared" si="59"/>
        <v>0</v>
      </c>
      <c r="AJ568" s="65"/>
      <c r="AV568" s="56"/>
    </row>
    <row r="569" spans="1:48" ht="13.5" customHeight="1" outlineLevel="1" thickBot="1">
      <c r="B569" s="82"/>
      <c r="C569" s="1231"/>
      <c r="D569" s="1231"/>
      <c r="E569" s="84">
        <f>'Terms and Turnovers'!$AN$12</f>
        <v>0</v>
      </c>
      <c r="F569" s="121">
        <f>$R569*G569</f>
        <v>0</v>
      </c>
      <c r="G569" s="723"/>
      <c r="H569" s="121">
        <f>$R569*I569</f>
        <v>0</v>
      </c>
      <c r="I569" s="69">
        <v>0</v>
      </c>
      <c r="J569" s="120">
        <f t="shared" si="65"/>
        <v>0</v>
      </c>
      <c r="K569" s="69">
        <v>0</v>
      </c>
      <c r="L569" s="120">
        <f t="shared" si="66"/>
        <v>0</v>
      </c>
      <c r="M569" s="69">
        <v>0</v>
      </c>
      <c r="N569" s="315">
        <f t="shared" si="67"/>
        <v>0</v>
      </c>
      <c r="O569" s="69">
        <v>0</v>
      </c>
      <c r="P569" s="121">
        <f t="shared" si="68"/>
        <v>0</v>
      </c>
      <c r="Q569" s="69">
        <v>0</v>
      </c>
      <c r="R569" s="88">
        <f>'Terms and Turnovers'!AO96</f>
        <v>0</v>
      </c>
      <c r="S569" s="161">
        <f t="shared" si="56"/>
        <v>0</v>
      </c>
      <c r="T569" s="120">
        <f t="shared" si="60"/>
        <v>0</v>
      </c>
      <c r="U569" s="69">
        <v>0</v>
      </c>
      <c r="V569" s="120">
        <f>$AF569*W569</f>
        <v>0</v>
      </c>
      <c r="W569" s="69">
        <v>0</v>
      </c>
      <c r="X569" s="120">
        <f t="shared" si="61"/>
        <v>0</v>
      </c>
      <c r="Y569" s="69">
        <v>0</v>
      </c>
      <c r="Z569" s="120">
        <f t="shared" si="62"/>
        <v>0</v>
      </c>
      <c r="AA569" s="69">
        <v>0</v>
      </c>
      <c r="AB569" s="315">
        <f t="shared" si="63"/>
        <v>0</v>
      </c>
      <c r="AC569" s="69">
        <v>0</v>
      </c>
      <c r="AD569" s="120">
        <f t="shared" si="64"/>
        <v>0</v>
      </c>
      <c r="AE569" s="69">
        <v>0</v>
      </c>
      <c r="AF569" s="88">
        <f>'Terms and Turnovers'!AT96</f>
        <v>0</v>
      </c>
      <c r="AG569" s="161">
        <f t="shared" si="57"/>
        <v>0</v>
      </c>
      <c r="AH569" s="158">
        <f t="shared" si="58"/>
        <v>0</v>
      </c>
      <c r="AI569" s="134">
        <f t="shared" si="59"/>
        <v>0</v>
      </c>
      <c r="AJ569" s="65"/>
      <c r="AV569" s="56"/>
    </row>
    <row r="570" spans="1:48" ht="13.5" customHeight="1" outlineLevel="1" thickBot="1">
      <c r="B570" s="82"/>
      <c r="C570" s="1232"/>
      <c r="D570" s="1232"/>
      <c r="E570" s="85">
        <f>'Terms and Turnovers'!$AX$12</f>
        <v>0</v>
      </c>
      <c r="F570" s="121">
        <f>$R570*G570</f>
        <v>0</v>
      </c>
      <c r="G570" s="72"/>
      <c r="H570" s="121">
        <f>$R570*I570</f>
        <v>0</v>
      </c>
      <c r="I570" s="69">
        <v>0</v>
      </c>
      <c r="J570" s="121">
        <f t="shared" si="65"/>
        <v>0</v>
      </c>
      <c r="K570" s="69">
        <v>0</v>
      </c>
      <c r="L570" s="121">
        <f t="shared" si="66"/>
        <v>0</v>
      </c>
      <c r="M570" s="69">
        <v>0</v>
      </c>
      <c r="N570" s="316">
        <f t="shared" si="67"/>
        <v>0</v>
      </c>
      <c r="O570" s="69">
        <v>0</v>
      </c>
      <c r="P570" s="121">
        <f t="shared" si="68"/>
        <v>0</v>
      </c>
      <c r="Q570" s="69">
        <v>0</v>
      </c>
      <c r="R570" s="89">
        <f>'Terms and Turnovers'!AY96</f>
        <v>0</v>
      </c>
      <c r="S570" s="162">
        <f t="shared" si="56"/>
        <v>0</v>
      </c>
      <c r="T570" s="121">
        <f t="shared" si="60"/>
        <v>0</v>
      </c>
      <c r="U570" s="69">
        <v>0</v>
      </c>
      <c r="V570" s="121">
        <f>$AF570*W570</f>
        <v>0</v>
      </c>
      <c r="W570" s="69">
        <v>0</v>
      </c>
      <c r="X570" s="121">
        <f t="shared" si="61"/>
        <v>0</v>
      </c>
      <c r="Y570" s="69">
        <v>0</v>
      </c>
      <c r="Z570" s="121">
        <f t="shared" si="62"/>
        <v>0</v>
      </c>
      <c r="AA570" s="69">
        <v>0</v>
      </c>
      <c r="AB570" s="316">
        <f t="shared" si="63"/>
        <v>0</v>
      </c>
      <c r="AC570" s="69">
        <v>0</v>
      </c>
      <c r="AD570" s="121">
        <f t="shared" si="64"/>
        <v>0</v>
      </c>
      <c r="AE570" s="69">
        <v>0</v>
      </c>
      <c r="AF570" s="89">
        <f>'Terms and Turnovers'!BD96</f>
        <v>0</v>
      </c>
      <c r="AG570" s="162">
        <f t="shared" si="57"/>
        <v>0</v>
      </c>
      <c r="AH570" s="159">
        <f t="shared" si="58"/>
        <v>0</v>
      </c>
      <c r="AI570" s="137">
        <f t="shared" si="59"/>
        <v>0</v>
      </c>
      <c r="AJ570" s="65"/>
      <c r="AV570" s="56"/>
    </row>
    <row r="571" spans="1:48" ht="13.5" customHeight="1" outlineLevel="1" thickBot="1">
      <c r="A571" s="119"/>
      <c r="B571" s="82"/>
      <c r="C571" s="425"/>
      <c r="D571" s="425"/>
      <c r="E571" s="426"/>
      <c r="F571" s="427">
        <f>SUM(F566:F570)</f>
        <v>0</v>
      </c>
      <c r="G571" s="428"/>
      <c r="H571" s="427">
        <f>SUM(H566:H570)</f>
        <v>0</v>
      </c>
      <c r="I571" s="69"/>
      <c r="J571" s="427">
        <f>SUM(J566:J570)</f>
        <v>0</v>
      </c>
      <c r="K571" s="69"/>
      <c r="L571" s="427">
        <f>SUM(L566:L570)</f>
        <v>0</v>
      </c>
      <c r="M571" s="69"/>
      <c r="N571" s="427">
        <f>SUM(N566:N570)</f>
        <v>0</v>
      </c>
      <c r="O571" s="69"/>
      <c r="P571" s="427">
        <f>SUM(P566:P570)</f>
        <v>0</v>
      </c>
      <c r="Q571" s="69"/>
      <c r="R571" s="429"/>
      <c r="S571" s="430"/>
      <c r="T571" s="427">
        <f>SUM(T566:T570)</f>
        <v>0</v>
      </c>
      <c r="U571" s="428"/>
      <c r="V571" s="427">
        <f>SUM(V566:V570)</f>
        <v>0</v>
      </c>
      <c r="W571" s="69"/>
      <c r="X571" s="427">
        <f>SUM(X566:X570)</f>
        <v>0</v>
      </c>
      <c r="Y571" s="69"/>
      <c r="Z571" s="427">
        <f>SUM(Z566:Z570)</f>
        <v>0</v>
      </c>
      <c r="AA571" s="69"/>
      <c r="AB571" s="427">
        <f>SUM(AB566:AB570)</f>
        <v>0</v>
      </c>
      <c r="AC571" s="69"/>
      <c r="AD571" s="427">
        <f>SUM(AD566:AD570)</f>
        <v>0</v>
      </c>
      <c r="AE571" s="69"/>
      <c r="AF571" s="429"/>
      <c r="AG571" s="430"/>
      <c r="AH571" s="431"/>
      <c r="AI571" s="432"/>
      <c r="AJ571" s="65"/>
      <c r="AV571" s="56"/>
    </row>
    <row r="572" spans="1:48" ht="13.5" customHeight="1" outlineLevel="1" thickBot="1">
      <c r="A572" s="119"/>
      <c r="B572" s="82"/>
      <c r="C572" s="1098" t="s">
        <v>484</v>
      </c>
      <c r="D572" s="433"/>
      <c r="E572" s="426"/>
      <c r="F572" s="700"/>
      <c r="G572" s="428"/>
      <c r="H572" s="700"/>
      <c r="I572" s="69"/>
      <c r="J572" s="700"/>
      <c r="K572" s="69"/>
      <c r="L572" s="700"/>
      <c r="M572" s="69"/>
      <c r="N572" s="700"/>
      <c r="O572" s="69"/>
      <c r="P572" s="700"/>
      <c r="Q572" s="69"/>
      <c r="R572" s="429"/>
      <c r="S572" s="430"/>
      <c r="T572" s="700"/>
      <c r="U572" s="428"/>
      <c r="V572" s="700"/>
      <c r="W572" s="69"/>
      <c r="X572" s="700"/>
      <c r="Y572" s="69">
        <f>W570*0.3+Y570*0.7</f>
        <v>0</v>
      </c>
      <c r="Z572" s="700"/>
      <c r="AA572" s="69">
        <f>Y570*0.3+AA570*0.7</f>
        <v>0</v>
      </c>
      <c r="AB572" s="700"/>
      <c r="AC572" s="69">
        <f>AA570*0.3+AC570*0.7</f>
        <v>0</v>
      </c>
      <c r="AD572" s="700"/>
      <c r="AE572" s="69"/>
      <c r="AF572" s="429"/>
      <c r="AG572" s="430"/>
      <c r="AH572" s="431"/>
      <c r="AI572" s="432"/>
      <c r="AJ572" s="65"/>
      <c r="AV572" s="56"/>
    </row>
    <row r="573" spans="1:48" ht="13.5" customHeight="1" outlineLevel="1" thickBot="1">
      <c r="B573" s="82">
        <f>B566+1</f>
        <v>82</v>
      </c>
      <c r="C573" s="1230">
        <f>'Terms and Turnovers'!C97</f>
        <v>0</v>
      </c>
      <c r="D573" s="1230">
        <f>'Terms and Turnovers'!D97</f>
        <v>0</v>
      </c>
      <c r="E573" s="83" t="str">
        <f>'Terms and Turnovers'!$J$12</f>
        <v>FLIP-FLOPS</v>
      </c>
      <c r="F573" s="121">
        <f>$R573*G573</f>
        <v>0</v>
      </c>
      <c r="G573" s="69"/>
      <c r="H573" s="316">
        <f>$R573*I573</f>
        <v>0</v>
      </c>
      <c r="I573" s="69">
        <v>0</v>
      </c>
      <c r="J573" s="118">
        <f t="shared" si="65"/>
        <v>0</v>
      </c>
      <c r="K573" s="69">
        <v>0</v>
      </c>
      <c r="L573" s="314">
        <f t="shared" si="66"/>
        <v>0</v>
      </c>
      <c r="M573" s="69">
        <v>0</v>
      </c>
      <c r="N573" s="314">
        <f t="shared" si="67"/>
        <v>0</v>
      </c>
      <c r="O573" s="69">
        <v>0</v>
      </c>
      <c r="P573" s="121">
        <f t="shared" si="68"/>
        <v>0</v>
      </c>
      <c r="Q573" s="69">
        <v>0</v>
      </c>
      <c r="R573" s="87">
        <f>'Terms and Turnovers'!K97</f>
        <v>0</v>
      </c>
      <c r="S573" s="160">
        <f t="shared" si="56"/>
        <v>0</v>
      </c>
      <c r="T573" s="118">
        <f t="shared" si="60"/>
        <v>0</v>
      </c>
      <c r="U573" s="69">
        <v>0</v>
      </c>
      <c r="V573" s="314">
        <f>$AF573*W573</f>
        <v>0</v>
      </c>
      <c r="W573" s="69">
        <v>0</v>
      </c>
      <c r="X573" s="118">
        <f t="shared" si="61"/>
        <v>0</v>
      </c>
      <c r="Y573" s="69">
        <v>0</v>
      </c>
      <c r="Z573" s="314">
        <f t="shared" si="62"/>
        <v>0</v>
      </c>
      <c r="AA573" s="69">
        <v>0</v>
      </c>
      <c r="AB573" s="314">
        <f t="shared" si="63"/>
        <v>0</v>
      </c>
      <c r="AC573" s="69">
        <v>0</v>
      </c>
      <c r="AD573" s="118">
        <f t="shared" si="64"/>
        <v>0</v>
      </c>
      <c r="AE573" s="69">
        <v>0</v>
      </c>
      <c r="AF573" s="87">
        <f>'Terms and Turnovers'!P97</f>
        <v>0</v>
      </c>
      <c r="AG573" s="160">
        <f t="shared" si="57"/>
        <v>0</v>
      </c>
      <c r="AH573" s="157">
        <f t="shared" si="58"/>
        <v>0</v>
      </c>
      <c r="AI573" s="131">
        <f t="shared" si="59"/>
        <v>0</v>
      </c>
      <c r="AJ573" s="65"/>
      <c r="AV573" s="56"/>
    </row>
    <row r="574" spans="1:48" ht="13.5" customHeight="1" outlineLevel="1" thickBot="1">
      <c r="B574" s="82"/>
      <c r="C574" s="1231"/>
      <c r="D574" s="1231"/>
      <c r="E574" s="84" t="str">
        <f>'Terms and Turnovers'!$T$12</f>
        <v>ORIGINALS</v>
      </c>
      <c r="F574" s="121">
        <f>$R574*G574</f>
        <v>0</v>
      </c>
      <c r="G574" s="723"/>
      <c r="H574" s="121">
        <f>$R574*I574</f>
        <v>0</v>
      </c>
      <c r="I574" s="69">
        <v>0</v>
      </c>
      <c r="J574" s="120">
        <f t="shared" si="65"/>
        <v>0</v>
      </c>
      <c r="K574" s="69">
        <v>0</v>
      </c>
      <c r="L574" s="120">
        <f t="shared" si="66"/>
        <v>0</v>
      </c>
      <c r="M574" s="69">
        <v>0</v>
      </c>
      <c r="N574" s="315">
        <f t="shared" si="67"/>
        <v>0</v>
      </c>
      <c r="O574" s="69">
        <v>0</v>
      </c>
      <c r="P574" s="121">
        <f t="shared" si="68"/>
        <v>0</v>
      </c>
      <c r="Q574" s="69">
        <v>0</v>
      </c>
      <c r="R574" s="88">
        <f>'Terms and Turnovers'!U97</f>
        <v>0</v>
      </c>
      <c r="S574" s="161">
        <f t="shared" si="56"/>
        <v>0</v>
      </c>
      <c r="T574" s="120">
        <f t="shared" si="60"/>
        <v>0</v>
      </c>
      <c r="U574" s="69">
        <v>0</v>
      </c>
      <c r="V574" s="120">
        <f>$AF574*W574</f>
        <v>0</v>
      </c>
      <c r="W574" s="69">
        <v>0</v>
      </c>
      <c r="X574" s="120">
        <f t="shared" si="61"/>
        <v>0</v>
      </c>
      <c r="Y574" s="69">
        <v>0</v>
      </c>
      <c r="Z574" s="120">
        <f t="shared" si="62"/>
        <v>0</v>
      </c>
      <c r="AA574" s="69">
        <v>0</v>
      </c>
      <c r="AB574" s="315">
        <f t="shared" si="63"/>
        <v>0</v>
      </c>
      <c r="AC574" s="69">
        <v>0</v>
      </c>
      <c r="AD574" s="120">
        <f t="shared" si="64"/>
        <v>0</v>
      </c>
      <c r="AE574" s="69">
        <v>0</v>
      </c>
      <c r="AF574" s="88">
        <f>'Terms and Turnovers'!Z97</f>
        <v>0</v>
      </c>
      <c r="AG574" s="161">
        <f t="shared" si="57"/>
        <v>0</v>
      </c>
      <c r="AH574" s="158">
        <f t="shared" si="58"/>
        <v>0</v>
      </c>
      <c r="AI574" s="134">
        <f t="shared" si="59"/>
        <v>0</v>
      </c>
      <c r="AJ574" s="65"/>
      <c r="AV574" s="56"/>
    </row>
    <row r="575" spans="1:48" ht="13.5" customHeight="1" outlineLevel="1" thickBot="1">
      <c r="B575" s="82"/>
      <c r="C575" s="1231"/>
      <c r="D575" s="1231"/>
      <c r="E575" s="84" t="str">
        <f>'Terms and Turnovers'!$AD$12</f>
        <v>ACCESSORIES</v>
      </c>
      <c r="F575" s="121">
        <f>$R575*G575</f>
        <v>0</v>
      </c>
      <c r="G575" s="723"/>
      <c r="H575" s="121">
        <f>$R575*I575</f>
        <v>0</v>
      </c>
      <c r="I575" s="69">
        <v>0</v>
      </c>
      <c r="J575" s="120">
        <f t="shared" si="65"/>
        <v>0</v>
      </c>
      <c r="K575" s="69">
        <v>0</v>
      </c>
      <c r="L575" s="120">
        <f t="shared" si="66"/>
        <v>0</v>
      </c>
      <c r="M575" s="69">
        <v>0</v>
      </c>
      <c r="N575" s="315">
        <f t="shared" si="67"/>
        <v>0</v>
      </c>
      <c r="O575" s="69">
        <v>0</v>
      </c>
      <c r="P575" s="121">
        <f t="shared" si="68"/>
        <v>0</v>
      </c>
      <c r="Q575" s="69">
        <v>0</v>
      </c>
      <c r="R575" s="88">
        <f>'Terms and Turnovers'!AE97</f>
        <v>0</v>
      </c>
      <c r="S575" s="161">
        <f t="shared" si="56"/>
        <v>0</v>
      </c>
      <c r="T575" s="120">
        <f t="shared" si="60"/>
        <v>0</v>
      </c>
      <c r="U575" s="69">
        <v>0</v>
      </c>
      <c r="V575" s="120">
        <f>$AF575*W575</f>
        <v>0</v>
      </c>
      <c r="W575" s="69">
        <v>0</v>
      </c>
      <c r="X575" s="120">
        <f t="shared" si="61"/>
        <v>0</v>
      </c>
      <c r="Y575" s="69">
        <v>0</v>
      </c>
      <c r="Z575" s="120">
        <f t="shared" si="62"/>
        <v>0</v>
      </c>
      <c r="AA575" s="69">
        <v>0</v>
      </c>
      <c r="AB575" s="315">
        <f t="shared" si="63"/>
        <v>0</v>
      </c>
      <c r="AC575" s="69">
        <v>0</v>
      </c>
      <c r="AD575" s="120">
        <f t="shared" si="64"/>
        <v>0</v>
      </c>
      <c r="AE575" s="69">
        <v>0</v>
      </c>
      <c r="AF575" s="88">
        <f>'Terms and Turnovers'!AJ97</f>
        <v>0</v>
      </c>
      <c r="AG575" s="161">
        <f t="shared" si="57"/>
        <v>0</v>
      </c>
      <c r="AH575" s="158">
        <f t="shared" si="58"/>
        <v>0</v>
      </c>
      <c r="AI575" s="134">
        <f t="shared" si="59"/>
        <v>0</v>
      </c>
      <c r="AJ575" s="65"/>
      <c r="AV575" s="56"/>
    </row>
    <row r="576" spans="1:48" ht="13.5" customHeight="1" outlineLevel="1" thickBot="1">
      <c r="B576" s="82"/>
      <c r="C576" s="1231"/>
      <c r="D576" s="1231"/>
      <c r="E576" s="84">
        <f>'Terms and Turnovers'!$AN$12</f>
        <v>0</v>
      </c>
      <c r="F576" s="121">
        <f>$R576*G576</f>
        <v>0</v>
      </c>
      <c r="G576" s="723"/>
      <c r="H576" s="121">
        <f>$R576*I576</f>
        <v>0</v>
      </c>
      <c r="I576" s="69">
        <v>0</v>
      </c>
      <c r="J576" s="120">
        <f t="shared" si="65"/>
        <v>0</v>
      </c>
      <c r="K576" s="69">
        <v>0</v>
      </c>
      <c r="L576" s="120">
        <f t="shared" si="66"/>
        <v>0</v>
      </c>
      <c r="M576" s="69">
        <v>0</v>
      </c>
      <c r="N576" s="315">
        <f t="shared" si="67"/>
        <v>0</v>
      </c>
      <c r="O576" s="69">
        <v>0</v>
      </c>
      <c r="P576" s="121">
        <f t="shared" si="68"/>
        <v>0</v>
      </c>
      <c r="Q576" s="69">
        <v>0</v>
      </c>
      <c r="R576" s="88">
        <f>'Terms and Turnovers'!AO97</f>
        <v>0</v>
      </c>
      <c r="S576" s="161">
        <f t="shared" si="56"/>
        <v>0</v>
      </c>
      <c r="T576" s="120">
        <f t="shared" si="60"/>
        <v>0</v>
      </c>
      <c r="U576" s="69">
        <v>0</v>
      </c>
      <c r="V576" s="120">
        <f>$AF576*W576</f>
        <v>0</v>
      </c>
      <c r="W576" s="69">
        <v>0</v>
      </c>
      <c r="X576" s="120">
        <f t="shared" si="61"/>
        <v>0</v>
      </c>
      <c r="Y576" s="69">
        <v>0</v>
      </c>
      <c r="Z576" s="120">
        <f t="shared" si="62"/>
        <v>0</v>
      </c>
      <c r="AA576" s="69">
        <v>0</v>
      </c>
      <c r="AB576" s="315">
        <f t="shared" si="63"/>
        <v>0</v>
      </c>
      <c r="AC576" s="69">
        <v>0</v>
      </c>
      <c r="AD576" s="120">
        <f t="shared" si="64"/>
        <v>0</v>
      </c>
      <c r="AE576" s="69">
        <v>0</v>
      </c>
      <c r="AF576" s="88">
        <f>'Terms and Turnovers'!AT97</f>
        <v>0</v>
      </c>
      <c r="AG576" s="161">
        <f t="shared" si="57"/>
        <v>0</v>
      </c>
      <c r="AH576" s="158">
        <f t="shared" si="58"/>
        <v>0</v>
      </c>
      <c r="AI576" s="134">
        <f t="shared" si="59"/>
        <v>0</v>
      </c>
      <c r="AJ576" s="65"/>
      <c r="AV576" s="56"/>
    </row>
    <row r="577" spans="1:48" ht="13.5" customHeight="1" outlineLevel="1" thickBot="1">
      <c r="B577" s="82"/>
      <c r="C577" s="1232"/>
      <c r="D577" s="1232"/>
      <c r="E577" s="85">
        <f>'Terms and Turnovers'!$AX$12</f>
        <v>0</v>
      </c>
      <c r="F577" s="121">
        <f>$R577*G577</f>
        <v>0</v>
      </c>
      <c r="G577" s="72"/>
      <c r="H577" s="121">
        <f>$R577*I577</f>
        <v>0</v>
      </c>
      <c r="I577" s="69">
        <v>0</v>
      </c>
      <c r="J577" s="121">
        <f t="shared" si="65"/>
        <v>0</v>
      </c>
      <c r="K577" s="69">
        <v>0</v>
      </c>
      <c r="L577" s="121">
        <f t="shared" si="66"/>
        <v>0</v>
      </c>
      <c r="M577" s="69">
        <v>0</v>
      </c>
      <c r="N577" s="316">
        <f t="shared" si="67"/>
        <v>0</v>
      </c>
      <c r="O577" s="69">
        <v>0</v>
      </c>
      <c r="P577" s="121">
        <f t="shared" si="68"/>
        <v>0</v>
      </c>
      <c r="Q577" s="69">
        <v>0</v>
      </c>
      <c r="R577" s="89">
        <f>'Terms and Turnovers'!AY97</f>
        <v>0</v>
      </c>
      <c r="S577" s="162">
        <f t="shared" si="56"/>
        <v>0</v>
      </c>
      <c r="T577" s="121">
        <f t="shared" si="60"/>
        <v>0</v>
      </c>
      <c r="U577" s="69">
        <v>0</v>
      </c>
      <c r="V577" s="121">
        <f>$AF577*W577</f>
        <v>0</v>
      </c>
      <c r="W577" s="69">
        <v>0</v>
      </c>
      <c r="X577" s="121">
        <f t="shared" si="61"/>
        <v>0</v>
      </c>
      <c r="Y577" s="69">
        <v>0</v>
      </c>
      <c r="Z577" s="121">
        <f t="shared" si="62"/>
        <v>0</v>
      </c>
      <c r="AA577" s="69">
        <v>0</v>
      </c>
      <c r="AB577" s="316">
        <f t="shared" si="63"/>
        <v>0</v>
      </c>
      <c r="AC577" s="69">
        <v>0</v>
      </c>
      <c r="AD577" s="121">
        <f t="shared" si="64"/>
        <v>0</v>
      </c>
      <c r="AE577" s="69">
        <v>0</v>
      </c>
      <c r="AF577" s="89">
        <f>'Terms and Turnovers'!BD97</f>
        <v>0</v>
      </c>
      <c r="AG577" s="162">
        <f t="shared" si="57"/>
        <v>0</v>
      </c>
      <c r="AH577" s="159">
        <f t="shared" si="58"/>
        <v>0</v>
      </c>
      <c r="AI577" s="137">
        <f t="shared" si="59"/>
        <v>0</v>
      </c>
      <c r="AJ577" s="65"/>
      <c r="AV577" s="56"/>
    </row>
    <row r="578" spans="1:48" ht="13.5" customHeight="1" outlineLevel="1" thickBot="1">
      <c r="A578" s="119"/>
      <c r="B578" s="82"/>
      <c r="C578" s="425"/>
      <c r="D578" s="425"/>
      <c r="E578" s="426"/>
      <c r="F578" s="427">
        <f>SUM(F573:F577)</f>
        <v>0</v>
      </c>
      <c r="G578" s="428"/>
      <c r="H578" s="427">
        <f>SUM(H573:H577)</f>
        <v>0</v>
      </c>
      <c r="I578" s="69"/>
      <c r="J578" s="427">
        <f>SUM(J573:J577)</f>
        <v>0</v>
      </c>
      <c r="K578" s="69"/>
      <c r="L578" s="427">
        <f>SUM(L573:L577)</f>
        <v>0</v>
      </c>
      <c r="M578" s="69"/>
      <c r="N578" s="427">
        <f>SUM(N573:N577)</f>
        <v>0</v>
      </c>
      <c r="O578" s="69"/>
      <c r="P578" s="427">
        <f>SUM(P573:P577)</f>
        <v>0</v>
      </c>
      <c r="Q578" s="69"/>
      <c r="R578" s="429"/>
      <c r="S578" s="430"/>
      <c r="T578" s="427">
        <f>SUM(T573:T577)</f>
        <v>0</v>
      </c>
      <c r="U578" s="428"/>
      <c r="V578" s="427">
        <f>SUM(V573:V577)</f>
        <v>0</v>
      </c>
      <c r="W578" s="69"/>
      <c r="X578" s="427">
        <f>SUM(X573:X577)</f>
        <v>0</v>
      </c>
      <c r="Y578" s="69"/>
      <c r="Z578" s="427">
        <f>SUM(Z573:Z577)</f>
        <v>0</v>
      </c>
      <c r="AA578" s="69"/>
      <c r="AB578" s="427">
        <f>SUM(AB573:AB577)</f>
        <v>0</v>
      </c>
      <c r="AC578" s="69"/>
      <c r="AD578" s="427">
        <f>SUM(AD573:AD577)</f>
        <v>0</v>
      </c>
      <c r="AE578" s="69"/>
      <c r="AF578" s="429"/>
      <c r="AG578" s="430"/>
      <c r="AH578" s="431"/>
      <c r="AI578" s="432"/>
      <c r="AJ578" s="65"/>
      <c r="AV578" s="56"/>
    </row>
    <row r="579" spans="1:48" ht="13.5" customHeight="1" outlineLevel="1" thickBot="1">
      <c r="A579" s="119"/>
      <c r="B579" s="82"/>
      <c r="C579" s="1098" t="s">
        <v>484</v>
      </c>
      <c r="D579" s="433"/>
      <c r="E579" s="426"/>
      <c r="F579" s="700"/>
      <c r="G579" s="428"/>
      <c r="H579" s="700"/>
      <c r="I579" s="69"/>
      <c r="J579" s="700"/>
      <c r="K579" s="69"/>
      <c r="L579" s="700"/>
      <c r="M579" s="69"/>
      <c r="N579" s="700"/>
      <c r="O579" s="69"/>
      <c r="P579" s="700"/>
      <c r="Q579" s="69"/>
      <c r="R579" s="429"/>
      <c r="S579" s="430"/>
      <c r="T579" s="700"/>
      <c r="U579" s="428"/>
      <c r="V579" s="700"/>
      <c r="W579" s="69"/>
      <c r="X579" s="700"/>
      <c r="Y579" s="69">
        <f>W577*0.3+Y577*0.7</f>
        <v>0</v>
      </c>
      <c r="Z579" s="700"/>
      <c r="AA579" s="69">
        <f>Y577*0.3+AA577*0.7</f>
        <v>0</v>
      </c>
      <c r="AB579" s="700"/>
      <c r="AC579" s="69">
        <f>AA577*0.3+AC577*0.7</f>
        <v>0</v>
      </c>
      <c r="AD579" s="700"/>
      <c r="AE579" s="69"/>
      <c r="AF579" s="429"/>
      <c r="AG579" s="430"/>
      <c r="AH579" s="431"/>
      <c r="AI579" s="432"/>
      <c r="AJ579" s="65"/>
      <c r="AV579" s="56"/>
    </row>
    <row r="580" spans="1:48" ht="13.5" customHeight="1" outlineLevel="1" thickBot="1">
      <c r="B580" s="82">
        <f>B573+1</f>
        <v>83</v>
      </c>
      <c r="C580" s="1230">
        <f>'Terms and Turnovers'!C98</f>
        <v>0</v>
      </c>
      <c r="D580" s="1230">
        <f>'Terms and Turnovers'!D98</f>
        <v>0</v>
      </c>
      <c r="E580" s="83" t="str">
        <f>'Terms and Turnovers'!$J$12</f>
        <v>FLIP-FLOPS</v>
      </c>
      <c r="F580" s="121">
        <f>$R580*G580</f>
        <v>0</v>
      </c>
      <c r="G580" s="69"/>
      <c r="H580" s="316">
        <f>$R580*I580</f>
        <v>0</v>
      </c>
      <c r="I580" s="69">
        <v>0</v>
      </c>
      <c r="J580" s="118">
        <f t="shared" si="65"/>
        <v>0</v>
      </c>
      <c r="K580" s="69">
        <v>0</v>
      </c>
      <c r="L580" s="314">
        <f t="shared" si="66"/>
        <v>0</v>
      </c>
      <c r="M580" s="69">
        <v>0</v>
      </c>
      <c r="N580" s="314">
        <f t="shared" si="67"/>
        <v>0</v>
      </c>
      <c r="O580" s="69">
        <v>0</v>
      </c>
      <c r="P580" s="121">
        <f t="shared" si="68"/>
        <v>0</v>
      </c>
      <c r="Q580" s="69">
        <v>0</v>
      </c>
      <c r="R580" s="87">
        <f>'Terms and Turnovers'!K98</f>
        <v>0</v>
      </c>
      <c r="S580" s="160">
        <f t="shared" si="56"/>
        <v>0</v>
      </c>
      <c r="T580" s="118">
        <f t="shared" si="60"/>
        <v>0</v>
      </c>
      <c r="U580" s="69">
        <v>0</v>
      </c>
      <c r="V580" s="314">
        <f>$AF580*W580</f>
        <v>0</v>
      </c>
      <c r="W580" s="69">
        <v>0</v>
      </c>
      <c r="X580" s="118">
        <f t="shared" si="61"/>
        <v>0</v>
      </c>
      <c r="Y580" s="69">
        <v>0</v>
      </c>
      <c r="Z580" s="314">
        <f t="shared" si="62"/>
        <v>0</v>
      </c>
      <c r="AA580" s="69">
        <v>0</v>
      </c>
      <c r="AB580" s="314">
        <f t="shared" si="63"/>
        <v>0</v>
      </c>
      <c r="AC580" s="69">
        <v>0</v>
      </c>
      <c r="AD580" s="118">
        <f t="shared" si="64"/>
        <v>0</v>
      </c>
      <c r="AE580" s="69">
        <v>0</v>
      </c>
      <c r="AF580" s="87">
        <f>'Terms and Turnovers'!P98</f>
        <v>0</v>
      </c>
      <c r="AG580" s="160">
        <f t="shared" si="57"/>
        <v>0</v>
      </c>
      <c r="AH580" s="157">
        <f t="shared" si="58"/>
        <v>0</v>
      </c>
      <c r="AI580" s="131">
        <f t="shared" si="59"/>
        <v>0</v>
      </c>
      <c r="AJ580" s="65"/>
      <c r="AV580" s="56"/>
    </row>
    <row r="581" spans="1:48" ht="13.5" customHeight="1" outlineLevel="1" thickBot="1">
      <c r="B581" s="82"/>
      <c r="C581" s="1231"/>
      <c r="D581" s="1231"/>
      <c r="E581" s="84" t="str">
        <f>'Terms and Turnovers'!$T$12</f>
        <v>ORIGINALS</v>
      </c>
      <c r="F581" s="121">
        <f>$R581*G581</f>
        <v>0</v>
      </c>
      <c r="G581" s="723"/>
      <c r="H581" s="121">
        <f>$R581*I581</f>
        <v>0</v>
      </c>
      <c r="I581" s="69">
        <v>0</v>
      </c>
      <c r="J581" s="120">
        <f t="shared" si="65"/>
        <v>0</v>
      </c>
      <c r="K581" s="69">
        <v>0</v>
      </c>
      <c r="L581" s="120">
        <f t="shared" si="66"/>
        <v>0</v>
      </c>
      <c r="M581" s="69">
        <v>0</v>
      </c>
      <c r="N581" s="315">
        <f t="shared" si="67"/>
        <v>0</v>
      </c>
      <c r="O581" s="69">
        <v>0</v>
      </c>
      <c r="P581" s="121">
        <f t="shared" si="68"/>
        <v>0</v>
      </c>
      <c r="Q581" s="69">
        <v>0</v>
      </c>
      <c r="R581" s="88">
        <f>'Terms and Turnovers'!U98</f>
        <v>0</v>
      </c>
      <c r="S581" s="161">
        <f t="shared" si="56"/>
        <v>0</v>
      </c>
      <c r="T581" s="120">
        <f t="shared" si="60"/>
        <v>0</v>
      </c>
      <c r="U581" s="69">
        <v>0</v>
      </c>
      <c r="V581" s="120">
        <f>$AF581*W581</f>
        <v>0</v>
      </c>
      <c r="W581" s="69">
        <v>0</v>
      </c>
      <c r="X581" s="120">
        <f t="shared" si="61"/>
        <v>0</v>
      </c>
      <c r="Y581" s="69">
        <v>0</v>
      </c>
      <c r="Z581" s="120">
        <f t="shared" si="62"/>
        <v>0</v>
      </c>
      <c r="AA581" s="69">
        <v>0</v>
      </c>
      <c r="AB581" s="315">
        <f t="shared" si="63"/>
        <v>0</v>
      </c>
      <c r="AC581" s="69">
        <v>0</v>
      </c>
      <c r="AD581" s="120">
        <f t="shared" si="64"/>
        <v>0</v>
      </c>
      <c r="AE581" s="69">
        <v>0</v>
      </c>
      <c r="AF581" s="88">
        <f>'Terms and Turnovers'!Z98</f>
        <v>0</v>
      </c>
      <c r="AG581" s="161">
        <f t="shared" si="57"/>
        <v>0</v>
      </c>
      <c r="AH581" s="158">
        <f t="shared" si="58"/>
        <v>0</v>
      </c>
      <c r="AI581" s="134">
        <f t="shared" si="59"/>
        <v>0</v>
      </c>
      <c r="AJ581" s="65"/>
      <c r="AV581" s="56"/>
    </row>
    <row r="582" spans="1:48" ht="13.5" customHeight="1" outlineLevel="1" thickBot="1">
      <c r="B582" s="82"/>
      <c r="C582" s="1231"/>
      <c r="D582" s="1231"/>
      <c r="E582" s="84" t="str">
        <f>'Terms and Turnovers'!$AD$12</f>
        <v>ACCESSORIES</v>
      </c>
      <c r="F582" s="121">
        <f>$R582*G582</f>
        <v>0</v>
      </c>
      <c r="G582" s="723"/>
      <c r="H582" s="121">
        <f>$R582*I582</f>
        <v>0</v>
      </c>
      <c r="I582" s="69">
        <v>0</v>
      </c>
      <c r="J582" s="120">
        <f t="shared" si="65"/>
        <v>0</v>
      </c>
      <c r="K582" s="69">
        <v>0</v>
      </c>
      <c r="L582" s="120">
        <f t="shared" si="66"/>
        <v>0</v>
      </c>
      <c r="M582" s="69">
        <v>0</v>
      </c>
      <c r="N582" s="315">
        <f t="shared" si="67"/>
        <v>0</v>
      </c>
      <c r="O582" s="69">
        <v>0</v>
      </c>
      <c r="P582" s="121">
        <f t="shared" si="68"/>
        <v>0</v>
      </c>
      <c r="Q582" s="69">
        <v>0</v>
      </c>
      <c r="R582" s="88">
        <f>'Terms and Turnovers'!AE98</f>
        <v>0</v>
      </c>
      <c r="S582" s="161">
        <f t="shared" si="56"/>
        <v>0</v>
      </c>
      <c r="T582" s="120">
        <f t="shared" si="60"/>
        <v>0</v>
      </c>
      <c r="U582" s="69">
        <v>0</v>
      </c>
      <c r="V582" s="120">
        <f>$AF582*W582</f>
        <v>0</v>
      </c>
      <c r="W582" s="69">
        <v>0</v>
      </c>
      <c r="X582" s="120">
        <f t="shared" si="61"/>
        <v>0</v>
      </c>
      <c r="Y582" s="69">
        <v>0</v>
      </c>
      <c r="Z582" s="120">
        <f t="shared" si="62"/>
        <v>0</v>
      </c>
      <c r="AA582" s="69">
        <v>0</v>
      </c>
      <c r="AB582" s="315">
        <f t="shared" si="63"/>
        <v>0</v>
      </c>
      <c r="AC582" s="69">
        <v>0</v>
      </c>
      <c r="AD582" s="120">
        <f t="shared" si="64"/>
        <v>0</v>
      </c>
      <c r="AE582" s="69">
        <v>0</v>
      </c>
      <c r="AF582" s="88">
        <f>'Terms and Turnovers'!AJ98</f>
        <v>0</v>
      </c>
      <c r="AG582" s="161">
        <f t="shared" si="57"/>
        <v>0</v>
      </c>
      <c r="AH582" s="158">
        <f t="shared" si="58"/>
        <v>0</v>
      </c>
      <c r="AI582" s="134">
        <f t="shared" si="59"/>
        <v>0</v>
      </c>
      <c r="AJ582" s="65"/>
      <c r="AV582" s="56"/>
    </row>
    <row r="583" spans="1:48" ht="13.5" customHeight="1" outlineLevel="1" thickBot="1">
      <c r="B583" s="82"/>
      <c r="C583" s="1231"/>
      <c r="D583" s="1231"/>
      <c r="E583" s="84">
        <f>'Terms and Turnovers'!$AN$12</f>
        <v>0</v>
      </c>
      <c r="F583" s="121">
        <f>$R583*G583</f>
        <v>0</v>
      </c>
      <c r="G583" s="723"/>
      <c r="H583" s="121">
        <f>$R583*I583</f>
        <v>0</v>
      </c>
      <c r="I583" s="69">
        <v>0</v>
      </c>
      <c r="J583" s="120">
        <f t="shared" si="65"/>
        <v>0</v>
      </c>
      <c r="K583" s="69">
        <v>0</v>
      </c>
      <c r="L583" s="120">
        <f t="shared" si="66"/>
        <v>0</v>
      </c>
      <c r="M583" s="69">
        <v>0</v>
      </c>
      <c r="N583" s="315">
        <f t="shared" si="67"/>
        <v>0</v>
      </c>
      <c r="O583" s="69">
        <v>0</v>
      </c>
      <c r="P583" s="121">
        <f t="shared" si="68"/>
        <v>0</v>
      </c>
      <c r="Q583" s="69">
        <v>0</v>
      </c>
      <c r="R583" s="88">
        <f>'Terms and Turnovers'!AO98</f>
        <v>0</v>
      </c>
      <c r="S583" s="161">
        <f t="shared" si="56"/>
        <v>0</v>
      </c>
      <c r="T583" s="120">
        <f t="shared" si="60"/>
        <v>0</v>
      </c>
      <c r="U583" s="69">
        <v>0</v>
      </c>
      <c r="V583" s="120">
        <f>$AF583*W583</f>
        <v>0</v>
      </c>
      <c r="W583" s="69">
        <v>0</v>
      </c>
      <c r="X583" s="120">
        <f t="shared" si="61"/>
        <v>0</v>
      </c>
      <c r="Y583" s="69">
        <v>0</v>
      </c>
      <c r="Z583" s="120">
        <f t="shared" si="62"/>
        <v>0</v>
      </c>
      <c r="AA583" s="69">
        <v>0</v>
      </c>
      <c r="AB583" s="315">
        <f t="shared" si="63"/>
        <v>0</v>
      </c>
      <c r="AC583" s="69">
        <v>0</v>
      </c>
      <c r="AD583" s="120">
        <f t="shared" si="64"/>
        <v>0</v>
      </c>
      <c r="AE583" s="69">
        <v>0</v>
      </c>
      <c r="AF583" s="88">
        <f>'Terms and Turnovers'!AT98</f>
        <v>0</v>
      </c>
      <c r="AG583" s="161">
        <f t="shared" si="57"/>
        <v>0</v>
      </c>
      <c r="AH583" s="158">
        <f t="shared" si="58"/>
        <v>0</v>
      </c>
      <c r="AI583" s="134">
        <f t="shared" si="59"/>
        <v>0</v>
      </c>
      <c r="AJ583" s="65"/>
      <c r="AV583" s="56"/>
    </row>
    <row r="584" spans="1:48" ht="13.5" customHeight="1" outlineLevel="1" thickBot="1">
      <c r="B584" s="82"/>
      <c r="C584" s="1232"/>
      <c r="D584" s="1232"/>
      <c r="E584" s="85">
        <f>'Terms and Turnovers'!$AX$12</f>
        <v>0</v>
      </c>
      <c r="F584" s="121">
        <f>$R584*G584</f>
        <v>0</v>
      </c>
      <c r="G584" s="72"/>
      <c r="H584" s="121">
        <f>$R584*I584</f>
        <v>0</v>
      </c>
      <c r="I584" s="69">
        <v>0</v>
      </c>
      <c r="J584" s="121">
        <f t="shared" si="65"/>
        <v>0</v>
      </c>
      <c r="K584" s="69">
        <v>0</v>
      </c>
      <c r="L584" s="121">
        <f t="shared" si="66"/>
        <v>0</v>
      </c>
      <c r="M584" s="69">
        <v>0</v>
      </c>
      <c r="N584" s="316">
        <f t="shared" si="67"/>
        <v>0</v>
      </c>
      <c r="O584" s="69">
        <v>0</v>
      </c>
      <c r="P584" s="121">
        <f t="shared" si="68"/>
        <v>0</v>
      </c>
      <c r="Q584" s="69">
        <v>0</v>
      </c>
      <c r="R584" s="89">
        <f>'Terms and Turnovers'!AY98</f>
        <v>0</v>
      </c>
      <c r="S584" s="162">
        <f t="shared" si="56"/>
        <v>0</v>
      </c>
      <c r="T584" s="121">
        <f t="shared" si="60"/>
        <v>0</v>
      </c>
      <c r="U584" s="69">
        <v>0</v>
      </c>
      <c r="V584" s="121">
        <f>$AF584*W584</f>
        <v>0</v>
      </c>
      <c r="W584" s="69">
        <v>0</v>
      </c>
      <c r="X584" s="121">
        <f t="shared" si="61"/>
        <v>0</v>
      </c>
      <c r="Y584" s="69">
        <v>0</v>
      </c>
      <c r="Z584" s="121">
        <f t="shared" si="62"/>
        <v>0</v>
      </c>
      <c r="AA584" s="69">
        <v>0</v>
      </c>
      <c r="AB584" s="316">
        <f t="shared" si="63"/>
        <v>0</v>
      </c>
      <c r="AC584" s="69">
        <v>0</v>
      </c>
      <c r="AD584" s="121">
        <f t="shared" si="64"/>
        <v>0</v>
      </c>
      <c r="AE584" s="69">
        <v>0</v>
      </c>
      <c r="AF584" s="89">
        <f>'Terms and Turnovers'!BD98</f>
        <v>0</v>
      </c>
      <c r="AG584" s="162">
        <f t="shared" si="57"/>
        <v>0</v>
      </c>
      <c r="AH584" s="159">
        <f t="shared" si="58"/>
        <v>0</v>
      </c>
      <c r="AI584" s="137">
        <f t="shared" si="59"/>
        <v>0</v>
      </c>
      <c r="AJ584" s="65"/>
      <c r="AV584" s="56"/>
    </row>
    <row r="585" spans="1:48" ht="13.5" customHeight="1" outlineLevel="1" thickBot="1">
      <c r="A585" s="119"/>
      <c r="B585" s="82"/>
      <c r="C585" s="425"/>
      <c r="D585" s="425"/>
      <c r="E585" s="426"/>
      <c r="F585" s="427">
        <f>SUM(F580:F584)</f>
        <v>0</v>
      </c>
      <c r="G585" s="428"/>
      <c r="H585" s="427">
        <f>SUM(H580:H584)</f>
        <v>0</v>
      </c>
      <c r="I585" s="69"/>
      <c r="J585" s="427">
        <f>SUM(J580:J584)</f>
        <v>0</v>
      </c>
      <c r="K585" s="69"/>
      <c r="L585" s="427">
        <f>SUM(L580:L584)</f>
        <v>0</v>
      </c>
      <c r="M585" s="69"/>
      <c r="N585" s="427">
        <f>SUM(N580:N584)</f>
        <v>0</v>
      </c>
      <c r="O585" s="69"/>
      <c r="P585" s="427">
        <f>SUM(P580:P584)</f>
        <v>0</v>
      </c>
      <c r="Q585" s="69"/>
      <c r="R585" s="429"/>
      <c r="S585" s="430"/>
      <c r="T585" s="427">
        <f>SUM(T580:T584)</f>
        <v>0</v>
      </c>
      <c r="U585" s="428"/>
      <c r="V585" s="427">
        <f>SUM(V580:V584)</f>
        <v>0</v>
      </c>
      <c r="W585" s="69"/>
      <c r="X585" s="427">
        <f>SUM(X580:X584)</f>
        <v>0</v>
      </c>
      <c r="Y585" s="69"/>
      <c r="Z585" s="427">
        <f>SUM(Z580:Z584)</f>
        <v>0</v>
      </c>
      <c r="AA585" s="69"/>
      <c r="AB585" s="427">
        <f>SUM(AB580:AB584)</f>
        <v>0</v>
      </c>
      <c r="AC585" s="69"/>
      <c r="AD585" s="427">
        <f>SUM(AD580:AD584)</f>
        <v>0</v>
      </c>
      <c r="AE585" s="69"/>
      <c r="AF585" s="429"/>
      <c r="AG585" s="430"/>
      <c r="AH585" s="431"/>
      <c r="AI585" s="432"/>
      <c r="AJ585" s="65"/>
      <c r="AV585" s="56"/>
    </row>
    <row r="586" spans="1:48" ht="13.5" customHeight="1" outlineLevel="1" thickBot="1">
      <c r="A586" s="119"/>
      <c r="B586" s="82"/>
      <c r="C586" s="1098" t="s">
        <v>484</v>
      </c>
      <c r="D586" s="433"/>
      <c r="E586" s="426"/>
      <c r="F586" s="700"/>
      <c r="G586" s="428"/>
      <c r="H586" s="700"/>
      <c r="I586" s="69"/>
      <c r="J586" s="700"/>
      <c r="K586" s="69"/>
      <c r="L586" s="700"/>
      <c r="M586" s="69"/>
      <c r="N586" s="700"/>
      <c r="O586" s="69"/>
      <c r="P586" s="700"/>
      <c r="Q586" s="69"/>
      <c r="R586" s="429"/>
      <c r="S586" s="430"/>
      <c r="T586" s="700"/>
      <c r="U586" s="428"/>
      <c r="V586" s="700"/>
      <c r="W586" s="69"/>
      <c r="X586" s="700"/>
      <c r="Y586" s="69">
        <f>W584*0.3+Y584*0.7</f>
        <v>0</v>
      </c>
      <c r="Z586" s="700"/>
      <c r="AA586" s="69">
        <f>Y584*0.3+AA584*0.7</f>
        <v>0</v>
      </c>
      <c r="AB586" s="700"/>
      <c r="AC586" s="69">
        <f>AA584*0.3+AC584*0.7</f>
        <v>0</v>
      </c>
      <c r="AD586" s="700"/>
      <c r="AE586" s="69"/>
      <c r="AF586" s="429"/>
      <c r="AG586" s="430"/>
      <c r="AH586" s="431"/>
      <c r="AI586" s="432"/>
      <c r="AJ586" s="65"/>
      <c r="AV586" s="56"/>
    </row>
    <row r="587" spans="1:48" ht="13.5" customHeight="1" outlineLevel="1" thickBot="1">
      <c r="B587" s="82">
        <f>B580+1</f>
        <v>84</v>
      </c>
      <c r="C587" s="1230">
        <f>'Terms and Turnovers'!C99</f>
        <v>0</v>
      </c>
      <c r="D587" s="1230">
        <f>'Terms and Turnovers'!D99</f>
        <v>0</v>
      </c>
      <c r="E587" s="83" t="str">
        <f>'Terms and Turnovers'!$J$12</f>
        <v>FLIP-FLOPS</v>
      </c>
      <c r="F587" s="121">
        <f>$R587*G587</f>
        <v>0</v>
      </c>
      <c r="G587" s="69"/>
      <c r="H587" s="316">
        <f>$R587*I587</f>
        <v>0</v>
      </c>
      <c r="I587" s="69">
        <v>0</v>
      </c>
      <c r="J587" s="118">
        <f t="shared" si="65"/>
        <v>0</v>
      </c>
      <c r="K587" s="69">
        <v>0</v>
      </c>
      <c r="L587" s="314">
        <f t="shared" si="66"/>
        <v>0</v>
      </c>
      <c r="M587" s="69">
        <v>0</v>
      </c>
      <c r="N587" s="314">
        <f t="shared" si="67"/>
        <v>0</v>
      </c>
      <c r="O587" s="69">
        <v>0</v>
      </c>
      <c r="P587" s="121">
        <f t="shared" si="68"/>
        <v>0</v>
      </c>
      <c r="Q587" s="69">
        <v>0</v>
      </c>
      <c r="R587" s="87">
        <f>'Terms and Turnovers'!K99</f>
        <v>0</v>
      </c>
      <c r="S587" s="160">
        <f t="shared" si="56"/>
        <v>0</v>
      </c>
      <c r="T587" s="118">
        <f t="shared" si="60"/>
        <v>0</v>
      </c>
      <c r="U587" s="69">
        <v>0</v>
      </c>
      <c r="V587" s="314">
        <f>$AF587*W587</f>
        <v>0</v>
      </c>
      <c r="W587" s="69">
        <v>0</v>
      </c>
      <c r="X587" s="118">
        <f t="shared" si="61"/>
        <v>0</v>
      </c>
      <c r="Y587" s="69">
        <v>0</v>
      </c>
      <c r="Z587" s="314">
        <f t="shared" si="62"/>
        <v>0</v>
      </c>
      <c r="AA587" s="69">
        <v>0</v>
      </c>
      <c r="AB587" s="314">
        <f t="shared" si="63"/>
        <v>0</v>
      </c>
      <c r="AC587" s="69">
        <v>0</v>
      </c>
      <c r="AD587" s="118">
        <f t="shared" si="64"/>
        <v>0</v>
      </c>
      <c r="AE587" s="69">
        <v>0</v>
      </c>
      <c r="AF587" s="87">
        <f>'Terms and Turnovers'!P99</f>
        <v>0</v>
      </c>
      <c r="AG587" s="160">
        <f t="shared" si="57"/>
        <v>0</v>
      </c>
      <c r="AH587" s="157">
        <f t="shared" si="58"/>
        <v>0</v>
      </c>
      <c r="AI587" s="131">
        <f t="shared" si="59"/>
        <v>0</v>
      </c>
      <c r="AJ587" s="65"/>
      <c r="AV587" s="56"/>
    </row>
    <row r="588" spans="1:48" ht="13.5" customHeight="1" outlineLevel="1" thickBot="1">
      <c r="B588" s="82"/>
      <c r="C588" s="1231"/>
      <c r="D588" s="1231"/>
      <c r="E588" s="84" t="str">
        <f>'Terms and Turnovers'!$T$12</f>
        <v>ORIGINALS</v>
      </c>
      <c r="F588" s="121">
        <f>$R588*G588</f>
        <v>0</v>
      </c>
      <c r="G588" s="723"/>
      <c r="H588" s="121">
        <f>$R588*I588</f>
        <v>0</v>
      </c>
      <c r="I588" s="69">
        <v>0</v>
      </c>
      <c r="J588" s="120">
        <f t="shared" si="65"/>
        <v>0</v>
      </c>
      <c r="K588" s="69">
        <v>0</v>
      </c>
      <c r="L588" s="120">
        <f t="shared" si="66"/>
        <v>0</v>
      </c>
      <c r="M588" s="69">
        <v>0</v>
      </c>
      <c r="N588" s="315">
        <f t="shared" si="67"/>
        <v>0</v>
      </c>
      <c r="O588" s="69">
        <v>0</v>
      </c>
      <c r="P588" s="121">
        <f t="shared" si="68"/>
        <v>0</v>
      </c>
      <c r="Q588" s="69">
        <v>0</v>
      </c>
      <c r="R588" s="88">
        <f>'Terms and Turnovers'!U99</f>
        <v>0</v>
      </c>
      <c r="S588" s="161">
        <f t="shared" si="56"/>
        <v>0</v>
      </c>
      <c r="T588" s="120">
        <f t="shared" si="60"/>
        <v>0</v>
      </c>
      <c r="U588" s="69">
        <v>0</v>
      </c>
      <c r="V588" s="120">
        <f>$AF588*W588</f>
        <v>0</v>
      </c>
      <c r="W588" s="69">
        <v>0</v>
      </c>
      <c r="X588" s="120">
        <f t="shared" si="61"/>
        <v>0</v>
      </c>
      <c r="Y588" s="69">
        <v>0</v>
      </c>
      <c r="Z588" s="120">
        <f t="shared" si="62"/>
        <v>0</v>
      </c>
      <c r="AA588" s="69">
        <v>0</v>
      </c>
      <c r="AB588" s="315">
        <f t="shared" si="63"/>
        <v>0</v>
      </c>
      <c r="AC588" s="69">
        <v>0</v>
      </c>
      <c r="AD588" s="120">
        <f t="shared" si="64"/>
        <v>0</v>
      </c>
      <c r="AE588" s="69">
        <v>0</v>
      </c>
      <c r="AF588" s="88">
        <f>'Terms and Turnovers'!Z99</f>
        <v>0</v>
      </c>
      <c r="AG588" s="161">
        <f t="shared" si="57"/>
        <v>0</v>
      </c>
      <c r="AH588" s="158">
        <f t="shared" si="58"/>
        <v>0</v>
      </c>
      <c r="AI588" s="134">
        <f t="shared" si="59"/>
        <v>0</v>
      </c>
      <c r="AJ588" s="65"/>
      <c r="AV588" s="56"/>
    </row>
    <row r="589" spans="1:48" ht="13.5" customHeight="1" outlineLevel="1" thickBot="1">
      <c r="B589" s="82"/>
      <c r="C589" s="1231"/>
      <c r="D589" s="1231"/>
      <c r="E589" s="84" t="str">
        <f>'Terms and Turnovers'!$AD$12</f>
        <v>ACCESSORIES</v>
      </c>
      <c r="F589" s="121">
        <f>$R589*G589</f>
        <v>0</v>
      </c>
      <c r="G589" s="723"/>
      <c r="H589" s="121">
        <f>$R589*I589</f>
        <v>0</v>
      </c>
      <c r="I589" s="69">
        <v>0</v>
      </c>
      <c r="J589" s="120">
        <f t="shared" si="65"/>
        <v>0</v>
      </c>
      <c r="K589" s="69">
        <v>0</v>
      </c>
      <c r="L589" s="120">
        <f t="shared" si="66"/>
        <v>0</v>
      </c>
      <c r="M589" s="69">
        <v>0</v>
      </c>
      <c r="N589" s="315">
        <f t="shared" si="67"/>
        <v>0</v>
      </c>
      <c r="O589" s="69">
        <v>0</v>
      </c>
      <c r="P589" s="121">
        <f t="shared" si="68"/>
        <v>0</v>
      </c>
      <c r="Q589" s="69">
        <v>0</v>
      </c>
      <c r="R589" s="88">
        <f>'Terms and Turnovers'!AE99</f>
        <v>0</v>
      </c>
      <c r="S589" s="161">
        <f t="shared" si="56"/>
        <v>0</v>
      </c>
      <c r="T589" s="120">
        <f t="shared" si="60"/>
        <v>0</v>
      </c>
      <c r="U589" s="69">
        <v>0</v>
      </c>
      <c r="V589" s="120">
        <f>$AF589*W589</f>
        <v>0</v>
      </c>
      <c r="W589" s="69">
        <v>0</v>
      </c>
      <c r="X589" s="120">
        <f t="shared" si="61"/>
        <v>0</v>
      </c>
      <c r="Y589" s="69">
        <v>0</v>
      </c>
      <c r="Z589" s="120">
        <f t="shared" si="62"/>
        <v>0</v>
      </c>
      <c r="AA589" s="69">
        <v>0</v>
      </c>
      <c r="AB589" s="315">
        <f t="shared" si="63"/>
        <v>0</v>
      </c>
      <c r="AC589" s="69">
        <v>0</v>
      </c>
      <c r="AD589" s="120">
        <f t="shared" si="64"/>
        <v>0</v>
      </c>
      <c r="AE589" s="69">
        <v>0</v>
      </c>
      <c r="AF589" s="88">
        <f>'Terms and Turnovers'!AJ99</f>
        <v>0</v>
      </c>
      <c r="AG589" s="161">
        <f t="shared" si="57"/>
        <v>0</v>
      </c>
      <c r="AH589" s="158">
        <f t="shared" si="58"/>
        <v>0</v>
      </c>
      <c r="AI589" s="134">
        <f t="shared" si="59"/>
        <v>0</v>
      </c>
      <c r="AJ589" s="65"/>
      <c r="AV589" s="56"/>
    </row>
    <row r="590" spans="1:48" ht="13.5" customHeight="1" outlineLevel="1" thickBot="1">
      <c r="B590" s="82"/>
      <c r="C590" s="1231"/>
      <c r="D590" s="1231"/>
      <c r="E590" s="84">
        <f>'Terms and Turnovers'!$AN$12</f>
        <v>0</v>
      </c>
      <c r="F590" s="121">
        <f>$R590*G590</f>
        <v>0</v>
      </c>
      <c r="G590" s="723"/>
      <c r="H590" s="121">
        <f>$R590*I590</f>
        <v>0</v>
      </c>
      <c r="I590" s="69">
        <v>0</v>
      </c>
      <c r="J590" s="120">
        <f t="shared" si="65"/>
        <v>0</v>
      </c>
      <c r="K590" s="69">
        <v>0</v>
      </c>
      <c r="L590" s="120">
        <f t="shared" si="66"/>
        <v>0</v>
      </c>
      <c r="M590" s="69">
        <v>0</v>
      </c>
      <c r="N590" s="315">
        <f t="shared" si="67"/>
        <v>0</v>
      </c>
      <c r="O590" s="69">
        <v>0</v>
      </c>
      <c r="P590" s="121">
        <f t="shared" si="68"/>
        <v>0</v>
      </c>
      <c r="Q590" s="69">
        <v>0</v>
      </c>
      <c r="R590" s="88">
        <f>'Terms and Turnovers'!AO99</f>
        <v>0</v>
      </c>
      <c r="S590" s="161">
        <f t="shared" ref="S590:S679" si="69">SUM(G590,I590,K590,M590,O590,Q590)</f>
        <v>0</v>
      </c>
      <c r="T590" s="120">
        <f t="shared" si="60"/>
        <v>0</v>
      </c>
      <c r="U590" s="69">
        <v>0</v>
      </c>
      <c r="V590" s="120">
        <f>$AF590*W590</f>
        <v>0</v>
      </c>
      <c r="W590" s="69">
        <v>0</v>
      </c>
      <c r="X590" s="120">
        <f t="shared" si="61"/>
        <v>0</v>
      </c>
      <c r="Y590" s="69">
        <v>0</v>
      </c>
      <c r="Z590" s="120">
        <f t="shared" si="62"/>
        <v>0</v>
      </c>
      <c r="AA590" s="69">
        <v>0</v>
      </c>
      <c r="AB590" s="315">
        <f t="shared" si="63"/>
        <v>0</v>
      </c>
      <c r="AC590" s="69">
        <v>0</v>
      </c>
      <c r="AD590" s="120">
        <f t="shared" si="64"/>
        <v>0</v>
      </c>
      <c r="AE590" s="69">
        <v>0</v>
      </c>
      <c r="AF590" s="88">
        <f>'Terms and Turnovers'!AT99</f>
        <v>0</v>
      </c>
      <c r="AG590" s="161">
        <f t="shared" ref="AG590:AG679" si="70">SUM(U590,W590,Y590,AA590,AC590,AE590)</f>
        <v>0</v>
      </c>
      <c r="AH590" s="158">
        <f t="shared" ref="AH590:AH679" si="71">SUM(R590,AF590)</f>
        <v>0</v>
      </c>
      <c r="AI590" s="134">
        <f t="shared" ref="AI590:AI679" si="72">S590+AG590</f>
        <v>0</v>
      </c>
      <c r="AJ590" s="65"/>
      <c r="AV590" s="56"/>
    </row>
    <row r="591" spans="1:48" ht="13.5" customHeight="1" outlineLevel="1" thickBot="1">
      <c r="B591" s="82"/>
      <c r="C591" s="1232"/>
      <c r="D591" s="1232"/>
      <c r="E591" s="85">
        <f>'Terms and Turnovers'!$AX$12</f>
        <v>0</v>
      </c>
      <c r="F591" s="121">
        <f>$R591*G591</f>
        <v>0</v>
      </c>
      <c r="G591" s="72"/>
      <c r="H591" s="121">
        <f>$R591*I591</f>
        <v>0</v>
      </c>
      <c r="I591" s="69">
        <v>0</v>
      </c>
      <c r="J591" s="121">
        <f t="shared" si="65"/>
        <v>0</v>
      </c>
      <c r="K591" s="69">
        <v>0</v>
      </c>
      <c r="L591" s="121">
        <f t="shared" si="66"/>
        <v>0</v>
      </c>
      <c r="M591" s="69">
        <v>0</v>
      </c>
      <c r="N591" s="316">
        <f t="shared" si="67"/>
        <v>0</v>
      </c>
      <c r="O591" s="69">
        <v>0</v>
      </c>
      <c r="P591" s="121">
        <f t="shared" si="68"/>
        <v>0</v>
      </c>
      <c r="Q591" s="69">
        <v>0</v>
      </c>
      <c r="R591" s="89">
        <f>'Terms and Turnovers'!AY99</f>
        <v>0</v>
      </c>
      <c r="S591" s="162">
        <f t="shared" si="69"/>
        <v>0</v>
      </c>
      <c r="T591" s="121">
        <f t="shared" ref="T591:T680" si="73">$AF591*U591</f>
        <v>0</v>
      </c>
      <c r="U591" s="69">
        <v>0</v>
      </c>
      <c r="V591" s="121">
        <f>$AF591*W591</f>
        <v>0</v>
      </c>
      <c r="W591" s="69">
        <v>0</v>
      </c>
      <c r="X591" s="121">
        <f t="shared" si="61"/>
        <v>0</v>
      </c>
      <c r="Y591" s="69">
        <v>0</v>
      </c>
      <c r="Z591" s="121">
        <f t="shared" si="62"/>
        <v>0</v>
      </c>
      <c r="AA591" s="69">
        <v>0</v>
      </c>
      <c r="AB591" s="316">
        <f t="shared" si="63"/>
        <v>0</v>
      </c>
      <c r="AC591" s="69">
        <v>0</v>
      </c>
      <c r="AD591" s="121">
        <f t="shared" si="64"/>
        <v>0</v>
      </c>
      <c r="AE591" s="69">
        <v>0</v>
      </c>
      <c r="AF591" s="89">
        <f>'Terms and Turnovers'!BD99</f>
        <v>0</v>
      </c>
      <c r="AG591" s="162">
        <f t="shared" si="70"/>
        <v>0</v>
      </c>
      <c r="AH591" s="159">
        <f t="shared" si="71"/>
        <v>0</v>
      </c>
      <c r="AI591" s="137">
        <f t="shared" si="72"/>
        <v>0</v>
      </c>
      <c r="AJ591" s="65"/>
      <c r="AV591" s="56"/>
    </row>
    <row r="592" spans="1:48" ht="13.5" customHeight="1" outlineLevel="1" thickBot="1">
      <c r="A592" s="119"/>
      <c r="B592" s="82"/>
      <c r="C592" s="425"/>
      <c r="D592" s="425"/>
      <c r="E592" s="426"/>
      <c r="F592" s="427">
        <f>SUM(F587:F591)</f>
        <v>0</v>
      </c>
      <c r="G592" s="428"/>
      <c r="H592" s="427">
        <f>SUM(H587:H591)</f>
        <v>0</v>
      </c>
      <c r="I592" s="69"/>
      <c r="J592" s="427">
        <f>SUM(J587:J591)</f>
        <v>0</v>
      </c>
      <c r="K592" s="69"/>
      <c r="L592" s="427">
        <f>SUM(L587:L591)</f>
        <v>0</v>
      </c>
      <c r="M592" s="69"/>
      <c r="N592" s="427">
        <f>SUM(N587:N591)</f>
        <v>0</v>
      </c>
      <c r="O592" s="69"/>
      <c r="P592" s="427">
        <f>SUM(P587:P591)</f>
        <v>0</v>
      </c>
      <c r="Q592" s="69"/>
      <c r="R592" s="429"/>
      <c r="S592" s="430"/>
      <c r="T592" s="427">
        <f>SUM(T587:T591)</f>
        <v>0</v>
      </c>
      <c r="U592" s="428"/>
      <c r="V592" s="427">
        <f>SUM(V587:V591)</f>
        <v>0</v>
      </c>
      <c r="W592" s="69"/>
      <c r="X592" s="427">
        <f>SUM(X587:X591)</f>
        <v>0</v>
      </c>
      <c r="Y592" s="69"/>
      <c r="Z592" s="427">
        <f>SUM(Z587:Z591)</f>
        <v>0</v>
      </c>
      <c r="AA592" s="69"/>
      <c r="AB592" s="427">
        <f>SUM(AB587:AB591)</f>
        <v>0</v>
      </c>
      <c r="AC592" s="69"/>
      <c r="AD592" s="427">
        <f>SUM(AD587:AD591)</f>
        <v>0</v>
      </c>
      <c r="AE592" s="69"/>
      <c r="AF592" s="429"/>
      <c r="AG592" s="430"/>
      <c r="AH592" s="431"/>
      <c r="AI592" s="432"/>
      <c r="AJ592" s="65"/>
      <c r="AV592" s="56"/>
    </row>
    <row r="593" spans="1:48" ht="13.5" customHeight="1" outlineLevel="1" thickBot="1">
      <c r="A593" s="119"/>
      <c r="B593" s="82"/>
      <c r="C593" s="1098" t="s">
        <v>484</v>
      </c>
      <c r="D593" s="433"/>
      <c r="E593" s="426"/>
      <c r="F593" s="700"/>
      <c r="G593" s="428"/>
      <c r="H593" s="700"/>
      <c r="I593" s="69"/>
      <c r="J593" s="700"/>
      <c r="K593" s="69"/>
      <c r="L593" s="700"/>
      <c r="M593" s="69"/>
      <c r="N593" s="700"/>
      <c r="O593" s="69"/>
      <c r="P593" s="700"/>
      <c r="Q593" s="69"/>
      <c r="R593" s="429"/>
      <c r="S593" s="430"/>
      <c r="T593" s="700"/>
      <c r="U593" s="428"/>
      <c r="V593" s="700"/>
      <c r="W593" s="69"/>
      <c r="X593" s="700"/>
      <c r="Y593" s="69">
        <f>W591*0.3+Y591*0.7</f>
        <v>0</v>
      </c>
      <c r="Z593" s="700"/>
      <c r="AA593" s="69">
        <f>Y591*0.3+AA591*0.7</f>
        <v>0</v>
      </c>
      <c r="AB593" s="700"/>
      <c r="AC593" s="69">
        <f>AA591*0.3+AC591*0.7</f>
        <v>0</v>
      </c>
      <c r="AD593" s="700"/>
      <c r="AE593" s="69"/>
      <c r="AF593" s="429"/>
      <c r="AG593" s="430"/>
      <c r="AH593" s="431"/>
      <c r="AI593" s="432"/>
      <c r="AJ593" s="65"/>
      <c r="AV593" s="56"/>
    </row>
    <row r="594" spans="1:48" ht="13.5" customHeight="1" outlineLevel="1" thickBot="1">
      <c r="B594" s="82">
        <f>B587+1</f>
        <v>85</v>
      </c>
      <c r="C594" s="1230">
        <f>'Terms and Turnovers'!C100</f>
        <v>0</v>
      </c>
      <c r="D594" s="1230">
        <f>'Terms and Turnovers'!D100</f>
        <v>0</v>
      </c>
      <c r="E594" s="83" t="str">
        <f>'Terms and Turnovers'!$J$12</f>
        <v>FLIP-FLOPS</v>
      </c>
      <c r="F594" s="121">
        <f>$R594*G594</f>
        <v>0</v>
      </c>
      <c r="G594" s="69"/>
      <c r="H594" s="316">
        <f>$R594*I594</f>
        <v>0</v>
      </c>
      <c r="I594" s="69">
        <v>0</v>
      </c>
      <c r="J594" s="118">
        <f t="shared" si="65"/>
        <v>0</v>
      </c>
      <c r="K594" s="69">
        <v>0</v>
      </c>
      <c r="L594" s="314">
        <f t="shared" si="66"/>
        <v>0</v>
      </c>
      <c r="M594" s="69">
        <v>0</v>
      </c>
      <c r="N594" s="314">
        <f t="shared" si="67"/>
        <v>0</v>
      </c>
      <c r="O594" s="69">
        <v>0</v>
      </c>
      <c r="P594" s="121">
        <f t="shared" si="68"/>
        <v>0</v>
      </c>
      <c r="Q594" s="69">
        <v>0</v>
      </c>
      <c r="R594" s="87">
        <f>'Terms and Turnovers'!K100</f>
        <v>0</v>
      </c>
      <c r="S594" s="160">
        <f t="shared" si="69"/>
        <v>0</v>
      </c>
      <c r="T594" s="118">
        <f t="shared" si="73"/>
        <v>0</v>
      </c>
      <c r="U594" s="69">
        <v>0</v>
      </c>
      <c r="V594" s="314">
        <f>$AF594*W594</f>
        <v>0</v>
      </c>
      <c r="W594" s="69">
        <v>0</v>
      </c>
      <c r="X594" s="118">
        <f t="shared" ref="X594:X679" si="74">$AF594*Y594</f>
        <v>0</v>
      </c>
      <c r="Y594" s="69">
        <v>0</v>
      </c>
      <c r="Z594" s="314">
        <f t="shared" ref="Z594:Z679" si="75">$AF594*AA594</f>
        <v>0</v>
      </c>
      <c r="AA594" s="69">
        <v>0</v>
      </c>
      <c r="AB594" s="314">
        <f t="shared" ref="AB594:AB679" si="76">$AF594*AC594</f>
        <v>0</v>
      </c>
      <c r="AC594" s="69">
        <v>0</v>
      </c>
      <c r="AD594" s="118">
        <f t="shared" ref="AD594:AD679" si="77">$AF594*AE594</f>
        <v>0</v>
      </c>
      <c r="AE594" s="69">
        <v>0</v>
      </c>
      <c r="AF594" s="87">
        <f>'Terms and Turnovers'!P100</f>
        <v>0</v>
      </c>
      <c r="AG594" s="160">
        <f t="shared" si="70"/>
        <v>0</v>
      </c>
      <c r="AH594" s="157">
        <f t="shared" si="71"/>
        <v>0</v>
      </c>
      <c r="AI594" s="131">
        <f t="shared" si="72"/>
        <v>0</v>
      </c>
      <c r="AJ594" s="65"/>
      <c r="AV594" s="56"/>
    </row>
    <row r="595" spans="1:48" ht="13.5" customHeight="1" outlineLevel="1" thickBot="1">
      <c r="B595" s="82"/>
      <c r="C595" s="1231"/>
      <c r="D595" s="1231"/>
      <c r="E595" s="84" t="str">
        <f>'Terms and Turnovers'!$T$12</f>
        <v>ORIGINALS</v>
      </c>
      <c r="F595" s="121">
        <f>$R595*G595</f>
        <v>0</v>
      </c>
      <c r="G595" s="723"/>
      <c r="H595" s="121">
        <f>$R595*I595</f>
        <v>0</v>
      </c>
      <c r="I595" s="69">
        <v>0</v>
      </c>
      <c r="J595" s="120">
        <f t="shared" si="65"/>
        <v>0</v>
      </c>
      <c r="K595" s="69">
        <v>0</v>
      </c>
      <c r="L595" s="120">
        <f t="shared" si="66"/>
        <v>0</v>
      </c>
      <c r="M595" s="69">
        <v>0</v>
      </c>
      <c r="N595" s="315">
        <f t="shared" si="67"/>
        <v>0</v>
      </c>
      <c r="O595" s="69">
        <v>0</v>
      </c>
      <c r="P595" s="121">
        <f t="shared" si="68"/>
        <v>0</v>
      </c>
      <c r="Q595" s="69">
        <v>0</v>
      </c>
      <c r="R595" s="88">
        <f>'Terms and Turnovers'!U100</f>
        <v>0</v>
      </c>
      <c r="S595" s="161">
        <f t="shared" si="69"/>
        <v>0</v>
      </c>
      <c r="T595" s="120">
        <f t="shared" si="73"/>
        <v>0</v>
      </c>
      <c r="U595" s="69">
        <v>0</v>
      </c>
      <c r="V595" s="120">
        <f>$AF595*W595</f>
        <v>0</v>
      </c>
      <c r="W595" s="69">
        <v>0</v>
      </c>
      <c r="X595" s="120">
        <f t="shared" si="74"/>
        <v>0</v>
      </c>
      <c r="Y595" s="69">
        <v>0</v>
      </c>
      <c r="Z595" s="120">
        <f t="shared" si="75"/>
        <v>0</v>
      </c>
      <c r="AA595" s="69">
        <v>0</v>
      </c>
      <c r="AB595" s="315">
        <f t="shared" si="76"/>
        <v>0</v>
      </c>
      <c r="AC595" s="69">
        <v>0</v>
      </c>
      <c r="AD595" s="120">
        <f t="shared" si="77"/>
        <v>0</v>
      </c>
      <c r="AE595" s="69">
        <v>0</v>
      </c>
      <c r="AF595" s="88">
        <f>'Terms and Turnovers'!Z100</f>
        <v>0</v>
      </c>
      <c r="AG595" s="161">
        <f t="shared" si="70"/>
        <v>0</v>
      </c>
      <c r="AH595" s="158">
        <f t="shared" si="71"/>
        <v>0</v>
      </c>
      <c r="AI595" s="134">
        <f t="shared" si="72"/>
        <v>0</v>
      </c>
      <c r="AJ595" s="65"/>
      <c r="AV595" s="56"/>
    </row>
    <row r="596" spans="1:48" ht="13.5" customHeight="1" outlineLevel="1" thickBot="1">
      <c r="B596" s="82"/>
      <c r="C596" s="1231"/>
      <c r="D596" s="1231"/>
      <c r="E596" s="84" t="str">
        <f>'Terms and Turnovers'!$AD$12</f>
        <v>ACCESSORIES</v>
      </c>
      <c r="F596" s="121">
        <f>$R596*G596</f>
        <v>0</v>
      </c>
      <c r="G596" s="723"/>
      <c r="H596" s="121">
        <f>$R596*I596</f>
        <v>0</v>
      </c>
      <c r="I596" s="69">
        <v>0</v>
      </c>
      <c r="J596" s="120">
        <f t="shared" si="65"/>
        <v>0</v>
      </c>
      <c r="K596" s="69">
        <v>0</v>
      </c>
      <c r="L596" s="120">
        <f t="shared" si="66"/>
        <v>0</v>
      </c>
      <c r="M596" s="69">
        <v>0</v>
      </c>
      <c r="N596" s="315">
        <f t="shared" si="67"/>
        <v>0</v>
      </c>
      <c r="O596" s="69">
        <v>0</v>
      </c>
      <c r="P596" s="121">
        <f t="shared" si="68"/>
        <v>0</v>
      </c>
      <c r="Q596" s="69">
        <v>0</v>
      </c>
      <c r="R596" s="88">
        <f>'Terms and Turnovers'!AE100</f>
        <v>0</v>
      </c>
      <c r="S596" s="161">
        <f t="shared" si="69"/>
        <v>0</v>
      </c>
      <c r="T596" s="120">
        <f t="shared" si="73"/>
        <v>0</v>
      </c>
      <c r="U596" s="69">
        <v>0</v>
      </c>
      <c r="V596" s="120">
        <f>$AF596*W596</f>
        <v>0</v>
      </c>
      <c r="W596" s="69">
        <v>0</v>
      </c>
      <c r="X596" s="120">
        <f t="shared" si="74"/>
        <v>0</v>
      </c>
      <c r="Y596" s="69">
        <v>0</v>
      </c>
      <c r="Z596" s="120">
        <f t="shared" si="75"/>
        <v>0</v>
      </c>
      <c r="AA596" s="69">
        <v>0</v>
      </c>
      <c r="AB596" s="315">
        <f t="shared" si="76"/>
        <v>0</v>
      </c>
      <c r="AC596" s="69">
        <v>0</v>
      </c>
      <c r="AD596" s="120">
        <f t="shared" si="77"/>
        <v>0</v>
      </c>
      <c r="AE596" s="69">
        <v>0</v>
      </c>
      <c r="AF596" s="88">
        <f>'Terms and Turnovers'!AJ100</f>
        <v>0</v>
      </c>
      <c r="AG596" s="161">
        <f t="shared" si="70"/>
        <v>0</v>
      </c>
      <c r="AH596" s="158">
        <f t="shared" si="71"/>
        <v>0</v>
      </c>
      <c r="AI596" s="134">
        <f t="shared" si="72"/>
        <v>0</v>
      </c>
      <c r="AJ596" s="65"/>
      <c r="AV596" s="56"/>
    </row>
    <row r="597" spans="1:48" ht="13.5" customHeight="1" outlineLevel="1" thickBot="1">
      <c r="B597" s="82"/>
      <c r="C597" s="1231"/>
      <c r="D597" s="1231"/>
      <c r="E597" s="84">
        <f>'Terms and Turnovers'!$AN$12</f>
        <v>0</v>
      </c>
      <c r="F597" s="121">
        <f>$R597*G597</f>
        <v>0</v>
      </c>
      <c r="G597" s="723"/>
      <c r="H597" s="121">
        <f>$R597*I597</f>
        <v>0</v>
      </c>
      <c r="I597" s="69">
        <v>0</v>
      </c>
      <c r="J597" s="120">
        <f t="shared" si="65"/>
        <v>0</v>
      </c>
      <c r="K597" s="69">
        <v>0</v>
      </c>
      <c r="L597" s="120">
        <f t="shared" si="66"/>
        <v>0</v>
      </c>
      <c r="M597" s="69">
        <v>0</v>
      </c>
      <c r="N597" s="315">
        <f t="shared" si="67"/>
        <v>0</v>
      </c>
      <c r="O597" s="69">
        <v>0</v>
      </c>
      <c r="P597" s="121">
        <f t="shared" si="68"/>
        <v>0</v>
      </c>
      <c r="Q597" s="69">
        <v>0</v>
      </c>
      <c r="R597" s="88">
        <f>'Terms and Turnovers'!AO100</f>
        <v>0</v>
      </c>
      <c r="S597" s="161">
        <f t="shared" si="69"/>
        <v>0</v>
      </c>
      <c r="T597" s="120">
        <f t="shared" si="73"/>
        <v>0</v>
      </c>
      <c r="U597" s="69">
        <v>0</v>
      </c>
      <c r="V597" s="120">
        <f>$AF597*W597</f>
        <v>0</v>
      </c>
      <c r="W597" s="69">
        <v>0</v>
      </c>
      <c r="X597" s="120">
        <f t="shared" si="74"/>
        <v>0</v>
      </c>
      <c r="Y597" s="69">
        <v>0</v>
      </c>
      <c r="Z597" s="120">
        <f t="shared" si="75"/>
        <v>0</v>
      </c>
      <c r="AA597" s="69">
        <v>0</v>
      </c>
      <c r="AB597" s="315">
        <f t="shared" si="76"/>
        <v>0</v>
      </c>
      <c r="AC597" s="69">
        <v>0</v>
      </c>
      <c r="AD597" s="120">
        <f t="shared" si="77"/>
        <v>0</v>
      </c>
      <c r="AE597" s="69">
        <v>0</v>
      </c>
      <c r="AF597" s="88">
        <f>'Terms and Turnovers'!AT100</f>
        <v>0</v>
      </c>
      <c r="AG597" s="161">
        <f t="shared" si="70"/>
        <v>0</v>
      </c>
      <c r="AH597" s="158">
        <f t="shared" si="71"/>
        <v>0</v>
      </c>
      <c r="AI597" s="134">
        <f t="shared" si="72"/>
        <v>0</v>
      </c>
      <c r="AJ597" s="65"/>
      <c r="AV597" s="56"/>
    </row>
    <row r="598" spans="1:48" ht="13.5" customHeight="1" outlineLevel="1" thickBot="1">
      <c r="B598" s="82"/>
      <c r="C598" s="1232"/>
      <c r="D598" s="1232"/>
      <c r="E598" s="85">
        <f>'Terms and Turnovers'!$AX$12</f>
        <v>0</v>
      </c>
      <c r="F598" s="121">
        <f>$R598*G598</f>
        <v>0</v>
      </c>
      <c r="G598" s="72"/>
      <c r="H598" s="121">
        <f>$R598*I598</f>
        <v>0</v>
      </c>
      <c r="I598" s="69">
        <v>0</v>
      </c>
      <c r="J598" s="121">
        <f t="shared" si="65"/>
        <v>0</v>
      </c>
      <c r="K598" s="69">
        <v>0</v>
      </c>
      <c r="L598" s="121">
        <f t="shared" si="66"/>
        <v>0</v>
      </c>
      <c r="M598" s="69">
        <v>0</v>
      </c>
      <c r="N598" s="316">
        <f t="shared" si="67"/>
        <v>0</v>
      </c>
      <c r="O598" s="69">
        <v>0</v>
      </c>
      <c r="P598" s="121">
        <f t="shared" si="68"/>
        <v>0</v>
      </c>
      <c r="Q598" s="69">
        <v>0</v>
      </c>
      <c r="R598" s="89">
        <f>'Terms and Turnovers'!AY100</f>
        <v>0</v>
      </c>
      <c r="S598" s="162">
        <f t="shared" si="69"/>
        <v>0</v>
      </c>
      <c r="T598" s="121">
        <f t="shared" si="73"/>
        <v>0</v>
      </c>
      <c r="U598" s="69">
        <v>0</v>
      </c>
      <c r="V598" s="121">
        <f>$AF598*W598</f>
        <v>0</v>
      </c>
      <c r="W598" s="69">
        <v>0</v>
      </c>
      <c r="X598" s="121">
        <f t="shared" si="74"/>
        <v>0</v>
      </c>
      <c r="Y598" s="69">
        <v>0</v>
      </c>
      <c r="Z598" s="121">
        <f t="shared" si="75"/>
        <v>0</v>
      </c>
      <c r="AA598" s="69">
        <v>0</v>
      </c>
      <c r="AB598" s="316">
        <f t="shared" si="76"/>
        <v>0</v>
      </c>
      <c r="AC598" s="69">
        <v>0</v>
      </c>
      <c r="AD598" s="121">
        <f t="shared" si="77"/>
        <v>0</v>
      </c>
      <c r="AE598" s="69">
        <v>0</v>
      </c>
      <c r="AF598" s="89">
        <f>'Terms and Turnovers'!BD100</f>
        <v>0</v>
      </c>
      <c r="AG598" s="162">
        <f t="shared" si="70"/>
        <v>0</v>
      </c>
      <c r="AH598" s="159">
        <f t="shared" si="71"/>
        <v>0</v>
      </c>
      <c r="AI598" s="137">
        <f t="shared" si="72"/>
        <v>0</v>
      </c>
      <c r="AJ598" s="65"/>
      <c r="AV598" s="56"/>
    </row>
    <row r="599" spans="1:48" ht="13.5" customHeight="1" outlineLevel="1" thickBot="1">
      <c r="A599" s="119"/>
      <c r="B599" s="82"/>
      <c r="C599" s="425"/>
      <c r="D599" s="425"/>
      <c r="E599" s="426"/>
      <c r="F599" s="427">
        <f>SUM(F594:F598)</f>
        <v>0</v>
      </c>
      <c r="G599" s="428"/>
      <c r="H599" s="427">
        <f>SUM(H594:H598)</f>
        <v>0</v>
      </c>
      <c r="I599" s="69"/>
      <c r="J599" s="427">
        <f>SUM(J594:J598)</f>
        <v>0</v>
      </c>
      <c r="K599" s="69"/>
      <c r="L599" s="427">
        <f>SUM(L594:L598)</f>
        <v>0</v>
      </c>
      <c r="M599" s="69"/>
      <c r="N599" s="427">
        <f>SUM(N594:N598)</f>
        <v>0</v>
      </c>
      <c r="O599" s="69"/>
      <c r="P599" s="427">
        <f>SUM(P594:P598)</f>
        <v>0</v>
      </c>
      <c r="Q599" s="69"/>
      <c r="R599" s="429"/>
      <c r="S599" s="430"/>
      <c r="T599" s="427">
        <f>SUM(T594:T598)</f>
        <v>0</v>
      </c>
      <c r="U599" s="428"/>
      <c r="V599" s="427">
        <f>SUM(V594:V598)</f>
        <v>0</v>
      </c>
      <c r="W599" s="69"/>
      <c r="X599" s="427">
        <f>SUM(X594:X598)</f>
        <v>0</v>
      </c>
      <c r="Y599" s="69"/>
      <c r="Z599" s="427">
        <f>SUM(Z594:Z598)</f>
        <v>0</v>
      </c>
      <c r="AA599" s="69"/>
      <c r="AB599" s="427">
        <f>SUM(AB594:AB598)</f>
        <v>0</v>
      </c>
      <c r="AC599" s="69"/>
      <c r="AD599" s="427">
        <f>SUM(AD594:AD598)</f>
        <v>0</v>
      </c>
      <c r="AE599" s="69"/>
      <c r="AF599" s="429"/>
      <c r="AG599" s="430"/>
      <c r="AH599" s="431"/>
      <c r="AI599" s="432"/>
      <c r="AJ599" s="65"/>
      <c r="AV599" s="56"/>
    </row>
    <row r="600" spans="1:48" ht="13.5" customHeight="1" outlineLevel="1" thickBot="1">
      <c r="A600" s="119"/>
      <c r="B600" s="82"/>
      <c r="C600" s="1098" t="s">
        <v>484</v>
      </c>
      <c r="D600" s="433"/>
      <c r="E600" s="426"/>
      <c r="F600" s="700"/>
      <c r="G600" s="428"/>
      <c r="H600" s="700"/>
      <c r="I600" s="69"/>
      <c r="J600" s="700"/>
      <c r="K600" s="69"/>
      <c r="L600" s="700"/>
      <c r="M600" s="69"/>
      <c r="N600" s="700"/>
      <c r="O600" s="69"/>
      <c r="P600" s="700"/>
      <c r="Q600" s="69"/>
      <c r="R600" s="429"/>
      <c r="S600" s="430"/>
      <c r="T600" s="700"/>
      <c r="U600" s="428"/>
      <c r="V600" s="700"/>
      <c r="W600" s="69"/>
      <c r="X600" s="700"/>
      <c r="Y600" s="69">
        <f>W598*0.3+Y598*0.7</f>
        <v>0</v>
      </c>
      <c r="Z600" s="700"/>
      <c r="AA600" s="69">
        <f>Y598*0.3+AA598*0.7</f>
        <v>0</v>
      </c>
      <c r="AB600" s="700"/>
      <c r="AC600" s="69">
        <f>AA598*0.3+AC598*0.7</f>
        <v>0</v>
      </c>
      <c r="AD600" s="700"/>
      <c r="AE600" s="69"/>
      <c r="AF600" s="429"/>
      <c r="AG600" s="430"/>
      <c r="AH600" s="431"/>
      <c r="AI600" s="432"/>
      <c r="AJ600" s="65"/>
      <c r="AV600" s="56"/>
    </row>
    <row r="601" spans="1:48" ht="13.5" customHeight="1" outlineLevel="1" thickBot="1">
      <c r="B601" s="82">
        <f>B594+1</f>
        <v>86</v>
      </c>
      <c r="C601" s="1230">
        <f>'Terms and Turnovers'!C101</f>
        <v>0</v>
      </c>
      <c r="D601" s="1230">
        <f>'Terms and Turnovers'!D101</f>
        <v>0</v>
      </c>
      <c r="E601" s="83" t="str">
        <f>'Terms and Turnovers'!$J$12</f>
        <v>FLIP-FLOPS</v>
      </c>
      <c r="F601" s="121">
        <f>$R601*G601</f>
        <v>0</v>
      </c>
      <c r="G601" s="69"/>
      <c r="H601" s="316">
        <f>$R601*I601</f>
        <v>0</v>
      </c>
      <c r="I601" s="69">
        <v>0</v>
      </c>
      <c r="J601" s="118">
        <f t="shared" si="65"/>
        <v>0</v>
      </c>
      <c r="K601" s="69">
        <v>0</v>
      </c>
      <c r="L601" s="314">
        <f t="shared" si="66"/>
        <v>0</v>
      </c>
      <c r="M601" s="69">
        <v>0</v>
      </c>
      <c r="N601" s="314">
        <f t="shared" si="67"/>
        <v>0</v>
      </c>
      <c r="O601" s="69">
        <v>0</v>
      </c>
      <c r="P601" s="121">
        <f t="shared" si="68"/>
        <v>0</v>
      </c>
      <c r="Q601" s="69">
        <v>0</v>
      </c>
      <c r="R601" s="87">
        <f>'Terms and Turnovers'!K101</f>
        <v>0</v>
      </c>
      <c r="S601" s="160">
        <f t="shared" si="69"/>
        <v>0</v>
      </c>
      <c r="T601" s="118">
        <f t="shared" si="73"/>
        <v>0</v>
      </c>
      <c r="U601" s="69">
        <v>0</v>
      </c>
      <c r="V601" s="314">
        <f>$AF601*W601</f>
        <v>0</v>
      </c>
      <c r="W601" s="69">
        <v>0</v>
      </c>
      <c r="X601" s="118">
        <f t="shared" si="74"/>
        <v>0</v>
      </c>
      <c r="Y601" s="69">
        <v>0</v>
      </c>
      <c r="Z601" s="314">
        <f t="shared" si="75"/>
        <v>0</v>
      </c>
      <c r="AA601" s="69">
        <v>0</v>
      </c>
      <c r="AB601" s="314">
        <f t="shared" si="76"/>
        <v>0</v>
      </c>
      <c r="AC601" s="69">
        <v>0</v>
      </c>
      <c r="AD601" s="118">
        <f t="shared" si="77"/>
        <v>0</v>
      </c>
      <c r="AE601" s="69">
        <v>0</v>
      </c>
      <c r="AF601" s="87">
        <f>'Terms and Turnovers'!P101</f>
        <v>0</v>
      </c>
      <c r="AG601" s="160">
        <f t="shared" si="70"/>
        <v>0</v>
      </c>
      <c r="AH601" s="157">
        <f t="shared" si="71"/>
        <v>0</v>
      </c>
      <c r="AI601" s="131">
        <f t="shared" si="72"/>
        <v>0</v>
      </c>
      <c r="AJ601" s="65"/>
      <c r="AV601" s="56"/>
    </row>
    <row r="602" spans="1:48" ht="13.5" customHeight="1" outlineLevel="1" thickBot="1">
      <c r="B602" s="82"/>
      <c r="C602" s="1231"/>
      <c r="D602" s="1231"/>
      <c r="E602" s="84" t="str">
        <f>'Terms and Turnovers'!$T$12</f>
        <v>ORIGINALS</v>
      </c>
      <c r="F602" s="121">
        <f>$R602*G602</f>
        <v>0</v>
      </c>
      <c r="G602" s="723"/>
      <c r="H602" s="121">
        <f>$R602*I602</f>
        <v>0</v>
      </c>
      <c r="I602" s="69">
        <v>0</v>
      </c>
      <c r="J602" s="120">
        <f t="shared" si="65"/>
        <v>0</v>
      </c>
      <c r="K602" s="69">
        <v>0</v>
      </c>
      <c r="L602" s="120">
        <f t="shared" si="66"/>
        <v>0</v>
      </c>
      <c r="M602" s="69">
        <v>0</v>
      </c>
      <c r="N602" s="315">
        <f t="shared" si="67"/>
        <v>0</v>
      </c>
      <c r="O602" s="69">
        <v>0</v>
      </c>
      <c r="P602" s="121">
        <f t="shared" si="68"/>
        <v>0</v>
      </c>
      <c r="Q602" s="69">
        <v>0</v>
      </c>
      <c r="R602" s="88">
        <f>'Terms and Turnovers'!U101</f>
        <v>0</v>
      </c>
      <c r="S602" s="161">
        <f t="shared" si="69"/>
        <v>0</v>
      </c>
      <c r="T602" s="120">
        <f t="shared" si="73"/>
        <v>0</v>
      </c>
      <c r="U602" s="69">
        <v>0</v>
      </c>
      <c r="V602" s="120">
        <f>$AF602*W602</f>
        <v>0</v>
      </c>
      <c r="W602" s="69">
        <v>0</v>
      </c>
      <c r="X602" s="120">
        <f t="shared" si="74"/>
        <v>0</v>
      </c>
      <c r="Y602" s="69">
        <v>0</v>
      </c>
      <c r="Z602" s="120">
        <f t="shared" si="75"/>
        <v>0</v>
      </c>
      <c r="AA602" s="69">
        <v>0</v>
      </c>
      <c r="AB602" s="315">
        <f t="shared" si="76"/>
        <v>0</v>
      </c>
      <c r="AC602" s="69">
        <v>0</v>
      </c>
      <c r="AD602" s="120">
        <f t="shared" si="77"/>
        <v>0</v>
      </c>
      <c r="AE602" s="69">
        <v>0</v>
      </c>
      <c r="AF602" s="88">
        <f>'Terms and Turnovers'!Z101</f>
        <v>0</v>
      </c>
      <c r="AG602" s="161">
        <f t="shared" si="70"/>
        <v>0</v>
      </c>
      <c r="AH602" s="158">
        <f t="shared" si="71"/>
        <v>0</v>
      </c>
      <c r="AI602" s="134">
        <f t="shared" si="72"/>
        <v>0</v>
      </c>
      <c r="AJ602" s="65"/>
      <c r="AV602" s="56"/>
    </row>
    <row r="603" spans="1:48" ht="13.5" customHeight="1" outlineLevel="1" thickBot="1">
      <c r="B603" s="82"/>
      <c r="C603" s="1231"/>
      <c r="D603" s="1231"/>
      <c r="E603" s="84" t="str">
        <f>'Terms and Turnovers'!$AD$12</f>
        <v>ACCESSORIES</v>
      </c>
      <c r="F603" s="121">
        <f>$R603*G603</f>
        <v>0</v>
      </c>
      <c r="G603" s="723"/>
      <c r="H603" s="121">
        <f>$R603*I603</f>
        <v>0</v>
      </c>
      <c r="I603" s="69">
        <v>0</v>
      </c>
      <c r="J603" s="120">
        <f t="shared" si="65"/>
        <v>0</v>
      </c>
      <c r="K603" s="69">
        <v>0</v>
      </c>
      <c r="L603" s="120">
        <f t="shared" si="66"/>
        <v>0</v>
      </c>
      <c r="M603" s="69">
        <v>0</v>
      </c>
      <c r="N603" s="315">
        <f t="shared" si="67"/>
        <v>0</v>
      </c>
      <c r="O603" s="69">
        <v>0</v>
      </c>
      <c r="P603" s="121">
        <f t="shared" si="68"/>
        <v>0</v>
      </c>
      <c r="Q603" s="69">
        <v>0</v>
      </c>
      <c r="R603" s="88">
        <f>'Terms and Turnovers'!AE101</f>
        <v>0</v>
      </c>
      <c r="S603" s="161">
        <f t="shared" si="69"/>
        <v>0</v>
      </c>
      <c r="T603" s="120">
        <f t="shared" si="73"/>
        <v>0</v>
      </c>
      <c r="U603" s="69">
        <v>0</v>
      </c>
      <c r="V603" s="120">
        <f>$AF603*W603</f>
        <v>0</v>
      </c>
      <c r="W603" s="69">
        <v>0</v>
      </c>
      <c r="X603" s="120">
        <f t="shared" si="74"/>
        <v>0</v>
      </c>
      <c r="Y603" s="69">
        <v>0</v>
      </c>
      <c r="Z603" s="120">
        <f t="shared" si="75"/>
        <v>0</v>
      </c>
      <c r="AA603" s="69">
        <v>0</v>
      </c>
      <c r="AB603" s="315">
        <f t="shared" si="76"/>
        <v>0</v>
      </c>
      <c r="AC603" s="69">
        <v>0</v>
      </c>
      <c r="AD603" s="120">
        <f t="shared" si="77"/>
        <v>0</v>
      </c>
      <c r="AE603" s="69">
        <v>0</v>
      </c>
      <c r="AF603" s="88">
        <f>'Terms and Turnovers'!AJ101</f>
        <v>0</v>
      </c>
      <c r="AG603" s="161">
        <f t="shared" si="70"/>
        <v>0</v>
      </c>
      <c r="AH603" s="158">
        <f t="shared" si="71"/>
        <v>0</v>
      </c>
      <c r="AI603" s="134">
        <f t="shared" si="72"/>
        <v>0</v>
      </c>
      <c r="AJ603" s="65"/>
      <c r="AV603" s="56"/>
    </row>
    <row r="604" spans="1:48" ht="13.5" customHeight="1" outlineLevel="1" thickBot="1">
      <c r="B604" s="82"/>
      <c r="C604" s="1231"/>
      <c r="D604" s="1231"/>
      <c r="E604" s="84">
        <f>'Terms and Turnovers'!$AN$12</f>
        <v>0</v>
      </c>
      <c r="F604" s="121">
        <f>$R604*G604</f>
        <v>0</v>
      </c>
      <c r="G604" s="723"/>
      <c r="H604" s="121">
        <f>$R604*I604</f>
        <v>0</v>
      </c>
      <c r="I604" s="69">
        <v>0</v>
      </c>
      <c r="J604" s="120">
        <f t="shared" si="65"/>
        <v>0</v>
      </c>
      <c r="K604" s="69">
        <v>0</v>
      </c>
      <c r="L604" s="120">
        <f t="shared" si="66"/>
        <v>0</v>
      </c>
      <c r="M604" s="69">
        <v>0</v>
      </c>
      <c r="N604" s="315">
        <f t="shared" si="67"/>
        <v>0</v>
      </c>
      <c r="O604" s="69">
        <v>0</v>
      </c>
      <c r="P604" s="121">
        <f t="shared" si="68"/>
        <v>0</v>
      </c>
      <c r="Q604" s="69">
        <v>0</v>
      </c>
      <c r="R604" s="88">
        <f>'Terms and Turnovers'!AO101</f>
        <v>0</v>
      </c>
      <c r="S604" s="161">
        <f t="shared" si="69"/>
        <v>0</v>
      </c>
      <c r="T604" s="120">
        <f t="shared" si="73"/>
        <v>0</v>
      </c>
      <c r="U604" s="69">
        <v>0</v>
      </c>
      <c r="V604" s="120">
        <f>$AF604*W604</f>
        <v>0</v>
      </c>
      <c r="W604" s="69">
        <v>0</v>
      </c>
      <c r="X604" s="120">
        <f t="shared" si="74"/>
        <v>0</v>
      </c>
      <c r="Y604" s="69">
        <v>0</v>
      </c>
      <c r="Z604" s="120">
        <f t="shared" si="75"/>
        <v>0</v>
      </c>
      <c r="AA604" s="69">
        <v>0</v>
      </c>
      <c r="AB604" s="315">
        <f t="shared" si="76"/>
        <v>0</v>
      </c>
      <c r="AC604" s="69">
        <v>0</v>
      </c>
      <c r="AD604" s="120">
        <f t="shared" si="77"/>
        <v>0</v>
      </c>
      <c r="AE604" s="69">
        <v>0</v>
      </c>
      <c r="AF604" s="88">
        <f>'Terms and Turnovers'!AT101</f>
        <v>0</v>
      </c>
      <c r="AG604" s="161">
        <f t="shared" si="70"/>
        <v>0</v>
      </c>
      <c r="AH604" s="158">
        <f t="shared" si="71"/>
        <v>0</v>
      </c>
      <c r="AI604" s="134">
        <f t="shared" si="72"/>
        <v>0</v>
      </c>
      <c r="AJ604" s="65"/>
      <c r="AV604" s="56"/>
    </row>
    <row r="605" spans="1:48" ht="13.5" customHeight="1" outlineLevel="1" thickBot="1">
      <c r="B605" s="82"/>
      <c r="C605" s="1232"/>
      <c r="D605" s="1232"/>
      <c r="E605" s="85">
        <f>'Terms and Turnovers'!$AX$12</f>
        <v>0</v>
      </c>
      <c r="F605" s="121">
        <f>$R605*G605</f>
        <v>0</v>
      </c>
      <c r="G605" s="72"/>
      <c r="H605" s="121">
        <f>$R605*I605</f>
        <v>0</v>
      </c>
      <c r="I605" s="69">
        <v>0</v>
      </c>
      <c r="J605" s="121">
        <f t="shared" si="65"/>
        <v>0</v>
      </c>
      <c r="K605" s="69">
        <v>0</v>
      </c>
      <c r="L605" s="121">
        <f t="shared" si="66"/>
        <v>0</v>
      </c>
      <c r="M605" s="69">
        <v>0</v>
      </c>
      <c r="N605" s="316">
        <f t="shared" si="67"/>
        <v>0</v>
      </c>
      <c r="O605" s="69">
        <v>0</v>
      </c>
      <c r="P605" s="121">
        <f t="shared" si="68"/>
        <v>0</v>
      </c>
      <c r="Q605" s="69">
        <v>0</v>
      </c>
      <c r="R605" s="89">
        <f>'Terms and Turnovers'!AY101</f>
        <v>0</v>
      </c>
      <c r="S605" s="162">
        <f t="shared" si="69"/>
        <v>0</v>
      </c>
      <c r="T605" s="121">
        <f t="shared" si="73"/>
        <v>0</v>
      </c>
      <c r="U605" s="69">
        <v>0</v>
      </c>
      <c r="V605" s="121">
        <f>$AF605*W605</f>
        <v>0</v>
      </c>
      <c r="W605" s="69">
        <v>0</v>
      </c>
      <c r="X605" s="121">
        <f t="shared" si="74"/>
        <v>0</v>
      </c>
      <c r="Y605" s="69">
        <v>0</v>
      </c>
      <c r="Z605" s="121">
        <f t="shared" si="75"/>
        <v>0</v>
      </c>
      <c r="AA605" s="69">
        <v>0</v>
      </c>
      <c r="AB605" s="316">
        <f t="shared" si="76"/>
        <v>0</v>
      </c>
      <c r="AC605" s="69">
        <v>0</v>
      </c>
      <c r="AD605" s="121">
        <f t="shared" si="77"/>
        <v>0</v>
      </c>
      <c r="AE605" s="69">
        <v>0</v>
      </c>
      <c r="AF605" s="89">
        <f>'Terms and Turnovers'!BD101</f>
        <v>0</v>
      </c>
      <c r="AG605" s="162">
        <f t="shared" si="70"/>
        <v>0</v>
      </c>
      <c r="AH605" s="159">
        <f t="shared" si="71"/>
        <v>0</v>
      </c>
      <c r="AI605" s="137">
        <f t="shared" si="72"/>
        <v>0</v>
      </c>
      <c r="AJ605" s="65"/>
      <c r="AV605" s="56"/>
    </row>
    <row r="606" spans="1:48" ht="13.5" customHeight="1" outlineLevel="1" thickBot="1">
      <c r="A606" s="119"/>
      <c r="B606" s="82"/>
      <c r="C606" s="425"/>
      <c r="D606" s="425"/>
      <c r="E606" s="426"/>
      <c r="F606" s="427">
        <f>SUM(F601:F605)</f>
        <v>0</v>
      </c>
      <c r="G606" s="428"/>
      <c r="H606" s="427">
        <f>SUM(H601:H605)</f>
        <v>0</v>
      </c>
      <c r="I606" s="69"/>
      <c r="J606" s="427">
        <f>SUM(J601:J605)</f>
        <v>0</v>
      </c>
      <c r="K606" s="69"/>
      <c r="L606" s="427">
        <f>SUM(L601:L605)</f>
        <v>0</v>
      </c>
      <c r="M606" s="69"/>
      <c r="N606" s="427">
        <f>SUM(N601:N605)</f>
        <v>0</v>
      </c>
      <c r="O606" s="69"/>
      <c r="P606" s="427">
        <f>SUM(P601:P605)</f>
        <v>0</v>
      </c>
      <c r="Q606" s="69"/>
      <c r="R606" s="429"/>
      <c r="S606" s="430"/>
      <c r="T606" s="427">
        <f>SUM(T601:T605)</f>
        <v>0</v>
      </c>
      <c r="U606" s="428"/>
      <c r="V606" s="427">
        <f>SUM(V601:V605)</f>
        <v>0</v>
      </c>
      <c r="W606" s="69"/>
      <c r="X606" s="427">
        <f>SUM(X601:X605)</f>
        <v>0</v>
      </c>
      <c r="Y606" s="69"/>
      <c r="Z606" s="427">
        <f>SUM(Z601:Z605)</f>
        <v>0</v>
      </c>
      <c r="AA606" s="69"/>
      <c r="AB606" s="427">
        <f>SUM(AB601:AB605)</f>
        <v>0</v>
      </c>
      <c r="AC606" s="69"/>
      <c r="AD606" s="427">
        <f>SUM(AD601:AD605)</f>
        <v>0</v>
      </c>
      <c r="AE606" s="69"/>
      <c r="AF606" s="429"/>
      <c r="AG606" s="430"/>
      <c r="AH606" s="431"/>
      <c r="AI606" s="432"/>
      <c r="AJ606" s="65"/>
      <c r="AV606" s="56"/>
    </row>
    <row r="607" spans="1:48" ht="13.5" customHeight="1" outlineLevel="1" thickBot="1">
      <c r="A607" s="119"/>
      <c r="B607" s="82"/>
      <c r="C607" s="1098" t="s">
        <v>484</v>
      </c>
      <c r="D607" s="433"/>
      <c r="E607" s="426"/>
      <c r="F607" s="700"/>
      <c r="G607" s="428"/>
      <c r="H607" s="700"/>
      <c r="I607" s="69"/>
      <c r="J607" s="700"/>
      <c r="K607" s="69"/>
      <c r="L607" s="700"/>
      <c r="M607" s="69"/>
      <c r="N607" s="700"/>
      <c r="O607" s="69"/>
      <c r="P607" s="700"/>
      <c r="Q607" s="69"/>
      <c r="R607" s="429"/>
      <c r="S607" s="430"/>
      <c r="T607" s="700"/>
      <c r="U607" s="428"/>
      <c r="V607" s="700"/>
      <c r="W607" s="69"/>
      <c r="X607" s="700"/>
      <c r="Y607" s="69">
        <f>W605*0.3+Y605*0.7</f>
        <v>0</v>
      </c>
      <c r="Z607" s="700"/>
      <c r="AA607" s="69">
        <f>Y605*0.3+AA605*0.7</f>
        <v>0</v>
      </c>
      <c r="AB607" s="700"/>
      <c r="AC607" s="69">
        <f>AA605*0.3+AC605*0.7</f>
        <v>0</v>
      </c>
      <c r="AD607" s="700"/>
      <c r="AE607" s="69"/>
      <c r="AF607" s="429"/>
      <c r="AG607" s="430"/>
      <c r="AH607" s="431"/>
      <c r="AI607" s="432"/>
      <c r="AJ607" s="65"/>
      <c r="AV607" s="56"/>
    </row>
    <row r="608" spans="1:48" ht="13.5" customHeight="1" outlineLevel="1" thickBot="1">
      <c r="B608" s="82">
        <f>B601+1</f>
        <v>87</v>
      </c>
      <c r="C608" s="1230">
        <f>'Terms and Turnovers'!C102</f>
        <v>0</v>
      </c>
      <c r="D608" s="1230">
        <f>'Terms and Turnovers'!D102</f>
        <v>0</v>
      </c>
      <c r="E608" s="83" t="str">
        <f>'Terms and Turnovers'!$J$12</f>
        <v>FLIP-FLOPS</v>
      </c>
      <c r="F608" s="121">
        <f>$R608*G608</f>
        <v>0</v>
      </c>
      <c r="G608" s="69"/>
      <c r="H608" s="316">
        <f>$R608*I608</f>
        <v>0</v>
      </c>
      <c r="I608" s="69">
        <v>0</v>
      </c>
      <c r="J608" s="118">
        <f t="shared" si="65"/>
        <v>0</v>
      </c>
      <c r="K608" s="69">
        <v>0</v>
      </c>
      <c r="L608" s="314">
        <f t="shared" si="66"/>
        <v>0</v>
      </c>
      <c r="M608" s="69">
        <v>0</v>
      </c>
      <c r="N608" s="314">
        <f t="shared" si="67"/>
        <v>0</v>
      </c>
      <c r="O608" s="69">
        <v>0</v>
      </c>
      <c r="P608" s="121">
        <f t="shared" si="68"/>
        <v>0</v>
      </c>
      <c r="Q608" s="69">
        <v>0</v>
      </c>
      <c r="R608" s="87">
        <f>'Terms and Turnovers'!K102</f>
        <v>0</v>
      </c>
      <c r="S608" s="160">
        <f t="shared" si="69"/>
        <v>0</v>
      </c>
      <c r="T608" s="118">
        <f t="shared" si="73"/>
        <v>0</v>
      </c>
      <c r="U608" s="69">
        <v>0</v>
      </c>
      <c r="V608" s="314">
        <f>$AF608*W608</f>
        <v>0</v>
      </c>
      <c r="W608" s="69">
        <v>0</v>
      </c>
      <c r="X608" s="118">
        <f t="shared" si="74"/>
        <v>0</v>
      </c>
      <c r="Y608" s="69">
        <v>0</v>
      </c>
      <c r="Z608" s="314">
        <f t="shared" si="75"/>
        <v>0</v>
      </c>
      <c r="AA608" s="69">
        <v>0</v>
      </c>
      <c r="AB608" s="314">
        <f t="shared" si="76"/>
        <v>0</v>
      </c>
      <c r="AC608" s="69">
        <v>0</v>
      </c>
      <c r="AD608" s="118">
        <f t="shared" si="77"/>
        <v>0</v>
      </c>
      <c r="AE608" s="69">
        <v>0</v>
      </c>
      <c r="AF608" s="87">
        <f>'Terms and Turnovers'!P102</f>
        <v>0</v>
      </c>
      <c r="AG608" s="160">
        <f t="shared" si="70"/>
        <v>0</v>
      </c>
      <c r="AH608" s="157">
        <f t="shared" si="71"/>
        <v>0</v>
      </c>
      <c r="AI608" s="131">
        <f t="shared" si="72"/>
        <v>0</v>
      </c>
      <c r="AJ608" s="65"/>
      <c r="AV608" s="56"/>
    </row>
    <row r="609" spans="1:48" ht="13.5" customHeight="1" outlineLevel="1" thickBot="1">
      <c r="B609" s="82"/>
      <c r="C609" s="1231"/>
      <c r="D609" s="1231"/>
      <c r="E609" s="84" t="str">
        <f>'Terms and Turnovers'!$T$12</f>
        <v>ORIGINALS</v>
      </c>
      <c r="F609" s="121">
        <f>$R609*G609</f>
        <v>0</v>
      </c>
      <c r="G609" s="723"/>
      <c r="H609" s="121">
        <f>$R609*I609</f>
        <v>0</v>
      </c>
      <c r="I609" s="69">
        <v>0</v>
      </c>
      <c r="J609" s="120">
        <f t="shared" si="65"/>
        <v>0</v>
      </c>
      <c r="K609" s="69">
        <v>0</v>
      </c>
      <c r="L609" s="120">
        <f t="shared" si="66"/>
        <v>0</v>
      </c>
      <c r="M609" s="69">
        <v>0</v>
      </c>
      <c r="N609" s="315">
        <f t="shared" si="67"/>
        <v>0</v>
      </c>
      <c r="O609" s="69">
        <v>0</v>
      </c>
      <c r="P609" s="121">
        <f t="shared" si="68"/>
        <v>0</v>
      </c>
      <c r="Q609" s="69">
        <v>0</v>
      </c>
      <c r="R609" s="88">
        <f>'Terms and Turnovers'!U102</f>
        <v>0</v>
      </c>
      <c r="S609" s="161">
        <f t="shared" si="69"/>
        <v>0</v>
      </c>
      <c r="T609" s="120">
        <f t="shared" si="73"/>
        <v>0</v>
      </c>
      <c r="U609" s="69">
        <v>0</v>
      </c>
      <c r="V609" s="120">
        <f>$AF609*W609</f>
        <v>0</v>
      </c>
      <c r="W609" s="69">
        <v>0</v>
      </c>
      <c r="X609" s="120">
        <f t="shared" si="74"/>
        <v>0</v>
      </c>
      <c r="Y609" s="69">
        <v>0</v>
      </c>
      <c r="Z609" s="120">
        <f t="shared" si="75"/>
        <v>0</v>
      </c>
      <c r="AA609" s="69">
        <v>0</v>
      </c>
      <c r="AB609" s="315">
        <f t="shared" si="76"/>
        <v>0</v>
      </c>
      <c r="AC609" s="69">
        <v>0</v>
      </c>
      <c r="AD609" s="120">
        <f t="shared" si="77"/>
        <v>0</v>
      </c>
      <c r="AE609" s="69">
        <v>0</v>
      </c>
      <c r="AF609" s="88">
        <f>'Terms and Turnovers'!Z102</f>
        <v>0</v>
      </c>
      <c r="AG609" s="161">
        <f t="shared" si="70"/>
        <v>0</v>
      </c>
      <c r="AH609" s="158">
        <f t="shared" si="71"/>
        <v>0</v>
      </c>
      <c r="AI609" s="134">
        <f t="shared" si="72"/>
        <v>0</v>
      </c>
      <c r="AJ609" s="65"/>
      <c r="AV609" s="56"/>
    </row>
    <row r="610" spans="1:48" ht="13.5" customHeight="1" outlineLevel="1" thickBot="1">
      <c r="B610" s="82"/>
      <c r="C610" s="1231"/>
      <c r="D610" s="1231"/>
      <c r="E610" s="84" t="str">
        <f>'Terms and Turnovers'!$AD$12</f>
        <v>ACCESSORIES</v>
      </c>
      <c r="F610" s="121">
        <f>$R610*G610</f>
        <v>0</v>
      </c>
      <c r="G610" s="723"/>
      <c r="H610" s="121">
        <f>$R610*I610</f>
        <v>0</v>
      </c>
      <c r="I610" s="69">
        <v>0</v>
      </c>
      <c r="J610" s="120">
        <f t="shared" si="65"/>
        <v>0</v>
      </c>
      <c r="K610" s="69">
        <v>0</v>
      </c>
      <c r="L610" s="120">
        <f t="shared" si="66"/>
        <v>0</v>
      </c>
      <c r="M610" s="69">
        <v>0</v>
      </c>
      <c r="N610" s="315">
        <f t="shared" si="67"/>
        <v>0</v>
      </c>
      <c r="O610" s="69">
        <v>0</v>
      </c>
      <c r="P610" s="121">
        <f t="shared" si="68"/>
        <v>0</v>
      </c>
      <c r="Q610" s="69">
        <v>0</v>
      </c>
      <c r="R610" s="88">
        <f>'Terms and Turnovers'!AE102</f>
        <v>0</v>
      </c>
      <c r="S610" s="161">
        <f t="shared" si="69"/>
        <v>0</v>
      </c>
      <c r="T610" s="120">
        <f t="shared" si="73"/>
        <v>0</v>
      </c>
      <c r="U610" s="69">
        <v>0</v>
      </c>
      <c r="V610" s="120">
        <f>$AF610*W610</f>
        <v>0</v>
      </c>
      <c r="W610" s="69">
        <v>0</v>
      </c>
      <c r="X610" s="120">
        <f t="shared" si="74"/>
        <v>0</v>
      </c>
      <c r="Y610" s="69">
        <v>0</v>
      </c>
      <c r="Z610" s="120">
        <f t="shared" si="75"/>
        <v>0</v>
      </c>
      <c r="AA610" s="69">
        <v>0</v>
      </c>
      <c r="AB610" s="315">
        <f t="shared" si="76"/>
        <v>0</v>
      </c>
      <c r="AC610" s="69">
        <v>0</v>
      </c>
      <c r="AD610" s="120">
        <f t="shared" si="77"/>
        <v>0</v>
      </c>
      <c r="AE610" s="69">
        <v>0</v>
      </c>
      <c r="AF610" s="88">
        <f>'Terms and Turnovers'!AJ102</f>
        <v>0</v>
      </c>
      <c r="AG610" s="161">
        <f t="shared" si="70"/>
        <v>0</v>
      </c>
      <c r="AH610" s="158">
        <f t="shared" si="71"/>
        <v>0</v>
      </c>
      <c r="AI610" s="134">
        <f t="shared" si="72"/>
        <v>0</v>
      </c>
      <c r="AJ610" s="65"/>
      <c r="AV610" s="56"/>
    </row>
    <row r="611" spans="1:48" ht="13.5" customHeight="1" outlineLevel="1" thickBot="1">
      <c r="B611" s="82"/>
      <c r="C611" s="1231"/>
      <c r="D611" s="1231"/>
      <c r="E611" s="84">
        <f>'Terms and Turnovers'!$AN$12</f>
        <v>0</v>
      </c>
      <c r="F611" s="121">
        <f>$R611*G611</f>
        <v>0</v>
      </c>
      <c r="G611" s="723"/>
      <c r="H611" s="121">
        <f>$R611*I611</f>
        <v>0</v>
      </c>
      <c r="I611" s="69">
        <v>0</v>
      </c>
      <c r="J611" s="120">
        <f t="shared" si="65"/>
        <v>0</v>
      </c>
      <c r="K611" s="69">
        <v>0</v>
      </c>
      <c r="L611" s="120">
        <f t="shared" si="66"/>
        <v>0</v>
      </c>
      <c r="M611" s="69">
        <v>0</v>
      </c>
      <c r="N611" s="315">
        <f t="shared" si="67"/>
        <v>0</v>
      </c>
      <c r="O611" s="69">
        <v>0</v>
      </c>
      <c r="P611" s="121">
        <f t="shared" si="68"/>
        <v>0</v>
      </c>
      <c r="Q611" s="69">
        <v>0</v>
      </c>
      <c r="R611" s="88">
        <f>'Terms and Turnovers'!AO102</f>
        <v>0</v>
      </c>
      <c r="S611" s="161">
        <f t="shared" si="69"/>
        <v>0</v>
      </c>
      <c r="T611" s="120">
        <f t="shared" si="73"/>
        <v>0</v>
      </c>
      <c r="U611" s="69">
        <v>0</v>
      </c>
      <c r="V611" s="120">
        <f>$AF611*W611</f>
        <v>0</v>
      </c>
      <c r="W611" s="69">
        <v>0</v>
      </c>
      <c r="X611" s="120">
        <f t="shared" si="74"/>
        <v>0</v>
      </c>
      <c r="Y611" s="69">
        <v>0</v>
      </c>
      <c r="Z611" s="120">
        <f t="shared" si="75"/>
        <v>0</v>
      </c>
      <c r="AA611" s="69">
        <v>0</v>
      </c>
      <c r="AB611" s="315">
        <f t="shared" si="76"/>
        <v>0</v>
      </c>
      <c r="AC611" s="69">
        <v>0</v>
      </c>
      <c r="AD611" s="120">
        <f t="shared" si="77"/>
        <v>0</v>
      </c>
      <c r="AE611" s="69">
        <v>0</v>
      </c>
      <c r="AF611" s="88">
        <f>'Terms and Turnovers'!AT102</f>
        <v>0</v>
      </c>
      <c r="AG611" s="161">
        <f t="shared" si="70"/>
        <v>0</v>
      </c>
      <c r="AH611" s="158">
        <f t="shared" si="71"/>
        <v>0</v>
      </c>
      <c r="AI611" s="134">
        <f t="shared" si="72"/>
        <v>0</v>
      </c>
      <c r="AJ611" s="65"/>
      <c r="AV611" s="56"/>
    </row>
    <row r="612" spans="1:48" ht="13.5" customHeight="1" outlineLevel="1" thickBot="1">
      <c r="B612" s="82"/>
      <c r="C612" s="1232"/>
      <c r="D612" s="1232"/>
      <c r="E612" s="85">
        <f>'Terms and Turnovers'!$AX$12</f>
        <v>0</v>
      </c>
      <c r="F612" s="121">
        <f>$R612*G612</f>
        <v>0</v>
      </c>
      <c r="G612" s="72"/>
      <c r="H612" s="121">
        <f>$R612*I612</f>
        <v>0</v>
      </c>
      <c r="I612" s="69">
        <v>0</v>
      </c>
      <c r="J612" s="121">
        <f t="shared" si="65"/>
        <v>0</v>
      </c>
      <c r="K612" s="69">
        <v>0</v>
      </c>
      <c r="L612" s="121">
        <f t="shared" si="66"/>
        <v>0</v>
      </c>
      <c r="M612" s="69">
        <v>0</v>
      </c>
      <c r="N612" s="316">
        <f t="shared" si="67"/>
        <v>0</v>
      </c>
      <c r="O612" s="69">
        <v>0</v>
      </c>
      <c r="P612" s="121">
        <f t="shared" si="68"/>
        <v>0</v>
      </c>
      <c r="Q612" s="69">
        <v>0</v>
      </c>
      <c r="R612" s="89">
        <f>'Terms and Turnovers'!AY102</f>
        <v>0</v>
      </c>
      <c r="S612" s="162">
        <f t="shared" si="69"/>
        <v>0</v>
      </c>
      <c r="T612" s="121">
        <f t="shared" si="73"/>
        <v>0</v>
      </c>
      <c r="U612" s="69">
        <v>0</v>
      </c>
      <c r="V612" s="121">
        <f>$AF612*W612</f>
        <v>0</v>
      </c>
      <c r="W612" s="69">
        <v>0</v>
      </c>
      <c r="X612" s="121">
        <f t="shared" si="74"/>
        <v>0</v>
      </c>
      <c r="Y612" s="69">
        <v>0</v>
      </c>
      <c r="Z612" s="121">
        <f t="shared" si="75"/>
        <v>0</v>
      </c>
      <c r="AA612" s="69">
        <v>0</v>
      </c>
      <c r="AB612" s="316">
        <f t="shared" si="76"/>
        <v>0</v>
      </c>
      <c r="AC612" s="69">
        <v>0</v>
      </c>
      <c r="AD612" s="121">
        <f t="shared" si="77"/>
        <v>0</v>
      </c>
      <c r="AE612" s="69">
        <v>0</v>
      </c>
      <c r="AF612" s="89">
        <f>'Terms and Turnovers'!BD102</f>
        <v>0</v>
      </c>
      <c r="AG612" s="162">
        <f t="shared" si="70"/>
        <v>0</v>
      </c>
      <c r="AH612" s="159">
        <f t="shared" si="71"/>
        <v>0</v>
      </c>
      <c r="AI612" s="137">
        <f t="shared" si="72"/>
        <v>0</v>
      </c>
      <c r="AJ612" s="65"/>
      <c r="AV612" s="56"/>
    </row>
    <row r="613" spans="1:48" ht="13.5" customHeight="1" outlineLevel="1" thickBot="1">
      <c r="A613" s="119"/>
      <c r="B613" s="82"/>
      <c r="C613" s="425"/>
      <c r="D613" s="425"/>
      <c r="E613" s="426"/>
      <c r="F613" s="427">
        <f>SUM(F608:F612)</f>
        <v>0</v>
      </c>
      <c r="G613" s="428"/>
      <c r="H613" s="427">
        <f>SUM(H608:H612)</f>
        <v>0</v>
      </c>
      <c r="I613" s="69"/>
      <c r="J613" s="427">
        <f>SUM(J608:J612)</f>
        <v>0</v>
      </c>
      <c r="K613" s="69"/>
      <c r="L613" s="427">
        <f>SUM(L608:L612)</f>
        <v>0</v>
      </c>
      <c r="M613" s="69"/>
      <c r="N613" s="427">
        <f>SUM(N608:N612)</f>
        <v>0</v>
      </c>
      <c r="O613" s="69"/>
      <c r="P613" s="427">
        <f>SUM(P608:P612)</f>
        <v>0</v>
      </c>
      <c r="Q613" s="69"/>
      <c r="R613" s="429"/>
      <c r="S613" s="430"/>
      <c r="T613" s="427">
        <f>SUM(T608:T612)</f>
        <v>0</v>
      </c>
      <c r="U613" s="428"/>
      <c r="V613" s="427">
        <f>SUM(V608:V612)</f>
        <v>0</v>
      </c>
      <c r="W613" s="69"/>
      <c r="X613" s="427">
        <f>SUM(X608:X612)</f>
        <v>0</v>
      </c>
      <c r="Y613" s="69"/>
      <c r="Z613" s="427">
        <f>SUM(Z608:Z612)</f>
        <v>0</v>
      </c>
      <c r="AA613" s="69"/>
      <c r="AB613" s="427">
        <f>SUM(AB608:AB612)</f>
        <v>0</v>
      </c>
      <c r="AC613" s="69"/>
      <c r="AD613" s="427">
        <f>SUM(AD608:AD612)</f>
        <v>0</v>
      </c>
      <c r="AE613" s="69"/>
      <c r="AF613" s="429"/>
      <c r="AG613" s="430"/>
      <c r="AH613" s="431"/>
      <c r="AI613" s="432"/>
      <c r="AJ613" s="65"/>
      <c r="AV613" s="56"/>
    </row>
    <row r="614" spans="1:48" ht="13.5" customHeight="1" outlineLevel="1" thickBot="1">
      <c r="A614" s="119"/>
      <c r="B614" s="82"/>
      <c r="C614" s="1098" t="s">
        <v>484</v>
      </c>
      <c r="D614" s="433"/>
      <c r="E614" s="426"/>
      <c r="F614" s="700"/>
      <c r="G614" s="428"/>
      <c r="H614" s="700"/>
      <c r="I614" s="69"/>
      <c r="J614" s="700"/>
      <c r="K614" s="69"/>
      <c r="L614" s="700"/>
      <c r="M614" s="69"/>
      <c r="N614" s="700"/>
      <c r="O614" s="69"/>
      <c r="P614" s="700"/>
      <c r="Q614" s="69"/>
      <c r="R614" s="429"/>
      <c r="S614" s="430"/>
      <c r="T614" s="700"/>
      <c r="U614" s="428"/>
      <c r="V614" s="700"/>
      <c r="W614" s="69"/>
      <c r="X614" s="700"/>
      <c r="Y614" s="69">
        <f>W612*0.3+Y612*0.7</f>
        <v>0</v>
      </c>
      <c r="Z614" s="700"/>
      <c r="AA614" s="69">
        <f>Y612*0.3+AA612*0.7</f>
        <v>0</v>
      </c>
      <c r="AB614" s="700"/>
      <c r="AC614" s="69">
        <f>AA612*0.3+AC612*0.7</f>
        <v>0</v>
      </c>
      <c r="AD614" s="700"/>
      <c r="AE614" s="69"/>
      <c r="AF614" s="429"/>
      <c r="AG614" s="430"/>
      <c r="AH614" s="431"/>
      <c r="AI614" s="432"/>
      <c r="AJ614" s="65"/>
      <c r="AV614" s="56"/>
    </row>
    <row r="615" spans="1:48" ht="13.5" customHeight="1" outlineLevel="1" thickBot="1">
      <c r="B615" s="82">
        <f>B608+1</f>
        <v>88</v>
      </c>
      <c r="C615" s="1230">
        <f>'Terms and Turnovers'!C103</f>
        <v>0</v>
      </c>
      <c r="D615" s="1230">
        <f>'Terms and Turnovers'!D103</f>
        <v>0</v>
      </c>
      <c r="E615" s="83" t="str">
        <f>'Terms and Turnovers'!$J$12</f>
        <v>FLIP-FLOPS</v>
      </c>
      <c r="F615" s="121">
        <f>$R615*G615</f>
        <v>0</v>
      </c>
      <c r="G615" s="69"/>
      <c r="H615" s="316">
        <f>$R615*I615</f>
        <v>0</v>
      </c>
      <c r="I615" s="69">
        <v>0</v>
      </c>
      <c r="J615" s="118">
        <f t="shared" si="65"/>
        <v>0</v>
      </c>
      <c r="K615" s="69">
        <v>0</v>
      </c>
      <c r="L615" s="314">
        <f t="shared" si="66"/>
        <v>0</v>
      </c>
      <c r="M615" s="69">
        <v>0</v>
      </c>
      <c r="N615" s="314">
        <f t="shared" si="67"/>
        <v>0</v>
      </c>
      <c r="O615" s="69">
        <v>0</v>
      </c>
      <c r="P615" s="121">
        <f t="shared" si="68"/>
        <v>0</v>
      </c>
      <c r="Q615" s="69">
        <v>0</v>
      </c>
      <c r="R615" s="87">
        <f>'Terms and Turnovers'!K103</f>
        <v>0</v>
      </c>
      <c r="S615" s="160">
        <f t="shared" si="69"/>
        <v>0</v>
      </c>
      <c r="T615" s="118">
        <f t="shared" si="73"/>
        <v>0</v>
      </c>
      <c r="U615" s="69">
        <v>0</v>
      </c>
      <c r="V615" s="314">
        <f>$AF615*W615</f>
        <v>0</v>
      </c>
      <c r="W615" s="69">
        <v>0</v>
      </c>
      <c r="X615" s="118">
        <f t="shared" si="74"/>
        <v>0</v>
      </c>
      <c r="Y615" s="69">
        <v>0</v>
      </c>
      <c r="Z615" s="314">
        <f t="shared" si="75"/>
        <v>0</v>
      </c>
      <c r="AA615" s="69">
        <v>0</v>
      </c>
      <c r="AB615" s="314">
        <f t="shared" si="76"/>
        <v>0</v>
      </c>
      <c r="AC615" s="69">
        <v>0</v>
      </c>
      <c r="AD615" s="118">
        <f t="shared" si="77"/>
        <v>0</v>
      </c>
      <c r="AE615" s="69">
        <v>0</v>
      </c>
      <c r="AF615" s="87">
        <f>'Terms and Turnovers'!P103</f>
        <v>0</v>
      </c>
      <c r="AG615" s="160">
        <f t="shared" si="70"/>
        <v>0</v>
      </c>
      <c r="AH615" s="157">
        <f t="shared" si="71"/>
        <v>0</v>
      </c>
      <c r="AI615" s="131">
        <f t="shared" si="72"/>
        <v>0</v>
      </c>
      <c r="AJ615" s="65"/>
      <c r="AV615" s="56"/>
    </row>
    <row r="616" spans="1:48" ht="13.5" customHeight="1" outlineLevel="1" thickBot="1">
      <c r="B616" s="82"/>
      <c r="C616" s="1231"/>
      <c r="D616" s="1231"/>
      <c r="E616" s="84" t="str">
        <f>'Terms and Turnovers'!$T$12</f>
        <v>ORIGINALS</v>
      </c>
      <c r="F616" s="121">
        <f>$R616*G616</f>
        <v>0</v>
      </c>
      <c r="G616" s="723"/>
      <c r="H616" s="121">
        <f>$R616*I616</f>
        <v>0</v>
      </c>
      <c r="I616" s="69">
        <v>0</v>
      </c>
      <c r="J616" s="120">
        <f t="shared" si="65"/>
        <v>0</v>
      </c>
      <c r="K616" s="69">
        <v>0</v>
      </c>
      <c r="L616" s="120">
        <f t="shared" si="66"/>
        <v>0</v>
      </c>
      <c r="M616" s="69">
        <v>0</v>
      </c>
      <c r="N616" s="315">
        <f t="shared" si="67"/>
        <v>0</v>
      </c>
      <c r="O616" s="69">
        <v>0</v>
      </c>
      <c r="P616" s="121">
        <f t="shared" si="68"/>
        <v>0</v>
      </c>
      <c r="Q616" s="69">
        <v>0</v>
      </c>
      <c r="R616" s="88">
        <f>'Terms and Turnovers'!U103</f>
        <v>0</v>
      </c>
      <c r="S616" s="161">
        <f t="shared" si="69"/>
        <v>0</v>
      </c>
      <c r="T616" s="120">
        <f t="shared" si="73"/>
        <v>0</v>
      </c>
      <c r="U616" s="69">
        <v>0</v>
      </c>
      <c r="V616" s="120">
        <f>$AF616*W616</f>
        <v>0</v>
      </c>
      <c r="W616" s="69">
        <v>0</v>
      </c>
      <c r="X616" s="120">
        <f t="shared" si="74"/>
        <v>0</v>
      </c>
      <c r="Y616" s="69">
        <v>0</v>
      </c>
      <c r="Z616" s="120">
        <f t="shared" si="75"/>
        <v>0</v>
      </c>
      <c r="AA616" s="69">
        <v>0</v>
      </c>
      <c r="AB616" s="315">
        <f t="shared" si="76"/>
        <v>0</v>
      </c>
      <c r="AC616" s="69">
        <v>0</v>
      </c>
      <c r="AD616" s="120">
        <f t="shared" si="77"/>
        <v>0</v>
      </c>
      <c r="AE616" s="69">
        <v>0</v>
      </c>
      <c r="AF616" s="88">
        <f>'Terms and Turnovers'!Z103</f>
        <v>0</v>
      </c>
      <c r="AG616" s="161">
        <f t="shared" si="70"/>
        <v>0</v>
      </c>
      <c r="AH616" s="158">
        <f t="shared" si="71"/>
        <v>0</v>
      </c>
      <c r="AI616" s="134">
        <f t="shared" si="72"/>
        <v>0</v>
      </c>
      <c r="AJ616" s="65"/>
      <c r="AV616" s="56"/>
    </row>
    <row r="617" spans="1:48" ht="13.5" customHeight="1" outlineLevel="1" thickBot="1">
      <c r="B617" s="82"/>
      <c r="C617" s="1231"/>
      <c r="D617" s="1231"/>
      <c r="E617" s="84" t="str">
        <f>'Terms and Turnovers'!$AD$12</f>
        <v>ACCESSORIES</v>
      </c>
      <c r="F617" s="121">
        <f>$R617*G617</f>
        <v>0</v>
      </c>
      <c r="G617" s="723"/>
      <c r="H617" s="121">
        <f>$R617*I617</f>
        <v>0</v>
      </c>
      <c r="I617" s="69">
        <v>0</v>
      </c>
      <c r="J617" s="120">
        <f t="shared" si="65"/>
        <v>0</v>
      </c>
      <c r="K617" s="69">
        <v>0</v>
      </c>
      <c r="L617" s="120">
        <f t="shared" si="66"/>
        <v>0</v>
      </c>
      <c r="M617" s="69">
        <v>0</v>
      </c>
      <c r="N617" s="315">
        <f t="shared" si="67"/>
        <v>0</v>
      </c>
      <c r="O617" s="69">
        <v>0</v>
      </c>
      <c r="P617" s="121">
        <f t="shared" si="68"/>
        <v>0</v>
      </c>
      <c r="Q617" s="69">
        <v>0</v>
      </c>
      <c r="R617" s="88">
        <f>'Terms and Turnovers'!AE103</f>
        <v>0</v>
      </c>
      <c r="S617" s="161">
        <f t="shared" si="69"/>
        <v>0</v>
      </c>
      <c r="T617" s="120">
        <f t="shared" si="73"/>
        <v>0</v>
      </c>
      <c r="U617" s="69">
        <v>0</v>
      </c>
      <c r="V617" s="120">
        <f>$AF617*W617</f>
        <v>0</v>
      </c>
      <c r="W617" s="69">
        <v>0</v>
      </c>
      <c r="X617" s="120">
        <f t="shared" si="74"/>
        <v>0</v>
      </c>
      <c r="Y617" s="69">
        <v>0</v>
      </c>
      <c r="Z617" s="120">
        <f t="shared" si="75"/>
        <v>0</v>
      </c>
      <c r="AA617" s="69">
        <v>0</v>
      </c>
      <c r="AB617" s="315">
        <f t="shared" si="76"/>
        <v>0</v>
      </c>
      <c r="AC617" s="69">
        <v>0</v>
      </c>
      <c r="AD617" s="120">
        <f t="shared" si="77"/>
        <v>0</v>
      </c>
      <c r="AE617" s="69">
        <v>0</v>
      </c>
      <c r="AF617" s="88">
        <f>'Terms and Turnovers'!AJ103</f>
        <v>0</v>
      </c>
      <c r="AG617" s="161">
        <f t="shared" si="70"/>
        <v>0</v>
      </c>
      <c r="AH617" s="158">
        <f t="shared" si="71"/>
        <v>0</v>
      </c>
      <c r="AI617" s="134">
        <f t="shared" si="72"/>
        <v>0</v>
      </c>
      <c r="AJ617" s="65"/>
      <c r="AV617" s="56"/>
    </row>
    <row r="618" spans="1:48" ht="13.5" customHeight="1" outlineLevel="1" thickBot="1">
      <c r="B618" s="82"/>
      <c r="C618" s="1231"/>
      <c r="D618" s="1231"/>
      <c r="E618" s="84">
        <f>'Terms and Turnovers'!$AN$12</f>
        <v>0</v>
      </c>
      <c r="F618" s="121">
        <f>$R618*G618</f>
        <v>0</v>
      </c>
      <c r="G618" s="723"/>
      <c r="H618" s="121">
        <f>$R618*I618</f>
        <v>0</v>
      </c>
      <c r="I618" s="69">
        <v>0</v>
      </c>
      <c r="J618" s="120">
        <f t="shared" si="65"/>
        <v>0</v>
      </c>
      <c r="K618" s="69">
        <v>0</v>
      </c>
      <c r="L618" s="120">
        <f t="shared" si="66"/>
        <v>0</v>
      </c>
      <c r="M618" s="69">
        <v>0</v>
      </c>
      <c r="N618" s="315">
        <f t="shared" si="67"/>
        <v>0</v>
      </c>
      <c r="O618" s="69">
        <v>0</v>
      </c>
      <c r="P618" s="121">
        <f t="shared" si="68"/>
        <v>0</v>
      </c>
      <c r="Q618" s="69">
        <v>0</v>
      </c>
      <c r="R618" s="88">
        <f>'Terms and Turnovers'!AO103</f>
        <v>0</v>
      </c>
      <c r="S618" s="161">
        <f t="shared" si="69"/>
        <v>0</v>
      </c>
      <c r="T618" s="120">
        <f t="shared" si="73"/>
        <v>0</v>
      </c>
      <c r="U618" s="69">
        <v>0</v>
      </c>
      <c r="V618" s="120">
        <f>$AF618*W618</f>
        <v>0</v>
      </c>
      <c r="W618" s="69">
        <v>0</v>
      </c>
      <c r="X618" s="120">
        <f t="shared" si="74"/>
        <v>0</v>
      </c>
      <c r="Y618" s="69">
        <v>0</v>
      </c>
      <c r="Z618" s="120">
        <f t="shared" si="75"/>
        <v>0</v>
      </c>
      <c r="AA618" s="69">
        <v>0</v>
      </c>
      <c r="AB618" s="315">
        <f t="shared" si="76"/>
        <v>0</v>
      </c>
      <c r="AC618" s="69">
        <v>0</v>
      </c>
      <c r="AD618" s="120">
        <f t="shared" si="77"/>
        <v>0</v>
      </c>
      <c r="AE618" s="69">
        <v>0</v>
      </c>
      <c r="AF618" s="88">
        <f>'Terms and Turnovers'!AT103</f>
        <v>0</v>
      </c>
      <c r="AG618" s="161">
        <f t="shared" si="70"/>
        <v>0</v>
      </c>
      <c r="AH618" s="158">
        <f t="shared" si="71"/>
        <v>0</v>
      </c>
      <c r="AI618" s="134">
        <f t="shared" si="72"/>
        <v>0</v>
      </c>
      <c r="AJ618" s="65"/>
      <c r="AV618" s="56"/>
    </row>
    <row r="619" spans="1:48" ht="13.5" customHeight="1" outlineLevel="1" thickBot="1">
      <c r="B619" s="82"/>
      <c r="C619" s="1232"/>
      <c r="D619" s="1232"/>
      <c r="E619" s="85">
        <f>'Terms and Turnovers'!$AX$12</f>
        <v>0</v>
      </c>
      <c r="F619" s="121">
        <f>$R619*G619</f>
        <v>0</v>
      </c>
      <c r="G619" s="72"/>
      <c r="H619" s="121">
        <f>$R619*I619</f>
        <v>0</v>
      </c>
      <c r="I619" s="69">
        <v>0</v>
      </c>
      <c r="J619" s="121">
        <f t="shared" si="65"/>
        <v>0</v>
      </c>
      <c r="K619" s="69">
        <v>0</v>
      </c>
      <c r="L619" s="121">
        <f t="shared" si="66"/>
        <v>0</v>
      </c>
      <c r="M619" s="69">
        <v>0</v>
      </c>
      <c r="N619" s="316">
        <f t="shared" si="67"/>
        <v>0</v>
      </c>
      <c r="O619" s="69">
        <v>0</v>
      </c>
      <c r="P619" s="121">
        <f t="shared" si="68"/>
        <v>0</v>
      </c>
      <c r="Q619" s="69">
        <v>0</v>
      </c>
      <c r="R619" s="89">
        <f>'Terms and Turnovers'!AY103</f>
        <v>0</v>
      </c>
      <c r="S619" s="162">
        <f t="shared" si="69"/>
        <v>0</v>
      </c>
      <c r="T619" s="121">
        <f t="shared" si="73"/>
        <v>0</v>
      </c>
      <c r="U619" s="69">
        <v>0</v>
      </c>
      <c r="V619" s="121">
        <f>$AF619*W619</f>
        <v>0</v>
      </c>
      <c r="W619" s="69">
        <v>0</v>
      </c>
      <c r="X619" s="121">
        <f t="shared" si="74"/>
        <v>0</v>
      </c>
      <c r="Y619" s="69">
        <v>0</v>
      </c>
      <c r="Z619" s="121">
        <f t="shared" si="75"/>
        <v>0</v>
      </c>
      <c r="AA619" s="69">
        <v>0</v>
      </c>
      <c r="AB619" s="316">
        <f t="shared" si="76"/>
        <v>0</v>
      </c>
      <c r="AC619" s="69">
        <v>0</v>
      </c>
      <c r="AD619" s="121">
        <f t="shared" si="77"/>
        <v>0</v>
      </c>
      <c r="AE619" s="69">
        <v>0</v>
      </c>
      <c r="AF619" s="89">
        <f>'Terms and Turnovers'!BD103</f>
        <v>0</v>
      </c>
      <c r="AG619" s="162">
        <f t="shared" si="70"/>
        <v>0</v>
      </c>
      <c r="AH619" s="159">
        <f t="shared" si="71"/>
        <v>0</v>
      </c>
      <c r="AI619" s="137">
        <f t="shared" si="72"/>
        <v>0</v>
      </c>
      <c r="AJ619" s="65"/>
      <c r="AV619" s="56"/>
    </row>
    <row r="620" spans="1:48" ht="13.5" customHeight="1" outlineLevel="1" thickBot="1">
      <c r="A620" s="119"/>
      <c r="B620" s="82"/>
      <c r="C620" s="425"/>
      <c r="D620" s="425"/>
      <c r="E620" s="426"/>
      <c r="F620" s="427">
        <f>SUM(F615:F619)</f>
        <v>0</v>
      </c>
      <c r="G620" s="428"/>
      <c r="H620" s="427">
        <f>SUM(H615:H619)</f>
        <v>0</v>
      </c>
      <c r="I620" s="69"/>
      <c r="J620" s="427">
        <f>SUM(J615:J619)</f>
        <v>0</v>
      </c>
      <c r="K620" s="69"/>
      <c r="L620" s="427">
        <f>SUM(L615:L619)</f>
        <v>0</v>
      </c>
      <c r="M620" s="69"/>
      <c r="N620" s="427">
        <f>SUM(N615:N619)</f>
        <v>0</v>
      </c>
      <c r="O620" s="69"/>
      <c r="P620" s="427">
        <f>SUM(P615:P619)</f>
        <v>0</v>
      </c>
      <c r="Q620" s="69"/>
      <c r="R620" s="429"/>
      <c r="S620" s="430"/>
      <c r="T620" s="427">
        <f>SUM(T615:T619)</f>
        <v>0</v>
      </c>
      <c r="U620" s="428"/>
      <c r="V620" s="427">
        <f>SUM(V615:V619)</f>
        <v>0</v>
      </c>
      <c r="W620" s="69"/>
      <c r="X620" s="427">
        <f>SUM(X615:X619)</f>
        <v>0</v>
      </c>
      <c r="Y620" s="69"/>
      <c r="Z620" s="427">
        <f>SUM(Z615:Z619)</f>
        <v>0</v>
      </c>
      <c r="AA620" s="69"/>
      <c r="AB620" s="427">
        <f>SUM(AB615:AB619)</f>
        <v>0</v>
      </c>
      <c r="AC620" s="69"/>
      <c r="AD620" s="427">
        <f>SUM(AD615:AD619)</f>
        <v>0</v>
      </c>
      <c r="AE620" s="69"/>
      <c r="AF620" s="429"/>
      <c r="AG620" s="430"/>
      <c r="AH620" s="431"/>
      <c r="AI620" s="432"/>
      <c r="AJ620" s="65"/>
      <c r="AV620" s="56"/>
    </row>
    <row r="621" spans="1:48" ht="13.5" customHeight="1" outlineLevel="1" thickBot="1">
      <c r="A621" s="119"/>
      <c r="B621" s="82"/>
      <c r="C621" s="1098" t="s">
        <v>484</v>
      </c>
      <c r="D621" s="433"/>
      <c r="E621" s="426"/>
      <c r="F621" s="700"/>
      <c r="G621" s="428"/>
      <c r="H621" s="700"/>
      <c r="I621" s="69"/>
      <c r="J621" s="700"/>
      <c r="K621" s="69"/>
      <c r="L621" s="700"/>
      <c r="M621" s="69"/>
      <c r="N621" s="700"/>
      <c r="O621" s="69"/>
      <c r="P621" s="700"/>
      <c r="Q621" s="69"/>
      <c r="R621" s="429"/>
      <c r="S621" s="430"/>
      <c r="T621" s="700"/>
      <c r="U621" s="428"/>
      <c r="V621" s="700"/>
      <c r="W621" s="69"/>
      <c r="X621" s="700"/>
      <c r="Y621" s="69">
        <f>W619*0.3+Y619*0.7</f>
        <v>0</v>
      </c>
      <c r="Z621" s="700"/>
      <c r="AA621" s="69">
        <f>Y619*0.3+AA619*0.7</f>
        <v>0</v>
      </c>
      <c r="AB621" s="700"/>
      <c r="AC621" s="69">
        <f>AA619*0.3+AC619*0.7</f>
        <v>0</v>
      </c>
      <c r="AD621" s="700"/>
      <c r="AE621" s="69"/>
      <c r="AF621" s="429"/>
      <c r="AG621" s="430"/>
      <c r="AH621" s="431"/>
      <c r="AI621" s="432"/>
      <c r="AJ621" s="65"/>
      <c r="AV621" s="56"/>
    </row>
    <row r="622" spans="1:48" ht="13.5" customHeight="1" outlineLevel="1" thickBot="1">
      <c r="B622" s="82">
        <f>B615+1</f>
        <v>89</v>
      </c>
      <c r="C622" s="1230">
        <f>'Terms and Turnovers'!C104</f>
        <v>0</v>
      </c>
      <c r="D622" s="1230">
        <f>'Terms and Turnovers'!D104</f>
        <v>0</v>
      </c>
      <c r="E622" s="83" t="str">
        <f>'Terms and Turnovers'!$J$12</f>
        <v>FLIP-FLOPS</v>
      </c>
      <c r="F622" s="121">
        <f>$R622*G622</f>
        <v>0</v>
      </c>
      <c r="G622" s="69"/>
      <c r="H622" s="316">
        <f>$R622*I622</f>
        <v>0</v>
      </c>
      <c r="I622" s="69">
        <v>0</v>
      </c>
      <c r="J622" s="118">
        <f t="shared" si="65"/>
        <v>0</v>
      </c>
      <c r="K622" s="69">
        <v>0</v>
      </c>
      <c r="L622" s="314">
        <f t="shared" si="66"/>
        <v>0</v>
      </c>
      <c r="M622" s="69">
        <v>0</v>
      </c>
      <c r="N622" s="314">
        <f t="shared" si="67"/>
        <v>0</v>
      </c>
      <c r="O622" s="69">
        <v>0</v>
      </c>
      <c r="P622" s="121">
        <f t="shared" si="68"/>
        <v>0</v>
      </c>
      <c r="Q622" s="69">
        <v>0</v>
      </c>
      <c r="R622" s="87">
        <f>'Terms and Turnovers'!K104</f>
        <v>0</v>
      </c>
      <c r="S622" s="160">
        <f t="shared" si="69"/>
        <v>0</v>
      </c>
      <c r="T622" s="118">
        <f t="shared" si="73"/>
        <v>0</v>
      </c>
      <c r="U622" s="69">
        <v>0</v>
      </c>
      <c r="V622" s="314">
        <f>$AF622*W622</f>
        <v>0</v>
      </c>
      <c r="W622" s="69">
        <v>0</v>
      </c>
      <c r="X622" s="118">
        <f t="shared" si="74"/>
        <v>0</v>
      </c>
      <c r="Y622" s="69">
        <v>0</v>
      </c>
      <c r="Z622" s="314">
        <f t="shared" si="75"/>
        <v>0</v>
      </c>
      <c r="AA622" s="69">
        <v>0</v>
      </c>
      <c r="AB622" s="314">
        <f t="shared" si="76"/>
        <v>0</v>
      </c>
      <c r="AC622" s="69">
        <v>0</v>
      </c>
      <c r="AD622" s="118">
        <f t="shared" si="77"/>
        <v>0</v>
      </c>
      <c r="AE622" s="69">
        <v>0</v>
      </c>
      <c r="AF622" s="87">
        <f>'Terms and Turnovers'!P104</f>
        <v>0</v>
      </c>
      <c r="AG622" s="160">
        <f t="shared" si="70"/>
        <v>0</v>
      </c>
      <c r="AH622" s="157">
        <f t="shared" si="71"/>
        <v>0</v>
      </c>
      <c r="AI622" s="131">
        <f t="shared" si="72"/>
        <v>0</v>
      </c>
      <c r="AJ622" s="65"/>
      <c r="AV622" s="56"/>
    </row>
    <row r="623" spans="1:48" ht="13.5" customHeight="1" outlineLevel="1" thickBot="1">
      <c r="B623" s="82"/>
      <c r="C623" s="1231"/>
      <c r="D623" s="1231"/>
      <c r="E623" s="84" t="str">
        <f>'Terms and Turnovers'!$T$12</f>
        <v>ORIGINALS</v>
      </c>
      <c r="F623" s="121">
        <f>$R623*G623</f>
        <v>0</v>
      </c>
      <c r="G623" s="723"/>
      <c r="H623" s="121">
        <f>$R623*I623</f>
        <v>0</v>
      </c>
      <c r="I623" s="69">
        <v>0</v>
      </c>
      <c r="J623" s="120">
        <f t="shared" si="65"/>
        <v>0</v>
      </c>
      <c r="K623" s="69">
        <v>0</v>
      </c>
      <c r="L623" s="120">
        <f t="shared" si="66"/>
        <v>0</v>
      </c>
      <c r="M623" s="69">
        <v>0</v>
      </c>
      <c r="N623" s="315">
        <f t="shared" si="67"/>
        <v>0</v>
      </c>
      <c r="O623" s="69">
        <v>0</v>
      </c>
      <c r="P623" s="121">
        <f t="shared" si="68"/>
        <v>0</v>
      </c>
      <c r="Q623" s="69">
        <v>0</v>
      </c>
      <c r="R623" s="88">
        <f>'Terms and Turnovers'!U104</f>
        <v>0</v>
      </c>
      <c r="S623" s="161">
        <f t="shared" si="69"/>
        <v>0</v>
      </c>
      <c r="T623" s="120">
        <f t="shared" si="73"/>
        <v>0</v>
      </c>
      <c r="U623" s="69">
        <v>0</v>
      </c>
      <c r="V623" s="120">
        <f>$AF623*W623</f>
        <v>0</v>
      </c>
      <c r="W623" s="69">
        <v>0</v>
      </c>
      <c r="X623" s="120">
        <f t="shared" si="74"/>
        <v>0</v>
      </c>
      <c r="Y623" s="69">
        <v>0</v>
      </c>
      <c r="Z623" s="120">
        <f t="shared" si="75"/>
        <v>0</v>
      </c>
      <c r="AA623" s="69">
        <v>0</v>
      </c>
      <c r="AB623" s="315">
        <f t="shared" si="76"/>
        <v>0</v>
      </c>
      <c r="AC623" s="69">
        <v>0</v>
      </c>
      <c r="AD623" s="120">
        <f t="shared" si="77"/>
        <v>0</v>
      </c>
      <c r="AE623" s="69">
        <v>0</v>
      </c>
      <c r="AF623" s="88">
        <f>'Terms and Turnovers'!Z104</f>
        <v>0</v>
      </c>
      <c r="AG623" s="161">
        <f t="shared" si="70"/>
        <v>0</v>
      </c>
      <c r="AH623" s="158">
        <f t="shared" si="71"/>
        <v>0</v>
      </c>
      <c r="AI623" s="134">
        <f t="shared" si="72"/>
        <v>0</v>
      </c>
      <c r="AJ623" s="65"/>
      <c r="AV623" s="56"/>
    </row>
    <row r="624" spans="1:48" ht="13.5" customHeight="1" outlineLevel="1" thickBot="1">
      <c r="B624" s="82"/>
      <c r="C624" s="1231"/>
      <c r="D624" s="1231"/>
      <c r="E624" s="84" t="str">
        <f>'Terms and Turnovers'!$AD$12</f>
        <v>ACCESSORIES</v>
      </c>
      <c r="F624" s="121">
        <f>$R624*G624</f>
        <v>0</v>
      </c>
      <c r="G624" s="723"/>
      <c r="H624" s="121">
        <f>$R624*I624</f>
        <v>0</v>
      </c>
      <c r="I624" s="69">
        <v>0</v>
      </c>
      <c r="J624" s="120">
        <f t="shared" si="65"/>
        <v>0</v>
      </c>
      <c r="K624" s="69">
        <v>0</v>
      </c>
      <c r="L624" s="120">
        <f t="shared" si="66"/>
        <v>0</v>
      </c>
      <c r="M624" s="69">
        <v>0</v>
      </c>
      <c r="N624" s="315">
        <f t="shared" si="67"/>
        <v>0</v>
      </c>
      <c r="O624" s="69">
        <v>0</v>
      </c>
      <c r="P624" s="121">
        <f t="shared" si="68"/>
        <v>0</v>
      </c>
      <c r="Q624" s="69">
        <v>0</v>
      </c>
      <c r="R624" s="88">
        <f>'Terms and Turnovers'!AE104</f>
        <v>0</v>
      </c>
      <c r="S624" s="161">
        <f t="shared" si="69"/>
        <v>0</v>
      </c>
      <c r="T624" s="120">
        <f t="shared" si="73"/>
        <v>0</v>
      </c>
      <c r="U624" s="69">
        <v>0</v>
      </c>
      <c r="V624" s="120">
        <f>$AF624*W624</f>
        <v>0</v>
      </c>
      <c r="W624" s="69">
        <v>0</v>
      </c>
      <c r="X624" s="120">
        <f t="shared" si="74"/>
        <v>0</v>
      </c>
      <c r="Y624" s="69">
        <v>0</v>
      </c>
      <c r="Z624" s="120">
        <f t="shared" si="75"/>
        <v>0</v>
      </c>
      <c r="AA624" s="69">
        <v>0</v>
      </c>
      <c r="AB624" s="315">
        <f t="shared" si="76"/>
        <v>0</v>
      </c>
      <c r="AC624" s="69">
        <v>0</v>
      </c>
      <c r="AD624" s="120">
        <f t="shared" si="77"/>
        <v>0</v>
      </c>
      <c r="AE624" s="69">
        <v>0</v>
      </c>
      <c r="AF624" s="88">
        <f>'Terms and Turnovers'!AJ104</f>
        <v>0</v>
      </c>
      <c r="AG624" s="161">
        <f t="shared" si="70"/>
        <v>0</v>
      </c>
      <c r="AH624" s="158">
        <f t="shared" si="71"/>
        <v>0</v>
      </c>
      <c r="AI624" s="134">
        <f t="shared" si="72"/>
        <v>0</v>
      </c>
      <c r="AJ624" s="65"/>
      <c r="AV624" s="56"/>
    </row>
    <row r="625" spans="1:48" ht="13.5" customHeight="1" outlineLevel="1" thickBot="1">
      <c r="B625" s="82"/>
      <c r="C625" s="1231"/>
      <c r="D625" s="1231"/>
      <c r="E625" s="84">
        <f>'Terms and Turnovers'!$AN$12</f>
        <v>0</v>
      </c>
      <c r="F625" s="121">
        <f>$R625*G625</f>
        <v>0</v>
      </c>
      <c r="G625" s="723"/>
      <c r="H625" s="121">
        <f>$R625*I625</f>
        <v>0</v>
      </c>
      <c r="I625" s="69">
        <v>0</v>
      </c>
      <c r="J625" s="120">
        <f t="shared" si="65"/>
        <v>0</v>
      </c>
      <c r="K625" s="69">
        <v>0</v>
      </c>
      <c r="L625" s="120">
        <f t="shared" si="66"/>
        <v>0</v>
      </c>
      <c r="M625" s="69">
        <v>0</v>
      </c>
      <c r="N625" s="315">
        <f t="shared" si="67"/>
        <v>0</v>
      </c>
      <c r="O625" s="69">
        <v>0</v>
      </c>
      <c r="P625" s="121">
        <f t="shared" si="68"/>
        <v>0</v>
      </c>
      <c r="Q625" s="69">
        <v>0</v>
      </c>
      <c r="R625" s="88">
        <f>'Terms and Turnovers'!AO104</f>
        <v>0</v>
      </c>
      <c r="S625" s="161">
        <f t="shared" si="69"/>
        <v>0</v>
      </c>
      <c r="T625" s="120">
        <f t="shared" si="73"/>
        <v>0</v>
      </c>
      <c r="U625" s="69">
        <v>0</v>
      </c>
      <c r="V625" s="120">
        <f>$AF625*W625</f>
        <v>0</v>
      </c>
      <c r="W625" s="69">
        <v>0</v>
      </c>
      <c r="X625" s="120">
        <f t="shared" si="74"/>
        <v>0</v>
      </c>
      <c r="Y625" s="69">
        <v>0</v>
      </c>
      <c r="Z625" s="120">
        <f t="shared" si="75"/>
        <v>0</v>
      </c>
      <c r="AA625" s="69">
        <v>0</v>
      </c>
      <c r="AB625" s="315">
        <f t="shared" si="76"/>
        <v>0</v>
      </c>
      <c r="AC625" s="69">
        <v>0</v>
      </c>
      <c r="AD625" s="120">
        <f t="shared" si="77"/>
        <v>0</v>
      </c>
      <c r="AE625" s="69">
        <v>0</v>
      </c>
      <c r="AF625" s="88">
        <f>'Terms and Turnovers'!AT104</f>
        <v>0</v>
      </c>
      <c r="AG625" s="161">
        <f t="shared" si="70"/>
        <v>0</v>
      </c>
      <c r="AH625" s="158">
        <f t="shared" si="71"/>
        <v>0</v>
      </c>
      <c r="AI625" s="134">
        <f t="shared" si="72"/>
        <v>0</v>
      </c>
      <c r="AJ625" s="65"/>
      <c r="AV625" s="56"/>
    </row>
    <row r="626" spans="1:48" ht="13.5" customHeight="1" outlineLevel="1" thickBot="1">
      <c r="B626" s="82"/>
      <c r="C626" s="1232"/>
      <c r="D626" s="1232"/>
      <c r="E626" s="85">
        <f>'Terms and Turnovers'!$AX$12</f>
        <v>0</v>
      </c>
      <c r="F626" s="121">
        <f>$R626*G626</f>
        <v>0</v>
      </c>
      <c r="G626" s="72"/>
      <c r="H626" s="121">
        <f>$R626*I626</f>
        <v>0</v>
      </c>
      <c r="I626" s="69">
        <v>0</v>
      </c>
      <c r="J626" s="121">
        <f t="shared" si="65"/>
        <v>0</v>
      </c>
      <c r="K626" s="69">
        <v>0</v>
      </c>
      <c r="L626" s="121">
        <f t="shared" si="66"/>
        <v>0</v>
      </c>
      <c r="M626" s="69">
        <v>0</v>
      </c>
      <c r="N626" s="316">
        <f t="shared" si="67"/>
        <v>0</v>
      </c>
      <c r="O626" s="69">
        <v>0</v>
      </c>
      <c r="P626" s="121">
        <f t="shared" si="68"/>
        <v>0</v>
      </c>
      <c r="Q626" s="69">
        <v>0</v>
      </c>
      <c r="R626" s="89">
        <f>'Terms and Turnovers'!AY104</f>
        <v>0</v>
      </c>
      <c r="S626" s="162">
        <f t="shared" si="69"/>
        <v>0</v>
      </c>
      <c r="T626" s="121">
        <f t="shared" si="73"/>
        <v>0</v>
      </c>
      <c r="U626" s="69">
        <v>0</v>
      </c>
      <c r="V626" s="121">
        <f>$AF626*W626</f>
        <v>0</v>
      </c>
      <c r="W626" s="69">
        <v>0</v>
      </c>
      <c r="X626" s="121">
        <f t="shared" si="74"/>
        <v>0</v>
      </c>
      <c r="Y626" s="69">
        <v>0</v>
      </c>
      <c r="Z626" s="121">
        <f t="shared" si="75"/>
        <v>0</v>
      </c>
      <c r="AA626" s="69">
        <v>0</v>
      </c>
      <c r="AB626" s="316">
        <f t="shared" si="76"/>
        <v>0</v>
      </c>
      <c r="AC626" s="69">
        <v>0</v>
      </c>
      <c r="AD626" s="121">
        <f t="shared" si="77"/>
        <v>0</v>
      </c>
      <c r="AE626" s="69">
        <v>0</v>
      </c>
      <c r="AF626" s="89">
        <f>'Terms and Turnovers'!BD104</f>
        <v>0</v>
      </c>
      <c r="AG626" s="162">
        <f t="shared" si="70"/>
        <v>0</v>
      </c>
      <c r="AH626" s="159">
        <f t="shared" si="71"/>
        <v>0</v>
      </c>
      <c r="AI626" s="137">
        <f t="shared" si="72"/>
        <v>0</v>
      </c>
      <c r="AJ626" s="65"/>
      <c r="AV626" s="56"/>
    </row>
    <row r="627" spans="1:48" ht="13.5" customHeight="1" outlineLevel="1" thickBot="1">
      <c r="A627" s="119"/>
      <c r="B627" s="82"/>
      <c r="C627" s="425"/>
      <c r="D627" s="425"/>
      <c r="E627" s="426"/>
      <c r="F627" s="427">
        <f>SUM(F622:F626)</f>
        <v>0</v>
      </c>
      <c r="G627" s="428"/>
      <c r="H627" s="427">
        <f>SUM(H622:H626)</f>
        <v>0</v>
      </c>
      <c r="I627" s="69"/>
      <c r="J627" s="427">
        <f>SUM(J622:J626)</f>
        <v>0</v>
      </c>
      <c r="K627" s="69"/>
      <c r="L627" s="427">
        <f>SUM(L622:L626)</f>
        <v>0</v>
      </c>
      <c r="M627" s="69"/>
      <c r="N627" s="427">
        <f>SUM(N622:N626)</f>
        <v>0</v>
      </c>
      <c r="O627" s="69"/>
      <c r="P627" s="427">
        <f>SUM(P622:P626)</f>
        <v>0</v>
      </c>
      <c r="Q627" s="69"/>
      <c r="R627" s="429"/>
      <c r="S627" s="430"/>
      <c r="T627" s="427">
        <f>SUM(T622:T626)</f>
        <v>0</v>
      </c>
      <c r="U627" s="428"/>
      <c r="V627" s="427">
        <f>SUM(V622:V626)</f>
        <v>0</v>
      </c>
      <c r="W627" s="69"/>
      <c r="X627" s="427">
        <f>SUM(X622:X626)</f>
        <v>0</v>
      </c>
      <c r="Y627" s="69"/>
      <c r="Z627" s="427">
        <f>SUM(Z622:Z626)</f>
        <v>0</v>
      </c>
      <c r="AA627" s="69"/>
      <c r="AB627" s="427">
        <f>SUM(AB622:AB626)</f>
        <v>0</v>
      </c>
      <c r="AC627" s="69"/>
      <c r="AD627" s="427">
        <f>SUM(AD622:AD626)</f>
        <v>0</v>
      </c>
      <c r="AE627" s="69"/>
      <c r="AF627" s="429"/>
      <c r="AG627" s="430"/>
      <c r="AH627" s="431"/>
      <c r="AI627" s="432"/>
      <c r="AJ627" s="65"/>
      <c r="AV627" s="56"/>
    </row>
    <row r="628" spans="1:48" ht="13.5" customHeight="1" outlineLevel="1" thickBot="1">
      <c r="A628" s="119"/>
      <c r="B628" s="82"/>
      <c r="C628" s="1098" t="s">
        <v>484</v>
      </c>
      <c r="D628" s="433"/>
      <c r="E628" s="426"/>
      <c r="F628" s="700"/>
      <c r="G628" s="428"/>
      <c r="H628" s="700"/>
      <c r="I628" s="69"/>
      <c r="J628" s="700"/>
      <c r="K628" s="69"/>
      <c r="L628" s="700"/>
      <c r="M628" s="69"/>
      <c r="N628" s="700"/>
      <c r="O628" s="69"/>
      <c r="P628" s="700"/>
      <c r="Q628" s="69"/>
      <c r="R628" s="429"/>
      <c r="S628" s="430"/>
      <c r="T628" s="700"/>
      <c r="U628" s="428"/>
      <c r="V628" s="700"/>
      <c r="W628" s="69"/>
      <c r="X628" s="700"/>
      <c r="Y628" s="69">
        <f>W626*0.3+Y626*0.7</f>
        <v>0</v>
      </c>
      <c r="Z628" s="700"/>
      <c r="AA628" s="69">
        <f>Y626*0.3+AA626*0.7</f>
        <v>0</v>
      </c>
      <c r="AB628" s="700"/>
      <c r="AC628" s="69">
        <f>AA626*0.3+AC626*0.7</f>
        <v>0</v>
      </c>
      <c r="AD628" s="700"/>
      <c r="AE628" s="69"/>
      <c r="AF628" s="429"/>
      <c r="AG628" s="430"/>
      <c r="AH628" s="431"/>
      <c r="AI628" s="432"/>
      <c r="AJ628" s="65"/>
      <c r="AV628" s="56"/>
    </row>
    <row r="629" spans="1:48" ht="13.5" customHeight="1" outlineLevel="1" thickBot="1">
      <c r="B629" s="82">
        <f>B622+1</f>
        <v>90</v>
      </c>
      <c r="C629" s="1230">
        <f>'Terms and Turnovers'!C105</f>
        <v>0</v>
      </c>
      <c r="D629" s="1230">
        <f>'Terms and Turnovers'!D105</f>
        <v>0</v>
      </c>
      <c r="E629" s="83" t="str">
        <f>'Terms and Turnovers'!$J$12</f>
        <v>FLIP-FLOPS</v>
      </c>
      <c r="F629" s="121">
        <f>$R629*G629</f>
        <v>0</v>
      </c>
      <c r="G629" s="69"/>
      <c r="H629" s="316">
        <f>$R629*I629</f>
        <v>0</v>
      </c>
      <c r="I629" s="69">
        <v>0</v>
      </c>
      <c r="J629" s="118">
        <f t="shared" si="65"/>
        <v>0</v>
      </c>
      <c r="K629" s="69">
        <v>0</v>
      </c>
      <c r="L629" s="314">
        <f t="shared" si="66"/>
        <v>0</v>
      </c>
      <c r="M629" s="69">
        <v>0</v>
      </c>
      <c r="N629" s="314">
        <f t="shared" si="67"/>
        <v>0</v>
      </c>
      <c r="O629" s="69">
        <v>0</v>
      </c>
      <c r="P629" s="121">
        <f t="shared" si="68"/>
        <v>0</v>
      </c>
      <c r="Q629" s="69">
        <v>0</v>
      </c>
      <c r="R629" s="87">
        <f>'Terms and Turnovers'!K105</f>
        <v>0</v>
      </c>
      <c r="S629" s="160">
        <f t="shared" si="69"/>
        <v>0</v>
      </c>
      <c r="T629" s="118">
        <f t="shared" si="73"/>
        <v>0</v>
      </c>
      <c r="U629" s="69">
        <v>0</v>
      </c>
      <c r="V629" s="314">
        <f>$AF629*W629</f>
        <v>0</v>
      </c>
      <c r="W629" s="69">
        <v>0</v>
      </c>
      <c r="X629" s="118">
        <f t="shared" si="74"/>
        <v>0</v>
      </c>
      <c r="Y629" s="69">
        <v>0</v>
      </c>
      <c r="Z629" s="314">
        <f t="shared" si="75"/>
        <v>0</v>
      </c>
      <c r="AA629" s="69">
        <v>0</v>
      </c>
      <c r="AB629" s="314">
        <f t="shared" si="76"/>
        <v>0</v>
      </c>
      <c r="AC629" s="69">
        <v>0</v>
      </c>
      <c r="AD629" s="118">
        <f t="shared" si="77"/>
        <v>0</v>
      </c>
      <c r="AE629" s="69">
        <v>0</v>
      </c>
      <c r="AF629" s="87">
        <f>'Terms and Turnovers'!P105</f>
        <v>0</v>
      </c>
      <c r="AG629" s="160">
        <f t="shared" si="70"/>
        <v>0</v>
      </c>
      <c r="AH629" s="157">
        <f t="shared" si="71"/>
        <v>0</v>
      </c>
      <c r="AI629" s="131">
        <f t="shared" si="72"/>
        <v>0</v>
      </c>
      <c r="AJ629" s="65"/>
      <c r="AV629" s="56"/>
    </row>
    <row r="630" spans="1:48" ht="13.5" customHeight="1" outlineLevel="1" thickBot="1">
      <c r="B630" s="82"/>
      <c r="C630" s="1231"/>
      <c r="D630" s="1231"/>
      <c r="E630" s="84" t="str">
        <f>'Terms and Turnovers'!$T$12</f>
        <v>ORIGINALS</v>
      </c>
      <c r="F630" s="121">
        <f>$R630*G630</f>
        <v>0</v>
      </c>
      <c r="G630" s="723"/>
      <c r="H630" s="121">
        <f>$R630*I630</f>
        <v>0</v>
      </c>
      <c r="I630" s="69">
        <v>0</v>
      </c>
      <c r="J630" s="120">
        <f t="shared" si="65"/>
        <v>0</v>
      </c>
      <c r="K630" s="69">
        <v>0</v>
      </c>
      <c r="L630" s="120">
        <f t="shared" si="66"/>
        <v>0</v>
      </c>
      <c r="M630" s="69">
        <v>0</v>
      </c>
      <c r="N630" s="315">
        <f t="shared" si="67"/>
        <v>0</v>
      </c>
      <c r="O630" s="69">
        <v>0</v>
      </c>
      <c r="P630" s="121">
        <f t="shared" si="68"/>
        <v>0</v>
      </c>
      <c r="Q630" s="69">
        <v>0</v>
      </c>
      <c r="R630" s="88">
        <f>'Terms and Turnovers'!U105</f>
        <v>0</v>
      </c>
      <c r="S630" s="161">
        <f t="shared" si="69"/>
        <v>0</v>
      </c>
      <c r="T630" s="120">
        <f t="shared" si="73"/>
        <v>0</v>
      </c>
      <c r="U630" s="69">
        <v>0</v>
      </c>
      <c r="V630" s="120">
        <f>$AF630*W630</f>
        <v>0</v>
      </c>
      <c r="W630" s="69">
        <v>0</v>
      </c>
      <c r="X630" s="120">
        <f t="shared" si="74"/>
        <v>0</v>
      </c>
      <c r="Y630" s="69">
        <v>0</v>
      </c>
      <c r="Z630" s="120">
        <f t="shared" si="75"/>
        <v>0</v>
      </c>
      <c r="AA630" s="69">
        <v>0</v>
      </c>
      <c r="AB630" s="315">
        <f t="shared" si="76"/>
        <v>0</v>
      </c>
      <c r="AC630" s="69">
        <v>0</v>
      </c>
      <c r="AD630" s="120">
        <f t="shared" si="77"/>
        <v>0</v>
      </c>
      <c r="AE630" s="69">
        <v>0</v>
      </c>
      <c r="AF630" s="88">
        <f>'Terms and Turnovers'!Z105</f>
        <v>0</v>
      </c>
      <c r="AG630" s="161">
        <f t="shared" si="70"/>
        <v>0</v>
      </c>
      <c r="AH630" s="158">
        <f t="shared" si="71"/>
        <v>0</v>
      </c>
      <c r="AI630" s="134">
        <f t="shared" si="72"/>
        <v>0</v>
      </c>
      <c r="AJ630" s="65"/>
      <c r="AV630" s="56"/>
    </row>
    <row r="631" spans="1:48" ht="13.5" customHeight="1" outlineLevel="1" thickBot="1">
      <c r="B631" s="82"/>
      <c r="C631" s="1231"/>
      <c r="D631" s="1231"/>
      <c r="E631" s="84" t="str">
        <f>'Terms and Turnovers'!$AD$12</f>
        <v>ACCESSORIES</v>
      </c>
      <c r="F631" s="121">
        <f>$R631*G631</f>
        <v>0</v>
      </c>
      <c r="G631" s="723"/>
      <c r="H631" s="121">
        <f>$R631*I631</f>
        <v>0</v>
      </c>
      <c r="I631" s="69">
        <v>0</v>
      </c>
      <c r="J631" s="120">
        <f t="shared" si="65"/>
        <v>0</v>
      </c>
      <c r="K631" s="69">
        <v>0</v>
      </c>
      <c r="L631" s="120">
        <f t="shared" si="66"/>
        <v>0</v>
      </c>
      <c r="M631" s="69">
        <v>0</v>
      </c>
      <c r="N631" s="315">
        <f t="shared" si="67"/>
        <v>0</v>
      </c>
      <c r="O631" s="69">
        <v>0</v>
      </c>
      <c r="P631" s="121">
        <f t="shared" si="68"/>
        <v>0</v>
      </c>
      <c r="Q631" s="69">
        <v>0</v>
      </c>
      <c r="R631" s="88">
        <f>'Terms and Turnovers'!AE105</f>
        <v>0</v>
      </c>
      <c r="S631" s="161">
        <f t="shared" si="69"/>
        <v>0</v>
      </c>
      <c r="T631" s="120">
        <f t="shared" si="73"/>
        <v>0</v>
      </c>
      <c r="U631" s="69">
        <v>0</v>
      </c>
      <c r="V631" s="120">
        <f>$AF631*W631</f>
        <v>0</v>
      </c>
      <c r="W631" s="69">
        <v>0</v>
      </c>
      <c r="X631" s="120">
        <f t="shared" si="74"/>
        <v>0</v>
      </c>
      <c r="Y631" s="69">
        <v>0</v>
      </c>
      <c r="Z631" s="120">
        <f t="shared" si="75"/>
        <v>0</v>
      </c>
      <c r="AA631" s="69">
        <v>0</v>
      </c>
      <c r="AB631" s="315">
        <f t="shared" si="76"/>
        <v>0</v>
      </c>
      <c r="AC631" s="69">
        <v>0</v>
      </c>
      <c r="AD631" s="120">
        <f t="shared" si="77"/>
        <v>0</v>
      </c>
      <c r="AE631" s="69">
        <v>0</v>
      </c>
      <c r="AF631" s="88">
        <f>'Terms and Turnovers'!AJ105</f>
        <v>0</v>
      </c>
      <c r="AG631" s="161">
        <f t="shared" si="70"/>
        <v>0</v>
      </c>
      <c r="AH631" s="158">
        <f t="shared" si="71"/>
        <v>0</v>
      </c>
      <c r="AI631" s="134">
        <f t="shared" si="72"/>
        <v>0</v>
      </c>
      <c r="AJ631" s="65"/>
      <c r="AV631" s="56"/>
    </row>
    <row r="632" spans="1:48" ht="13.5" customHeight="1" outlineLevel="1" thickBot="1">
      <c r="B632" s="82"/>
      <c r="C632" s="1231"/>
      <c r="D632" s="1231"/>
      <c r="E632" s="84">
        <f>'Terms and Turnovers'!$AN$12</f>
        <v>0</v>
      </c>
      <c r="F632" s="121">
        <f>$R632*G632</f>
        <v>0</v>
      </c>
      <c r="G632" s="723"/>
      <c r="H632" s="121">
        <f>$R632*I632</f>
        <v>0</v>
      </c>
      <c r="I632" s="69">
        <v>0</v>
      </c>
      <c r="J632" s="120">
        <f t="shared" si="65"/>
        <v>0</v>
      </c>
      <c r="K632" s="69">
        <v>0</v>
      </c>
      <c r="L632" s="120">
        <f t="shared" si="66"/>
        <v>0</v>
      </c>
      <c r="M632" s="69">
        <v>0</v>
      </c>
      <c r="N632" s="315">
        <f t="shared" si="67"/>
        <v>0</v>
      </c>
      <c r="O632" s="69">
        <v>0</v>
      </c>
      <c r="P632" s="121">
        <f t="shared" si="68"/>
        <v>0</v>
      </c>
      <c r="Q632" s="69">
        <v>0</v>
      </c>
      <c r="R632" s="88">
        <f>'Terms and Turnovers'!AO105</f>
        <v>0</v>
      </c>
      <c r="S632" s="161">
        <f t="shared" si="69"/>
        <v>0</v>
      </c>
      <c r="T632" s="120">
        <f t="shared" si="73"/>
        <v>0</v>
      </c>
      <c r="U632" s="69">
        <v>0</v>
      </c>
      <c r="V632" s="120">
        <f>$AF632*W632</f>
        <v>0</v>
      </c>
      <c r="W632" s="69">
        <v>0</v>
      </c>
      <c r="X632" s="120">
        <f t="shared" si="74"/>
        <v>0</v>
      </c>
      <c r="Y632" s="69">
        <v>0</v>
      </c>
      <c r="Z632" s="120">
        <f t="shared" si="75"/>
        <v>0</v>
      </c>
      <c r="AA632" s="69">
        <v>0</v>
      </c>
      <c r="AB632" s="315">
        <f t="shared" si="76"/>
        <v>0</v>
      </c>
      <c r="AC632" s="69">
        <v>0</v>
      </c>
      <c r="AD632" s="120">
        <f t="shared" si="77"/>
        <v>0</v>
      </c>
      <c r="AE632" s="69">
        <v>0</v>
      </c>
      <c r="AF632" s="88">
        <f>'Terms and Turnovers'!AT105</f>
        <v>0</v>
      </c>
      <c r="AG632" s="161">
        <f t="shared" si="70"/>
        <v>0</v>
      </c>
      <c r="AH632" s="158">
        <f t="shared" si="71"/>
        <v>0</v>
      </c>
      <c r="AI632" s="134">
        <f t="shared" si="72"/>
        <v>0</v>
      </c>
      <c r="AJ632" s="65"/>
      <c r="AV632" s="56"/>
    </row>
    <row r="633" spans="1:48" ht="13.5" customHeight="1" outlineLevel="1" thickBot="1">
      <c r="B633" s="82"/>
      <c r="C633" s="1232"/>
      <c r="D633" s="1232"/>
      <c r="E633" s="85">
        <f>'Terms and Turnovers'!$AX$12</f>
        <v>0</v>
      </c>
      <c r="F633" s="121">
        <f>$R633*G633</f>
        <v>0</v>
      </c>
      <c r="G633" s="72"/>
      <c r="H633" s="121">
        <f>$R633*I633</f>
        <v>0</v>
      </c>
      <c r="I633" s="69">
        <v>0</v>
      </c>
      <c r="J633" s="121">
        <f t="shared" si="65"/>
        <v>0</v>
      </c>
      <c r="K633" s="69">
        <v>0</v>
      </c>
      <c r="L633" s="121">
        <f t="shared" si="66"/>
        <v>0</v>
      </c>
      <c r="M633" s="69">
        <v>0</v>
      </c>
      <c r="N633" s="316">
        <f t="shared" si="67"/>
        <v>0</v>
      </c>
      <c r="O633" s="69">
        <v>0</v>
      </c>
      <c r="P633" s="121">
        <f t="shared" si="68"/>
        <v>0</v>
      </c>
      <c r="Q633" s="69">
        <v>0</v>
      </c>
      <c r="R633" s="89">
        <f>'Terms and Turnovers'!AY105</f>
        <v>0</v>
      </c>
      <c r="S633" s="162">
        <f t="shared" si="69"/>
        <v>0</v>
      </c>
      <c r="T633" s="121">
        <f t="shared" si="73"/>
        <v>0</v>
      </c>
      <c r="U633" s="69">
        <v>0</v>
      </c>
      <c r="V633" s="121">
        <f>$AF633*W633</f>
        <v>0</v>
      </c>
      <c r="W633" s="69">
        <v>0</v>
      </c>
      <c r="X633" s="121">
        <f t="shared" si="74"/>
        <v>0</v>
      </c>
      <c r="Y633" s="69">
        <v>0</v>
      </c>
      <c r="Z633" s="121">
        <f t="shared" si="75"/>
        <v>0</v>
      </c>
      <c r="AA633" s="69">
        <v>0</v>
      </c>
      <c r="AB633" s="316">
        <f t="shared" si="76"/>
        <v>0</v>
      </c>
      <c r="AC633" s="69">
        <v>0</v>
      </c>
      <c r="AD633" s="121">
        <f t="shared" si="77"/>
        <v>0</v>
      </c>
      <c r="AE633" s="69">
        <v>0</v>
      </c>
      <c r="AF633" s="89">
        <f>'Terms and Turnovers'!BD105</f>
        <v>0</v>
      </c>
      <c r="AG633" s="162">
        <f t="shared" si="70"/>
        <v>0</v>
      </c>
      <c r="AH633" s="159">
        <f t="shared" si="71"/>
        <v>0</v>
      </c>
      <c r="AI633" s="137">
        <f t="shared" si="72"/>
        <v>0</v>
      </c>
      <c r="AJ633" s="65"/>
      <c r="AV633" s="56"/>
    </row>
    <row r="634" spans="1:48" ht="13.5" customHeight="1" outlineLevel="1" thickBot="1">
      <c r="A634" s="119"/>
      <c r="B634" s="82"/>
      <c r="C634" s="425"/>
      <c r="D634" s="425"/>
      <c r="E634" s="426"/>
      <c r="F634" s="427">
        <f>SUM(F629:F633)</f>
        <v>0</v>
      </c>
      <c r="G634" s="428"/>
      <c r="H634" s="427">
        <f>SUM(H629:H633)</f>
        <v>0</v>
      </c>
      <c r="I634" s="69"/>
      <c r="J634" s="427">
        <f>SUM(J629:J633)</f>
        <v>0</v>
      </c>
      <c r="K634" s="69"/>
      <c r="L634" s="427">
        <f>SUM(L629:L633)</f>
        <v>0</v>
      </c>
      <c r="M634" s="69"/>
      <c r="N634" s="427">
        <f>SUM(N629:N633)</f>
        <v>0</v>
      </c>
      <c r="O634" s="69"/>
      <c r="P634" s="427">
        <f>SUM(P629:P633)</f>
        <v>0</v>
      </c>
      <c r="Q634" s="69"/>
      <c r="R634" s="429"/>
      <c r="S634" s="430"/>
      <c r="T634" s="427">
        <f>SUM(T629:T633)</f>
        <v>0</v>
      </c>
      <c r="U634" s="428"/>
      <c r="V634" s="427">
        <f>SUM(V629:V633)</f>
        <v>0</v>
      </c>
      <c r="W634" s="69"/>
      <c r="X634" s="427">
        <f>SUM(X629:X633)</f>
        <v>0</v>
      </c>
      <c r="Y634" s="69"/>
      <c r="Z634" s="427">
        <f>SUM(Z629:Z633)</f>
        <v>0</v>
      </c>
      <c r="AA634" s="69"/>
      <c r="AB634" s="427">
        <f>SUM(AB629:AB633)</f>
        <v>0</v>
      </c>
      <c r="AC634" s="69"/>
      <c r="AD634" s="427">
        <f>SUM(AD629:AD633)</f>
        <v>0</v>
      </c>
      <c r="AE634" s="69"/>
      <c r="AF634" s="429"/>
      <c r="AG634" s="430"/>
      <c r="AH634" s="431"/>
      <c r="AI634" s="432"/>
      <c r="AJ634" s="65"/>
      <c r="AV634" s="56"/>
    </row>
    <row r="635" spans="1:48" ht="13.5" customHeight="1" outlineLevel="1" thickBot="1">
      <c r="A635" s="119"/>
      <c r="B635" s="82"/>
      <c r="C635" s="1098" t="s">
        <v>484</v>
      </c>
      <c r="D635" s="433"/>
      <c r="E635" s="426"/>
      <c r="F635" s="700"/>
      <c r="G635" s="428"/>
      <c r="H635" s="700"/>
      <c r="I635" s="69"/>
      <c r="J635" s="700"/>
      <c r="K635" s="69"/>
      <c r="L635" s="700"/>
      <c r="M635" s="69"/>
      <c r="N635" s="700"/>
      <c r="O635" s="69"/>
      <c r="P635" s="700"/>
      <c r="Q635" s="69"/>
      <c r="R635" s="429"/>
      <c r="S635" s="430"/>
      <c r="T635" s="700"/>
      <c r="U635" s="428"/>
      <c r="V635" s="700"/>
      <c r="W635" s="69"/>
      <c r="X635" s="700"/>
      <c r="Y635" s="69">
        <f>W633*0.3+Y633*0.7</f>
        <v>0</v>
      </c>
      <c r="Z635" s="700"/>
      <c r="AA635" s="69">
        <f>Y633*0.3+AA633*0.7</f>
        <v>0</v>
      </c>
      <c r="AB635" s="700"/>
      <c r="AC635" s="69">
        <f>AA633*0.3+AC633*0.7</f>
        <v>0</v>
      </c>
      <c r="AD635" s="700"/>
      <c r="AE635" s="69"/>
      <c r="AF635" s="429"/>
      <c r="AG635" s="430"/>
      <c r="AH635" s="431"/>
      <c r="AI635" s="432"/>
      <c r="AJ635" s="65"/>
      <c r="AV635" s="56"/>
    </row>
    <row r="636" spans="1:48" ht="13.5" customHeight="1" outlineLevel="1" thickBot="1">
      <c r="B636" s="82">
        <f>B629+1</f>
        <v>91</v>
      </c>
      <c r="C636" s="1230">
        <f>'Terms and Turnovers'!C106</f>
        <v>0</v>
      </c>
      <c r="D636" s="1230">
        <f>'Terms and Turnovers'!D106</f>
        <v>0</v>
      </c>
      <c r="E636" s="83" t="str">
        <f>'Terms and Turnovers'!$J$12</f>
        <v>FLIP-FLOPS</v>
      </c>
      <c r="F636" s="121">
        <f>$R636*G636</f>
        <v>0</v>
      </c>
      <c r="G636" s="69"/>
      <c r="H636" s="316">
        <f>$R636*I636</f>
        <v>0</v>
      </c>
      <c r="I636" s="69">
        <v>0</v>
      </c>
      <c r="J636" s="118">
        <f t="shared" si="65"/>
        <v>0</v>
      </c>
      <c r="K636" s="69">
        <v>0</v>
      </c>
      <c r="L636" s="314">
        <f t="shared" si="66"/>
        <v>0</v>
      </c>
      <c r="M636" s="69">
        <v>0</v>
      </c>
      <c r="N636" s="314">
        <f t="shared" si="67"/>
        <v>0</v>
      </c>
      <c r="O636" s="69">
        <v>0</v>
      </c>
      <c r="P636" s="121">
        <f t="shared" si="68"/>
        <v>0</v>
      </c>
      <c r="Q636" s="69">
        <v>0</v>
      </c>
      <c r="R636" s="87">
        <f>'Terms and Turnovers'!K106</f>
        <v>0</v>
      </c>
      <c r="S636" s="160">
        <f t="shared" si="69"/>
        <v>0</v>
      </c>
      <c r="T636" s="118">
        <f t="shared" si="73"/>
        <v>0</v>
      </c>
      <c r="U636" s="69">
        <v>0</v>
      </c>
      <c r="V636" s="314">
        <f>$AF636*W636</f>
        <v>0</v>
      </c>
      <c r="W636" s="69">
        <v>0</v>
      </c>
      <c r="X636" s="118">
        <f t="shared" si="74"/>
        <v>0</v>
      </c>
      <c r="Y636" s="69">
        <v>0</v>
      </c>
      <c r="Z636" s="314">
        <f t="shared" si="75"/>
        <v>0</v>
      </c>
      <c r="AA636" s="69">
        <v>0</v>
      </c>
      <c r="AB636" s="314">
        <f t="shared" si="76"/>
        <v>0</v>
      </c>
      <c r="AC636" s="69">
        <v>0</v>
      </c>
      <c r="AD636" s="118">
        <f t="shared" si="77"/>
        <v>0</v>
      </c>
      <c r="AE636" s="69">
        <v>0</v>
      </c>
      <c r="AF636" s="87">
        <f>'Terms and Turnovers'!P106</f>
        <v>0</v>
      </c>
      <c r="AG636" s="160">
        <f t="shared" si="70"/>
        <v>0</v>
      </c>
      <c r="AH636" s="157">
        <f t="shared" si="71"/>
        <v>0</v>
      </c>
      <c r="AI636" s="131">
        <f t="shared" si="72"/>
        <v>0</v>
      </c>
      <c r="AJ636" s="65"/>
      <c r="AV636" s="56"/>
    </row>
    <row r="637" spans="1:48" ht="13.5" customHeight="1" outlineLevel="1" thickBot="1">
      <c r="B637" s="82"/>
      <c r="C637" s="1231"/>
      <c r="D637" s="1231"/>
      <c r="E637" s="84" t="str">
        <f>'Terms and Turnovers'!$T$12</f>
        <v>ORIGINALS</v>
      </c>
      <c r="F637" s="121">
        <f>$R637*G637</f>
        <v>0</v>
      </c>
      <c r="G637" s="723"/>
      <c r="H637" s="121">
        <f>$R637*I637</f>
        <v>0</v>
      </c>
      <c r="I637" s="69">
        <v>0</v>
      </c>
      <c r="J637" s="120">
        <f t="shared" si="65"/>
        <v>0</v>
      </c>
      <c r="K637" s="69">
        <v>0</v>
      </c>
      <c r="L637" s="120">
        <f t="shared" si="66"/>
        <v>0</v>
      </c>
      <c r="M637" s="69">
        <v>0</v>
      </c>
      <c r="N637" s="315">
        <f t="shared" si="67"/>
        <v>0</v>
      </c>
      <c r="O637" s="69">
        <v>0</v>
      </c>
      <c r="P637" s="121">
        <f t="shared" si="68"/>
        <v>0</v>
      </c>
      <c r="Q637" s="69">
        <v>0</v>
      </c>
      <c r="R637" s="88">
        <f>'Terms and Turnovers'!U106</f>
        <v>0</v>
      </c>
      <c r="S637" s="161">
        <f t="shared" si="69"/>
        <v>0</v>
      </c>
      <c r="T637" s="120">
        <f t="shared" si="73"/>
        <v>0</v>
      </c>
      <c r="U637" s="69">
        <v>0</v>
      </c>
      <c r="V637" s="120">
        <f>$AF637*W637</f>
        <v>0</v>
      </c>
      <c r="W637" s="69">
        <v>0</v>
      </c>
      <c r="X637" s="120">
        <f t="shared" si="74"/>
        <v>0</v>
      </c>
      <c r="Y637" s="69">
        <v>0</v>
      </c>
      <c r="Z637" s="120">
        <f t="shared" si="75"/>
        <v>0</v>
      </c>
      <c r="AA637" s="69">
        <v>0</v>
      </c>
      <c r="AB637" s="315">
        <f t="shared" si="76"/>
        <v>0</v>
      </c>
      <c r="AC637" s="69">
        <v>0</v>
      </c>
      <c r="AD637" s="120">
        <f t="shared" si="77"/>
        <v>0</v>
      </c>
      <c r="AE637" s="69">
        <v>0</v>
      </c>
      <c r="AF637" s="88">
        <f>'Terms and Turnovers'!Z106</f>
        <v>0</v>
      </c>
      <c r="AG637" s="161">
        <f t="shared" si="70"/>
        <v>0</v>
      </c>
      <c r="AH637" s="158">
        <f t="shared" si="71"/>
        <v>0</v>
      </c>
      <c r="AI637" s="134">
        <f t="shared" si="72"/>
        <v>0</v>
      </c>
      <c r="AJ637" s="65"/>
      <c r="AV637" s="56"/>
    </row>
    <row r="638" spans="1:48" ht="13.5" customHeight="1" outlineLevel="1" thickBot="1">
      <c r="B638" s="82"/>
      <c r="C638" s="1231"/>
      <c r="D638" s="1231"/>
      <c r="E638" s="84" t="str">
        <f>'Terms and Turnovers'!$AD$12</f>
        <v>ACCESSORIES</v>
      </c>
      <c r="F638" s="121">
        <f>$R638*G638</f>
        <v>0</v>
      </c>
      <c r="G638" s="723"/>
      <c r="H638" s="121">
        <f>$R638*I638</f>
        <v>0</v>
      </c>
      <c r="I638" s="69">
        <v>0</v>
      </c>
      <c r="J638" s="120">
        <f t="shared" si="65"/>
        <v>0</v>
      </c>
      <c r="K638" s="69">
        <v>0</v>
      </c>
      <c r="L638" s="120">
        <f t="shared" si="66"/>
        <v>0</v>
      </c>
      <c r="M638" s="69">
        <v>0</v>
      </c>
      <c r="N638" s="315">
        <f t="shared" si="67"/>
        <v>0</v>
      </c>
      <c r="O638" s="69">
        <v>0</v>
      </c>
      <c r="P638" s="121">
        <f t="shared" si="68"/>
        <v>0</v>
      </c>
      <c r="Q638" s="69">
        <v>0</v>
      </c>
      <c r="R638" s="88">
        <f>'Terms and Turnovers'!AE106</f>
        <v>0</v>
      </c>
      <c r="S638" s="161">
        <f t="shared" si="69"/>
        <v>0</v>
      </c>
      <c r="T638" s="120">
        <f t="shared" si="73"/>
        <v>0</v>
      </c>
      <c r="U638" s="69">
        <v>0</v>
      </c>
      <c r="V638" s="120">
        <f>$AF638*W638</f>
        <v>0</v>
      </c>
      <c r="W638" s="69">
        <v>0</v>
      </c>
      <c r="X638" s="120">
        <f t="shared" si="74"/>
        <v>0</v>
      </c>
      <c r="Y638" s="69">
        <v>0</v>
      </c>
      <c r="Z638" s="120">
        <f t="shared" si="75"/>
        <v>0</v>
      </c>
      <c r="AA638" s="69">
        <v>0</v>
      </c>
      <c r="AB638" s="315">
        <f t="shared" si="76"/>
        <v>0</v>
      </c>
      <c r="AC638" s="69">
        <v>0</v>
      </c>
      <c r="AD638" s="120">
        <f t="shared" si="77"/>
        <v>0</v>
      </c>
      <c r="AE638" s="69">
        <v>0</v>
      </c>
      <c r="AF638" s="88">
        <f>'Terms and Turnovers'!AJ106</f>
        <v>0</v>
      </c>
      <c r="AG638" s="161">
        <f t="shared" si="70"/>
        <v>0</v>
      </c>
      <c r="AH638" s="158">
        <f t="shared" si="71"/>
        <v>0</v>
      </c>
      <c r="AI638" s="134">
        <f t="shared" si="72"/>
        <v>0</v>
      </c>
      <c r="AJ638" s="65"/>
      <c r="AV638" s="56"/>
    </row>
    <row r="639" spans="1:48" ht="13.5" customHeight="1" outlineLevel="1" thickBot="1">
      <c r="B639" s="82"/>
      <c r="C639" s="1231"/>
      <c r="D639" s="1231"/>
      <c r="E639" s="84">
        <f>'Terms and Turnovers'!$AN$12</f>
        <v>0</v>
      </c>
      <c r="F639" s="121">
        <f>$R639*G639</f>
        <v>0</v>
      </c>
      <c r="G639" s="723"/>
      <c r="H639" s="121">
        <f>$R639*I639</f>
        <v>0</v>
      </c>
      <c r="I639" s="69">
        <v>0</v>
      </c>
      <c r="J639" s="120">
        <f t="shared" si="65"/>
        <v>0</v>
      </c>
      <c r="K639" s="69">
        <v>0</v>
      </c>
      <c r="L639" s="120">
        <f t="shared" si="66"/>
        <v>0</v>
      </c>
      <c r="M639" s="69">
        <v>0</v>
      </c>
      <c r="N639" s="315">
        <f t="shared" si="67"/>
        <v>0</v>
      </c>
      <c r="O639" s="69">
        <v>0</v>
      </c>
      <c r="P639" s="121">
        <f t="shared" si="68"/>
        <v>0</v>
      </c>
      <c r="Q639" s="69">
        <v>0</v>
      </c>
      <c r="R639" s="88">
        <f>'Terms and Turnovers'!AO106</f>
        <v>0</v>
      </c>
      <c r="S639" s="161">
        <f t="shared" si="69"/>
        <v>0</v>
      </c>
      <c r="T639" s="120">
        <f t="shared" si="73"/>
        <v>0</v>
      </c>
      <c r="U639" s="69">
        <v>0</v>
      </c>
      <c r="V639" s="120">
        <f>$AF639*W639</f>
        <v>0</v>
      </c>
      <c r="W639" s="69">
        <v>0</v>
      </c>
      <c r="X639" s="120">
        <f t="shared" si="74"/>
        <v>0</v>
      </c>
      <c r="Y639" s="69">
        <v>0</v>
      </c>
      <c r="Z639" s="120">
        <f t="shared" si="75"/>
        <v>0</v>
      </c>
      <c r="AA639" s="69">
        <v>0</v>
      </c>
      <c r="AB639" s="315">
        <f t="shared" si="76"/>
        <v>0</v>
      </c>
      <c r="AC639" s="69">
        <v>0</v>
      </c>
      <c r="AD639" s="120">
        <f t="shared" si="77"/>
        <v>0</v>
      </c>
      <c r="AE639" s="69">
        <v>0</v>
      </c>
      <c r="AF639" s="88">
        <f>'Terms and Turnovers'!AT106</f>
        <v>0</v>
      </c>
      <c r="AG639" s="161">
        <f t="shared" si="70"/>
        <v>0</v>
      </c>
      <c r="AH639" s="158">
        <f t="shared" si="71"/>
        <v>0</v>
      </c>
      <c r="AI639" s="134">
        <f t="shared" si="72"/>
        <v>0</v>
      </c>
      <c r="AJ639" s="65"/>
      <c r="AV639" s="56"/>
    </row>
    <row r="640" spans="1:48" ht="13.5" customHeight="1" outlineLevel="1" thickBot="1">
      <c r="B640" s="82"/>
      <c r="C640" s="1232"/>
      <c r="D640" s="1232"/>
      <c r="E640" s="85">
        <f>'Terms and Turnovers'!$AX$12</f>
        <v>0</v>
      </c>
      <c r="F640" s="121">
        <f>$R640*G640</f>
        <v>0</v>
      </c>
      <c r="G640" s="72"/>
      <c r="H640" s="121">
        <f>$R640*I640</f>
        <v>0</v>
      </c>
      <c r="I640" s="69">
        <v>0</v>
      </c>
      <c r="J640" s="121">
        <f t="shared" si="65"/>
        <v>0</v>
      </c>
      <c r="K640" s="69">
        <v>0</v>
      </c>
      <c r="L640" s="121">
        <f t="shared" si="66"/>
        <v>0</v>
      </c>
      <c r="M640" s="69">
        <v>0</v>
      </c>
      <c r="N640" s="316">
        <f t="shared" si="67"/>
        <v>0</v>
      </c>
      <c r="O640" s="69">
        <v>0</v>
      </c>
      <c r="P640" s="121">
        <f t="shared" si="68"/>
        <v>0</v>
      </c>
      <c r="Q640" s="69">
        <v>0</v>
      </c>
      <c r="R640" s="89">
        <f>'Terms and Turnovers'!AY106</f>
        <v>0</v>
      </c>
      <c r="S640" s="162">
        <f t="shared" si="69"/>
        <v>0</v>
      </c>
      <c r="T640" s="121">
        <f t="shared" si="73"/>
        <v>0</v>
      </c>
      <c r="U640" s="69">
        <v>0</v>
      </c>
      <c r="V640" s="121">
        <f>$AF640*W640</f>
        <v>0</v>
      </c>
      <c r="W640" s="69">
        <v>0</v>
      </c>
      <c r="X640" s="121">
        <f t="shared" si="74"/>
        <v>0</v>
      </c>
      <c r="Y640" s="69">
        <v>0</v>
      </c>
      <c r="Z640" s="121">
        <f t="shared" si="75"/>
        <v>0</v>
      </c>
      <c r="AA640" s="69">
        <v>0</v>
      </c>
      <c r="AB640" s="316">
        <f t="shared" si="76"/>
        <v>0</v>
      </c>
      <c r="AC640" s="69">
        <v>0</v>
      </c>
      <c r="AD640" s="121">
        <f t="shared" si="77"/>
        <v>0</v>
      </c>
      <c r="AE640" s="69">
        <v>0</v>
      </c>
      <c r="AF640" s="89">
        <f>'Terms and Turnovers'!BD106</f>
        <v>0</v>
      </c>
      <c r="AG640" s="162">
        <f t="shared" si="70"/>
        <v>0</v>
      </c>
      <c r="AH640" s="159">
        <f t="shared" si="71"/>
        <v>0</v>
      </c>
      <c r="AI640" s="137">
        <f t="shared" si="72"/>
        <v>0</v>
      </c>
      <c r="AJ640" s="65"/>
      <c r="AV640" s="56"/>
    </row>
    <row r="641" spans="1:48" ht="13.5" customHeight="1" outlineLevel="1" thickBot="1">
      <c r="A641" s="119"/>
      <c r="B641" s="82"/>
      <c r="C641" s="425"/>
      <c r="D641" s="425"/>
      <c r="E641" s="426"/>
      <c r="F641" s="427">
        <f>SUM(F636:F640)</f>
        <v>0</v>
      </c>
      <c r="G641" s="428"/>
      <c r="H641" s="427">
        <f>SUM(H636:H640)</f>
        <v>0</v>
      </c>
      <c r="I641" s="69"/>
      <c r="J641" s="427">
        <f>SUM(J636:J640)</f>
        <v>0</v>
      </c>
      <c r="K641" s="69"/>
      <c r="L641" s="427">
        <f>SUM(L636:L640)</f>
        <v>0</v>
      </c>
      <c r="M641" s="69"/>
      <c r="N641" s="427">
        <f>SUM(N636:N640)</f>
        <v>0</v>
      </c>
      <c r="O641" s="69"/>
      <c r="P641" s="427">
        <f>SUM(P636:P640)</f>
        <v>0</v>
      </c>
      <c r="Q641" s="69"/>
      <c r="R641" s="429"/>
      <c r="S641" s="430"/>
      <c r="T641" s="427">
        <f>SUM(T636:T640)</f>
        <v>0</v>
      </c>
      <c r="U641" s="428"/>
      <c r="V641" s="427">
        <f>SUM(V636:V640)</f>
        <v>0</v>
      </c>
      <c r="W641" s="69"/>
      <c r="X641" s="427">
        <f>SUM(X636:X640)</f>
        <v>0</v>
      </c>
      <c r="Y641" s="69"/>
      <c r="Z641" s="427">
        <f>SUM(Z636:Z640)</f>
        <v>0</v>
      </c>
      <c r="AA641" s="69"/>
      <c r="AB641" s="427">
        <f>SUM(AB636:AB640)</f>
        <v>0</v>
      </c>
      <c r="AC641" s="69"/>
      <c r="AD641" s="427">
        <f>SUM(AD636:AD640)</f>
        <v>0</v>
      </c>
      <c r="AE641" s="69"/>
      <c r="AF641" s="429"/>
      <c r="AG641" s="430"/>
      <c r="AH641" s="431"/>
      <c r="AI641" s="432"/>
      <c r="AJ641" s="65"/>
      <c r="AV641" s="56"/>
    </row>
    <row r="642" spans="1:48" ht="13.5" customHeight="1" outlineLevel="1" thickBot="1">
      <c r="A642" s="119"/>
      <c r="B642" s="82"/>
      <c r="C642" s="1098" t="s">
        <v>484</v>
      </c>
      <c r="D642" s="433"/>
      <c r="E642" s="426"/>
      <c r="F642" s="700"/>
      <c r="G642" s="428"/>
      <c r="H642" s="700"/>
      <c r="I642" s="69"/>
      <c r="J642" s="700"/>
      <c r="K642" s="69"/>
      <c r="L642" s="700"/>
      <c r="M642" s="69"/>
      <c r="N642" s="700"/>
      <c r="O642" s="69"/>
      <c r="P642" s="700"/>
      <c r="Q642" s="69"/>
      <c r="R642" s="429"/>
      <c r="S642" s="430"/>
      <c r="T642" s="700"/>
      <c r="U642" s="428"/>
      <c r="V642" s="700"/>
      <c r="W642" s="69"/>
      <c r="X642" s="700"/>
      <c r="Y642" s="69">
        <f>W640*0.3+Y640*0.7</f>
        <v>0</v>
      </c>
      <c r="Z642" s="700"/>
      <c r="AA642" s="69">
        <f>Y640*0.3+AA640*0.7</f>
        <v>0</v>
      </c>
      <c r="AB642" s="700"/>
      <c r="AC642" s="69">
        <f>AA640*0.3+AC640*0.7</f>
        <v>0</v>
      </c>
      <c r="AD642" s="700"/>
      <c r="AE642" s="69"/>
      <c r="AF642" s="429"/>
      <c r="AG642" s="430"/>
      <c r="AH642" s="431"/>
      <c r="AI642" s="432"/>
      <c r="AJ642" s="65"/>
      <c r="AV642" s="56"/>
    </row>
    <row r="643" spans="1:48" ht="13.5" customHeight="1" outlineLevel="1" thickBot="1">
      <c r="B643" s="82">
        <f>B636+1</f>
        <v>92</v>
      </c>
      <c r="C643" s="1230">
        <f>'Terms and Turnovers'!C107</f>
        <v>0</v>
      </c>
      <c r="D643" s="1230">
        <f>'Terms and Turnovers'!D107</f>
        <v>0</v>
      </c>
      <c r="E643" s="83" t="str">
        <f>'Terms and Turnovers'!$J$12</f>
        <v>FLIP-FLOPS</v>
      </c>
      <c r="F643" s="121">
        <f>$R643*G643</f>
        <v>0</v>
      </c>
      <c r="G643" s="69"/>
      <c r="H643" s="316">
        <f>$R643*I643</f>
        <v>0</v>
      </c>
      <c r="I643" s="69">
        <v>0</v>
      </c>
      <c r="J643" s="118">
        <f t="shared" si="65"/>
        <v>0</v>
      </c>
      <c r="K643" s="69">
        <v>0</v>
      </c>
      <c r="L643" s="314">
        <f t="shared" si="66"/>
        <v>0</v>
      </c>
      <c r="M643" s="69">
        <v>0</v>
      </c>
      <c r="N643" s="314">
        <f t="shared" si="67"/>
        <v>0</v>
      </c>
      <c r="O643" s="69">
        <v>0</v>
      </c>
      <c r="P643" s="121">
        <f t="shared" si="68"/>
        <v>0</v>
      </c>
      <c r="Q643" s="69">
        <v>0</v>
      </c>
      <c r="R643" s="87">
        <f>'Terms and Turnovers'!K107</f>
        <v>0</v>
      </c>
      <c r="S643" s="160">
        <f t="shared" si="69"/>
        <v>0</v>
      </c>
      <c r="T643" s="118">
        <f t="shared" si="73"/>
        <v>0</v>
      </c>
      <c r="U643" s="69">
        <v>0</v>
      </c>
      <c r="V643" s="314">
        <f>$AF643*W643</f>
        <v>0</v>
      </c>
      <c r="W643" s="69">
        <v>0</v>
      </c>
      <c r="X643" s="118">
        <f t="shared" si="74"/>
        <v>0</v>
      </c>
      <c r="Y643" s="69">
        <v>0</v>
      </c>
      <c r="Z643" s="314">
        <f t="shared" si="75"/>
        <v>0</v>
      </c>
      <c r="AA643" s="69">
        <v>0</v>
      </c>
      <c r="AB643" s="314">
        <f t="shared" si="76"/>
        <v>0</v>
      </c>
      <c r="AC643" s="69">
        <v>0</v>
      </c>
      <c r="AD643" s="118">
        <f t="shared" si="77"/>
        <v>0</v>
      </c>
      <c r="AE643" s="69">
        <v>0</v>
      </c>
      <c r="AF643" s="87">
        <f>'Terms and Turnovers'!P107</f>
        <v>0</v>
      </c>
      <c r="AG643" s="160">
        <f t="shared" si="70"/>
        <v>0</v>
      </c>
      <c r="AH643" s="157">
        <f t="shared" si="71"/>
        <v>0</v>
      </c>
      <c r="AI643" s="131">
        <f t="shared" si="72"/>
        <v>0</v>
      </c>
      <c r="AJ643" s="65"/>
      <c r="AV643" s="56"/>
    </row>
    <row r="644" spans="1:48" ht="13.5" customHeight="1" outlineLevel="1" thickBot="1">
      <c r="B644" s="82"/>
      <c r="C644" s="1231"/>
      <c r="D644" s="1231"/>
      <c r="E644" s="84" t="str">
        <f>'Terms and Turnovers'!$T$12</f>
        <v>ORIGINALS</v>
      </c>
      <c r="F644" s="121">
        <f>$R644*G644</f>
        <v>0</v>
      </c>
      <c r="G644" s="723"/>
      <c r="H644" s="121">
        <f>$R644*I644</f>
        <v>0</v>
      </c>
      <c r="I644" s="69">
        <v>0</v>
      </c>
      <c r="J644" s="120">
        <f t="shared" si="65"/>
        <v>0</v>
      </c>
      <c r="K644" s="69">
        <v>0</v>
      </c>
      <c r="L644" s="120">
        <f t="shared" si="66"/>
        <v>0</v>
      </c>
      <c r="M644" s="69">
        <v>0</v>
      </c>
      <c r="N644" s="315">
        <f t="shared" si="67"/>
        <v>0</v>
      </c>
      <c r="O644" s="69">
        <v>0</v>
      </c>
      <c r="P644" s="121">
        <f t="shared" si="68"/>
        <v>0</v>
      </c>
      <c r="Q644" s="69">
        <v>0</v>
      </c>
      <c r="R644" s="88">
        <f>'Terms and Turnovers'!U107</f>
        <v>0</v>
      </c>
      <c r="S644" s="161">
        <f t="shared" si="69"/>
        <v>0</v>
      </c>
      <c r="T644" s="120">
        <f t="shared" si="73"/>
        <v>0</v>
      </c>
      <c r="U644" s="69">
        <v>0</v>
      </c>
      <c r="V644" s="120">
        <f>$AF644*W644</f>
        <v>0</v>
      </c>
      <c r="W644" s="69">
        <v>0</v>
      </c>
      <c r="X644" s="120">
        <f t="shared" si="74"/>
        <v>0</v>
      </c>
      <c r="Y644" s="69">
        <v>0</v>
      </c>
      <c r="Z644" s="120">
        <f t="shared" si="75"/>
        <v>0</v>
      </c>
      <c r="AA644" s="69">
        <v>0</v>
      </c>
      <c r="AB644" s="315">
        <f t="shared" si="76"/>
        <v>0</v>
      </c>
      <c r="AC644" s="69">
        <v>0</v>
      </c>
      <c r="AD644" s="120">
        <f t="shared" si="77"/>
        <v>0</v>
      </c>
      <c r="AE644" s="69">
        <v>0</v>
      </c>
      <c r="AF644" s="88">
        <f>'Terms and Turnovers'!Z107</f>
        <v>0</v>
      </c>
      <c r="AG644" s="161">
        <f t="shared" si="70"/>
        <v>0</v>
      </c>
      <c r="AH644" s="158">
        <f t="shared" si="71"/>
        <v>0</v>
      </c>
      <c r="AI644" s="134">
        <f t="shared" si="72"/>
        <v>0</v>
      </c>
      <c r="AJ644" s="65"/>
      <c r="AV644" s="56"/>
    </row>
    <row r="645" spans="1:48" ht="13.5" customHeight="1" outlineLevel="1" thickBot="1">
      <c r="B645" s="82"/>
      <c r="C645" s="1231"/>
      <c r="D645" s="1231"/>
      <c r="E645" s="84" t="str">
        <f>'Terms and Turnovers'!$AD$12</f>
        <v>ACCESSORIES</v>
      </c>
      <c r="F645" s="121">
        <f>$R645*G645</f>
        <v>0</v>
      </c>
      <c r="G645" s="723"/>
      <c r="H645" s="121">
        <f>$R645*I645</f>
        <v>0</v>
      </c>
      <c r="I645" s="69">
        <v>0</v>
      </c>
      <c r="J645" s="120">
        <f t="shared" si="65"/>
        <v>0</v>
      </c>
      <c r="K645" s="69">
        <v>0</v>
      </c>
      <c r="L645" s="120">
        <f t="shared" si="66"/>
        <v>0</v>
      </c>
      <c r="M645" s="69">
        <v>0</v>
      </c>
      <c r="N645" s="315">
        <f t="shared" si="67"/>
        <v>0</v>
      </c>
      <c r="O645" s="69">
        <v>0</v>
      </c>
      <c r="P645" s="121">
        <f t="shared" si="68"/>
        <v>0</v>
      </c>
      <c r="Q645" s="69">
        <v>0</v>
      </c>
      <c r="R645" s="88">
        <f>'Terms and Turnovers'!AE107</f>
        <v>0</v>
      </c>
      <c r="S645" s="161">
        <f t="shared" si="69"/>
        <v>0</v>
      </c>
      <c r="T645" s="120">
        <f t="shared" si="73"/>
        <v>0</v>
      </c>
      <c r="U645" s="69">
        <v>0</v>
      </c>
      <c r="V645" s="120">
        <f>$AF645*W645</f>
        <v>0</v>
      </c>
      <c r="W645" s="69">
        <v>0</v>
      </c>
      <c r="X645" s="120">
        <f t="shared" si="74"/>
        <v>0</v>
      </c>
      <c r="Y645" s="69">
        <v>0</v>
      </c>
      <c r="Z645" s="120">
        <f t="shared" si="75"/>
        <v>0</v>
      </c>
      <c r="AA645" s="69">
        <v>0</v>
      </c>
      <c r="AB645" s="315">
        <f t="shared" si="76"/>
        <v>0</v>
      </c>
      <c r="AC645" s="69">
        <v>0</v>
      </c>
      <c r="AD645" s="120">
        <f t="shared" si="77"/>
        <v>0</v>
      </c>
      <c r="AE645" s="69">
        <v>0</v>
      </c>
      <c r="AF645" s="88">
        <f>'Terms and Turnovers'!AJ107</f>
        <v>0</v>
      </c>
      <c r="AG645" s="161">
        <f t="shared" si="70"/>
        <v>0</v>
      </c>
      <c r="AH645" s="158">
        <f t="shared" si="71"/>
        <v>0</v>
      </c>
      <c r="AI645" s="134">
        <f t="shared" si="72"/>
        <v>0</v>
      </c>
      <c r="AJ645" s="65"/>
      <c r="AV645" s="56"/>
    </row>
    <row r="646" spans="1:48" ht="13.5" customHeight="1" outlineLevel="1" thickBot="1">
      <c r="B646" s="82"/>
      <c r="C646" s="1231"/>
      <c r="D646" s="1231"/>
      <c r="E646" s="84">
        <f>'Terms and Turnovers'!$AN$12</f>
        <v>0</v>
      </c>
      <c r="F646" s="121">
        <f>$R646*G646</f>
        <v>0</v>
      </c>
      <c r="G646" s="723"/>
      <c r="H646" s="121">
        <f>$R646*I646</f>
        <v>0</v>
      </c>
      <c r="I646" s="69">
        <v>0</v>
      </c>
      <c r="J646" s="120">
        <f t="shared" si="65"/>
        <v>0</v>
      </c>
      <c r="K646" s="69">
        <v>0</v>
      </c>
      <c r="L646" s="120">
        <f t="shared" si="66"/>
        <v>0</v>
      </c>
      <c r="M646" s="69">
        <v>0</v>
      </c>
      <c r="N646" s="315">
        <f t="shared" si="67"/>
        <v>0</v>
      </c>
      <c r="O646" s="69">
        <v>0</v>
      </c>
      <c r="P646" s="121">
        <f t="shared" si="68"/>
        <v>0</v>
      </c>
      <c r="Q646" s="69">
        <v>0</v>
      </c>
      <c r="R646" s="88">
        <f>'Terms and Turnovers'!AO107</f>
        <v>0</v>
      </c>
      <c r="S646" s="161">
        <f t="shared" si="69"/>
        <v>0</v>
      </c>
      <c r="T646" s="120">
        <f t="shared" si="73"/>
        <v>0</v>
      </c>
      <c r="U646" s="69">
        <v>0</v>
      </c>
      <c r="V646" s="120">
        <f>$AF646*W646</f>
        <v>0</v>
      </c>
      <c r="W646" s="69">
        <v>0</v>
      </c>
      <c r="X646" s="120">
        <f t="shared" si="74"/>
        <v>0</v>
      </c>
      <c r="Y646" s="69">
        <v>0</v>
      </c>
      <c r="Z646" s="120">
        <f t="shared" si="75"/>
        <v>0</v>
      </c>
      <c r="AA646" s="69">
        <v>0</v>
      </c>
      <c r="AB646" s="315">
        <f t="shared" si="76"/>
        <v>0</v>
      </c>
      <c r="AC646" s="69">
        <v>0</v>
      </c>
      <c r="AD646" s="120">
        <f t="shared" si="77"/>
        <v>0</v>
      </c>
      <c r="AE646" s="69">
        <v>0</v>
      </c>
      <c r="AF646" s="88">
        <f>'Terms and Turnovers'!AT107</f>
        <v>0</v>
      </c>
      <c r="AG646" s="161">
        <f t="shared" si="70"/>
        <v>0</v>
      </c>
      <c r="AH646" s="158">
        <f t="shared" si="71"/>
        <v>0</v>
      </c>
      <c r="AI646" s="134">
        <f t="shared" si="72"/>
        <v>0</v>
      </c>
      <c r="AJ646" s="65"/>
      <c r="AV646" s="56"/>
    </row>
    <row r="647" spans="1:48" ht="13.5" customHeight="1" outlineLevel="1" thickBot="1">
      <c r="B647" s="82"/>
      <c r="C647" s="1232"/>
      <c r="D647" s="1232"/>
      <c r="E647" s="85">
        <f>'Terms and Turnovers'!$AX$12</f>
        <v>0</v>
      </c>
      <c r="F647" s="121">
        <f>$R647*G647</f>
        <v>0</v>
      </c>
      <c r="G647" s="72"/>
      <c r="H647" s="121">
        <f>$R647*I647</f>
        <v>0</v>
      </c>
      <c r="I647" s="69">
        <v>0</v>
      </c>
      <c r="J647" s="121">
        <f t="shared" ref="J647:J703" si="78">$R647*K647</f>
        <v>0</v>
      </c>
      <c r="K647" s="69">
        <v>0</v>
      </c>
      <c r="L647" s="121">
        <f t="shared" ref="L647:L703" si="79">$R647*M647</f>
        <v>0</v>
      </c>
      <c r="M647" s="69">
        <v>0</v>
      </c>
      <c r="N647" s="316">
        <f t="shared" ref="N647:N703" si="80">$R647*O647</f>
        <v>0</v>
      </c>
      <c r="O647" s="69">
        <v>0</v>
      </c>
      <c r="P647" s="121">
        <f t="shared" ref="P647:P703" si="81">$R647*Q647</f>
        <v>0</v>
      </c>
      <c r="Q647" s="69">
        <v>0</v>
      </c>
      <c r="R647" s="89">
        <f>'Terms and Turnovers'!AY107</f>
        <v>0</v>
      </c>
      <c r="S647" s="162">
        <f t="shared" si="69"/>
        <v>0</v>
      </c>
      <c r="T647" s="121">
        <f t="shared" si="73"/>
        <v>0</v>
      </c>
      <c r="U647" s="69">
        <v>0</v>
      </c>
      <c r="V647" s="121">
        <f>$AF647*W647</f>
        <v>0</v>
      </c>
      <c r="W647" s="69">
        <v>0</v>
      </c>
      <c r="X647" s="121">
        <f t="shared" si="74"/>
        <v>0</v>
      </c>
      <c r="Y647" s="69">
        <v>0</v>
      </c>
      <c r="Z647" s="121">
        <f t="shared" si="75"/>
        <v>0</v>
      </c>
      <c r="AA647" s="69">
        <v>0</v>
      </c>
      <c r="AB647" s="316">
        <f t="shared" si="76"/>
        <v>0</v>
      </c>
      <c r="AC647" s="69">
        <v>0</v>
      </c>
      <c r="AD647" s="121">
        <f t="shared" si="77"/>
        <v>0</v>
      </c>
      <c r="AE647" s="69">
        <v>0</v>
      </c>
      <c r="AF647" s="89">
        <f>'Terms and Turnovers'!BD107</f>
        <v>0</v>
      </c>
      <c r="AG647" s="162">
        <f t="shared" si="70"/>
        <v>0</v>
      </c>
      <c r="AH647" s="159">
        <f t="shared" si="71"/>
        <v>0</v>
      </c>
      <c r="AI647" s="137">
        <f t="shared" si="72"/>
        <v>0</v>
      </c>
      <c r="AJ647" s="65"/>
      <c r="AV647" s="56"/>
    </row>
    <row r="648" spans="1:48" ht="13.5" customHeight="1" outlineLevel="1" thickBot="1">
      <c r="A648" s="119"/>
      <c r="B648" s="82"/>
      <c r="C648" s="425"/>
      <c r="D648" s="425"/>
      <c r="E648" s="426"/>
      <c r="F648" s="427">
        <f>SUM(F643:F647)</f>
        <v>0</v>
      </c>
      <c r="G648" s="428"/>
      <c r="H648" s="427">
        <f>SUM(H643:H647)</f>
        <v>0</v>
      </c>
      <c r="I648" s="69"/>
      <c r="J648" s="427">
        <f>SUM(J643:J647)</f>
        <v>0</v>
      </c>
      <c r="K648" s="69"/>
      <c r="L648" s="427">
        <f>SUM(L643:L647)</f>
        <v>0</v>
      </c>
      <c r="M648" s="69"/>
      <c r="N648" s="427">
        <f>SUM(N643:N647)</f>
        <v>0</v>
      </c>
      <c r="O648" s="69"/>
      <c r="P648" s="427">
        <f>SUM(P643:P647)</f>
        <v>0</v>
      </c>
      <c r="Q648" s="69"/>
      <c r="R648" s="429"/>
      <c r="S648" s="430"/>
      <c r="T648" s="427">
        <f>SUM(T643:T647)</f>
        <v>0</v>
      </c>
      <c r="U648" s="428"/>
      <c r="V648" s="427">
        <f>SUM(V643:V647)</f>
        <v>0</v>
      </c>
      <c r="W648" s="69"/>
      <c r="X648" s="427">
        <f>SUM(X643:X647)</f>
        <v>0</v>
      </c>
      <c r="Y648" s="69"/>
      <c r="Z648" s="427">
        <f>SUM(Z643:Z647)</f>
        <v>0</v>
      </c>
      <c r="AA648" s="69"/>
      <c r="AB648" s="427">
        <f>SUM(AB643:AB647)</f>
        <v>0</v>
      </c>
      <c r="AC648" s="69"/>
      <c r="AD648" s="427">
        <f>SUM(AD643:AD647)</f>
        <v>0</v>
      </c>
      <c r="AE648" s="69"/>
      <c r="AF648" s="429"/>
      <c r="AG648" s="430"/>
      <c r="AH648" s="431"/>
      <c r="AI648" s="432"/>
      <c r="AJ648" s="65"/>
      <c r="AV648" s="56"/>
    </row>
    <row r="649" spans="1:48" ht="13.5" customHeight="1" outlineLevel="1" thickBot="1">
      <c r="A649" s="119"/>
      <c r="B649" s="82"/>
      <c r="C649" s="1098" t="s">
        <v>484</v>
      </c>
      <c r="D649" s="433"/>
      <c r="E649" s="426"/>
      <c r="F649" s="700"/>
      <c r="G649" s="428"/>
      <c r="H649" s="700"/>
      <c r="I649" s="69"/>
      <c r="J649" s="700"/>
      <c r="K649" s="69"/>
      <c r="L649" s="700"/>
      <c r="M649" s="69"/>
      <c r="N649" s="700"/>
      <c r="O649" s="69"/>
      <c r="P649" s="700"/>
      <c r="Q649" s="69"/>
      <c r="R649" s="429"/>
      <c r="S649" s="430"/>
      <c r="T649" s="700"/>
      <c r="U649" s="428"/>
      <c r="V649" s="700"/>
      <c r="W649" s="69"/>
      <c r="X649" s="700"/>
      <c r="Y649" s="69">
        <f>W647*0.3+Y647*0.7</f>
        <v>0</v>
      </c>
      <c r="Z649" s="700"/>
      <c r="AA649" s="69">
        <f>Y647*0.3+AA647*0.7</f>
        <v>0</v>
      </c>
      <c r="AB649" s="700"/>
      <c r="AC649" s="69">
        <f>AA647*0.3+AC647*0.7</f>
        <v>0</v>
      </c>
      <c r="AD649" s="700"/>
      <c r="AE649" s="69"/>
      <c r="AF649" s="429"/>
      <c r="AG649" s="430"/>
      <c r="AH649" s="431"/>
      <c r="AI649" s="432"/>
      <c r="AJ649" s="65"/>
      <c r="AV649" s="56"/>
    </row>
    <row r="650" spans="1:48" ht="13.5" customHeight="1" outlineLevel="1" thickBot="1">
      <c r="B650" s="82">
        <f>B643+1</f>
        <v>93</v>
      </c>
      <c r="C650" s="1230">
        <f>'Terms and Turnovers'!C108</f>
        <v>0</v>
      </c>
      <c r="D650" s="1230">
        <f>'Terms and Turnovers'!D108</f>
        <v>0</v>
      </c>
      <c r="E650" s="83" t="str">
        <f>'Terms and Turnovers'!$J$12</f>
        <v>FLIP-FLOPS</v>
      </c>
      <c r="F650" s="121">
        <f>$R650*G650</f>
        <v>0</v>
      </c>
      <c r="G650" s="69"/>
      <c r="H650" s="316">
        <f>$R650*I650</f>
        <v>0</v>
      </c>
      <c r="I650" s="69">
        <v>0</v>
      </c>
      <c r="J650" s="118">
        <f t="shared" si="78"/>
        <v>0</v>
      </c>
      <c r="K650" s="69">
        <v>0</v>
      </c>
      <c r="L650" s="314">
        <f t="shared" si="79"/>
        <v>0</v>
      </c>
      <c r="M650" s="69">
        <v>0</v>
      </c>
      <c r="N650" s="314">
        <f t="shared" si="80"/>
        <v>0</v>
      </c>
      <c r="O650" s="69">
        <v>0</v>
      </c>
      <c r="P650" s="121">
        <f t="shared" si="81"/>
        <v>0</v>
      </c>
      <c r="Q650" s="69">
        <v>0</v>
      </c>
      <c r="R650" s="87">
        <f>'Terms and Turnovers'!K108</f>
        <v>0</v>
      </c>
      <c r="S650" s="160">
        <f t="shared" si="69"/>
        <v>0</v>
      </c>
      <c r="T650" s="118">
        <f t="shared" si="73"/>
        <v>0</v>
      </c>
      <c r="U650" s="69">
        <v>0</v>
      </c>
      <c r="V650" s="118">
        <f t="shared" ref="V650:V703" si="82">$AF650*W650</f>
        <v>0</v>
      </c>
      <c r="W650" s="69">
        <v>0</v>
      </c>
      <c r="X650" s="118">
        <f t="shared" si="74"/>
        <v>0</v>
      </c>
      <c r="Y650" s="69">
        <v>0</v>
      </c>
      <c r="Z650" s="118">
        <f t="shared" si="75"/>
        <v>0</v>
      </c>
      <c r="AA650" s="69">
        <v>0</v>
      </c>
      <c r="AB650" s="118">
        <f t="shared" si="76"/>
        <v>0</v>
      </c>
      <c r="AC650" s="69">
        <v>0</v>
      </c>
      <c r="AD650" s="118">
        <f t="shared" si="77"/>
        <v>0</v>
      </c>
      <c r="AE650" s="69">
        <v>0</v>
      </c>
      <c r="AF650" s="87">
        <f>'Terms and Turnovers'!P108</f>
        <v>0</v>
      </c>
      <c r="AG650" s="160">
        <f t="shared" si="70"/>
        <v>0</v>
      </c>
      <c r="AH650" s="157">
        <f t="shared" si="71"/>
        <v>0</v>
      </c>
      <c r="AI650" s="131">
        <f t="shared" si="72"/>
        <v>0</v>
      </c>
      <c r="AJ650" s="65"/>
      <c r="AV650" s="56"/>
    </row>
    <row r="651" spans="1:48" ht="13.5" customHeight="1" outlineLevel="1" thickBot="1">
      <c r="B651" s="82"/>
      <c r="C651" s="1231"/>
      <c r="D651" s="1231"/>
      <c r="E651" s="84" t="str">
        <f>'Terms and Turnovers'!$T$12</f>
        <v>ORIGINALS</v>
      </c>
      <c r="F651" s="121">
        <f>$R651*G651</f>
        <v>0</v>
      </c>
      <c r="G651" s="723"/>
      <c r="H651" s="121">
        <f>$R651*I651</f>
        <v>0</v>
      </c>
      <c r="I651" s="69">
        <v>0</v>
      </c>
      <c r="J651" s="120">
        <f t="shared" si="78"/>
        <v>0</v>
      </c>
      <c r="K651" s="69">
        <v>0</v>
      </c>
      <c r="L651" s="120">
        <f t="shared" si="79"/>
        <v>0</v>
      </c>
      <c r="M651" s="69">
        <v>0</v>
      </c>
      <c r="N651" s="315">
        <f t="shared" si="80"/>
        <v>0</v>
      </c>
      <c r="O651" s="69">
        <v>0</v>
      </c>
      <c r="P651" s="121">
        <f t="shared" si="81"/>
        <v>0</v>
      </c>
      <c r="Q651" s="69">
        <v>0</v>
      </c>
      <c r="R651" s="88">
        <f>'Terms and Turnovers'!U108</f>
        <v>0</v>
      </c>
      <c r="S651" s="161">
        <f t="shared" si="69"/>
        <v>0</v>
      </c>
      <c r="T651" s="120">
        <f t="shared" si="73"/>
        <v>0</v>
      </c>
      <c r="U651" s="69">
        <v>0</v>
      </c>
      <c r="V651" s="120">
        <f t="shared" si="82"/>
        <v>0</v>
      </c>
      <c r="W651" s="69">
        <v>0</v>
      </c>
      <c r="X651" s="120">
        <f t="shared" si="74"/>
        <v>0</v>
      </c>
      <c r="Y651" s="69">
        <v>0</v>
      </c>
      <c r="Z651" s="120">
        <f t="shared" si="75"/>
        <v>0</v>
      </c>
      <c r="AA651" s="69">
        <v>0</v>
      </c>
      <c r="AB651" s="120">
        <f t="shared" si="76"/>
        <v>0</v>
      </c>
      <c r="AC651" s="69">
        <v>0</v>
      </c>
      <c r="AD651" s="118">
        <f t="shared" si="77"/>
        <v>0</v>
      </c>
      <c r="AE651" s="69">
        <v>0</v>
      </c>
      <c r="AF651" s="88">
        <f>'Terms and Turnovers'!Z108</f>
        <v>0</v>
      </c>
      <c r="AG651" s="161">
        <f t="shared" si="70"/>
        <v>0</v>
      </c>
      <c r="AH651" s="158">
        <f t="shared" si="71"/>
        <v>0</v>
      </c>
      <c r="AI651" s="134">
        <f t="shared" si="72"/>
        <v>0</v>
      </c>
      <c r="AJ651" s="65"/>
      <c r="AV651" s="56"/>
    </row>
    <row r="652" spans="1:48" ht="13.5" customHeight="1" outlineLevel="1" thickBot="1">
      <c r="B652" s="82"/>
      <c r="C652" s="1231"/>
      <c r="D652" s="1231"/>
      <c r="E652" s="84" t="str">
        <f>'Terms and Turnovers'!$AD$12</f>
        <v>ACCESSORIES</v>
      </c>
      <c r="F652" s="121">
        <f>$R652*G652</f>
        <v>0</v>
      </c>
      <c r="G652" s="723"/>
      <c r="H652" s="121">
        <f>$R652*I652</f>
        <v>0</v>
      </c>
      <c r="I652" s="69">
        <v>0</v>
      </c>
      <c r="J652" s="120">
        <f t="shared" si="78"/>
        <v>0</v>
      </c>
      <c r="K652" s="69">
        <v>0</v>
      </c>
      <c r="L652" s="120">
        <f t="shared" si="79"/>
        <v>0</v>
      </c>
      <c r="M652" s="69">
        <v>0</v>
      </c>
      <c r="N652" s="315">
        <f t="shared" si="80"/>
        <v>0</v>
      </c>
      <c r="O652" s="69">
        <v>0</v>
      </c>
      <c r="P652" s="121">
        <f t="shared" si="81"/>
        <v>0</v>
      </c>
      <c r="Q652" s="69">
        <v>0</v>
      </c>
      <c r="R652" s="88">
        <f>'Terms and Turnovers'!AE108</f>
        <v>0</v>
      </c>
      <c r="S652" s="161">
        <f t="shared" si="69"/>
        <v>0</v>
      </c>
      <c r="T652" s="120">
        <f t="shared" si="73"/>
        <v>0</v>
      </c>
      <c r="U652" s="69">
        <v>0</v>
      </c>
      <c r="V652" s="120">
        <f t="shared" si="82"/>
        <v>0</v>
      </c>
      <c r="W652" s="69">
        <v>0</v>
      </c>
      <c r="X652" s="120">
        <f t="shared" si="74"/>
        <v>0</v>
      </c>
      <c r="Y652" s="69">
        <v>0</v>
      </c>
      <c r="Z652" s="120">
        <f t="shared" si="75"/>
        <v>0</v>
      </c>
      <c r="AA652" s="69">
        <v>0</v>
      </c>
      <c r="AB652" s="120">
        <f t="shared" si="76"/>
        <v>0</v>
      </c>
      <c r="AC652" s="69">
        <v>0</v>
      </c>
      <c r="AD652" s="120">
        <f t="shared" si="77"/>
        <v>0</v>
      </c>
      <c r="AE652" s="69">
        <v>0</v>
      </c>
      <c r="AF652" s="88">
        <f>'Terms and Turnovers'!AJ108</f>
        <v>0</v>
      </c>
      <c r="AG652" s="161">
        <f t="shared" si="70"/>
        <v>0</v>
      </c>
      <c r="AH652" s="158">
        <f t="shared" si="71"/>
        <v>0</v>
      </c>
      <c r="AI652" s="134">
        <f t="shared" si="72"/>
        <v>0</v>
      </c>
      <c r="AJ652" s="65"/>
      <c r="AV652" s="56"/>
    </row>
    <row r="653" spans="1:48" ht="13.5" customHeight="1" outlineLevel="1" thickBot="1">
      <c r="B653" s="82"/>
      <c r="C653" s="1231"/>
      <c r="D653" s="1231"/>
      <c r="E653" s="84">
        <f>'Terms and Turnovers'!$AN$12</f>
        <v>0</v>
      </c>
      <c r="F653" s="121">
        <f>$R653*G653</f>
        <v>0</v>
      </c>
      <c r="G653" s="723"/>
      <c r="H653" s="121">
        <f>$R653*I653</f>
        <v>0</v>
      </c>
      <c r="I653" s="69">
        <v>0</v>
      </c>
      <c r="J653" s="120">
        <f t="shared" si="78"/>
        <v>0</v>
      </c>
      <c r="K653" s="69">
        <v>0</v>
      </c>
      <c r="L653" s="120">
        <f t="shared" si="79"/>
        <v>0</v>
      </c>
      <c r="M653" s="69">
        <v>0</v>
      </c>
      <c r="N653" s="315">
        <f t="shared" si="80"/>
        <v>0</v>
      </c>
      <c r="O653" s="69">
        <v>0</v>
      </c>
      <c r="P653" s="121">
        <f t="shared" si="81"/>
        <v>0</v>
      </c>
      <c r="Q653" s="69">
        <v>0</v>
      </c>
      <c r="R653" s="88">
        <f>'Terms and Turnovers'!AO108</f>
        <v>0</v>
      </c>
      <c r="S653" s="161">
        <f t="shared" si="69"/>
        <v>0</v>
      </c>
      <c r="T653" s="120">
        <f t="shared" si="73"/>
        <v>0</v>
      </c>
      <c r="U653" s="69">
        <v>0</v>
      </c>
      <c r="V653" s="120">
        <f t="shared" si="82"/>
        <v>0</v>
      </c>
      <c r="W653" s="69">
        <v>0</v>
      </c>
      <c r="X653" s="120">
        <f t="shared" si="74"/>
        <v>0</v>
      </c>
      <c r="Y653" s="69">
        <v>0</v>
      </c>
      <c r="Z653" s="120">
        <f t="shared" si="75"/>
        <v>0</v>
      </c>
      <c r="AA653" s="69">
        <v>0</v>
      </c>
      <c r="AB653" s="120">
        <f t="shared" si="76"/>
        <v>0</v>
      </c>
      <c r="AC653" s="69">
        <v>0</v>
      </c>
      <c r="AD653" s="120">
        <f t="shared" si="77"/>
        <v>0</v>
      </c>
      <c r="AE653" s="69">
        <v>0</v>
      </c>
      <c r="AF653" s="88">
        <f>'Terms and Turnovers'!AT108</f>
        <v>0</v>
      </c>
      <c r="AG653" s="161">
        <f t="shared" si="70"/>
        <v>0</v>
      </c>
      <c r="AH653" s="158">
        <f t="shared" si="71"/>
        <v>0</v>
      </c>
      <c r="AI653" s="134">
        <f t="shared" si="72"/>
        <v>0</v>
      </c>
      <c r="AJ653" s="65"/>
      <c r="AV653" s="56"/>
    </row>
    <row r="654" spans="1:48" ht="13.5" customHeight="1" outlineLevel="1" thickBot="1">
      <c r="B654" s="82"/>
      <c r="C654" s="1232"/>
      <c r="D654" s="1232"/>
      <c r="E654" s="85">
        <f>'Terms and Turnovers'!$AX$12</f>
        <v>0</v>
      </c>
      <c r="F654" s="121">
        <f>$R654*G654</f>
        <v>0</v>
      </c>
      <c r="G654" s="72"/>
      <c r="H654" s="121">
        <f>$R654*I654</f>
        <v>0</v>
      </c>
      <c r="I654" s="69">
        <v>0</v>
      </c>
      <c r="J654" s="121">
        <f t="shared" si="78"/>
        <v>0</v>
      </c>
      <c r="K654" s="69">
        <v>0</v>
      </c>
      <c r="L654" s="121">
        <f t="shared" si="79"/>
        <v>0</v>
      </c>
      <c r="M654" s="69">
        <v>0</v>
      </c>
      <c r="N654" s="316">
        <f t="shared" si="80"/>
        <v>0</v>
      </c>
      <c r="O654" s="69">
        <v>0</v>
      </c>
      <c r="P654" s="121">
        <f t="shared" si="81"/>
        <v>0</v>
      </c>
      <c r="Q654" s="69">
        <v>0</v>
      </c>
      <c r="R654" s="89">
        <f>'Terms and Turnovers'!AY108</f>
        <v>0</v>
      </c>
      <c r="S654" s="162">
        <f t="shared" si="69"/>
        <v>0</v>
      </c>
      <c r="T654" s="121">
        <f t="shared" si="73"/>
        <v>0</v>
      </c>
      <c r="U654" s="69">
        <v>0</v>
      </c>
      <c r="V654" s="121">
        <f t="shared" si="82"/>
        <v>0</v>
      </c>
      <c r="W654" s="69">
        <v>0</v>
      </c>
      <c r="X654" s="121">
        <f t="shared" si="74"/>
        <v>0</v>
      </c>
      <c r="Y654" s="69">
        <v>0</v>
      </c>
      <c r="Z654" s="121">
        <f t="shared" si="75"/>
        <v>0</v>
      </c>
      <c r="AA654" s="69">
        <v>0</v>
      </c>
      <c r="AB654" s="121">
        <f t="shared" si="76"/>
        <v>0</v>
      </c>
      <c r="AC654" s="69">
        <v>0</v>
      </c>
      <c r="AD654" s="121">
        <f t="shared" si="77"/>
        <v>0</v>
      </c>
      <c r="AE654" s="69">
        <v>0</v>
      </c>
      <c r="AF654" s="89">
        <f>'Terms and Turnovers'!BD108</f>
        <v>0</v>
      </c>
      <c r="AG654" s="162">
        <f t="shared" si="70"/>
        <v>0</v>
      </c>
      <c r="AH654" s="159">
        <f t="shared" si="71"/>
        <v>0</v>
      </c>
      <c r="AI654" s="137">
        <f t="shared" si="72"/>
        <v>0</v>
      </c>
      <c r="AJ654" s="65"/>
      <c r="AV654" s="56"/>
    </row>
    <row r="655" spans="1:48" ht="13.5" customHeight="1" outlineLevel="1" thickBot="1">
      <c r="A655" s="119"/>
      <c r="B655" s="82"/>
      <c r="C655" s="425"/>
      <c r="D655" s="425"/>
      <c r="E655" s="426"/>
      <c r="F655" s="427">
        <f>SUM(F650:F654)</f>
        <v>0</v>
      </c>
      <c r="G655" s="428"/>
      <c r="H655" s="427">
        <f>SUM(H650:H654)</f>
        <v>0</v>
      </c>
      <c r="I655" s="69"/>
      <c r="J655" s="427">
        <f>SUM(J650:J654)</f>
        <v>0</v>
      </c>
      <c r="K655" s="69"/>
      <c r="L655" s="427">
        <f>SUM(L650:L654)</f>
        <v>0</v>
      </c>
      <c r="M655" s="69"/>
      <c r="N655" s="427">
        <f>SUM(N650:N654)</f>
        <v>0</v>
      </c>
      <c r="O655" s="69"/>
      <c r="P655" s="427">
        <f>SUM(P650:P654)</f>
        <v>0</v>
      </c>
      <c r="Q655" s="69"/>
      <c r="R655" s="429"/>
      <c r="S655" s="430"/>
      <c r="T655" s="427">
        <f>SUM(T650:T654)</f>
        <v>0</v>
      </c>
      <c r="U655" s="428"/>
      <c r="V655" s="427">
        <f>SUM(V650:V654)</f>
        <v>0</v>
      </c>
      <c r="W655" s="69"/>
      <c r="X655" s="427">
        <f>SUM(X650:X654)</f>
        <v>0</v>
      </c>
      <c r="Y655" s="69"/>
      <c r="Z655" s="427">
        <f>SUM(Z650:Z654)</f>
        <v>0</v>
      </c>
      <c r="AA655" s="69"/>
      <c r="AB655" s="427">
        <f>SUM(AB650:AB654)</f>
        <v>0</v>
      </c>
      <c r="AC655" s="69"/>
      <c r="AD655" s="427">
        <f>SUM(AD650:AD654)</f>
        <v>0</v>
      </c>
      <c r="AE655" s="69"/>
      <c r="AF655" s="429"/>
      <c r="AG655" s="430"/>
      <c r="AH655" s="431"/>
      <c r="AI655" s="432"/>
      <c r="AJ655" s="65"/>
      <c r="AV655" s="56"/>
    </row>
    <row r="656" spans="1:48" ht="13.5" customHeight="1" outlineLevel="1" thickBot="1">
      <c r="A656" s="119"/>
      <c r="B656" s="82"/>
      <c r="C656" s="1098" t="s">
        <v>484</v>
      </c>
      <c r="D656" s="433"/>
      <c r="E656" s="426"/>
      <c r="F656" s="700"/>
      <c r="G656" s="428"/>
      <c r="H656" s="700"/>
      <c r="I656" s="69"/>
      <c r="J656" s="700"/>
      <c r="K656" s="69"/>
      <c r="L656" s="700"/>
      <c r="M656" s="69"/>
      <c r="N656" s="700"/>
      <c r="O656" s="69"/>
      <c r="P656" s="700"/>
      <c r="Q656" s="69"/>
      <c r="R656" s="429"/>
      <c r="S656" s="430"/>
      <c r="T656" s="700"/>
      <c r="U656" s="428"/>
      <c r="V656" s="700"/>
      <c r="W656" s="69"/>
      <c r="X656" s="700"/>
      <c r="Y656" s="69">
        <f>W654*0.3+Y654*0.7</f>
        <v>0</v>
      </c>
      <c r="Z656" s="700"/>
      <c r="AA656" s="69">
        <f>Y654*0.3+AA654*0.7</f>
        <v>0</v>
      </c>
      <c r="AB656" s="700"/>
      <c r="AC656" s="69">
        <f>AA654*0.3+AC654*0.7</f>
        <v>0</v>
      </c>
      <c r="AD656" s="700"/>
      <c r="AE656" s="69"/>
      <c r="AF656" s="429"/>
      <c r="AG656" s="430"/>
      <c r="AH656" s="431"/>
      <c r="AI656" s="432"/>
      <c r="AJ656" s="65"/>
      <c r="AV656" s="56"/>
    </row>
    <row r="657" spans="1:48" ht="13.5" customHeight="1" outlineLevel="1" thickBot="1">
      <c r="B657" s="82">
        <f>B650+1</f>
        <v>94</v>
      </c>
      <c r="C657" s="1230">
        <f>'Terms and Turnovers'!C109</f>
        <v>0</v>
      </c>
      <c r="D657" s="1230">
        <f>'Terms and Turnovers'!D109</f>
        <v>0</v>
      </c>
      <c r="E657" s="83" t="str">
        <f>'Terms and Turnovers'!$J$12</f>
        <v>FLIP-FLOPS</v>
      </c>
      <c r="F657" s="121">
        <f>$R657*G657</f>
        <v>0</v>
      </c>
      <c r="G657" s="69"/>
      <c r="H657" s="316">
        <f>$R657*I657</f>
        <v>0</v>
      </c>
      <c r="I657" s="69">
        <v>0</v>
      </c>
      <c r="J657" s="118">
        <f t="shared" si="78"/>
        <v>0</v>
      </c>
      <c r="K657" s="69">
        <v>0</v>
      </c>
      <c r="L657" s="314">
        <f t="shared" si="79"/>
        <v>0</v>
      </c>
      <c r="M657" s="69">
        <v>0</v>
      </c>
      <c r="N657" s="314">
        <f t="shared" si="80"/>
        <v>0</v>
      </c>
      <c r="O657" s="69">
        <v>0</v>
      </c>
      <c r="P657" s="121">
        <f t="shared" si="81"/>
        <v>0</v>
      </c>
      <c r="Q657" s="69">
        <v>0</v>
      </c>
      <c r="R657" s="87">
        <f>'Terms and Turnovers'!K109</f>
        <v>0</v>
      </c>
      <c r="S657" s="160">
        <f t="shared" si="69"/>
        <v>0</v>
      </c>
      <c r="T657" s="118">
        <f t="shared" si="73"/>
        <v>0</v>
      </c>
      <c r="U657" s="69">
        <v>0</v>
      </c>
      <c r="V657" s="118">
        <f t="shared" si="82"/>
        <v>0</v>
      </c>
      <c r="W657" s="69">
        <v>0</v>
      </c>
      <c r="X657" s="118">
        <f t="shared" si="74"/>
        <v>0</v>
      </c>
      <c r="Y657" s="69">
        <v>0</v>
      </c>
      <c r="Z657" s="118">
        <f t="shared" si="75"/>
        <v>0</v>
      </c>
      <c r="AA657" s="69">
        <v>0</v>
      </c>
      <c r="AB657" s="118">
        <f t="shared" si="76"/>
        <v>0</v>
      </c>
      <c r="AC657" s="69">
        <v>0</v>
      </c>
      <c r="AD657" s="118">
        <f t="shared" si="77"/>
        <v>0</v>
      </c>
      <c r="AE657" s="69">
        <v>0</v>
      </c>
      <c r="AF657" s="87">
        <f>'Terms and Turnovers'!P109</f>
        <v>0</v>
      </c>
      <c r="AG657" s="160">
        <f t="shared" si="70"/>
        <v>0</v>
      </c>
      <c r="AH657" s="157">
        <f t="shared" si="71"/>
        <v>0</v>
      </c>
      <c r="AI657" s="131">
        <f t="shared" si="72"/>
        <v>0</v>
      </c>
      <c r="AJ657" s="65"/>
      <c r="AV657" s="56"/>
    </row>
    <row r="658" spans="1:48" ht="13.5" customHeight="1" outlineLevel="1" thickBot="1">
      <c r="B658" s="82"/>
      <c r="C658" s="1231"/>
      <c r="D658" s="1231"/>
      <c r="E658" s="84" t="str">
        <f>'Terms and Turnovers'!$T$12</f>
        <v>ORIGINALS</v>
      </c>
      <c r="F658" s="121">
        <f>$R658*G658</f>
        <v>0</v>
      </c>
      <c r="G658" s="723"/>
      <c r="H658" s="121">
        <f>$R658*I658</f>
        <v>0</v>
      </c>
      <c r="I658" s="69">
        <v>0</v>
      </c>
      <c r="J658" s="120">
        <f t="shared" si="78"/>
        <v>0</v>
      </c>
      <c r="K658" s="69">
        <v>0</v>
      </c>
      <c r="L658" s="120">
        <f t="shared" si="79"/>
        <v>0</v>
      </c>
      <c r="M658" s="69">
        <v>0</v>
      </c>
      <c r="N658" s="315">
        <f t="shared" si="80"/>
        <v>0</v>
      </c>
      <c r="O658" s="69">
        <v>0</v>
      </c>
      <c r="P658" s="121">
        <f t="shared" si="81"/>
        <v>0</v>
      </c>
      <c r="Q658" s="69">
        <v>0</v>
      </c>
      <c r="R658" s="88">
        <f>'Terms and Turnovers'!U109</f>
        <v>0</v>
      </c>
      <c r="S658" s="161">
        <f t="shared" si="69"/>
        <v>0</v>
      </c>
      <c r="T658" s="120">
        <f t="shared" si="73"/>
        <v>0</v>
      </c>
      <c r="U658" s="69">
        <v>0</v>
      </c>
      <c r="V658" s="120">
        <f t="shared" si="82"/>
        <v>0</v>
      </c>
      <c r="W658" s="69">
        <v>0</v>
      </c>
      <c r="X658" s="120">
        <f t="shared" si="74"/>
        <v>0</v>
      </c>
      <c r="Y658" s="69">
        <v>0</v>
      </c>
      <c r="Z658" s="120">
        <f t="shared" si="75"/>
        <v>0</v>
      </c>
      <c r="AA658" s="69">
        <v>0</v>
      </c>
      <c r="AB658" s="120">
        <f t="shared" si="76"/>
        <v>0</v>
      </c>
      <c r="AC658" s="69">
        <v>0</v>
      </c>
      <c r="AD658" s="120">
        <f t="shared" si="77"/>
        <v>0</v>
      </c>
      <c r="AE658" s="69">
        <v>0</v>
      </c>
      <c r="AF658" s="88">
        <f>'Terms and Turnovers'!Z109</f>
        <v>0</v>
      </c>
      <c r="AG658" s="161">
        <f t="shared" si="70"/>
        <v>0</v>
      </c>
      <c r="AH658" s="158">
        <f t="shared" si="71"/>
        <v>0</v>
      </c>
      <c r="AI658" s="134">
        <f t="shared" si="72"/>
        <v>0</v>
      </c>
      <c r="AJ658" s="65"/>
      <c r="AV658" s="56"/>
    </row>
    <row r="659" spans="1:48" ht="13.5" customHeight="1" outlineLevel="1" thickBot="1">
      <c r="B659" s="82"/>
      <c r="C659" s="1231"/>
      <c r="D659" s="1231"/>
      <c r="E659" s="84" t="str">
        <f>'Terms and Turnovers'!$AD$12</f>
        <v>ACCESSORIES</v>
      </c>
      <c r="F659" s="121">
        <f>$R659*G659</f>
        <v>0</v>
      </c>
      <c r="G659" s="723"/>
      <c r="H659" s="121">
        <f>$R659*I659</f>
        <v>0</v>
      </c>
      <c r="I659" s="69">
        <v>0</v>
      </c>
      <c r="J659" s="120">
        <f t="shared" si="78"/>
        <v>0</v>
      </c>
      <c r="K659" s="69">
        <v>0</v>
      </c>
      <c r="L659" s="120">
        <f t="shared" si="79"/>
        <v>0</v>
      </c>
      <c r="M659" s="69">
        <v>0</v>
      </c>
      <c r="N659" s="315">
        <f t="shared" si="80"/>
        <v>0</v>
      </c>
      <c r="O659" s="69">
        <v>0</v>
      </c>
      <c r="P659" s="121">
        <f t="shared" si="81"/>
        <v>0</v>
      </c>
      <c r="Q659" s="69">
        <v>0</v>
      </c>
      <c r="R659" s="88">
        <f>'Terms and Turnovers'!AE109</f>
        <v>0</v>
      </c>
      <c r="S659" s="161">
        <f t="shared" si="69"/>
        <v>0</v>
      </c>
      <c r="T659" s="120">
        <f t="shared" si="73"/>
        <v>0</v>
      </c>
      <c r="U659" s="69">
        <v>0</v>
      </c>
      <c r="V659" s="120">
        <f t="shared" si="82"/>
        <v>0</v>
      </c>
      <c r="W659" s="69">
        <v>0</v>
      </c>
      <c r="X659" s="120">
        <f t="shared" si="74"/>
        <v>0</v>
      </c>
      <c r="Y659" s="69">
        <v>0</v>
      </c>
      <c r="Z659" s="120">
        <f t="shared" si="75"/>
        <v>0</v>
      </c>
      <c r="AA659" s="69">
        <v>0</v>
      </c>
      <c r="AB659" s="120">
        <f t="shared" si="76"/>
        <v>0</v>
      </c>
      <c r="AC659" s="69">
        <v>0</v>
      </c>
      <c r="AD659" s="120">
        <f t="shared" si="77"/>
        <v>0</v>
      </c>
      <c r="AE659" s="69">
        <v>0</v>
      </c>
      <c r="AF659" s="88">
        <f>'Terms and Turnovers'!AJ109</f>
        <v>0</v>
      </c>
      <c r="AG659" s="161">
        <f t="shared" si="70"/>
        <v>0</v>
      </c>
      <c r="AH659" s="158">
        <f t="shared" si="71"/>
        <v>0</v>
      </c>
      <c r="AI659" s="134">
        <f t="shared" si="72"/>
        <v>0</v>
      </c>
      <c r="AJ659" s="65"/>
      <c r="AV659" s="56"/>
    </row>
    <row r="660" spans="1:48" ht="13.5" customHeight="1" outlineLevel="1" thickBot="1">
      <c r="B660" s="82"/>
      <c r="C660" s="1231"/>
      <c r="D660" s="1231"/>
      <c r="E660" s="84">
        <f>'Terms and Turnovers'!$AN$12</f>
        <v>0</v>
      </c>
      <c r="F660" s="121">
        <f>$R660*G660</f>
        <v>0</v>
      </c>
      <c r="G660" s="723"/>
      <c r="H660" s="121">
        <f>$R660*I660</f>
        <v>0</v>
      </c>
      <c r="I660" s="69">
        <v>0</v>
      </c>
      <c r="J660" s="120">
        <f t="shared" si="78"/>
        <v>0</v>
      </c>
      <c r="K660" s="69">
        <v>0</v>
      </c>
      <c r="L660" s="120">
        <f t="shared" si="79"/>
        <v>0</v>
      </c>
      <c r="M660" s="69">
        <v>0</v>
      </c>
      <c r="N660" s="315">
        <f t="shared" si="80"/>
        <v>0</v>
      </c>
      <c r="O660" s="69">
        <v>0</v>
      </c>
      <c r="P660" s="121">
        <f t="shared" si="81"/>
        <v>0</v>
      </c>
      <c r="Q660" s="69">
        <v>0</v>
      </c>
      <c r="R660" s="88">
        <f>'Terms and Turnovers'!AO109</f>
        <v>0</v>
      </c>
      <c r="S660" s="161">
        <f t="shared" si="69"/>
        <v>0</v>
      </c>
      <c r="T660" s="120">
        <f t="shared" si="73"/>
        <v>0</v>
      </c>
      <c r="U660" s="69">
        <v>0</v>
      </c>
      <c r="V660" s="120">
        <f t="shared" si="82"/>
        <v>0</v>
      </c>
      <c r="W660" s="69">
        <v>0</v>
      </c>
      <c r="X660" s="120">
        <f t="shared" si="74"/>
        <v>0</v>
      </c>
      <c r="Y660" s="69">
        <v>0</v>
      </c>
      <c r="Z660" s="120">
        <f t="shared" si="75"/>
        <v>0</v>
      </c>
      <c r="AA660" s="69">
        <v>0</v>
      </c>
      <c r="AB660" s="120">
        <f t="shared" si="76"/>
        <v>0</v>
      </c>
      <c r="AC660" s="69">
        <v>0</v>
      </c>
      <c r="AD660" s="120">
        <f t="shared" si="77"/>
        <v>0</v>
      </c>
      <c r="AE660" s="69">
        <v>0</v>
      </c>
      <c r="AF660" s="88">
        <f>'Terms and Turnovers'!AT109</f>
        <v>0</v>
      </c>
      <c r="AG660" s="161">
        <f t="shared" si="70"/>
        <v>0</v>
      </c>
      <c r="AH660" s="158">
        <f t="shared" si="71"/>
        <v>0</v>
      </c>
      <c r="AI660" s="134">
        <f t="shared" si="72"/>
        <v>0</v>
      </c>
      <c r="AJ660" s="65"/>
      <c r="AV660" s="56"/>
    </row>
    <row r="661" spans="1:48" ht="13.5" customHeight="1" outlineLevel="1" thickBot="1">
      <c r="B661" s="82"/>
      <c r="C661" s="1232"/>
      <c r="D661" s="1232"/>
      <c r="E661" s="85">
        <f>'Terms and Turnovers'!$AX$12</f>
        <v>0</v>
      </c>
      <c r="F661" s="121">
        <f>$R661*G661</f>
        <v>0</v>
      </c>
      <c r="G661" s="72"/>
      <c r="H661" s="121">
        <f>$R661*I661</f>
        <v>0</v>
      </c>
      <c r="I661" s="69">
        <v>0</v>
      </c>
      <c r="J661" s="121">
        <f t="shared" si="78"/>
        <v>0</v>
      </c>
      <c r="K661" s="69">
        <v>0</v>
      </c>
      <c r="L661" s="121">
        <f t="shared" si="79"/>
        <v>0</v>
      </c>
      <c r="M661" s="69">
        <v>0</v>
      </c>
      <c r="N661" s="316">
        <f t="shared" si="80"/>
        <v>0</v>
      </c>
      <c r="O661" s="69">
        <v>0</v>
      </c>
      <c r="P661" s="121">
        <f t="shared" si="81"/>
        <v>0</v>
      </c>
      <c r="Q661" s="69">
        <v>0</v>
      </c>
      <c r="R661" s="89">
        <f>'Terms and Turnovers'!AY109</f>
        <v>0</v>
      </c>
      <c r="S661" s="162">
        <f t="shared" si="69"/>
        <v>0</v>
      </c>
      <c r="T661" s="121">
        <f t="shared" si="73"/>
        <v>0</v>
      </c>
      <c r="U661" s="69">
        <v>0</v>
      </c>
      <c r="V661" s="121">
        <f t="shared" si="82"/>
        <v>0</v>
      </c>
      <c r="W661" s="69">
        <v>0</v>
      </c>
      <c r="X661" s="121">
        <f t="shared" si="74"/>
        <v>0</v>
      </c>
      <c r="Y661" s="69">
        <v>0</v>
      </c>
      <c r="Z661" s="121">
        <f t="shared" si="75"/>
        <v>0</v>
      </c>
      <c r="AA661" s="69">
        <v>0</v>
      </c>
      <c r="AB661" s="121">
        <f t="shared" si="76"/>
        <v>0</v>
      </c>
      <c r="AC661" s="69">
        <v>0</v>
      </c>
      <c r="AD661" s="121">
        <f t="shared" si="77"/>
        <v>0</v>
      </c>
      <c r="AE661" s="69">
        <v>0</v>
      </c>
      <c r="AF661" s="89">
        <f>'Terms and Turnovers'!BD109</f>
        <v>0</v>
      </c>
      <c r="AG661" s="162">
        <f t="shared" si="70"/>
        <v>0</v>
      </c>
      <c r="AH661" s="159">
        <f t="shared" si="71"/>
        <v>0</v>
      </c>
      <c r="AI661" s="137">
        <f t="shared" si="72"/>
        <v>0</v>
      </c>
      <c r="AJ661" s="65"/>
      <c r="AV661" s="56"/>
    </row>
    <row r="662" spans="1:48" ht="13.5" customHeight="1" outlineLevel="1" thickBot="1">
      <c r="A662" s="119"/>
      <c r="B662" s="82"/>
      <c r="C662" s="425"/>
      <c r="D662" s="425"/>
      <c r="E662" s="426"/>
      <c r="F662" s="427">
        <f>SUM(F657:F661)</f>
        <v>0</v>
      </c>
      <c r="G662" s="428"/>
      <c r="H662" s="427">
        <f>SUM(H657:H661)</f>
        <v>0</v>
      </c>
      <c r="I662" s="69"/>
      <c r="J662" s="427">
        <f>SUM(J657:J661)</f>
        <v>0</v>
      </c>
      <c r="K662" s="69"/>
      <c r="L662" s="427">
        <f>SUM(L657:L661)</f>
        <v>0</v>
      </c>
      <c r="M662" s="69"/>
      <c r="N662" s="427">
        <f>SUM(N657:N661)</f>
        <v>0</v>
      </c>
      <c r="O662" s="69"/>
      <c r="P662" s="427">
        <f>SUM(P657:P661)</f>
        <v>0</v>
      </c>
      <c r="Q662" s="69"/>
      <c r="R662" s="429"/>
      <c r="S662" s="430"/>
      <c r="T662" s="427">
        <f>SUM(T657:T661)</f>
        <v>0</v>
      </c>
      <c r="U662" s="428"/>
      <c r="V662" s="427">
        <f>SUM(V657:V661)</f>
        <v>0</v>
      </c>
      <c r="W662" s="69"/>
      <c r="X662" s="427">
        <f>SUM(X657:X661)</f>
        <v>0</v>
      </c>
      <c r="Y662" s="69"/>
      <c r="Z662" s="427">
        <f>SUM(Z657:Z661)</f>
        <v>0</v>
      </c>
      <c r="AA662" s="69"/>
      <c r="AB662" s="427">
        <f>SUM(AB657:AB661)</f>
        <v>0</v>
      </c>
      <c r="AC662" s="69"/>
      <c r="AD662" s="427">
        <f>SUM(AD657:AD661)</f>
        <v>0</v>
      </c>
      <c r="AE662" s="69"/>
      <c r="AF662" s="429"/>
      <c r="AG662" s="430"/>
      <c r="AH662" s="431"/>
      <c r="AI662" s="432"/>
      <c r="AJ662" s="65"/>
      <c r="AV662" s="56"/>
    </row>
    <row r="663" spans="1:48" ht="13.5" customHeight="1" outlineLevel="1" thickBot="1">
      <c r="A663" s="119"/>
      <c r="B663" s="82"/>
      <c r="C663" s="1098" t="s">
        <v>484</v>
      </c>
      <c r="D663" s="433"/>
      <c r="E663" s="426"/>
      <c r="F663" s="700"/>
      <c r="G663" s="428"/>
      <c r="H663" s="700"/>
      <c r="I663" s="69"/>
      <c r="J663" s="700"/>
      <c r="K663" s="69"/>
      <c r="L663" s="700"/>
      <c r="M663" s="69"/>
      <c r="N663" s="700"/>
      <c r="O663" s="69"/>
      <c r="P663" s="700"/>
      <c r="Q663" s="69"/>
      <c r="R663" s="429"/>
      <c r="S663" s="430"/>
      <c r="T663" s="700"/>
      <c r="U663" s="428"/>
      <c r="V663" s="700"/>
      <c r="W663" s="69"/>
      <c r="X663" s="700"/>
      <c r="Y663" s="69"/>
      <c r="Z663" s="700"/>
      <c r="AA663" s="69"/>
      <c r="AB663" s="700"/>
      <c r="AC663" s="69"/>
      <c r="AD663" s="700"/>
      <c r="AE663" s="69"/>
      <c r="AF663" s="429"/>
      <c r="AG663" s="430"/>
      <c r="AH663" s="431"/>
      <c r="AI663" s="432"/>
      <c r="AJ663" s="65"/>
      <c r="AV663" s="56"/>
    </row>
    <row r="664" spans="1:48" ht="13.5" customHeight="1" outlineLevel="1" thickBot="1">
      <c r="B664" s="82">
        <f>B657+1</f>
        <v>95</v>
      </c>
      <c r="C664" s="1230">
        <f>'Terms and Turnovers'!C110</f>
        <v>0</v>
      </c>
      <c r="D664" s="1230">
        <f>'Terms and Turnovers'!D110</f>
        <v>0</v>
      </c>
      <c r="E664" s="83" t="str">
        <f>'Terms and Turnovers'!$J$12</f>
        <v>FLIP-FLOPS</v>
      </c>
      <c r="F664" s="121">
        <f>$R664*G664</f>
        <v>0</v>
      </c>
      <c r="G664" s="69"/>
      <c r="H664" s="316">
        <f>$R664*I664</f>
        <v>0</v>
      </c>
      <c r="I664" s="69">
        <v>0</v>
      </c>
      <c r="J664" s="118">
        <f t="shared" si="78"/>
        <v>0</v>
      </c>
      <c r="K664" s="69">
        <v>0</v>
      </c>
      <c r="L664" s="314">
        <f t="shared" si="79"/>
        <v>0</v>
      </c>
      <c r="M664" s="69">
        <v>0</v>
      </c>
      <c r="N664" s="314">
        <f t="shared" si="80"/>
        <v>0</v>
      </c>
      <c r="O664" s="69">
        <v>0</v>
      </c>
      <c r="P664" s="121">
        <f t="shared" si="81"/>
        <v>0</v>
      </c>
      <c r="Q664" s="69">
        <v>0</v>
      </c>
      <c r="R664" s="87">
        <f>'Terms and Turnovers'!K110</f>
        <v>0</v>
      </c>
      <c r="S664" s="160">
        <f t="shared" si="69"/>
        <v>0</v>
      </c>
      <c r="T664" s="118">
        <f t="shared" si="73"/>
        <v>0</v>
      </c>
      <c r="U664" s="69">
        <v>0</v>
      </c>
      <c r="V664" s="118">
        <f t="shared" si="82"/>
        <v>0</v>
      </c>
      <c r="W664" s="69">
        <v>0</v>
      </c>
      <c r="X664" s="118">
        <f t="shared" si="74"/>
        <v>0</v>
      </c>
      <c r="Y664" s="69">
        <v>0</v>
      </c>
      <c r="Z664" s="118">
        <f t="shared" si="75"/>
        <v>0</v>
      </c>
      <c r="AA664" s="69">
        <v>0</v>
      </c>
      <c r="AB664" s="118">
        <f t="shared" si="76"/>
        <v>0</v>
      </c>
      <c r="AC664" s="69">
        <v>0</v>
      </c>
      <c r="AD664" s="118">
        <f t="shared" si="77"/>
        <v>0</v>
      </c>
      <c r="AE664" s="69">
        <v>0</v>
      </c>
      <c r="AF664" s="87">
        <f>'Terms and Turnovers'!P110</f>
        <v>0</v>
      </c>
      <c r="AG664" s="160">
        <f t="shared" si="70"/>
        <v>0</v>
      </c>
      <c r="AH664" s="157">
        <f t="shared" si="71"/>
        <v>0</v>
      </c>
      <c r="AI664" s="131">
        <f t="shared" si="72"/>
        <v>0</v>
      </c>
      <c r="AJ664" s="65"/>
      <c r="AV664" s="56"/>
    </row>
    <row r="665" spans="1:48" ht="13.5" customHeight="1" outlineLevel="1" thickBot="1">
      <c r="B665" s="82"/>
      <c r="C665" s="1231"/>
      <c r="D665" s="1231"/>
      <c r="E665" s="84" t="str">
        <f>'Terms and Turnovers'!$T$12</f>
        <v>ORIGINALS</v>
      </c>
      <c r="F665" s="121">
        <f>$R665*G665</f>
        <v>0</v>
      </c>
      <c r="G665" s="723"/>
      <c r="H665" s="121">
        <f>$R665*I665</f>
        <v>0</v>
      </c>
      <c r="I665" s="69">
        <v>0</v>
      </c>
      <c r="J665" s="120">
        <f t="shared" si="78"/>
        <v>0</v>
      </c>
      <c r="K665" s="69">
        <v>0</v>
      </c>
      <c r="L665" s="120">
        <f t="shared" si="79"/>
        <v>0</v>
      </c>
      <c r="M665" s="69">
        <v>0</v>
      </c>
      <c r="N665" s="315">
        <f t="shared" si="80"/>
        <v>0</v>
      </c>
      <c r="O665" s="69">
        <v>0</v>
      </c>
      <c r="P665" s="121">
        <f t="shared" si="81"/>
        <v>0</v>
      </c>
      <c r="Q665" s="69">
        <v>0</v>
      </c>
      <c r="R665" s="88">
        <f>'Terms and Turnovers'!U110</f>
        <v>0</v>
      </c>
      <c r="S665" s="161">
        <f t="shared" si="69"/>
        <v>0</v>
      </c>
      <c r="T665" s="120">
        <f t="shared" si="73"/>
        <v>0</v>
      </c>
      <c r="U665" s="69">
        <v>0</v>
      </c>
      <c r="V665" s="120">
        <f t="shared" si="82"/>
        <v>0</v>
      </c>
      <c r="W665" s="69">
        <v>0</v>
      </c>
      <c r="X665" s="120">
        <f t="shared" si="74"/>
        <v>0</v>
      </c>
      <c r="Y665" s="69">
        <v>0</v>
      </c>
      <c r="Z665" s="120">
        <f t="shared" si="75"/>
        <v>0</v>
      </c>
      <c r="AA665" s="69">
        <v>0</v>
      </c>
      <c r="AB665" s="120">
        <f t="shared" si="76"/>
        <v>0</v>
      </c>
      <c r="AC665" s="69">
        <v>0</v>
      </c>
      <c r="AD665" s="120">
        <f t="shared" si="77"/>
        <v>0</v>
      </c>
      <c r="AE665" s="69">
        <v>0</v>
      </c>
      <c r="AF665" s="88">
        <f>'Terms and Turnovers'!Z110</f>
        <v>0</v>
      </c>
      <c r="AG665" s="161">
        <f t="shared" si="70"/>
        <v>0</v>
      </c>
      <c r="AH665" s="158">
        <f t="shared" si="71"/>
        <v>0</v>
      </c>
      <c r="AI665" s="134">
        <f t="shared" si="72"/>
        <v>0</v>
      </c>
      <c r="AJ665" s="65"/>
      <c r="AV665" s="56"/>
    </row>
    <row r="666" spans="1:48" ht="13.5" customHeight="1" outlineLevel="1" thickBot="1">
      <c r="B666" s="82"/>
      <c r="C666" s="1231"/>
      <c r="D666" s="1231"/>
      <c r="E666" s="84" t="str">
        <f>'Terms and Turnovers'!$AD$12</f>
        <v>ACCESSORIES</v>
      </c>
      <c r="F666" s="121">
        <f>$R666*G666</f>
        <v>0</v>
      </c>
      <c r="G666" s="723"/>
      <c r="H666" s="121">
        <f>$R666*I666</f>
        <v>0</v>
      </c>
      <c r="I666" s="69">
        <v>0</v>
      </c>
      <c r="J666" s="120">
        <f t="shared" si="78"/>
        <v>0</v>
      </c>
      <c r="K666" s="69">
        <v>0</v>
      </c>
      <c r="L666" s="120">
        <f t="shared" si="79"/>
        <v>0</v>
      </c>
      <c r="M666" s="69">
        <v>0</v>
      </c>
      <c r="N666" s="315">
        <f t="shared" si="80"/>
        <v>0</v>
      </c>
      <c r="O666" s="69">
        <v>0</v>
      </c>
      <c r="P666" s="121">
        <f t="shared" si="81"/>
        <v>0</v>
      </c>
      <c r="Q666" s="69">
        <v>0</v>
      </c>
      <c r="R666" s="88">
        <f>'Terms and Turnovers'!AE110</f>
        <v>0</v>
      </c>
      <c r="S666" s="161">
        <f t="shared" si="69"/>
        <v>0</v>
      </c>
      <c r="T666" s="120">
        <f t="shared" si="73"/>
        <v>0</v>
      </c>
      <c r="U666" s="69">
        <v>0</v>
      </c>
      <c r="V666" s="120">
        <f t="shared" si="82"/>
        <v>0</v>
      </c>
      <c r="W666" s="69">
        <v>0</v>
      </c>
      <c r="X666" s="120">
        <f t="shared" si="74"/>
        <v>0</v>
      </c>
      <c r="Y666" s="69">
        <v>0</v>
      </c>
      <c r="Z666" s="120">
        <f t="shared" si="75"/>
        <v>0</v>
      </c>
      <c r="AA666" s="69">
        <v>0</v>
      </c>
      <c r="AB666" s="120">
        <f t="shared" si="76"/>
        <v>0</v>
      </c>
      <c r="AC666" s="69">
        <v>0</v>
      </c>
      <c r="AD666" s="120">
        <f t="shared" si="77"/>
        <v>0</v>
      </c>
      <c r="AE666" s="69">
        <v>0</v>
      </c>
      <c r="AF666" s="88">
        <f>'Terms and Turnovers'!AJ110</f>
        <v>0</v>
      </c>
      <c r="AG666" s="161">
        <f t="shared" si="70"/>
        <v>0</v>
      </c>
      <c r="AH666" s="158">
        <f t="shared" si="71"/>
        <v>0</v>
      </c>
      <c r="AI666" s="134">
        <f t="shared" si="72"/>
        <v>0</v>
      </c>
      <c r="AJ666" s="65"/>
      <c r="AV666" s="56"/>
    </row>
    <row r="667" spans="1:48" ht="13.5" customHeight="1" outlineLevel="1" thickBot="1">
      <c r="B667" s="82"/>
      <c r="C667" s="1231"/>
      <c r="D667" s="1231"/>
      <c r="E667" s="84">
        <f>'Terms and Turnovers'!$AN$12</f>
        <v>0</v>
      </c>
      <c r="F667" s="121">
        <f>$R667*G667</f>
        <v>0</v>
      </c>
      <c r="G667" s="723"/>
      <c r="H667" s="121">
        <f>$R667*I667</f>
        <v>0</v>
      </c>
      <c r="I667" s="69">
        <v>0</v>
      </c>
      <c r="J667" s="120">
        <f t="shared" si="78"/>
        <v>0</v>
      </c>
      <c r="K667" s="69">
        <v>0</v>
      </c>
      <c r="L667" s="120">
        <f t="shared" si="79"/>
        <v>0</v>
      </c>
      <c r="M667" s="69">
        <v>0</v>
      </c>
      <c r="N667" s="315">
        <f t="shared" si="80"/>
        <v>0</v>
      </c>
      <c r="O667" s="69">
        <v>0</v>
      </c>
      <c r="P667" s="121">
        <f t="shared" si="81"/>
        <v>0</v>
      </c>
      <c r="Q667" s="69">
        <v>0</v>
      </c>
      <c r="R667" s="88">
        <f>'Terms and Turnovers'!AO110</f>
        <v>0</v>
      </c>
      <c r="S667" s="161">
        <f t="shared" si="69"/>
        <v>0</v>
      </c>
      <c r="T667" s="120">
        <f t="shared" si="73"/>
        <v>0</v>
      </c>
      <c r="U667" s="69">
        <v>0</v>
      </c>
      <c r="V667" s="120">
        <f t="shared" si="82"/>
        <v>0</v>
      </c>
      <c r="W667" s="69">
        <v>0</v>
      </c>
      <c r="X667" s="120">
        <f t="shared" si="74"/>
        <v>0</v>
      </c>
      <c r="Y667" s="69">
        <v>0</v>
      </c>
      <c r="Z667" s="120">
        <f t="shared" si="75"/>
        <v>0</v>
      </c>
      <c r="AA667" s="69">
        <v>0</v>
      </c>
      <c r="AB667" s="120">
        <f t="shared" si="76"/>
        <v>0</v>
      </c>
      <c r="AC667" s="69">
        <v>0</v>
      </c>
      <c r="AD667" s="120">
        <f t="shared" si="77"/>
        <v>0</v>
      </c>
      <c r="AE667" s="69">
        <v>0</v>
      </c>
      <c r="AF667" s="88">
        <f>'Terms and Turnovers'!AT110</f>
        <v>0</v>
      </c>
      <c r="AG667" s="161">
        <f t="shared" si="70"/>
        <v>0</v>
      </c>
      <c r="AH667" s="158">
        <f t="shared" si="71"/>
        <v>0</v>
      </c>
      <c r="AI667" s="134">
        <f t="shared" si="72"/>
        <v>0</v>
      </c>
      <c r="AJ667" s="65"/>
      <c r="AV667" s="56"/>
    </row>
    <row r="668" spans="1:48" ht="13.5" customHeight="1" outlineLevel="1" thickBot="1">
      <c r="B668" s="82"/>
      <c r="C668" s="1232"/>
      <c r="D668" s="1232"/>
      <c r="E668" s="85">
        <f>'Terms and Turnovers'!$AX$12</f>
        <v>0</v>
      </c>
      <c r="F668" s="121">
        <f>$R668*G668</f>
        <v>0</v>
      </c>
      <c r="G668" s="72"/>
      <c r="H668" s="121">
        <f>$R668*I668</f>
        <v>0</v>
      </c>
      <c r="I668" s="69">
        <v>0</v>
      </c>
      <c r="J668" s="121">
        <f t="shared" si="78"/>
        <v>0</v>
      </c>
      <c r="K668" s="69">
        <v>0</v>
      </c>
      <c r="L668" s="121">
        <f t="shared" si="79"/>
        <v>0</v>
      </c>
      <c r="M668" s="69">
        <v>0</v>
      </c>
      <c r="N668" s="316">
        <f t="shared" si="80"/>
        <v>0</v>
      </c>
      <c r="O668" s="69">
        <v>0</v>
      </c>
      <c r="P668" s="121">
        <f t="shared" si="81"/>
        <v>0</v>
      </c>
      <c r="Q668" s="69">
        <v>0</v>
      </c>
      <c r="R668" s="89">
        <f>'Terms and Turnovers'!AY110</f>
        <v>0</v>
      </c>
      <c r="S668" s="162">
        <f t="shared" si="69"/>
        <v>0</v>
      </c>
      <c r="T668" s="121">
        <f t="shared" si="73"/>
        <v>0</v>
      </c>
      <c r="U668" s="69">
        <v>0</v>
      </c>
      <c r="V668" s="121">
        <f t="shared" si="82"/>
        <v>0</v>
      </c>
      <c r="W668" s="69">
        <v>0</v>
      </c>
      <c r="X668" s="121">
        <f t="shared" si="74"/>
        <v>0</v>
      </c>
      <c r="Y668" s="69">
        <v>0</v>
      </c>
      <c r="Z668" s="121">
        <f t="shared" si="75"/>
        <v>0</v>
      </c>
      <c r="AA668" s="69">
        <v>0</v>
      </c>
      <c r="AB668" s="121">
        <f t="shared" si="76"/>
        <v>0</v>
      </c>
      <c r="AC668" s="69">
        <v>0</v>
      </c>
      <c r="AD668" s="121">
        <f t="shared" si="77"/>
        <v>0</v>
      </c>
      <c r="AE668" s="69">
        <v>0</v>
      </c>
      <c r="AF668" s="89">
        <f>'Terms and Turnovers'!BD110</f>
        <v>0</v>
      </c>
      <c r="AG668" s="162">
        <f t="shared" si="70"/>
        <v>0</v>
      </c>
      <c r="AH668" s="159">
        <f t="shared" si="71"/>
        <v>0</v>
      </c>
      <c r="AI668" s="137">
        <f t="shared" si="72"/>
        <v>0</v>
      </c>
      <c r="AJ668" s="65"/>
      <c r="AV668" s="56"/>
    </row>
    <row r="669" spans="1:48" ht="13.5" customHeight="1" outlineLevel="1" thickBot="1">
      <c r="A669" s="119"/>
      <c r="B669" s="82"/>
      <c r="C669" s="425"/>
      <c r="D669" s="425"/>
      <c r="E669" s="426"/>
      <c r="F669" s="427">
        <f>SUM(F664:F668)</f>
        <v>0</v>
      </c>
      <c r="G669" s="428"/>
      <c r="H669" s="427">
        <f>SUM(H664:H668)</f>
        <v>0</v>
      </c>
      <c r="I669" s="69"/>
      <c r="J669" s="427">
        <f>SUM(J664:J668)</f>
        <v>0</v>
      </c>
      <c r="K669" s="69"/>
      <c r="L669" s="427">
        <f>SUM(L664:L668)</f>
        <v>0</v>
      </c>
      <c r="M669" s="69"/>
      <c r="N669" s="427">
        <f>SUM(N664:N668)</f>
        <v>0</v>
      </c>
      <c r="O669" s="69"/>
      <c r="P669" s="427">
        <f>SUM(P664:P668)</f>
        <v>0</v>
      </c>
      <c r="Q669" s="69"/>
      <c r="R669" s="429"/>
      <c r="S669" s="430"/>
      <c r="T669" s="427">
        <f>SUM(T664:T668)</f>
        <v>0</v>
      </c>
      <c r="U669" s="428"/>
      <c r="V669" s="427">
        <f>SUM(V664:V668)</f>
        <v>0</v>
      </c>
      <c r="W669" s="69"/>
      <c r="X669" s="427">
        <f>SUM(X664:X668)</f>
        <v>0</v>
      </c>
      <c r="Y669" s="69"/>
      <c r="Z669" s="427">
        <f>SUM(Z664:Z668)</f>
        <v>0</v>
      </c>
      <c r="AA669" s="69"/>
      <c r="AB669" s="427">
        <f>SUM(AB664:AB668)</f>
        <v>0</v>
      </c>
      <c r="AC669" s="69"/>
      <c r="AD669" s="427">
        <f>SUM(AD664:AD668)</f>
        <v>0</v>
      </c>
      <c r="AE669" s="69"/>
      <c r="AF669" s="429"/>
      <c r="AG669" s="430"/>
      <c r="AH669" s="431"/>
      <c r="AI669" s="432"/>
      <c r="AJ669" s="65"/>
      <c r="AV669" s="56"/>
    </row>
    <row r="670" spans="1:48" ht="13.5" customHeight="1" outlineLevel="1" thickBot="1">
      <c r="A670" s="119"/>
      <c r="B670" s="82"/>
      <c r="C670" s="1098" t="s">
        <v>484</v>
      </c>
      <c r="D670" s="433"/>
      <c r="E670" s="426"/>
      <c r="F670" s="700"/>
      <c r="G670" s="428"/>
      <c r="H670" s="700"/>
      <c r="I670" s="69"/>
      <c r="J670" s="700"/>
      <c r="K670" s="69"/>
      <c r="L670" s="700"/>
      <c r="M670" s="69"/>
      <c r="N670" s="700"/>
      <c r="O670" s="69"/>
      <c r="P670" s="700"/>
      <c r="Q670" s="69"/>
      <c r="R670" s="429"/>
      <c r="S670" s="430"/>
      <c r="T670" s="700"/>
      <c r="U670" s="428"/>
      <c r="V670" s="700"/>
      <c r="W670" s="69"/>
      <c r="X670" s="700"/>
      <c r="Y670" s="69">
        <f>W668*0.3+Y668*0.7</f>
        <v>0</v>
      </c>
      <c r="Z670" s="700"/>
      <c r="AA670" s="69">
        <f>Y668*0.3+AA668*0.7</f>
        <v>0</v>
      </c>
      <c r="AB670" s="700"/>
      <c r="AC670" s="69">
        <f>AA668*0.3+AC668*0.7</f>
        <v>0</v>
      </c>
      <c r="AD670" s="700"/>
      <c r="AE670" s="69"/>
      <c r="AF670" s="429"/>
      <c r="AG670" s="430"/>
      <c r="AH670" s="431"/>
      <c r="AI670" s="432"/>
      <c r="AJ670" s="65"/>
      <c r="AV670" s="56"/>
    </row>
    <row r="671" spans="1:48" ht="13.5" customHeight="1" outlineLevel="1" thickBot="1">
      <c r="B671" s="82">
        <f>B664+1</f>
        <v>96</v>
      </c>
      <c r="C671" s="1230">
        <f>'Terms and Turnovers'!C111</f>
        <v>0</v>
      </c>
      <c r="D671" s="1230">
        <f>'Terms and Turnovers'!D111</f>
        <v>0</v>
      </c>
      <c r="E671" s="83" t="str">
        <f>'Terms and Turnovers'!$J$12</f>
        <v>FLIP-FLOPS</v>
      </c>
      <c r="F671" s="121">
        <f>$R671*G671</f>
        <v>0</v>
      </c>
      <c r="G671" s="69"/>
      <c r="H671" s="316">
        <f>$R671*I671</f>
        <v>0</v>
      </c>
      <c r="I671" s="69">
        <v>0</v>
      </c>
      <c r="J671" s="118">
        <f t="shared" si="78"/>
        <v>0</v>
      </c>
      <c r="K671" s="69">
        <v>0</v>
      </c>
      <c r="L671" s="314">
        <f t="shared" si="79"/>
        <v>0</v>
      </c>
      <c r="M671" s="69">
        <v>0</v>
      </c>
      <c r="N671" s="314">
        <f t="shared" si="80"/>
        <v>0</v>
      </c>
      <c r="O671" s="69">
        <v>0</v>
      </c>
      <c r="P671" s="121">
        <f t="shared" si="81"/>
        <v>0</v>
      </c>
      <c r="Q671" s="69">
        <v>0</v>
      </c>
      <c r="R671" s="87">
        <f>'Terms and Turnovers'!K111</f>
        <v>0</v>
      </c>
      <c r="S671" s="160">
        <f t="shared" si="69"/>
        <v>0</v>
      </c>
      <c r="T671" s="118">
        <f t="shared" si="73"/>
        <v>0</v>
      </c>
      <c r="U671" s="69">
        <v>0</v>
      </c>
      <c r="V671" s="118">
        <f t="shared" si="82"/>
        <v>0</v>
      </c>
      <c r="W671" s="69">
        <v>0</v>
      </c>
      <c r="X671" s="118">
        <f t="shared" si="74"/>
        <v>0</v>
      </c>
      <c r="Y671" s="69">
        <v>0</v>
      </c>
      <c r="Z671" s="118">
        <f t="shared" si="75"/>
        <v>0</v>
      </c>
      <c r="AA671" s="69">
        <v>0</v>
      </c>
      <c r="AB671" s="118">
        <f t="shared" si="76"/>
        <v>0</v>
      </c>
      <c r="AC671" s="69">
        <v>0</v>
      </c>
      <c r="AD671" s="118">
        <f t="shared" si="77"/>
        <v>0</v>
      </c>
      <c r="AE671" s="69">
        <v>0</v>
      </c>
      <c r="AF671" s="87">
        <f>'Terms and Turnovers'!P111</f>
        <v>0</v>
      </c>
      <c r="AG671" s="160">
        <f t="shared" si="70"/>
        <v>0</v>
      </c>
      <c r="AH671" s="157">
        <f t="shared" si="71"/>
        <v>0</v>
      </c>
      <c r="AI671" s="131">
        <f t="shared" si="72"/>
        <v>0</v>
      </c>
      <c r="AJ671" s="65"/>
      <c r="AV671" s="56"/>
    </row>
    <row r="672" spans="1:48" ht="13.5" customHeight="1" outlineLevel="1" thickBot="1">
      <c r="B672" s="82"/>
      <c r="C672" s="1231"/>
      <c r="D672" s="1231"/>
      <c r="E672" s="84" t="str">
        <f>'Terms and Turnovers'!$T$12</f>
        <v>ORIGINALS</v>
      </c>
      <c r="F672" s="121">
        <f>$R672*G672</f>
        <v>0</v>
      </c>
      <c r="G672" s="723"/>
      <c r="H672" s="121">
        <f>$R672*I672</f>
        <v>0</v>
      </c>
      <c r="I672" s="69">
        <v>0</v>
      </c>
      <c r="J672" s="120">
        <f t="shared" si="78"/>
        <v>0</v>
      </c>
      <c r="K672" s="69">
        <v>0</v>
      </c>
      <c r="L672" s="120">
        <f t="shared" si="79"/>
        <v>0</v>
      </c>
      <c r="M672" s="69">
        <v>0</v>
      </c>
      <c r="N672" s="315">
        <f t="shared" si="80"/>
        <v>0</v>
      </c>
      <c r="O672" s="69">
        <v>0</v>
      </c>
      <c r="P672" s="121">
        <f t="shared" si="81"/>
        <v>0</v>
      </c>
      <c r="Q672" s="69">
        <v>0</v>
      </c>
      <c r="R672" s="88">
        <f>'Terms and Turnovers'!U111</f>
        <v>0</v>
      </c>
      <c r="S672" s="161">
        <f t="shared" si="69"/>
        <v>0</v>
      </c>
      <c r="T672" s="120">
        <f t="shared" si="73"/>
        <v>0</v>
      </c>
      <c r="U672" s="69">
        <v>0</v>
      </c>
      <c r="V672" s="120">
        <f t="shared" si="82"/>
        <v>0</v>
      </c>
      <c r="W672" s="69">
        <v>0</v>
      </c>
      <c r="X672" s="120">
        <f t="shared" si="74"/>
        <v>0</v>
      </c>
      <c r="Y672" s="69">
        <v>0</v>
      </c>
      <c r="Z672" s="120">
        <f t="shared" si="75"/>
        <v>0</v>
      </c>
      <c r="AA672" s="69">
        <v>0</v>
      </c>
      <c r="AB672" s="120">
        <f t="shared" si="76"/>
        <v>0</v>
      </c>
      <c r="AC672" s="69">
        <v>0</v>
      </c>
      <c r="AD672" s="120">
        <f t="shared" si="77"/>
        <v>0</v>
      </c>
      <c r="AE672" s="69">
        <v>0</v>
      </c>
      <c r="AF672" s="88">
        <f>'Terms and Turnovers'!Z111</f>
        <v>0</v>
      </c>
      <c r="AG672" s="161">
        <f t="shared" si="70"/>
        <v>0</v>
      </c>
      <c r="AH672" s="158">
        <f t="shared" si="71"/>
        <v>0</v>
      </c>
      <c r="AI672" s="134">
        <f t="shared" si="72"/>
        <v>0</v>
      </c>
      <c r="AJ672" s="65"/>
      <c r="AV672" s="56"/>
    </row>
    <row r="673" spans="1:48" ht="13.5" customHeight="1" outlineLevel="1" thickBot="1">
      <c r="B673" s="82"/>
      <c r="C673" s="1231"/>
      <c r="D673" s="1231"/>
      <c r="E673" s="84" t="str">
        <f>'Terms and Turnovers'!$AD$12</f>
        <v>ACCESSORIES</v>
      </c>
      <c r="F673" s="121">
        <f>$R673*G673</f>
        <v>0</v>
      </c>
      <c r="G673" s="723"/>
      <c r="H673" s="121">
        <f>$R673*I673</f>
        <v>0</v>
      </c>
      <c r="I673" s="69">
        <v>0</v>
      </c>
      <c r="J673" s="120">
        <f t="shared" si="78"/>
        <v>0</v>
      </c>
      <c r="K673" s="69">
        <v>0</v>
      </c>
      <c r="L673" s="120">
        <f t="shared" si="79"/>
        <v>0</v>
      </c>
      <c r="M673" s="69">
        <v>0</v>
      </c>
      <c r="N673" s="315">
        <f t="shared" si="80"/>
        <v>0</v>
      </c>
      <c r="O673" s="69">
        <v>0</v>
      </c>
      <c r="P673" s="121">
        <f t="shared" si="81"/>
        <v>0</v>
      </c>
      <c r="Q673" s="69">
        <v>0</v>
      </c>
      <c r="R673" s="88">
        <f>'Terms and Turnovers'!AE111</f>
        <v>0</v>
      </c>
      <c r="S673" s="161">
        <f t="shared" si="69"/>
        <v>0</v>
      </c>
      <c r="T673" s="120">
        <f t="shared" si="73"/>
        <v>0</v>
      </c>
      <c r="U673" s="69">
        <v>0</v>
      </c>
      <c r="V673" s="120">
        <f t="shared" si="82"/>
        <v>0</v>
      </c>
      <c r="W673" s="69">
        <v>0</v>
      </c>
      <c r="X673" s="120">
        <f t="shared" si="74"/>
        <v>0</v>
      </c>
      <c r="Y673" s="69">
        <v>0</v>
      </c>
      <c r="Z673" s="120">
        <f t="shared" si="75"/>
        <v>0</v>
      </c>
      <c r="AA673" s="69">
        <v>0</v>
      </c>
      <c r="AB673" s="120">
        <f t="shared" si="76"/>
        <v>0</v>
      </c>
      <c r="AC673" s="69">
        <v>0</v>
      </c>
      <c r="AD673" s="120">
        <f t="shared" si="77"/>
        <v>0</v>
      </c>
      <c r="AE673" s="69">
        <v>0</v>
      </c>
      <c r="AF673" s="88">
        <f>'Terms and Turnovers'!AJ111</f>
        <v>0</v>
      </c>
      <c r="AG673" s="161">
        <f t="shared" si="70"/>
        <v>0</v>
      </c>
      <c r="AH673" s="158">
        <f t="shared" si="71"/>
        <v>0</v>
      </c>
      <c r="AI673" s="134">
        <f t="shared" si="72"/>
        <v>0</v>
      </c>
      <c r="AJ673" s="65"/>
      <c r="AV673" s="56"/>
    </row>
    <row r="674" spans="1:48" ht="13.5" customHeight="1" outlineLevel="1" thickBot="1">
      <c r="B674" s="82"/>
      <c r="C674" s="1231"/>
      <c r="D674" s="1231"/>
      <c r="E674" s="84">
        <f>'Terms and Turnovers'!$AN$12</f>
        <v>0</v>
      </c>
      <c r="F674" s="121">
        <f>$R674*G674</f>
        <v>0</v>
      </c>
      <c r="G674" s="723"/>
      <c r="H674" s="121">
        <f>$R674*I674</f>
        <v>0</v>
      </c>
      <c r="I674" s="69">
        <v>0</v>
      </c>
      <c r="J674" s="120">
        <f t="shared" si="78"/>
        <v>0</v>
      </c>
      <c r="K674" s="69">
        <v>0</v>
      </c>
      <c r="L674" s="120">
        <f t="shared" si="79"/>
        <v>0</v>
      </c>
      <c r="M674" s="69">
        <v>0</v>
      </c>
      <c r="N674" s="315">
        <f t="shared" si="80"/>
        <v>0</v>
      </c>
      <c r="O674" s="69">
        <v>0</v>
      </c>
      <c r="P674" s="121">
        <f t="shared" si="81"/>
        <v>0</v>
      </c>
      <c r="Q674" s="69">
        <v>0</v>
      </c>
      <c r="R674" s="88">
        <f>'Terms and Turnovers'!AO111</f>
        <v>0</v>
      </c>
      <c r="S674" s="161">
        <f t="shared" si="69"/>
        <v>0</v>
      </c>
      <c r="T674" s="120">
        <f t="shared" si="73"/>
        <v>0</v>
      </c>
      <c r="U674" s="69">
        <v>0</v>
      </c>
      <c r="V674" s="120">
        <f t="shared" si="82"/>
        <v>0</v>
      </c>
      <c r="W674" s="69">
        <v>0</v>
      </c>
      <c r="X674" s="120">
        <f t="shared" si="74"/>
        <v>0</v>
      </c>
      <c r="Y674" s="69">
        <v>0</v>
      </c>
      <c r="Z674" s="120">
        <f t="shared" si="75"/>
        <v>0</v>
      </c>
      <c r="AA674" s="69">
        <v>0</v>
      </c>
      <c r="AB674" s="120">
        <f t="shared" si="76"/>
        <v>0</v>
      </c>
      <c r="AC674" s="69">
        <v>0</v>
      </c>
      <c r="AD674" s="120">
        <f t="shared" si="77"/>
        <v>0</v>
      </c>
      <c r="AE674" s="69">
        <v>0</v>
      </c>
      <c r="AF674" s="88">
        <f>'Terms and Turnovers'!AT111</f>
        <v>0</v>
      </c>
      <c r="AG674" s="161">
        <f t="shared" si="70"/>
        <v>0</v>
      </c>
      <c r="AH674" s="158">
        <f t="shared" si="71"/>
        <v>0</v>
      </c>
      <c r="AI674" s="134">
        <f t="shared" si="72"/>
        <v>0</v>
      </c>
      <c r="AJ674" s="65"/>
      <c r="AV674" s="56"/>
    </row>
    <row r="675" spans="1:48" ht="13.5" customHeight="1" outlineLevel="1" thickBot="1">
      <c r="B675" s="82"/>
      <c r="C675" s="1232"/>
      <c r="D675" s="1232"/>
      <c r="E675" s="85">
        <f>'Terms and Turnovers'!$AX$12</f>
        <v>0</v>
      </c>
      <c r="F675" s="121">
        <f>$R675*G675</f>
        <v>0</v>
      </c>
      <c r="G675" s="72"/>
      <c r="H675" s="121">
        <f>$R675*I675</f>
        <v>0</v>
      </c>
      <c r="I675" s="69">
        <v>0</v>
      </c>
      <c r="J675" s="121">
        <f t="shared" si="78"/>
        <v>0</v>
      </c>
      <c r="K675" s="69">
        <v>0</v>
      </c>
      <c r="L675" s="121">
        <f t="shared" si="79"/>
        <v>0</v>
      </c>
      <c r="M675" s="69">
        <v>0</v>
      </c>
      <c r="N675" s="316">
        <f t="shared" si="80"/>
        <v>0</v>
      </c>
      <c r="O675" s="69">
        <v>0</v>
      </c>
      <c r="P675" s="121">
        <f t="shared" si="81"/>
        <v>0</v>
      </c>
      <c r="Q675" s="69">
        <v>0</v>
      </c>
      <c r="R675" s="89">
        <f>'Terms and Turnovers'!AY111</f>
        <v>0</v>
      </c>
      <c r="S675" s="162">
        <f t="shared" si="69"/>
        <v>0</v>
      </c>
      <c r="T675" s="121">
        <f t="shared" si="73"/>
        <v>0</v>
      </c>
      <c r="U675" s="69">
        <v>0</v>
      </c>
      <c r="V675" s="121">
        <f t="shared" si="82"/>
        <v>0</v>
      </c>
      <c r="W675" s="69">
        <v>0</v>
      </c>
      <c r="X675" s="121">
        <f t="shared" si="74"/>
        <v>0</v>
      </c>
      <c r="Y675" s="69">
        <v>0</v>
      </c>
      <c r="Z675" s="121">
        <f t="shared" si="75"/>
        <v>0</v>
      </c>
      <c r="AA675" s="69">
        <v>0</v>
      </c>
      <c r="AB675" s="121">
        <f t="shared" si="76"/>
        <v>0</v>
      </c>
      <c r="AC675" s="69">
        <v>0</v>
      </c>
      <c r="AD675" s="121">
        <f t="shared" si="77"/>
        <v>0</v>
      </c>
      <c r="AE675" s="69">
        <v>0</v>
      </c>
      <c r="AF675" s="89">
        <f>'Terms and Turnovers'!BD111</f>
        <v>0</v>
      </c>
      <c r="AG675" s="162">
        <f t="shared" si="70"/>
        <v>0</v>
      </c>
      <c r="AH675" s="159">
        <f t="shared" si="71"/>
        <v>0</v>
      </c>
      <c r="AI675" s="137">
        <f t="shared" si="72"/>
        <v>0</v>
      </c>
      <c r="AJ675" s="65"/>
      <c r="AV675" s="56"/>
    </row>
    <row r="676" spans="1:48" ht="13.5" customHeight="1" outlineLevel="1" thickBot="1">
      <c r="A676" s="119"/>
      <c r="B676" s="82"/>
      <c r="C676" s="425"/>
      <c r="D676" s="425"/>
      <c r="E676" s="426"/>
      <c r="F676" s="427">
        <f>SUM(F671:F675)</f>
        <v>0</v>
      </c>
      <c r="G676" s="428"/>
      <c r="H676" s="427">
        <f>SUM(H671:H675)</f>
        <v>0</v>
      </c>
      <c r="I676" s="69"/>
      <c r="J676" s="427">
        <f>SUM(J671:J675)</f>
        <v>0</v>
      </c>
      <c r="K676" s="69"/>
      <c r="L676" s="427">
        <f>SUM(L671:L675)</f>
        <v>0</v>
      </c>
      <c r="M676" s="69"/>
      <c r="N676" s="427">
        <f>SUM(N671:N675)</f>
        <v>0</v>
      </c>
      <c r="O676" s="69"/>
      <c r="P676" s="427">
        <f>SUM(P671:P675)</f>
        <v>0</v>
      </c>
      <c r="Q676" s="69"/>
      <c r="R676" s="429"/>
      <c r="S676" s="430"/>
      <c r="T676" s="427">
        <f>SUM(T671:T675)</f>
        <v>0</v>
      </c>
      <c r="U676" s="428"/>
      <c r="V676" s="427">
        <f>SUM(V671:V675)</f>
        <v>0</v>
      </c>
      <c r="W676" s="69"/>
      <c r="X676" s="427">
        <f>SUM(X671:X675)</f>
        <v>0</v>
      </c>
      <c r="Y676" s="69"/>
      <c r="Z676" s="427">
        <f>SUM(Z671:Z675)</f>
        <v>0</v>
      </c>
      <c r="AA676" s="69"/>
      <c r="AB676" s="427">
        <f>SUM(AB671:AB675)</f>
        <v>0</v>
      </c>
      <c r="AC676" s="69"/>
      <c r="AD676" s="427">
        <f>SUM(AD671:AD675)</f>
        <v>0</v>
      </c>
      <c r="AE676" s="69"/>
      <c r="AF676" s="429"/>
      <c r="AG676" s="430"/>
      <c r="AH676" s="431"/>
      <c r="AI676" s="432"/>
      <c r="AJ676" s="65"/>
      <c r="AV676" s="56"/>
    </row>
    <row r="677" spans="1:48" ht="13.5" customHeight="1" outlineLevel="1" thickBot="1">
      <c r="A677" s="119"/>
      <c r="B677" s="82"/>
      <c r="C677" s="1098" t="s">
        <v>484</v>
      </c>
      <c r="D677" s="433"/>
      <c r="E677" s="426"/>
      <c r="F677" s="700"/>
      <c r="G677" s="428"/>
      <c r="H677" s="700"/>
      <c r="I677" s="69"/>
      <c r="J677" s="700"/>
      <c r="K677" s="69"/>
      <c r="L677" s="700"/>
      <c r="M677" s="69"/>
      <c r="N677" s="700"/>
      <c r="O677" s="69"/>
      <c r="P677" s="700"/>
      <c r="Q677" s="69"/>
      <c r="R677" s="429"/>
      <c r="S677" s="430"/>
      <c r="T677" s="700"/>
      <c r="U677" s="428"/>
      <c r="V677" s="700"/>
      <c r="W677" s="69"/>
      <c r="X677" s="700"/>
      <c r="Y677" s="69">
        <f>W675*0.3+Y675*0.7</f>
        <v>0</v>
      </c>
      <c r="Z677" s="700"/>
      <c r="AA677" s="69">
        <f>Y675*0.3+AA675*0.7</f>
        <v>0</v>
      </c>
      <c r="AB677" s="700"/>
      <c r="AC677" s="69">
        <f>AA675*0.3+AC675*0.7</f>
        <v>0</v>
      </c>
      <c r="AD677" s="700"/>
      <c r="AE677" s="69"/>
      <c r="AF677" s="429"/>
      <c r="AG677" s="430"/>
      <c r="AH677" s="431"/>
      <c r="AI677" s="432"/>
      <c r="AJ677" s="65"/>
      <c r="AV677" s="56"/>
    </row>
    <row r="678" spans="1:48" ht="13.5" customHeight="1" outlineLevel="1" thickBot="1">
      <c r="B678" s="82">
        <f>B671+1</f>
        <v>97</v>
      </c>
      <c r="C678" s="1230">
        <f>'Terms and Turnovers'!C112</f>
        <v>0</v>
      </c>
      <c r="D678" s="1230">
        <f>'Terms and Turnovers'!D112</f>
        <v>0</v>
      </c>
      <c r="E678" s="83" t="str">
        <f>'Terms and Turnovers'!$J$12</f>
        <v>FLIP-FLOPS</v>
      </c>
      <c r="F678" s="121">
        <f>$R678*G678</f>
        <v>0</v>
      </c>
      <c r="G678" s="69"/>
      <c r="H678" s="316">
        <f>$R678*I678</f>
        <v>0</v>
      </c>
      <c r="I678" s="69">
        <v>0</v>
      </c>
      <c r="J678" s="118">
        <f>$R678*K678</f>
        <v>0</v>
      </c>
      <c r="K678" s="69">
        <v>0</v>
      </c>
      <c r="L678" s="314">
        <f>$R678*M678</f>
        <v>0</v>
      </c>
      <c r="M678" s="69">
        <v>0</v>
      </c>
      <c r="N678" s="314">
        <f>$R678*O678</f>
        <v>0</v>
      </c>
      <c r="O678" s="69">
        <v>0</v>
      </c>
      <c r="P678" s="121">
        <f>$R678*Q678</f>
        <v>0</v>
      </c>
      <c r="Q678" s="69">
        <v>0</v>
      </c>
      <c r="R678" s="87">
        <f>'Terms and Turnovers'!K112</f>
        <v>0</v>
      </c>
      <c r="S678" s="160">
        <f t="shared" si="69"/>
        <v>0</v>
      </c>
      <c r="T678" s="118">
        <f t="shared" si="73"/>
        <v>0</v>
      </c>
      <c r="U678" s="69">
        <v>0</v>
      </c>
      <c r="V678" s="118">
        <f t="shared" si="82"/>
        <v>0</v>
      </c>
      <c r="W678" s="69">
        <v>0</v>
      </c>
      <c r="X678" s="118">
        <f t="shared" si="74"/>
        <v>0</v>
      </c>
      <c r="Y678" s="69">
        <v>0</v>
      </c>
      <c r="Z678" s="118">
        <f t="shared" si="75"/>
        <v>0</v>
      </c>
      <c r="AA678" s="69">
        <v>0</v>
      </c>
      <c r="AB678" s="118">
        <f t="shared" si="76"/>
        <v>0</v>
      </c>
      <c r="AC678" s="69">
        <v>0</v>
      </c>
      <c r="AD678" s="118">
        <f t="shared" si="77"/>
        <v>0</v>
      </c>
      <c r="AE678" s="69">
        <v>0</v>
      </c>
      <c r="AF678" s="87">
        <f>'Terms and Turnovers'!P112</f>
        <v>0</v>
      </c>
      <c r="AG678" s="160">
        <f t="shared" si="70"/>
        <v>0</v>
      </c>
      <c r="AH678" s="157">
        <f t="shared" si="71"/>
        <v>0</v>
      </c>
      <c r="AI678" s="131">
        <f t="shared" si="72"/>
        <v>0</v>
      </c>
      <c r="AJ678" s="65"/>
      <c r="AV678" s="56"/>
    </row>
    <row r="679" spans="1:48" ht="13.5" customHeight="1" outlineLevel="1" thickBot="1">
      <c r="B679" s="82"/>
      <c r="C679" s="1231"/>
      <c r="D679" s="1231"/>
      <c r="E679" s="84" t="str">
        <f>'Terms and Turnovers'!$T$12</f>
        <v>ORIGINALS</v>
      </c>
      <c r="F679" s="121">
        <f>$R679*G679</f>
        <v>0</v>
      </c>
      <c r="G679" s="723"/>
      <c r="H679" s="121">
        <f>$R679*I679</f>
        <v>0</v>
      </c>
      <c r="I679" s="69">
        <v>0</v>
      </c>
      <c r="J679" s="120">
        <f>$R679*K679</f>
        <v>0</v>
      </c>
      <c r="K679" s="69">
        <v>0</v>
      </c>
      <c r="L679" s="120">
        <f>$R679*M679</f>
        <v>0</v>
      </c>
      <c r="M679" s="69">
        <v>0</v>
      </c>
      <c r="N679" s="315">
        <f>$R679*O679</f>
        <v>0</v>
      </c>
      <c r="O679" s="69">
        <v>0</v>
      </c>
      <c r="P679" s="121">
        <f>$R679*Q679</f>
        <v>0</v>
      </c>
      <c r="Q679" s="69">
        <v>0</v>
      </c>
      <c r="R679" s="88">
        <f>'Terms and Turnovers'!U112</f>
        <v>0</v>
      </c>
      <c r="S679" s="161">
        <f t="shared" si="69"/>
        <v>0</v>
      </c>
      <c r="T679" s="120">
        <f t="shared" si="73"/>
        <v>0</v>
      </c>
      <c r="U679" s="69">
        <v>0</v>
      </c>
      <c r="V679" s="120">
        <f t="shared" si="82"/>
        <v>0</v>
      </c>
      <c r="W679" s="69">
        <v>0</v>
      </c>
      <c r="X679" s="120">
        <f t="shared" si="74"/>
        <v>0</v>
      </c>
      <c r="Y679" s="69">
        <v>0</v>
      </c>
      <c r="Z679" s="120">
        <f t="shared" si="75"/>
        <v>0</v>
      </c>
      <c r="AA679" s="69">
        <v>0</v>
      </c>
      <c r="AB679" s="120">
        <f t="shared" si="76"/>
        <v>0</v>
      </c>
      <c r="AC679" s="69">
        <v>0</v>
      </c>
      <c r="AD679" s="120">
        <f t="shared" si="77"/>
        <v>0</v>
      </c>
      <c r="AE679" s="69">
        <v>0</v>
      </c>
      <c r="AF679" s="88">
        <f>'Terms and Turnovers'!Z112</f>
        <v>0</v>
      </c>
      <c r="AG679" s="161">
        <f t="shared" si="70"/>
        <v>0</v>
      </c>
      <c r="AH679" s="158">
        <f t="shared" si="71"/>
        <v>0</v>
      </c>
      <c r="AI679" s="134">
        <f t="shared" si="72"/>
        <v>0</v>
      </c>
      <c r="AJ679" s="65"/>
      <c r="AV679" s="56"/>
    </row>
    <row r="680" spans="1:48" ht="13.5" customHeight="1" outlineLevel="1" thickBot="1">
      <c r="B680" s="82"/>
      <c r="C680" s="1231"/>
      <c r="D680" s="1231"/>
      <c r="E680" s="84" t="str">
        <f>'Terms and Turnovers'!$AD$12</f>
        <v>ACCESSORIES</v>
      </c>
      <c r="F680" s="121">
        <f>$R680*G680</f>
        <v>0</v>
      </c>
      <c r="G680" s="723"/>
      <c r="H680" s="121">
        <f>$R680*I680</f>
        <v>0</v>
      </c>
      <c r="I680" s="69">
        <v>0</v>
      </c>
      <c r="J680" s="120">
        <f>$R680*K680</f>
        <v>0</v>
      </c>
      <c r="K680" s="69">
        <v>0</v>
      </c>
      <c r="L680" s="120">
        <f>$R680*M680</f>
        <v>0</v>
      </c>
      <c r="M680" s="69">
        <v>0</v>
      </c>
      <c r="N680" s="315">
        <f>$R680*O680</f>
        <v>0</v>
      </c>
      <c r="O680" s="69">
        <v>0</v>
      </c>
      <c r="P680" s="121">
        <f>$R680*Q680</f>
        <v>0</v>
      </c>
      <c r="Q680" s="69">
        <v>0</v>
      </c>
      <c r="R680" s="88">
        <f>'Terms and Turnovers'!AE112</f>
        <v>0</v>
      </c>
      <c r="S680" s="161">
        <f t="shared" ref="S680:S703" si="83">SUM(G680,I680,K680,M680,O680,Q680)</f>
        <v>0</v>
      </c>
      <c r="T680" s="120">
        <f t="shared" si="73"/>
        <v>0</v>
      </c>
      <c r="U680" s="69">
        <v>0</v>
      </c>
      <c r="V680" s="120">
        <f t="shared" si="82"/>
        <v>0</v>
      </c>
      <c r="W680" s="69">
        <v>0</v>
      </c>
      <c r="X680" s="120">
        <f t="shared" ref="X680:X703" si="84">$AF680*Y680</f>
        <v>0</v>
      </c>
      <c r="Y680" s="69">
        <v>0</v>
      </c>
      <c r="Z680" s="120">
        <f t="shared" ref="Z680:Z703" si="85">$AF680*AA680</f>
        <v>0</v>
      </c>
      <c r="AA680" s="69">
        <v>0</v>
      </c>
      <c r="AB680" s="120">
        <f t="shared" ref="AB680:AB703" si="86">$AF680*AC680</f>
        <v>0</v>
      </c>
      <c r="AC680" s="69">
        <v>0</v>
      </c>
      <c r="AD680" s="120">
        <f t="shared" ref="AD680:AD703" si="87">$AF680*AE680</f>
        <v>0</v>
      </c>
      <c r="AE680" s="69">
        <v>0</v>
      </c>
      <c r="AF680" s="88">
        <f>'Terms and Turnovers'!AJ112</f>
        <v>0</v>
      </c>
      <c r="AG680" s="161">
        <f t="shared" ref="AG680:AG703" si="88">SUM(U680,W680,Y680,AA680,AC680,AE680)</f>
        <v>0</v>
      </c>
      <c r="AH680" s="158">
        <f t="shared" ref="AH680:AH703" si="89">SUM(R680,AF680)</f>
        <v>0</v>
      </c>
      <c r="AI680" s="134">
        <f t="shared" ref="AI680:AI710" si="90">S680+AG680</f>
        <v>0</v>
      </c>
      <c r="AJ680" s="65"/>
      <c r="AV680" s="56"/>
    </row>
    <row r="681" spans="1:48" ht="13.5" customHeight="1" outlineLevel="1" thickBot="1">
      <c r="B681" s="82"/>
      <c r="C681" s="1231"/>
      <c r="D681" s="1231"/>
      <c r="E681" s="84">
        <f>'Terms and Turnovers'!$AN$12</f>
        <v>0</v>
      </c>
      <c r="F681" s="121">
        <f>$R681*G681</f>
        <v>0</v>
      </c>
      <c r="G681" s="723"/>
      <c r="H681" s="121">
        <f>$R681*I681</f>
        <v>0</v>
      </c>
      <c r="I681" s="69">
        <v>0</v>
      </c>
      <c r="J681" s="120">
        <f>$R681*K681</f>
        <v>0</v>
      </c>
      <c r="K681" s="69">
        <v>0</v>
      </c>
      <c r="L681" s="120">
        <f>$R681*M681</f>
        <v>0</v>
      </c>
      <c r="M681" s="69">
        <v>0</v>
      </c>
      <c r="N681" s="315">
        <f>$R681*O681</f>
        <v>0</v>
      </c>
      <c r="O681" s="69">
        <v>0</v>
      </c>
      <c r="P681" s="121">
        <f>$R681*Q681</f>
        <v>0</v>
      </c>
      <c r="Q681" s="69">
        <v>0</v>
      </c>
      <c r="R681" s="88">
        <f>'Terms and Turnovers'!AO112</f>
        <v>0</v>
      </c>
      <c r="S681" s="161">
        <f t="shared" si="83"/>
        <v>0</v>
      </c>
      <c r="T681" s="120">
        <f t="shared" ref="T681:T703" si="91">$AF681*U681</f>
        <v>0</v>
      </c>
      <c r="U681" s="69">
        <v>0</v>
      </c>
      <c r="V681" s="120">
        <f t="shared" si="82"/>
        <v>0</v>
      </c>
      <c r="W681" s="69">
        <v>0</v>
      </c>
      <c r="X681" s="120">
        <f t="shared" si="84"/>
        <v>0</v>
      </c>
      <c r="Y681" s="69">
        <v>0</v>
      </c>
      <c r="Z681" s="120">
        <f t="shared" si="85"/>
        <v>0</v>
      </c>
      <c r="AA681" s="69">
        <v>0</v>
      </c>
      <c r="AB681" s="120">
        <f t="shared" si="86"/>
        <v>0</v>
      </c>
      <c r="AC681" s="69">
        <v>0</v>
      </c>
      <c r="AD681" s="120">
        <f t="shared" si="87"/>
        <v>0</v>
      </c>
      <c r="AE681" s="69">
        <v>0</v>
      </c>
      <c r="AF681" s="88">
        <f>'Terms and Turnovers'!AT112</f>
        <v>0</v>
      </c>
      <c r="AG681" s="161">
        <f t="shared" si="88"/>
        <v>0</v>
      </c>
      <c r="AH681" s="158">
        <f t="shared" si="89"/>
        <v>0</v>
      </c>
      <c r="AI681" s="134">
        <f t="shared" si="90"/>
        <v>0</v>
      </c>
      <c r="AJ681" s="65"/>
      <c r="AV681" s="56"/>
    </row>
    <row r="682" spans="1:48" ht="13.5" customHeight="1" outlineLevel="1" thickBot="1">
      <c r="B682" s="82"/>
      <c r="C682" s="1232"/>
      <c r="D682" s="1232"/>
      <c r="E682" s="85">
        <f>'Terms and Turnovers'!$AX$12</f>
        <v>0</v>
      </c>
      <c r="F682" s="121">
        <f>$R682*G682</f>
        <v>0</v>
      </c>
      <c r="G682" s="72"/>
      <c r="H682" s="121">
        <f>$R682*I682</f>
        <v>0</v>
      </c>
      <c r="I682" s="69">
        <v>0</v>
      </c>
      <c r="J682" s="121">
        <f>$R682*K682</f>
        <v>0</v>
      </c>
      <c r="K682" s="69">
        <v>0</v>
      </c>
      <c r="L682" s="121">
        <f>$R682*M682</f>
        <v>0</v>
      </c>
      <c r="M682" s="69">
        <v>0</v>
      </c>
      <c r="N682" s="316">
        <f>$R682*O682</f>
        <v>0</v>
      </c>
      <c r="O682" s="69">
        <v>0</v>
      </c>
      <c r="P682" s="121">
        <f>$R682*Q682</f>
        <v>0</v>
      </c>
      <c r="Q682" s="69">
        <v>0</v>
      </c>
      <c r="R682" s="89">
        <f>'Terms and Turnovers'!AY112</f>
        <v>0</v>
      </c>
      <c r="S682" s="162">
        <f t="shared" si="83"/>
        <v>0</v>
      </c>
      <c r="T682" s="121">
        <f t="shared" si="91"/>
        <v>0</v>
      </c>
      <c r="U682" s="69">
        <v>0</v>
      </c>
      <c r="V682" s="121">
        <f t="shared" si="82"/>
        <v>0</v>
      </c>
      <c r="W682" s="69">
        <v>0</v>
      </c>
      <c r="X682" s="121">
        <f t="shared" si="84"/>
        <v>0</v>
      </c>
      <c r="Y682" s="69">
        <v>0</v>
      </c>
      <c r="Z682" s="121">
        <f t="shared" si="85"/>
        <v>0</v>
      </c>
      <c r="AA682" s="69">
        <v>0</v>
      </c>
      <c r="AB682" s="121">
        <f t="shared" si="86"/>
        <v>0</v>
      </c>
      <c r="AC682" s="69">
        <v>0</v>
      </c>
      <c r="AD682" s="121">
        <f t="shared" si="87"/>
        <v>0</v>
      </c>
      <c r="AE682" s="69">
        <v>0</v>
      </c>
      <c r="AF682" s="89">
        <f>'Terms and Turnovers'!BD112</f>
        <v>0</v>
      </c>
      <c r="AG682" s="162">
        <f t="shared" si="88"/>
        <v>0</v>
      </c>
      <c r="AH682" s="159">
        <f t="shared" si="89"/>
        <v>0</v>
      </c>
      <c r="AI682" s="137">
        <f t="shared" si="90"/>
        <v>0</v>
      </c>
      <c r="AJ682" s="65"/>
      <c r="AV682" s="56"/>
    </row>
    <row r="683" spans="1:48" ht="13.5" customHeight="1" outlineLevel="1" thickBot="1">
      <c r="A683" s="119"/>
      <c r="B683" s="82"/>
      <c r="C683" s="425"/>
      <c r="D683" s="425"/>
      <c r="E683" s="426"/>
      <c r="F683" s="427">
        <f>SUM(F678:F682)</f>
        <v>0</v>
      </c>
      <c r="G683" s="428"/>
      <c r="H683" s="427">
        <f>SUM(H678:H682)</f>
        <v>0</v>
      </c>
      <c r="I683" s="69"/>
      <c r="J683" s="427">
        <f>SUM(J678:J682)</f>
        <v>0</v>
      </c>
      <c r="K683" s="69"/>
      <c r="L683" s="427">
        <f>SUM(L678:L682)</f>
        <v>0</v>
      </c>
      <c r="M683" s="69"/>
      <c r="N683" s="427">
        <f>SUM(N678:N682)</f>
        <v>0</v>
      </c>
      <c r="O683" s="69"/>
      <c r="P683" s="427">
        <f>SUM(P678:P682)</f>
        <v>0</v>
      </c>
      <c r="Q683" s="69"/>
      <c r="R683" s="429"/>
      <c r="S683" s="430"/>
      <c r="T683" s="427">
        <f>SUM(T678:T682)</f>
        <v>0</v>
      </c>
      <c r="U683" s="428"/>
      <c r="V683" s="427">
        <f>SUM(V678:V682)</f>
        <v>0</v>
      </c>
      <c r="W683" s="69"/>
      <c r="X683" s="427">
        <f>SUM(X678:X682)</f>
        <v>0</v>
      </c>
      <c r="Y683" s="69"/>
      <c r="Z683" s="427">
        <f>SUM(Z678:Z682)</f>
        <v>0</v>
      </c>
      <c r="AA683" s="69"/>
      <c r="AB683" s="427">
        <f>SUM(AB678:AB682)</f>
        <v>0</v>
      </c>
      <c r="AC683" s="69"/>
      <c r="AD683" s="427">
        <f>SUM(AD678:AD682)</f>
        <v>0</v>
      </c>
      <c r="AE683" s="69"/>
      <c r="AF683" s="429"/>
      <c r="AG683" s="430"/>
      <c r="AH683" s="431"/>
      <c r="AI683" s="432"/>
      <c r="AJ683" s="65"/>
      <c r="AV683" s="56"/>
    </row>
    <row r="684" spans="1:48" ht="13.5" customHeight="1" outlineLevel="1" thickBot="1">
      <c r="A684" s="119"/>
      <c r="B684" s="82"/>
      <c r="C684" s="1098" t="s">
        <v>484</v>
      </c>
      <c r="D684" s="433"/>
      <c r="E684" s="426"/>
      <c r="F684" s="700"/>
      <c r="G684" s="428"/>
      <c r="H684" s="700"/>
      <c r="I684" s="69"/>
      <c r="J684" s="700"/>
      <c r="K684" s="69"/>
      <c r="L684" s="700"/>
      <c r="M684" s="69"/>
      <c r="N684" s="700"/>
      <c r="O684" s="69"/>
      <c r="P684" s="700"/>
      <c r="Q684" s="69"/>
      <c r="R684" s="429"/>
      <c r="S684" s="430"/>
      <c r="T684" s="700"/>
      <c r="U684" s="428"/>
      <c r="V684" s="700"/>
      <c r="W684" s="69"/>
      <c r="X684" s="700"/>
      <c r="Y684" s="69">
        <f>W682*0.3+Y682*0.7</f>
        <v>0</v>
      </c>
      <c r="Z684" s="700"/>
      <c r="AA684" s="69">
        <f>Y682*0.3+AA682*0.7</f>
        <v>0</v>
      </c>
      <c r="AB684" s="700"/>
      <c r="AC684" s="69">
        <f>AA682*0.3+AC682*0.7</f>
        <v>0</v>
      </c>
      <c r="AD684" s="700"/>
      <c r="AE684" s="69"/>
      <c r="AF684" s="429"/>
      <c r="AG684" s="430"/>
      <c r="AH684" s="431"/>
      <c r="AI684" s="432"/>
      <c r="AJ684" s="65"/>
      <c r="AV684" s="56"/>
    </row>
    <row r="685" spans="1:48" ht="13.5" customHeight="1" outlineLevel="1" thickBot="1">
      <c r="B685" s="82">
        <f>B678+1</f>
        <v>98</v>
      </c>
      <c r="C685" s="1230">
        <f>'Terms and Turnovers'!C113</f>
        <v>0</v>
      </c>
      <c r="D685" s="1230">
        <f>'Terms and Turnovers'!D113</f>
        <v>0</v>
      </c>
      <c r="E685" s="83" t="str">
        <f>'Terms and Turnovers'!$J$12</f>
        <v>FLIP-FLOPS</v>
      </c>
      <c r="F685" s="121">
        <f>$R685*G685</f>
        <v>0</v>
      </c>
      <c r="G685" s="69"/>
      <c r="H685" s="316">
        <f>$R685*I685</f>
        <v>0</v>
      </c>
      <c r="I685" s="69">
        <v>0</v>
      </c>
      <c r="J685" s="118">
        <f>$R685*K685</f>
        <v>0</v>
      </c>
      <c r="K685" s="69">
        <v>0</v>
      </c>
      <c r="L685" s="314">
        <f>$R685*M685</f>
        <v>0</v>
      </c>
      <c r="M685" s="69">
        <v>0</v>
      </c>
      <c r="N685" s="314">
        <f>$R685*O685</f>
        <v>0</v>
      </c>
      <c r="O685" s="69">
        <v>0</v>
      </c>
      <c r="P685" s="121">
        <f>$R685*Q685</f>
        <v>0</v>
      </c>
      <c r="Q685" s="69">
        <v>0</v>
      </c>
      <c r="R685" s="87">
        <f>'Terms and Turnovers'!K113</f>
        <v>0</v>
      </c>
      <c r="S685" s="160">
        <f t="shared" si="83"/>
        <v>0</v>
      </c>
      <c r="T685" s="118">
        <f t="shared" si="91"/>
        <v>0</v>
      </c>
      <c r="U685" s="69">
        <v>0</v>
      </c>
      <c r="V685" s="118">
        <f t="shared" si="82"/>
        <v>0</v>
      </c>
      <c r="W685" s="69">
        <v>0</v>
      </c>
      <c r="X685" s="118">
        <f t="shared" si="84"/>
        <v>0</v>
      </c>
      <c r="Y685" s="69">
        <v>0</v>
      </c>
      <c r="Z685" s="118">
        <f t="shared" si="85"/>
        <v>0</v>
      </c>
      <c r="AA685" s="69">
        <v>0</v>
      </c>
      <c r="AB685" s="118">
        <f t="shared" si="86"/>
        <v>0</v>
      </c>
      <c r="AC685" s="69">
        <v>0</v>
      </c>
      <c r="AD685" s="118">
        <f t="shared" si="87"/>
        <v>0</v>
      </c>
      <c r="AE685" s="69">
        <v>0</v>
      </c>
      <c r="AF685" s="87">
        <f>'Terms and Turnovers'!P113</f>
        <v>0</v>
      </c>
      <c r="AG685" s="160">
        <f t="shared" si="88"/>
        <v>0</v>
      </c>
      <c r="AH685" s="157">
        <f t="shared" si="89"/>
        <v>0</v>
      </c>
      <c r="AI685" s="131">
        <f t="shared" si="90"/>
        <v>0</v>
      </c>
      <c r="AJ685" s="65"/>
      <c r="AV685" s="56"/>
    </row>
    <row r="686" spans="1:48" ht="13.5" customHeight="1" outlineLevel="1" thickBot="1">
      <c r="B686" s="82"/>
      <c r="C686" s="1231"/>
      <c r="D686" s="1231"/>
      <c r="E686" s="84" t="str">
        <f>'Terms and Turnovers'!$T$12</f>
        <v>ORIGINALS</v>
      </c>
      <c r="F686" s="121">
        <f>$R686*G686</f>
        <v>0</v>
      </c>
      <c r="G686" s="723"/>
      <c r="H686" s="121">
        <f>$R686*I686</f>
        <v>0</v>
      </c>
      <c r="I686" s="69">
        <v>0</v>
      </c>
      <c r="J686" s="120">
        <f>$R686*K686</f>
        <v>0</v>
      </c>
      <c r="K686" s="69">
        <v>0</v>
      </c>
      <c r="L686" s="120">
        <f>$R686*M686</f>
        <v>0</v>
      </c>
      <c r="M686" s="69">
        <v>0</v>
      </c>
      <c r="N686" s="315">
        <f>$R686*O686</f>
        <v>0</v>
      </c>
      <c r="O686" s="69">
        <v>0</v>
      </c>
      <c r="P686" s="121">
        <f>$R686*Q686</f>
        <v>0</v>
      </c>
      <c r="Q686" s="69">
        <v>0</v>
      </c>
      <c r="R686" s="88">
        <f>'Terms and Turnovers'!U113</f>
        <v>0</v>
      </c>
      <c r="S686" s="161">
        <f t="shared" si="83"/>
        <v>0</v>
      </c>
      <c r="T686" s="120">
        <f t="shared" si="91"/>
        <v>0</v>
      </c>
      <c r="U686" s="69">
        <v>0</v>
      </c>
      <c r="V686" s="120">
        <f t="shared" si="82"/>
        <v>0</v>
      </c>
      <c r="W686" s="69">
        <v>0</v>
      </c>
      <c r="X686" s="120">
        <f t="shared" si="84"/>
        <v>0</v>
      </c>
      <c r="Y686" s="69">
        <v>0</v>
      </c>
      <c r="Z686" s="120">
        <f t="shared" si="85"/>
        <v>0</v>
      </c>
      <c r="AA686" s="69">
        <v>0</v>
      </c>
      <c r="AB686" s="120">
        <f t="shared" si="86"/>
        <v>0</v>
      </c>
      <c r="AC686" s="69">
        <v>0</v>
      </c>
      <c r="AD686" s="120">
        <f t="shared" si="87"/>
        <v>0</v>
      </c>
      <c r="AE686" s="69">
        <v>0</v>
      </c>
      <c r="AF686" s="88">
        <f>'Terms and Turnovers'!Z113</f>
        <v>0</v>
      </c>
      <c r="AG686" s="161">
        <f t="shared" si="88"/>
        <v>0</v>
      </c>
      <c r="AH686" s="158">
        <f t="shared" si="89"/>
        <v>0</v>
      </c>
      <c r="AI686" s="134">
        <f t="shared" si="90"/>
        <v>0</v>
      </c>
      <c r="AJ686" s="65"/>
      <c r="AV686" s="56"/>
    </row>
    <row r="687" spans="1:48" ht="13.5" customHeight="1" outlineLevel="1" thickBot="1">
      <c r="B687" s="82"/>
      <c r="C687" s="1231"/>
      <c r="D687" s="1231"/>
      <c r="E687" s="84" t="str">
        <f>'Terms and Turnovers'!$AD$12</f>
        <v>ACCESSORIES</v>
      </c>
      <c r="F687" s="121">
        <f>$R687*G687</f>
        <v>0</v>
      </c>
      <c r="G687" s="723"/>
      <c r="H687" s="121">
        <f>$R687*I687</f>
        <v>0</v>
      </c>
      <c r="I687" s="69">
        <v>0</v>
      </c>
      <c r="J687" s="120">
        <f>$R687*K687</f>
        <v>0</v>
      </c>
      <c r="K687" s="69">
        <v>0</v>
      </c>
      <c r="L687" s="120">
        <f>$R687*M687</f>
        <v>0</v>
      </c>
      <c r="M687" s="69">
        <v>0</v>
      </c>
      <c r="N687" s="315">
        <f>$R687*O687</f>
        <v>0</v>
      </c>
      <c r="O687" s="69">
        <v>0</v>
      </c>
      <c r="P687" s="121">
        <f>$R687*Q687</f>
        <v>0</v>
      </c>
      <c r="Q687" s="69">
        <v>0</v>
      </c>
      <c r="R687" s="88">
        <f>'Terms and Turnovers'!AE113</f>
        <v>0</v>
      </c>
      <c r="S687" s="161">
        <f t="shared" si="83"/>
        <v>0</v>
      </c>
      <c r="T687" s="120">
        <f t="shared" si="91"/>
        <v>0</v>
      </c>
      <c r="U687" s="69">
        <v>0</v>
      </c>
      <c r="V687" s="120">
        <f t="shared" si="82"/>
        <v>0</v>
      </c>
      <c r="W687" s="69">
        <v>0</v>
      </c>
      <c r="X687" s="120">
        <f t="shared" si="84"/>
        <v>0</v>
      </c>
      <c r="Y687" s="69">
        <v>0</v>
      </c>
      <c r="Z687" s="120">
        <f t="shared" si="85"/>
        <v>0</v>
      </c>
      <c r="AA687" s="69">
        <v>0</v>
      </c>
      <c r="AB687" s="120">
        <f t="shared" si="86"/>
        <v>0</v>
      </c>
      <c r="AC687" s="69">
        <v>0</v>
      </c>
      <c r="AD687" s="120">
        <f t="shared" si="87"/>
        <v>0</v>
      </c>
      <c r="AE687" s="69">
        <v>0</v>
      </c>
      <c r="AF687" s="88">
        <f>'Terms and Turnovers'!AJ113</f>
        <v>0</v>
      </c>
      <c r="AG687" s="161">
        <f t="shared" si="88"/>
        <v>0</v>
      </c>
      <c r="AH687" s="158">
        <f t="shared" si="89"/>
        <v>0</v>
      </c>
      <c r="AI687" s="134">
        <f t="shared" si="90"/>
        <v>0</v>
      </c>
      <c r="AJ687" s="65"/>
      <c r="AV687" s="56"/>
    </row>
    <row r="688" spans="1:48" ht="13.5" customHeight="1" outlineLevel="1" thickBot="1">
      <c r="B688" s="82"/>
      <c r="C688" s="1231"/>
      <c r="D688" s="1231"/>
      <c r="E688" s="84">
        <f>'Terms and Turnovers'!$AN$12</f>
        <v>0</v>
      </c>
      <c r="F688" s="121">
        <f>$R688*G688</f>
        <v>0</v>
      </c>
      <c r="G688" s="723"/>
      <c r="H688" s="121">
        <f>$R688*I688</f>
        <v>0</v>
      </c>
      <c r="I688" s="69">
        <v>0</v>
      </c>
      <c r="J688" s="120">
        <f>$R688*K688</f>
        <v>0</v>
      </c>
      <c r="K688" s="69">
        <v>0</v>
      </c>
      <c r="L688" s="120">
        <f>$R688*M688</f>
        <v>0</v>
      </c>
      <c r="M688" s="69">
        <v>0</v>
      </c>
      <c r="N688" s="315">
        <f>$R688*O688</f>
        <v>0</v>
      </c>
      <c r="O688" s="69">
        <v>0</v>
      </c>
      <c r="P688" s="121">
        <f>$R688*Q688</f>
        <v>0</v>
      </c>
      <c r="Q688" s="69">
        <v>0</v>
      </c>
      <c r="R688" s="88">
        <f>'Terms and Turnovers'!AO113</f>
        <v>0</v>
      </c>
      <c r="S688" s="161">
        <f t="shared" si="83"/>
        <v>0</v>
      </c>
      <c r="T688" s="120">
        <f t="shared" si="91"/>
        <v>0</v>
      </c>
      <c r="U688" s="69">
        <v>0</v>
      </c>
      <c r="V688" s="120">
        <f t="shared" si="82"/>
        <v>0</v>
      </c>
      <c r="W688" s="69">
        <v>0</v>
      </c>
      <c r="X688" s="120">
        <f t="shared" si="84"/>
        <v>0</v>
      </c>
      <c r="Y688" s="69">
        <v>0</v>
      </c>
      <c r="Z688" s="120">
        <f t="shared" si="85"/>
        <v>0</v>
      </c>
      <c r="AA688" s="69">
        <v>0</v>
      </c>
      <c r="AB688" s="120">
        <f t="shared" si="86"/>
        <v>0</v>
      </c>
      <c r="AC688" s="69">
        <v>0</v>
      </c>
      <c r="AD688" s="120">
        <f t="shared" si="87"/>
        <v>0</v>
      </c>
      <c r="AE688" s="69">
        <v>0</v>
      </c>
      <c r="AF688" s="88">
        <f>'Terms and Turnovers'!AT113</f>
        <v>0</v>
      </c>
      <c r="AG688" s="161">
        <f t="shared" si="88"/>
        <v>0</v>
      </c>
      <c r="AH688" s="158">
        <f t="shared" si="89"/>
        <v>0</v>
      </c>
      <c r="AI688" s="134">
        <f t="shared" si="90"/>
        <v>0</v>
      </c>
      <c r="AJ688" s="65"/>
      <c r="AV688" s="56"/>
    </row>
    <row r="689" spans="1:48" ht="13.5" customHeight="1" outlineLevel="1" thickBot="1">
      <c r="B689" s="82"/>
      <c r="C689" s="1232"/>
      <c r="D689" s="1232"/>
      <c r="E689" s="85">
        <f>'Terms and Turnovers'!$AX$12</f>
        <v>0</v>
      </c>
      <c r="F689" s="121">
        <f>$R689*G689</f>
        <v>0</v>
      </c>
      <c r="G689" s="72"/>
      <c r="H689" s="121">
        <f>$R689*I689</f>
        <v>0</v>
      </c>
      <c r="I689" s="69">
        <v>0</v>
      </c>
      <c r="J689" s="121">
        <f>$R689*K689</f>
        <v>0</v>
      </c>
      <c r="K689" s="69">
        <v>0</v>
      </c>
      <c r="L689" s="121">
        <f>$R689*M689</f>
        <v>0</v>
      </c>
      <c r="M689" s="69">
        <v>0</v>
      </c>
      <c r="N689" s="316">
        <f>$R689*O689</f>
        <v>0</v>
      </c>
      <c r="O689" s="69">
        <v>0</v>
      </c>
      <c r="P689" s="121">
        <f>$R689*Q689</f>
        <v>0</v>
      </c>
      <c r="Q689" s="69">
        <v>0</v>
      </c>
      <c r="R689" s="89">
        <f>'Terms and Turnovers'!AY113</f>
        <v>0</v>
      </c>
      <c r="S689" s="162">
        <f t="shared" si="83"/>
        <v>0</v>
      </c>
      <c r="T689" s="121">
        <f t="shared" si="91"/>
        <v>0</v>
      </c>
      <c r="U689" s="69">
        <v>0</v>
      </c>
      <c r="V689" s="121">
        <f t="shared" si="82"/>
        <v>0</v>
      </c>
      <c r="W689" s="69">
        <v>0</v>
      </c>
      <c r="X689" s="121">
        <f t="shared" si="84"/>
        <v>0</v>
      </c>
      <c r="Y689" s="69">
        <v>0</v>
      </c>
      <c r="Z689" s="121">
        <f t="shared" si="85"/>
        <v>0</v>
      </c>
      <c r="AA689" s="69">
        <v>0</v>
      </c>
      <c r="AB689" s="121">
        <f t="shared" si="86"/>
        <v>0</v>
      </c>
      <c r="AC689" s="69">
        <v>0</v>
      </c>
      <c r="AD689" s="121">
        <f t="shared" si="87"/>
        <v>0</v>
      </c>
      <c r="AE689" s="69">
        <v>0</v>
      </c>
      <c r="AF689" s="89">
        <f>'Terms and Turnovers'!BD113</f>
        <v>0</v>
      </c>
      <c r="AG689" s="162">
        <f t="shared" si="88"/>
        <v>0</v>
      </c>
      <c r="AH689" s="159">
        <f t="shared" si="89"/>
        <v>0</v>
      </c>
      <c r="AI689" s="137">
        <f t="shared" si="90"/>
        <v>0</v>
      </c>
      <c r="AJ689" s="65"/>
      <c r="AV689" s="56"/>
    </row>
    <row r="690" spans="1:48" ht="13.5" customHeight="1" outlineLevel="1" thickBot="1">
      <c r="A690" s="119"/>
      <c r="B690" s="82"/>
      <c r="C690" s="425"/>
      <c r="D690" s="425"/>
      <c r="E690" s="426"/>
      <c r="F690" s="427">
        <f>SUM(F685:F689)</f>
        <v>0</v>
      </c>
      <c r="G690" s="428"/>
      <c r="H690" s="427">
        <f>SUM(H685:H689)</f>
        <v>0</v>
      </c>
      <c r="I690" s="69"/>
      <c r="J690" s="427">
        <f>SUM(J685:J689)</f>
        <v>0</v>
      </c>
      <c r="K690" s="69"/>
      <c r="L690" s="427">
        <f>SUM(L685:L689)</f>
        <v>0</v>
      </c>
      <c r="M690" s="69"/>
      <c r="N690" s="427">
        <f>SUM(N685:N689)</f>
        <v>0</v>
      </c>
      <c r="O690" s="69"/>
      <c r="P690" s="427">
        <f>SUM(P685:P689)</f>
        <v>0</v>
      </c>
      <c r="Q690" s="69"/>
      <c r="R690" s="429"/>
      <c r="S690" s="430"/>
      <c r="T690" s="427">
        <f>SUM(T685:T689)</f>
        <v>0</v>
      </c>
      <c r="U690" s="428"/>
      <c r="V690" s="427">
        <f>SUM(V685:V689)</f>
        <v>0</v>
      </c>
      <c r="W690" s="69"/>
      <c r="X690" s="427">
        <f>SUM(X685:X689)</f>
        <v>0</v>
      </c>
      <c r="Y690" s="69"/>
      <c r="Z690" s="427">
        <f>SUM(Z685:Z689)</f>
        <v>0</v>
      </c>
      <c r="AA690" s="69"/>
      <c r="AB690" s="427">
        <f>SUM(AB685:AB689)</f>
        <v>0</v>
      </c>
      <c r="AC690" s="69"/>
      <c r="AD690" s="427">
        <f>SUM(AD685:AD689)</f>
        <v>0</v>
      </c>
      <c r="AE690" s="69"/>
      <c r="AF690" s="429"/>
      <c r="AG690" s="430"/>
      <c r="AH690" s="431"/>
      <c r="AI690" s="432"/>
      <c r="AJ690" s="65"/>
      <c r="AV690" s="56"/>
    </row>
    <row r="691" spans="1:48" ht="13.5" customHeight="1" outlineLevel="1" thickBot="1">
      <c r="A691" s="119"/>
      <c r="B691" s="82"/>
      <c r="C691" s="1098" t="s">
        <v>484</v>
      </c>
      <c r="D691" s="433"/>
      <c r="E691" s="426"/>
      <c r="F691" s="700"/>
      <c r="G691" s="428"/>
      <c r="H691" s="700"/>
      <c r="I691" s="69"/>
      <c r="J691" s="700"/>
      <c r="K691" s="69"/>
      <c r="L691" s="700"/>
      <c r="M691" s="69"/>
      <c r="N691" s="700"/>
      <c r="O691" s="69"/>
      <c r="P691" s="700"/>
      <c r="Q691" s="69"/>
      <c r="R691" s="429"/>
      <c r="S691" s="430"/>
      <c r="T691" s="700"/>
      <c r="U691" s="428"/>
      <c r="V691" s="700"/>
      <c r="W691" s="69"/>
      <c r="X691" s="700"/>
      <c r="Y691" s="69">
        <f>W689*0.3+Y689*0.7</f>
        <v>0</v>
      </c>
      <c r="Z691" s="700"/>
      <c r="AA691" s="69">
        <f>Y689*0.3+AA689*0.7</f>
        <v>0</v>
      </c>
      <c r="AB691" s="700"/>
      <c r="AC691" s="69">
        <f>AA689*0.3+AC689*0.7</f>
        <v>0</v>
      </c>
      <c r="AD691" s="700"/>
      <c r="AE691" s="69"/>
      <c r="AF691" s="429"/>
      <c r="AG691" s="430"/>
      <c r="AH691" s="431"/>
      <c r="AI691" s="432"/>
      <c r="AJ691" s="65"/>
      <c r="AV691" s="56"/>
    </row>
    <row r="692" spans="1:48" ht="13.5" customHeight="1" outlineLevel="1" thickBot="1">
      <c r="B692" s="82">
        <f>B685+1</f>
        <v>99</v>
      </c>
      <c r="C692" s="1230">
        <f>'Terms and Turnovers'!C114</f>
        <v>0</v>
      </c>
      <c r="D692" s="1230">
        <f>'Terms and Turnovers'!D114</f>
        <v>0</v>
      </c>
      <c r="E692" s="83" t="str">
        <f>'Terms and Turnovers'!$J$12</f>
        <v>FLIP-FLOPS</v>
      </c>
      <c r="F692" s="121">
        <f>$R692*G692</f>
        <v>0</v>
      </c>
      <c r="G692" s="69"/>
      <c r="H692" s="316">
        <f>$R692*I692</f>
        <v>0</v>
      </c>
      <c r="I692" s="69">
        <v>0</v>
      </c>
      <c r="J692" s="118">
        <f t="shared" si="78"/>
        <v>0</v>
      </c>
      <c r="K692" s="69">
        <v>0</v>
      </c>
      <c r="L692" s="314">
        <f t="shared" si="79"/>
        <v>0</v>
      </c>
      <c r="M692" s="69">
        <v>0</v>
      </c>
      <c r="N692" s="314">
        <f t="shared" si="80"/>
        <v>0</v>
      </c>
      <c r="O692" s="69">
        <v>0</v>
      </c>
      <c r="P692" s="121">
        <f t="shared" si="81"/>
        <v>0</v>
      </c>
      <c r="Q692" s="69">
        <v>0</v>
      </c>
      <c r="R692" s="87">
        <f>'Terms and Turnovers'!K114</f>
        <v>0</v>
      </c>
      <c r="S692" s="160">
        <f t="shared" si="83"/>
        <v>0</v>
      </c>
      <c r="T692" s="118">
        <f t="shared" si="91"/>
        <v>0</v>
      </c>
      <c r="U692" s="69">
        <v>0</v>
      </c>
      <c r="V692" s="118">
        <f t="shared" si="82"/>
        <v>0</v>
      </c>
      <c r="W692" s="69">
        <v>0</v>
      </c>
      <c r="X692" s="118">
        <f t="shared" si="84"/>
        <v>0</v>
      </c>
      <c r="Y692" s="69">
        <v>0</v>
      </c>
      <c r="Z692" s="118">
        <f t="shared" si="85"/>
        <v>0</v>
      </c>
      <c r="AA692" s="69">
        <v>0</v>
      </c>
      <c r="AB692" s="118">
        <f t="shared" si="86"/>
        <v>0</v>
      </c>
      <c r="AC692" s="69">
        <v>0</v>
      </c>
      <c r="AD692" s="118">
        <f t="shared" si="87"/>
        <v>0</v>
      </c>
      <c r="AE692" s="69">
        <v>0</v>
      </c>
      <c r="AF692" s="87">
        <f>'Terms and Turnovers'!P114</f>
        <v>0</v>
      </c>
      <c r="AG692" s="160">
        <f t="shared" si="88"/>
        <v>0</v>
      </c>
      <c r="AH692" s="157">
        <f t="shared" si="89"/>
        <v>0</v>
      </c>
      <c r="AI692" s="131">
        <f t="shared" si="90"/>
        <v>0</v>
      </c>
      <c r="AJ692" s="65"/>
      <c r="AV692" s="56"/>
    </row>
    <row r="693" spans="1:48" ht="13.5" customHeight="1" outlineLevel="1" thickBot="1">
      <c r="B693" s="82"/>
      <c r="C693" s="1231"/>
      <c r="D693" s="1231"/>
      <c r="E693" s="84" t="str">
        <f>'Terms and Turnovers'!$T$12</f>
        <v>ORIGINALS</v>
      </c>
      <c r="F693" s="121">
        <f>$R693*G693</f>
        <v>0</v>
      </c>
      <c r="G693" s="723"/>
      <c r="H693" s="121">
        <f>$R693*I693</f>
        <v>0</v>
      </c>
      <c r="I693" s="69">
        <v>0</v>
      </c>
      <c r="J693" s="120">
        <f t="shared" si="78"/>
        <v>0</v>
      </c>
      <c r="K693" s="69">
        <v>0</v>
      </c>
      <c r="L693" s="120">
        <f t="shared" si="79"/>
        <v>0</v>
      </c>
      <c r="M693" s="69">
        <v>0</v>
      </c>
      <c r="N693" s="315">
        <f t="shared" si="80"/>
        <v>0</v>
      </c>
      <c r="O693" s="69">
        <v>0</v>
      </c>
      <c r="P693" s="121">
        <f t="shared" si="81"/>
        <v>0</v>
      </c>
      <c r="Q693" s="69">
        <v>0</v>
      </c>
      <c r="R693" s="88">
        <f>'Terms and Turnovers'!U114</f>
        <v>0</v>
      </c>
      <c r="S693" s="161">
        <f t="shared" si="83"/>
        <v>0</v>
      </c>
      <c r="T693" s="120">
        <f t="shared" si="91"/>
        <v>0</v>
      </c>
      <c r="U693" s="69">
        <v>0</v>
      </c>
      <c r="V693" s="120">
        <f t="shared" si="82"/>
        <v>0</v>
      </c>
      <c r="W693" s="69">
        <v>0</v>
      </c>
      <c r="X693" s="120">
        <f t="shared" si="84"/>
        <v>0</v>
      </c>
      <c r="Y693" s="69">
        <v>0</v>
      </c>
      <c r="Z693" s="120">
        <f t="shared" si="85"/>
        <v>0</v>
      </c>
      <c r="AA693" s="69">
        <v>0</v>
      </c>
      <c r="AB693" s="120">
        <f t="shared" si="86"/>
        <v>0</v>
      </c>
      <c r="AC693" s="69">
        <v>0</v>
      </c>
      <c r="AD693" s="120">
        <f t="shared" si="87"/>
        <v>0</v>
      </c>
      <c r="AE693" s="69">
        <v>0</v>
      </c>
      <c r="AF693" s="88">
        <f>'Terms and Turnovers'!Z114</f>
        <v>0</v>
      </c>
      <c r="AG693" s="161">
        <f t="shared" si="88"/>
        <v>0</v>
      </c>
      <c r="AH693" s="158">
        <f t="shared" si="89"/>
        <v>0</v>
      </c>
      <c r="AI693" s="134">
        <f t="shared" si="90"/>
        <v>0</v>
      </c>
      <c r="AJ693" s="65"/>
      <c r="AV693" s="56"/>
    </row>
    <row r="694" spans="1:48" ht="13.5" customHeight="1" outlineLevel="1" thickBot="1">
      <c r="B694" s="82"/>
      <c r="C694" s="1231"/>
      <c r="D694" s="1231"/>
      <c r="E694" s="84" t="str">
        <f>'Terms and Turnovers'!$AD$12</f>
        <v>ACCESSORIES</v>
      </c>
      <c r="F694" s="121">
        <f>$R694*G694</f>
        <v>0</v>
      </c>
      <c r="G694" s="723"/>
      <c r="H694" s="121">
        <f>$R694*I694</f>
        <v>0</v>
      </c>
      <c r="I694" s="69">
        <v>0</v>
      </c>
      <c r="J694" s="120">
        <f t="shared" si="78"/>
        <v>0</v>
      </c>
      <c r="K694" s="69">
        <v>0</v>
      </c>
      <c r="L694" s="120">
        <f t="shared" si="79"/>
        <v>0</v>
      </c>
      <c r="M694" s="69">
        <v>0</v>
      </c>
      <c r="N694" s="315">
        <f t="shared" si="80"/>
        <v>0</v>
      </c>
      <c r="O694" s="69">
        <v>0</v>
      </c>
      <c r="P694" s="121">
        <f t="shared" si="81"/>
        <v>0</v>
      </c>
      <c r="Q694" s="69">
        <v>0</v>
      </c>
      <c r="R694" s="88">
        <f>'Terms and Turnovers'!AE114</f>
        <v>0</v>
      </c>
      <c r="S694" s="161">
        <f t="shared" si="83"/>
        <v>0</v>
      </c>
      <c r="T694" s="120">
        <f t="shared" si="91"/>
        <v>0</v>
      </c>
      <c r="U694" s="69">
        <v>0</v>
      </c>
      <c r="V694" s="120">
        <f t="shared" si="82"/>
        <v>0</v>
      </c>
      <c r="W694" s="69">
        <v>0</v>
      </c>
      <c r="X694" s="120">
        <f t="shared" si="84"/>
        <v>0</v>
      </c>
      <c r="Y694" s="69">
        <v>0</v>
      </c>
      <c r="Z694" s="120">
        <f t="shared" si="85"/>
        <v>0</v>
      </c>
      <c r="AA694" s="69">
        <v>0</v>
      </c>
      <c r="AB694" s="120">
        <f t="shared" si="86"/>
        <v>0</v>
      </c>
      <c r="AC694" s="69">
        <v>0</v>
      </c>
      <c r="AD694" s="120">
        <f t="shared" si="87"/>
        <v>0</v>
      </c>
      <c r="AE694" s="69">
        <v>0</v>
      </c>
      <c r="AF694" s="88">
        <f>'Terms and Turnovers'!AJ114</f>
        <v>0</v>
      </c>
      <c r="AG694" s="161">
        <f t="shared" si="88"/>
        <v>0</v>
      </c>
      <c r="AH694" s="158">
        <f t="shared" si="89"/>
        <v>0</v>
      </c>
      <c r="AI694" s="134">
        <f t="shared" si="90"/>
        <v>0</v>
      </c>
      <c r="AJ694" s="65"/>
      <c r="AV694" s="56"/>
    </row>
    <row r="695" spans="1:48" ht="13.5" customHeight="1" outlineLevel="1" thickBot="1">
      <c r="B695" s="82"/>
      <c r="C695" s="1231"/>
      <c r="D695" s="1231"/>
      <c r="E695" s="84">
        <f>'Terms and Turnovers'!$AN$12</f>
        <v>0</v>
      </c>
      <c r="F695" s="121">
        <f>$R695*G695</f>
        <v>0</v>
      </c>
      <c r="G695" s="723"/>
      <c r="H695" s="121">
        <f>$R695*I695</f>
        <v>0</v>
      </c>
      <c r="I695" s="69">
        <v>0</v>
      </c>
      <c r="J695" s="120">
        <f t="shared" si="78"/>
        <v>0</v>
      </c>
      <c r="K695" s="69">
        <v>0</v>
      </c>
      <c r="L695" s="120">
        <f t="shared" si="79"/>
        <v>0</v>
      </c>
      <c r="M695" s="69">
        <v>0</v>
      </c>
      <c r="N695" s="315">
        <f t="shared" si="80"/>
        <v>0</v>
      </c>
      <c r="O695" s="69">
        <v>0</v>
      </c>
      <c r="P695" s="121">
        <f t="shared" si="81"/>
        <v>0</v>
      </c>
      <c r="Q695" s="69">
        <v>0</v>
      </c>
      <c r="R695" s="88">
        <f>'Terms and Turnovers'!AO114</f>
        <v>0</v>
      </c>
      <c r="S695" s="161">
        <f t="shared" si="83"/>
        <v>0</v>
      </c>
      <c r="T695" s="120">
        <f t="shared" si="91"/>
        <v>0</v>
      </c>
      <c r="U695" s="69">
        <v>0</v>
      </c>
      <c r="V695" s="120">
        <f t="shared" si="82"/>
        <v>0</v>
      </c>
      <c r="W695" s="69">
        <v>0</v>
      </c>
      <c r="X695" s="120">
        <f t="shared" si="84"/>
        <v>0</v>
      </c>
      <c r="Y695" s="69">
        <v>0</v>
      </c>
      <c r="Z695" s="120">
        <f t="shared" si="85"/>
        <v>0</v>
      </c>
      <c r="AA695" s="69">
        <v>0</v>
      </c>
      <c r="AB695" s="120">
        <f t="shared" si="86"/>
        <v>0</v>
      </c>
      <c r="AC695" s="69">
        <v>0</v>
      </c>
      <c r="AD695" s="120">
        <f t="shared" si="87"/>
        <v>0</v>
      </c>
      <c r="AE695" s="69">
        <v>0</v>
      </c>
      <c r="AF695" s="88">
        <f>'Terms and Turnovers'!AT114</f>
        <v>0</v>
      </c>
      <c r="AG695" s="161">
        <f t="shared" si="88"/>
        <v>0</v>
      </c>
      <c r="AH695" s="158">
        <f t="shared" si="89"/>
        <v>0</v>
      </c>
      <c r="AI695" s="134">
        <f t="shared" si="90"/>
        <v>0</v>
      </c>
      <c r="AJ695" s="65"/>
      <c r="AV695" s="56"/>
    </row>
    <row r="696" spans="1:48" ht="13.5" customHeight="1" outlineLevel="1" thickBot="1">
      <c r="B696" s="82"/>
      <c r="C696" s="1232"/>
      <c r="D696" s="1232"/>
      <c r="E696" s="85">
        <f>'Terms and Turnovers'!$AX$12</f>
        <v>0</v>
      </c>
      <c r="F696" s="121">
        <f>$R696*G696</f>
        <v>0</v>
      </c>
      <c r="G696" s="72"/>
      <c r="H696" s="121">
        <f>$R696*I696</f>
        <v>0</v>
      </c>
      <c r="I696" s="69">
        <v>0</v>
      </c>
      <c r="J696" s="121">
        <f t="shared" si="78"/>
        <v>0</v>
      </c>
      <c r="K696" s="69">
        <v>0</v>
      </c>
      <c r="L696" s="121">
        <f t="shared" si="79"/>
        <v>0</v>
      </c>
      <c r="M696" s="69">
        <v>0</v>
      </c>
      <c r="N696" s="316">
        <f t="shared" si="80"/>
        <v>0</v>
      </c>
      <c r="O696" s="69">
        <v>0</v>
      </c>
      <c r="P696" s="121">
        <f t="shared" si="81"/>
        <v>0</v>
      </c>
      <c r="Q696" s="69">
        <v>0</v>
      </c>
      <c r="R696" s="89">
        <f>'Terms and Turnovers'!AY114</f>
        <v>0</v>
      </c>
      <c r="S696" s="162">
        <f t="shared" si="83"/>
        <v>0</v>
      </c>
      <c r="T696" s="121">
        <f t="shared" si="91"/>
        <v>0</v>
      </c>
      <c r="U696" s="69">
        <v>0</v>
      </c>
      <c r="V696" s="121">
        <f t="shared" si="82"/>
        <v>0</v>
      </c>
      <c r="W696" s="69">
        <v>0</v>
      </c>
      <c r="X696" s="121">
        <f t="shared" si="84"/>
        <v>0</v>
      </c>
      <c r="Y696" s="69">
        <v>0</v>
      </c>
      <c r="Z696" s="121">
        <f t="shared" si="85"/>
        <v>0</v>
      </c>
      <c r="AA696" s="69">
        <v>0</v>
      </c>
      <c r="AB696" s="121">
        <f t="shared" si="86"/>
        <v>0</v>
      </c>
      <c r="AC696" s="69">
        <v>0</v>
      </c>
      <c r="AD696" s="121">
        <f t="shared" si="87"/>
        <v>0</v>
      </c>
      <c r="AE696" s="69">
        <v>0</v>
      </c>
      <c r="AF696" s="89">
        <f>'Terms and Turnovers'!BD114</f>
        <v>0</v>
      </c>
      <c r="AG696" s="162">
        <f t="shared" si="88"/>
        <v>0</v>
      </c>
      <c r="AH696" s="159">
        <f t="shared" si="89"/>
        <v>0</v>
      </c>
      <c r="AI696" s="137">
        <f t="shared" si="90"/>
        <v>0</v>
      </c>
      <c r="AJ696" s="65"/>
      <c r="AV696" s="56"/>
    </row>
    <row r="697" spans="1:48" ht="13.5" customHeight="1" outlineLevel="1" thickBot="1">
      <c r="B697" s="82"/>
      <c r="C697" s="722"/>
      <c r="D697" s="944"/>
      <c r="E697" s="426"/>
      <c r="F697" s="121"/>
      <c r="G697" s="428"/>
      <c r="H697" s="121"/>
      <c r="I697" s="69">
        <v>0</v>
      </c>
      <c r="J697" s="427"/>
      <c r="K697" s="69">
        <v>0</v>
      </c>
      <c r="L697" s="427"/>
      <c r="M697" s="69"/>
      <c r="N697" s="639"/>
      <c r="O697" s="69"/>
      <c r="P697" s="121"/>
      <c r="Q697" s="69"/>
      <c r="R697" s="429"/>
      <c r="S697" s="430"/>
      <c r="T697" s="427"/>
      <c r="U697" s="69"/>
      <c r="V697" s="427"/>
      <c r="W697" s="69"/>
      <c r="X697" s="427"/>
      <c r="Y697" s="428"/>
      <c r="Z697" s="427"/>
      <c r="AA697" s="358"/>
      <c r="AB697" s="427"/>
      <c r="AC697" s="69"/>
      <c r="AD697" s="427"/>
      <c r="AE697" s="69"/>
      <c r="AF697" s="429"/>
      <c r="AG697" s="430"/>
      <c r="AH697" s="431"/>
      <c r="AI697" s="432"/>
      <c r="AJ697" s="65"/>
    </row>
    <row r="698" spans="1:48" ht="13.5" customHeight="1" outlineLevel="1" thickBot="1">
      <c r="B698" s="82"/>
      <c r="C698" s="722"/>
      <c r="D698" s="944"/>
      <c r="E698" s="426"/>
      <c r="F698" s="121"/>
      <c r="G698" s="428"/>
      <c r="H698" s="121"/>
      <c r="I698" s="69">
        <v>0</v>
      </c>
      <c r="J698" s="427"/>
      <c r="K698" s="69">
        <v>0</v>
      </c>
      <c r="L698" s="427"/>
      <c r="M698" s="69"/>
      <c r="N698" s="639"/>
      <c r="O698" s="69"/>
      <c r="P698" s="121"/>
      <c r="Q698" s="69"/>
      <c r="R698" s="429"/>
      <c r="S698" s="430"/>
      <c r="T698" s="427"/>
      <c r="U698" s="69"/>
      <c r="V698" s="427"/>
      <c r="W698" s="69"/>
      <c r="X698" s="427"/>
      <c r="Y698" s="428"/>
      <c r="Z698" s="427"/>
      <c r="AA698" s="358"/>
      <c r="AB698" s="427"/>
      <c r="AC698" s="69"/>
      <c r="AD698" s="427"/>
      <c r="AE698" s="69"/>
      <c r="AF698" s="429"/>
      <c r="AG698" s="430"/>
      <c r="AH698" s="431"/>
      <c r="AI698" s="432"/>
      <c r="AJ698" s="65"/>
    </row>
    <row r="699" spans="1:48" ht="13.5" customHeight="1" outlineLevel="1" thickBot="1">
      <c r="B699" s="82">
        <f>B692+1</f>
        <v>100</v>
      </c>
      <c r="C699" s="1230">
        <f>'Terms and Turnovers'!C115</f>
        <v>0</v>
      </c>
      <c r="D699" s="1230">
        <f>'Terms and Turnovers'!D115</f>
        <v>0</v>
      </c>
      <c r="E699" s="83" t="str">
        <f>'Terms and Turnovers'!$J$12</f>
        <v>FLIP-FLOPS</v>
      </c>
      <c r="F699" s="121">
        <f>$R699*G699</f>
        <v>0</v>
      </c>
      <c r="G699" s="69"/>
      <c r="H699" s="316">
        <f>$R699*I699</f>
        <v>0</v>
      </c>
      <c r="I699" s="69">
        <v>0</v>
      </c>
      <c r="J699" s="118">
        <f t="shared" si="78"/>
        <v>0</v>
      </c>
      <c r="K699" s="69">
        <v>0</v>
      </c>
      <c r="L699" s="314">
        <f t="shared" si="79"/>
        <v>0</v>
      </c>
      <c r="M699" s="69">
        <v>0</v>
      </c>
      <c r="N699" s="314">
        <f t="shared" si="80"/>
        <v>0</v>
      </c>
      <c r="O699" s="69">
        <v>0</v>
      </c>
      <c r="P699" s="121">
        <f t="shared" si="81"/>
        <v>0</v>
      </c>
      <c r="Q699" s="69">
        <v>0</v>
      </c>
      <c r="R699" s="87">
        <f>'Terms and Turnovers'!K115</f>
        <v>0</v>
      </c>
      <c r="S699" s="160">
        <f t="shared" si="83"/>
        <v>0</v>
      </c>
      <c r="T699" s="118">
        <f t="shared" si="91"/>
        <v>0</v>
      </c>
      <c r="U699" s="69">
        <v>0</v>
      </c>
      <c r="V699" s="118">
        <f t="shared" si="82"/>
        <v>0</v>
      </c>
      <c r="W699" s="69">
        <v>0</v>
      </c>
      <c r="X699" s="118">
        <f t="shared" si="84"/>
        <v>0</v>
      </c>
      <c r="Y699" s="69">
        <v>0</v>
      </c>
      <c r="Z699" s="118">
        <f t="shared" si="85"/>
        <v>0</v>
      </c>
      <c r="AA699" s="69">
        <v>0</v>
      </c>
      <c r="AB699" s="118">
        <f t="shared" si="86"/>
        <v>0</v>
      </c>
      <c r="AC699" s="69">
        <v>0</v>
      </c>
      <c r="AD699" s="118">
        <f t="shared" si="87"/>
        <v>0</v>
      </c>
      <c r="AE699" s="69">
        <v>0</v>
      </c>
      <c r="AF699" s="87">
        <f>'Terms and Turnovers'!P115</f>
        <v>0</v>
      </c>
      <c r="AG699" s="160">
        <f t="shared" si="88"/>
        <v>0</v>
      </c>
      <c r="AH699" s="157">
        <f t="shared" si="89"/>
        <v>0</v>
      </c>
      <c r="AI699" s="131">
        <f t="shared" si="90"/>
        <v>0</v>
      </c>
      <c r="AJ699" s="65"/>
    </row>
    <row r="700" spans="1:48" ht="13.5" customHeight="1" outlineLevel="1" thickBot="1">
      <c r="B700" s="82"/>
      <c r="C700" s="1231"/>
      <c r="D700" s="1231"/>
      <c r="E700" s="84" t="str">
        <f>'Terms and Turnovers'!$T$12</f>
        <v>ORIGINALS</v>
      </c>
      <c r="F700" s="121">
        <f>$R700*G700</f>
        <v>0</v>
      </c>
      <c r="G700" s="723"/>
      <c r="H700" s="121">
        <f>$R700*I700</f>
        <v>0</v>
      </c>
      <c r="I700" s="69">
        <v>0</v>
      </c>
      <c r="J700" s="120">
        <f t="shared" si="78"/>
        <v>0</v>
      </c>
      <c r="K700" s="69">
        <v>0</v>
      </c>
      <c r="L700" s="120">
        <f t="shared" si="79"/>
        <v>0</v>
      </c>
      <c r="M700" s="69">
        <v>0</v>
      </c>
      <c r="N700" s="315">
        <f t="shared" si="80"/>
        <v>0</v>
      </c>
      <c r="O700" s="69">
        <v>0</v>
      </c>
      <c r="P700" s="121">
        <f t="shared" si="81"/>
        <v>0</v>
      </c>
      <c r="Q700" s="69">
        <v>0</v>
      </c>
      <c r="R700" s="88">
        <f>'Terms and Turnovers'!U115</f>
        <v>0</v>
      </c>
      <c r="S700" s="161">
        <f t="shared" si="83"/>
        <v>0</v>
      </c>
      <c r="T700" s="120">
        <f t="shared" si="91"/>
        <v>0</v>
      </c>
      <c r="U700" s="69">
        <v>0</v>
      </c>
      <c r="V700" s="120">
        <f t="shared" si="82"/>
        <v>0</v>
      </c>
      <c r="W700" s="69">
        <v>0</v>
      </c>
      <c r="X700" s="120">
        <f t="shared" si="84"/>
        <v>0</v>
      </c>
      <c r="Y700" s="69">
        <v>0</v>
      </c>
      <c r="Z700" s="120">
        <f t="shared" si="85"/>
        <v>0</v>
      </c>
      <c r="AA700" s="69">
        <v>0</v>
      </c>
      <c r="AB700" s="120">
        <f t="shared" si="86"/>
        <v>0</v>
      </c>
      <c r="AC700" s="69">
        <v>0</v>
      </c>
      <c r="AD700" s="120">
        <f t="shared" si="87"/>
        <v>0</v>
      </c>
      <c r="AE700" s="69">
        <v>0</v>
      </c>
      <c r="AF700" s="88">
        <f>'Terms and Turnovers'!Z115</f>
        <v>0</v>
      </c>
      <c r="AG700" s="161">
        <f t="shared" si="88"/>
        <v>0</v>
      </c>
      <c r="AH700" s="158">
        <f t="shared" si="89"/>
        <v>0</v>
      </c>
      <c r="AI700" s="134">
        <f t="shared" si="90"/>
        <v>0</v>
      </c>
      <c r="AJ700" s="65"/>
    </row>
    <row r="701" spans="1:48" ht="13.5" customHeight="1" outlineLevel="1" thickBot="1">
      <c r="B701" s="82"/>
      <c r="C701" s="1231"/>
      <c r="D701" s="1231"/>
      <c r="E701" s="84" t="str">
        <f>'Terms and Turnovers'!$AD$12</f>
        <v>ACCESSORIES</v>
      </c>
      <c r="F701" s="121">
        <f>$R701*G701</f>
        <v>0</v>
      </c>
      <c r="G701" s="723"/>
      <c r="H701" s="121">
        <f>$R701*I701</f>
        <v>0</v>
      </c>
      <c r="I701" s="69">
        <v>0</v>
      </c>
      <c r="J701" s="120">
        <f t="shared" si="78"/>
        <v>0</v>
      </c>
      <c r="K701" s="69">
        <v>0</v>
      </c>
      <c r="L701" s="120">
        <f t="shared" si="79"/>
        <v>0</v>
      </c>
      <c r="M701" s="69">
        <v>0</v>
      </c>
      <c r="N701" s="315">
        <f t="shared" si="80"/>
        <v>0</v>
      </c>
      <c r="O701" s="69">
        <v>0</v>
      </c>
      <c r="P701" s="121">
        <f t="shared" si="81"/>
        <v>0</v>
      </c>
      <c r="Q701" s="69">
        <v>0</v>
      </c>
      <c r="R701" s="88">
        <f>'Terms and Turnovers'!AE115</f>
        <v>0</v>
      </c>
      <c r="S701" s="161">
        <f t="shared" si="83"/>
        <v>0</v>
      </c>
      <c r="T701" s="120">
        <f t="shared" si="91"/>
        <v>0</v>
      </c>
      <c r="U701" s="69">
        <v>0</v>
      </c>
      <c r="V701" s="120">
        <f t="shared" si="82"/>
        <v>0</v>
      </c>
      <c r="W701" s="69">
        <v>0</v>
      </c>
      <c r="X701" s="120">
        <f t="shared" si="84"/>
        <v>0</v>
      </c>
      <c r="Y701" s="69">
        <v>0</v>
      </c>
      <c r="Z701" s="120">
        <f t="shared" si="85"/>
        <v>0</v>
      </c>
      <c r="AA701" s="69">
        <v>0</v>
      </c>
      <c r="AB701" s="120">
        <f t="shared" si="86"/>
        <v>0</v>
      </c>
      <c r="AC701" s="69">
        <v>0</v>
      </c>
      <c r="AD701" s="120">
        <f t="shared" si="87"/>
        <v>0</v>
      </c>
      <c r="AE701" s="69">
        <v>0</v>
      </c>
      <c r="AF701" s="88">
        <f>'Terms and Turnovers'!AJ115</f>
        <v>0</v>
      </c>
      <c r="AG701" s="161">
        <f t="shared" si="88"/>
        <v>0</v>
      </c>
      <c r="AH701" s="158">
        <f t="shared" si="89"/>
        <v>0</v>
      </c>
      <c r="AI701" s="134">
        <f t="shared" si="90"/>
        <v>0</v>
      </c>
      <c r="AJ701" s="65"/>
    </row>
    <row r="702" spans="1:48" ht="13.5" customHeight="1" outlineLevel="1" thickBot="1">
      <c r="B702" s="82"/>
      <c r="C702" s="1231"/>
      <c r="D702" s="1231"/>
      <c r="E702" s="84">
        <f>'Terms and Turnovers'!$AN$12</f>
        <v>0</v>
      </c>
      <c r="F702" s="121">
        <f>$R702*G702</f>
        <v>0</v>
      </c>
      <c r="G702" s="723"/>
      <c r="H702" s="121">
        <f>$R702*I702</f>
        <v>0</v>
      </c>
      <c r="I702" s="69">
        <v>0</v>
      </c>
      <c r="J702" s="120">
        <f t="shared" si="78"/>
        <v>0</v>
      </c>
      <c r="K702" s="69">
        <v>0</v>
      </c>
      <c r="L702" s="120">
        <f t="shared" si="79"/>
        <v>0</v>
      </c>
      <c r="M702" s="69">
        <v>0</v>
      </c>
      <c r="N702" s="315">
        <f t="shared" si="80"/>
        <v>0</v>
      </c>
      <c r="O702" s="69">
        <v>0</v>
      </c>
      <c r="P702" s="121">
        <f t="shared" si="81"/>
        <v>0</v>
      </c>
      <c r="Q702" s="69">
        <v>0</v>
      </c>
      <c r="R702" s="88">
        <f>'Terms and Turnovers'!AO115</f>
        <v>0</v>
      </c>
      <c r="S702" s="161">
        <f t="shared" si="83"/>
        <v>0</v>
      </c>
      <c r="T702" s="120">
        <f t="shared" si="91"/>
        <v>0</v>
      </c>
      <c r="U702" s="69">
        <v>0</v>
      </c>
      <c r="V702" s="120">
        <f t="shared" si="82"/>
        <v>0</v>
      </c>
      <c r="W702" s="69">
        <v>0</v>
      </c>
      <c r="X702" s="120">
        <f t="shared" si="84"/>
        <v>0</v>
      </c>
      <c r="Y702" s="69">
        <v>0</v>
      </c>
      <c r="Z702" s="120">
        <f t="shared" si="85"/>
        <v>0</v>
      </c>
      <c r="AA702" s="69">
        <v>0</v>
      </c>
      <c r="AB702" s="120">
        <f t="shared" si="86"/>
        <v>0</v>
      </c>
      <c r="AC702" s="69">
        <v>0</v>
      </c>
      <c r="AD702" s="120">
        <f t="shared" si="87"/>
        <v>0</v>
      </c>
      <c r="AE702" s="69">
        <v>0</v>
      </c>
      <c r="AF702" s="88">
        <f>'Terms and Turnovers'!AT115</f>
        <v>0</v>
      </c>
      <c r="AG702" s="161">
        <f t="shared" si="88"/>
        <v>0</v>
      </c>
      <c r="AH702" s="158">
        <f t="shared" si="89"/>
        <v>0</v>
      </c>
      <c r="AI702" s="134">
        <f t="shared" si="90"/>
        <v>0</v>
      </c>
      <c r="AJ702" s="65"/>
    </row>
    <row r="703" spans="1:48" ht="13.5" customHeight="1" outlineLevel="1" thickBot="1">
      <c r="B703" s="82"/>
      <c r="C703" s="1232"/>
      <c r="D703" s="1232"/>
      <c r="E703" s="85">
        <f>'Terms and Turnovers'!$AX$12</f>
        <v>0</v>
      </c>
      <c r="F703" s="121">
        <f>$R703*G703</f>
        <v>0</v>
      </c>
      <c r="G703" s="72"/>
      <c r="H703" s="121">
        <f>$R703*I703</f>
        <v>0</v>
      </c>
      <c r="I703" s="69">
        <v>0</v>
      </c>
      <c r="J703" s="121">
        <f t="shared" si="78"/>
        <v>0</v>
      </c>
      <c r="K703" s="69">
        <v>0</v>
      </c>
      <c r="L703" s="121">
        <f t="shared" si="79"/>
        <v>0</v>
      </c>
      <c r="M703" s="69">
        <v>0</v>
      </c>
      <c r="N703" s="316">
        <f t="shared" si="80"/>
        <v>0</v>
      </c>
      <c r="O703" s="69">
        <v>0</v>
      </c>
      <c r="P703" s="121">
        <f t="shared" si="81"/>
        <v>0</v>
      </c>
      <c r="Q703" s="69">
        <v>0</v>
      </c>
      <c r="R703" s="89">
        <f>'Terms and Turnovers'!AY115</f>
        <v>0</v>
      </c>
      <c r="S703" s="162">
        <f t="shared" si="83"/>
        <v>0</v>
      </c>
      <c r="T703" s="121">
        <f t="shared" si="91"/>
        <v>0</v>
      </c>
      <c r="U703" s="69">
        <v>0</v>
      </c>
      <c r="V703" s="121">
        <f t="shared" si="82"/>
        <v>0</v>
      </c>
      <c r="W703" s="69">
        <v>0</v>
      </c>
      <c r="X703" s="121">
        <f t="shared" si="84"/>
        <v>0</v>
      </c>
      <c r="Y703" s="69">
        <v>0</v>
      </c>
      <c r="Z703" s="121">
        <f t="shared" si="85"/>
        <v>0</v>
      </c>
      <c r="AA703" s="69">
        <v>0</v>
      </c>
      <c r="AB703" s="121">
        <f t="shared" si="86"/>
        <v>0</v>
      </c>
      <c r="AC703" s="69">
        <v>0</v>
      </c>
      <c r="AD703" s="121">
        <f t="shared" si="87"/>
        <v>0</v>
      </c>
      <c r="AE703" s="69">
        <v>0</v>
      </c>
      <c r="AF703" s="89">
        <f>'Terms and Turnovers'!BD115</f>
        <v>0</v>
      </c>
      <c r="AG703" s="162">
        <f t="shared" si="88"/>
        <v>0</v>
      </c>
      <c r="AH703" s="159">
        <f t="shared" si="89"/>
        <v>0</v>
      </c>
      <c r="AI703" s="137">
        <f t="shared" si="90"/>
        <v>0</v>
      </c>
      <c r="AJ703" s="65"/>
    </row>
    <row r="704" spans="1:48" ht="13.5" customHeight="1" outlineLevel="1" thickBot="1">
      <c r="B704" s="82"/>
      <c r="C704" s="722"/>
      <c r="D704" s="944"/>
      <c r="E704" s="426"/>
      <c r="F704" s="427"/>
      <c r="G704" s="428"/>
      <c r="H704" s="427"/>
      <c r="I704" s="69"/>
      <c r="J704" s="427"/>
      <c r="K704" s="69"/>
      <c r="L704" s="427"/>
      <c r="M704" s="69"/>
      <c r="N704" s="639"/>
      <c r="O704" s="69"/>
      <c r="P704" s="427"/>
      <c r="Q704" s="69"/>
      <c r="R704" s="429"/>
      <c r="S704" s="428"/>
      <c r="T704" s="427"/>
      <c r="U704" s="69"/>
      <c r="V704" s="427"/>
      <c r="W704" s="69"/>
      <c r="X704" s="427"/>
      <c r="Y704" s="428"/>
      <c r="Z704" s="427"/>
      <c r="AA704" s="358"/>
      <c r="AB704" s="427"/>
      <c r="AC704" s="69"/>
      <c r="AD704" s="427"/>
      <c r="AE704" s="69"/>
      <c r="AF704" s="429"/>
      <c r="AG704" s="428"/>
      <c r="AH704" s="431"/>
      <c r="AI704" s="432"/>
      <c r="AJ704" s="65"/>
    </row>
    <row r="705" spans="1:48" ht="13.5" customHeight="1" outlineLevel="1" thickBot="1">
      <c r="B705" s="82"/>
      <c r="C705" s="722"/>
      <c r="D705" s="944"/>
      <c r="E705" s="426"/>
      <c r="F705" s="427"/>
      <c r="G705" s="428"/>
      <c r="H705" s="427"/>
      <c r="I705" s="69"/>
      <c r="J705" s="427"/>
      <c r="K705" s="69"/>
      <c r="L705" s="427"/>
      <c r="M705" s="69"/>
      <c r="N705" s="639"/>
      <c r="O705" s="69"/>
      <c r="P705" s="427"/>
      <c r="Q705" s="69"/>
      <c r="R705" s="429"/>
      <c r="S705" s="428"/>
      <c r="T705" s="427"/>
      <c r="U705" s="69"/>
      <c r="V705" s="427"/>
      <c r="W705" s="69"/>
      <c r="X705" s="427"/>
      <c r="Y705" s="428"/>
      <c r="Z705" s="427"/>
      <c r="AA705" s="358"/>
      <c r="AB705" s="427"/>
      <c r="AC705" s="69"/>
      <c r="AD705" s="427"/>
      <c r="AE705" s="69"/>
      <c r="AF705" s="429"/>
      <c r="AG705" s="428"/>
      <c r="AH705" s="431"/>
      <c r="AI705" s="432"/>
      <c r="AJ705" s="65"/>
    </row>
    <row r="706" spans="1:48" ht="12.75" customHeight="1" outlineLevel="1" thickBot="1">
      <c r="B706" s="82"/>
      <c r="C706" s="1230" t="s">
        <v>46</v>
      </c>
      <c r="D706" s="1230" t="s">
        <v>171</v>
      </c>
      <c r="E706" s="83" t="str">
        <f>'Terms and Turnovers'!$J$12</f>
        <v>FLIP-FLOPS</v>
      </c>
      <c r="F706" s="314">
        <f>SUMIF($E$6:$E$703,$E$706,F6:F703)</f>
        <v>0</v>
      </c>
      <c r="G706" s="69">
        <f>F706/$R$706</f>
        <v>0</v>
      </c>
      <c r="H706" s="314">
        <f>SUMIF($E$6:$E$703,$E$706,H6:H703)</f>
        <v>0</v>
      </c>
      <c r="I706" s="69">
        <f>H706/$R$706</f>
        <v>0</v>
      </c>
      <c r="J706" s="314">
        <f>SUMIF($E$6:$E$703,$E$706,J6:J703)</f>
        <v>0</v>
      </c>
      <c r="K706" s="69">
        <f>J706/$R$706</f>
        <v>0</v>
      </c>
      <c r="L706" s="314">
        <f>SUMIF($E$6:$E$703,$E$706,L6:L703)</f>
        <v>3976894.3314749999</v>
      </c>
      <c r="M706" s="69">
        <f>L706/$R$706</f>
        <v>0.56517618195374464</v>
      </c>
      <c r="N706" s="314">
        <f>SUMIF($E$6:$E$703,$E$706,N6:N703)</f>
        <v>1320544.023825</v>
      </c>
      <c r="O706" s="69">
        <f>N706/$R$706</f>
        <v>0.18766906215746409</v>
      </c>
      <c r="P706" s="314">
        <f>SUMIF($E$6:$E$703,$E$706,P6:P703)</f>
        <v>1739118.4892000002</v>
      </c>
      <c r="Q706" s="69">
        <f>P706/$R$706</f>
        <v>0.24715475588879116</v>
      </c>
      <c r="R706" s="87">
        <f>SUMIF($E$6:$E$703,$E$706,R6:R703)</f>
        <v>7036556.8445000006</v>
      </c>
      <c r="S706" s="162">
        <f>SUM(G706,I706,K706,M706,O706,Q706)</f>
        <v>1</v>
      </c>
      <c r="T706" s="314">
        <f>SUMIF($E$6:$E$703,$E$706,T6:T703)</f>
        <v>1254466.5100500002</v>
      </c>
      <c r="U706" s="69">
        <f>T706/$AF$706</f>
        <v>0.41673299257268054</v>
      </c>
      <c r="V706" s="314">
        <f>SUMIF($E$6:$E$703,$E$706,V6:V703)</f>
        <v>877886.96872500016</v>
      </c>
      <c r="W706" s="69">
        <f>V706/$AF$706</f>
        <v>0.29163350371365976</v>
      </c>
      <c r="X706" s="314">
        <f>SUMIF($E$6:$E$703,$E$706,X6:X703)</f>
        <v>453102.95160000009</v>
      </c>
      <c r="Y706" s="69">
        <f>X706/$AF$706</f>
        <v>0.15052051804575989</v>
      </c>
      <c r="Z706" s="314">
        <f>SUMIF($E$6:$E$703,$E$706,Z6:Z703)</f>
        <v>198232.54132500003</v>
      </c>
      <c r="AA706" s="69">
        <f>Z706/$AF$706</f>
        <v>6.5852726645019941E-2</v>
      </c>
      <c r="AB706" s="314">
        <f>SUMIF($E$6:$E$703,$E$706,AB6:AB703)</f>
        <v>113275.73790000002</v>
      </c>
      <c r="AC706" s="69">
        <f>AB706/$AF$706</f>
        <v>3.7630129511439972E-2</v>
      </c>
      <c r="AD706" s="314">
        <f>SUMIF($E$6:$E$703,$E$706,AD6:AD703)</f>
        <v>113275.73790000002</v>
      </c>
      <c r="AE706" s="69">
        <f>AD706/$AF$706</f>
        <v>3.7630129511439972E-2</v>
      </c>
      <c r="AF706" s="87">
        <f>SUMIF($E$6:$E$703,$E$706,AF6:AF703)</f>
        <v>3010240.4475000002</v>
      </c>
      <c r="AG706" s="162">
        <f>SUM(U706,W706,Y706,AA706,AC706,AE706)</f>
        <v>1</v>
      </c>
      <c r="AH706" s="157">
        <f>SUM(R706,AF706)</f>
        <v>10046797.292000001</v>
      </c>
      <c r="AI706" s="131">
        <f t="shared" si="90"/>
        <v>2</v>
      </c>
      <c r="AJ706" s="65"/>
    </row>
    <row r="707" spans="1:48" ht="12.75" customHeight="1" outlineLevel="1" thickBot="1">
      <c r="B707" s="82"/>
      <c r="C707" s="1231"/>
      <c r="D707" s="1231"/>
      <c r="E707" s="84" t="str">
        <f>'Terms and Turnovers'!$T$12</f>
        <v>ORIGINALS</v>
      </c>
      <c r="F707" s="120">
        <f>SUMIF($E$6:$E$703,$E$707,F6:F703)</f>
        <v>0</v>
      </c>
      <c r="G707" s="1097" t="e">
        <f>F707/$R$707</f>
        <v>#DIV/0!</v>
      </c>
      <c r="H707" s="120">
        <f>SUMIF($E$6:$E$703,$E$707,H6:H703)</f>
        <v>0</v>
      </c>
      <c r="I707" s="1097" t="e">
        <f>H707/$R$707</f>
        <v>#DIV/0!</v>
      </c>
      <c r="J707" s="120">
        <f>SUMIF($E$6:$E$703,$E$707,J6:J703)</f>
        <v>0</v>
      </c>
      <c r="K707" s="1097" t="e">
        <f>J707/$R$707</f>
        <v>#DIV/0!</v>
      </c>
      <c r="L707" s="120">
        <f>SUMIF($E$6:$E$703,$E$707,L6:L703)</f>
        <v>0</v>
      </c>
      <c r="M707" s="1097" t="e">
        <f>L707/$R$707</f>
        <v>#DIV/0!</v>
      </c>
      <c r="N707" s="120">
        <f>SUMIF($E$6:$E$703,$E$707,N6:N703)</f>
        <v>0</v>
      </c>
      <c r="O707" s="1097" t="e">
        <f>N707/$R$707</f>
        <v>#DIV/0!</v>
      </c>
      <c r="P707" s="120">
        <f>SUMIF($E$6:$E$703,$E$707,P6:P703)</f>
        <v>0</v>
      </c>
      <c r="Q707" s="1097" t="e">
        <f>P707/$R$707</f>
        <v>#DIV/0!</v>
      </c>
      <c r="R707" s="88">
        <f>SUMIF($E$6:$E$703,$E$707,R6:R703)</f>
        <v>0</v>
      </c>
      <c r="S707" s="162" t="e">
        <f>SUM(G707,I707,K707,M707,O707,Q707)</f>
        <v>#DIV/0!</v>
      </c>
      <c r="T707" s="314">
        <f>SUMIF($E$6:$E$703,$E$706,T7:T704)</f>
        <v>0</v>
      </c>
      <c r="U707" s="69" t="e">
        <f>T707/$AF$707</f>
        <v>#DIV/0!</v>
      </c>
      <c r="V707" s="314">
        <f>SUMIF($E$6:$E$703,$E$706,V7:V704)</f>
        <v>0</v>
      </c>
      <c r="W707" s="69" t="e">
        <f>V707/$AF$707</f>
        <v>#DIV/0!</v>
      </c>
      <c r="X707" s="314">
        <f>SUMIF($E$6:$E$703,$E$706,X7:X704)</f>
        <v>0</v>
      </c>
      <c r="Y707" s="69" t="e">
        <f>X707/$AF$707</f>
        <v>#DIV/0!</v>
      </c>
      <c r="Z707" s="314">
        <f>SUMIF($E$6:$E$703,$E$706,Z7:Z704)</f>
        <v>0</v>
      </c>
      <c r="AA707" s="69" t="e">
        <f>Z707/$AF$707</f>
        <v>#DIV/0!</v>
      </c>
      <c r="AB707" s="314">
        <f>SUMIF($E$6:$E$703,$E$706,AB7:AB704)</f>
        <v>0</v>
      </c>
      <c r="AC707" s="69" t="e">
        <f>AB707/$AF$707</f>
        <v>#DIV/0!</v>
      </c>
      <c r="AD707" s="314">
        <f>SUMIF($E$6:$E$703,$E$706,AD7:AD704)</f>
        <v>0</v>
      </c>
      <c r="AE707" s="69" t="e">
        <f>AD707/$AF$707</f>
        <v>#DIV/0!</v>
      </c>
      <c r="AF707" s="87">
        <f>SUMIF($E$6:$E$703,$E$706,AF7:AF704)</f>
        <v>0</v>
      </c>
      <c r="AG707" s="162" t="e">
        <f>SUM(U707,W707,Y707,AA707,AC707,AE707)</f>
        <v>#DIV/0!</v>
      </c>
      <c r="AH707" s="158">
        <f>SUM(R707,AF707)</f>
        <v>0</v>
      </c>
      <c r="AI707" s="134" t="e">
        <f t="shared" si="90"/>
        <v>#DIV/0!</v>
      </c>
      <c r="AJ707" s="65"/>
    </row>
    <row r="708" spans="1:48" ht="12.75" customHeight="1" outlineLevel="1" thickBot="1">
      <c r="B708" s="82"/>
      <c r="C708" s="1231"/>
      <c r="D708" s="1231"/>
      <c r="E708" s="84" t="str">
        <f>'Terms and Turnovers'!$AD$12</f>
        <v>ACCESSORIES</v>
      </c>
      <c r="F708" s="120">
        <f>SUMIF($E$6:$E$703,$E$708,F6:F703)</f>
        <v>0</v>
      </c>
      <c r="G708" s="1097" t="e">
        <f>F708/$R$708</f>
        <v>#DIV/0!</v>
      </c>
      <c r="H708" s="120">
        <f>SUMIF($E$6:$E$703,$E$708,H6:H703)</f>
        <v>0</v>
      </c>
      <c r="I708" s="1097" t="e">
        <f>H708/$R$708</f>
        <v>#DIV/0!</v>
      </c>
      <c r="J708" s="120">
        <f>SUMIF($E$6:$E$703,$E$708,J6:J703)</f>
        <v>0</v>
      </c>
      <c r="K708" s="1097" t="e">
        <f>J708/$R$708</f>
        <v>#DIV/0!</v>
      </c>
      <c r="L708" s="120">
        <f>SUMIF($E$6:$E$703,$E$708,L6:L703)</f>
        <v>0</v>
      </c>
      <c r="M708" s="1097" t="e">
        <f>L708/$R$708</f>
        <v>#DIV/0!</v>
      </c>
      <c r="N708" s="120">
        <f>SUMIF($E$6:$E$703,$E$708,N6:N703)</f>
        <v>0</v>
      </c>
      <c r="O708" s="1097" t="e">
        <f>N708/$R$708</f>
        <v>#DIV/0!</v>
      </c>
      <c r="P708" s="120">
        <f>SUMIF($E$6:$E$703,$E$708,P6:P703)</f>
        <v>0</v>
      </c>
      <c r="Q708" s="1097" t="e">
        <f>P708/$R$708</f>
        <v>#DIV/0!</v>
      </c>
      <c r="R708" s="88">
        <f>SUMIF($E$6:$E$703,$E$708,R6:R703)</f>
        <v>0</v>
      </c>
      <c r="S708" s="162" t="e">
        <f>SUM(G708,I708,K708,M708,O708,Q708)</f>
        <v>#DIV/0!</v>
      </c>
      <c r="T708" s="314">
        <f>SUMIF($E$6:$E$703,$E$706,T8:T705)</f>
        <v>0</v>
      </c>
      <c r="U708" s="69" t="e">
        <f>T708/$AF$708</f>
        <v>#DIV/0!</v>
      </c>
      <c r="V708" s="314">
        <f>SUMIF($E$6:$E$703,$E$706,V8:V705)</f>
        <v>0</v>
      </c>
      <c r="W708" s="69" t="e">
        <f>V708/$AF$708</f>
        <v>#DIV/0!</v>
      </c>
      <c r="X708" s="314">
        <f>SUMIF($E$6:$E$703,$E$706,X8:X705)</f>
        <v>0</v>
      </c>
      <c r="Y708" s="69" t="e">
        <f>X708/$AF$708</f>
        <v>#DIV/0!</v>
      </c>
      <c r="Z708" s="314">
        <f>SUMIF($E$6:$E$703,$E$706,Z8:Z705)</f>
        <v>0</v>
      </c>
      <c r="AA708" s="69" t="e">
        <f>Z708/$AF$708</f>
        <v>#DIV/0!</v>
      </c>
      <c r="AB708" s="314">
        <f>SUMIF($E$6:$E$703,$E$706,AB8:AB705)</f>
        <v>0</v>
      </c>
      <c r="AC708" s="69" t="e">
        <f>AB708/$AF$708</f>
        <v>#DIV/0!</v>
      </c>
      <c r="AD708" s="314">
        <f>SUMIF($E$6:$E$703,$E$706,AD8:AD705)</f>
        <v>0</v>
      </c>
      <c r="AE708" s="69" t="e">
        <f>AD708/$AF$708</f>
        <v>#DIV/0!</v>
      </c>
      <c r="AF708" s="87">
        <f>SUMIF($E$6:$E$703,$E$706,AF8:AF705)</f>
        <v>0</v>
      </c>
      <c r="AG708" s="162" t="e">
        <f>SUM(U708,W708,Y708,AA708,AC708,AE708)</f>
        <v>#DIV/0!</v>
      </c>
      <c r="AH708" s="158">
        <f>SUM(R708,AF708)</f>
        <v>0</v>
      </c>
      <c r="AI708" s="134" t="e">
        <f t="shared" si="90"/>
        <v>#DIV/0!</v>
      </c>
      <c r="AJ708" s="65"/>
    </row>
    <row r="709" spans="1:48" ht="12.75" customHeight="1" outlineLevel="1" thickBot="1">
      <c r="B709" s="82"/>
      <c r="C709" s="1231"/>
      <c r="D709" s="1231"/>
      <c r="E709" s="84">
        <f>'Terms and Turnovers'!$AN$12</f>
        <v>0</v>
      </c>
      <c r="F709" s="120">
        <f>SUM(F9,F16,F23,F30,F37,F44,F51,F58,F65,F72,F79,F86,F93,F100,F107,F114,F121,F128,F135,F142,F149,F156,F163,F170,F177,F184,F191,F198,F205)+SUM(F212,F219,F226,F233,F240,F247,F254,F261,F268,F275,F282,F289,F296,F303,F310,F317,F324,F331,F338,F345,F352,F359,F366,F373,F380,F387,F394,F401,F408)+SUM(F415,F422,F429,F436,F443,F450,F457,F464,F471,F478,F485,F492,F499,F506,F513,F527,F534,F541,F548,F555,F562,F569,F576,F583,F590,F597,F604,F611,F618,F625)+SUM(F632,F639,F646,F653,F660,F667,F674,F681,F688,F695,F702)</f>
        <v>0</v>
      </c>
      <c r="G709" s="1097" t="e">
        <f>F709/$R$709</f>
        <v>#DIV/0!</v>
      </c>
      <c r="H709" s="120">
        <f>SUM(H9,H16,H23,H30,H37,H44,H51,H58,H65,H72,H79,H86,H93,H100,H107,H114,H121,H128,H135,H142,H149,H156,H163,H170,H177,H184,H191,H198,H205)+SUM(H212,H219,H226,H233,H240,H247,H254,H261,H268,H275,H282,H289,H296,H303,H310,H317,H324,H331,H338,H345,H352,H359,H366,H373,H380,H387,H394,H401,H408)+SUM(H415,H422,H429,H436,H443,H450,H457,H464,H471,H478,H485,H492,H499,H506,H513,H527,H534,H541,H548,H555,H562,H569,H576,H583,H590,H597,H604,H611,H618,H625)+SUM(H632,H639,H646,H653,H660,H667,H674,H681,H688,H695,H702)</f>
        <v>0</v>
      </c>
      <c r="I709" s="1097" t="e">
        <f>H709/$R$709</f>
        <v>#DIV/0!</v>
      </c>
      <c r="J709" s="120">
        <f>SUM(J9,J16,J23,J30,J37,J44,J51,J58,J65,J72,J79,J86,J93,J100,J107,J114,J121,J128,J135,J142,J149,J156,J163,J170,J177,J184,J191,J198,J205)+SUM(J212,J219,J226,J233,J240,J247,J254,J261,J268,J275,J282,J289,J296,J303,J310,J317,J324,J331,J338,J345,J352,J359,J366,J373,J380,J387,J394,J401,J408)+SUM(J415,J422,J429,J436,J443,J450,J457,J464,J471,J478,J485,J492,J499,J506,J513,J527,J534,J541,J548,J555,J562,J569,J576,J583,J590,J597,J604,J611,J618,J625)+SUM(J632,J639,J646,J653,J660,J667,J674,J681,J688,J695,J702)</f>
        <v>0</v>
      </c>
      <c r="K709" s="1097" t="e">
        <f>J709/$R$709</f>
        <v>#DIV/0!</v>
      </c>
      <c r="L709" s="120">
        <f>SUM(L9,L16,L23,L30,L37,L44,L51,L58,L65,L72,L79,L86,L93,L100,L107,L114,L121,L128,L135,L142,L149,L156,L163,L170,L177,L184,L191,L198,L205)+SUM(L212,L219,L226,L233,L240,L247,L254,L261,L268,L275,L282,L289,L296,L303,L310,L317,L324,L331,L338,L345,L352,L359,L366,L373,L380,L387,L394,L401,L408)+SUM(L415,L422,L429,L436,L443,L450,L457,L464,L471,L478,L485,L492,L499,L506,L513,L527,L534,L541,L548,L555,L562,L569,L576,L583,L590,L597,L604,L611,L618,L625)+SUM(L632,L639,L646,L653,L660,L667,L674,L681,L688,L695,L702)</f>
        <v>0</v>
      </c>
      <c r="M709" s="1097" t="e">
        <f>L709/$R$709</f>
        <v>#DIV/0!</v>
      </c>
      <c r="N709" s="315">
        <f>SUM(N9,N16,N23,N30,N37,N44,N51,N58,N65,N72,N79,N86,N93,N100,N107,N114,N121,N128,N135,N142,N149,N156,N163,N170,N177,N184,N191,N198,N205)+SUM(N212,N219,N226,N233,N240,N247,N254,N261,N268,N275,N282,N289,N296,N303,N310,N317,N324,N331,N338,N345,N352,N359,N366,N373,N380,N387,N394,N401,N408)+SUM(N415,N422,N429,N436,N443,N450,N457,N464,N471,N478,N485,N492,N499,N506,N513,N527,N534,N541,N548,N555,N562,N569,N576,N583,N590,N597,N604,N611,N618,N625)+SUM(N632,N639,N646,N653,N660,N667,N674,N681,N688,N695,N702)</f>
        <v>0</v>
      </c>
      <c r="O709" s="1097" t="e">
        <f>N709/$R$709</f>
        <v>#DIV/0!</v>
      </c>
      <c r="P709" s="120">
        <f>SUM(P9,P16,P23,P30,P37,P44,P51,P58,P65,P72,P79,P86,P93,P100,P107,P114,P121,P128,P135,P142,P149,P156,P163,P170,P177,P184,P191,P198,P205)+SUM(P212,P219,P226,P233,P240,P247,P254,P261,P268,P275,P282,P289,P296,P303,P310,P317,P324,P331,P338,P345,P352,P359,P366,P373,P380,P387,P394,P401,P408)+SUM(P415,P422,P429,P436,P443,P450,P457,P464,P471,P478,P485,P492,P499,P506,P513,P527,P534,P541,P548,P555,P562,P569,P576,P583,P590,P597,P604,P611,P618,P625)+SUM(P632,P639,P646,P653,P660,P667,P674,P681,P688,P695,P702)</f>
        <v>0</v>
      </c>
      <c r="Q709" s="1097" t="e">
        <f>P709/$R$709</f>
        <v>#DIV/0!</v>
      </c>
      <c r="R709" s="88">
        <f>SUM(R9,R16,R23,R30,R37,R44,R51,R58,R65,R72,R79,R86,R93,R100,R107,R114,R121,R128,R135,R142,R149,R156,R163,R170,R177,R184,R191,R198,R205)+SUM(R212,R219,R226,R233,R240,R247,R254,R261,R268,R275,R282,R289,R296,R303,R310,R317,R324,R331,R338,R345,R352,R359,R366,R373,R380,R387,R394,R401,R408)+SUM(R415,R422,R429,R436,R443,R450,R457,R464,R471,R478,R485,R492,R499,R506,R513,R527,R534,R541,R548,R555,R562,R569,R576,R583,R590,R597,R604,R611,R618,R625)+SUM(R632,R639,R646,R653,R660,R667,R674,R681,R688,R695,R702)</f>
        <v>0</v>
      </c>
      <c r="S709" s="162" t="e">
        <f>SUM(G709,I709,K709,M709,O709,Q709)</f>
        <v>#DIV/0!</v>
      </c>
      <c r="T709" s="314">
        <f>SUMIF($E$6:$E$703,$E$706,T9:T706)</f>
        <v>0</v>
      </c>
      <c r="U709" s="69" t="e">
        <f>T709/$AF$709</f>
        <v>#DIV/0!</v>
      </c>
      <c r="V709" s="314">
        <f>SUMIF($E$6:$E$703,$E$706,V9:V706)</f>
        <v>0</v>
      </c>
      <c r="W709" s="69" t="e">
        <f>V709/$AF$709</f>
        <v>#DIV/0!</v>
      </c>
      <c r="X709" s="314">
        <f>SUMIF($E$6:$E$703,$E$706,X9:X706)</f>
        <v>0</v>
      </c>
      <c r="Y709" s="69" t="e">
        <f>X709/$AF$709</f>
        <v>#DIV/0!</v>
      </c>
      <c r="Z709" s="314">
        <f>SUMIF($E$6:$E$703,$E$706,Z9:Z706)</f>
        <v>0</v>
      </c>
      <c r="AA709" s="69" t="e">
        <f>Z709/$AF$709</f>
        <v>#DIV/0!</v>
      </c>
      <c r="AB709" s="314">
        <f>SUMIF($E$6:$E$703,$E$706,AB9:AB706)</f>
        <v>0</v>
      </c>
      <c r="AC709" s="69" t="e">
        <f>AB709/$AF$709</f>
        <v>#DIV/0!</v>
      </c>
      <c r="AD709" s="314">
        <f>SUMIF($E$6:$E$703,$E$706,AD9:AD706)</f>
        <v>0</v>
      </c>
      <c r="AE709" s="69" t="e">
        <f>AD709/$AF$709</f>
        <v>#DIV/0!</v>
      </c>
      <c r="AF709" s="87">
        <f>SUMIF($E$6:$E$703,$E$706,AF9:AF706)</f>
        <v>0</v>
      </c>
      <c r="AG709" s="162" t="e">
        <f>SUM(U709,W709,Y709,AA709,AC709,AE709)</f>
        <v>#DIV/0!</v>
      </c>
      <c r="AH709" s="158">
        <f>SUM(R709,AF709)</f>
        <v>0</v>
      </c>
      <c r="AI709" s="134" t="e">
        <f t="shared" si="90"/>
        <v>#DIV/0!</v>
      </c>
      <c r="AJ709" s="65"/>
    </row>
    <row r="710" spans="1:48" ht="13.5" customHeight="1" outlineLevel="1" thickBot="1">
      <c r="B710" s="82"/>
      <c r="C710" s="1232"/>
      <c r="D710" s="1232"/>
      <c r="E710" s="85">
        <f>'Terms and Turnovers'!$AX$12</f>
        <v>0</v>
      </c>
      <c r="F710" s="121">
        <f>SUM(F10,F17,F24,F31,F38,F45,F52,F59,F66,F73,F80,F87,F94,F101,F108,F115,F122,F129,F136,F143,F150,F157,F164,F171,F178,F185,F192,F199,F206)+SUM(F213,F220,F227,F234,F241,F248,F255,F262,F269,F276,F283,F290,F297,F304,F311,F318,F325,F332,F339,F346,F353,F360,F367,F374,F381,F388,F395,F402,F409)</f>
        <v>0</v>
      </c>
      <c r="G710" s="1097" t="e">
        <f>F710/$R$709</f>
        <v>#DIV/0!</v>
      </c>
      <c r="H710" s="121">
        <f>SUM(H10,H17,H24,H31,H38,H45,H52,H59,H66,H73,H80,H87,H94,H101,H108,H115,H122,H129,H136,H143,H150,H157,H164,H171,H178,H185,H192,H199,H206)+SUM(H213,H220,H227,H234,H241,H248,H255,H262,H269,H276,H283,H290,H297,H304,H311,H318,H325,H332,H339,H346,H353,H360,H367,H374,H381,H388,H395,H402,H409)</f>
        <v>0</v>
      </c>
      <c r="I710" s="1097" t="e">
        <f>H710/$R$709</f>
        <v>#DIV/0!</v>
      </c>
      <c r="J710" s="121">
        <f>SUM(J10,J17,J24,J31,J38,J45,J52,J59,J66,J73,J80,J87,J94,J101,J108,J115,J122,J129,J136,J143,J150,J157,J164,J171,J178,J185,J192,J199,J206)+SUM(J213,J220,J227,J234,J241,J248,J255,J262,J269,J276,J283,J290,J297,J304,J311,J318,J325,J332,J339,J346,J353,J360,J367,J374,J381,J388,J395,J402,J409)</f>
        <v>0</v>
      </c>
      <c r="K710" s="1097" t="e">
        <f>J710/$R$709</f>
        <v>#DIV/0!</v>
      </c>
      <c r="L710" s="121">
        <f>SUM(L10,L17,L24,L31,L38,L45,L52,L59,L66,L73,L80,L87,L94,L101,L108,L115,L122,L129,L136,L143,L150,L157,L164,L171,L178,L185,L192,L199,L206)+SUM(L213,L220,L227,L234,L241,L248,L255,L262,L269,L276,L283,L290,L297,L304,L311,L318,L325,L332,L339,L346,L353,L360,L367,L374,L381,L388,L395,L402,L409)</f>
        <v>0</v>
      </c>
      <c r="M710" s="1097" t="e">
        <f>L710/$R$709</f>
        <v>#DIV/0!</v>
      </c>
      <c r="N710" s="316">
        <f>SUM(N10,N17,N24,N31,N38,N45,N52,N59,N66,N73,N80,N87,N94,N101,N108,N115,N122,N129,N136,N143,N150,N157,N164,N171,N178,N185,N192,N199,N206)+SUM(N213,N220,N227,N234,N241,N248,N255,N262,N269,N276,N283,N290,N297,N304,N311,N318,N325,N332,N339,N346,N353,N360,N367,N374,N381,N388,N395,N402,N409)</f>
        <v>0</v>
      </c>
      <c r="O710" s="1097" t="e">
        <f>N710/$R$709</f>
        <v>#DIV/0!</v>
      </c>
      <c r="P710" s="121">
        <f>SUM(P10,P17,P24,P31,P38,P45,P52,P59,P66,P73,P80,P87,P94,P101,P108,P115,P122,P129,P136,P143,P150,P157,P164,P171,P178,P185,P192,P199,P206)+SUM(P213,P220,P227,P234,P241,P248,P255,P262,P269,P276,P283,P290,P297,P304,P311,P318,P325,P332,P339,P346,P353,P360,P367,P374,P381,P388,P395,P402,P409)</f>
        <v>0</v>
      </c>
      <c r="Q710" s="1097" t="e">
        <f>P710/$R$709</f>
        <v>#DIV/0!</v>
      </c>
      <c r="R710" s="89">
        <f>SUM(R10,R17,R24,R31,R38,R45,R52,R59,R66,R73,R80,R87,R94,R101,R108,R115,R122,R129,R136,R143,R150,R157,R164,R171,R178,R185,R192,R199,R206)+SUM(R213,R220,R227,R234,R241,R248,R255,R262,R269,R276,R283,R290,R297,R304,R311,R318,R325,R332,R339,R346,R353,R360,R367,R374,R381,R388,R395,R402,R409)</f>
        <v>0</v>
      </c>
      <c r="S710" s="162" t="e">
        <f>SUM(G710,I710,K710,M710,O710,Q710)</f>
        <v>#DIV/0!</v>
      </c>
      <c r="T710" s="314">
        <f>SUMIF($E$6:$E$703,$E$706,T10:T707)</f>
        <v>0</v>
      </c>
      <c r="U710" s="69" t="e">
        <f>T710/$AF$709</f>
        <v>#DIV/0!</v>
      </c>
      <c r="V710" s="314">
        <f>SUMIF($E$6:$E$703,$E$706,V10:V707)</f>
        <v>0</v>
      </c>
      <c r="W710" s="69" t="e">
        <f>V710/$AF$709</f>
        <v>#DIV/0!</v>
      </c>
      <c r="X710" s="314">
        <f>SUMIF($E$6:$E$703,$E$706,X10:X707)</f>
        <v>0</v>
      </c>
      <c r="Y710" s="69" t="e">
        <f>X710/$AF$709</f>
        <v>#DIV/0!</v>
      </c>
      <c r="Z710" s="314">
        <f>SUMIF($E$6:$E$703,$E$706,Z10:Z707)</f>
        <v>0</v>
      </c>
      <c r="AA710" s="69" t="e">
        <f>Z710/$AF$709</f>
        <v>#DIV/0!</v>
      </c>
      <c r="AB710" s="314">
        <f>SUMIF($E$6:$E$703,$E$706,AB10:AB707)</f>
        <v>0</v>
      </c>
      <c r="AC710" s="69" t="e">
        <f>AB710/$AF$709</f>
        <v>#DIV/0!</v>
      </c>
      <c r="AD710" s="314">
        <f>SUMIF($E$6:$E$703,$E$706,AD10:AD707)</f>
        <v>0</v>
      </c>
      <c r="AE710" s="69" t="e">
        <f>AD710/$AF$709</f>
        <v>#DIV/0!</v>
      </c>
      <c r="AF710" s="87">
        <f>SUMIF($E$6:$E$703,$E$706,AF10:AF707)</f>
        <v>0</v>
      </c>
      <c r="AG710" s="162" t="e">
        <f>SUM(U710,W710,Y710,AA710,AC710,AE710)</f>
        <v>#DIV/0!</v>
      </c>
      <c r="AH710" s="159">
        <f>SUM(R710,AF710)</f>
        <v>0</v>
      </c>
      <c r="AI710" s="137" t="e">
        <f t="shared" si="90"/>
        <v>#DIV/0!</v>
      </c>
      <c r="AJ710" s="65"/>
    </row>
    <row r="711" spans="1:48" ht="4.5" customHeight="1" outlineLevel="1">
      <c r="B711" s="119"/>
      <c r="C711" s="436"/>
      <c r="D711" s="436"/>
      <c r="E711" s="437"/>
      <c r="F711" s="438"/>
      <c r="G711" s="428"/>
      <c r="H711" s="438"/>
      <c r="I711" s="428"/>
      <c r="J711" s="438"/>
      <c r="K711" s="428"/>
      <c r="L711" s="438"/>
      <c r="M711" s="428"/>
      <c r="N711" s="439"/>
      <c r="O711" s="428"/>
      <c r="P711" s="438"/>
      <c r="Q711" s="428"/>
      <c r="R711" s="440"/>
      <c r="S711" s="428"/>
      <c r="T711" s="438"/>
      <c r="U711" s="428"/>
      <c r="V711" s="438"/>
      <c r="W711" s="428"/>
      <c r="X711" s="438"/>
      <c r="Y711" s="428"/>
      <c r="Z711" s="438"/>
      <c r="AA711" s="441"/>
      <c r="AB711" s="438"/>
      <c r="AC711" s="428"/>
      <c r="AD711" s="438"/>
      <c r="AE711" s="428"/>
      <c r="AF711" s="440"/>
      <c r="AG711" s="428"/>
      <c r="AH711" s="275"/>
      <c r="AI711" s="442"/>
      <c r="AJ711" s="65"/>
    </row>
    <row r="712" spans="1:48" ht="21.75" customHeight="1">
      <c r="A712" s="122"/>
      <c r="B712" s="73"/>
      <c r="C712" s="443"/>
      <c r="D712" s="444" t="s">
        <v>484</v>
      </c>
      <c r="E712" s="73"/>
      <c r="F712" s="725">
        <f>F12+F19+F26+F33+F40+F47+F54+F61+F68+F75+F82+F89+F96+F103+F110+F117+F124+F131+F138+F145+F152+F159+F166+F173+F180+F187+F194+F201+F208+F215+F222+F229+F236+F243+F250+F257+F264+F271+F278+F285+F292+F299+F306+F313+F320+F327+F334+F341+F348+F355+F362+F369+F376+F383+F390+F397+F404+F411+F418+F425+F432+F439+F446+F453+F460+F467+F474+F481+F488+F495+F502+F509+F516+F523+F530+F537+F544+F551+F558+F565+F572+F579+F586+F593+F600+F607+F614+F621+F628+F635+F642+F649+F656+F663+F670+F677+F684+F691</f>
        <v>0</v>
      </c>
      <c r="G712" s="726"/>
      <c r="H712" s="725">
        <f>H12+H19+H26+H33+H40+H47+H54+H61+H68+H75+H82+H89+H96+H103+H110+H117+H124+H131+H138+H145+H152+H159+H166+H173+H180+H187+H194+H201+H208+H215+H222+H229+H236+H243+H250+H257+H264+H271+H278+H285+H292+H299+H306+H313+H320+H327+H334+H341+H348+H355+H362+H369+H376+H383+H390+H397+H404+H411+H418+H425+H432+H439+H446+H453+H460+H467+H474+H481+H488+H495+H502+H509+H516+H523+H530+H537+H544+H551+H558+H565+H572+H579+H586+H593+H600+H607+H614+H621+H628+H635+H642+H649+H656+H663+H670+H677+H684+H691</f>
        <v>0</v>
      </c>
      <c r="I712" s="727"/>
      <c r="J712" s="725">
        <f>J12+J19+J26+J33+J40+J47+J54+J61+J68+J75+J82+J89+J96+J103+J110+J117+J124+J131+J138+J145+J152+J159+J166+J173+J180+J187+J194+J201+J208+J215+J222+J229+J236+J243+J250+J257+J264+J271+J278+J285+J292+J299+J306+J313+J320+J327+J334+J341+J348+J355+J362+J369+J376+J383+J390+J397+J404+J411+J418+J425+J432+J439+J446+J453+J460+J467+J474+J481+J488+J495+J502+J509+J516+J523+J530+J537+J544+J551+J558+J565+J572+J579+J586+J593+J600+J607+J614+J621+J628+J635+J642+J649+J656+J663+J670+J677+J684+J691</f>
        <v>0</v>
      </c>
      <c r="K712" s="725"/>
      <c r="L712" s="725">
        <f>L12+L19+L26+L33+L40+L47+L54+L61+L68+L75+L82+L89+L96+L103+L110+L117+L124+L131+L138+L145+L152+L159+L166+L173+L180+L187+L194+L201+L208+L215+L222+L229+L236+L243+L250+L257+L264+L271+L278+L285+L292+L299+L306+L313+L320+L327+L334+L341+L348+L355+L362+L369+L376+L383+L390+L397+L404+L411+L418+L425+L432+L439+L446+L453+L460+L467+L474+L481+L488+L495+L502+L509+L516+L523+L530+L537+L544+L551+L558+L565+L572+L579+L586+L593+L600+L607+L614+L621+L628+L635+L642+L649+L656+L663+L670+L677+L684+L691</f>
        <v>941541.5094750002</v>
      </c>
      <c r="M712" s="725"/>
      <c r="N712" s="725">
        <f>N12+N19+N26+N33+N40+N47+N54+N61+N68+N75+N82+N89+N96+N103+N110+N117+N124+N131+N138+N145+N152+N159+N166+N173+N180+N187+N194+N201+N208+N215+N222+N229+N236+N243+N250+N257+N264+N271+N278+N285+N292+N299+N306+N313+N320+N327+N334+N341+N348+N355+N362+N369+N376+N383+N390+N397+N404+N411+N418+N425+N432+N439+N446+N453+N460+N467+N474+N481+N488+N495+N502+N509+N516+N523+N530+N537+N544+N551+N558+N565+N572+N579+N586+N593+N600+N607+N614+N621+N628+N635+N642+N649+N656+N663+N670+N677+N684+N691</f>
        <v>1639854.105825</v>
      </c>
      <c r="O712" s="725"/>
      <c r="P712" s="725">
        <f>P12+P19+P26+P33+P40+P47+P54+P61+P68+P75+P82+P89+P96+P103+P110+P117+P124+P131+P138+P145+P152+P159+P166+P173+P180+P187+P194+P201+P208+P215+P222+P229+P236+P243+P250+P257+P264+P271+P278+P285+P292+P299+P306+P313+P320+P327+P334+P341+P348+P355+P362+P369+P376+P383+P390+P397+P404+P411+P418+P425+P432+P439+P446+P453+P460+P467+P474+P481+P488+P495+P502+P509+P516+P523+P530+P537+P544+P551+P558+P565+P572+P579+P586+P593+P600+P607+P614+P621+P628+P635+P642+P649+P656+P663+P670+P677+P684+P691</f>
        <v>4272241.2291999999</v>
      </c>
      <c r="Q712" s="57"/>
      <c r="R712" s="725">
        <f>SUM(F712:P712)</f>
        <v>6853636.8444999997</v>
      </c>
      <c r="S712" s="57"/>
      <c r="T712" s="725">
        <f>T12+T19+T26+T33+T40+T47+T54+T61+T68+T75+T82+T89+T96+T103+T110+T117+T124+T131+T138+T145+T152+T159+T166+T173+T180+T187+T194+T201+T208+T215+T222+T229+T236+T243+T250+T257+T264+T271+T278+T285+T292+T299+T306+T313+T320+T327+T334+T341+T348+T355+T362+T369+T376+T383+T390+T397+T404+T411+T418+T425+T432+T439+T446+T453+T460+T467+T474+T481+T488+T495+T502+T509+T516+T523+T530+T537+T544+T551+T558+T565+T572+T579+T586+T593+T600+T607+T614+T621+T628+T635+T642+T649+T656+T663+T670+T677+T684+T691</f>
        <v>1345926.5100500002</v>
      </c>
      <c r="U712" s="725"/>
      <c r="V712" s="725">
        <f>V12+V19+V26+V33+V40+V47+V54+V61+V68+V75+V82+V89+V96+V103+V110+V117+V124+V131+V138+V145+V152+V159+V166+V173+V180+V187+V194+V201+V208+V215+V222+V229+V236+V243+V250+V257+V264+V271+V278+V285+V292+V299+V306+V313+V320+V327+V334+V341+V348+V355+V362+V369+V376+V383+V390+V397+V404+V411+V418+V425+V432+V439+V446+V453+V460+V467+V474+V481+V488+V495+V502+V509+V516+V523+V530+V537+V544+V551+V558+V565+V572+V579+V586+V593+V600+V607+V614+V621+V628+V635+V642+V649+V656+V663+V670+V677+V684+V691</f>
        <v>932762.96872500016</v>
      </c>
      <c r="W712" s="725"/>
      <c r="X712" s="725">
        <f>X12+X19+X26+X33+X40+X47+X54+X61+X68+X75+X82+X89+X96+X103+X110+X117+X124+X131+X138+X145+X152+X159+X166+X173+X180+X187+X194+X201+X208+X215+X222+X229+X236+X243+X250+X257+X264+X271+X278+X285+X292+X299+X306+X313+X320+X327+X334+X341+X348+X355+X362+X369+X376+X383+X390+X397+X404+X411+X418+X425+X432+X439+X446+X453+X460+X467+X474+X481+X488+X495+X502+X509+X516+X523+X530+X537+X544+X551+X558+X565+X572+X579+X586+X593+X600+X607+X614+X621+X628+X635+X642+X649+X656+X663+X670+X677+X684+X691</f>
        <v>489686.95160000009</v>
      </c>
      <c r="Y712" s="725"/>
      <c r="Z712" s="725">
        <f>Z12+Z19+Z26+Z33+Z40+Z47+Z54+Z61+Z68+Z75+Z82+Z89+Z96+Z103+Z110+Z117+Z124+Z131+Z138+Z145+Z152+Z159+Z166+Z173+Z180+Z187+Z194+Z201+Z208+Z215+Z222+Z229+Z236+Z243+Z250+Z257+Z264+Z271+Z278+Z285+Z292+Z299+Z306+Z313+Z320+Z327+Z334+Z341+Z348+Z355+Z362+Z369+Z376+Z383+Z390+Z397+Z404+Z411+Z418+Z425+Z432+Z439+Z446+Z453+Z460+Z467+Z474+Z481+Z488+Z495+Z502+Z509+Z516+Z523+Z530+Z537+Z544+Z551+Z558+Z565+Z572+Z579+Z586+Z593+Z600+Z607+Z614+Z621+Z628+Z635+Z642+Z649+Z656+Z663+Z670+Z677+Z684+Z691</f>
        <v>198232.54132500003</v>
      </c>
      <c r="AA712" s="725"/>
      <c r="AB712" s="725">
        <f>AB12+AB19+AB26+AB33+AB40+AB47+AB54+AB61+AB68+AB75+AB82+AB89+AB96+AB103+AB110+AB117+AB124+AB131+AB138+AB145+AB152+AB159+AB166+AB173+AB180+AB187+AB194+AB201+AB208+AB215+AB222+AB229+AB236+AB243+AB250+AB257+AB264+AB271+AB278+AB285+AB292+AB299+AB306+AB313+AB320+AB327+AB334+AB341+AB348+AB355+AB362+AB369+AB376+AB383+AB390+AB397+AB404+AB411+AB418+AB425+AB432+AB439+AB446+AB453+AB460+AB467+AB474+AB481+AB488+AB495+AB502+AB509+AB516+AB523+AB530+AB537+AB544+AB551+AB558+AB565+AB572+AB579+AB586+AB593+AB600+AB607+AB614+AB621+AB628+AB635+AB642+AB649+AB656+AB663+AB670+AB677+AB684+AB691</f>
        <v>113275.73790000002</v>
      </c>
      <c r="AC712" s="725"/>
      <c r="AD712" s="725">
        <f>AD12+AD19+AD26+AD33+AD40+AD47+AD54+AD61+AD68+AD75+AD82+AD89+AD96+AD103+AD110+AD117+AD124+AD131+AD138+AD145+AD152+AD159+AD166+AD173+AD180+AD187+AD194+AD201+AD208+AD215+AD222+AD229+AD236+AD243+AD250+AD257+AD264+AD271+AD278+AD285+AD292+AD299+AD306+AD313+AD320+AD327+AD334+AD341+AD348+AD355+AD362+AD369+AD376+AD383+AD390+AD397+AD404+AD411+AD418+AD425+AD432+AD439+AD446+AD453+AD460+AD467+AD474+AD481+AD488+AD495+AD502+AD509+AD516+AD523+AD530+AD537+AD544+AD551+AD558+AD565+AD572+AD579+AD586+AD593+AD600+AD607+AD614+AD621+AD628+AD635+AD642+AD649+AD656+AD663+AD670+AD677+AD684+AD691</f>
        <v>113275.73790000002</v>
      </c>
      <c r="AE712" s="57"/>
      <c r="AF712" s="725">
        <f>SUM(T712:AD712)</f>
        <v>3193160.4475000007</v>
      </c>
      <c r="AG712" s="57"/>
      <c r="AH712" s="725">
        <f>AF712+R712</f>
        <v>10046797.291999999</v>
      </c>
      <c r="AI712" s="57"/>
      <c r="AJ712" s="65"/>
      <c r="AN712" s="725">
        <f>AN12+AN19+AN26+AN33+AN40+AN47+AN54+AN61+AN68+AN75+AN82+AN89+AN96+AN103+AN110+AN117+AN124+AN131+AN138+AN145+AN152+AN159+AN166+AN173+AN180+AN187+AN194+AN201+AN208+AN215+AN222+AN229+AN236+AN243+AN250+AN257+AN264+AN271+AN278+AN285+AN292+AN299+AN306+AN313+AN320+AN327+AN334+AN341+AN348+AN355+AN362+AN369+AN376+AN383+AN390+AN397+AN404+AN411+AN418+AN425+AN432+AN439+AN446+AN453+AN460+AN467+AN474+AN481+AN488+AN495+AN502+AN509+AN516+AN523+AN530+AN537+AN544+AN551+AN558+AN565+AN572+AN579+AN586+AN593+AN600+AN607+AN614+AN621+AN628+AN635+AN642+AN649+AN656+AN663+AN670+AN677+AN684+AN691</f>
        <v>17834.7</v>
      </c>
      <c r="AO712" s="725">
        <f>AO12+AO19+AO26+AO33+AO40+AO47+AO54+AO61+AO68+AO75+AO82+AO89+AO96+AO103+AO110+AO117+AO124+AO131+AO138+AO145+AO152+AO159+AO166+AO173+AO180+AO187+AO194+AO201+AO208+AO215+AO222+AO229+AO236+AO243+AO250+AO257+AO264+AO271+AO278+AO285+AO292+AO299+AO306+AO313+AO320+AO327+AO334+AO341+AO348+AO355+AO362+AO369+AO376+AO383+AO390+AO397+AO404+AO411+AO418+AO425+AO432+AO439+AO446+AO453+AO460+AO467+AO474+AO481+AO488+AO495+AO502+AO509+AO516+AO523+AO530+AO537+AO544+AO551+AO558+AO565+AO572+AO579+AO586+AO593+AO600+AO607+AO614+AO621+AO628+AO635+AO642+AO649+AO656+AO663+AO670+AO677+AO684+AO691</f>
        <v>0</v>
      </c>
      <c r="AP712" s="725">
        <f>AP12+AP19+AP26+AP33+AP40+AP47+AP54+AP61+AP68+AP75+AP82+AP89+AP96+AP103+AP110+AP117+AP124+AP131+AP138+AP145+AP152+AP159+AP166+AP173+AP180+AP187+AP194+AP201+AP208+AP215+AP222+AP229+AP236+AP243+AP250+AP257+AP264+AP271+AP278+AP285+AP292+AP299+AP306+AP313+AP320+AP327+AP334+AP341+AP348+AP355+AP362+AP369+AP376+AP383+AP390+AP397+AP404+AP411+AP418+AP425+AP432+AP439+AP446+AP453+AP460+AP467+AP474+AP481+AP488+AP495+AP502+AP509+AP516+AP523+AP530+AP537+AP544+AP551+AP558+AP565+AP572+AP579+AP586+AP593+AP600+AP607+AP614+AP621+AP628+AP635+AP642+AP649+AP656+AP663+AP670+AP677+AP684+AP691</f>
        <v>0</v>
      </c>
      <c r="AQ712" s="725"/>
      <c r="AR712" s="725"/>
      <c r="AS712" s="725">
        <f>AS12+AS19+AS26+AS33+AS40+AS47+AS54+AS61+AS68+AS75+AS82+AS89+AS96+AS103+AS110+AS117+AS124+AS131+AS138+AS145+AS152+AS159+AS166+AS173+AS180+AS187+AS194+AS201+AS208+AS215+AS222+AS229+AS236+AS243+AS250+AS257+AS264+AS271+AS278+AS285+AS292+AS299+AS306+AS313+AS320+AS327+AS334+AS341+AS348+AS355+AS362+AS369+AS376+AS383+AS390+AS397+AS404+AS411+AS418+AS425+AS432+AS439+AS446+AS453+AS460+AS467+AS474+AS481+AS488+AS495+AS502+AS509+AS516+AS523+AS530+AS537+AS544+AS551+AS558+AS565+AS572+AS579+AS586+AS593+AS600+AS607+AS614+AS621+AS628+AS635+AS642+AS649+AS656+AS663+AS670+AS677+AS684+AS691</f>
        <v>10046797.292000001</v>
      </c>
      <c r="AT712" s="725">
        <f>AT12+AT19+AT26+AT33+AT40+AT47+AT54+AT61+AT68+AT75+AT82+AT89+AT96+AT103+AT110+AT117+AT124+AT131+AT138+AT145+AT152+AT159+AT166+AT173+AT180+AT187+AT194+AT201+AT208+AT215+AT222+AT229+AT236+AT243+AT250+AT257+AT264+AT271+AT278+AT285+AT292+AT299+AT306+AT313+AT320+AT327+AT334+AT341+AT348+AT355+AT362+AT369+AT376+AT383+AT390+AT397+AT404+AT411+AT418+AT425+AT432+AT439+AT446+AT453+AT460+AT467+AT474+AT481+AT488+AT495+AT502+AT509+AT516+AT523+AT530+AT537+AT544+AT551+AT558+AT565+AT572+AT579+AT586+AT593+AT600+AT607+AT614+AT621+AT628+AT635+AT642+AT649+AT656+AT663+AT670+AT677+AT684+AT691</f>
        <v>10046797.292000001</v>
      </c>
      <c r="AU712" s="744">
        <f>AU12+AU19+AU26+AU33+AU40+AU47+AU54+AU61+AU68+AU75+AU82+AU89+AU96+AU103+AU110+AU117+AU124+AU131+AU138+AU145+AU152+AU159+AU166+AU173+AU180+AU187+AU194+AU201+AU208+AU215+AU222+AU229+AU236+AU243+AU250+AU257+AU264+AU271+AU278+AU285+AU292+AU299+AU306+AU313+AU320+AU327+AU334+AU341+AU348+AU355+AU362+AU369+AU376+AU383+AU390+AU397+AU404+AU411+AU418+AU425+AU432+AU439+AU446+AU453+AU460+AU467+AU474+AU481+AU488+AU495+AU502+AU509+AU516+AU523+AU530+AU537+AU544+AU551+AU558+AU565+AU572+AU579+AU586+AU593+AU600+AU607+AU614+AU621+AU628+AU635+AU642+AU649+AU656+AU663+AU670+AU677+AU684+AU691</f>
        <v>0</v>
      </c>
    </row>
    <row r="713" spans="1:48" s="334" customFormat="1" ht="16.5" customHeight="1" thickBot="1">
      <c r="A713" s="325"/>
      <c r="B713" s="326"/>
      <c r="C713" s="327"/>
      <c r="D713" s="965"/>
      <c r="E713" s="327"/>
      <c r="F713" s="328">
        <f>SUM(F706:F710)</f>
        <v>0</v>
      </c>
      <c r="G713" s="329"/>
      <c r="H713" s="328">
        <f>SUM(H706:H710)</f>
        <v>0</v>
      </c>
      <c r="I713" s="329"/>
      <c r="J713" s="328">
        <f>SUM(J706:J710)</f>
        <v>0</v>
      </c>
      <c r="K713" s="329"/>
      <c r="L713" s="328">
        <f>SUM(L706:L710)</f>
        <v>3976894.3314749999</v>
      </c>
      <c r="M713" s="329"/>
      <c r="N713" s="328">
        <f>SUM(N706:N710)</f>
        <v>1320544.023825</v>
      </c>
      <c r="O713" s="329"/>
      <c r="P713" s="328">
        <f>SUM(P706:P710)</f>
        <v>1739118.4892000002</v>
      </c>
      <c r="Q713" s="329"/>
      <c r="R713" s="330">
        <f>SUM(F713,H713,J713,L713,N713,P713)</f>
        <v>7036556.8444999997</v>
      </c>
      <c r="S713" s="331"/>
      <c r="T713" s="328">
        <f>SUM(T706:T710)</f>
        <v>1254466.5100500002</v>
      </c>
      <c r="U713" s="329"/>
      <c r="V713" s="328">
        <f>SUM(V706:V710)</f>
        <v>877886.96872500016</v>
      </c>
      <c r="W713" s="329"/>
      <c r="X713" s="328">
        <f>SUM(X706:X710)</f>
        <v>453102.95160000009</v>
      </c>
      <c r="Y713" s="329"/>
      <c r="Z713" s="328">
        <f>SUM(Z706:Z710)</f>
        <v>198232.54132500003</v>
      </c>
      <c r="AA713" s="329"/>
      <c r="AB713" s="328">
        <f>SUM(AB706:AB710)</f>
        <v>113275.73790000002</v>
      </c>
      <c r="AC713" s="329"/>
      <c r="AD713" s="328">
        <f>SUM(AD706:AD710)</f>
        <v>113275.73790000002</v>
      </c>
      <c r="AE713" s="331"/>
      <c r="AF713" s="777">
        <f>SUM(T713,V713,X713,Z713,AB713,AD713)</f>
        <v>3010240.4475000007</v>
      </c>
      <c r="AG713" s="331"/>
      <c r="AH713" s="332">
        <f>SUM(R713,AF713)</f>
        <v>10046797.291999999</v>
      </c>
      <c r="AI713" s="331"/>
      <c r="AJ713" s="333"/>
      <c r="AN713" s="692"/>
      <c r="AO713" s="692"/>
      <c r="AP713" s="692"/>
      <c r="AQ713" s="693"/>
      <c r="AU713" s="746"/>
      <c r="AV713" s="462"/>
    </row>
    <row r="714" spans="1:48" ht="4.5" customHeight="1" thickBot="1">
      <c r="A714" s="123"/>
      <c r="B714" s="115"/>
      <c r="C714" s="115"/>
      <c r="D714" s="966"/>
      <c r="E714" s="115"/>
      <c r="F714" s="124"/>
      <c r="G714" s="163"/>
      <c r="H714" s="116"/>
      <c r="I714" s="164"/>
      <c r="J714" s="116"/>
      <c r="K714" s="164"/>
      <c r="L714" s="116"/>
      <c r="M714" s="164"/>
      <c r="N714" s="116"/>
      <c r="O714" s="164"/>
      <c r="P714" s="116"/>
      <c r="Q714" s="164"/>
      <c r="R714" s="116"/>
      <c r="S714" s="163"/>
      <c r="T714" s="124"/>
      <c r="U714" s="163"/>
      <c r="V714" s="116"/>
      <c r="W714" s="164"/>
      <c r="X714" s="116"/>
      <c r="Y714" s="164"/>
      <c r="Z714" s="116"/>
      <c r="AA714" s="164"/>
      <c r="AB714" s="116"/>
      <c r="AC714" s="164"/>
      <c r="AD714" s="116"/>
      <c r="AE714" s="164"/>
      <c r="AF714" s="116"/>
      <c r="AG714" s="163"/>
      <c r="AH714" s="115"/>
      <c r="AI714" s="163"/>
      <c r="AJ714" s="163"/>
    </row>
    <row r="715" spans="1:48" ht="20.25" customHeight="1" thickBot="1">
      <c r="B715" s="73"/>
      <c r="C715" s="73"/>
      <c r="D715" s="967"/>
      <c r="E715" s="117" t="s">
        <v>173</v>
      </c>
      <c r="F715" s="125" t="e">
        <f>F713/F717</f>
        <v>#DIV/0!</v>
      </c>
      <c r="G715" s="57"/>
      <c r="H715" s="125" t="e">
        <f>H713/H717</f>
        <v>#DIV/0!</v>
      </c>
      <c r="I715" s="57"/>
      <c r="J715" s="125" t="e">
        <f>J713/J717</f>
        <v>#DIV/0!</v>
      </c>
      <c r="K715" s="57"/>
      <c r="L715" s="125">
        <f>L713/L717</f>
        <v>2.1332924058584246</v>
      </c>
      <c r="M715" s="57"/>
      <c r="N715" s="125">
        <f>N713/N717</f>
        <v>2.5052289840997504</v>
      </c>
      <c r="O715" s="57"/>
      <c r="P715" s="125">
        <f>P713/P717</f>
        <v>2.5698905820380533</v>
      </c>
      <c r="Q715" s="57"/>
      <c r="R715" s="274">
        <f>R713/R717</f>
        <v>2.2934958163811241</v>
      </c>
      <c r="S715" s="57"/>
      <c r="T715" s="125">
        <f>T713/T717</f>
        <v>2.2120609383209571</v>
      </c>
      <c r="U715" s="57"/>
      <c r="V715" s="125">
        <f>V713/V717</f>
        <v>2.6075730929874696</v>
      </c>
      <c r="W715" s="57"/>
      <c r="X715" s="125">
        <f>X713/X717</f>
        <v>2.6075730929874696</v>
      </c>
      <c r="Y715" s="57"/>
      <c r="Z715" s="125">
        <f>Z713/Z717</f>
        <v>2.6075730929874696</v>
      </c>
      <c r="AA715" s="57"/>
      <c r="AB715" s="125">
        <f>AB713/AB717</f>
        <v>2.6075730929874696</v>
      </c>
      <c r="AC715" s="57"/>
      <c r="AD715" s="125">
        <f>AD713/AD717</f>
        <v>2.6075730929874696</v>
      </c>
      <c r="AE715" s="57"/>
      <c r="AF715" s="274">
        <f>AF713/AF717</f>
        <v>2.4267531862349889</v>
      </c>
      <c r="AG715" s="775"/>
      <c r="AH715" s="276">
        <f>AH713/AH717</f>
        <v>2.3318614089929253</v>
      </c>
      <c r="AI715" s="57"/>
      <c r="AJ715" s="163"/>
      <c r="AK715" s="99"/>
    </row>
    <row r="716" spans="1:48" ht="26.25" customHeight="1" thickBot="1">
      <c r="B716" s="73"/>
      <c r="C716" s="73"/>
      <c r="D716" s="967"/>
      <c r="E716" s="73"/>
      <c r="F716" s="848"/>
      <c r="G716" s="849"/>
      <c r="H716" s="848"/>
      <c r="I716" s="849"/>
      <c r="J716" s="848"/>
      <c r="K716" s="849"/>
      <c r="L716" s="848"/>
      <c r="M716" s="849"/>
      <c r="N716" s="848"/>
      <c r="O716" s="849"/>
      <c r="P716" s="848"/>
      <c r="Q716" s="57"/>
      <c r="R716" s="100"/>
      <c r="S716" s="57"/>
      <c r="T716" s="100"/>
      <c r="U716" s="57"/>
      <c r="V716" s="100"/>
      <c r="W716" s="57"/>
      <c r="X716" s="100"/>
      <c r="Y716" s="57"/>
      <c r="Z716" s="100"/>
      <c r="AA716" s="57"/>
      <c r="AB716" s="100"/>
      <c r="AC716" s="57"/>
      <c r="AD716" s="100"/>
      <c r="AE716" s="57"/>
      <c r="AF716" s="100"/>
      <c r="AG716" s="57"/>
      <c r="AH716" s="100"/>
      <c r="AI716" s="57"/>
      <c r="AJ716" s="163"/>
      <c r="AK716" s="99"/>
    </row>
    <row r="717" spans="1:48" ht="14.25" customHeight="1">
      <c r="A717" s="73"/>
      <c r="B717" s="78"/>
      <c r="C717" s="79"/>
      <c r="D717" s="80"/>
      <c r="E717" s="80"/>
      <c r="F717" s="126">
        <f>SUM(F1421:F1425)</f>
        <v>0</v>
      </c>
      <c r="G717" s="165"/>
      <c r="H717" s="126">
        <f>SUM(H1421:H1425)</f>
        <v>0</v>
      </c>
      <c r="I717" s="165"/>
      <c r="J717" s="126">
        <f>SUM(J1421:J1425)</f>
        <v>0</v>
      </c>
      <c r="K717" s="165"/>
      <c r="L717" s="126">
        <f>SUM(L1421:L1425)</f>
        <v>1864204.9821926404</v>
      </c>
      <c r="M717" s="165"/>
      <c r="N717" s="126">
        <f>SUM(N1421:N1425)</f>
        <v>527115.09894155851</v>
      </c>
      <c r="O717" s="165"/>
      <c r="P717" s="126">
        <f>SUM(P1421:P1425)</f>
        <v>676728.61302164511</v>
      </c>
      <c r="Q717" s="165"/>
      <c r="R717" s="116">
        <f>SUM(R1421:R1425)</f>
        <v>3068048.6941558444</v>
      </c>
      <c r="S717" s="63"/>
      <c r="T717" s="126">
        <f>SUM(T1421:T1425)</f>
        <v>567103.05232467537</v>
      </c>
      <c r="U717" s="165"/>
      <c r="V717" s="126">
        <f>SUM(V1421:V1425)</f>
        <v>336668.21117532474</v>
      </c>
      <c r="W717" s="165"/>
      <c r="X717" s="126">
        <f>SUM(X1421:X1425)</f>
        <v>173764.23802597407</v>
      </c>
      <c r="Y717" s="165"/>
      <c r="Z717" s="126">
        <f>SUM(Z1421:Z1425)</f>
        <v>76021.854136363647</v>
      </c>
      <c r="AA717" s="165"/>
      <c r="AB717" s="126">
        <f>SUM(AB1421:AB1425)</f>
        <v>43441.059506493519</v>
      </c>
      <c r="AC717" s="165"/>
      <c r="AD717" s="126">
        <f>SUM(AD1421:AD1425)</f>
        <v>43441.059506493519</v>
      </c>
      <c r="AE717" s="165"/>
      <c r="AF717" s="116">
        <f>SUM(AF1421:AF1425)</f>
        <v>1240439.474675325</v>
      </c>
      <c r="AG717" s="63"/>
      <c r="AH717" s="275">
        <f>SUM(R717,AF717)</f>
        <v>4308488.1688311696</v>
      </c>
      <c r="AI717" s="63"/>
      <c r="AJ717" s="64"/>
    </row>
    <row r="718" spans="1:48" ht="5.45" customHeight="1" outlineLevel="1" thickBot="1">
      <c r="A718" s="101"/>
      <c r="B718" s="101"/>
      <c r="C718" s="102"/>
      <c r="D718" s="102"/>
      <c r="E718" s="102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65"/>
    </row>
    <row r="719" spans="1:48" ht="13.5" customHeight="1" outlineLevel="1" thickBot="1">
      <c r="A719" s="73"/>
      <c r="B719" s="81"/>
      <c r="C719" s="1242" t="s">
        <v>172</v>
      </c>
      <c r="D719" s="1242" t="s">
        <v>169</v>
      </c>
      <c r="E719" s="1242" t="s">
        <v>479</v>
      </c>
      <c r="F719" s="1236" t="s">
        <v>29</v>
      </c>
      <c r="G719" s="1237"/>
      <c r="H719" s="1236" t="s">
        <v>30</v>
      </c>
      <c r="I719" s="1237"/>
      <c r="J719" s="1236" t="s">
        <v>31</v>
      </c>
      <c r="K719" s="1237"/>
      <c r="L719" s="1236" t="s">
        <v>32</v>
      </c>
      <c r="M719" s="1237"/>
      <c r="N719" s="1236" t="s">
        <v>33</v>
      </c>
      <c r="O719" s="1237"/>
      <c r="P719" s="1236" t="s">
        <v>34</v>
      </c>
      <c r="Q719" s="1237"/>
      <c r="R719" s="1238" t="s">
        <v>480</v>
      </c>
      <c r="S719" s="1239"/>
      <c r="T719" s="1236" t="s">
        <v>37</v>
      </c>
      <c r="U719" s="1237"/>
      <c r="V719" s="1236" t="s">
        <v>38</v>
      </c>
      <c r="W719" s="1237"/>
      <c r="X719" s="1236" t="s">
        <v>39</v>
      </c>
      <c r="Y719" s="1237"/>
      <c r="Z719" s="1236" t="s">
        <v>40</v>
      </c>
      <c r="AA719" s="1237"/>
      <c r="AB719" s="1236" t="s">
        <v>41</v>
      </c>
      <c r="AC719" s="1237"/>
      <c r="AD719" s="1236" t="s">
        <v>42</v>
      </c>
      <c r="AE719" s="1237"/>
      <c r="AF719" s="1238" t="s">
        <v>481</v>
      </c>
      <c r="AG719" s="1239"/>
      <c r="AH719" s="1240" t="s">
        <v>482</v>
      </c>
      <c r="AI719" s="1241"/>
      <c r="AJ719" s="65"/>
    </row>
    <row r="720" spans="1:48" ht="13.5" customHeight="1" outlineLevel="1" thickBot="1">
      <c r="A720" s="73"/>
      <c r="B720" s="81"/>
      <c r="C720" s="1244"/>
      <c r="D720" s="1243"/>
      <c r="E720" s="1243"/>
      <c r="F720" s="66" t="s">
        <v>35</v>
      </c>
      <c r="G720" s="66" t="s">
        <v>36</v>
      </c>
      <c r="H720" s="66" t="s">
        <v>35</v>
      </c>
      <c r="I720" s="66" t="s">
        <v>36</v>
      </c>
      <c r="J720" s="66" t="s">
        <v>35</v>
      </c>
      <c r="K720" s="66" t="s">
        <v>36</v>
      </c>
      <c r="L720" s="66" t="s">
        <v>35</v>
      </c>
      <c r="M720" s="66" t="s">
        <v>36</v>
      </c>
      <c r="N720" s="66" t="s">
        <v>35</v>
      </c>
      <c r="O720" s="66" t="s">
        <v>36</v>
      </c>
      <c r="P720" s="66" t="s">
        <v>35</v>
      </c>
      <c r="Q720" s="67" t="s">
        <v>36</v>
      </c>
      <c r="R720" s="127" t="s">
        <v>35</v>
      </c>
      <c r="S720" s="127" t="s">
        <v>36</v>
      </c>
      <c r="T720" s="66" t="s">
        <v>35</v>
      </c>
      <c r="U720" s="66" t="s">
        <v>36</v>
      </c>
      <c r="V720" s="66" t="s">
        <v>35</v>
      </c>
      <c r="W720" s="66" t="s">
        <v>36</v>
      </c>
      <c r="X720" s="66" t="s">
        <v>35</v>
      </c>
      <c r="Y720" s="66" t="s">
        <v>36</v>
      </c>
      <c r="Z720" s="66" t="s">
        <v>35</v>
      </c>
      <c r="AA720" s="66" t="s">
        <v>36</v>
      </c>
      <c r="AB720" s="66" t="s">
        <v>35</v>
      </c>
      <c r="AC720" s="66" t="s">
        <v>36</v>
      </c>
      <c r="AD720" s="66" t="s">
        <v>35</v>
      </c>
      <c r="AE720" s="67" t="s">
        <v>36</v>
      </c>
      <c r="AF720" s="127" t="s">
        <v>35</v>
      </c>
      <c r="AG720" s="127" t="s">
        <v>36</v>
      </c>
      <c r="AH720" s="128" t="s">
        <v>35</v>
      </c>
      <c r="AI720" s="128" t="s">
        <v>36</v>
      </c>
      <c r="AJ720" s="65"/>
    </row>
    <row r="721" spans="1:38" ht="12.75" customHeight="1" outlineLevel="1">
      <c r="A721" s="82">
        <v>1</v>
      </c>
      <c r="B721" s="82">
        <f>B6</f>
        <v>1</v>
      </c>
      <c r="C721" s="1233">
        <f>C6</f>
        <v>0</v>
      </c>
      <c r="D721" s="1233" t="str">
        <f>D6</f>
        <v>Вайлдберриз ООО</v>
      </c>
      <c r="E721" s="103" t="str">
        <f>'Terms and Turnovers'!$J$12</f>
        <v>FLIP-FLOPS</v>
      </c>
      <c r="F721" s="68">
        <f>F6/'Terms and Turnovers'!$J$16</f>
        <v>0</v>
      </c>
      <c r="G721" s="69"/>
      <c r="H721" s="68">
        <f>H6/'Terms and Turnovers'!$J$16</f>
        <v>0</v>
      </c>
      <c r="I721" s="69"/>
      <c r="J721" s="68">
        <f>J6/'Terms and Turnovers'!$J$16</f>
        <v>0</v>
      </c>
      <c r="K721" s="106"/>
      <c r="L721" s="68">
        <f>L6/'Terms and Turnovers'!$J$16</f>
        <v>162441.08357142861</v>
      </c>
      <c r="M721" s="106"/>
      <c r="N721" s="68">
        <f>N6/'Terms and Turnovers'!$J$16</f>
        <v>282134.51357142866</v>
      </c>
      <c r="O721" s="106"/>
      <c r="P721" s="68">
        <f>P6/'Terms and Turnovers'!$J$16</f>
        <v>410377.47428571439</v>
      </c>
      <c r="Q721" s="106"/>
      <c r="R721" s="129">
        <f t="shared" ref="R721:R808" si="92">SUM(F721,H721,J721,L721,N721,P721)</f>
        <v>854953.07142857159</v>
      </c>
      <c r="S721" s="106"/>
      <c r="T721" s="68">
        <f>T6/'Terms and Turnovers'!$O$16</f>
        <v>265812.6822077923</v>
      </c>
      <c r="U721" s="106"/>
      <c r="V721" s="68">
        <f>V6/'Terms and Turnovers'!$O$16</f>
        <v>216847.18811688319</v>
      </c>
      <c r="W721" s="106"/>
      <c r="X721" s="68">
        <f>X6/'Terms and Turnovers'!$O$16</f>
        <v>111921.12935064938</v>
      </c>
      <c r="Y721" s="106"/>
      <c r="Z721" s="68">
        <f>Z6/'Terms and Turnovers'!$O$16</f>
        <v>48965.494090909102</v>
      </c>
      <c r="AA721" s="106"/>
      <c r="AB721" s="68">
        <f>AB6/'Terms and Turnovers'!$O$16</f>
        <v>27980.282337662346</v>
      </c>
      <c r="AC721" s="106"/>
      <c r="AD721" s="68">
        <f>AD6/'Terms and Turnovers'!$O$16</f>
        <v>27980.282337662346</v>
      </c>
      <c r="AE721" s="106"/>
      <c r="AF721" s="129">
        <f t="shared" ref="AF721:AF808" si="93">SUM(T721,V721,X721,Z721,AB721,AD721)</f>
        <v>699507.05844155862</v>
      </c>
      <c r="AG721" s="106"/>
      <c r="AH721" s="130">
        <f>SUM(AF721,R721)</f>
        <v>1554460.1298701302</v>
      </c>
      <c r="AI721" s="106"/>
      <c r="AJ721" s="65"/>
      <c r="AK721" s="817">
        <f>R721*'Mark Up Validation'!$M$132</f>
        <v>1000295.0935714287</v>
      </c>
      <c r="AL721" s="817">
        <f>AF721*'Mark Up Validation'!$S$132</f>
        <v>818423.2583766235</v>
      </c>
    </row>
    <row r="722" spans="1:38" ht="12.75" customHeight="1" outlineLevel="1">
      <c r="A722" s="119"/>
      <c r="B722" s="82"/>
      <c r="C722" s="1234"/>
      <c r="D722" s="1234"/>
      <c r="E722" s="104" t="str">
        <f>'Terms and Turnovers'!$T$12</f>
        <v>ORIGINALS</v>
      </c>
      <c r="F722" s="70">
        <f>F7/'Terms and Turnovers'!$T$16</f>
        <v>0</v>
      </c>
      <c r="G722" s="723"/>
      <c r="H722" s="70">
        <f>H7/'Terms and Turnovers'!$T$16</f>
        <v>0</v>
      </c>
      <c r="I722" s="723"/>
      <c r="J722" s="70">
        <f>J7/'Terms and Turnovers'!$T$16</f>
        <v>0</v>
      </c>
      <c r="K722" s="728"/>
      <c r="L722" s="70">
        <f>L7/'Terms and Turnovers'!$T$16</f>
        <v>0</v>
      </c>
      <c r="M722" s="728"/>
      <c r="N722" s="70">
        <f>N7/'Terms and Turnovers'!$T$16</f>
        <v>0</v>
      </c>
      <c r="O722" s="728"/>
      <c r="P722" s="70">
        <f>P7/'Terms and Turnovers'!$T$16</f>
        <v>0</v>
      </c>
      <c r="Q722" s="728"/>
      <c r="R722" s="132">
        <f t="shared" si="92"/>
        <v>0</v>
      </c>
      <c r="S722" s="728"/>
      <c r="T722" s="70">
        <f>T7/'Terms and Turnovers'!$Y$16</f>
        <v>0</v>
      </c>
      <c r="U722" s="728"/>
      <c r="V722" s="70">
        <f>V7/'Terms and Turnovers'!$Y$16</f>
        <v>0</v>
      </c>
      <c r="W722" s="728"/>
      <c r="X722" s="70">
        <f>X7/'Terms and Turnovers'!$Y$16</f>
        <v>0</v>
      </c>
      <c r="Y722" s="728"/>
      <c r="Z722" s="70">
        <f>Z7/'Terms and Turnovers'!$Y$16</f>
        <v>0</v>
      </c>
      <c r="AA722" s="728"/>
      <c r="AB722" s="70">
        <f>AB7/'Terms and Turnovers'!$Y$16</f>
        <v>0</v>
      </c>
      <c r="AC722" s="728"/>
      <c r="AD722" s="70">
        <f>AD7/'Terms and Turnovers'!$Y$16</f>
        <v>0</v>
      </c>
      <c r="AE722" s="728"/>
      <c r="AF722" s="132">
        <f t="shared" si="93"/>
        <v>0</v>
      </c>
      <c r="AG722" s="728"/>
      <c r="AH722" s="133">
        <f t="shared" ref="AH722:AH809" si="94">SUM(AF722,R722)</f>
        <v>0</v>
      </c>
      <c r="AI722" s="728"/>
      <c r="AJ722" s="65"/>
    </row>
    <row r="723" spans="1:38" ht="12.75" customHeight="1" outlineLevel="1">
      <c r="A723" s="119"/>
      <c r="B723" s="82"/>
      <c r="C723" s="1234"/>
      <c r="D723" s="1234"/>
      <c r="E723" s="104" t="str">
        <f>'Terms and Turnovers'!$AD$12</f>
        <v>ACCESSORIES</v>
      </c>
      <c r="F723" s="70">
        <f>F8/'Terms and Turnovers'!$AD$16</f>
        <v>0</v>
      </c>
      <c r="G723" s="723"/>
      <c r="H723" s="70">
        <f>H8/'Terms and Turnovers'!$AD$16</f>
        <v>0</v>
      </c>
      <c r="I723" s="723"/>
      <c r="J723" s="70">
        <f>J8/'Terms and Turnovers'!$AD$16</f>
        <v>0</v>
      </c>
      <c r="K723" s="728"/>
      <c r="L723" s="70">
        <f>L8/'Terms and Turnovers'!$AD$16</f>
        <v>0</v>
      </c>
      <c r="M723" s="728"/>
      <c r="N723" s="70">
        <f>N8/'Terms and Turnovers'!$AD$16</f>
        <v>0</v>
      </c>
      <c r="O723" s="728"/>
      <c r="P723" s="70">
        <f>P8/'Terms and Turnovers'!$AD$16</f>
        <v>0</v>
      </c>
      <c r="Q723" s="728"/>
      <c r="R723" s="132">
        <f t="shared" si="92"/>
        <v>0</v>
      </c>
      <c r="S723" s="728"/>
      <c r="T723" s="70">
        <f>T8/'Terms and Turnovers'!$AI$16</f>
        <v>0</v>
      </c>
      <c r="U723" s="728"/>
      <c r="V723" s="70">
        <f>V8/'Terms and Turnovers'!$AI$16</f>
        <v>0</v>
      </c>
      <c r="W723" s="728"/>
      <c r="X723" s="70">
        <f>X8/'Terms and Turnovers'!$AI$16</f>
        <v>0</v>
      </c>
      <c r="Y723" s="728"/>
      <c r="Z723" s="70">
        <f>Z8/'Terms and Turnovers'!$AI$16</f>
        <v>0</v>
      </c>
      <c r="AA723" s="728"/>
      <c r="AB723" s="70">
        <f>AB8/'Terms and Turnovers'!$AI$16</f>
        <v>0</v>
      </c>
      <c r="AC723" s="728"/>
      <c r="AD723" s="70">
        <f>AD8/'Terms and Turnovers'!$AI$16</f>
        <v>0</v>
      </c>
      <c r="AE723" s="728"/>
      <c r="AF723" s="132">
        <f t="shared" si="93"/>
        <v>0</v>
      </c>
      <c r="AG723" s="728"/>
      <c r="AH723" s="133">
        <f t="shared" si="94"/>
        <v>0</v>
      </c>
      <c r="AI723" s="728"/>
      <c r="AJ723" s="65"/>
    </row>
    <row r="724" spans="1:38" ht="12.75" customHeight="1" outlineLevel="1">
      <c r="A724" s="119"/>
      <c r="B724" s="82"/>
      <c r="C724" s="1234"/>
      <c r="D724" s="1234"/>
      <c r="E724" s="104">
        <f>'Terms and Turnovers'!$AN$12</f>
        <v>0</v>
      </c>
      <c r="F724" s="70">
        <f>F9/'Terms and Turnovers'!$AN$16</f>
        <v>0</v>
      </c>
      <c r="G724" s="723"/>
      <c r="H724" s="70">
        <f>H9/'Terms and Turnovers'!$AN$16</f>
        <v>0</v>
      </c>
      <c r="I724" s="723"/>
      <c r="J724" s="70">
        <f>J9/'Terms and Turnovers'!$AN$16</f>
        <v>0</v>
      </c>
      <c r="K724" s="728"/>
      <c r="L724" s="70">
        <f>L9/'Terms and Turnovers'!$AN$16</f>
        <v>0</v>
      </c>
      <c r="M724" s="728"/>
      <c r="N724" s="70">
        <f>N9/'Terms and Turnovers'!$AN$16</f>
        <v>0</v>
      </c>
      <c r="O724" s="728"/>
      <c r="P724" s="70">
        <f>P9/'Terms and Turnovers'!$AN$16</f>
        <v>0</v>
      </c>
      <c r="Q724" s="728"/>
      <c r="R724" s="132">
        <f t="shared" si="92"/>
        <v>0</v>
      </c>
      <c r="S724" s="728"/>
      <c r="T724" s="70">
        <f>T9/'Terms and Turnovers'!$AS$16</f>
        <v>0</v>
      </c>
      <c r="U724" s="728"/>
      <c r="V724" s="70">
        <f>V9/'Terms and Turnovers'!$AS$16</f>
        <v>0</v>
      </c>
      <c r="W724" s="728"/>
      <c r="X724" s="70">
        <f>X9/'Terms and Turnovers'!$AS$16</f>
        <v>0</v>
      </c>
      <c r="Y724" s="728"/>
      <c r="Z724" s="70">
        <f>Z9/'Terms and Turnovers'!$AS$16</f>
        <v>0</v>
      </c>
      <c r="AA724" s="728"/>
      <c r="AB724" s="70">
        <f>AB9/'Terms and Turnovers'!$AS$16</f>
        <v>0</v>
      </c>
      <c r="AC724" s="728"/>
      <c r="AD724" s="70">
        <f>AD9/'Terms and Turnovers'!$AS$16</f>
        <v>0</v>
      </c>
      <c r="AE724" s="728"/>
      <c r="AF724" s="132">
        <f t="shared" si="93"/>
        <v>0</v>
      </c>
      <c r="AG724" s="728"/>
      <c r="AH724" s="133">
        <f t="shared" si="94"/>
        <v>0</v>
      </c>
      <c r="AI724" s="728"/>
      <c r="AJ724" s="65"/>
    </row>
    <row r="725" spans="1:38" ht="13.5" customHeight="1" outlineLevel="1" thickBot="1">
      <c r="A725" s="119"/>
      <c r="B725" s="82"/>
      <c r="C725" s="1235"/>
      <c r="D725" s="1235"/>
      <c r="E725" s="105">
        <f>'Terms and Turnovers'!$AX$12</f>
        <v>0</v>
      </c>
      <c r="F725" s="70">
        <f>F10/'Terms and Turnovers'!$AX$16</f>
        <v>0</v>
      </c>
      <c r="G725" s="72"/>
      <c r="H725" s="70">
        <f>H10/'Terms and Turnovers'!$AX$16</f>
        <v>0</v>
      </c>
      <c r="I725" s="72"/>
      <c r="J725" s="70">
        <f>J10/'Terms and Turnovers'!$AX$16</f>
        <v>0</v>
      </c>
      <c r="K725" s="107"/>
      <c r="L725" s="70">
        <f>L10/'Terms and Turnovers'!$AX$16</f>
        <v>0</v>
      </c>
      <c r="M725" s="107"/>
      <c r="N725" s="70">
        <f>N10/'Terms and Turnovers'!$AX$16</f>
        <v>0</v>
      </c>
      <c r="O725" s="107"/>
      <c r="P725" s="70">
        <f>P10/'Terms and Turnovers'!$AX$16</f>
        <v>0</v>
      </c>
      <c r="Q725" s="107"/>
      <c r="R725" s="135">
        <f t="shared" si="92"/>
        <v>0</v>
      </c>
      <c r="S725" s="107"/>
      <c r="T725" s="70">
        <f>T10/'Terms and Turnovers'!$AX$16</f>
        <v>0</v>
      </c>
      <c r="U725" s="107"/>
      <c r="V725" s="70">
        <f>V10/'Terms and Turnovers'!$AX$16</f>
        <v>0</v>
      </c>
      <c r="W725" s="107"/>
      <c r="X725" s="70">
        <f>X10/'Terms and Turnovers'!$AX$16</f>
        <v>0</v>
      </c>
      <c r="Y725" s="107"/>
      <c r="Z725" s="70">
        <f>Z10/'Terms and Turnovers'!$AX$16</f>
        <v>0</v>
      </c>
      <c r="AA725" s="107"/>
      <c r="AB725" s="70">
        <f>AB10/'Terms and Turnovers'!$AX$16</f>
        <v>0</v>
      </c>
      <c r="AC725" s="107"/>
      <c r="AD725" s="70">
        <f>AD10/'Terms and Turnovers'!$AX$16</f>
        <v>0</v>
      </c>
      <c r="AE725" s="107"/>
      <c r="AF725" s="135">
        <f t="shared" si="93"/>
        <v>0</v>
      </c>
      <c r="AG725" s="107"/>
      <c r="AH725" s="136">
        <f t="shared" si="94"/>
        <v>0</v>
      </c>
      <c r="AI725" s="107"/>
      <c r="AJ725" s="65"/>
    </row>
    <row r="726" spans="1:38" ht="13.5" customHeight="1" outlineLevel="1">
      <c r="A726" s="119"/>
      <c r="B726" s="82"/>
      <c r="C726" s="425"/>
      <c r="D726" s="425"/>
      <c r="E726" s="634"/>
      <c r="F726" s="635"/>
      <c r="G726" s="428"/>
      <c r="H726" s="635"/>
      <c r="I726" s="428"/>
      <c r="J726" s="635"/>
      <c r="K726" s="636"/>
      <c r="L726" s="635"/>
      <c r="M726" s="636"/>
      <c r="N726" s="635"/>
      <c r="O726" s="636"/>
      <c r="P726" s="635"/>
      <c r="Q726" s="636"/>
      <c r="R726" s="637"/>
      <c r="S726" s="698">
        <f>SUM(R6:R10)/1.2-(SUM(R721:R725)*'Mark Up Validation'!$M$132)</f>
        <v>974646.50142857176</v>
      </c>
      <c r="T726" s="635"/>
      <c r="U726" s="636"/>
      <c r="V726" s="635"/>
      <c r="W726" s="636"/>
      <c r="X726" s="635"/>
      <c r="Y726" s="636"/>
      <c r="Z726" s="635"/>
      <c r="AA726" s="636"/>
      <c r="AB726" s="635"/>
      <c r="AC726" s="636"/>
      <c r="AD726" s="635"/>
      <c r="AE726" s="636"/>
      <c r="AF726" s="637"/>
      <c r="AG726" s="698">
        <f>SUM(AF6:AF10)/1.2-(SUM(AF721:AF725)*'Mark Up Validation'!$M$132)</f>
        <v>797438.0466233769</v>
      </c>
      <c r="AH726" s="638"/>
      <c r="AI726" s="698">
        <f>SUM(AH6:AH10)/1.2-SUM(AH721:AH725)*'Mark Up Validation'!$M$132</f>
        <v>1772084.5480519482</v>
      </c>
      <c r="AJ726" s="65"/>
    </row>
    <row r="727" spans="1:38" ht="13.5" customHeight="1" outlineLevel="1" thickBot="1">
      <c r="A727" s="119"/>
      <c r="B727" s="82"/>
      <c r="C727" s="940" t="s">
        <v>487</v>
      </c>
      <c r="D727" s="968"/>
      <c r="E727" s="699"/>
      <c r="F727" s="700"/>
      <c r="G727" s="701"/>
      <c r="H727" s="700"/>
      <c r="I727" s="701"/>
      <c r="J727" s="700"/>
      <c r="K727" s="702"/>
      <c r="L727" s="700"/>
      <c r="M727" s="702"/>
      <c r="N727" s="700"/>
      <c r="O727" s="702"/>
      <c r="P727" s="700"/>
      <c r="Q727" s="702"/>
      <c r="R727" s="703"/>
      <c r="S727" s="729">
        <f>IF(S726&gt;0,S726/(SUM(R6:R10)/1.2),0)</f>
        <v>0.49350649350649356</v>
      </c>
      <c r="T727" s="704"/>
      <c r="U727" s="702"/>
      <c r="V727" s="700"/>
      <c r="W727" s="702"/>
      <c r="X727" s="700"/>
      <c r="Y727" s="702"/>
      <c r="Z727" s="700"/>
      <c r="AA727" s="702"/>
      <c r="AB727" s="700"/>
      <c r="AC727" s="702"/>
      <c r="AD727" s="700"/>
      <c r="AE727" s="702"/>
      <c r="AF727" s="705"/>
      <c r="AG727" s="729">
        <f>IF(AG726&gt;0,AG726/(SUM(AF6:AF10)/1.2),0)</f>
        <v>0.49350649350649356</v>
      </c>
      <c r="AH727" s="706"/>
      <c r="AI727" s="729">
        <f>IF(AI726&gt;0,AI726/(SUM(AH6:AH10)/1.2),0)</f>
        <v>0.4935064935064935</v>
      </c>
      <c r="AJ727" s="707"/>
    </row>
    <row r="728" spans="1:38" ht="12.75" customHeight="1" outlineLevel="1">
      <c r="A728" s="73"/>
      <c r="B728" s="82">
        <f>B721+1</f>
        <v>2</v>
      </c>
      <c r="C728" s="1233">
        <f>C13</f>
        <v>0</v>
      </c>
      <c r="D728" s="1233" t="str">
        <f>D13</f>
        <v>Интернет решения ООО</v>
      </c>
      <c r="E728" s="83" t="str">
        <f>'Terms and Turnovers'!$J$12</f>
        <v>FLIP-FLOPS</v>
      </c>
      <c r="F728" s="68">
        <f>F13/'Terms and Turnovers'!$J17</f>
        <v>0</v>
      </c>
      <c r="G728" s="106"/>
      <c r="H728" s="68">
        <f>H13/'Terms and Turnovers'!$J17</f>
        <v>0</v>
      </c>
      <c r="I728" s="106"/>
      <c r="J728" s="68">
        <f>J13/'Terms and Turnovers'!$J17</f>
        <v>0</v>
      </c>
      <c r="K728" s="106"/>
      <c r="L728" s="68">
        <f>L13/'Terms and Turnovers'!$J17</f>
        <v>1095254.8051948051</v>
      </c>
      <c r="M728" s="106"/>
      <c r="N728" s="68">
        <f>N13/'Terms and Turnovers'!$J17</f>
        <v>0</v>
      </c>
      <c r="O728" s="106"/>
      <c r="P728" s="68">
        <f>P13/'Terms and Turnovers'!$J17</f>
        <v>0</v>
      </c>
      <c r="Q728" s="106"/>
      <c r="R728" s="129">
        <f t="shared" si="92"/>
        <v>1095254.8051948051</v>
      </c>
      <c r="S728" s="708"/>
      <c r="T728" s="68">
        <f>T13/'Terms and Turnovers'!$O17</f>
        <v>0</v>
      </c>
      <c r="U728" s="106"/>
      <c r="V728" s="68">
        <f>V13/'Terms and Turnovers'!$O17</f>
        <v>0</v>
      </c>
      <c r="W728" s="106"/>
      <c r="X728" s="68">
        <f>X13/'Terms and Turnovers'!$O17</f>
        <v>0</v>
      </c>
      <c r="Y728" s="106"/>
      <c r="Z728" s="68">
        <f>Z13/'Terms and Turnovers'!$O17</f>
        <v>0</v>
      </c>
      <c r="AA728" s="106"/>
      <c r="AB728" s="68">
        <f>AB13/'Terms and Turnovers'!$O17</f>
        <v>0</v>
      </c>
      <c r="AC728" s="106"/>
      <c r="AD728" s="68">
        <f>AD13/'Terms and Turnovers'!$O17</f>
        <v>0</v>
      </c>
      <c r="AE728" s="106"/>
      <c r="AF728" s="129">
        <f t="shared" si="93"/>
        <v>0</v>
      </c>
      <c r="AG728" s="106"/>
      <c r="AH728" s="130">
        <f t="shared" si="94"/>
        <v>1095254.8051948051</v>
      </c>
      <c r="AI728" s="106"/>
      <c r="AJ728" s="65"/>
      <c r="AK728" s="817">
        <f>R728*'Mark Up Validation'!$M$132</f>
        <v>1281448.1220779219</v>
      </c>
      <c r="AL728" s="817">
        <f>AF728*'Mark Up Validation'!$S$132</f>
        <v>0</v>
      </c>
    </row>
    <row r="729" spans="1:38" ht="12.75" customHeight="1" outlineLevel="1">
      <c r="A729" s="73"/>
      <c r="B729" s="82"/>
      <c r="C729" s="1234"/>
      <c r="D729" s="1234"/>
      <c r="E729" s="84" t="str">
        <f>'Terms and Turnovers'!$T$12</f>
        <v>ORIGINALS</v>
      </c>
      <c r="F729" s="70">
        <f>F14/'Terms and Turnovers'!$T17</f>
        <v>0</v>
      </c>
      <c r="G729" s="728"/>
      <c r="H729" s="70">
        <f>H14/'Terms and Turnovers'!$T17</f>
        <v>0</v>
      </c>
      <c r="I729" s="728"/>
      <c r="J729" s="70">
        <f>J14/'Terms and Turnovers'!$T17</f>
        <v>0</v>
      </c>
      <c r="K729" s="728"/>
      <c r="L729" s="70">
        <f>L14/'Terms and Turnovers'!$T17</f>
        <v>0</v>
      </c>
      <c r="M729" s="728"/>
      <c r="N729" s="70">
        <f>N14/'Terms and Turnovers'!$T17</f>
        <v>0</v>
      </c>
      <c r="O729" s="728"/>
      <c r="P729" s="70">
        <f>P14/'Terms and Turnovers'!$T17</f>
        <v>0</v>
      </c>
      <c r="Q729" s="728"/>
      <c r="R729" s="132">
        <f t="shared" si="92"/>
        <v>0</v>
      </c>
      <c r="S729" s="728"/>
      <c r="T729" s="70">
        <f>T14/'Terms and Turnovers'!$Y17</f>
        <v>0</v>
      </c>
      <c r="U729" s="728"/>
      <c r="V729" s="70">
        <f>V14/'Terms and Turnovers'!$Y17</f>
        <v>0</v>
      </c>
      <c r="W729" s="728"/>
      <c r="X729" s="70">
        <f>X14/'Terms and Turnovers'!$Y17</f>
        <v>0</v>
      </c>
      <c r="Y729" s="728"/>
      <c r="Z729" s="70">
        <f>Z14/'Terms and Turnovers'!$Y17</f>
        <v>0</v>
      </c>
      <c r="AA729" s="728"/>
      <c r="AB729" s="70">
        <f>AB14/'Terms and Turnovers'!$Y17</f>
        <v>0</v>
      </c>
      <c r="AC729" s="728"/>
      <c r="AD729" s="70">
        <f>AD14/'Terms and Turnovers'!$Y17</f>
        <v>0</v>
      </c>
      <c r="AE729" s="728"/>
      <c r="AF729" s="132">
        <f t="shared" si="93"/>
        <v>0</v>
      </c>
      <c r="AG729" s="728"/>
      <c r="AH729" s="133">
        <f t="shared" si="94"/>
        <v>0</v>
      </c>
      <c r="AI729" s="728"/>
      <c r="AJ729" s="65"/>
    </row>
    <row r="730" spans="1:38" ht="12.75" customHeight="1" outlineLevel="1">
      <c r="A730" s="73"/>
      <c r="B730" s="82"/>
      <c r="C730" s="1234"/>
      <c r="D730" s="1234"/>
      <c r="E730" s="84" t="str">
        <f>'Terms and Turnovers'!$AD$12</f>
        <v>ACCESSORIES</v>
      </c>
      <c r="F730" s="70">
        <f>F15/'Terms and Turnovers'!$AD17</f>
        <v>0</v>
      </c>
      <c r="G730" s="728"/>
      <c r="H730" s="70">
        <f>H15/'Terms and Turnovers'!$AD17</f>
        <v>0</v>
      </c>
      <c r="I730" s="728"/>
      <c r="J730" s="70">
        <f>J15/'Terms and Turnovers'!$AD17</f>
        <v>0</v>
      </c>
      <c r="K730" s="728"/>
      <c r="L730" s="70">
        <f>L15/'Terms and Turnovers'!$AD17</f>
        <v>0</v>
      </c>
      <c r="M730" s="728"/>
      <c r="N730" s="70">
        <f>N15/'Terms and Turnovers'!$AD17</f>
        <v>0</v>
      </c>
      <c r="O730" s="728"/>
      <c r="P730" s="70">
        <f>P15/'Terms and Turnovers'!$AD17</f>
        <v>0</v>
      </c>
      <c r="Q730" s="728"/>
      <c r="R730" s="132">
        <f t="shared" si="92"/>
        <v>0</v>
      </c>
      <c r="S730" s="728"/>
      <c r="T730" s="70">
        <f>T15/'Terms and Turnovers'!$AI17</f>
        <v>0</v>
      </c>
      <c r="U730" s="728"/>
      <c r="V730" s="70">
        <f>V15/'Terms and Turnovers'!$AI17</f>
        <v>0</v>
      </c>
      <c r="W730" s="728"/>
      <c r="X730" s="70">
        <f>X15/'Terms and Turnovers'!$AI17</f>
        <v>0</v>
      </c>
      <c r="Y730" s="728"/>
      <c r="Z730" s="70">
        <f>Z15/'Terms and Turnovers'!$AI17</f>
        <v>0</v>
      </c>
      <c r="AA730" s="728"/>
      <c r="AB730" s="70">
        <f>AB15/'Terms and Turnovers'!$AI17</f>
        <v>0</v>
      </c>
      <c r="AC730" s="728"/>
      <c r="AD730" s="70">
        <f>AD15/'Terms and Turnovers'!$AI17</f>
        <v>0</v>
      </c>
      <c r="AE730" s="728"/>
      <c r="AF730" s="132">
        <f t="shared" si="93"/>
        <v>0</v>
      </c>
      <c r="AG730" s="728"/>
      <c r="AH730" s="133">
        <f t="shared" si="94"/>
        <v>0</v>
      </c>
      <c r="AI730" s="728"/>
      <c r="AJ730" s="65"/>
    </row>
    <row r="731" spans="1:38" ht="12.75" customHeight="1" outlineLevel="1">
      <c r="A731" s="73"/>
      <c r="B731" s="82"/>
      <c r="C731" s="1234"/>
      <c r="D731" s="1234"/>
      <c r="E731" s="84">
        <f>'Terms and Turnovers'!$AN$12</f>
        <v>0</v>
      </c>
      <c r="F731" s="70">
        <f>F16/'Terms and Turnovers'!$AN17</f>
        <v>0</v>
      </c>
      <c r="G731" s="728"/>
      <c r="H731" s="70">
        <f>H16/'Terms and Turnovers'!$AN17</f>
        <v>0</v>
      </c>
      <c r="I731" s="728"/>
      <c r="J731" s="70">
        <f>J16/'Terms and Turnovers'!$AN17</f>
        <v>0</v>
      </c>
      <c r="K731" s="728"/>
      <c r="L731" s="70">
        <f>L16/'Terms and Turnovers'!$AN17</f>
        <v>0</v>
      </c>
      <c r="M731" s="728"/>
      <c r="N731" s="70">
        <f>N16/'Terms and Turnovers'!$AN17</f>
        <v>0</v>
      </c>
      <c r="O731" s="728"/>
      <c r="P731" s="70">
        <f>P16/'Terms and Turnovers'!$AN17</f>
        <v>0</v>
      </c>
      <c r="Q731" s="728"/>
      <c r="R731" s="132">
        <f t="shared" si="92"/>
        <v>0</v>
      </c>
      <c r="S731" s="728"/>
      <c r="T731" s="70">
        <f>T16/'Terms and Turnovers'!$AS17</f>
        <v>0</v>
      </c>
      <c r="U731" s="728"/>
      <c r="V731" s="70">
        <f>V16/'Terms and Turnovers'!$AS17</f>
        <v>0</v>
      </c>
      <c r="W731" s="728"/>
      <c r="X731" s="70">
        <f>X16/'Terms and Turnovers'!$AS17</f>
        <v>0</v>
      </c>
      <c r="Y731" s="728"/>
      <c r="Z731" s="70">
        <f>Z16/'Terms and Turnovers'!$AS17</f>
        <v>0</v>
      </c>
      <c r="AA731" s="728"/>
      <c r="AB731" s="70">
        <f>AB16/'Terms and Turnovers'!$AS17</f>
        <v>0</v>
      </c>
      <c r="AC731" s="728"/>
      <c r="AD731" s="70">
        <f>AD16/'Terms and Turnovers'!$AS17</f>
        <v>0</v>
      </c>
      <c r="AE731" s="728"/>
      <c r="AF731" s="132">
        <f t="shared" si="93"/>
        <v>0</v>
      </c>
      <c r="AG731" s="728"/>
      <c r="AH731" s="133">
        <f t="shared" si="94"/>
        <v>0</v>
      </c>
      <c r="AI731" s="728"/>
      <c r="AJ731" s="65"/>
    </row>
    <row r="732" spans="1:38" ht="13.5" customHeight="1" outlineLevel="1" thickBot="1">
      <c r="A732" s="73"/>
      <c r="B732" s="82"/>
      <c r="C732" s="1235"/>
      <c r="D732" s="1235"/>
      <c r="E732" s="85">
        <f>'Terms and Turnovers'!$AX$12</f>
        <v>0</v>
      </c>
      <c r="F732" s="70">
        <f>F17/'Terms and Turnovers'!$AX17</f>
        <v>0</v>
      </c>
      <c r="G732" s="107"/>
      <c r="H732" s="70">
        <f>H17/'Terms and Turnovers'!$AX17</f>
        <v>0</v>
      </c>
      <c r="I732" s="107"/>
      <c r="J732" s="70">
        <f>J17/'Terms and Turnovers'!$AX17</f>
        <v>0</v>
      </c>
      <c r="K732" s="107"/>
      <c r="L732" s="70">
        <f>L17/'Terms and Turnovers'!$AX17</f>
        <v>0</v>
      </c>
      <c r="M732" s="107"/>
      <c r="N732" s="70">
        <f>N17/'Terms and Turnovers'!$AX17</f>
        <v>0</v>
      </c>
      <c r="O732" s="107"/>
      <c r="P732" s="70">
        <f>P17/'Terms and Turnovers'!$AX17</f>
        <v>0</v>
      </c>
      <c r="Q732" s="107"/>
      <c r="R732" s="135">
        <f t="shared" si="92"/>
        <v>0</v>
      </c>
      <c r="S732" s="107"/>
      <c r="T732" s="70">
        <f>T17/'Terms and Turnovers'!$AX$17</f>
        <v>0</v>
      </c>
      <c r="U732" s="107"/>
      <c r="V732" s="70">
        <f>V17/'Terms and Turnovers'!$AX$17</f>
        <v>0</v>
      </c>
      <c r="W732" s="107"/>
      <c r="X732" s="70">
        <f>X17/'Terms and Turnovers'!$AX$17</f>
        <v>0</v>
      </c>
      <c r="Y732" s="107"/>
      <c r="Z732" s="70">
        <f>Z17/'Terms and Turnovers'!$AX$17</f>
        <v>0</v>
      </c>
      <c r="AA732" s="107"/>
      <c r="AB732" s="70">
        <f>AB17/'Terms and Turnovers'!$AX$17</f>
        <v>0</v>
      </c>
      <c r="AC732" s="107"/>
      <c r="AD732" s="70">
        <f>AD17/'Terms and Turnovers'!$AX$17</f>
        <v>0</v>
      </c>
      <c r="AE732" s="107"/>
      <c r="AF732" s="135">
        <f t="shared" si="93"/>
        <v>0</v>
      </c>
      <c r="AG732" s="107"/>
      <c r="AH732" s="136">
        <f t="shared" si="94"/>
        <v>0</v>
      </c>
      <c r="AI732" s="107"/>
      <c r="AJ732" s="65"/>
    </row>
    <row r="733" spans="1:38" ht="13.5" customHeight="1" outlineLevel="1" thickBot="1">
      <c r="A733" s="119"/>
      <c r="B733" s="82"/>
      <c r="C733" s="425"/>
      <c r="D733" s="425"/>
      <c r="E733" s="634"/>
      <c r="F733" s="635"/>
      <c r="G733" s="107"/>
      <c r="H733" s="635"/>
      <c r="I733" s="107"/>
      <c r="J733" s="635"/>
      <c r="K733" s="636"/>
      <c r="L733" s="635"/>
      <c r="M733" s="636"/>
      <c r="N733" s="635"/>
      <c r="O733" s="636"/>
      <c r="P733" s="635"/>
      <c r="Q733" s="636"/>
      <c r="R733" s="637"/>
      <c r="S733" s="698">
        <f>SUM(R13:R17)/1.2-(SUM(R728:R732)*'Mark Up Validation'!$M$132)</f>
        <v>616080.82792207808</v>
      </c>
      <c r="T733" s="635"/>
      <c r="U733" s="636"/>
      <c r="V733" s="635"/>
      <c r="W733" s="636"/>
      <c r="X733" s="635"/>
      <c r="Y733" s="636"/>
      <c r="Z733" s="635"/>
      <c r="AA733" s="636"/>
      <c r="AB733" s="635"/>
      <c r="AC733" s="636"/>
      <c r="AD733" s="635"/>
      <c r="AE733" s="636"/>
      <c r="AF733" s="637"/>
      <c r="AG733" s="698">
        <f>SUM(AF13:AF17)/1.2-SUM(AF728:AF732)*'Mark Up Validation'!$M$132</f>
        <v>0</v>
      </c>
      <c r="AH733" s="638"/>
      <c r="AI733" s="698">
        <f>SUM(AH13:AH17)/1.2-SUM(AH728:AH732)*'Mark Up Validation'!$M$132</f>
        <v>616080.82792207808</v>
      </c>
      <c r="AJ733" s="65"/>
    </row>
    <row r="734" spans="1:38" ht="13.5" customHeight="1" outlineLevel="1" thickBot="1">
      <c r="A734" s="119"/>
      <c r="B734" s="82"/>
      <c r="C734" s="940" t="s">
        <v>487</v>
      </c>
      <c r="D734" s="968"/>
      <c r="E734" s="699"/>
      <c r="F734" s="700"/>
      <c r="G734" s="701"/>
      <c r="H734" s="700"/>
      <c r="I734" s="701"/>
      <c r="J734" s="700"/>
      <c r="K734" s="702"/>
      <c r="L734" s="700"/>
      <c r="M734" s="702"/>
      <c r="N734" s="700"/>
      <c r="O734" s="702"/>
      <c r="P734" s="700"/>
      <c r="Q734" s="702"/>
      <c r="R734" s="703"/>
      <c r="S734" s="729">
        <f>IF(S733&gt;0,S733/(SUM(R13:R17)/1.2),0)</f>
        <v>0.32467532467532478</v>
      </c>
      <c r="T734" s="704"/>
      <c r="U734" s="702"/>
      <c r="V734" s="700"/>
      <c r="W734" s="702"/>
      <c r="X734" s="700"/>
      <c r="Y734" s="702"/>
      <c r="Z734" s="700"/>
      <c r="AA734" s="702"/>
      <c r="AB734" s="700"/>
      <c r="AC734" s="702"/>
      <c r="AD734" s="700"/>
      <c r="AE734" s="702"/>
      <c r="AF734" s="705"/>
      <c r="AG734" s="729">
        <f>IF(AG733&gt;0,AG733/(SUM(AF13:AF17)/1.2),0)</f>
        <v>0</v>
      </c>
      <c r="AH734" s="706"/>
      <c r="AI734" s="729">
        <f>IF(AI733&gt;0,AI733/(SUM(AH13:AH17)/1.2),0)</f>
        <v>0.32467532467532478</v>
      </c>
      <c r="AJ734" s="707"/>
    </row>
    <row r="735" spans="1:38" ht="12.75" customHeight="1" outlineLevel="1">
      <c r="A735" s="73"/>
      <c r="B735" s="82">
        <f>B728+1</f>
        <v>3</v>
      </c>
      <c r="C735" s="1233">
        <f>C20</f>
        <v>0</v>
      </c>
      <c r="D735" s="1233" t="str">
        <f>D20</f>
        <v>Купишуз ООО</v>
      </c>
      <c r="E735" s="83" t="str">
        <f>'Terms and Turnovers'!$J$12</f>
        <v>FLIP-FLOPS</v>
      </c>
      <c r="F735" s="68">
        <f>F20/'Terms and Turnovers'!$J18</f>
        <v>0</v>
      </c>
      <c r="G735" s="106"/>
      <c r="H735" s="68">
        <f>H20/'Terms and Turnovers'!$J18</f>
        <v>0</v>
      </c>
      <c r="I735" s="106"/>
      <c r="J735" s="68">
        <f>J20/'Terms and Turnovers'!$J18</f>
        <v>0</v>
      </c>
      <c r="K735" s="106"/>
      <c r="L735" s="68">
        <f>L20/'Terms and Turnovers'!$J18</f>
        <v>89758.400785714301</v>
      </c>
      <c r="M735" s="106"/>
      <c r="N735" s="68">
        <f>N20/'Terms and Turnovers'!$J18</f>
        <v>155896.1697857143</v>
      </c>
      <c r="O735" s="106"/>
      <c r="P735" s="68">
        <f>P20/'Terms and Turnovers'!$J18</f>
        <v>226758.06514285717</v>
      </c>
      <c r="Q735" s="106"/>
      <c r="R735" s="129">
        <f t="shared" si="92"/>
        <v>472412.63571428577</v>
      </c>
      <c r="S735" s="106"/>
      <c r="T735" s="68">
        <f>T20/'Terms and Turnovers'!$O18</f>
        <v>146877.38310389611</v>
      </c>
      <c r="U735" s="106"/>
      <c r="V735" s="68">
        <f>V20/'Terms and Turnovers'!$O18</f>
        <v>119821.02305844155</v>
      </c>
      <c r="W735" s="106"/>
      <c r="X735" s="68">
        <f>X20/'Terms and Turnovers'!$O18</f>
        <v>61843.108675324685</v>
      </c>
      <c r="Y735" s="106"/>
      <c r="Z735" s="68">
        <f>Z20/'Terms and Turnovers'!$O18</f>
        <v>27056.360045454549</v>
      </c>
      <c r="AA735" s="106"/>
      <c r="AB735" s="68">
        <f>AB20/'Terms and Turnovers'!$O18</f>
        <v>15460.777168831171</v>
      </c>
      <c r="AC735" s="106"/>
      <c r="AD735" s="68">
        <f>AD20/'Terms and Turnovers'!$O18</f>
        <v>15460.777168831171</v>
      </c>
      <c r="AE735" s="106"/>
      <c r="AF735" s="129">
        <f t="shared" si="93"/>
        <v>386519.42922077916</v>
      </c>
      <c r="AG735" s="106"/>
      <c r="AH735" s="130">
        <f t="shared" si="94"/>
        <v>858932.06493506487</v>
      </c>
      <c r="AI735" s="106"/>
      <c r="AJ735" s="65"/>
      <c r="AK735" s="817">
        <f>R735*'Mark Up Validation'!$M$132</f>
        <v>552722.7837857143</v>
      </c>
      <c r="AL735" s="817">
        <f>AF735*'Mark Up Validation'!$S$132</f>
        <v>452227.73218831158</v>
      </c>
    </row>
    <row r="736" spans="1:38" ht="12.75" customHeight="1" outlineLevel="1">
      <c r="A736" s="73"/>
      <c r="B736" s="82"/>
      <c r="C736" s="1234"/>
      <c r="D736" s="1234"/>
      <c r="E736" s="84" t="str">
        <f>'Terms and Turnovers'!$T$12</f>
        <v>ORIGINALS</v>
      </c>
      <c r="F736" s="70">
        <f>F21/'Terms and Turnovers'!$T18</f>
        <v>0</v>
      </c>
      <c r="G736" s="728"/>
      <c r="H736" s="70">
        <f>H21/'Terms and Turnovers'!$T18</f>
        <v>0</v>
      </c>
      <c r="I736" s="728"/>
      <c r="J736" s="70">
        <f>J21/'Terms and Turnovers'!$T18</f>
        <v>0</v>
      </c>
      <c r="K736" s="728"/>
      <c r="L736" s="70">
        <f>L21/'Terms and Turnovers'!$T18</f>
        <v>0</v>
      </c>
      <c r="M736" s="728"/>
      <c r="N736" s="70">
        <f>N21/'Terms and Turnovers'!$T18</f>
        <v>0</v>
      </c>
      <c r="O736" s="728"/>
      <c r="P736" s="70">
        <f>P21/'Terms and Turnovers'!$T18</f>
        <v>0</v>
      </c>
      <c r="Q736" s="728"/>
      <c r="R736" s="132">
        <f t="shared" si="92"/>
        <v>0</v>
      </c>
      <c r="S736" s="728"/>
      <c r="T736" s="70">
        <f>T21/'Terms and Turnovers'!$Y18</f>
        <v>0</v>
      </c>
      <c r="U736" s="728"/>
      <c r="V736" s="70">
        <f>V21/'Terms and Turnovers'!$Y18</f>
        <v>0</v>
      </c>
      <c r="W736" s="728"/>
      <c r="X736" s="70">
        <f>X21/'Terms and Turnovers'!$Y18</f>
        <v>0</v>
      </c>
      <c r="Y736" s="728"/>
      <c r="Z736" s="70">
        <f>Z21/'Terms and Turnovers'!$Y18</f>
        <v>0</v>
      </c>
      <c r="AA736" s="728"/>
      <c r="AB736" s="70">
        <f>AB21/'Terms and Turnovers'!$Y18</f>
        <v>0</v>
      </c>
      <c r="AC736" s="728"/>
      <c r="AD736" s="70">
        <f>AD21/'Terms and Turnovers'!$Y18</f>
        <v>0</v>
      </c>
      <c r="AE736" s="728"/>
      <c r="AF736" s="132">
        <f t="shared" si="93"/>
        <v>0</v>
      </c>
      <c r="AG736" s="728"/>
      <c r="AH736" s="133">
        <f t="shared" si="94"/>
        <v>0</v>
      </c>
      <c r="AI736" s="728"/>
      <c r="AJ736" s="65"/>
    </row>
    <row r="737" spans="1:38" ht="12.75" customHeight="1" outlineLevel="1">
      <c r="A737" s="73"/>
      <c r="B737" s="82"/>
      <c r="C737" s="1234"/>
      <c r="D737" s="1234"/>
      <c r="E737" s="84" t="str">
        <f>'Terms and Turnovers'!$AD$12</f>
        <v>ACCESSORIES</v>
      </c>
      <c r="F737" s="70">
        <f>F22/'Terms and Turnovers'!$AD18</f>
        <v>0</v>
      </c>
      <c r="G737" s="728"/>
      <c r="H737" s="70">
        <f>H22/'Terms and Turnovers'!$AD18</f>
        <v>0</v>
      </c>
      <c r="I737" s="728"/>
      <c r="J737" s="70">
        <f>J22/'Terms and Turnovers'!$AD18</f>
        <v>0</v>
      </c>
      <c r="K737" s="728"/>
      <c r="L737" s="70">
        <f>L22/'Terms and Turnovers'!$AD18</f>
        <v>0</v>
      </c>
      <c r="M737" s="728"/>
      <c r="N737" s="70">
        <f>N22/'Terms and Turnovers'!$AD18</f>
        <v>0</v>
      </c>
      <c r="O737" s="728"/>
      <c r="P737" s="70">
        <f>P22/'Terms and Turnovers'!$AD18</f>
        <v>0</v>
      </c>
      <c r="Q737" s="728"/>
      <c r="R737" s="132">
        <f t="shared" si="92"/>
        <v>0</v>
      </c>
      <c r="S737" s="728"/>
      <c r="T737" s="70">
        <f>T22/'Terms and Turnovers'!$AI18</f>
        <v>0</v>
      </c>
      <c r="U737" s="728"/>
      <c r="V737" s="70">
        <f>V22/'Terms and Turnovers'!$AI18</f>
        <v>0</v>
      </c>
      <c r="W737" s="728"/>
      <c r="X737" s="70">
        <f>X22/'Terms and Turnovers'!$AI18</f>
        <v>0</v>
      </c>
      <c r="Y737" s="728"/>
      <c r="Z737" s="70">
        <f>Z22/'Terms and Turnovers'!$AI18</f>
        <v>0</v>
      </c>
      <c r="AA737" s="728"/>
      <c r="AB737" s="70">
        <f>AB22/'Terms and Turnovers'!$AI18</f>
        <v>0</v>
      </c>
      <c r="AC737" s="728"/>
      <c r="AD737" s="70">
        <f>AD22/'Terms and Turnovers'!$AI18</f>
        <v>0</v>
      </c>
      <c r="AE737" s="728"/>
      <c r="AF737" s="132">
        <f t="shared" si="93"/>
        <v>0</v>
      </c>
      <c r="AG737" s="728"/>
      <c r="AH737" s="133">
        <f t="shared" si="94"/>
        <v>0</v>
      </c>
      <c r="AI737" s="728"/>
      <c r="AJ737" s="65"/>
    </row>
    <row r="738" spans="1:38" ht="12.75" customHeight="1" outlineLevel="1">
      <c r="A738" s="73"/>
      <c r="B738" s="82"/>
      <c r="C738" s="1234"/>
      <c r="D738" s="1234"/>
      <c r="E738" s="84">
        <f>'Terms and Turnovers'!$AN$12</f>
        <v>0</v>
      </c>
      <c r="F738" s="70">
        <f>F23/'Terms and Turnovers'!$AN18</f>
        <v>0</v>
      </c>
      <c r="G738" s="728"/>
      <c r="H738" s="70">
        <f>H23/'Terms and Turnovers'!$AN18</f>
        <v>0</v>
      </c>
      <c r="I738" s="728"/>
      <c r="J738" s="70">
        <f>J23/'Terms and Turnovers'!$AN18</f>
        <v>0</v>
      </c>
      <c r="K738" s="728"/>
      <c r="L738" s="70">
        <f>L23/'Terms and Turnovers'!$AN18</f>
        <v>0</v>
      </c>
      <c r="M738" s="728"/>
      <c r="N738" s="70">
        <f>N23/'Terms and Turnovers'!$AN18</f>
        <v>0</v>
      </c>
      <c r="O738" s="728"/>
      <c r="P738" s="70">
        <f>P23/'Terms and Turnovers'!$AN18</f>
        <v>0</v>
      </c>
      <c r="Q738" s="728"/>
      <c r="R738" s="132">
        <f t="shared" si="92"/>
        <v>0</v>
      </c>
      <c r="S738" s="728"/>
      <c r="T738" s="70">
        <f>T23/'Terms and Turnovers'!$AS18</f>
        <v>0</v>
      </c>
      <c r="U738" s="728"/>
      <c r="V738" s="70">
        <f>V23/'Terms and Turnovers'!$AS18</f>
        <v>0</v>
      </c>
      <c r="W738" s="728"/>
      <c r="X738" s="70">
        <f>X23/'Terms and Turnovers'!$AS18</f>
        <v>0</v>
      </c>
      <c r="Y738" s="728"/>
      <c r="Z738" s="70">
        <f>Z23/'Terms and Turnovers'!$AS18</f>
        <v>0</v>
      </c>
      <c r="AA738" s="728"/>
      <c r="AB738" s="70">
        <f>AB23/'Terms and Turnovers'!$AS18</f>
        <v>0</v>
      </c>
      <c r="AC738" s="728"/>
      <c r="AD738" s="70">
        <f>AD23/'Terms and Turnovers'!$AS18</f>
        <v>0</v>
      </c>
      <c r="AE738" s="728"/>
      <c r="AF738" s="132">
        <f t="shared" si="93"/>
        <v>0</v>
      </c>
      <c r="AG738" s="728"/>
      <c r="AH738" s="133">
        <f t="shared" si="94"/>
        <v>0</v>
      </c>
      <c r="AI738" s="728"/>
      <c r="AJ738" s="65"/>
    </row>
    <row r="739" spans="1:38" ht="13.5" customHeight="1" outlineLevel="1" thickBot="1">
      <c r="A739" s="73"/>
      <c r="B739" s="82"/>
      <c r="C739" s="1235"/>
      <c r="D739" s="1235"/>
      <c r="E739" s="85">
        <f>'Terms and Turnovers'!$AX$12</f>
        <v>0</v>
      </c>
      <c r="F739" s="70">
        <f>F24/'Terms and Turnovers'!$AX18</f>
        <v>0</v>
      </c>
      <c r="G739" s="728"/>
      <c r="H739" s="70">
        <f>H24/'Terms and Turnovers'!$AX18</f>
        <v>0</v>
      </c>
      <c r="I739" s="728"/>
      <c r="J739" s="70">
        <f>J24/'Terms and Turnovers'!$AX18</f>
        <v>0</v>
      </c>
      <c r="K739" s="728"/>
      <c r="L739" s="70">
        <f>L24/'Terms and Turnovers'!$AX18</f>
        <v>0</v>
      </c>
      <c r="M739" s="728"/>
      <c r="N739" s="70">
        <f>N24/'Terms and Turnovers'!$AX18</f>
        <v>0</v>
      </c>
      <c r="O739" s="728"/>
      <c r="P739" s="70">
        <f>P24/'Terms and Turnovers'!$AX18</f>
        <v>0</v>
      </c>
      <c r="Q739" s="728"/>
      <c r="R739" s="135">
        <f t="shared" si="92"/>
        <v>0</v>
      </c>
      <c r="S739" s="107"/>
      <c r="T739" s="70">
        <f>T24/'Terms and Turnovers'!$AX$18</f>
        <v>0</v>
      </c>
      <c r="U739" s="107"/>
      <c r="V739" s="70">
        <f>V24/'Terms and Turnovers'!$AX$18</f>
        <v>0</v>
      </c>
      <c r="W739" s="107"/>
      <c r="X739" s="70">
        <f>X24/'Terms and Turnovers'!$AX$18</f>
        <v>0</v>
      </c>
      <c r="Y739" s="107"/>
      <c r="Z739" s="70">
        <f>Z24/'Terms and Turnovers'!$AX$18</f>
        <v>0</v>
      </c>
      <c r="AA739" s="107"/>
      <c r="AB739" s="70">
        <f>AB24/'Terms and Turnovers'!$AX$18</f>
        <v>0</v>
      </c>
      <c r="AC739" s="107"/>
      <c r="AD739" s="70">
        <f>AD24/'Terms and Turnovers'!$AX$18</f>
        <v>0</v>
      </c>
      <c r="AE739" s="107"/>
      <c r="AF739" s="135">
        <f t="shared" si="93"/>
        <v>0</v>
      </c>
      <c r="AG739" s="107"/>
      <c r="AH739" s="136">
        <f t="shared" si="94"/>
        <v>0</v>
      </c>
      <c r="AI739" s="107"/>
      <c r="AJ739" s="65"/>
    </row>
    <row r="740" spans="1:38" ht="13.5" customHeight="1" outlineLevel="1">
      <c r="A740" s="73"/>
      <c r="B740" s="82"/>
      <c r="C740" s="425"/>
      <c r="D740" s="425"/>
      <c r="E740" s="634"/>
      <c r="F740" s="635"/>
      <c r="G740" s="428"/>
      <c r="H740" s="635"/>
      <c r="I740" s="428"/>
      <c r="J740" s="635"/>
      <c r="K740" s="636"/>
      <c r="L740" s="635"/>
      <c r="M740" s="636"/>
      <c r="N740" s="635"/>
      <c r="O740" s="636"/>
      <c r="P740" s="635"/>
      <c r="Q740" s="636"/>
      <c r="R740" s="637"/>
      <c r="S740" s="698">
        <f>SUM(R20:R24)/1.2-(SUM(R735:R739)*'Mark Up Validation'!$M$132)</f>
        <v>356671.53996428591</v>
      </c>
      <c r="T740" s="635"/>
      <c r="U740" s="636"/>
      <c r="V740" s="635"/>
      <c r="W740" s="636"/>
      <c r="X740" s="635"/>
      <c r="Y740" s="636"/>
      <c r="Z740" s="635"/>
      <c r="AA740" s="636"/>
      <c r="AB740" s="635"/>
      <c r="AC740" s="636"/>
      <c r="AD740" s="635"/>
      <c r="AE740" s="636"/>
      <c r="AF740" s="637"/>
      <c r="AG740" s="698">
        <f>SUM(AF20:AF24)/1.2-SUM(AF735:AF739)*'Mark Up Validation'!$M$132</f>
        <v>291822.16906168842</v>
      </c>
      <c r="AH740" s="638"/>
      <c r="AI740" s="698">
        <f>SUM(AH20:AH24)/1.2-SUM(AH735:AH739)*'Mark Up Validation'!$M$132</f>
        <v>648493.7090259745</v>
      </c>
      <c r="AJ740" s="65"/>
    </row>
    <row r="741" spans="1:38" ht="13.5" customHeight="1" outlineLevel="1" thickBot="1">
      <c r="A741" s="73"/>
      <c r="B741" s="82"/>
      <c r="C741" s="940" t="s">
        <v>487</v>
      </c>
      <c r="D741" s="968"/>
      <c r="E741" s="699"/>
      <c r="F741" s="700"/>
      <c r="G741" s="701"/>
      <c r="H741" s="700"/>
      <c r="I741" s="701"/>
      <c r="J741" s="700"/>
      <c r="K741" s="702"/>
      <c r="L741" s="700"/>
      <c r="M741" s="702"/>
      <c r="N741" s="700"/>
      <c r="O741" s="702"/>
      <c r="P741" s="700"/>
      <c r="Q741" s="702"/>
      <c r="R741" s="703"/>
      <c r="S741" s="729">
        <f>IF(S740&gt;0,S740/(SUM(R20:R24)/1.2),0)</f>
        <v>0.39220779220779234</v>
      </c>
      <c r="T741" s="704"/>
      <c r="U741" s="702"/>
      <c r="V741" s="700"/>
      <c r="W741" s="702"/>
      <c r="X741" s="700"/>
      <c r="Y741" s="702"/>
      <c r="Z741" s="700"/>
      <c r="AA741" s="702"/>
      <c r="AB741" s="700"/>
      <c r="AC741" s="702"/>
      <c r="AD741" s="700"/>
      <c r="AE741" s="702"/>
      <c r="AF741" s="705"/>
      <c r="AG741" s="729">
        <f>IF(AG740&gt;0,AG740/(SUM(AF20:AF24)/1.2),0)</f>
        <v>0.39220779220779234</v>
      </c>
      <c r="AH741" s="706"/>
      <c r="AI741" s="729">
        <f>IF(AI740&gt;0,AI740/(SUM(AH20:AH24)/1.2),0)</f>
        <v>0.39220779220779239</v>
      </c>
      <c r="AJ741" s="65"/>
    </row>
    <row r="742" spans="1:38" ht="12.75" customHeight="1" outlineLevel="1">
      <c r="A742" s="73"/>
      <c r="B742" s="82">
        <f>B735+1</f>
        <v>4</v>
      </c>
      <c r="C742" s="1233">
        <f>C27</f>
        <v>0</v>
      </c>
      <c r="D742" s="1233" t="str">
        <f>D27</f>
        <v>Траектория ООО</v>
      </c>
      <c r="E742" s="83" t="str">
        <f>'Terms and Turnovers'!$J$12</f>
        <v>FLIP-FLOPS</v>
      </c>
      <c r="F742" s="68">
        <f>F27/'Terms and Turnovers'!$J19</f>
        <v>0</v>
      </c>
      <c r="G742" s="106"/>
      <c r="H742" s="68">
        <f>H27/'Terms and Turnovers'!$J19</f>
        <v>0</v>
      </c>
      <c r="I742" s="106"/>
      <c r="J742" s="68">
        <f>J27/'Terms and Turnovers'!$J19</f>
        <v>0</v>
      </c>
      <c r="K742" s="106"/>
      <c r="L742" s="68">
        <f>L27/'Terms and Turnovers'!$J19</f>
        <v>172324.80519480517</v>
      </c>
      <c r="M742" s="106"/>
      <c r="N742" s="68">
        <f>N27/'Terms and Turnovers'!$J19</f>
        <v>0</v>
      </c>
      <c r="O742" s="106"/>
      <c r="P742" s="68">
        <f>P27/'Terms and Turnovers'!$J19</f>
        <v>0</v>
      </c>
      <c r="Q742" s="106"/>
      <c r="R742" s="129">
        <f t="shared" si="92"/>
        <v>172324.80519480517</v>
      </c>
      <c r="S742" s="106"/>
      <c r="T742" s="68">
        <f>T27/'Terms and Turnovers'!$O19</f>
        <v>0</v>
      </c>
      <c r="U742" s="106"/>
      <c r="V742" s="68">
        <f>V27/'Terms and Turnovers'!$O19</f>
        <v>0</v>
      </c>
      <c r="W742" s="106"/>
      <c r="X742" s="68">
        <f>X27/'Terms and Turnovers'!$O19</f>
        <v>0</v>
      </c>
      <c r="Y742" s="106"/>
      <c r="Z742" s="68">
        <f>Z27/'Terms and Turnovers'!$O19</f>
        <v>0</v>
      </c>
      <c r="AA742" s="106"/>
      <c r="AB742" s="68">
        <f>AB27/'Terms and Turnovers'!$O19</f>
        <v>0</v>
      </c>
      <c r="AC742" s="106"/>
      <c r="AD742" s="68">
        <f>AD27/'Terms and Turnovers'!$O19</f>
        <v>0</v>
      </c>
      <c r="AE742" s="106"/>
      <c r="AF742" s="129">
        <f t="shared" si="93"/>
        <v>0</v>
      </c>
      <c r="AG742" s="106"/>
      <c r="AH742" s="130">
        <f t="shared" si="94"/>
        <v>172324.80519480517</v>
      </c>
      <c r="AI742" s="106"/>
      <c r="AJ742" s="65"/>
      <c r="AK742" s="817">
        <f>R742*'Mark Up Validation'!$M$132</f>
        <v>201620.02207792204</v>
      </c>
      <c r="AL742" s="817">
        <f>AF742*'Mark Up Validation'!$S$132</f>
        <v>0</v>
      </c>
    </row>
    <row r="743" spans="1:38" ht="12.75" customHeight="1" outlineLevel="1">
      <c r="A743" s="73"/>
      <c r="B743" s="82"/>
      <c r="C743" s="1234"/>
      <c r="D743" s="1234"/>
      <c r="E743" s="84" t="str">
        <f>'Terms and Turnovers'!$T$12</f>
        <v>ORIGINALS</v>
      </c>
      <c r="F743" s="70">
        <f>F28/'Terms and Turnovers'!$T19</f>
        <v>0</v>
      </c>
      <c r="G743" s="728"/>
      <c r="H743" s="70">
        <f>H28/'Terms and Turnovers'!$T19</f>
        <v>0</v>
      </c>
      <c r="I743" s="728"/>
      <c r="J743" s="70">
        <f>J28/'Terms and Turnovers'!$T19</f>
        <v>0</v>
      </c>
      <c r="K743" s="728"/>
      <c r="L743" s="70">
        <f>L28/'Terms and Turnovers'!$T19</f>
        <v>0</v>
      </c>
      <c r="M743" s="728"/>
      <c r="N743" s="70">
        <f>N28/'Terms and Turnovers'!$T19</f>
        <v>0</v>
      </c>
      <c r="O743" s="728"/>
      <c r="P743" s="70">
        <f>P28/'Terms and Turnovers'!$T19</f>
        <v>0</v>
      </c>
      <c r="Q743" s="728"/>
      <c r="R743" s="132">
        <f t="shared" si="92"/>
        <v>0</v>
      </c>
      <c r="S743" s="728"/>
      <c r="T743" s="70">
        <f>T28/'Terms and Turnovers'!$Y19</f>
        <v>0</v>
      </c>
      <c r="U743" s="728"/>
      <c r="V743" s="70">
        <f>V28/'Terms and Turnovers'!$Y19</f>
        <v>0</v>
      </c>
      <c r="W743" s="728"/>
      <c r="X743" s="70">
        <f>X28/'Terms and Turnovers'!$Y19</f>
        <v>0</v>
      </c>
      <c r="Y743" s="728"/>
      <c r="Z743" s="70">
        <f>Z28/'Terms and Turnovers'!$Y19</f>
        <v>0</v>
      </c>
      <c r="AA743" s="728"/>
      <c r="AB743" s="70">
        <f>AB28/'Terms and Turnovers'!$Y19</f>
        <v>0</v>
      </c>
      <c r="AC743" s="728"/>
      <c r="AD743" s="70">
        <f>AD28/'Terms and Turnovers'!$Y19</f>
        <v>0</v>
      </c>
      <c r="AE743" s="728"/>
      <c r="AF743" s="132">
        <f t="shared" si="93"/>
        <v>0</v>
      </c>
      <c r="AG743" s="728"/>
      <c r="AH743" s="133">
        <f t="shared" si="94"/>
        <v>0</v>
      </c>
      <c r="AI743" s="728"/>
      <c r="AJ743" s="65"/>
    </row>
    <row r="744" spans="1:38" ht="12.75" customHeight="1" outlineLevel="1">
      <c r="A744" s="73"/>
      <c r="B744" s="82"/>
      <c r="C744" s="1234"/>
      <c r="D744" s="1234"/>
      <c r="E744" s="84" t="str">
        <f>'Terms and Turnovers'!$AD$12</f>
        <v>ACCESSORIES</v>
      </c>
      <c r="F744" s="70">
        <f>F29/'Terms and Turnovers'!$AD19</f>
        <v>0</v>
      </c>
      <c r="G744" s="728"/>
      <c r="H744" s="70">
        <f>H29/'Terms and Turnovers'!$AD19</f>
        <v>0</v>
      </c>
      <c r="I744" s="728"/>
      <c r="J744" s="70">
        <f>J29/'Terms and Turnovers'!$AD19</f>
        <v>0</v>
      </c>
      <c r="K744" s="728"/>
      <c r="L744" s="70">
        <f>L29/'Terms and Turnovers'!$AD19</f>
        <v>0</v>
      </c>
      <c r="M744" s="728"/>
      <c r="N744" s="70">
        <f>N29/'Terms and Turnovers'!$AD19</f>
        <v>0</v>
      </c>
      <c r="O744" s="728"/>
      <c r="P744" s="70">
        <f>P29/'Terms and Turnovers'!$AD19</f>
        <v>0</v>
      </c>
      <c r="Q744" s="728"/>
      <c r="R744" s="132">
        <f t="shared" si="92"/>
        <v>0</v>
      </c>
      <c r="S744" s="728"/>
      <c r="T744" s="70">
        <f>T29/'Terms and Turnovers'!$AI19</f>
        <v>0</v>
      </c>
      <c r="U744" s="728"/>
      <c r="V744" s="70">
        <f>V29/'Terms and Turnovers'!$AI19</f>
        <v>0</v>
      </c>
      <c r="W744" s="728"/>
      <c r="X744" s="70">
        <f>X29/'Terms and Turnovers'!$AI19</f>
        <v>0</v>
      </c>
      <c r="Y744" s="728"/>
      <c r="Z744" s="70">
        <f>Z29/'Terms and Turnovers'!$AI19</f>
        <v>0</v>
      </c>
      <c r="AA744" s="728"/>
      <c r="AB744" s="70">
        <f>AB29/'Terms and Turnovers'!$AI19</f>
        <v>0</v>
      </c>
      <c r="AC744" s="728"/>
      <c r="AD744" s="70">
        <f>AD29/'Terms and Turnovers'!$AI19</f>
        <v>0</v>
      </c>
      <c r="AE744" s="728"/>
      <c r="AF744" s="132">
        <f t="shared" si="93"/>
        <v>0</v>
      </c>
      <c r="AG744" s="728"/>
      <c r="AH744" s="133">
        <f t="shared" si="94"/>
        <v>0</v>
      </c>
      <c r="AI744" s="728"/>
      <c r="AJ744" s="65"/>
    </row>
    <row r="745" spans="1:38" ht="12.75" customHeight="1" outlineLevel="1">
      <c r="A745" s="73"/>
      <c r="B745" s="82"/>
      <c r="C745" s="1234"/>
      <c r="D745" s="1234"/>
      <c r="E745" s="84">
        <f>'Terms and Turnovers'!$AN$12</f>
        <v>0</v>
      </c>
      <c r="F745" s="70">
        <f>F30/'Terms and Turnovers'!$AN19</f>
        <v>0</v>
      </c>
      <c r="G745" s="728"/>
      <c r="H745" s="70">
        <f>H30/'Terms and Turnovers'!$AN19</f>
        <v>0</v>
      </c>
      <c r="I745" s="728"/>
      <c r="J745" s="70">
        <f>J30/'Terms and Turnovers'!$AN19</f>
        <v>0</v>
      </c>
      <c r="K745" s="728"/>
      <c r="L745" s="70">
        <f>L30/'Terms and Turnovers'!$AN19</f>
        <v>0</v>
      </c>
      <c r="M745" s="728"/>
      <c r="N745" s="70">
        <f>N30/'Terms and Turnovers'!$AN19</f>
        <v>0</v>
      </c>
      <c r="O745" s="728"/>
      <c r="P745" s="70">
        <f>P30/'Terms and Turnovers'!$AN19</f>
        <v>0</v>
      </c>
      <c r="Q745" s="728"/>
      <c r="R745" s="132">
        <f t="shared" si="92"/>
        <v>0</v>
      </c>
      <c r="S745" s="728"/>
      <c r="T745" s="70">
        <f>T30/'Terms and Turnovers'!$AS19</f>
        <v>0</v>
      </c>
      <c r="U745" s="728"/>
      <c r="V745" s="70">
        <f>V30/'Terms and Turnovers'!$AS19</f>
        <v>0</v>
      </c>
      <c r="W745" s="728"/>
      <c r="X745" s="70">
        <f>X30/'Terms and Turnovers'!$AS19</f>
        <v>0</v>
      </c>
      <c r="Y745" s="728"/>
      <c r="Z745" s="70">
        <f>Z30/'Terms and Turnovers'!$AS19</f>
        <v>0</v>
      </c>
      <c r="AA745" s="728"/>
      <c r="AB745" s="70">
        <f>AB30/'Terms and Turnovers'!$AS19</f>
        <v>0</v>
      </c>
      <c r="AC745" s="728"/>
      <c r="AD745" s="70">
        <f>AD30/'Terms and Turnovers'!$AS19</f>
        <v>0</v>
      </c>
      <c r="AE745" s="728"/>
      <c r="AF745" s="132">
        <f t="shared" si="93"/>
        <v>0</v>
      </c>
      <c r="AG745" s="728"/>
      <c r="AH745" s="133">
        <f t="shared" si="94"/>
        <v>0</v>
      </c>
      <c r="AI745" s="728"/>
      <c r="AJ745" s="65"/>
    </row>
    <row r="746" spans="1:38" ht="13.5" customHeight="1" outlineLevel="1" thickBot="1">
      <c r="A746" s="73"/>
      <c r="B746" s="82"/>
      <c r="C746" s="1235"/>
      <c r="D746" s="1235"/>
      <c r="E746" s="85">
        <f>'Terms and Turnovers'!$AX$12</f>
        <v>0</v>
      </c>
      <c r="F746" s="70">
        <f>F31/'Terms and Turnovers'!$AX19</f>
        <v>0</v>
      </c>
      <c r="G746" s="107"/>
      <c r="H746" s="70">
        <f>H31/'Terms and Turnovers'!$AX19</f>
        <v>0</v>
      </c>
      <c r="I746" s="107"/>
      <c r="J746" s="70">
        <f>J31/'Terms and Turnovers'!$AX19</f>
        <v>0</v>
      </c>
      <c r="K746" s="107"/>
      <c r="L746" s="70">
        <f>L31/'Terms and Turnovers'!$AX19</f>
        <v>0</v>
      </c>
      <c r="M746" s="107"/>
      <c r="N746" s="70">
        <f>N31/'Terms and Turnovers'!$AX19</f>
        <v>0</v>
      </c>
      <c r="O746" s="107"/>
      <c r="P746" s="70">
        <f>P31/'Terms and Turnovers'!$AX19</f>
        <v>0</v>
      </c>
      <c r="Q746" s="107"/>
      <c r="R746" s="135">
        <f t="shared" si="92"/>
        <v>0</v>
      </c>
      <c r="S746" s="107"/>
      <c r="T746" s="70">
        <f>T31/'Terms and Turnovers'!$AX$19</f>
        <v>0</v>
      </c>
      <c r="U746" s="107"/>
      <c r="V746" s="70">
        <f>V31/'Terms and Turnovers'!$AX$19</f>
        <v>0</v>
      </c>
      <c r="W746" s="107"/>
      <c r="X746" s="70">
        <f>X31/'Terms and Turnovers'!$AX$19</f>
        <v>0</v>
      </c>
      <c r="Y746" s="107"/>
      <c r="Z746" s="70">
        <f>Z31/'Terms and Turnovers'!$AX$19</f>
        <v>0</v>
      </c>
      <c r="AA746" s="107"/>
      <c r="AB746" s="70">
        <f>AB31/'Terms and Turnovers'!$AX$19</f>
        <v>0</v>
      </c>
      <c r="AC746" s="107"/>
      <c r="AD746" s="70">
        <f>AD31/'Terms and Turnovers'!$AX$19</f>
        <v>0</v>
      </c>
      <c r="AE746" s="107"/>
      <c r="AF746" s="135">
        <f t="shared" si="93"/>
        <v>0</v>
      </c>
      <c r="AG746" s="107"/>
      <c r="AH746" s="136">
        <f t="shared" si="94"/>
        <v>0</v>
      </c>
      <c r="AI746" s="107"/>
      <c r="AJ746" s="65"/>
    </row>
    <row r="747" spans="1:38" ht="13.5" customHeight="1" outlineLevel="1">
      <c r="A747" s="73"/>
      <c r="B747" s="82"/>
      <c r="C747" s="425"/>
      <c r="D747" s="425"/>
      <c r="E747" s="634"/>
      <c r="F747" s="635"/>
      <c r="G747" s="428"/>
      <c r="H747" s="635"/>
      <c r="I747" s="428"/>
      <c r="J747" s="635"/>
      <c r="K747" s="636"/>
      <c r="L747" s="635"/>
      <c r="M747" s="636"/>
      <c r="N747" s="635"/>
      <c r="O747" s="636"/>
      <c r="P747" s="635"/>
      <c r="Q747" s="636"/>
      <c r="R747" s="637"/>
      <c r="S747" s="698">
        <f>SUM(R27:R31)/1.2-(SUM(R742:R746)*'Mark Up Validation'!$M$132)</f>
        <v>110201.71292207795</v>
      </c>
      <c r="T747" s="635"/>
      <c r="U747" s="636"/>
      <c r="V747" s="635"/>
      <c r="W747" s="636"/>
      <c r="X747" s="635"/>
      <c r="Y747" s="636"/>
      <c r="Z747" s="635"/>
      <c r="AA747" s="636"/>
      <c r="AB747" s="635"/>
      <c r="AC747" s="636"/>
      <c r="AD747" s="635"/>
      <c r="AE747" s="636"/>
      <c r="AF747" s="637"/>
      <c r="AG747" s="698">
        <f>SUM(AF27:AF31)/1.18-SUM(AF742:AF746)*'Mark Up Validation'!$M$132</f>
        <v>0</v>
      </c>
      <c r="AH747" s="638"/>
      <c r="AI747" s="698">
        <f>SUM(AH27:AH31)/1.2-SUM(AH742:AH746)*'Mark Up Validation'!$M$132</f>
        <v>110201.71292207795</v>
      </c>
      <c r="AJ747" s="65"/>
    </row>
    <row r="748" spans="1:38" ht="13.5" customHeight="1" outlineLevel="1" thickBot="1">
      <c r="A748" s="73"/>
      <c r="B748" s="82"/>
      <c r="C748" s="940" t="s">
        <v>487</v>
      </c>
      <c r="D748" s="968"/>
      <c r="E748" s="699"/>
      <c r="F748" s="700"/>
      <c r="G748" s="701"/>
      <c r="H748" s="700"/>
      <c r="I748" s="701"/>
      <c r="J748" s="700"/>
      <c r="K748" s="702"/>
      <c r="L748" s="700"/>
      <c r="M748" s="702"/>
      <c r="N748" s="700"/>
      <c r="O748" s="702"/>
      <c r="P748" s="700"/>
      <c r="Q748" s="702"/>
      <c r="R748" s="703"/>
      <c r="S748" s="729">
        <f>IF(S747&gt;0,S747/(SUM(R27:R31)/1.2),0)</f>
        <v>0.35341254490190671</v>
      </c>
      <c r="T748" s="704"/>
      <c r="U748" s="702"/>
      <c r="V748" s="700"/>
      <c r="W748" s="702"/>
      <c r="X748" s="700"/>
      <c r="Y748" s="702"/>
      <c r="Z748" s="700"/>
      <c r="AA748" s="702"/>
      <c r="AB748" s="700"/>
      <c r="AC748" s="702"/>
      <c r="AD748" s="700"/>
      <c r="AE748" s="702"/>
      <c r="AF748" s="705"/>
      <c r="AG748" s="729">
        <f>IF(AG747&gt;0,AG747/(SUM(AF27:AF31)/1.2),0)</f>
        <v>0</v>
      </c>
      <c r="AH748" s="706"/>
      <c r="AI748" s="729">
        <f>IF(AI747&gt;0,AI747/(SUM(AH27:AH31)/1.2),0)</f>
        <v>0.35341254490190671</v>
      </c>
      <c r="AJ748" s="65"/>
    </row>
    <row r="749" spans="1:38" ht="12.75" customHeight="1" outlineLevel="1">
      <c r="A749" s="73"/>
      <c r="B749" s="82">
        <f>B742+1</f>
        <v>5</v>
      </c>
      <c r="C749" s="1233">
        <f>C34</f>
        <v>0</v>
      </c>
      <c r="D749" s="1233" t="str">
        <f>D34</f>
        <v>ИП Вербицкая</v>
      </c>
      <c r="E749" s="83" t="str">
        <f>'Terms and Turnovers'!$J$12</f>
        <v>FLIP-FLOPS</v>
      </c>
      <c r="F749" s="68">
        <f>F34/'Terms and Turnovers'!$J20</f>
        <v>0</v>
      </c>
      <c r="G749" s="106"/>
      <c r="H749" s="68">
        <f>H34/'Terms and Turnovers'!$J20</f>
        <v>0</v>
      </c>
      <c r="I749" s="106"/>
      <c r="J749" s="68">
        <f>J34/'Terms and Turnovers'!$J20</f>
        <v>0</v>
      </c>
      <c r="K749" s="106"/>
      <c r="L749" s="68">
        <f>L34/'Terms and Turnovers'!$J20</f>
        <v>57376.103896103901</v>
      </c>
      <c r="M749" s="106"/>
      <c r="N749" s="68">
        <f>N34/'Terms and Turnovers'!$J20</f>
        <v>0</v>
      </c>
      <c r="O749" s="106"/>
      <c r="P749" s="68">
        <f>P34/'Terms and Turnovers'!$J20</f>
        <v>0</v>
      </c>
      <c r="Q749" s="106"/>
      <c r="R749" s="129">
        <f t="shared" si="92"/>
        <v>57376.103896103901</v>
      </c>
      <c r="S749" s="106"/>
      <c r="T749" s="68">
        <f>T34/'Terms and Turnovers'!$O20</f>
        <v>0</v>
      </c>
      <c r="U749" s="106"/>
      <c r="V749" s="68">
        <f>V34/'Terms and Turnovers'!$O20</f>
        <v>0</v>
      </c>
      <c r="W749" s="106"/>
      <c r="X749" s="68">
        <f>X34/'Terms and Turnovers'!$O20</f>
        <v>0</v>
      </c>
      <c r="Y749" s="106"/>
      <c r="Z749" s="68">
        <f>Z34/'Terms and Turnovers'!$O20</f>
        <v>0</v>
      </c>
      <c r="AA749" s="106"/>
      <c r="AB749" s="68">
        <f>AB34/'Terms and Turnovers'!$O20</f>
        <v>0</v>
      </c>
      <c r="AC749" s="106"/>
      <c r="AD749" s="68">
        <f>AD34/'Terms and Turnovers'!$O20</f>
        <v>0</v>
      </c>
      <c r="AE749" s="106"/>
      <c r="AF749" s="129">
        <f t="shared" si="93"/>
        <v>0</v>
      </c>
      <c r="AG749" s="106"/>
      <c r="AH749" s="130">
        <f t="shared" si="94"/>
        <v>57376.103896103901</v>
      </c>
      <c r="AI749" s="106"/>
      <c r="AJ749" s="65"/>
      <c r="AK749" s="817">
        <f>R749*'Mark Up Validation'!$M$132</f>
        <v>67130.04155844156</v>
      </c>
      <c r="AL749" s="817">
        <f>AF749*'Mark Up Validation'!$S$132</f>
        <v>0</v>
      </c>
    </row>
    <row r="750" spans="1:38" ht="12.75" customHeight="1" outlineLevel="1">
      <c r="A750" s="73"/>
      <c r="B750" s="82"/>
      <c r="C750" s="1234"/>
      <c r="D750" s="1234"/>
      <c r="E750" s="84" t="str">
        <f>'Terms and Turnovers'!$T$12</f>
        <v>ORIGINALS</v>
      </c>
      <c r="F750" s="70">
        <f>F35/'Terms and Turnovers'!$T20</f>
        <v>0</v>
      </c>
      <c r="G750" s="728"/>
      <c r="H750" s="70">
        <f>H35/'Terms and Turnovers'!$T20</f>
        <v>0</v>
      </c>
      <c r="I750" s="728"/>
      <c r="J750" s="70">
        <f>J35/'Terms and Turnovers'!$T20</f>
        <v>0</v>
      </c>
      <c r="K750" s="728"/>
      <c r="L750" s="70">
        <f>L35/'Terms and Turnovers'!$T20</f>
        <v>0</v>
      </c>
      <c r="M750" s="728"/>
      <c r="N750" s="70">
        <f>N35/'Terms and Turnovers'!$T20</f>
        <v>0</v>
      </c>
      <c r="O750" s="728"/>
      <c r="P750" s="70">
        <f>P35/'Terms and Turnovers'!$T20</f>
        <v>0</v>
      </c>
      <c r="Q750" s="728"/>
      <c r="R750" s="132">
        <f t="shared" si="92"/>
        <v>0</v>
      </c>
      <c r="S750" s="728"/>
      <c r="T750" s="70">
        <f>T35/'Terms and Turnovers'!$Y20</f>
        <v>0</v>
      </c>
      <c r="U750" s="728"/>
      <c r="V750" s="70">
        <f>V35/'Terms and Turnovers'!$Y20</f>
        <v>0</v>
      </c>
      <c r="W750" s="728"/>
      <c r="X750" s="70">
        <f>X35/'Terms and Turnovers'!$Y20</f>
        <v>0</v>
      </c>
      <c r="Y750" s="728"/>
      <c r="Z750" s="70">
        <f>Z35/'Terms and Turnovers'!$Y20</f>
        <v>0</v>
      </c>
      <c r="AA750" s="728"/>
      <c r="AB750" s="70">
        <f>AB35/'Terms and Turnovers'!$Y20</f>
        <v>0</v>
      </c>
      <c r="AC750" s="728"/>
      <c r="AD750" s="70">
        <f>AD35/'Terms and Turnovers'!$Y20</f>
        <v>0</v>
      </c>
      <c r="AE750" s="728"/>
      <c r="AF750" s="132">
        <f t="shared" si="93"/>
        <v>0</v>
      </c>
      <c r="AG750" s="728"/>
      <c r="AH750" s="133">
        <f t="shared" si="94"/>
        <v>0</v>
      </c>
      <c r="AI750" s="728"/>
      <c r="AJ750" s="65"/>
    </row>
    <row r="751" spans="1:38" ht="12.75" customHeight="1" outlineLevel="1">
      <c r="A751" s="73"/>
      <c r="B751" s="82"/>
      <c r="C751" s="1234"/>
      <c r="D751" s="1234"/>
      <c r="E751" s="84" t="str">
        <f>'Terms and Turnovers'!$AD$12</f>
        <v>ACCESSORIES</v>
      </c>
      <c r="F751" s="70">
        <f>F36/'Terms and Turnovers'!$AD20</f>
        <v>0</v>
      </c>
      <c r="G751" s="728"/>
      <c r="H751" s="70">
        <f>H36/'Terms and Turnovers'!$AD20</f>
        <v>0</v>
      </c>
      <c r="I751" s="728"/>
      <c r="J751" s="70">
        <f>J36/'Terms and Turnovers'!$AD20</f>
        <v>0</v>
      </c>
      <c r="K751" s="728"/>
      <c r="L751" s="70">
        <f>L36/'Terms and Turnovers'!$AD20</f>
        <v>0</v>
      </c>
      <c r="M751" s="728"/>
      <c r="N751" s="70">
        <f>N36/'Terms and Turnovers'!$AD20</f>
        <v>0</v>
      </c>
      <c r="O751" s="728"/>
      <c r="P751" s="70">
        <f>P36/'Terms and Turnovers'!$AD20</f>
        <v>0</v>
      </c>
      <c r="Q751" s="728"/>
      <c r="R751" s="132">
        <f t="shared" si="92"/>
        <v>0</v>
      </c>
      <c r="S751" s="728"/>
      <c r="T751" s="70">
        <f>T36/'Terms and Turnovers'!$AI20</f>
        <v>0</v>
      </c>
      <c r="U751" s="728"/>
      <c r="V751" s="70">
        <f>V36/'Terms and Turnovers'!$AI20</f>
        <v>0</v>
      </c>
      <c r="W751" s="728"/>
      <c r="X751" s="70">
        <f>X36/'Terms and Turnovers'!$AI20</f>
        <v>0</v>
      </c>
      <c r="Y751" s="728"/>
      <c r="Z751" s="70">
        <f>Z36/'Terms and Turnovers'!$AI20</f>
        <v>0</v>
      </c>
      <c r="AA751" s="728"/>
      <c r="AB751" s="70">
        <f>AB36/'Terms and Turnovers'!$AI20</f>
        <v>0</v>
      </c>
      <c r="AC751" s="728"/>
      <c r="AD751" s="70">
        <f>AD36/'Terms and Turnovers'!$AI20</f>
        <v>0</v>
      </c>
      <c r="AE751" s="728"/>
      <c r="AF751" s="132">
        <f t="shared" si="93"/>
        <v>0</v>
      </c>
      <c r="AG751" s="728"/>
      <c r="AH751" s="133">
        <f t="shared" si="94"/>
        <v>0</v>
      </c>
      <c r="AI751" s="728"/>
      <c r="AJ751" s="65"/>
    </row>
    <row r="752" spans="1:38" ht="12.75" customHeight="1" outlineLevel="1">
      <c r="A752" s="73"/>
      <c r="B752" s="82"/>
      <c r="C752" s="1234"/>
      <c r="D752" s="1234"/>
      <c r="E752" s="84">
        <f>'Terms and Turnovers'!$AN$12</f>
        <v>0</v>
      </c>
      <c r="F752" s="70">
        <f>F37/'Terms and Turnovers'!$AN20</f>
        <v>0</v>
      </c>
      <c r="G752" s="728"/>
      <c r="H752" s="70">
        <f>H37/'Terms and Turnovers'!$AN20</f>
        <v>0</v>
      </c>
      <c r="I752" s="728"/>
      <c r="J752" s="70">
        <f>J37/'Terms and Turnovers'!$AN20</f>
        <v>0</v>
      </c>
      <c r="K752" s="728"/>
      <c r="L752" s="70">
        <f>L37/'Terms and Turnovers'!$AN20</f>
        <v>0</v>
      </c>
      <c r="M752" s="728"/>
      <c r="N752" s="70">
        <f>N37/'Terms and Turnovers'!$AN20</f>
        <v>0</v>
      </c>
      <c r="O752" s="728"/>
      <c r="P752" s="70">
        <f>P37/'Terms and Turnovers'!$AN20</f>
        <v>0</v>
      </c>
      <c r="Q752" s="728"/>
      <c r="R752" s="132">
        <f t="shared" si="92"/>
        <v>0</v>
      </c>
      <c r="S752" s="728"/>
      <c r="T752" s="70">
        <f>T37/'Terms and Turnovers'!$AS20</f>
        <v>0</v>
      </c>
      <c r="U752" s="728"/>
      <c r="V752" s="70">
        <f>V37/'Terms and Turnovers'!$AS20</f>
        <v>0</v>
      </c>
      <c r="W752" s="728"/>
      <c r="X752" s="70">
        <f>X37/'Terms and Turnovers'!$AS20</f>
        <v>0</v>
      </c>
      <c r="Y752" s="728"/>
      <c r="Z752" s="70">
        <f>Z37/'Terms and Turnovers'!$AS20</f>
        <v>0</v>
      </c>
      <c r="AA752" s="728"/>
      <c r="AB752" s="70">
        <f>AB37/'Terms and Turnovers'!$AS20</f>
        <v>0</v>
      </c>
      <c r="AC752" s="728"/>
      <c r="AD752" s="70">
        <f>AD37/'Terms and Turnovers'!$AS20</f>
        <v>0</v>
      </c>
      <c r="AE752" s="728"/>
      <c r="AF752" s="132">
        <f t="shared" si="93"/>
        <v>0</v>
      </c>
      <c r="AG752" s="728"/>
      <c r="AH752" s="133">
        <f t="shared" si="94"/>
        <v>0</v>
      </c>
      <c r="AI752" s="728"/>
      <c r="AJ752" s="65"/>
    </row>
    <row r="753" spans="1:38" ht="13.5" customHeight="1" outlineLevel="1" thickBot="1">
      <c r="A753" s="73"/>
      <c r="B753" s="82"/>
      <c r="C753" s="1235"/>
      <c r="D753" s="1235"/>
      <c r="E753" s="85">
        <f>'Terms and Turnovers'!$AX$12</f>
        <v>0</v>
      </c>
      <c r="F753" s="70">
        <f>F38/'Terms and Turnovers'!$AX20</f>
        <v>0</v>
      </c>
      <c r="G753" s="107"/>
      <c r="H753" s="70">
        <f>H38/'Terms and Turnovers'!$AX20</f>
        <v>0</v>
      </c>
      <c r="I753" s="107"/>
      <c r="J753" s="70">
        <f>J38/'Terms and Turnovers'!$AX20</f>
        <v>0</v>
      </c>
      <c r="K753" s="107"/>
      <c r="L753" s="70">
        <f>L38/'Terms and Turnovers'!$AX20</f>
        <v>0</v>
      </c>
      <c r="M753" s="107"/>
      <c r="N753" s="70">
        <f>N38/'Terms and Turnovers'!$AX20</f>
        <v>0</v>
      </c>
      <c r="O753" s="107"/>
      <c r="P753" s="70">
        <f>P38/'Terms and Turnovers'!$AX20</f>
        <v>0</v>
      </c>
      <c r="Q753" s="107"/>
      <c r="R753" s="135">
        <f t="shared" si="92"/>
        <v>0</v>
      </c>
      <c r="S753" s="107"/>
      <c r="T753" s="70">
        <f>T38/'Terms and Turnovers'!$AX$20</f>
        <v>0</v>
      </c>
      <c r="U753" s="107"/>
      <c r="V753" s="70">
        <f>V38/'Terms and Turnovers'!$AX$20</f>
        <v>0</v>
      </c>
      <c r="W753" s="107"/>
      <c r="X753" s="70">
        <f>X38/'Terms and Turnovers'!$AX$20</f>
        <v>0</v>
      </c>
      <c r="Y753" s="107"/>
      <c r="Z753" s="70">
        <f>Z38/'Terms and Turnovers'!$AX$20</f>
        <v>0</v>
      </c>
      <c r="AA753" s="107"/>
      <c r="AB753" s="70">
        <f>AB38/'Terms and Turnovers'!$AX$20</f>
        <v>0</v>
      </c>
      <c r="AC753" s="107"/>
      <c r="AD753" s="70">
        <f>AD38/'Terms and Turnovers'!$AX$20</f>
        <v>0</v>
      </c>
      <c r="AE753" s="107"/>
      <c r="AF753" s="135">
        <f t="shared" si="93"/>
        <v>0</v>
      </c>
      <c r="AG753" s="107"/>
      <c r="AH753" s="136">
        <f t="shared" si="94"/>
        <v>0</v>
      </c>
      <c r="AI753" s="107"/>
      <c r="AJ753" s="65"/>
    </row>
    <row r="754" spans="1:38" ht="13.5" customHeight="1" outlineLevel="1">
      <c r="A754" s="73"/>
      <c r="B754" s="82"/>
      <c r="C754" s="425"/>
      <c r="D754" s="425"/>
      <c r="E754" s="634"/>
      <c r="F754" s="635"/>
      <c r="G754" s="428"/>
      <c r="H754" s="635"/>
      <c r="I754" s="428"/>
      <c r="J754" s="635"/>
      <c r="K754" s="636"/>
      <c r="L754" s="635"/>
      <c r="M754" s="636"/>
      <c r="N754" s="635"/>
      <c r="O754" s="636"/>
      <c r="P754" s="635"/>
      <c r="Q754" s="636"/>
      <c r="R754" s="637"/>
      <c r="S754" s="698">
        <f>SUM(R34:R38)/1.2-(SUM(R749:R753)*'Mark Up Validation'!$M$132)</f>
        <v>32274.058441558445</v>
      </c>
      <c r="T754" s="635"/>
      <c r="U754" s="636"/>
      <c r="V754" s="635"/>
      <c r="W754" s="636"/>
      <c r="X754" s="635"/>
      <c r="Y754" s="636"/>
      <c r="Z754" s="635"/>
      <c r="AA754" s="636"/>
      <c r="AB754" s="635"/>
      <c r="AC754" s="636"/>
      <c r="AD754" s="635"/>
      <c r="AE754" s="636"/>
      <c r="AF754" s="637"/>
      <c r="AG754" s="698">
        <f>SUM(AF34:AF38)/1.18-SUM(AF749:AF753)*'Mark Up Validation'!$M$132</f>
        <v>0</v>
      </c>
      <c r="AH754" s="638"/>
      <c r="AI754" s="698">
        <f>SUM(AH34:AH38)/1.2-SUM(AH749:AH753)*'Mark Up Validation'!$M$132</f>
        <v>32274.058441558445</v>
      </c>
      <c r="AJ754" s="65"/>
    </row>
    <row r="755" spans="1:38" ht="13.5" customHeight="1" outlineLevel="1" thickBot="1">
      <c r="A755" s="73"/>
      <c r="B755" s="82"/>
      <c r="C755" s="940" t="s">
        <v>487</v>
      </c>
      <c r="D755" s="968"/>
      <c r="E755" s="699"/>
      <c r="F755" s="700"/>
      <c r="G755" s="701"/>
      <c r="H755" s="700"/>
      <c r="I755" s="701"/>
      <c r="J755" s="700"/>
      <c r="K755" s="702"/>
      <c r="L755" s="700"/>
      <c r="M755" s="702"/>
      <c r="N755" s="700"/>
      <c r="O755" s="702"/>
      <c r="P755" s="700"/>
      <c r="Q755" s="702"/>
      <c r="R755" s="703"/>
      <c r="S755" s="729">
        <f>IF(S754&gt;0,S754/(SUM(R34:R38)/1.2),0)</f>
        <v>0.32467532467532467</v>
      </c>
      <c r="T755" s="704"/>
      <c r="U755" s="702"/>
      <c r="V755" s="700"/>
      <c r="W755" s="702"/>
      <c r="X755" s="700"/>
      <c r="Y755" s="702"/>
      <c r="Z755" s="700"/>
      <c r="AA755" s="702"/>
      <c r="AB755" s="700"/>
      <c r="AC755" s="702"/>
      <c r="AD755" s="700"/>
      <c r="AE755" s="702"/>
      <c r="AF755" s="705"/>
      <c r="AG755" s="729">
        <f>IF(AG754&gt;0,AG754/(SUM(AF34:AF38)/1.2),0)</f>
        <v>0</v>
      </c>
      <c r="AH755" s="706"/>
      <c r="AI755" s="729">
        <f>IF(AI754&gt;0,AI754/(SUM(AH34:AH38)/1.2),0)</f>
        <v>0.32467532467532467</v>
      </c>
      <c r="AJ755" s="65"/>
    </row>
    <row r="756" spans="1:38" ht="12.75" customHeight="1" outlineLevel="1">
      <c r="A756" s="73"/>
      <c r="B756" s="82">
        <f>B749+1</f>
        <v>6</v>
      </c>
      <c r="C756" s="1233">
        <f>C41</f>
        <v>0</v>
      </c>
      <c r="D756" s="1233" t="str">
        <f>D41</f>
        <v>ИП Кузнецова  Мария Павловна</v>
      </c>
      <c r="E756" s="83" t="str">
        <f>'Terms and Turnovers'!$J$12</f>
        <v>FLIP-FLOPS</v>
      </c>
      <c r="F756" s="68">
        <f>F41/'Terms and Turnovers'!$J21</f>
        <v>0</v>
      </c>
      <c r="G756" s="106"/>
      <c r="H756" s="68">
        <f>H41/'Terms and Turnovers'!$J21</f>
        <v>0</v>
      </c>
      <c r="I756" s="106"/>
      <c r="J756" s="68">
        <f>J41/'Terms and Turnovers'!$J21</f>
        <v>0</v>
      </c>
      <c r="K756" s="106"/>
      <c r="L756" s="68">
        <f>L41/'Terms and Turnovers'!$J21</f>
        <v>29694.805194805194</v>
      </c>
      <c r="M756" s="106"/>
      <c r="N756" s="68">
        <f>N41/'Terms and Turnovers'!$J21</f>
        <v>29694.805194805194</v>
      </c>
      <c r="O756" s="106"/>
      <c r="P756" s="68">
        <f>P41/'Terms and Turnovers'!$J21</f>
        <v>0</v>
      </c>
      <c r="Q756" s="106"/>
      <c r="R756" s="129">
        <f t="shared" si="92"/>
        <v>59389.610389610389</v>
      </c>
      <c r="S756" s="106"/>
      <c r="T756" s="68">
        <f>T41/'Terms and Turnovers'!$O21</f>
        <v>0</v>
      </c>
      <c r="U756" s="106"/>
      <c r="V756" s="68">
        <f>V41/'Terms and Turnovers'!$O21</f>
        <v>0</v>
      </c>
      <c r="W756" s="106"/>
      <c r="X756" s="68">
        <f>X41/'Terms and Turnovers'!$O21</f>
        <v>0</v>
      </c>
      <c r="Y756" s="106"/>
      <c r="Z756" s="68">
        <f>Z41/'Terms and Turnovers'!$O21</f>
        <v>0</v>
      </c>
      <c r="AA756" s="106"/>
      <c r="AB756" s="68">
        <f>AB41/'Terms and Turnovers'!$O21</f>
        <v>0</v>
      </c>
      <c r="AC756" s="106"/>
      <c r="AD756" s="68">
        <f>AD41/'Terms and Turnovers'!$O21</f>
        <v>0</v>
      </c>
      <c r="AE756" s="106"/>
      <c r="AF756" s="129">
        <f t="shared" si="93"/>
        <v>0</v>
      </c>
      <c r="AG756" s="106"/>
      <c r="AH756" s="130">
        <f t="shared" si="94"/>
        <v>59389.610389610389</v>
      </c>
      <c r="AI756" s="106"/>
      <c r="AJ756" s="65"/>
      <c r="AK756" s="817">
        <f>R756*'Mark Up Validation'!$M$132</f>
        <v>69485.844155844155</v>
      </c>
      <c r="AL756" s="817">
        <f>AF756*'Mark Up Validation'!$S$132</f>
        <v>0</v>
      </c>
    </row>
    <row r="757" spans="1:38" ht="12.75" customHeight="1" outlineLevel="1">
      <c r="A757" s="73"/>
      <c r="B757" s="82"/>
      <c r="C757" s="1234"/>
      <c r="D757" s="1234"/>
      <c r="E757" s="84" t="str">
        <f>'Terms and Turnovers'!$T$12</f>
        <v>ORIGINALS</v>
      </c>
      <c r="F757" s="70">
        <f>F42/'Terms and Turnovers'!$T21</f>
        <v>0</v>
      </c>
      <c r="G757" s="728"/>
      <c r="H757" s="70">
        <f>H42/'Terms and Turnovers'!$T21</f>
        <v>0</v>
      </c>
      <c r="I757" s="728"/>
      <c r="J757" s="70">
        <f>J42/'Terms and Turnovers'!$T21</f>
        <v>0</v>
      </c>
      <c r="K757" s="728"/>
      <c r="L757" s="70">
        <f>L42/'Terms and Turnovers'!$T21</f>
        <v>0</v>
      </c>
      <c r="M757" s="728"/>
      <c r="N757" s="70">
        <f>N42/'Terms and Turnovers'!$T21</f>
        <v>0</v>
      </c>
      <c r="O757" s="728"/>
      <c r="P757" s="70">
        <f>P42/'Terms and Turnovers'!$T21</f>
        <v>0</v>
      </c>
      <c r="Q757" s="728"/>
      <c r="R757" s="132">
        <f t="shared" si="92"/>
        <v>0</v>
      </c>
      <c r="S757" s="728"/>
      <c r="T757" s="70">
        <f>T42/'Terms and Turnovers'!$Y21</f>
        <v>0</v>
      </c>
      <c r="U757" s="728"/>
      <c r="V757" s="70">
        <f>V42/'Terms and Turnovers'!$Y21</f>
        <v>0</v>
      </c>
      <c r="W757" s="728"/>
      <c r="X757" s="70">
        <f>X42/'Terms and Turnovers'!$Y21</f>
        <v>0</v>
      </c>
      <c r="Y757" s="728"/>
      <c r="Z757" s="70">
        <f>Z42/'Terms and Turnovers'!$Y21</f>
        <v>0</v>
      </c>
      <c r="AA757" s="728"/>
      <c r="AB757" s="70">
        <f>AB42/'Terms and Turnovers'!$Y21</f>
        <v>0</v>
      </c>
      <c r="AC757" s="728"/>
      <c r="AD757" s="70">
        <f>AD42/'Terms and Turnovers'!$Y21</f>
        <v>0</v>
      </c>
      <c r="AE757" s="728"/>
      <c r="AF757" s="132">
        <f t="shared" si="93"/>
        <v>0</v>
      </c>
      <c r="AG757" s="728"/>
      <c r="AH757" s="133">
        <f t="shared" si="94"/>
        <v>0</v>
      </c>
      <c r="AI757" s="728"/>
      <c r="AJ757" s="65"/>
    </row>
    <row r="758" spans="1:38" ht="12.75" customHeight="1" outlineLevel="1">
      <c r="A758" s="73"/>
      <c r="B758" s="82"/>
      <c r="C758" s="1234"/>
      <c r="D758" s="1234"/>
      <c r="E758" s="84" t="str">
        <f>'Terms and Turnovers'!$AD$12</f>
        <v>ACCESSORIES</v>
      </c>
      <c r="F758" s="70">
        <f>F43/'Terms and Turnovers'!$AD21</f>
        <v>0</v>
      </c>
      <c r="G758" s="728"/>
      <c r="H758" s="70">
        <f>H43/'Terms and Turnovers'!$AD21</f>
        <v>0</v>
      </c>
      <c r="I758" s="728"/>
      <c r="J758" s="70">
        <f>J43/'Terms and Turnovers'!$AD21</f>
        <v>0</v>
      </c>
      <c r="K758" s="728"/>
      <c r="L758" s="70">
        <f>L43/'Terms and Turnovers'!$AD21</f>
        <v>0</v>
      </c>
      <c r="M758" s="728"/>
      <c r="N758" s="70">
        <f>N43/'Terms and Turnovers'!$AD21</f>
        <v>0</v>
      </c>
      <c r="O758" s="728"/>
      <c r="P758" s="70">
        <f>P43/'Terms and Turnovers'!$AD21</f>
        <v>0</v>
      </c>
      <c r="Q758" s="728"/>
      <c r="R758" s="132">
        <f t="shared" si="92"/>
        <v>0</v>
      </c>
      <c r="S758" s="728"/>
      <c r="T758" s="70">
        <f>T43/'Terms and Turnovers'!$AI21</f>
        <v>0</v>
      </c>
      <c r="U758" s="728"/>
      <c r="V758" s="70">
        <f>V43/'Terms and Turnovers'!$AI21</f>
        <v>0</v>
      </c>
      <c r="W758" s="728"/>
      <c r="X758" s="70">
        <f>X43/'Terms and Turnovers'!$AI21</f>
        <v>0</v>
      </c>
      <c r="Y758" s="728"/>
      <c r="Z758" s="70">
        <f>Z43/'Terms and Turnovers'!$AI21</f>
        <v>0</v>
      </c>
      <c r="AA758" s="728"/>
      <c r="AB758" s="70">
        <f>AB43/'Terms and Turnovers'!$AI21</f>
        <v>0</v>
      </c>
      <c r="AC758" s="728"/>
      <c r="AD758" s="70">
        <f>AD43/'Terms and Turnovers'!$AI21</f>
        <v>0</v>
      </c>
      <c r="AE758" s="728"/>
      <c r="AF758" s="132">
        <f t="shared" si="93"/>
        <v>0</v>
      </c>
      <c r="AG758" s="728"/>
      <c r="AH758" s="133">
        <f t="shared" si="94"/>
        <v>0</v>
      </c>
      <c r="AI758" s="728"/>
      <c r="AJ758" s="65"/>
    </row>
    <row r="759" spans="1:38" ht="12.75" customHeight="1" outlineLevel="1">
      <c r="A759" s="73"/>
      <c r="B759" s="82"/>
      <c r="C759" s="1234"/>
      <c r="D759" s="1234"/>
      <c r="E759" s="84">
        <f>'Terms and Turnovers'!$AN$12</f>
        <v>0</v>
      </c>
      <c r="F759" s="70">
        <f>F44/'Terms and Turnovers'!$AN21</f>
        <v>0</v>
      </c>
      <c r="G759" s="728"/>
      <c r="H759" s="70">
        <f>H44/'Terms and Turnovers'!$AN21</f>
        <v>0</v>
      </c>
      <c r="I759" s="728"/>
      <c r="J759" s="70">
        <f>J44/'Terms and Turnovers'!$AN21</f>
        <v>0</v>
      </c>
      <c r="K759" s="728"/>
      <c r="L759" s="70">
        <f>L44/'Terms and Turnovers'!$AN21</f>
        <v>0</v>
      </c>
      <c r="M759" s="728"/>
      <c r="N759" s="70">
        <f>N44/'Terms and Turnovers'!$AN21</f>
        <v>0</v>
      </c>
      <c r="O759" s="728"/>
      <c r="P759" s="70">
        <f>P44/'Terms and Turnovers'!$AN21</f>
        <v>0</v>
      </c>
      <c r="Q759" s="728"/>
      <c r="R759" s="132">
        <f t="shared" si="92"/>
        <v>0</v>
      </c>
      <c r="S759" s="728"/>
      <c r="T759" s="70">
        <f>T44/'Terms and Turnovers'!$AS21</f>
        <v>0</v>
      </c>
      <c r="U759" s="728"/>
      <c r="V759" s="70">
        <f>V44/'Terms and Turnovers'!$AS21</f>
        <v>0</v>
      </c>
      <c r="W759" s="728"/>
      <c r="X759" s="70">
        <f>X44/'Terms and Turnovers'!$AS21</f>
        <v>0</v>
      </c>
      <c r="Y759" s="728"/>
      <c r="Z759" s="70">
        <f>Z44/'Terms and Turnovers'!$AS21</f>
        <v>0</v>
      </c>
      <c r="AA759" s="728"/>
      <c r="AB759" s="70">
        <f>AB44/'Terms and Turnovers'!$AS21</f>
        <v>0</v>
      </c>
      <c r="AC759" s="728"/>
      <c r="AD759" s="70">
        <f>AD44/'Terms and Turnovers'!$AS21</f>
        <v>0</v>
      </c>
      <c r="AE759" s="728"/>
      <c r="AF759" s="132">
        <f t="shared" si="93"/>
        <v>0</v>
      </c>
      <c r="AG759" s="728"/>
      <c r="AH759" s="133">
        <f t="shared" si="94"/>
        <v>0</v>
      </c>
      <c r="AI759" s="728"/>
      <c r="AJ759" s="65"/>
    </row>
    <row r="760" spans="1:38" ht="13.5" customHeight="1" outlineLevel="1" thickBot="1">
      <c r="A760" s="73"/>
      <c r="B760" s="82"/>
      <c r="C760" s="1235"/>
      <c r="D760" s="1235"/>
      <c r="E760" s="85">
        <f>'Terms and Turnovers'!$AX$12</f>
        <v>0</v>
      </c>
      <c r="F760" s="70">
        <f>F45/'Terms and Turnovers'!$AX21</f>
        <v>0</v>
      </c>
      <c r="G760" s="107"/>
      <c r="H760" s="70">
        <f>H45/'Terms and Turnovers'!$AX21</f>
        <v>0</v>
      </c>
      <c r="I760" s="107"/>
      <c r="J760" s="70">
        <f>J45/'Terms and Turnovers'!$AX21</f>
        <v>0</v>
      </c>
      <c r="K760" s="107"/>
      <c r="L760" s="70">
        <f>L45/'Terms and Turnovers'!$AX21</f>
        <v>0</v>
      </c>
      <c r="M760" s="107"/>
      <c r="N760" s="70">
        <f>N45/'Terms and Turnovers'!$AX21</f>
        <v>0</v>
      </c>
      <c r="O760" s="107"/>
      <c r="P760" s="70">
        <f>P45/'Terms and Turnovers'!$AX21</f>
        <v>0</v>
      </c>
      <c r="Q760" s="107"/>
      <c r="R760" s="135">
        <f t="shared" si="92"/>
        <v>0</v>
      </c>
      <c r="S760" s="107"/>
      <c r="T760" s="70">
        <f>T45/'Terms and Turnovers'!$AX$21</f>
        <v>0</v>
      </c>
      <c r="U760" s="107"/>
      <c r="V760" s="70">
        <f>V45/'Terms and Turnovers'!$AX$21</f>
        <v>0</v>
      </c>
      <c r="W760" s="107"/>
      <c r="X760" s="70">
        <f>X45/'Terms and Turnovers'!$AX$21</f>
        <v>0</v>
      </c>
      <c r="Y760" s="107"/>
      <c r="Z760" s="70">
        <f>Z45/'Terms and Turnovers'!$AX$21</f>
        <v>0</v>
      </c>
      <c r="AA760" s="107"/>
      <c r="AB760" s="70">
        <f>AB45/'Terms and Turnovers'!$AX$21</f>
        <v>0</v>
      </c>
      <c r="AC760" s="107"/>
      <c r="AD760" s="70">
        <f>AD45/'Terms and Turnovers'!$AX$21</f>
        <v>0</v>
      </c>
      <c r="AE760" s="107"/>
      <c r="AF760" s="135">
        <f t="shared" si="93"/>
        <v>0</v>
      </c>
      <c r="AG760" s="107"/>
      <c r="AH760" s="136">
        <f t="shared" si="94"/>
        <v>0</v>
      </c>
      <c r="AI760" s="107"/>
      <c r="AJ760" s="65"/>
    </row>
    <row r="761" spans="1:38" ht="13.5" customHeight="1" outlineLevel="1">
      <c r="A761" s="73"/>
      <c r="B761" s="82"/>
      <c r="C761" s="425"/>
      <c r="D761" s="425"/>
      <c r="E761" s="634"/>
      <c r="F761" s="635"/>
      <c r="G761" s="428"/>
      <c r="H761" s="635"/>
      <c r="I761" s="428"/>
      <c r="J761" s="635"/>
      <c r="K761" s="636"/>
      <c r="L761" s="635"/>
      <c r="M761" s="636"/>
      <c r="N761" s="635"/>
      <c r="O761" s="636"/>
      <c r="P761" s="635"/>
      <c r="Q761" s="636"/>
      <c r="R761" s="637"/>
      <c r="S761" s="698">
        <f>SUM(R41:R45)/1.2-(SUM(R756:R760)*'Mark Up Validation'!$M$132)</f>
        <v>33406.65584415583</v>
      </c>
      <c r="T761" s="635"/>
      <c r="U761" s="636"/>
      <c r="V761" s="635"/>
      <c r="W761" s="636"/>
      <c r="X761" s="635"/>
      <c r="Y761" s="636"/>
      <c r="Z761" s="635"/>
      <c r="AA761" s="636"/>
      <c r="AB761" s="635"/>
      <c r="AC761" s="636"/>
      <c r="AD761" s="635"/>
      <c r="AE761" s="636"/>
      <c r="AF761" s="637"/>
      <c r="AG761" s="698">
        <f>SUM(AF41:AF45)/1.18-SUM(AF756:AF760)*'Mark Up Validation'!$M$132</f>
        <v>0</v>
      </c>
      <c r="AH761" s="638"/>
      <c r="AI761" s="698">
        <f>SUM(AH41:AH45)/1.2-SUM(AH756:AH760)*'Mark Up Validation'!$M$132</f>
        <v>33406.65584415583</v>
      </c>
      <c r="AJ761" s="65"/>
    </row>
    <row r="762" spans="1:38" ht="13.5" customHeight="1" outlineLevel="1" thickBot="1">
      <c r="A762" s="73"/>
      <c r="B762" s="82"/>
      <c r="C762" s="940" t="s">
        <v>487</v>
      </c>
      <c r="D762" s="968"/>
      <c r="E762" s="699"/>
      <c r="F762" s="700"/>
      <c r="G762" s="701"/>
      <c r="H762" s="700"/>
      <c r="I762" s="701"/>
      <c r="J762" s="700"/>
      <c r="K762" s="702"/>
      <c r="L762" s="700"/>
      <c r="M762" s="702"/>
      <c r="N762" s="700"/>
      <c r="O762" s="702"/>
      <c r="P762" s="700"/>
      <c r="Q762" s="702"/>
      <c r="R762" s="703"/>
      <c r="S762" s="729">
        <f>IF(S761&gt;0,S761/(SUM(R41:R45)/1.2),0)</f>
        <v>0.32467532467532456</v>
      </c>
      <c r="T762" s="704"/>
      <c r="U762" s="702"/>
      <c r="V762" s="700"/>
      <c r="W762" s="702"/>
      <c r="X762" s="700"/>
      <c r="Y762" s="702"/>
      <c r="Z762" s="700"/>
      <c r="AA762" s="702"/>
      <c r="AB762" s="700"/>
      <c r="AC762" s="702"/>
      <c r="AD762" s="700"/>
      <c r="AE762" s="702"/>
      <c r="AF762" s="705"/>
      <c r="AG762" s="729">
        <f>IF(AG761&gt;0,AG761/(SUM(AF41:AF45)/1.2),0)</f>
        <v>0</v>
      </c>
      <c r="AH762" s="706"/>
      <c r="AI762" s="729">
        <f>IF(AI761&gt;0,AI761/(SUM(AH41:AH45)/1.2),0)</f>
        <v>0.32467532467532456</v>
      </c>
      <c r="AJ762" s="65"/>
    </row>
    <row r="763" spans="1:38" ht="12.75" customHeight="1" outlineLevel="1">
      <c r="A763" s="73"/>
      <c r="B763" s="82">
        <f>B756+1</f>
        <v>7</v>
      </c>
      <c r="C763" s="1233">
        <f>C48</f>
        <v>0</v>
      </c>
      <c r="D763" s="1233" t="str">
        <f>D48</f>
        <v>ИП Щербакова Полина Леонидовна</v>
      </c>
      <c r="E763" s="83" t="str">
        <f>'Terms and Turnovers'!$J$12</f>
        <v>FLIP-FLOPS</v>
      </c>
      <c r="F763" s="68">
        <f>F48/'Terms and Turnovers'!$J22</f>
        <v>0</v>
      </c>
      <c r="G763" s="106"/>
      <c r="H763" s="68">
        <f>H48/'Terms and Turnovers'!$J22</f>
        <v>0</v>
      </c>
      <c r="I763" s="106"/>
      <c r="J763" s="68">
        <f>J48/'Terms and Turnovers'!$J22</f>
        <v>0</v>
      </c>
      <c r="K763" s="106"/>
      <c r="L763" s="68">
        <f>L48/'Terms and Turnovers'!$J22</f>
        <v>49491.341991341986</v>
      </c>
      <c r="M763" s="106"/>
      <c r="N763" s="68">
        <f>N48/'Terms and Turnovers'!$J22</f>
        <v>29694.805194805191</v>
      </c>
      <c r="O763" s="106"/>
      <c r="P763" s="68">
        <f>P48/'Terms and Turnovers'!$J22</f>
        <v>19796.536796536795</v>
      </c>
      <c r="Q763" s="106"/>
      <c r="R763" s="129">
        <f t="shared" si="92"/>
        <v>98982.683982683971</v>
      </c>
      <c r="S763" s="106"/>
      <c r="T763" s="68">
        <f>T48/'Terms and Turnovers'!$O22</f>
        <v>0</v>
      </c>
      <c r="U763" s="106"/>
      <c r="V763" s="68">
        <f>V48/'Terms and Turnovers'!$O22</f>
        <v>0</v>
      </c>
      <c r="W763" s="106"/>
      <c r="X763" s="68">
        <f>X48/'Terms and Turnovers'!$O22</f>
        <v>0</v>
      </c>
      <c r="Y763" s="106"/>
      <c r="Z763" s="68">
        <f>Z48/'Terms and Turnovers'!$O22</f>
        <v>0</v>
      </c>
      <c r="AA763" s="106"/>
      <c r="AB763" s="68">
        <f>AB48/'Terms and Turnovers'!$O22</f>
        <v>0</v>
      </c>
      <c r="AC763" s="106"/>
      <c r="AD763" s="68">
        <f>AD48/'Terms and Turnovers'!$O22</f>
        <v>0</v>
      </c>
      <c r="AE763" s="106"/>
      <c r="AF763" s="129">
        <f t="shared" si="93"/>
        <v>0</v>
      </c>
      <c r="AG763" s="106"/>
      <c r="AH763" s="130">
        <f t="shared" si="94"/>
        <v>98982.683982683971</v>
      </c>
      <c r="AI763" s="106"/>
      <c r="AJ763" s="65"/>
      <c r="AK763" s="817">
        <f>R763*'Mark Up Validation'!$M$132</f>
        <v>115809.74025974024</v>
      </c>
      <c r="AL763" s="817">
        <f>AF763*'Mark Up Validation'!$S$132</f>
        <v>0</v>
      </c>
    </row>
    <row r="764" spans="1:38" ht="12.75" customHeight="1" outlineLevel="1">
      <c r="A764" s="73"/>
      <c r="B764" s="82"/>
      <c r="C764" s="1234"/>
      <c r="D764" s="1234"/>
      <c r="E764" s="84" t="str">
        <f>'Terms and Turnovers'!$T$12</f>
        <v>ORIGINALS</v>
      </c>
      <c r="F764" s="70">
        <f>F49/'Terms and Turnovers'!$T22</f>
        <v>0</v>
      </c>
      <c r="G764" s="728"/>
      <c r="H764" s="70">
        <f>H49/'Terms and Turnovers'!$T22</f>
        <v>0</v>
      </c>
      <c r="I764" s="728"/>
      <c r="J764" s="70">
        <f>J49/'Terms and Turnovers'!$T22</f>
        <v>0</v>
      </c>
      <c r="K764" s="728"/>
      <c r="L764" s="70">
        <f>L49/'Terms and Turnovers'!$T22</f>
        <v>0</v>
      </c>
      <c r="M764" s="728"/>
      <c r="N764" s="70">
        <f>N49/'Terms and Turnovers'!$T22</f>
        <v>0</v>
      </c>
      <c r="O764" s="728"/>
      <c r="P764" s="70">
        <f>P49/'Terms and Turnovers'!$T22</f>
        <v>0</v>
      </c>
      <c r="Q764" s="728"/>
      <c r="R764" s="132">
        <f t="shared" si="92"/>
        <v>0</v>
      </c>
      <c r="S764" s="728"/>
      <c r="T764" s="70">
        <f>T49/'Terms and Turnovers'!$Y22</f>
        <v>0</v>
      </c>
      <c r="U764" s="728"/>
      <c r="V764" s="70">
        <f>V49/'Terms and Turnovers'!$Y22</f>
        <v>0</v>
      </c>
      <c r="W764" s="728"/>
      <c r="X764" s="70">
        <f>X49/'Terms and Turnovers'!$Y22</f>
        <v>0</v>
      </c>
      <c r="Y764" s="728"/>
      <c r="Z764" s="70">
        <f>Z49/'Terms and Turnovers'!$Y22</f>
        <v>0</v>
      </c>
      <c r="AA764" s="728"/>
      <c r="AB764" s="70">
        <f>AB49/'Terms and Turnovers'!$Y22</f>
        <v>0</v>
      </c>
      <c r="AC764" s="728"/>
      <c r="AD764" s="70">
        <f>AD49/'Terms and Turnovers'!$Y22</f>
        <v>0</v>
      </c>
      <c r="AE764" s="728"/>
      <c r="AF764" s="132">
        <f t="shared" si="93"/>
        <v>0</v>
      </c>
      <c r="AG764" s="728"/>
      <c r="AH764" s="133">
        <f t="shared" si="94"/>
        <v>0</v>
      </c>
      <c r="AI764" s="728"/>
      <c r="AJ764" s="65"/>
    </row>
    <row r="765" spans="1:38" ht="12.75" customHeight="1" outlineLevel="1">
      <c r="A765" s="73"/>
      <c r="B765" s="82"/>
      <c r="C765" s="1234"/>
      <c r="D765" s="1234"/>
      <c r="E765" s="84" t="str">
        <f>'Terms and Turnovers'!$AD$12</f>
        <v>ACCESSORIES</v>
      </c>
      <c r="F765" s="70">
        <f>F50/'Terms and Turnovers'!$AD22</f>
        <v>0</v>
      </c>
      <c r="G765" s="728"/>
      <c r="H765" s="70">
        <f>H50/'Terms and Turnovers'!$AD22</f>
        <v>0</v>
      </c>
      <c r="I765" s="728"/>
      <c r="J765" s="70">
        <f>J50/'Terms and Turnovers'!$AD22</f>
        <v>0</v>
      </c>
      <c r="K765" s="728"/>
      <c r="L765" s="70">
        <f>L50/'Terms and Turnovers'!$AD22</f>
        <v>0</v>
      </c>
      <c r="M765" s="728"/>
      <c r="N765" s="70">
        <f>N50/'Terms and Turnovers'!$AD22</f>
        <v>0</v>
      </c>
      <c r="O765" s="728"/>
      <c r="P765" s="70">
        <f>P50/'Terms and Turnovers'!$AD22</f>
        <v>0</v>
      </c>
      <c r="Q765" s="728"/>
      <c r="R765" s="132">
        <f t="shared" si="92"/>
        <v>0</v>
      </c>
      <c r="S765" s="728"/>
      <c r="T765" s="70">
        <f>T50/'Terms and Turnovers'!$AI22</f>
        <v>0</v>
      </c>
      <c r="U765" s="728"/>
      <c r="V765" s="70">
        <f>V50/'Terms and Turnovers'!$AI22</f>
        <v>0</v>
      </c>
      <c r="W765" s="728"/>
      <c r="X765" s="70">
        <f>X50/'Terms and Turnovers'!$AI22</f>
        <v>0</v>
      </c>
      <c r="Y765" s="728"/>
      <c r="Z765" s="70">
        <f>Z50/'Terms and Turnovers'!$AI22</f>
        <v>0</v>
      </c>
      <c r="AA765" s="728"/>
      <c r="AB765" s="70">
        <f>AB50/'Terms and Turnovers'!$AI22</f>
        <v>0</v>
      </c>
      <c r="AC765" s="728"/>
      <c r="AD765" s="70">
        <f>AD50/'Terms and Turnovers'!$AI22</f>
        <v>0</v>
      </c>
      <c r="AE765" s="728"/>
      <c r="AF765" s="132">
        <f t="shared" si="93"/>
        <v>0</v>
      </c>
      <c r="AG765" s="728"/>
      <c r="AH765" s="133">
        <f t="shared" si="94"/>
        <v>0</v>
      </c>
      <c r="AI765" s="728"/>
      <c r="AJ765" s="65"/>
    </row>
    <row r="766" spans="1:38" ht="12.75" customHeight="1" outlineLevel="1">
      <c r="A766" s="73"/>
      <c r="B766" s="82"/>
      <c r="C766" s="1234"/>
      <c r="D766" s="1234"/>
      <c r="E766" s="84">
        <f>'Terms and Turnovers'!$AN$12</f>
        <v>0</v>
      </c>
      <c r="F766" s="70">
        <f>F51/'Terms and Turnovers'!$AN22</f>
        <v>0</v>
      </c>
      <c r="G766" s="728"/>
      <c r="H766" s="70">
        <f>H51/'Terms and Turnovers'!$AN22</f>
        <v>0</v>
      </c>
      <c r="I766" s="728"/>
      <c r="J766" s="70">
        <f>J51/'Terms and Turnovers'!$AN22</f>
        <v>0</v>
      </c>
      <c r="K766" s="728"/>
      <c r="L766" s="70">
        <f>L51/'Terms and Turnovers'!$AN22</f>
        <v>0</v>
      </c>
      <c r="M766" s="728"/>
      <c r="N766" s="70">
        <f>N51/'Terms and Turnovers'!$AN22</f>
        <v>0</v>
      </c>
      <c r="O766" s="728"/>
      <c r="P766" s="70">
        <f>P51/'Terms and Turnovers'!$AN22</f>
        <v>0</v>
      </c>
      <c r="Q766" s="728"/>
      <c r="R766" s="132">
        <f t="shared" si="92"/>
        <v>0</v>
      </c>
      <c r="S766" s="728"/>
      <c r="T766" s="70">
        <f>T51/'Terms and Turnovers'!$AS22</f>
        <v>0</v>
      </c>
      <c r="U766" s="728"/>
      <c r="V766" s="70">
        <f>V51/'Terms and Turnovers'!$AS22</f>
        <v>0</v>
      </c>
      <c r="W766" s="728"/>
      <c r="X766" s="70">
        <f>X51/'Terms and Turnovers'!$AS22</f>
        <v>0</v>
      </c>
      <c r="Y766" s="728"/>
      <c r="Z766" s="70">
        <f>Z51/'Terms and Turnovers'!$AS22</f>
        <v>0</v>
      </c>
      <c r="AA766" s="728"/>
      <c r="AB766" s="70">
        <f>AB51/'Terms and Turnovers'!$AS22</f>
        <v>0</v>
      </c>
      <c r="AC766" s="728"/>
      <c r="AD766" s="70">
        <f>AD51/'Terms and Turnovers'!$AS22</f>
        <v>0</v>
      </c>
      <c r="AE766" s="728"/>
      <c r="AF766" s="132">
        <f t="shared" si="93"/>
        <v>0</v>
      </c>
      <c r="AG766" s="728"/>
      <c r="AH766" s="133">
        <f t="shared" si="94"/>
        <v>0</v>
      </c>
      <c r="AI766" s="728"/>
      <c r="AJ766" s="65"/>
    </row>
    <row r="767" spans="1:38" ht="13.5" customHeight="1" outlineLevel="1" thickBot="1">
      <c r="A767" s="73"/>
      <c r="B767" s="82"/>
      <c r="C767" s="1235"/>
      <c r="D767" s="1235"/>
      <c r="E767" s="85">
        <f>'Terms and Turnovers'!$AX$12</f>
        <v>0</v>
      </c>
      <c r="F767" s="70">
        <f>F52/'Terms and Turnovers'!$AX22</f>
        <v>0</v>
      </c>
      <c r="G767" s="107"/>
      <c r="H767" s="70">
        <f>H52/'Terms and Turnovers'!$AX22</f>
        <v>0</v>
      </c>
      <c r="I767" s="107"/>
      <c r="J767" s="70">
        <f>J52/'Terms and Turnovers'!$AX22</f>
        <v>0</v>
      </c>
      <c r="K767" s="107"/>
      <c r="L767" s="70">
        <f>L52/'Terms and Turnovers'!$AX22</f>
        <v>0</v>
      </c>
      <c r="M767" s="107"/>
      <c r="N767" s="70">
        <f>N52/'Terms and Turnovers'!$AX22</f>
        <v>0</v>
      </c>
      <c r="O767" s="107"/>
      <c r="P767" s="70">
        <f>P52/'Terms and Turnovers'!$AX22</f>
        <v>0</v>
      </c>
      <c r="Q767" s="107"/>
      <c r="R767" s="135">
        <f t="shared" si="92"/>
        <v>0</v>
      </c>
      <c r="S767" s="107"/>
      <c r="T767" s="70">
        <f>T52/'Terms and Turnovers'!$AX$22</f>
        <v>0</v>
      </c>
      <c r="U767" s="107"/>
      <c r="V767" s="70">
        <f>V52/'Terms and Turnovers'!$AX$22</f>
        <v>0</v>
      </c>
      <c r="W767" s="107"/>
      <c r="X767" s="70">
        <f>X52/'Terms and Turnovers'!$AX$22</f>
        <v>0</v>
      </c>
      <c r="Y767" s="107"/>
      <c r="Z767" s="70">
        <f>Z52/'Terms and Turnovers'!$AX$22</f>
        <v>0</v>
      </c>
      <c r="AA767" s="107"/>
      <c r="AB767" s="70">
        <f>AB52/'Terms and Turnovers'!$AX$22</f>
        <v>0</v>
      </c>
      <c r="AC767" s="107"/>
      <c r="AD767" s="70">
        <f>AD52/'Terms and Turnovers'!$AX$22</f>
        <v>0</v>
      </c>
      <c r="AE767" s="107"/>
      <c r="AF767" s="135">
        <f t="shared" si="93"/>
        <v>0</v>
      </c>
      <c r="AG767" s="107"/>
      <c r="AH767" s="136">
        <f t="shared" si="94"/>
        <v>0</v>
      </c>
      <c r="AI767" s="107"/>
      <c r="AJ767" s="65"/>
    </row>
    <row r="768" spans="1:38" ht="13.5" customHeight="1" outlineLevel="1">
      <c r="A768" s="73"/>
      <c r="B768" s="82"/>
      <c r="C768" s="425"/>
      <c r="D768" s="425"/>
      <c r="E768" s="634"/>
      <c r="F768" s="635"/>
      <c r="G768" s="428"/>
      <c r="H768" s="635"/>
      <c r="I768" s="428"/>
      <c r="J768" s="635"/>
      <c r="K768" s="636"/>
      <c r="L768" s="635"/>
      <c r="M768" s="636"/>
      <c r="N768" s="635"/>
      <c r="O768" s="636"/>
      <c r="P768" s="635"/>
      <c r="Q768" s="636"/>
      <c r="R768" s="637"/>
      <c r="S768" s="698">
        <f>SUM(R48:R52)/1.2-(SUM(R763:R767)*'Mark Up Validation'!$M$132)</f>
        <v>36623.593073593103</v>
      </c>
      <c r="T768" s="635"/>
      <c r="U768" s="636"/>
      <c r="V768" s="635"/>
      <c r="W768" s="636"/>
      <c r="X768" s="635"/>
      <c r="Y768" s="636"/>
      <c r="Z768" s="635"/>
      <c r="AA768" s="636"/>
      <c r="AB768" s="635"/>
      <c r="AC768" s="636"/>
      <c r="AD768" s="635"/>
      <c r="AE768" s="636"/>
      <c r="AF768" s="637"/>
      <c r="AG768" s="698">
        <f>SUM(AF48:AF52)/1.2-SUM(AF763:AF767)*'Mark Up Validation'!$M$132</f>
        <v>0</v>
      </c>
      <c r="AH768" s="638"/>
      <c r="AI768" s="698">
        <f>SUM(AH48:AH52)/1.2-SUM(AH763:AH767)*'Mark Up Validation'!$M$132</f>
        <v>36623.593073593103</v>
      </c>
      <c r="AJ768" s="65"/>
    </row>
    <row r="769" spans="1:38" ht="13.5" customHeight="1" outlineLevel="1" thickBot="1">
      <c r="A769" s="73"/>
      <c r="B769" s="82"/>
      <c r="C769" s="940" t="s">
        <v>487</v>
      </c>
      <c r="D769" s="968"/>
      <c r="E769" s="699"/>
      <c r="F769" s="700"/>
      <c r="G769" s="701"/>
      <c r="H769" s="700"/>
      <c r="I769" s="701"/>
      <c r="J769" s="700"/>
      <c r="K769" s="702"/>
      <c r="L769" s="700"/>
      <c r="M769" s="702"/>
      <c r="N769" s="700"/>
      <c r="O769" s="702"/>
      <c r="P769" s="700"/>
      <c r="Q769" s="702"/>
      <c r="R769" s="703"/>
      <c r="S769" s="729">
        <f>IF(S768&gt;0,S768/(SUM(R48:R52)/1.2),0)</f>
        <v>0.24025974025974045</v>
      </c>
      <c r="T769" s="704"/>
      <c r="U769" s="702"/>
      <c r="V769" s="700"/>
      <c r="W769" s="702"/>
      <c r="X769" s="700"/>
      <c r="Y769" s="702"/>
      <c r="Z769" s="700"/>
      <c r="AA769" s="702"/>
      <c r="AB769" s="700"/>
      <c r="AC769" s="702"/>
      <c r="AD769" s="700"/>
      <c r="AE769" s="702"/>
      <c r="AF769" s="705"/>
      <c r="AG769" s="729">
        <f>IF(AG768&gt;0,AG768/(SUM(AF48:AF52)/1.2),0)</f>
        <v>0</v>
      </c>
      <c r="AH769" s="706"/>
      <c r="AI769" s="729">
        <f>IF(AI768&gt;0,AI768/(SUM(AH48:AH52)/1.2),0)</f>
        <v>0.24025974025974045</v>
      </c>
      <c r="AJ769" s="65"/>
    </row>
    <row r="770" spans="1:38" ht="12.75" customHeight="1" outlineLevel="1">
      <c r="A770" s="73"/>
      <c r="B770" s="82">
        <f>B763+1</f>
        <v>8</v>
      </c>
      <c r="C770" s="1233">
        <f>C55</f>
        <v>0</v>
      </c>
      <c r="D770" s="1233" t="str">
        <f>D55</f>
        <v>ЭРГО СПОРТ ООО</v>
      </c>
      <c r="E770" s="83" t="str">
        <f>'Terms and Turnovers'!$J$12</f>
        <v>FLIP-FLOPS</v>
      </c>
      <c r="F770" s="68">
        <f>F55/'Terms and Turnovers'!$J23</f>
        <v>0</v>
      </c>
      <c r="G770" s="106"/>
      <c r="H770" s="68">
        <f>H55/'Terms and Turnovers'!$J23</f>
        <v>0</v>
      </c>
      <c r="I770" s="106"/>
      <c r="J770" s="68">
        <f>J55/'Terms and Turnovers'!$J23</f>
        <v>0</v>
      </c>
      <c r="K770" s="106"/>
      <c r="L770" s="68">
        <f>L55/'Terms and Turnovers'!$J23</f>
        <v>49491.341991341993</v>
      </c>
      <c r="M770" s="106"/>
      <c r="N770" s="68">
        <f>N55/'Terms and Turnovers'!$J23</f>
        <v>29694.805194805191</v>
      </c>
      <c r="O770" s="106"/>
      <c r="P770" s="68">
        <f>P55/'Terms and Turnovers'!$J23</f>
        <v>19796.536796536799</v>
      </c>
      <c r="Q770" s="106"/>
      <c r="R770" s="129">
        <f t="shared" si="92"/>
        <v>98982.683982683986</v>
      </c>
      <c r="S770" s="106"/>
      <c r="T770" s="68">
        <f>T55/'Terms and Turnovers'!$O23</f>
        <v>0</v>
      </c>
      <c r="U770" s="106"/>
      <c r="V770" s="68">
        <f>V55/'Terms and Turnovers'!$O23</f>
        <v>0</v>
      </c>
      <c r="W770" s="106"/>
      <c r="X770" s="68">
        <f>X55/'Terms and Turnovers'!$O23</f>
        <v>0</v>
      </c>
      <c r="Y770" s="106"/>
      <c r="Z770" s="68">
        <f>Z55/'Terms and Turnovers'!$O23</f>
        <v>0</v>
      </c>
      <c r="AA770" s="106"/>
      <c r="AB770" s="68">
        <f>AB55/'Terms and Turnovers'!$O23</f>
        <v>0</v>
      </c>
      <c r="AC770" s="106"/>
      <c r="AD770" s="68">
        <f>AD55/'Terms and Turnovers'!$O23</f>
        <v>0</v>
      </c>
      <c r="AE770" s="106"/>
      <c r="AF770" s="129">
        <f t="shared" si="93"/>
        <v>0</v>
      </c>
      <c r="AG770" s="106"/>
      <c r="AH770" s="130">
        <f t="shared" si="94"/>
        <v>98982.683982683986</v>
      </c>
      <c r="AI770" s="106"/>
      <c r="AJ770" s="65"/>
      <c r="AK770" s="817">
        <f>R770*'Mark Up Validation'!$M$132</f>
        <v>115809.74025974025</v>
      </c>
      <c r="AL770" s="817">
        <f>AF770*'Mark Up Validation'!$S$132</f>
        <v>0</v>
      </c>
    </row>
    <row r="771" spans="1:38" ht="12.75" customHeight="1" outlineLevel="1">
      <c r="A771" s="73"/>
      <c r="B771" s="82"/>
      <c r="C771" s="1234"/>
      <c r="D771" s="1234"/>
      <c r="E771" s="84" t="str">
        <f>'Terms and Turnovers'!$T$12</f>
        <v>ORIGINALS</v>
      </c>
      <c r="F771" s="70">
        <f>F56/'Terms and Turnovers'!$T23</f>
        <v>0</v>
      </c>
      <c r="G771" s="728"/>
      <c r="H771" s="70">
        <f>H56/'Terms and Turnovers'!$T23</f>
        <v>0</v>
      </c>
      <c r="I771" s="728"/>
      <c r="J771" s="70">
        <f>J56/'Terms and Turnovers'!$T23</f>
        <v>0</v>
      </c>
      <c r="K771" s="728"/>
      <c r="L771" s="70">
        <f>L56/'Terms and Turnovers'!$T23</f>
        <v>0</v>
      </c>
      <c r="M771" s="728"/>
      <c r="N771" s="70">
        <f>N56/'Terms and Turnovers'!$T23</f>
        <v>0</v>
      </c>
      <c r="O771" s="728"/>
      <c r="P771" s="70">
        <f>P56/'Terms and Turnovers'!$T23</f>
        <v>0</v>
      </c>
      <c r="Q771" s="728"/>
      <c r="R771" s="132">
        <f t="shared" si="92"/>
        <v>0</v>
      </c>
      <c r="S771" s="728"/>
      <c r="T771" s="70">
        <f>T56/'Terms and Turnovers'!$Y23</f>
        <v>0</v>
      </c>
      <c r="U771" s="728"/>
      <c r="V771" s="70">
        <f>V56/'Terms and Turnovers'!$Y23</f>
        <v>0</v>
      </c>
      <c r="W771" s="728"/>
      <c r="X771" s="70">
        <f>X56/'Terms and Turnovers'!$Y23</f>
        <v>0</v>
      </c>
      <c r="Y771" s="728"/>
      <c r="Z771" s="70">
        <f>Z56/'Terms and Turnovers'!$Y23</f>
        <v>0</v>
      </c>
      <c r="AA771" s="728"/>
      <c r="AB771" s="70">
        <f>AB56/'Terms and Turnovers'!$Y23</f>
        <v>0</v>
      </c>
      <c r="AC771" s="728"/>
      <c r="AD771" s="70">
        <f>AD56/'Terms and Turnovers'!$Y23</f>
        <v>0</v>
      </c>
      <c r="AE771" s="728"/>
      <c r="AF771" s="132">
        <f t="shared" si="93"/>
        <v>0</v>
      </c>
      <c r="AG771" s="728"/>
      <c r="AH771" s="133">
        <f t="shared" si="94"/>
        <v>0</v>
      </c>
      <c r="AI771" s="728"/>
      <c r="AJ771" s="65"/>
    </row>
    <row r="772" spans="1:38" ht="12.75" customHeight="1" outlineLevel="1">
      <c r="A772" s="73"/>
      <c r="B772" s="82"/>
      <c r="C772" s="1234"/>
      <c r="D772" s="1234"/>
      <c r="E772" s="84" t="str">
        <f>'Terms and Turnovers'!$AD$12</f>
        <v>ACCESSORIES</v>
      </c>
      <c r="F772" s="70">
        <f>F57/'Terms and Turnovers'!$AD23</f>
        <v>0</v>
      </c>
      <c r="G772" s="728"/>
      <c r="H772" s="70">
        <f>H57/'Terms and Turnovers'!$AD23</f>
        <v>0</v>
      </c>
      <c r="I772" s="728"/>
      <c r="J772" s="70">
        <f>J57/'Terms and Turnovers'!$AD23</f>
        <v>0</v>
      </c>
      <c r="K772" s="728"/>
      <c r="L772" s="70">
        <f>L57/'Terms and Turnovers'!$AD23</f>
        <v>0</v>
      </c>
      <c r="M772" s="728"/>
      <c r="N772" s="70">
        <f>N57/'Terms and Turnovers'!$AD23</f>
        <v>0</v>
      </c>
      <c r="O772" s="728"/>
      <c r="P772" s="70">
        <f>P57/'Terms and Turnovers'!$AD23</f>
        <v>0</v>
      </c>
      <c r="Q772" s="728"/>
      <c r="R772" s="132">
        <f t="shared" si="92"/>
        <v>0</v>
      </c>
      <c r="S772" s="728"/>
      <c r="T772" s="70">
        <f>T57/'Terms and Turnovers'!$AI23</f>
        <v>0</v>
      </c>
      <c r="U772" s="728"/>
      <c r="V772" s="70">
        <f>V57/'Terms and Turnovers'!$AI23</f>
        <v>0</v>
      </c>
      <c r="W772" s="728"/>
      <c r="X772" s="70">
        <f>X57/'Terms and Turnovers'!$AI23</f>
        <v>0</v>
      </c>
      <c r="Y772" s="728"/>
      <c r="Z772" s="70">
        <f>Z57/'Terms and Turnovers'!$AI23</f>
        <v>0</v>
      </c>
      <c r="AA772" s="728"/>
      <c r="AB772" s="70">
        <f>AB57/'Terms and Turnovers'!$AI23</f>
        <v>0</v>
      </c>
      <c r="AC772" s="728"/>
      <c r="AD772" s="70">
        <f>AD57/'Terms and Turnovers'!$AI23</f>
        <v>0</v>
      </c>
      <c r="AE772" s="728"/>
      <c r="AF772" s="132">
        <f t="shared" si="93"/>
        <v>0</v>
      </c>
      <c r="AG772" s="728"/>
      <c r="AH772" s="133">
        <f t="shared" si="94"/>
        <v>0</v>
      </c>
      <c r="AI772" s="728"/>
      <c r="AJ772" s="65"/>
    </row>
    <row r="773" spans="1:38" ht="12.75" customHeight="1" outlineLevel="1">
      <c r="A773" s="73"/>
      <c r="B773" s="82"/>
      <c r="C773" s="1234"/>
      <c r="D773" s="1234"/>
      <c r="E773" s="84">
        <f>'Terms and Turnovers'!$AN$12</f>
        <v>0</v>
      </c>
      <c r="F773" s="70">
        <f>F58/'Terms and Turnovers'!$AN23</f>
        <v>0</v>
      </c>
      <c r="G773" s="728"/>
      <c r="H773" s="70">
        <f>H58/'Terms and Turnovers'!$AN23</f>
        <v>0</v>
      </c>
      <c r="I773" s="728"/>
      <c r="J773" s="70">
        <f>J58/'Terms and Turnovers'!$AN23</f>
        <v>0</v>
      </c>
      <c r="K773" s="728"/>
      <c r="L773" s="70">
        <f>L58/'Terms and Turnovers'!$AN23</f>
        <v>0</v>
      </c>
      <c r="M773" s="728"/>
      <c r="N773" s="70">
        <f>N58/'Terms and Turnovers'!$AN23</f>
        <v>0</v>
      </c>
      <c r="O773" s="728"/>
      <c r="P773" s="70">
        <f>P58/'Terms and Turnovers'!$AN23</f>
        <v>0</v>
      </c>
      <c r="Q773" s="728"/>
      <c r="R773" s="132">
        <f t="shared" si="92"/>
        <v>0</v>
      </c>
      <c r="S773" s="728"/>
      <c r="T773" s="70">
        <f>T58/'Terms and Turnovers'!$AS23</f>
        <v>0</v>
      </c>
      <c r="U773" s="728"/>
      <c r="V773" s="70">
        <f>V58/'Terms and Turnovers'!$AS23</f>
        <v>0</v>
      </c>
      <c r="W773" s="728"/>
      <c r="X773" s="70">
        <f>X58/'Terms and Turnovers'!$AS23</f>
        <v>0</v>
      </c>
      <c r="Y773" s="728"/>
      <c r="Z773" s="70">
        <f>Z58/'Terms and Turnovers'!$AS23</f>
        <v>0</v>
      </c>
      <c r="AA773" s="728"/>
      <c r="AB773" s="70">
        <f>AB58/'Terms and Turnovers'!$AS23</f>
        <v>0</v>
      </c>
      <c r="AC773" s="728"/>
      <c r="AD773" s="70">
        <f>AD58/'Terms and Turnovers'!$AS23</f>
        <v>0</v>
      </c>
      <c r="AE773" s="728"/>
      <c r="AF773" s="132">
        <f t="shared" si="93"/>
        <v>0</v>
      </c>
      <c r="AG773" s="728"/>
      <c r="AH773" s="133">
        <f t="shared" si="94"/>
        <v>0</v>
      </c>
      <c r="AI773" s="728"/>
      <c r="AJ773" s="65"/>
    </row>
    <row r="774" spans="1:38" ht="13.5" customHeight="1" outlineLevel="1" thickBot="1">
      <c r="A774" s="73"/>
      <c r="B774" s="82"/>
      <c r="C774" s="1235"/>
      <c r="D774" s="1235"/>
      <c r="E774" s="85">
        <f>'Terms and Turnovers'!$AX$12</f>
        <v>0</v>
      </c>
      <c r="F774" s="70">
        <f>F59/'Terms and Turnovers'!$AX23</f>
        <v>0</v>
      </c>
      <c r="G774" s="107"/>
      <c r="H774" s="70">
        <f>H59/'Terms and Turnovers'!$AX23</f>
        <v>0</v>
      </c>
      <c r="I774" s="107"/>
      <c r="J774" s="70">
        <f>J59/'Terms and Turnovers'!$AX23</f>
        <v>0</v>
      </c>
      <c r="K774" s="107"/>
      <c r="L774" s="70">
        <f>L59/'Terms and Turnovers'!$AX23</f>
        <v>0</v>
      </c>
      <c r="M774" s="107"/>
      <c r="N774" s="70">
        <f>N59/'Terms and Turnovers'!$AX23</f>
        <v>0</v>
      </c>
      <c r="O774" s="107"/>
      <c r="P774" s="70">
        <f>P59/'Terms and Turnovers'!$AX23</f>
        <v>0</v>
      </c>
      <c r="Q774" s="107"/>
      <c r="R774" s="135">
        <f t="shared" si="92"/>
        <v>0</v>
      </c>
      <c r="S774" s="107"/>
      <c r="T774" s="70">
        <f>T59/'Terms and Turnovers'!$AX$23</f>
        <v>0</v>
      </c>
      <c r="U774" s="107"/>
      <c r="V774" s="70">
        <f>V59/'Terms and Turnovers'!$AX$23</f>
        <v>0</v>
      </c>
      <c r="W774" s="107"/>
      <c r="X774" s="70">
        <f>X59/'Terms and Turnovers'!$AX$23</f>
        <v>0</v>
      </c>
      <c r="Y774" s="107"/>
      <c r="Z774" s="70">
        <f>Z59/'Terms and Turnovers'!$AX$23</f>
        <v>0</v>
      </c>
      <c r="AA774" s="107"/>
      <c r="AB774" s="70">
        <f>AB59/'Terms and Turnovers'!$AX$23</f>
        <v>0</v>
      </c>
      <c r="AC774" s="107"/>
      <c r="AD774" s="70">
        <f>AD59/'Terms and Turnovers'!$AX$23</f>
        <v>0</v>
      </c>
      <c r="AE774" s="107"/>
      <c r="AF774" s="135">
        <f t="shared" si="93"/>
        <v>0</v>
      </c>
      <c r="AG774" s="107"/>
      <c r="AH774" s="136">
        <f t="shared" si="94"/>
        <v>0</v>
      </c>
      <c r="AI774" s="107"/>
      <c r="AJ774" s="65"/>
    </row>
    <row r="775" spans="1:38" ht="13.5" customHeight="1" outlineLevel="1">
      <c r="A775" s="73"/>
      <c r="B775" s="82"/>
      <c r="C775" s="425"/>
      <c r="D775" s="425"/>
      <c r="E775" s="634"/>
      <c r="F775" s="635"/>
      <c r="G775" s="428"/>
      <c r="H775" s="635"/>
      <c r="I775" s="428"/>
      <c r="J775" s="635"/>
      <c r="K775" s="636"/>
      <c r="L775" s="635"/>
      <c r="M775" s="636"/>
      <c r="N775" s="635"/>
      <c r="O775" s="636"/>
      <c r="P775" s="635"/>
      <c r="Q775" s="636"/>
      <c r="R775" s="637"/>
      <c r="S775" s="698">
        <f>SUM(R55:R59)/1.2-(SUM(R770:R774)*'Mark Up Validation'!$M$132)</f>
        <v>55677.759740259717</v>
      </c>
      <c r="T775" s="635"/>
      <c r="U775" s="636"/>
      <c r="V775" s="635"/>
      <c r="W775" s="636"/>
      <c r="X775" s="635"/>
      <c r="Y775" s="636"/>
      <c r="Z775" s="635"/>
      <c r="AA775" s="636"/>
      <c r="AB775" s="635"/>
      <c r="AC775" s="636"/>
      <c r="AD775" s="635"/>
      <c r="AE775" s="636"/>
      <c r="AF775" s="637"/>
      <c r="AG775" s="698">
        <f>SUM(AF55:AF59)/1.2-SUM(AF770:AF774)*'Mark Up Validation'!$M$132</f>
        <v>0</v>
      </c>
      <c r="AH775" s="638"/>
      <c r="AI775" s="698">
        <f>SUM(AH55:AH59)/1.2-SUM(AH770:AH774)*'Mark Up Validation'!$M$132</f>
        <v>55677.759740259717</v>
      </c>
      <c r="AJ775" s="65"/>
    </row>
    <row r="776" spans="1:38" ht="13.5" customHeight="1" outlineLevel="1" thickBot="1">
      <c r="A776" s="73"/>
      <c r="B776" s="82"/>
      <c r="C776" s="940" t="s">
        <v>487</v>
      </c>
      <c r="D776" s="968"/>
      <c r="E776" s="699"/>
      <c r="F776" s="700"/>
      <c r="G776" s="701"/>
      <c r="H776" s="700"/>
      <c r="I776" s="701"/>
      <c r="J776" s="700"/>
      <c r="K776" s="702"/>
      <c r="L776" s="700"/>
      <c r="M776" s="702"/>
      <c r="N776" s="700"/>
      <c r="O776" s="702"/>
      <c r="P776" s="700"/>
      <c r="Q776" s="702"/>
      <c r="R776" s="703"/>
      <c r="S776" s="729">
        <f>IF(S775&gt;0,S775/(SUM(R55:R59)/1.2),0)</f>
        <v>0.32467532467532462</v>
      </c>
      <c r="T776" s="704"/>
      <c r="U776" s="702"/>
      <c r="V776" s="700"/>
      <c r="W776" s="702"/>
      <c r="X776" s="700"/>
      <c r="Y776" s="702"/>
      <c r="Z776" s="700"/>
      <c r="AA776" s="702"/>
      <c r="AB776" s="700"/>
      <c r="AC776" s="702"/>
      <c r="AD776" s="700"/>
      <c r="AE776" s="702"/>
      <c r="AF776" s="705"/>
      <c r="AG776" s="729">
        <f>IF(AG775&gt;0,AG775/(SUM(AF55:AF59)/1.2),0)</f>
        <v>0</v>
      </c>
      <c r="AH776" s="706"/>
      <c r="AI776" s="729">
        <f>IF(AI775&gt;0,AI775/(SUM(AH55:AH59)/1.2),0)</f>
        <v>0.32467532467532462</v>
      </c>
      <c r="AJ776" s="65"/>
    </row>
    <row r="777" spans="1:38" ht="12.75" customHeight="1" outlineLevel="1">
      <c r="A777" s="73"/>
      <c r="B777" s="82">
        <f>B770+1</f>
        <v>9</v>
      </c>
      <c r="C777" s="1233">
        <f>C62</f>
        <v>0</v>
      </c>
      <c r="D777" s="1233" t="str">
        <f>D62</f>
        <v>Торговый дом ЦУМ ОАО</v>
      </c>
      <c r="E777" s="83" t="str">
        <f>'Terms and Turnovers'!$J$12</f>
        <v>FLIP-FLOPS</v>
      </c>
      <c r="F777" s="68">
        <f>F62/'Terms and Turnovers'!$J24</f>
        <v>0</v>
      </c>
      <c r="G777" s="106"/>
      <c r="H777" s="68">
        <f>H62/'Terms and Turnovers'!$J24</f>
        <v>0</v>
      </c>
      <c r="I777" s="106"/>
      <c r="J777" s="68">
        <f>J62/'Terms and Turnovers'!$J24</f>
        <v>0</v>
      </c>
      <c r="K777" s="106"/>
      <c r="L777" s="68">
        <f>L62/'Terms and Turnovers'!$J24</f>
        <v>158372.29437229436</v>
      </c>
      <c r="M777" s="106"/>
      <c r="N777" s="68">
        <f>N62/'Terms and Turnovers'!$J24</f>
        <v>0</v>
      </c>
      <c r="O777" s="106"/>
      <c r="P777" s="68">
        <f>P62/'Terms and Turnovers'!$J24</f>
        <v>0</v>
      </c>
      <c r="Q777" s="106"/>
      <c r="R777" s="129">
        <f t="shared" si="92"/>
        <v>158372.29437229436</v>
      </c>
      <c r="S777" s="106"/>
      <c r="T777" s="68">
        <f>T62/'Terms and Turnovers'!$O24</f>
        <v>0</v>
      </c>
      <c r="U777" s="106"/>
      <c r="V777" s="68">
        <f>V62/'Terms and Turnovers'!$O24</f>
        <v>0</v>
      </c>
      <c r="W777" s="106"/>
      <c r="X777" s="68">
        <f>X62/'Terms and Turnovers'!$O24</f>
        <v>0</v>
      </c>
      <c r="Y777" s="106"/>
      <c r="Z777" s="68">
        <f>Z62/'Terms and Turnovers'!$O24</f>
        <v>0</v>
      </c>
      <c r="AA777" s="106"/>
      <c r="AB777" s="68">
        <f>AB62/'Terms and Turnovers'!$O24</f>
        <v>0</v>
      </c>
      <c r="AC777" s="106"/>
      <c r="AD777" s="68">
        <f>AD62/'Terms and Turnovers'!$O24</f>
        <v>0</v>
      </c>
      <c r="AE777" s="106"/>
      <c r="AF777" s="129">
        <f t="shared" si="93"/>
        <v>0</v>
      </c>
      <c r="AG777" s="106"/>
      <c r="AH777" s="130">
        <f t="shared" si="94"/>
        <v>158372.29437229436</v>
      </c>
      <c r="AI777" s="106"/>
      <c r="AJ777" s="65"/>
      <c r="AK777" s="817">
        <f>R777*'Mark Up Validation'!$M$132</f>
        <v>185295.5844155844</v>
      </c>
      <c r="AL777" s="817">
        <f>AF777*'Mark Up Validation'!$S$132</f>
        <v>0</v>
      </c>
    </row>
    <row r="778" spans="1:38" ht="12.75" customHeight="1" outlineLevel="1">
      <c r="A778" s="73"/>
      <c r="B778" s="82"/>
      <c r="C778" s="1234"/>
      <c r="D778" s="1234"/>
      <c r="E778" s="84" t="str">
        <f>'Terms and Turnovers'!$T$12</f>
        <v>ORIGINALS</v>
      </c>
      <c r="F778" s="70">
        <f>F63/'Terms and Turnovers'!$T24</f>
        <v>0</v>
      </c>
      <c r="G778" s="728"/>
      <c r="H778" s="70">
        <f>H63/'Terms and Turnovers'!$T24</f>
        <v>0</v>
      </c>
      <c r="I778" s="728"/>
      <c r="J778" s="70">
        <f>J63/'Terms and Turnovers'!$T24</f>
        <v>0</v>
      </c>
      <c r="K778" s="728"/>
      <c r="L778" s="70">
        <f>L63/'Terms and Turnovers'!$T24</f>
        <v>0</v>
      </c>
      <c r="M778" s="728"/>
      <c r="N778" s="70">
        <f>N63/'Terms and Turnovers'!$T24</f>
        <v>0</v>
      </c>
      <c r="O778" s="728"/>
      <c r="P778" s="70">
        <f>P63/'Terms and Turnovers'!$T24</f>
        <v>0</v>
      </c>
      <c r="Q778" s="728"/>
      <c r="R778" s="132">
        <f t="shared" si="92"/>
        <v>0</v>
      </c>
      <c r="S778" s="728"/>
      <c r="T778" s="70">
        <f>T63/'Terms and Turnovers'!$Y24</f>
        <v>0</v>
      </c>
      <c r="U778" s="728"/>
      <c r="V778" s="70">
        <f>V63/'Terms and Turnovers'!$Y24</f>
        <v>0</v>
      </c>
      <c r="W778" s="728"/>
      <c r="X778" s="70">
        <f>X63/'Terms and Turnovers'!$Y24</f>
        <v>0</v>
      </c>
      <c r="Y778" s="728"/>
      <c r="Z778" s="70">
        <f>Z63/'Terms and Turnovers'!$Y24</f>
        <v>0</v>
      </c>
      <c r="AA778" s="728"/>
      <c r="AB778" s="70">
        <f>AB63/'Terms and Turnovers'!$Y24</f>
        <v>0</v>
      </c>
      <c r="AC778" s="728"/>
      <c r="AD778" s="70">
        <f>AD63/'Terms and Turnovers'!$Y24</f>
        <v>0</v>
      </c>
      <c r="AE778" s="728"/>
      <c r="AF778" s="132">
        <f t="shared" si="93"/>
        <v>0</v>
      </c>
      <c r="AG778" s="728"/>
      <c r="AH778" s="133">
        <f t="shared" si="94"/>
        <v>0</v>
      </c>
      <c r="AI778" s="728"/>
      <c r="AJ778" s="65"/>
    </row>
    <row r="779" spans="1:38" ht="12.75" customHeight="1" outlineLevel="1">
      <c r="A779" s="73"/>
      <c r="B779" s="82"/>
      <c r="C779" s="1234"/>
      <c r="D779" s="1234"/>
      <c r="E779" s="84" t="str">
        <f>'Terms and Turnovers'!$AD$12</f>
        <v>ACCESSORIES</v>
      </c>
      <c r="F779" s="70">
        <f>F64/'Terms and Turnovers'!$AD24</f>
        <v>0</v>
      </c>
      <c r="G779" s="728"/>
      <c r="H779" s="70">
        <f>H64/'Terms and Turnovers'!$AD24</f>
        <v>0</v>
      </c>
      <c r="I779" s="728"/>
      <c r="J779" s="70">
        <f>J64/'Terms and Turnovers'!$AD24</f>
        <v>0</v>
      </c>
      <c r="K779" s="728"/>
      <c r="L779" s="70">
        <f>L64/'Terms and Turnovers'!$AD24</f>
        <v>0</v>
      </c>
      <c r="M779" s="728"/>
      <c r="N779" s="70">
        <f>N64/'Terms and Turnovers'!$AD24</f>
        <v>0</v>
      </c>
      <c r="O779" s="728"/>
      <c r="P779" s="70">
        <f>P64/'Terms and Turnovers'!$AD24</f>
        <v>0</v>
      </c>
      <c r="Q779" s="728"/>
      <c r="R779" s="132">
        <f t="shared" si="92"/>
        <v>0</v>
      </c>
      <c r="S779" s="728"/>
      <c r="T779" s="70">
        <f>T64/'Terms and Turnovers'!$AI24</f>
        <v>0</v>
      </c>
      <c r="U779" s="728"/>
      <c r="V779" s="70">
        <f>V64/'Terms and Turnovers'!$AI24</f>
        <v>0</v>
      </c>
      <c r="W779" s="728"/>
      <c r="X779" s="70">
        <f>X64/'Terms and Turnovers'!$AI24</f>
        <v>0</v>
      </c>
      <c r="Y779" s="728"/>
      <c r="Z779" s="70">
        <f>Z64/'Terms and Turnovers'!$AI24</f>
        <v>0</v>
      </c>
      <c r="AA779" s="728"/>
      <c r="AB779" s="70">
        <f>AB64/'Terms and Turnovers'!$AI24</f>
        <v>0</v>
      </c>
      <c r="AC779" s="728"/>
      <c r="AD779" s="70">
        <f>AD64/'Terms and Turnovers'!$AI24</f>
        <v>0</v>
      </c>
      <c r="AE779" s="728"/>
      <c r="AF779" s="132">
        <f t="shared" si="93"/>
        <v>0</v>
      </c>
      <c r="AG779" s="728"/>
      <c r="AH779" s="133">
        <f t="shared" si="94"/>
        <v>0</v>
      </c>
      <c r="AI779" s="728"/>
      <c r="AJ779" s="65"/>
    </row>
    <row r="780" spans="1:38" ht="12.75" customHeight="1" outlineLevel="1">
      <c r="A780" s="73"/>
      <c r="B780" s="82"/>
      <c r="C780" s="1234"/>
      <c r="D780" s="1234"/>
      <c r="E780" s="84">
        <f>'Terms and Turnovers'!$AN$12</f>
        <v>0</v>
      </c>
      <c r="F780" s="70">
        <f>F65/'Terms and Turnovers'!$AN24</f>
        <v>0</v>
      </c>
      <c r="G780" s="728"/>
      <c r="H780" s="70">
        <f>H65/'Terms and Turnovers'!$AN24</f>
        <v>0</v>
      </c>
      <c r="I780" s="728"/>
      <c r="J780" s="70">
        <f>J65/'Terms and Turnovers'!$AN24</f>
        <v>0</v>
      </c>
      <c r="K780" s="728"/>
      <c r="L780" s="70">
        <f>L65/'Terms and Turnovers'!$AN24</f>
        <v>0</v>
      </c>
      <c r="M780" s="728"/>
      <c r="N780" s="70">
        <f>N65/'Terms and Turnovers'!$AN24</f>
        <v>0</v>
      </c>
      <c r="O780" s="728"/>
      <c r="P780" s="70">
        <f>P65/'Terms and Turnovers'!$AN24</f>
        <v>0</v>
      </c>
      <c r="Q780" s="728"/>
      <c r="R780" s="132">
        <f t="shared" si="92"/>
        <v>0</v>
      </c>
      <c r="S780" s="728"/>
      <c r="T780" s="70">
        <f>T65/'Terms and Turnovers'!$AS24</f>
        <v>0</v>
      </c>
      <c r="U780" s="728"/>
      <c r="V780" s="70">
        <f>V65/'Terms and Turnovers'!$AS24</f>
        <v>0</v>
      </c>
      <c r="W780" s="728"/>
      <c r="X780" s="70">
        <f>X65/'Terms and Turnovers'!$AS24</f>
        <v>0</v>
      </c>
      <c r="Y780" s="728"/>
      <c r="Z780" s="70">
        <f>Z65/'Terms and Turnovers'!$AS24</f>
        <v>0</v>
      </c>
      <c r="AA780" s="728"/>
      <c r="AB780" s="70">
        <f>AB65/'Terms and Turnovers'!$AS24</f>
        <v>0</v>
      </c>
      <c r="AC780" s="728"/>
      <c r="AD780" s="70">
        <f>AD65/'Terms and Turnovers'!$AS24</f>
        <v>0</v>
      </c>
      <c r="AE780" s="728"/>
      <c r="AF780" s="132">
        <f t="shared" si="93"/>
        <v>0</v>
      </c>
      <c r="AG780" s="728"/>
      <c r="AH780" s="133">
        <f t="shared" si="94"/>
        <v>0</v>
      </c>
      <c r="AI780" s="728"/>
      <c r="AJ780" s="65"/>
    </row>
    <row r="781" spans="1:38" ht="13.5" customHeight="1" outlineLevel="1" thickBot="1">
      <c r="A781" s="73"/>
      <c r="B781" s="82"/>
      <c r="C781" s="1235"/>
      <c r="D781" s="1235"/>
      <c r="E781" s="85">
        <f>'Terms and Turnovers'!$AX$12</f>
        <v>0</v>
      </c>
      <c r="F781" s="70">
        <f>F66/'Terms and Turnovers'!$AX24</f>
        <v>0</v>
      </c>
      <c r="G781" s="107"/>
      <c r="H781" s="70">
        <f>H66/'Terms and Turnovers'!$AX24</f>
        <v>0</v>
      </c>
      <c r="I781" s="107"/>
      <c r="J781" s="70">
        <f>J66/'Terms and Turnovers'!$AX24</f>
        <v>0</v>
      </c>
      <c r="K781" s="107"/>
      <c r="L781" s="70">
        <f>L66/'Terms and Turnovers'!$AX24</f>
        <v>0</v>
      </c>
      <c r="M781" s="107"/>
      <c r="N781" s="70">
        <f>N66/'Terms and Turnovers'!$AX24</f>
        <v>0</v>
      </c>
      <c r="O781" s="107"/>
      <c r="P781" s="70">
        <f>P66/'Terms and Turnovers'!$AX24</f>
        <v>0</v>
      </c>
      <c r="Q781" s="107"/>
      <c r="R781" s="135">
        <f t="shared" si="92"/>
        <v>0</v>
      </c>
      <c r="S781" s="107"/>
      <c r="T781" s="70">
        <f>T66/'Terms and Turnovers'!$AX$24</f>
        <v>0</v>
      </c>
      <c r="U781" s="107"/>
      <c r="V781" s="70">
        <f>V66/'Terms and Turnovers'!$AX$24</f>
        <v>0</v>
      </c>
      <c r="W781" s="107"/>
      <c r="X781" s="70">
        <f>X66/'Terms and Turnovers'!$AX$24</f>
        <v>0</v>
      </c>
      <c r="Y781" s="107"/>
      <c r="Z781" s="70">
        <f>Z66/'Terms and Turnovers'!$AX$24</f>
        <v>0</v>
      </c>
      <c r="AA781" s="107"/>
      <c r="AB781" s="70">
        <f>AB66/'Terms and Turnovers'!$AX$24</f>
        <v>0</v>
      </c>
      <c r="AC781" s="107"/>
      <c r="AD781" s="70">
        <f>AD66/'Terms and Turnovers'!$AX$24</f>
        <v>0</v>
      </c>
      <c r="AE781" s="107"/>
      <c r="AF781" s="135">
        <f t="shared" si="93"/>
        <v>0</v>
      </c>
      <c r="AG781" s="107"/>
      <c r="AH781" s="136">
        <f t="shared" si="94"/>
        <v>0</v>
      </c>
      <c r="AI781" s="107"/>
      <c r="AJ781" s="65"/>
    </row>
    <row r="782" spans="1:38" ht="13.5" customHeight="1" outlineLevel="1">
      <c r="A782" s="73"/>
      <c r="B782" s="82"/>
      <c r="C782" s="425"/>
      <c r="D782" s="425"/>
      <c r="E782" s="634"/>
      <c r="F782" s="635"/>
      <c r="G782" s="428"/>
      <c r="H782" s="635"/>
      <c r="I782" s="428"/>
      <c r="J782" s="635"/>
      <c r="K782" s="636"/>
      <c r="L782" s="635"/>
      <c r="M782" s="636"/>
      <c r="N782" s="635"/>
      <c r="O782" s="636"/>
      <c r="P782" s="635"/>
      <c r="Q782" s="636"/>
      <c r="R782" s="637"/>
      <c r="S782" s="698">
        <f>SUM(R62:R66)/1.2-(SUM(R777:R781)*'Mark Up Validation'!$M$132)</f>
        <v>58597.748917748948</v>
      </c>
      <c r="T782" s="635"/>
      <c r="U782" s="636"/>
      <c r="V782" s="635"/>
      <c r="W782" s="636"/>
      <c r="X782" s="635"/>
      <c r="Y782" s="636"/>
      <c r="Z782" s="635"/>
      <c r="AA782" s="636"/>
      <c r="AB782" s="635"/>
      <c r="AC782" s="636"/>
      <c r="AD782" s="635"/>
      <c r="AE782" s="636"/>
      <c r="AF782" s="637"/>
      <c r="AG782" s="698">
        <f>SUM(AF62:AF66)/1.2-SUM(AF777:AF781)*'Mark Up Validation'!$M$132</f>
        <v>0</v>
      </c>
      <c r="AH782" s="638"/>
      <c r="AI782" s="698">
        <f>SUM(AH62:AH66)/1.2-SUM(AH777:AH781)*'Mark Up Validation'!$M$132</f>
        <v>58597.748917748948</v>
      </c>
      <c r="AJ782" s="65"/>
    </row>
    <row r="783" spans="1:38" ht="13.5" customHeight="1" outlineLevel="1" thickBot="1">
      <c r="A783" s="73"/>
      <c r="B783" s="82"/>
      <c r="C783" s="940" t="s">
        <v>487</v>
      </c>
      <c r="D783" s="968"/>
      <c r="E783" s="699"/>
      <c r="F783" s="700"/>
      <c r="G783" s="701"/>
      <c r="H783" s="700"/>
      <c r="I783" s="701"/>
      <c r="J783" s="700"/>
      <c r="K783" s="702"/>
      <c r="L783" s="700"/>
      <c r="M783" s="702"/>
      <c r="N783" s="700"/>
      <c r="O783" s="702"/>
      <c r="P783" s="700"/>
      <c r="Q783" s="702"/>
      <c r="R783" s="703"/>
      <c r="S783" s="729">
        <f>IF(S782&gt;0,S782/(SUM(R62:R66)/1.2),0)</f>
        <v>0.24025974025974037</v>
      </c>
      <c r="T783" s="704"/>
      <c r="U783" s="702"/>
      <c r="V783" s="700"/>
      <c r="W783" s="702"/>
      <c r="X783" s="700"/>
      <c r="Y783" s="702"/>
      <c r="Z783" s="700"/>
      <c r="AA783" s="702"/>
      <c r="AB783" s="700"/>
      <c r="AC783" s="702"/>
      <c r="AD783" s="700"/>
      <c r="AE783" s="702"/>
      <c r="AF783" s="705"/>
      <c r="AG783" s="729">
        <f>IF(AG782&gt;0,AG782/(SUM(AF62:AF66)/1.2),0)</f>
        <v>0</v>
      </c>
      <c r="AH783" s="706"/>
      <c r="AI783" s="729">
        <f>IF(AI782&gt;0,AI782/(SUM(AH62:AH66)/1.2),0)</f>
        <v>0.24025974025974037</v>
      </c>
      <c r="AJ783" s="65"/>
    </row>
    <row r="784" spans="1:38" ht="12.75" customHeight="1" outlineLevel="1">
      <c r="A784" s="73"/>
      <c r="B784" s="82">
        <f>B777+1</f>
        <v>10</v>
      </c>
      <c r="C784" s="1233">
        <f>C69</f>
        <v>0</v>
      </c>
      <c r="D784" s="1233" t="str">
        <f>D69</f>
        <v>ОФФПРАЙС ООО</v>
      </c>
      <c r="E784" s="83" t="str">
        <f>'Terms and Turnovers'!$J$12</f>
        <v>FLIP-FLOPS</v>
      </c>
      <c r="F784" s="68">
        <f>F69/'Terms and Turnovers'!$J25</f>
        <v>0</v>
      </c>
      <c r="G784" s="106"/>
      <c r="H784" s="68">
        <f>H69/'Terms and Turnovers'!$J25</f>
        <v>0</v>
      </c>
      <c r="I784" s="106"/>
      <c r="J784" s="68">
        <f>J69/'Terms and Turnovers'!$J25</f>
        <v>0</v>
      </c>
      <c r="K784" s="106"/>
      <c r="L784" s="68">
        <f>L69/'Terms and Turnovers'!$J25</f>
        <v>0</v>
      </c>
      <c r="M784" s="106"/>
      <c r="N784" s="68">
        <f>N69/'Terms and Turnovers'!$J25</f>
        <v>0</v>
      </c>
      <c r="O784" s="106"/>
      <c r="P784" s="68">
        <f>P69/'Terms and Turnovers'!$J25</f>
        <v>0</v>
      </c>
      <c r="Q784" s="106"/>
      <c r="R784" s="129">
        <f t="shared" si="92"/>
        <v>0</v>
      </c>
      <c r="S784" s="106"/>
      <c r="T784" s="68">
        <f>T69/'Terms and Turnovers'!$O25</f>
        <v>154412.987012987</v>
      </c>
      <c r="U784" s="106"/>
      <c r="V784" s="68">
        <f>V69/'Terms and Turnovers'!$O25</f>
        <v>0</v>
      </c>
      <c r="W784" s="106"/>
      <c r="X784" s="68">
        <f>X69/'Terms and Turnovers'!$O25</f>
        <v>0</v>
      </c>
      <c r="Y784" s="106"/>
      <c r="Z784" s="68">
        <f>Z69/'Terms and Turnovers'!$O25</f>
        <v>0</v>
      </c>
      <c r="AA784" s="106"/>
      <c r="AB784" s="68">
        <f>AB69/'Terms and Turnovers'!$O25</f>
        <v>0</v>
      </c>
      <c r="AC784" s="106"/>
      <c r="AD784" s="68">
        <f>AD69/'Terms and Turnovers'!$O25</f>
        <v>0</v>
      </c>
      <c r="AE784" s="106"/>
      <c r="AF784" s="129">
        <f t="shared" si="93"/>
        <v>154412.987012987</v>
      </c>
      <c r="AG784" s="106"/>
      <c r="AH784" s="130">
        <f t="shared" si="94"/>
        <v>154412.987012987</v>
      </c>
      <c r="AI784" s="106"/>
      <c r="AJ784" s="65"/>
      <c r="AK784" s="817">
        <f>R784*'Mark Up Validation'!$M$132</f>
        <v>0</v>
      </c>
      <c r="AL784" s="817">
        <f>AF784*'Mark Up Validation'!$S$132</f>
        <v>180663.19480519477</v>
      </c>
    </row>
    <row r="785" spans="1:38" ht="12.75" customHeight="1" outlineLevel="1">
      <c r="A785" s="73"/>
      <c r="B785" s="82"/>
      <c r="C785" s="1234"/>
      <c r="D785" s="1234"/>
      <c r="E785" s="84" t="str">
        <f>'Terms and Turnovers'!$T$12</f>
        <v>ORIGINALS</v>
      </c>
      <c r="F785" s="70">
        <f>F70/'Terms and Turnovers'!$T25</f>
        <v>0</v>
      </c>
      <c r="G785" s="728"/>
      <c r="H785" s="70">
        <f>H70/'Terms and Turnovers'!$T25</f>
        <v>0</v>
      </c>
      <c r="I785" s="728"/>
      <c r="J785" s="70">
        <f>J70/'Terms and Turnovers'!$T25</f>
        <v>0</v>
      </c>
      <c r="K785" s="728"/>
      <c r="L785" s="70">
        <f>L70/'Terms and Turnovers'!$T25</f>
        <v>0</v>
      </c>
      <c r="M785" s="728"/>
      <c r="N785" s="70">
        <f>N70/'Terms and Turnovers'!$T25</f>
        <v>0</v>
      </c>
      <c r="O785" s="728"/>
      <c r="P785" s="70">
        <f>P70/'Terms and Turnovers'!$T25</f>
        <v>0</v>
      </c>
      <c r="Q785" s="728"/>
      <c r="R785" s="132">
        <f t="shared" si="92"/>
        <v>0</v>
      </c>
      <c r="S785" s="728"/>
      <c r="T785" s="70">
        <f>T70/'Terms and Turnovers'!$Y25</f>
        <v>0</v>
      </c>
      <c r="U785" s="728"/>
      <c r="V785" s="70">
        <f>V70/'Terms and Turnovers'!$Y25</f>
        <v>0</v>
      </c>
      <c r="W785" s="728"/>
      <c r="X785" s="70">
        <f>X70/'Terms and Turnovers'!$Y25</f>
        <v>0</v>
      </c>
      <c r="Y785" s="728"/>
      <c r="Z785" s="70">
        <f>Z70/'Terms and Turnovers'!$Y25</f>
        <v>0</v>
      </c>
      <c r="AA785" s="728"/>
      <c r="AB785" s="70">
        <f>AB70/'Terms and Turnovers'!$Y25</f>
        <v>0</v>
      </c>
      <c r="AC785" s="728"/>
      <c r="AD785" s="70">
        <f>AD70/'Terms and Turnovers'!$Y25</f>
        <v>0</v>
      </c>
      <c r="AE785" s="728"/>
      <c r="AF785" s="132">
        <f t="shared" si="93"/>
        <v>0</v>
      </c>
      <c r="AG785" s="728"/>
      <c r="AH785" s="133">
        <f t="shared" si="94"/>
        <v>0</v>
      </c>
      <c r="AI785" s="728"/>
      <c r="AJ785" s="65"/>
    </row>
    <row r="786" spans="1:38" ht="12.75" customHeight="1" outlineLevel="1">
      <c r="A786" s="73"/>
      <c r="B786" s="82"/>
      <c r="C786" s="1234"/>
      <c r="D786" s="1234"/>
      <c r="E786" s="84" t="str">
        <f>'Terms and Turnovers'!$AD$12</f>
        <v>ACCESSORIES</v>
      </c>
      <c r="F786" s="70">
        <f>F71/'Terms and Turnovers'!$AD25</f>
        <v>0</v>
      </c>
      <c r="G786" s="728"/>
      <c r="H786" s="70">
        <f>H71/'Terms and Turnovers'!$AD25</f>
        <v>0</v>
      </c>
      <c r="I786" s="728"/>
      <c r="J786" s="70">
        <f>J71/'Terms and Turnovers'!$AD25</f>
        <v>0</v>
      </c>
      <c r="K786" s="728"/>
      <c r="L786" s="70">
        <f>L71/'Terms and Turnovers'!$AD25</f>
        <v>0</v>
      </c>
      <c r="M786" s="728"/>
      <c r="N786" s="70">
        <f>N71/'Terms and Turnovers'!$AD25</f>
        <v>0</v>
      </c>
      <c r="O786" s="728"/>
      <c r="P786" s="70">
        <f>P71/'Terms and Turnovers'!$AD25</f>
        <v>0</v>
      </c>
      <c r="Q786" s="728"/>
      <c r="R786" s="132">
        <f t="shared" si="92"/>
        <v>0</v>
      </c>
      <c r="S786" s="728"/>
      <c r="T786" s="70">
        <f>T71/'Terms and Turnovers'!$AI25</f>
        <v>0</v>
      </c>
      <c r="U786" s="728"/>
      <c r="V786" s="70">
        <f>V71/'Terms and Turnovers'!$AI25</f>
        <v>0</v>
      </c>
      <c r="W786" s="728"/>
      <c r="X786" s="70">
        <f>X71/'Terms and Turnovers'!$AI25</f>
        <v>0</v>
      </c>
      <c r="Y786" s="728"/>
      <c r="Z786" s="70">
        <f>Z71/'Terms and Turnovers'!$AI25</f>
        <v>0</v>
      </c>
      <c r="AA786" s="728"/>
      <c r="AB786" s="70">
        <f>AB71/'Terms and Turnovers'!$AI25</f>
        <v>0</v>
      </c>
      <c r="AC786" s="728"/>
      <c r="AD786" s="70">
        <f>AD71/'Terms and Turnovers'!$AI25</f>
        <v>0</v>
      </c>
      <c r="AE786" s="728"/>
      <c r="AF786" s="132">
        <f t="shared" si="93"/>
        <v>0</v>
      </c>
      <c r="AG786" s="728"/>
      <c r="AH786" s="133">
        <f t="shared" si="94"/>
        <v>0</v>
      </c>
      <c r="AI786" s="728"/>
      <c r="AJ786" s="65"/>
    </row>
    <row r="787" spans="1:38" ht="12.75" customHeight="1" outlineLevel="1">
      <c r="A787" s="73"/>
      <c r="B787" s="82"/>
      <c r="C787" s="1234"/>
      <c r="D787" s="1234"/>
      <c r="E787" s="84">
        <f>'Terms and Turnovers'!$AN$12</f>
        <v>0</v>
      </c>
      <c r="F787" s="70">
        <f>F72/'Terms and Turnovers'!$AN25</f>
        <v>0</v>
      </c>
      <c r="G787" s="728"/>
      <c r="H787" s="70">
        <f>H72/'Terms and Turnovers'!$AN25</f>
        <v>0</v>
      </c>
      <c r="I787" s="728"/>
      <c r="J787" s="70">
        <f>J72/'Terms and Turnovers'!$AN25</f>
        <v>0</v>
      </c>
      <c r="K787" s="728"/>
      <c r="L787" s="70">
        <f>L72/'Terms and Turnovers'!$AN25</f>
        <v>0</v>
      </c>
      <c r="M787" s="728"/>
      <c r="N787" s="70">
        <f>N72/'Terms and Turnovers'!$AN25</f>
        <v>0</v>
      </c>
      <c r="O787" s="728"/>
      <c r="P787" s="70">
        <f>P72/'Terms and Turnovers'!$AN25</f>
        <v>0</v>
      </c>
      <c r="Q787" s="728"/>
      <c r="R787" s="132">
        <f t="shared" si="92"/>
        <v>0</v>
      </c>
      <c r="S787" s="728"/>
      <c r="T787" s="70">
        <f>T72/'Terms and Turnovers'!$AS25</f>
        <v>0</v>
      </c>
      <c r="U787" s="728"/>
      <c r="V787" s="70">
        <f>V72/'Terms and Turnovers'!$AS25</f>
        <v>0</v>
      </c>
      <c r="W787" s="728"/>
      <c r="X787" s="70">
        <f>X72/'Terms and Turnovers'!$AS25</f>
        <v>0</v>
      </c>
      <c r="Y787" s="728"/>
      <c r="Z787" s="70">
        <f>Z72/'Terms and Turnovers'!$AS25</f>
        <v>0</v>
      </c>
      <c r="AA787" s="728"/>
      <c r="AB787" s="70">
        <f>AB72/'Terms and Turnovers'!$AS25</f>
        <v>0</v>
      </c>
      <c r="AC787" s="728"/>
      <c r="AD787" s="70">
        <f>AD72/'Terms and Turnovers'!$AS25</f>
        <v>0</v>
      </c>
      <c r="AE787" s="728"/>
      <c r="AF787" s="132">
        <f t="shared" si="93"/>
        <v>0</v>
      </c>
      <c r="AG787" s="728"/>
      <c r="AH787" s="133">
        <f t="shared" si="94"/>
        <v>0</v>
      </c>
      <c r="AI787" s="728"/>
      <c r="AJ787" s="65"/>
    </row>
    <row r="788" spans="1:38" ht="13.5" customHeight="1" outlineLevel="1" thickBot="1">
      <c r="A788" s="73"/>
      <c r="B788" s="82"/>
      <c r="C788" s="1235"/>
      <c r="D788" s="1235"/>
      <c r="E788" s="85">
        <f>'Terms and Turnovers'!$AX$12</f>
        <v>0</v>
      </c>
      <c r="F788" s="70">
        <f>F73/'Terms and Turnovers'!$AX25</f>
        <v>0</v>
      </c>
      <c r="G788" s="107"/>
      <c r="H788" s="70">
        <f>H73/'Terms and Turnovers'!$AX25</f>
        <v>0</v>
      </c>
      <c r="I788" s="107"/>
      <c r="J788" s="70">
        <f>J73/'Terms and Turnovers'!$AX25</f>
        <v>0</v>
      </c>
      <c r="K788" s="107"/>
      <c r="L788" s="70">
        <f>L73/'Terms and Turnovers'!$AX25</f>
        <v>0</v>
      </c>
      <c r="M788" s="107"/>
      <c r="N788" s="70">
        <f>N73/'Terms and Turnovers'!$AX25</f>
        <v>0</v>
      </c>
      <c r="O788" s="107"/>
      <c r="P788" s="70">
        <f>P73/'Terms and Turnovers'!$AX25</f>
        <v>0</v>
      </c>
      <c r="Q788" s="107"/>
      <c r="R788" s="135">
        <f t="shared" si="92"/>
        <v>0</v>
      </c>
      <c r="S788" s="107"/>
      <c r="T788" s="70">
        <f>T73/'Terms and Turnovers'!$AX$25</f>
        <v>0</v>
      </c>
      <c r="U788" s="107"/>
      <c r="V788" s="70">
        <f>V73/'Terms and Turnovers'!$AX$25</f>
        <v>0</v>
      </c>
      <c r="W788" s="107"/>
      <c r="X788" s="70">
        <f>X73/'Terms and Turnovers'!$AX$25</f>
        <v>0</v>
      </c>
      <c r="Y788" s="107"/>
      <c r="Z788" s="70">
        <f>Z73/'Terms and Turnovers'!$AX$25</f>
        <v>0</v>
      </c>
      <c r="AA788" s="107"/>
      <c r="AB788" s="70">
        <f>AB73/'Terms and Turnovers'!$AX$25</f>
        <v>0</v>
      </c>
      <c r="AC788" s="107"/>
      <c r="AD788" s="70">
        <f>AD73/'Terms and Turnovers'!$AX$25</f>
        <v>0</v>
      </c>
      <c r="AE788" s="107"/>
      <c r="AF788" s="135">
        <f t="shared" si="93"/>
        <v>0</v>
      </c>
      <c r="AG788" s="107"/>
      <c r="AH788" s="136">
        <f t="shared" si="94"/>
        <v>0</v>
      </c>
      <c r="AI788" s="107"/>
      <c r="AJ788" s="65"/>
    </row>
    <row r="789" spans="1:38" ht="13.5" customHeight="1" outlineLevel="1">
      <c r="A789" s="73"/>
      <c r="B789" s="82"/>
      <c r="C789" s="425"/>
      <c r="D789" s="425"/>
      <c r="E789" s="634"/>
      <c r="F789" s="635"/>
      <c r="G789" s="428"/>
      <c r="H789" s="635"/>
      <c r="I789" s="428"/>
      <c r="J789" s="635"/>
      <c r="K789" s="636"/>
      <c r="L789" s="635"/>
      <c r="M789" s="636"/>
      <c r="N789" s="635"/>
      <c r="O789" s="636"/>
      <c r="P789" s="635"/>
      <c r="Q789" s="636"/>
      <c r="R789" s="637"/>
      <c r="S789" s="698">
        <f>SUM(R69:R73)/1.18-(SUM(R784:R788)*'Mark Up Validation'!$M$132)</f>
        <v>0</v>
      </c>
      <c r="T789" s="635"/>
      <c r="U789" s="636"/>
      <c r="V789" s="635"/>
      <c r="W789" s="636"/>
      <c r="X789" s="635"/>
      <c r="Y789" s="636"/>
      <c r="Z789" s="635"/>
      <c r="AA789" s="636"/>
      <c r="AB789" s="635"/>
      <c r="AC789" s="636"/>
      <c r="AD789" s="635"/>
      <c r="AE789" s="636"/>
      <c r="AF789" s="637"/>
      <c r="AG789" s="698">
        <f>SUM(AF69:AF73)/1.2-SUM(AF784:AF788)*'Mark Up Validation'!$M$132</f>
        <v>-32040.694805194769</v>
      </c>
      <c r="AH789" s="638"/>
      <c r="AI789" s="698">
        <f>SUM(AH69:AH73)/1.2-SUM(AH784:AH788)*'Mark Up Validation'!$M$132</f>
        <v>-32040.694805194769</v>
      </c>
      <c r="AJ789" s="65"/>
    </row>
    <row r="790" spans="1:38" ht="13.5" customHeight="1" outlineLevel="1" thickBot="1">
      <c r="A790" s="73"/>
      <c r="B790" s="82"/>
      <c r="C790" s="940" t="s">
        <v>487</v>
      </c>
      <c r="D790" s="968"/>
      <c r="E790" s="699"/>
      <c r="F790" s="700"/>
      <c r="G790" s="701"/>
      <c r="H790" s="700"/>
      <c r="I790" s="701"/>
      <c r="J790" s="700"/>
      <c r="K790" s="702"/>
      <c r="L790" s="700"/>
      <c r="M790" s="702"/>
      <c r="N790" s="700"/>
      <c r="O790" s="702"/>
      <c r="P790" s="700"/>
      <c r="Q790" s="702"/>
      <c r="R790" s="703"/>
      <c r="S790" s="729">
        <f>IF(S789&gt;0,S789/(SUM(R69:R73)/1.18),0)</f>
        <v>0</v>
      </c>
      <c r="T790" s="704"/>
      <c r="U790" s="702"/>
      <c r="V790" s="700"/>
      <c r="W790" s="702"/>
      <c r="X790" s="700"/>
      <c r="Y790" s="702"/>
      <c r="Z790" s="700"/>
      <c r="AA790" s="702"/>
      <c r="AB790" s="700"/>
      <c r="AC790" s="702"/>
      <c r="AD790" s="700"/>
      <c r="AE790" s="702"/>
      <c r="AF790" s="705"/>
      <c r="AG790" s="729">
        <f>IF(AG789&gt;0,AG789/(SUM(AF69:AF73)/1.2),0)</f>
        <v>0</v>
      </c>
      <c r="AH790" s="706"/>
      <c r="AI790" s="729">
        <f>IF(AI789&gt;0,AI789/(SUM(AH69:AH73)/1.2),0)</f>
        <v>0</v>
      </c>
      <c r="AJ790" s="65"/>
    </row>
    <row r="791" spans="1:38" ht="12.75" customHeight="1" outlineLevel="1">
      <c r="A791" s="73"/>
      <c r="B791" s="82">
        <f>B784+1</f>
        <v>11</v>
      </c>
      <c r="C791" s="1233">
        <f>C76</f>
        <v>0</v>
      </c>
      <c r="D791" s="1233">
        <f>D76</f>
        <v>0</v>
      </c>
      <c r="E791" s="83" t="str">
        <f>'Terms and Turnovers'!$J$12</f>
        <v>FLIP-FLOPS</v>
      </c>
      <c r="F791" s="68">
        <f>F76/'Terms and Turnovers'!$J26</f>
        <v>0</v>
      </c>
      <c r="G791" s="106"/>
      <c r="H791" s="68">
        <f>H76/'Terms and Turnovers'!$J26</f>
        <v>0</v>
      </c>
      <c r="I791" s="106"/>
      <c r="J791" s="68">
        <f>J76/'Terms and Turnovers'!$J26</f>
        <v>0</v>
      </c>
      <c r="K791" s="106"/>
      <c r="L791" s="68">
        <f>L76/'Terms and Turnovers'!$J26</f>
        <v>0</v>
      </c>
      <c r="M791" s="106"/>
      <c r="N791" s="68">
        <f>N76/'Terms and Turnovers'!$J26</f>
        <v>0</v>
      </c>
      <c r="O791" s="106"/>
      <c r="P791" s="68">
        <f>P76/'Terms and Turnovers'!$J26</f>
        <v>0</v>
      </c>
      <c r="Q791" s="106"/>
      <c r="R791" s="129">
        <f t="shared" si="92"/>
        <v>0</v>
      </c>
      <c r="S791" s="106"/>
      <c r="T791" s="68">
        <f>T76/'Terms and Turnovers'!$O26</f>
        <v>0</v>
      </c>
      <c r="U791" s="106"/>
      <c r="V791" s="68">
        <f>V76/'Terms and Turnovers'!$O26</f>
        <v>0</v>
      </c>
      <c r="W791" s="106"/>
      <c r="X791" s="68">
        <f>X76/'Terms and Turnovers'!$O26</f>
        <v>0</v>
      </c>
      <c r="Y791" s="106"/>
      <c r="Z791" s="68">
        <f>Z76/'Terms and Turnovers'!$O26</f>
        <v>0</v>
      </c>
      <c r="AA791" s="106"/>
      <c r="AB791" s="68">
        <f>AB76/'Terms and Turnovers'!$O26</f>
        <v>0</v>
      </c>
      <c r="AC791" s="106"/>
      <c r="AD791" s="68">
        <f>AD76/'Terms and Turnovers'!$O26</f>
        <v>0</v>
      </c>
      <c r="AE791" s="106"/>
      <c r="AF791" s="129">
        <f t="shared" si="93"/>
        <v>0</v>
      </c>
      <c r="AG791" s="106"/>
      <c r="AH791" s="130">
        <f t="shared" si="94"/>
        <v>0</v>
      </c>
      <c r="AI791" s="106"/>
      <c r="AJ791" s="65"/>
      <c r="AK791" s="817">
        <f>R791*'Mark Up Validation'!$M$132</f>
        <v>0</v>
      </c>
      <c r="AL791" s="817">
        <f>AF791*'Mark Up Validation'!$S$132</f>
        <v>0</v>
      </c>
    </row>
    <row r="792" spans="1:38" ht="12.75" customHeight="1" outlineLevel="1">
      <c r="A792" s="73"/>
      <c r="B792" s="82"/>
      <c r="C792" s="1234"/>
      <c r="D792" s="1234"/>
      <c r="E792" s="84" t="str">
        <f>'Terms and Turnovers'!$T$12</f>
        <v>ORIGINALS</v>
      </c>
      <c r="F792" s="70">
        <f>F77/'Terms and Turnovers'!$T26</f>
        <v>0</v>
      </c>
      <c r="G792" s="728"/>
      <c r="H792" s="70">
        <f>H77/'Terms and Turnovers'!$T26</f>
        <v>0</v>
      </c>
      <c r="I792" s="728"/>
      <c r="J792" s="70">
        <f>J77/'Terms and Turnovers'!$T26</f>
        <v>0</v>
      </c>
      <c r="K792" s="728"/>
      <c r="L792" s="70">
        <f>L77/'Terms and Turnovers'!$T26</f>
        <v>0</v>
      </c>
      <c r="M792" s="728"/>
      <c r="N792" s="70">
        <f>N77/'Terms and Turnovers'!$T26</f>
        <v>0</v>
      </c>
      <c r="O792" s="728"/>
      <c r="P792" s="70">
        <f>P77/'Terms and Turnovers'!$T26</f>
        <v>0</v>
      </c>
      <c r="Q792" s="728"/>
      <c r="R792" s="132">
        <f t="shared" si="92"/>
        <v>0</v>
      </c>
      <c r="S792" s="728"/>
      <c r="T792" s="70">
        <f>T77/'Terms and Turnovers'!$Y26</f>
        <v>0</v>
      </c>
      <c r="U792" s="728"/>
      <c r="V792" s="70">
        <f>V77/'Terms and Turnovers'!$Y26</f>
        <v>0</v>
      </c>
      <c r="W792" s="728"/>
      <c r="X792" s="70">
        <f>X77/'Terms and Turnovers'!$Y26</f>
        <v>0</v>
      </c>
      <c r="Y792" s="728"/>
      <c r="Z792" s="70">
        <f>Z77/'Terms and Turnovers'!$Y26</f>
        <v>0</v>
      </c>
      <c r="AA792" s="728"/>
      <c r="AB792" s="70">
        <f>AB77/'Terms and Turnovers'!$Y26</f>
        <v>0</v>
      </c>
      <c r="AC792" s="728"/>
      <c r="AD792" s="70">
        <f>AD77/'Terms and Turnovers'!$Y26</f>
        <v>0</v>
      </c>
      <c r="AE792" s="728"/>
      <c r="AF792" s="132">
        <f t="shared" si="93"/>
        <v>0</v>
      </c>
      <c r="AG792" s="728"/>
      <c r="AH792" s="133">
        <f t="shared" si="94"/>
        <v>0</v>
      </c>
      <c r="AI792" s="728"/>
      <c r="AJ792" s="65"/>
    </row>
    <row r="793" spans="1:38" ht="12.75" customHeight="1" outlineLevel="1">
      <c r="A793" s="73"/>
      <c r="B793" s="82"/>
      <c r="C793" s="1234"/>
      <c r="D793" s="1234"/>
      <c r="E793" s="84" t="str">
        <f>'Terms and Turnovers'!$AD$12</f>
        <v>ACCESSORIES</v>
      </c>
      <c r="F793" s="70">
        <f>F78/'Terms and Turnovers'!$AD26</f>
        <v>0</v>
      </c>
      <c r="G793" s="728"/>
      <c r="H793" s="70">
        <f>H78/'Terms and Turnovers'!$AD26</f>
        <v>0</v>
      </c>
      <c r="I793" s="728"/>
      <c r="J793" s="70">
        <f>J78/'Terms and Turnovers'!$AD26</f>
        <v>0</v>
      </c>
      <c r="K793" s="728"/>
      <c r="L793" s="70">
        <f>L78/'Terms and Turnovers'!$AD26</f>
        <v>0</v>
      </c>
      <c r="M793" s="728"/>
      <c r="N793" s="70">
        <f>N78/'Terms and Turnovers'!$AD26</f>
        <v>0</v>
      </c>
      <c r="O793" s="728"/>
      <c r="P793" s="70">
        <f>P78/'Terms and Turnovers'!$AD26</f>
        <v>0</v>
      </c>
      <c r="Q793" s="728"/>
      <c r="R793" s="132">
        <f t="shared" si="92"/>
        <v>0</v>
      </c>
      <c r="S793" s="728"/>
      <c r="T793" s="70">
        <f>T78/'Terms and Turnovers'!$AI26</f>
        <v>0</v>
      </c>
      <c r="U793" s="728"/>
      <c r="V793" s="70">
        <f>V78/'Terms and Turnovers'!$AI26</f>
        <v>0</v>
      </c>
      <c r="W793" s="728"/>
      <c r="X793" s="70">
        <f>X78/'Terms and Turnovers'!$AI26</f>
        <v>0</v>
      </c>
      <c r="Y793" s="728"/>
      <c r="Z793" s="70">
        <f>Z78/'Terms and Turnovers'!$AI26</f>
        <v>0</v>
      </c>
      <c r="AA793" s="728"/>
      <c r="AB793" s="70">
        <f>AB78/'Terms and Turnovers'!$AI26</f>
        <v>0</v>
      </c>
      <c r="AC793" s="728"/>
      <c r="AD793" s="70">
        <f>AD78/'Terms and Turnovers'!$AI26</f>
        <v>0</v>
      </c>
      <c r="AE793" s="728"/>
      <c r="AF793" s="132">
        <f t="shared" si="93"/>
        <v>0</v>
      </c>
      <c r="AG793" s="728"/>
      <c r="AH793" s="133">
        <f t="shared" si="94"/>
        <v>0</v>
      </c>
      <c r="AI793" s="728"/>
      <c r="AJ793" s="65"/>
    </row>
    <row r="794" spans="1:38" ht="12.75" customHeight="1" outlineLevel="1">
      <c r="A794" s="73"/>
      <c r="B794" s="82"/>
      <c r="C794" s="1234"/>
      <c r="D794" s="1234"/>
      <c r="E794" s="84">
        <f>'Terms and Turnovers'!$AN$12</f>
        <v>0</v>
      </c>
      <c r="F794" s="70">
        <f>F79/'Terms and Turnovers'!$AN26</f>
        <v>0</v>
      </c>
      <c r="G794" s="728"/>
      <c r="H794" s="70">
        <f>H79/'Terms and Turnovers'!$AN26</f>
        <v>0</v>
      </c>
      <c r="I794" s="728"/>
      <c r="J794" s="70">
        <f>J79/'Terms and Turnovers'!$AN26</f>
        <v>0</v>
      </c>
      <c r="K794" s="728"/>
      <c r="L794" s="70">
        <f>L79/'Terms and Turnovers'!$AN26</f>
        <v>0</v>
      </c>
      <c r="M794" s="728"/>
      <c r="N794" s="70">
        <f>N79/'Terms and Turnovers'!$AN26</f>
        <v>0</v>
      </c>
      <c r="O794" s="728"/>
      <c r="P794" s="70">
        <f>P79/'Terms and Turnovers'!$AN26</f>
        <v>0</v>
      </c>
      <c r="Q794" s="728"/>
      <c r="R794" s="132">
        <f t="shared" si="92"/>
        <v>0</v>
      </c>
      <c r="S794" s="728"/>
      <c r="T794" s="70">
        <f>T79/'Terms and Turnovers'!$AS26</f>
        <v>0</v>
      </c>
      <c r="U794" s="728"/>
      <c r="V794" s="70">
        <f>V79/'Terms and Turnovers'!$AS26</f>
        <v>0</v>
      </c>
      <c r="W794" s="728"/>
      <c r="X794" s="70">
        <f>X79/'Terms and Turnovers'!$AS26</f>
        <v>0</v>
      </c>
      <c r="Y794" s="728"/>
      <c r="Z794" s="70">
        <f>Z79/'Terms and Turnovers'!$AS26</f>
        <v>0</v>
      </c>
      <c r="AA794" s="728"/>
      <c r="AB794" s="70">
        <f>AB79/'Terms and Turnovers'!$AS26</f>
        <v>0</v>
      </c>
      <c r="AC794" s="728"/>
      <c r="AD794" s="70">
        <f>AD79/'Terms and Turnovers'!$AS26</f>
        <v>0</v>
      </c>
      <c r="AE794" s="728"/>
      <c r="AF794" s="132">
        <f t="shared" si="93"/>
        <v>0</v>
      </c>
      <c r="AG794" s="728"/>
      <c r="AH794" s="133">
        <f t="shared" si="94"/>
        <v>0</v>
      </c>
      <c r="AI794" s="728"/>
      <c r="AJ794" s="65"/>
    </row>
    <row r="795" spans="1:38" ht="13.5" customHeight="1" outlineLevel="1" thickBot="1">
      <c r="A795" s="73"/>
      <c r="B795" s="82"/>
      <c r="C795" s="1235"/>
      <c r="D795" s="1235"/>
      <c r="E795" s="85">
        <f>'Terms and Turnovers'!$AX$12</f>
        <v>0</v>
      </c>
      <c r="F795" s="70">
        <f>F80/'Terms and Turnovers'!$AX26</f>
        <v>0</v>
      </c>
      <c r="G795" s="107"/>
      <c r="H795" s="70">
        <f>H80/'Terms and Turnovers'!$AX26</f>
        <v>0</v>
      </c>
      <c r="I795" s="107"/>
      <c r="J795" s="70">
        <f>J80/'Terms and Turnovers'!$AX26</f>
        <v>0</v>
      </c>
      <c r="K795" s="107"/>
      <c r="L795" s="70">
        <f>L80/'Terms and Turnovers'!$AX26</f>
        <v>0</v>
      </c>
      <c r="M795" s="107"/>
      <c r="N795" s="70">
        <f>N80/'Terms and Turnovers'!$AX26</f>
        <v>0</v>
      </c>
      <c r="O795" s="107"/>
      <c r="P795" s="70">
        <f>P80/'Terms and Turnovers'!$AX26</f>
        <v>0</v>
      </c>
      <c r="Q795" s="107"/>
      <c r="R795" s="135">
        <f t="shared" si="92"/>
        <v>0</v>
      </c>
      <c r="S795" s="107"/>
      <c r="T795" s="70">
        <f>T80/'Terms and Turnovers'!$AX$26</f>
        <v>0</v>
      </c>
      <c r="U795" s="107"/>
      <c r="V795" s="70">
        <f>V80/'Terms and Turnovers'!$AX$26</f>
        <v>0</v>
      </c>
      <c r="W795" s="107"/>
      <c r="X795" s="70">
        <f>X80/'Terms and Turnovers'!$AX$26</f>
        <v>0</v>
      </c>
      <c r="Y795" s="107"/>
      <c r="Z795" s="70">
        <f>Z80/'Terms and Turnovers'!$AX$26</f>
        <v>0</v>
      </c>
      <c r="AA795" s="107"/>
      <c r="AB795" s="70">
        <f>AB80/'Terms and Turnovers'!$AX$26</f>
        <v>0</v>
      </c>
      <c r="AC795" s="107"/>
      <c r="AD795" s="70">
        <f>AD80/'Terms and Turnovers'!$AX$26</f>
        <v>0</v>
      </c>
      <c r="AE795" s="107"/>
      <c r="AF795" s="135">
        <f t="shared" si="93"/>
        <v>0</v>
      </c>
      <c r="AG795" s="107"/>
      <c r="AH795" s="136">
        <f t="shared" si="94"/>
        <v>0</v>
      </c>
      <c r="AI795" s="107"/>
      <c r="AJ795" s="65"/>
    </row>
    <row r="796" spans="1:38" ht="13.5" customHeight="1" outlineLevel="1">
      <c r="A796" s="73"/>
      <c r="B796" s="82"/>
      <c r="C796" s="425"/>
      <c r="D796" s="425"/>
      <c r="E796" s="634"/>
      <c r="F796" s="635"/>
      <c r="G796" s="428"/>
      <c r="H796" s="635"/>
      <c r="I796" s="428"/>
      <c r="J796" s="635"/>
      <c r="K796" s="636"/>
      <c r="L796" s="635"/>
      <c r="M796" s="636"/>
      <c r="N796" s="635"/>
      <c r="O796" s="636"/>
      <c r="P796" s="635"/>
      <c r="Q796" s="636"/>
      <c r="R796" s="637"/>
      <c r="S796" s="698">
        <f>SUM(R76:R80)/1.18-(SUM(R791:R795)*'Mark Up Validation'!$M$132)</f>
        <v>0</v>
      </c>
      <c r="T796" s="635"/>
      <c r="U796" s="636"/>
      <c r="V796" s="635"/>
      <c r="W796" s="636"/>
      <c r="X796" s="635"/>
      <c r="Y796" s="636"/>
      <c r="Z796" s="635"/>
      <c r="AA796" s="636"/>
      <c r="AB796" s="635"/>
      <c r="AC796" s="636"/>
      <c r="AD796" s="635"/>
      <c r="AE796" s="636"/>
      <c r="AF796" s="637"/>
      <c r="AG796" s="698">
        <f>SUM(AF76:AF80)/1.18-SUM(AF791:AF795)*'Mark Up Validation'!$M$132</f>
        <v>0</v>
      </c>
      <c r="AH796" s="638"/>
      <c r="AI796" s="698">
        <f>SUM(AH76:AH80)/1.18-SUM(AH791:AH795)*'Mark Up Validation'!$M$132</f>
        <v>0</v>
      </c>
      <c r="AJ796" s="65"/>
    </row>
    <row r="797" spans="1:38" ht="13.5" customHeight="1" outlineLevel="1" thickBot="1">
      <c r="A797" s="73"/>
      <c r="B797" s="82"/>
      <c r="C797" s="940" t="s">
        <v>487</v>
      </c>
      <c r="D797" s="968"/>
      <c r="E797" s="699"/>
      <c r="F797" s="700"/>
      <c r="G797" s="701"/>
      <c r="H797" s="700"/>
      <c r="I797" s="701"/>
      <c r="J797" s="700"/>
      <c r="K797" s="702"/>
      <c r="L797" s="700"/>
      <c r="M797" s="702"/>
      <c r="N797" s="700"/>
      <c r="O797" s="702"/>
      <c r="P797" s="700"/>
      <c r="Q797" s="702"/>
      <c r="R797" s="703"/>
      <c r="S797" s="729">
        <f>IF(S796&gt;0,S796/(SUM(R76:R80)/1.18),0)</f>
        <v>0</v>
      </c>
      <c r="T797" s="704"/>
      <c r="U797" s="702"/>
      <c r="V797" s="700"/>
      <c r="W797" s="702"/>
      <c r="X797" s="700"/>
      <c r="Y797" s="702"/>
      <c r="Z797" s="700"/>
      <c r="AA797" s="702"/>
      <c r="AB797" s="700"/>
      <c r="AC797" s="702"/>
      <c r="AD797" s="700"/>
      <c r="AE797" s="702"/>
      <c r="AF797" s="705"/>
      <c r="AG797" s="729">
        <f>IF(AG796&gt;0,AG796/(SUM(AF76:AF80)/1.18),0)</f>
        <v>0</v>
      </c>
      <c r="AH797" s="706"/>
      <c r="AI797" s="729">
        <f>IF(AI796&gt;0,AI796/(SUM(AH76:AH80)/1.18),0)</f>
        <v>0</v>
      </c>
      <c r="AJ797" s="65"/>
    </row>
    <row r="798" spans="1:38" ht="12.75" customHeight="1" outlineLevel="1">
      <c r="A798" s="73"/>
      <c r="B798" s="82">
        <f>B791+1</f>
        <v>12</v>
      </c>
      <c r="C798" s="1233">
        <f>C83</f>
        <v>0</v>
      </c>
      <c r="D798" s="1233">
        <f>D83</f>
        <v>0</v>
      </c>
      <c r="E798" s="83" t="str">
        <f>'Terms and Turnovers'!$J$12</f>
        <v>FLIP-FLOPS</v>
      </c>
      <c r="F798" s="68">
        <f>F83/'Terms and Turnovers'!$J$27</f>
        <v>0</v>
      </c>
      <c r="G798" s="106"/>
      <c r="H798" s="68">
        <f>H83/'Terms and Turnovers'!$J$27</f>
        <v>0</v>
      </c>
      <c r="I798" s="106"/>
      <c r="J798" s="68">
        <f>J83/'Terms and Turnovers'!$J$27</f>
        <v>0</v>
      </c>
      <c r="K798" s="106"/>
      <c r="L798" s="68">
        <f>L83/'Terms and Turnovers'!$J$27</f>
        <v>0</v>
      </c>
      <c r="M798" s="106"/>
      <c r="N798" s="68">
        <f>N83/'Terms and Turnovers'!$J$27</f>
        <v>0</v>
      </c>
      <c r="O798" s="106"/>
      <c r="P798" s="68">
        <f>P83/'Terms and Turnovers'!$J$27</f>
        <v>0</v>
      </c>
      <c r="Q798" s="106"/>
      <c r="R798" s="129">
        <f t="shared" si="92"/>
        <v>0</v>
      </c>
      <c r="S798" s="106"/>
      <c r="T798" s="68">
        <f>T83/'Terms and Turnovers'!$O$27</f>
        <v>0</v>
      </c>
      <c r="U798" s="106"/>
      <c r="V798" s="68">
        <f>V83/'Terms and Turnovers'!$O$27</f>
        <v>0</v>
      </c>
      <c r="W798" s="106"/>
      <c r="X798" s="68">
        <f>X83/'Terms and Turnovers'!$O$27</f>
        <v>0</v>
      </c>
      <c r="Y798" s="106"/>
      <c r="Z798" s="68">
        <f>Z83/'Terms and Turnovers'!$O$27</f>
        <v>0</v>
      </c>
      <c r="AA798" s="106"/>
      <c r="AB798" s="68">
        <f>AB83/'Terms and Turnovers'!$O$27</f>
        <v>0</v>
      </c>
      <c r="AC798" s="106"/>
      <c r="AD798" s="68">
        <f>AD83/'Terms and Turnovers'!$O$27</f>
        <v>0</v>
      </c>
      <c r="AE798" s="106"/>
      <c r="AF798" s="129">
        <f t="shared" si="93"/>
        <v>0</v>
      </c>
      <c r="AG798" s="106"/>
      <c r="AH798" s="130">
        <f t="shared" si="94"/>
        <v>0</v>
      </c>
      <c r="AI798" s="106"/>
      <c r="AJ798" s="65"/>
      <c r="AK798" s="817">
        <f>R798*'Mark Up Validation'!$M$132</f>
        <v>0</v>
      </c>
      <c r="AL798" s="817">
        <f>AF798*'Mark Up Validation'!$S$132</f>
        <v>0</v>
      </c>
    </row>
    <row r="799" spans="1:38" ht="12.75" customHeight="1" outlineLevel="1">
      <c r="A799" s="73"/>
      <c r="B799" s="82"/>
      <c r="C799" s="1234"/>
      <c r="D799" s="1234"/>
      <c r="E799" s="84" t="str">
        <f>'Terms and Turnovers'!$T$12</f>
        <v>ORIGINALS</v>
      </c>
      <c r="F799" s="70">
        <f>F84/'Terms and Turnovers'!$T$27</f>
        <v>0</v>
      </c>
      <c r="G799" s="728"/>
      <c r="H799" s="70">
        <f>H84/'Terms and Turnovers'!$T$27</f>
        <v>0</v>
      </c>
      <c r="I799" s="728"/>
      <c r="J799" s="70">
        <f>J84/'Terms and Turnovers'!$T$27</f>
        <v>0</v>
      </c>
      <c r="K799" s="728"/>
      <c r="L799" s="70">
        <f>L84/'Terms and Turnovers'!$T$27</f>
        <v>0</v>
      </c>
      <c r="M799" s="728"/>
      <c r="N799" s="70">
        <f>N84/'Terms and Turnovers'!$T$27</f>
        <v>0</v>
      </c>
      <c r="O799" s="728"/>
      <c r="P799" s="70">
        <f>P84/'Terms and Turnovers'!$T$27</f>
        <v>0</v>
      </c>
      <c r="Q799" s="728"/>
      <c r="R799" s="132">
        <f t="shared" si="92"/>
        <v>0</v>
      </c>
      <c r="S799" s="728"/>
      <c r="T799" s="70">
        <f>T84/'Terms and Turnovers'!$Y$27</f>
        <v>0</v>
      </c>
      <c r="U799" s="728"/>
      <c r="V799" s="70">
        <f>V84/'Terms and Turnovers'!$Y$27</f>
        <v>0</v>
      </c>
      <c r="W799" s="728"/>
      <c r="X799" s="70">
        <f>X84/'Terms and Turnovers'!$Y$27</f>
        <v>0</v>
      </c>
      <c r="Y799" s="728"/>
      <c r="Z799" s="70">
        <f>Z84/'Terms and Turnovers'!$Y$27</f>
        <v>0</v>
      </c>
      <c r="AA799" s="728"/>
      <c r="AB799" s="70">
        <f>AB84/'Terms and Turnovers'!$Y$27</f>
        <v>0</v>
      </c>
      <c r="AC799" s="728"/>
      <c r="AD799" s="70">
        <f>AD84/'Terms and Turnovers'!$Y$27</f>
        <v>0</v>
      </c>
      <c r="AE799" s="728"/>
      <c r="AF799" s="132">
        <f t="shared" si="93"/>
        <v>0</v>
      </c>
      <c r="AG799" s="728"/>
      <c r="AH799" s="133">
        <f t="shared" si="94"/>
        <v>0</v>
      </c>
      <c r="AI799" s="728"/>
      <c r="AJ799" s="65"/>
    </row>
    <row r="800" spans="1:38" ht="12.75" customHeight="1" outlineLevel="1">
      <c r="A800" s="73"/>
      <c r="B800" s="82"/>
      <c r="C800" s="1234"/>
      <c r="D800" s="1234"/>
      <c r="E800" s="84" t="str">
        <f>'Terms and Turnovers'!$AD$12</f>
        <v>ACCESSORIES</v>
      </c>
      <c r="F800" s="70">
        <f>F85/'Terms and Turnovers'!$AD$27</f>
        <v>0</v>
      </c>
      <c r="G800" s="728"/>
      <c r="H800" s="70">
        <f>H85/'Terms and Turnovers'!$AD$27</f>
        <v>0</v>
      </c>
      <c r="I800" s="728"/>
      <c r="J800" s="70">
        <f>J85/'Terms and Turnovers'!$AD$27</f>
        <v>0</v>
      </c>
      <c r="K800" s="728"/>
      <c r="L800" s="70">
        <f>L85/'Terms and Turnovers'!$AD$27</f>
        <v>0</v>
      </c>
      <c r="M800" s="728"/>
      <c r="N800" s="70">
        <f>N85/'Terms and Turnovers'!$AD$27</f>
        <v>0</v>
      </c>
      <c r="O800" s="728"/>
      <c r="P800" s="70">
        <f>P85/'Terms and Turnovers'!$AD$27</f>
        <v>0</v>
      </c>
      <c r="Q800" s="728"/>
      <c r="R800" s="132">
        <f t="shared" si="92"/>
        <v>0</v>
      </c>
      <c r="S800" s="728"/>
      <c r="T800" s="70">
        <f>T85/'Terms and Turnovers'!$AI$27</f>
        <v>0</v>
      </c>
      <c r="U800" s="728"/>
      <c r="V800" s="70">
        <f>V85/'Terms and Turnovers'!$AI$27</f>
        <v>0</v>
      </c>
      <c r="W800" s="728"/>
      <c r="X800" s="70">
        <f>X85/'Terms and Turnovers'!$AI$27</f>
        <v>0</v>
      </c>
      <c r="Y800" s="728"/>
      <c r="Z800" s="70">
        <f>Z85/'Terms and Turnovers'!$AI$27</f>
        <v>0</v>
      </c>
      <c r="AA800" s="728"/>
      <c r="AB800" s="70">
        <f>AB85/'Terms and Turnovers'!$AI$27</f>
        <v>0</v>
      </c>
      <c r="AC800" s="728"/>
      <c r="AD800" s="70">
        <f>AD85/'Terms and Turnovers'!$AI$27</f>
        <v>0</v>
      </c>
      <c r="AE800" s="728"/>
      <c r="AF800" s="132">
        <f t="shared" si="93"/>
        <v>0</v>
      </c>
      <c r="AG800" s="728"/>
      <c r="AH800" s="133">
        <f t="shared" si="94"/>
        <v>0</v>
      </c>
      <c r="AI800" s="728"/>
      <c r="AJ800" s="65"/>
    </row>
    <row r="801" spans="1:38" ht="12.75" customHeight="1" outlineLevel="1">
      <c r="A801" s="73"/>
      <c r="B801" s="82"/>
      <c r="C801" s="1234"/>
      <c r="D801" s="1234"/>
      <c r="E801" s="84">
        <f>'Terms and Turnovers'!$AN$12</f>
        <v>0</v>
      </c>
      <c r="F801" s="70">
        <f>F86/'Terms and Turnovers'!$AN$27</f>
        <v>0</v>
      </c>
      <c r="G801" s="728"/>
      <c r="H801" s="70">
        <f>H86/'Terms and Turnovers'!$AN$27</f>
        <v>0</v>
      </c>
      <c r="I801" s="728"/>
      <c r="J801" s="70">
        <f>J86/'Terms and Turnovers'!$AN$27</f>
        <v>0</v>
      </c>
      <c r="K801" s="728"/>
      <c r="L801" s="70">
        <f>L86/'Terms and Turnovers'!$AN$27</f>
        <v>0</v>
      </c>
      <c r="M801" s="728"/>
      <c r="N801" s="70">
        <f>N86/'Terms and Turnovers'!$AN$27</f>
        <v>0</v>
      </c>
      <c r="O801" s="728"/>
      <c r="P801" s="70">
        <f>P86/'Terms and Turnovers'!$AN$27</f>
        <v>0</v>
      </c>
      <c r="Q801" s="728"/>
      <c r="R801" s="132">
        <f t="shared" si="92"/>
        <v>0</v>
      </c>
      <c r="S801" s="728"/>
      <c r="T801" s="70">
        <f>T86/'Terms and Turnovers'!$AS$27</f>
        <v>0</v>
      </c>
      <c r="U801" s="728"/>
      <c r="V801" s="70">
        <f>V86/'Terms and Turnovers'!$AS$27</f>
        <v>0</v>
      </c>
      <c r="W801" s="728"/>
      <c r="X801" s="70">
        <f>X86/'Terms and Turnovers'!$AS$27</f>
        <v>0</v>
      </c>
      <c r="Y801" s="728"/>
      <c r="Z801" s="70">
        <f>Z86/'Terms and Turnovers'!$AS$27</f>
        <v>0</v>
      </c>
      <c r="AA801" s="728"/>
      <c r="AB801" s="70">
        <f>AB86/'Terms and Turnovers'!$AS$27</f>
        <v>0</v>
      </c>
      <c r="AC801" s="728"/>
      <c r="AD801" s="70">
        <f>AD86/'Terms and Turnovers'!$AS$27</f>
        <v>0</v>
      </c>
      <c r="AE801" s="728"/>
      <c r="AF801" s="132">
        <f t="shared" si="93"/>
        <v>0</v>
      </c>
      <c r="AG801" s="728"/>
      <c r="AH801" s="133">
        <f t="shared" si="94"/>
        <v>0</v>
      </c>
      <c r="AI801" s="728"/>
      <c r="AJ801" s="65"/>
    </row>
    <row r="802" spans="1:38" ht="13.5" customHeight="1" outlineLevel="1" thickBot="1">
      <c r="A802" s="73"/>
      <c r="B802" s="82"/>
      <c r="C802" s="1235"/>
      <c r="D802" s="1235"/>
      <c r="E802" s="85">
        <f>'Terms and Turnovers'!$AX$12</f>
        <v>0</v>
      </c>
      <c r="F802" s="70">
        <f>F87/'Terms and Turnovers'!$AX27</f>
        <v>0</v>
      </c>
      <c r="G802" s="107"/>
      <c r="H802" s="70">
        <f>H87/'Terms and Turnovers'!$AX27</f>
        <v>0</v>
      </c>
      <c r="I802" s="107"/>
      <c r="J802" s="70">
        <f>J87/'Terms and Turnovers'!$AX27</f>
        <v>0</v>
      </c>
      <c r="K802" s="107"/>
      <c r="L802" s="70">
        <f>L87/'Terms and Turnovers'!$AX27</f>
        <v>0</v>
      </c>
      <c r="M802" s="107"/>
      <c r="N802" s="70">
        <f>N87/'Terms and Turnovers'!$AX27</f>
        <v>0</v>
      </c>
      <c r="O802" s="107"/>
      <c r="P802" s="70">
        <f>P87/'Terms and Turnovers'!$AX27</f>
        <v>0</v>
      </c>
      <c r="Q802" s="107"/>
      <c r="R802" s="135">
        <f t="shared" si="92"/>
        <v>0</v>
      </c>
      <c r="S802" s="107"/>
      <c r="T802" s="70">
        <f>T87/'Terms and Turnovers'!$AX$27</f>
        <v>0</v>
      </c>
      <c r="U802" s="107"/>
      <c r="V802" s="70">
        <f>V87/'Terms and Turnovers'!$AX$27</f>
        <v>0</v>
      </c>
      <c r="W802" s="107"/>
      <c r="X802" s="70">
        <f>X87/'Terms and Turnovers'!$AX$27</f>
        <v>0</v>
      </c>
      <c r="Y802" s="107"/>
      <c r="Z802" s="70">
        <f>Z87/'Terms and Turnovers'!$AX$27</f>
        <v>0</v>
      </c>
      <c r="AA802" s="107"/>
      <c r="AB802" s="70">
        <f>AB87/'Terms and Turnovers'!$AX$27</f>
        <v>0</v>
      </c>
      <c r="AC802" s="107"/>
      <c r="AD802" s="70">
        <f>AD87/'Terms and Turnovers'!$AX$27</f>
        <v>0</v>
      </c>
      <c r="AE802" s="107"/>
      <c r="AF802" s="135">
        <f t="shared" si="93"/>
        <v>0</v>
      </c>
      <c r="AG802" s="107"/>
      <c r="AH802" s="136">
        <f t="shared" si="94"/>
        <v>0</v>
      </c>
      <c r="AI802" s="107"/>
      <c r="AJ802" s="65"/>
    </row>
    <row r="803" spans="1:38" ht="13.5" customHeight="1" outlineLevel="1">
      <c r="A803" s="73"/>
      <c r="B803" s="82"/>
      <c r="C803" s="425"/>
      <c r="D803" s="425"/>
      <c r="E803" s="634"/>
      <c r="F803" s="635"/>
      <c r="G803" s="428"/>
      <c r="H803" s="635"/>
      <c r="I803" s="428"/>
      <c r="J803" s="635"/>
      <c r="K803" s="636"/>
      <c r="L803" s="635"/>
      <c r="M803" s="636"/>
      <c r="N803" s="635"/>
      <c r="O803" s="636"/>
      <c r="P803" s="635"/>
      <c r="Q803" s="636"/>
      <c r="R803" s="637"/>
      <c r="S803" s="698">
        <f>SUM(R83:R87)/1.18-(SUM(R798:R802)*'Mark Up Validation'!$M$132)</f>
        <v>0</v>
      </c>
      <c r="T803" s="635"/>
      <c r="U803" s="636"/>
      <c r="V803" s="635"/>
      <c r="W803" s="636"/>
      <c r="X803" s="635"/>
      <c r="Y803" s="636"/>
      <c r="Z803" s="635"/>
      <c r="AA803" s="636"/>
      <c r="AB803" s="635"/>
      <c r="AC803" s="636"/>
      <c r="AD803" s="635"/>
      <c r="AE803" s="636"/>
      <c r="AF803" s="637"/>
      <c r="AG803" s="698">
        <f>SUM(AF83:AF87)/1.18-SUM(AF798:AF802)*'Mark Up Validation'!$M$175</f>
        <v>0</v>
      </c>
      <c r="AH803" s="638"/>
      <c r="AI803" s="698">
        <f>SUM(AH83:AH87)/1.18-SUM(AH798:AH802)*'Mark Up Validation'!$M$175</f>
        <v>0</v>
      </c>
      <c r="AJ803" s="65"/>
    </row>
    <row r="804" spans="1:38" ht="13.5" customHeight="1" outlineLevel="1" thickBot="1">
      <c r="A804" s="73"/>
      <c r="B804" s="82"/>
      <c r="C804" s="940" t="s">
        <v>487</v>
      </c>
      <c r="D804" s="968"/>
      <c r="E804" s="699"/>
      <c r="F804" s="700"/>
      <c r="G804" s="701"/>
      <c r="H804" s="700"/>
      <c r="I804" s="701"/>
      <c r="J804" s="700"/>
      <c r="K804" s="702"/>
      <c r="L804" s="700"/>
      <c r="M804" s="702"/>
      <c r="N804" s="700"/>
      <c r="O804" s="702"/>
      <c r="P804" s="700"/>
      <c r="Q804" s="702"/>
      <c r="R804" s="703"/>
      <c r="S804" s="729">
        <f>IF(S803&gt;0,S803/(SUM(R83:R87)/1.18),0)</f>
        <v>0</v>
      </c>
      <c r="T804" s="704"/>
      <c r="U804" s="702"/>
      <c r="V804" s="700"/>
      <c r="W804" s="702"/>
      <c r="X804" s="700"/>
      <c r="Y804" s="702"/>
      <c r="Z804" s="700"/>
      <c r="AA804" s="702"/>
      <c r="AB804" s="700"/>
      <c r="AC804" s="702"/>
      <c r="AD804" s="700"/>
      <c r="AE804" s="702"/>
      <c r="AF804" s="705"/>
      <c r="AG804" s="729">
        <f>IF(AG803&gt;0,AG803/(SUM(AF83:AF87)/1.18),0)</f>
        <v>0</v>
      </c>
      <c r="AH804" s="706"/>
      <c r="AI804" s="729">
        <f>IF(AI803&gt;0,AI803/(SUM(AH83:AH87)/1.18),0)</f>
        <v>0</v>
      </c>
      <c r="AJ804" s="65"/>
    </row>
    <row r="805" spans="1:38" ht="12.75" customHeight="1" outlineLevel="1">
      <c r="A805" s="73"/>
      <c r="B805" s="82">
        <f>B798+1</f>
        <v>13</v>
      </c>
      <c r="C805" s="1233">
        <f>C90</f>
        <v>0</v>
      </c>
      <c r="D805" s="1233">
        <f>D90</f>
        <v>0</v>
      </c>
      <c r="E805" s="83" t="str">
        <f>'Terms and Turnovers'!$J$12</f>
        <v>FLIP-FLOPS</v>
      </c>
      <c r="F805" s="68">
        <f>F90/'Terms and Turnovers'!$J$28</f>
        <v>0</v>
      </c>
      <c r="G805" s="106"/>
      <c r="H805" s="68">
        <f>H90/'Terms and Turnovers'!$J$28</f>
        <v>0</v>
      </c>
      <c r="I805" s="106"/>
      <c r="J805" s="68">
        <f>J90/'Terms and Turnovers'!$J$28</f>
        <v>0</v>
      </c>
      <c r="K805" s="106"/>
      <c r="L805" s="68">
        <f>L90/'Terms and Turnovers'!$J$28</f>
        <v>0</v>
      </c>
      <c r="M805" s="106"/>
      <c r="N805" s="68">
        <f>N90/'Terms and Turnovers'!$J$28</f>
        <v>0</v>
      </c>
      <c r="O805" s="106"/>
      <c r="P805" s="68">
        <f>P90/'Terms and Turnovers'!$J$28</f>
        <v>0</v>
      </c>
      <c r="Q805" s="106"/>
      <c r="R805" s="129">
        <f t="shared" si="92"/>
        <v>0</v>
      </c>
      <c r="S805" s="106"/>
      <c r="T805" s="68">
        <f>T90/'Terms and Turnovers'!$O$28</f>
        <v>0</v>
      </c>
      <c r="U805" s="106"/>
      <c r="V805" s="68">
        <f>V90/'Terms and Turnovers'!$O$28</f>
        <v>0</v>
      </c>
      <c r="W805" s="106"/>
      <c r="X805" s="68">
        <f>X90/'Terms and Turnovers'!$O$28</f>
        <v>0</v>
      </c>
      <c r="Y805" s="106"/>
      <c r="Z805" s="68">
        <f>Z90/'Terms and Turnovers'!$O$28</f>
        <v>0</v>
      </c>
      <c r="AA805" s="106"/>
      <c r="AB805" s="68">
        <f>AB90/'Terms and Turnovers'!$O$28</f>
        <v>0</v>
      </c>
      <c r="AC805" s="106"/>
      <c r="AD805" s="68">
        <f>AD90/'Terms and Turnovers'!$O$28</f>
        <v>0</v>
      </c>
      <c r="AE805" s="106"/>
      <c r="AF805" s="129">
        <f t="shared" si="93"/>
        <v>0</v>
      </c>
      <c r="AG805" s="106"/>
      <c r="AH805" s="130">
        <f t="shared" si="94"/>
        <v>0</v>
      </c>
      <c r="AI805" s="106"/>
      <c r="AJ805" s="65"/>
      <c r="AK805" s="817">
        <f>R805*'Mark Up Validation'!$M$132</f>
        <v>0</v>
      </c>
      <c r="AL805" s="817">
        <f>AF805*'Mark Up Validation'!$S$132</f>
        <v>0</v>
      </c>
    </row>
    <row r="806" spans="1:38" ht="12" customHeight="1" outlineLevel="1">
      <c r="B806" s="82"/>
      <c r="C806" s="1234"/>
      <c r="D806" s="1234"/>
      <c r="E806" s="84" t="str">
        <f>'Terms and Turnovers'!$T$12</f>
        <v>ORIGINALS</v>
      </c>
      <c r="F806" s="70">
        <f>F91/'Terms and Turnovers'!$T$28</f>
        <v>0</v>
      </c>
      <c r="G806" s="728"/>
      <c r="H806" s="70">
        <f>H91/'Terms and Turnovers'!$T$28</f>
        <v>0</v>
      </c>
      <c r="I806" s="728"/>
      <c r="J806" s="70">
        <f>J91/'Terms and Turnovers'!$T$28</f>
        <v>0</v>
      </c>
      <c r="K806" s="728"/>
      <c r="L806" s="70">
        <f>L91/'Terms and Turnovers'!$T$28</f>
        <v>0</v>
      </c>
      <c r="M806" s="728"/>
      <c r="N806" s="70">
        <f>N91/'Terms and Turnovers'!$T$28</f>
        <v>0</v>
      </c>
      <c r="O806" s="728"/>
      <c r="P806" s="70">
        <f>P91/'Terms and Turnovers'!$T$28</f>
        <v>0</v>
      </c>
      <c r="Q806" s="728"/>
      <c r="R806" s="132">
        <f t="shared" si="92"/>
        <v>0</v>
      </c>
      <c r="S806" s="728"/>
      <c r="T806" s="70">
        <f>T91/'Terms and Turnovers'!$Y$28</f>
        <v>0</v>
      </c>
      <c r="U806" s="728"/>
      <c r="V806" s="70">
        <f>V91/'Terms and Turnovers'!$Y$28</f>
        <v>0</v>
      </c>
      <c r="W806" s="728"/>
      <c r="X806" s="70">
        <f>X91/'Terms and Turnovers'!$Y$28</f>
        <v>0</v>
      </c>
      <c r="Y806" s="728"/>
      <c r="Z806" s="70">
        <f>Z91/'Terms and Turnovers'!$Y$28</f>
        <v>0</v>
      </c>
      <c r="AA806" s="728"/>
      <c r="AB806" s="70">
        <f>AB91/'Terms and Turnovers'!$Y$28</f>
        <v>0</v>
      </c>
      <c r="AC806" s="728"/>
      <c r="AD806" s="70">
        <f>AD91/'Terms and Turnovers'!$Y$28</f>
        <v>0</v>
      </c>
      <c r="AE806" s="728"/>
      <c r="AF806" s="132">
        <f t="shared" si="93"/>
        <v>0</v>
      </c>
      <c r="AG806" s="728"/>
      <c r="AH806" s="133">
        <f t="shared" si="94"/>
        <v>0</v>
      </c>
      <c r="AI806" s="728"/>
      <c r="AJ806" s="65"/>
    </row>
    <row r="807" spans="1:38" ht="12.75" customHeight="1" outlineLevel="1">
      <c r="B807" s="82"/>
      <c r="C807" s="1234"/>
      <c r="D807" s="1234"/>
      <c r="E807" s="84" t="str">
        <f>'Terms and Turnovers'!$AD$12</f>
        <v>ACCESSORIES</v>
      </c>
      <c r="F807" s="70">
        <f>F92/'Terms and Turnovers'!$AD$28</f>
        <v>0</v>
      </c>
      <c r="G807" s="728"/>
      <c r="H807" s="70">
        <f>H92/'Terms and Turnovers'!$AD$28</f>
        <v>0</v>
      </c>
      <c r="I807" s="728"/>
      <c r="J807" s="70">
        <f>J92/'Terms and Turnovers'!$AD$28</f>
        <v>0</v>
      </c>
      <c r="K807" s="728"/>
      <c r="L807" s="70">
        <f>L92/'Terms and Turnovers'!$AD$28</f>
        <v>0</v>
      </c>
      <c r="M807" s="728"/>
      <c r="N807" s="70">
        <f>N92/'Terms and Turnovers'!$AD$28</f>
        <v>0</v>
      </c>
      <c r="O807" s="728"/>
      <c r="P807" s="70">
        <f>P92/'Terms and Turnovers'!$AD$28</f>
        <v>0</v>
      </c>
      <c r="Q807" s="728"/>
      <c r="R807" s="132">
        <f t="shared" si="92"/>
        <v>0</v>
      </c>
      <c r="S807" s="728"/>
      <c r="T807" s="70">
        <f>T92/'Terms and Turnovers'!$AI$28</f>
        <v>0</v>
      </c>
      <c r="U807" s="728"/>
      <c r="V807" s="70">
        <f>V92/'Terms and Turnovers'!$AI$28</f>
        <v>0</v>
      </c>
      <c r="W807" s="728"/>
      <c r="X807" s="70">
        <f>X92/'Terms and Turnovers'!$AI$28</f>
        <v>0</v>
      </c>
      <c r="Y807" s="728"/>
      <c r="Z807" s="70">
        <f>Z92/'Terms and Turnovers'!$AI$28</f>
        <v>0</v>
      </c>
      <c r="AA807" s="728"/>
      <c r="AB807" s="70">
        <f>AB92/'Terms and Turnovers'!$AI$28</f>
        <v>0</v>
      </c>
      <c r="AC807" s="728"/>
      <c r="AD807" s="70">
        <f>AD92/'Terms and Turnovers'!$AI$28</f>
        <v>0</v>
      </c>
      <c r="AE807" s="728"/>
      <c r="AF807" s="132">
        <f t="shared" si="93"/>
        <v>0</v>
      </c>
      <c r="AG807" s="728"/>
      <c r="AH807" s="133">
        <f t="shared" si="94"/>
        <v>0</v>
      </c>
      <c r="AI807" s="728"/>
      <c r="AJ807" s="65"/>
    </row>
    <row r="808" spans="1:38" ht="12.75" customHeight="1" outlineLevel="1">
      <c r="B808" s="82"/>
      <c r="C808" s="1234"/>
      <c r="D808" s="1234"/>
      <c r="E808" s="84">
        <f>'Terms and Turnovers'!$AN$12</f>
        <v>0</v>
      </c>
      <c r="F808" s="70">
        <f>F93/'Terms and Turnovers'!$AN$28</f>
        <v>0</v>
      </c>
      <c r="G808" s="728"/>
      <c r="H808" s="70">
        <f>H93/'Terms and Turnovers'!$AN$28</f>
        <v>0</v>
      </c>
      <c r="I808" s="728"/>
      <c r="J808" s="70">
        <f>J93/'Terms and Turnovers'!$AN$28</f>
        <v>0</v>
      </c>
      <c r="K808" s="728"/>
      <c r="L808" s="70">
        <f>L93/'Terms and Turnovers'!$AN$28</f>
        <v>0</v>
      </c>
      <c r="M808" s="728"/>
      <c r="N808" s="70">
        <f>N93/'Terms and Turnovers'!$AN$28</f>
        <v>0</v>
      </c>
      <c r="O808" s="728"/>
      <c r="P808" s="70">
        <f>P93/'Terms and Turnovers'!$AN$28</f>
        <v>0</v>
      </c>
      <c r="Q808" s="728"/>
      <c r="R808" s="132">
        <f t="shared" si="92"/>
        <v>0</v>
      </c>
      <c r="S808" s="728"/>
      <c r="T808" s="70">
        <f>T93/'Terms and Turnovers'!$AS$28</f>
        <v>0</v>
      </c>
      <c r="U808" s="728"/>
      <c r="V808" s="70">
        <f>V93/'Terms and Turnovers'!$AS$28</f>
        <v>0</v>
      </c>
      <c r="W808" s="728"/>
      <c r="X808" s="70">
        <f>X93/'Terms and Turnovers'!$AS$28</f>
        <v>0</v>
      </c>
      <c r="Y808" s="728"/>
      <c r="Z808" s="70">
        <f>Z93/'Terms and Turnovers'!$AS$28</f>
        <v>0</v>
      </c>
      <c r="AA808" s="728"/>
      <c r="AB808" s="70">
        <f>AB93/'Terms and Turnovers'!$AS$28</f>
        <v>0</v>
      </c>
      <c r="AC808" s="728"/>
      <c r="AD808" s="70">
        <f>AD93/'Terms and Turnovers'!$AS$28</f>
        <v>0</v>
      </c>
      <c r="AE808" s="728"/>
      <c r="AF808" s="132">
        <f t="shared" si="93"/>
        <v>0</v>
      </c>
      <c r="AG808" s="728"/>
      <c r="AH808" s="133">
        <f t="shared" si="94"/>
        <v>0</v>
      </c>
      <c r="AI808" s="728"/>
      <c r="AJ808" s="65"/>
    </row>
    <row r="809" spans="1:38" ht="13.5" customHeight="1" outlineLevel="1" thickBot="1">
      <c r="B809" s="82"/>
      <c r="C809" s="1235"/>
      <c r="D809" s="1235"/>
      <c r="E809" s="85">
        <f>'Terms and Turnovers'!$AX$12</f>
        <v>0</v>
      </c>
      <c r="F809" s="70">
        <f>F94/'Terms and Turnovers'!$AX28</f>
        <v>0</v>
      </c>
      <c r="G809" s="107"/>
      <c r="H809" s="70">
        <f>H94/'Terms and Turnovers'!$AX28</f>
        <v>0</v>
      </c>
      <c r="I809" s="107"/>
      <c r="J809" s="70">
        <f>J94/'Terms and Turnovers'!$AX28</f>
        <v>0</v>
      </c>
      <c r="K809" s="107"/>
      <c r="L809" s="70">
        <f>L94/'Terms and Turnovers'!$AX28</f>
        <v>0</v>
      </c>
      <c r="M809" s="107"/>
      <c r="N809" s="70">
        <f>N94/'Terms and Turnovers'!$AX28</f>
        <v>0</v>
      </c>
      <c r="O809" s="107"/>
      <c r="P809" s="70">
        <f>P94/'Terms and Turnovers'!$AX28</f>
        <v>0</v>
      </c>
      <c r="Q809" s="107"/>
      <c r="R809" s="135">
        <f t="shared" ref="R809:R898" si="95">SUM(F809,H809,J809,L809,N809,P809)</f>
        <v>0</v>
      </c>
      <c r="S809" s="107"/>
      <c r="T809" s="70">
        <f>T94/'Terms and Turnovers'!$AX$28</f>
        <v>0</v>
      </c>
      <c r="U809" s="107"/>
      <c r="V809" s="70">
        <f>V94/'Terms and Turnovers'!$AX$28</f>
        <v>0</v>
      </c>
      <c r="W809" s="107"/>
      <c r="X809" s="70">
        <f>X94/'Terms and Turnovers'!$AX$28</f>
        <v>0</v>
      </c>
      <c r="Y809" s="107"/>
      <c r="Z809" s="70">
        <f>Z94/'Terms and Turnovers'!$AX$28</f>
        <v>0</v>
      </c>
      <c r="AA809" s="107"/>
      <c r="AB809" s="70">
        <f>AB94/'Terms and Turnovers'!$AX$28</f>
        <v>0</v>
      </c>
      <c r="AC809" s="107"/>
      <c r="AD809" s="70">
        <f>AD94/'Terms and Turnovers'!$AX$28</f>
        <v>0</v>
      </c>
      <c r="AE809" s="107"/>
      <c r="AF809" s="135">
        <f t="shared" ref="AF809:AF898" si="96">SUM(T809,V809,X809,Z809,AB809,AD809)</f>
        <v>0</v>
      </c>
      <c r="AG809" s="107"/>
      <c r="AH809" s="136">
        <f t="shared" si="94"/>
        <v>0</v>
      </c>
      <c r="AI809" s="107"/>
      <c r="AJ809" s="65"/>
    </row>
    <row r="810" spans="1:38" ht="13.5" customHeight="1" outlineLevel="1">
      <c r="B810" s="82"/>
      <c r="C810" s="425"/>
      <c r="D810" s="425"/>
      <c r="E810" s="634"/>
      <c r="F810" s="635"/>
      <c r="G810" s="428"/>
      <c r="H810" s="635"/>
      <c r="I810" s="428"/>
      <c r="J810" s="635"/>
      <c r="K810" s="636"/>
      <c r="L810" s="635"/>
      <c r="M810" s="636"/>
      <c r="N810" s="635"/>
      <c r="O810" s="636"/>
      <c r="P810" s="635"/>
      <c r="Q810" s="636"/>
      <c r="R810" s="637"/>
      <c r="S810" s="698">
        <f>SUM(R90:R94)/1.18-(SUM(R805:R809)*'Mark Up Validation'!$M$175)</f>
        <v>0</v>
      </c>
      <c r="T810" s="635"/>
      <c r="U810" s="636"/>
      <c r="V810" s="635"/>
      <c r="W810" s="636"/>
      <c r="X810" s="635"/>
      <c r="Y810" s="636"/>
      <c r="Z810" s="635"/>
      <c r="AA810" s="636"/>
      <c r="AB810" s="635"/>
      <c r="AC810" s="636"/>
      <c r="AD810" s="635"/>
      <c r="AE810" s="636"/>
      <c r="AF810" s="637"/>
      <c r="AG810" s="698">
        <f>SUM(AF90:AF94)/1.18-SUM(AF805:AF809)*'Mark Up Validation'!$M$175</f>
        <v>0</v>
      </c>
      <c r="AH810" s="638"/>
      <c r="AI810" s="698">
        <f>SUM(AH90:AH94)/1.18-SUM(AH805:AH809)*'Mark Up Validation'!$M$175</f>
        <v>0</v>
      </c>
      <c r="AJ810" s="65"/>
    </row>
    <row r="811" spans="1:38" ht="13.5" customHeight="1" outlineLevel="1" thickBot="1">
      <c r="B811" s="82"/>
      <c r="C811" s="940" t="s">
        <v>487</v>
      </c>
      <c r="D811" s="968"/>
      <c r="E811" s="699"/>
      <c r="F811" s="700"/>
      <c r="G811" s="701"/>
      <c r="H811" s="700"/>
      <c r="I811" s="701"/>
      <c r="J811" s="700"/>
      <c r="K811" s="702"/>
      <c r="L811" s="700"/>
      <c r="M811" s="702"/>
      <c r="N811" s="700"/>
      <c r="O811" s="702"/>
      <c r="P811" s="700"/>
      <c r="Q811" s="702"/>
      <c r="R811" s="703"/>
      <c r="S811" s="729">
        <f>IF(S810&gt;0,S810/(SUM(R90:R94)/1.18),0)</f>
        <v>0</v>
      </c>
      <c r="T811" s="704"/>
      <c r="U811" s="702"/>
      <c r="V811" s="700"/>
      <c r="W811" s="702"/>
      <c r="X811" s="700"/>
      <c r="Y811" s="702"/>
      <c r="Z811" s="700"/>
      <c r="AA811" s="702"/>
      <c r="AB811" s="700"/>
      <c r="AC811" s="702"/>
      <c r="AD811" s="700"/>
      <c r="AE811" s="702"/>
      <c r="AF811" s="705"/>
      <c r="AG811" s="729">
        <f>IF(AG810&gt;0,AG810/(SUM(AF90:AF94)/1.18),0)</f>
        <v>0</v>
      </c>
      <c r="AH811" s="706"/>
      <c r="AI811" s="729">
        <f>IF(AI810&gt;0,AI810/(SUM(AH90:AH94)/1.18),0)</f>
        <v>0</v>
      </c>
      <c r="AJ811" s="65"/>
    </row>
    <row r="812" spans="1:38" ht="12.75" customHeight="1" outlineLevel="1">
      <c r="B812" s="82">
        <f>B805+1</f>
        <v>14</v>
      </c>
      <c r="C812" s="1233">
        <f>C97</f>
        <v>0</v>
      </c>
      <c r="D812" s="1233">
        <f>D97</f>
        <v>0</v>
      </c>
      <c r="E812" s="83" t="str">
        <f>'Terms and Turnovers'!$J$12</f>
        <v>FLIP-FLOPS</v>
      </c>
      <c r="F812" s="68">
        <f>F97/'Terms and Turnovers'!$J29</f>
        <v>0</v>
      </c>
      <c r="G812" s="106"/>
      <c r="H812" s="68">
        <f>H97/'Terms and Turnovers'!$J29</f>
        <v>0</v>
      </c>
      <c r="I812" s="106"/>
      <c r="J812" s="68">
        <f>J97/'Terms and Turnovers'!$J29</f>
        <v>0</v>
      </c>
      <c r="K812" s="106"/>
      <c r="L812" s="68">
        <f>L97/'Terms and Turnovers'!$J29</f>
        <v>0</v>
      </c>
      <c r="M812" s="106"/>
      <c r="N812" s="68">
        <f>N97/'Terms and Turnovers'!$J29</f>
        <v>0</v>
      </c>
      <c r="O812" s="106"/>
      <c r="P812" s="68">
        <f>P97/'Terms and Turnovers'!$J29</f>
        <v>0</v>
      </c>
      <c r="Q812" s="106"/>
      <c r="R812" s="129">
        <f t="shared" si="95"/>
        <v>0</v>
      </c>
      <c r="S812" s="106"/>
      <c r="T812" s="68">
        <f>T97/'Terms and Turnovers'!$O29</f>
        <v>0</v>
      </c>
      <c r="U812" s="106"/>
      <c r="V812" s="68">
        <f>V97/'Terms and Turnovers'!$O29</f>
        <v>0</v>
      </c>
      <c r="W812" s="106"/>
      <c r="X812" s="68">
        <f>X97/'Terms and Turnovers'!$O29</f>
        <v>0</v>
      </c>
      <c r="Y812" s="106"/>
      <c r="Z812" s="68">
        <f>Z97/'Terms and Turnovers'!$O29</f>
        <v>0</v>
      </c>
      <c r="AA812" s="106"/>
      <c r="AB812" s="68">
        <f>AB97/'Terms and Turnovers'!$O29</f>
        <v>0</v>
      </c>
      <c r="AC812" s="106"/>
      <c r="AD812" s="68">
        <f>AD97/'Terms and Turnovers'!$O29</f>
        <v>0</v>
      </c>
      <c r="AE812" s="106"/>
      <c r="AF812" s="129">
        <f t="shared" si="96"/>
        <v>0</v>
      </c>
      <c r="AG812" s="106"/>
      <c r="AH812" s="130">
        <f t="shared" ref="AH812:AH899" si="97">SUM(AF812,R812)</f>
        <v>0</v>
      </c>
      <c r="AI812" s="106"/>
      <c r="AJ812" s="65"/>
      <c r="AK812" s="817">
        <f>R812*'Mark Up Validation'!$M$132</f>
        <v>0</v>
      </c>
      <c r="AL812" s="817">
        <f>AF812*'Mark Up Validation'!$S$132</f>
        <v>0</v>
      </c>
    </row>
    <row r="813" spans="1:38" ht="12.75" customHeight="1" outlineLevel="1">
      <c r="B813" s="82"/>
      <c r="C813" s="1234"/>
      <c r="D813" s="1234"/>
      <c r="E813" s="84" t="str">
        <f>'Terms and Turnovers'!$T$12</f>
        <v>ORIGINALS</v>
      </c>
      <c r="F813" s="70">
        <f>F98/'Terms and Turnovers'!$T29</f>
        <v>0</v>
      </c>
      <c r="G813" s="728"/>
      <c r="H813" s="70">
        <f>H98/'Terms and Turnovers'!$T29</f>
        <v>0</v>
      </c>
      <c r="I813" s="728"/>
      <c r="J813" s="70">
        <f>J98/'Terms and Turnovers'!$T29</f>
        <v>0</v>
      </c>
      <c r="K813" s="728"/>
      <c r="L813" s="70">
        <f>L98/'Terms and Turnovers'!$T29</f>
        <v>0</v>
      </c>
      <c r="M813" s="728"/>
      <c r="N813" s="70">
        <f>N98/'Terms and Turnovers'!$T29</f>
        <v>0</v>
      </c>
      <c r="O813" s="728"/>
      <c r="P813" s="70">
        <f>P98/'Terms and Turnovers'!$T29</f>
        <v>0</v>
      </c>
      <c r="Q813" s="728"/>
      <c r="R813" s="132">
        <f t="shared" si="95"/>
        <v>0</v>
      </c>
      <c r="S813" s="728"/>
      <c r="T813" s="70">
        <f>T98/'Terms and Turnovers'!$Y29</f>
        <v>0</v>
      </c>
      <c r="U813" s="728"/>
      <c r="V813" s="70">
        <f>V98/'Terms and Turnovers'!$Y29</f>
        <v>0</v>
      </c>
      <c r="W813" s="728"/>
      <c r="X813" s="70">
        <f>X98/'Terms and Turnovers'!$Y29</f>
        <v>0</v>
      </c>
      <c r="Y813" s="728"/>
      <c r="Z813" s="70">
        <f>Z98/'Terms and Turnovers'!$Y29</f>
        <v>0</v>
      </c>
      <c r="AA813" s="728"/>
      <c r="AB813" s="70">
        <f>AB98/'Terms and Turnovers'!$Y29</f>
        <v>0</v>
      </c>
      <c r="AC813" s="728"/>
      <c r="AD813" s="70">
        <f>AD98/'Terms and Turnovers'!$Y29</f>
        <v>0</v>
      </c>
      <c r="AE813" s="728"/>
      <c r="AF813" s="132">
        <f t="shared" si="96"/>
        <v>0</v>
      </c>
      <c r="AG813" s="728"/>
      <c r="AH813" s="133">
        <f t="shared" si="97"/>
        <v>0</v>
      </c>
      <c r="AI813" s="728"/>
      <c r="AJ813" s="65"/>
    </row>
    <row r="814" spans="1:38" ht="12.75" customHeight="1" outlineLevel="1">
      <c r="B814" s="82"/>
      <c r="C814" s="1234"/>
      <c r="D814" s="1234"/>
      <c r="E814" s="84" t="str">
        <f>'Terms and Turnovers'!$AD$12</f>
        <v>ACCESSORIES</v>
      </c>
      <c r="F814" s="70">
        <f>F99/'Terms and Turnovers'!$AD29</f>
        <v>0</v>
      </c>
      <c r="G814" s="728"/>
      <c r="H814" s="70">
        <f>H99/'Terms and Turnovers'!$AD29</f>
        <v>0</v>
      </c>
      <c r="I814" s="728"/>
      <c r="J814" s="70">
        <f>J99/'Terms and Turnovers'!$AD29</f>
        <v>0</v>
      </c>
      <c r="K814" s="728"/>
      <c r="L814" s="70">
        <f>L99/'Terms and Turnovers'!$AD29</f>
        <v>0</v>
      </c>
      <c r="M814" s="728"/>
      <c r="N814" s="70">
        <f>N99/'Terms and Turnovers'!$AD29</f>
        <v>0</v>
      </c>
      <c r="O814" s="728"/>
      <c r="P814" s="70">
        <f>P99/'Terms and Turnovers'!$AD29</f>
        <v>0</v>
      </c>
      <c r="Q814" s="728"/>
      <c r="R814" s="132">
        <f t="shared" si="95"/>
        <v>0</v>
      </c>
      <c r="S814" s="728"/>
      <c r="T814" s="70">
        <f>T99/'Terms and Turnovers'!$AI29</f>
        <v>0</v>
      </c>
      <c r="U814" s="728"/>
      <c r="V814" s="70">
        <f>V99/'Terms and Turnovers'!$AI29</f>
        <v>0</v>
      </c>
      <c r="W814" s="728"/>
      <c r="X814" s="70">
        <f>X99/'Terms and Turnovers'!$AI29</f>
        <v>0</v>
      </c>
      <c r="Y814" s="728"/>
      <c r="Z814" s="70">
        <f>Z99/'Terms and Turnovers'!$AI29</f>
        <v>0</v>
      </c>
      <c r="AA814" s="728"/>
      <c r="AB814" s="70">
        <f>AB99/'Terms and Turnovers'!$AI29</f>
        <v>0</v>
      </c>
      <c r="AC814" s="728"/>
      <c r="AD814" s="70">
        <f>AD99/'Terms and Turnovers'!$AI29</f>
        <v>0</v>
      </c>
      <c r="AE814" s="728"/>
      <c r="AF814" s="132">
        <f t="shared" si="96"/>
        <v>0</v>
      </c>
      <c r="AG814" s="728"/>
      <c r="AH814" s="133">
        <f t="shared" si="97"/>
        <v>0</v>
      </c>
      <c r="AI814" s="728"/>
      <c r="AJ814" s="65"/>
    </row>
    <row r="815" spans="1:38" ht="12.75" customHeight="1" outlineLevel="1">
      <c r="B815" s="82"/>
      <c r="C815" s="1234"/>
      <c r="D815" s="1234"/>
      <c r="E815" s="84">
        <f>'Terms and Turnovers'!$AN$12</f>
        <v>0</v>
      </c>
      <c r="F815" s="70">
        <f>F100/'Terms and Turnovers'!$AN29</f>
        <v>0</v>
      </c>
      <c r="G815" s="728"/>
      <c r="H815" s="70">
        <f>H100/'Terms and Turnovers'!$AN29</f>
        <v>0</v>
      </c>
      <c r="I815" s="728"/>
      <c r="J815" s="70">
        <f>J100/'Terms and Turnovers'!$AN29</f>
        <v>0</v>
      </c>
      <c r="K815" s="728"/>
      <c r="L815" s="70">
        <f>L100/'Terms and Turnovers'!$AN29</f>
        <v>0</v>
      </c>
      <c r="M815" s="728"/>
      <c r="N815" s="70">
        <f>N100/'Terms and Turnovers'!$AN29</f>
        <v>0</v>
      </c>
      <c r="O815" s="728"/>
      <c r="P815" s="70">
        <f>P100/'Terms and Turnovers'!$AN29</f>
        <v>0</v>
      </c>
      <c r="Q815" s="728"/>
      <c r="R815" s="132">
        <f t="shared" si="95"/>
        <v>0</v>
      </c>
      <c r="S815" s="728"/>
      <c r="T815" s="70">
        <f>T100/'Terms and Turnovers'!$AS29</f>
        <v>0</v>
      </c>
      <c r="U815" s="728"/>
      <c r="V815" s="70">
        <f>V100/'Terms and Turnovers'!$AS29</f>
        <v>0</v>
      </c>
      <c r="W815" s="728"/>
      <c r="X815" s="70">
        <f>X100/'Terms and Turnovers'!$AS29</f>
        <v>0</v>
      </c>
      <c r="Y815" s="728"/>
      <c r="Z815" s="70">
        <f>Z100/'Terms and Turnovers'!$AS29</f>
        <v>0</v>
      </c>
      <c r="AA815" s="728"/>
      <c r="AB815" s="70">
        <f>AB100/'Terms and Turnovers'!$AS29</f>
        <v>0</v>
      </c>
      <c r="AC815" s="728"/>
      <c r="AD815" s="70">
        <f>AD100/'Terms and Turnovers'!$AS29</f>
        <v>0</v>
      </c>
      <c r="AE815" s="728"/>
      <c r="AF815" s="132">
        <f t="shared" si="96"/>
        <v>0</v>
      </c>
      <c r="AG815" s="728"/>
      <c r="AH815" s="133">
        <f t="shared" si="97"/>
        <v>0</v>
      </c>
      <c r="AI815" s="728"/>
      <c r="AJ815" s="65"/>
    </row>
    <row r="816" spans="1:38" ht="13.5" customHeight="1" outlineLevel="1" thickBot="1">
      <c r="B816" s="82"/>
      <c r="C816" s="1235"/>
      <c r="D816" s="1235"/>
      <c r="E816" s="85">
        <f>'Terms and Turnovers'!$AX$12</f>
        <v>0</v>
      </c>
      <c r="F816" s="70">
        <f>F101/'Terms and Turnovers'!$AX29</f>
        <v>0</v>
      </c>
      <c r="G816" s="107"/>
      <c r="H816" s="70">
        <f>H101/'Terms and Turnovers'!$AX29</f>
        <v>0</v>
      </c>
      <c r="I816" s="107"/>
      <c r="J816" s="70">
        <f>J101/'Terms and Turnovers'!$AX29</f>
        <v>0</v>
      </c>
      <c r="K816" s="107"/>
      <c r="L816" s="70">
        <f>L101/'Terms and Turnovers'!$AX29</f>
        <v>0</v>
      </c>
      <c r="M816" s="107"/>
      <c r="N816" s="70">
        <f>N101/'Terms and Turnovers'!$AX29</f>
        <v>0</v>
      </c>
      <c r="O816" s="107"/>
      <c r="P816" s="70">
        <f>P101/'Terms and Turnovers'!$AX29</f>
        <v>0</v>
      </c>
      <c r="Q816" s="107"/>
      <c r="R816" s="135">
        <f t="shared" si="95"/>
        <v>0</v>
      </c>
      <c r="S816" s="107"/>
      <c r="T816" s="70">
        <f>T101/'Terms and Turnovers'!$AX$29</f>
        <v>0</v>
      </c>
      <c r="U816" s="107"/>
      <c r="V816" s="70">
        <f>V101/'Terms and Turnovers'!$AX$29</f>
        <v>0</v>
      </c>
      <c r="W816" s="107"/>
      <c r="X816" s="70">
        <f>X101/'Terms and Turnovers'!$AX$29</f>
        <v>0</v>
      </c>
      <c r="Y816" s="107"/>
      <c r="Z816" s="70">
        <f>Z101/'Terms and Turnovers'!$AX$29</f>
        <v>0</v>
      </c>
      <c r="AA816" s="107"/>
      <c r="AB816" s="70">
        <f>AB101/'Terms and Turnovers'!$AX$29</f>
        <v>0</v>
      </c>
      <c r="AC816" s="107"/>
      <c r="AD816" s="70">
        <f>AD101/'Terms and Turnovers'!$AX$29</f>
        <v>0</v>
      </c>
      <c r="AE816" s="107"/>
      <c r="AF816" s="135">
        <f t="shared" si="96"/>
        <v>0</v>
      </c>
      <c r="AG816" s="107"/>
      <c r="AH816" s="136">
        <f t="shared" si="97"/>
        <v>0</v>
      </c>
      <c r="AI816" s="107"/>
      <c r="AJ816" s="65"/>
    </row>
    <row r="817" spans="2:36" ht="13.5" customHeight="1" outlineLevel="1">
      <c r="B817" s="82"/>
      <c r="C817" s="425"/>
      <c r="D817" s="425"/>
      <c r="E817" s="634"/>
      <c r="F817" s="635"/>
      <c r="G817" s="428"/>
      <c r="H817" s="635"/>
      <c r="I817" s="428"/>
      <c r="J817" s="635"/>
      <c r="K817" s="636"/>
      <c r="L817" s="635"/>
      <c r="M817" s="636"/>
      <c r="N817" s="635"/>
      <c r="O817" s="636"/>
      <c r="P817" s="635"/>
      <c r="Q817" s="636"/>
      <c r="R817" s="637"/>
      <c r="S817" s="698">
        <f>SUM(R97:R101)/1.18-(SUM(R812:R816)*'Mark Up Validation'!$M$175)</f>
        <v>0</v>
      </c>
      <c r="T817" s="635"/>
      <c r="U817" s="636"/>
      <c r="V817" s="635"/>
      <c r="W817" s="636"/>
      <c r="X817" s="635"/>
      <c r="Y817" s="636"/>
      <c r="Z817" s="635"/>
      <c r="AA817" s="636"/>
      <c r="AB817" s="635"/>
      <c r="AC817" s="636"/>
      <c r="AD817" s="635"/>
      <c r="AE817" s="636"/>
      <c r="AF817" s="637"/>
      <c r="AG817" s="698">
        <f>SUM(AF97:AF101)/1.18-SUM(AF812:AF816)*'Mark Up Validation'!$M$175</f>
        <v>0</v>
      </c>
      <c r="AH817" s="638"/>
      <c r="AI817" s="698">
        <f>SUM(AH97:AH101)/1.18-SUM(AH812:AH816)*'Mark Up Validation'!$M$175</f>
        <v>0</v>
      </c>
      <c r="AJ817" s="65"/>
    </row>
    <row r="818" spans="2:36" ht="13.5" customHeight="1" outlineLevel="1" thickBot="1">
      <c r="B818" s="82"/>
      <c r="C818" s="940" t="s">
        <v>487</v>
      </c>
      <c r="D818" s="968"/>
      <c r="E818" s="699"/>
      <c r="F818" s="700"/>
      <c r="G818" s="701"/>
      <c r="H818" s="700"/>
      <c r="I818" s="701"/>
      <c r="J818" s="700"/>
      <c r="K818" s="702"/>
      <c r="L818" s="700"/>
      <c r="M818" s="702"/>
      <c r="N818" s="700"/>
      <c r="O818" s="702"/>
      <c r="P818" s="700"/>
      <c r="Q818" s="702"/>
      <c r="R818" s="703"/>
      <c r="S818" s="729">
        <f>IF(S817&gt;0,S817/(SUM(R97:R101)/1.18),0)</f>
        <v>0</v>
      </c>
      <c r="T818" s="704"/>
      <c r="U818" s="702"/>
      <c r="V818" s="700"/>
      <c r="W818" s="702"/>
      <c r="X818" s="700"/>
      <c r="Y818" s="702"/>
      <c r="Z818" s="700"/>
      <c r="AA818" s="702"/>
      <c r="AB818" s="700"/>
      <c r="AC818" s="702"/>
      <c r="AD818" s="700"/>
      <c r="AE818" s="702"/>
      <c r="AF818" s="705"/>
      <c r="AG818" s="729">
        <f>IF(AG817&gt;0,AG817/(SUM(AF97:AF101)/1.18),0)</f>
        <v>0</v>
      </c>
      <c r="AH818" s="706"/>
      <c r="AI818" s="729">
        <f>IF(AI817&gt;0,AI817/(SUM(AH97:AH101)/1.18),0)</f>
        <v>0</v>
      </c>
      <c r="AJ818" s="65"/>
    </row>
    <row r="819" spans="2:36" ht="12.75" customHeight="1" outlineLevel="1">
      <c r="B819" s="82">
        <f>B812+1</f>
        <v>15</v>
      </c>
      <c r="C819" s="1233">
        <f>C104</f>
        <v>0</v>
      </c>
      <c r="D819" s="1233">
        <f>D104</f>
        <v>0</v>
      </c>
      <c r="E819" s="83" t="str">
        <f>'Terms and Turnovers'!$J$12</f>
        <v>FLIP-FLOPS</v>
      </c>
      <c r="F819" s="68">
        <f>F104/'Terms and Turnovers'!$J30</f>
        <v>0</v>
      </c>
      <c r="G819" s="106"/>
      <c r="H819" s="68">
        <f>H104/'Terms and Turnovers'!$J30</f>
        <v>0</v>
      </c>
      <c r="I819" s="106"/>
      <c r="J819" s="68">
        <f>J104/'Terms and Turnovers'!$J30</f>
        <v>0</v>
      </c>
      <c r="K819" s="106"/>
      <c r="L819" s="68">
        <f>L104/'Terms and Turnovers'!$J30</f>
        <v>0</v>
      </c>
      <c r="M819" s="106"/>
      <c r="N819" s="68">
        <f>N104/'Terms and Turnovers'!$J30</f>
        <v>0</v>
      </c>
      <c r="O819" s="106"/>
      <c r="P819" s="68">
        <f>P104/'Terms and Turnovers'!$J30</f>
        <v>0</v>
      </c>
      <c r="Q819" s="106"/>
      <c r="R819" s="129">
        <f t="shared" si="95"/>
        <v>0</v>
      </c>
      <c r="S819" s="106"/>
      <c r="T819" s="68">
        <f>T104/'Terms and Turnovers'!$O30</f>
        <v>0</v>
      </c>
      <c r="U819" s="106"/>
      <c r="V819" s="68">
        <f>V104/'Terms and Turnovers'!$O30</f>
        <v>0</v>
      </c>
      <c r="W819" s="106"/>
      <c r="X819" s="68">
        <f>X104/'Terms and Turnovers'!$O30</f>
        <v>0</v>
      </c>
      <c r="Y819" s="106"/>
      <c r="Z819" s="68">
        <f>Z104/'Terms and Turnovers'!$O30</f>
        <v>0</v>
      </c>
      <c r="AA819" s="106"/>
      <c r="AB819" s="68">
        <f>AB104/'Terms and Turnovers'!$O30</f>
        <v>0</v>
      </c>
      <c r="AC819" s="106"/>
      <c r="AD819" s="68">
        <f>AD104/'Terms and Turnovers'!$O30</f>
        <v>0</v>
      </c>
      <c r="AE819" s="106"/>
      <c r="AF819" s="129">
        <f t="shared" si="96"/>
        <v>0</v>
      </c>
      <c r="AG819" s="106"/>
      <c r="AH819" s="130">
        <f t="shared" si="97"/>
        <v>0</v>
      </c>
      <c r="AI819" s="106"/>
      <c r="AJ819" s="65"/>
    </row>
    <row r="820" spans="2:36" ht="12.75" customHeight="1" outlineLevel="1">
      <c r="B820" s="82"/>
      <c r="C820" s="1234"/>
      <c r="D820" s="1234"/>
      <c r="E820" s="84" t="str">
        <f>'Terms and Turnovers'!$T$12</f>
        <v>ORIGINALS</v>
      </c>
      <c r="F820" s="70">
        <f>F105/'Terms and Turnovers'!$T30</f>
        <v>0</v>
      </c>
      <c r="G820" s="728"/>
      <c r="H820" s="70">
        <f>H105/'Terms and Turnovers'!$T30</f>
        <v>0</v>
      </c>
      <c r="I820" s="728"/>
      <c r="J820" s="70">
        <f>J105/'Terms and Turnovers'!$T30</f>
        <v>0</v>
      </c>
      <c r="K820" s="728"/>
      <c r="L820" s="70">
        <f>L105/'Terms and Turnovers'!$T30</f>
        <v>0</v>
      </c>
      <c r="M820" s="728"/>
      <c r="N820" s="70">
        <f>N105/'Terms and Turnovers'!$T30</f>
        <v>0</v>
      </c>
      <c r="O820" s="728"/>
      <c r="P820" s="70">
        <f>P105/'Terms and Turnovers'!$T30</f>
        <v>0</v>
      </c>
      <c r="Q820" s="728"/>
      <c r="R820" s="132">
        <f t="shared" si="95"/>
        <v>0</v>
      </c>
      <c r="S820" s="728"/>
      <c r="T820" s="70">
        <f>T105/'Terms and Turnovers'!$Y30</f>
        <v>0</v>
      </c>
      <c r="U820" s="728"/>
      <c r="V820" s="70">
        <f>V105/'Terms and Turnovers'!$Y30</f>
        <v>0</v>
      </c>
      <c r="W820" s="728"/>
      <c r="X820" s="70">
        <f>X105/'Terms and Turnovers'!$Y30</f>
        <v>0</v>
      </c>
      <c r="Y820" s="728"/>
      <c r="Z820" s="70">
        <f>Z105/'Terms and Turnovers'!$Y30</f>
        <v>0</v>
      </c>
      <c r="AA820" s="728"/>
      <c r="AB820" s="70">
        <f>AB105/'Terms and Turnovers'!$Y30</f>
        <v>0</v>
      </c>
      <c r="AC820" s="728"/>
      <c r="AD820" s="70">
        <f>AD105/'Terms and Turnovers'!$Y30</f>
        <v>0</v>
      </c>
      <c r="AE820" s="728"/>
      <c r="AF820" s="132">
        <f t="shared" si="96"/>
        <v>0</v>
      </c>
      <c r="AG820" s="728"/>
      <c r="AH820" s="133">
        <f t="shared" si="97"/>
        <v>0</v>
      </c>
      <c r="AI820" s="728"/>
      <c r="AJ820" s="65"/>
    </row>
    <row r="821" spans="2:36" ht="12.75" customHeight="1" outlineLevel="1">
      <c r="B821" s="82"/>
      <c r="C821" s="1234"/>
      <c r="D821" s="1234"/>
      <c r="E821" s="84" t="str">
        <f>'Terms and Turnovers'!$AD$12</f>
        <v>ACCESSORIES</v>
      </c>
      <c r="F821" s="70">
        <f>F106/'Terms and Turnovers'!$AD30</f>
        <v>0</v>
      </c>
      <c r="G821" s="728"/>
      <c r="H821" s="70">
        <f>H106/'Terms and Turnovers'!$AD30</f>
        <v>0</v>
      </c>
      <c r="I821" s="728"/>
      <c r="J821" s="70">
        <f>J106/'Terms and Turnovers'!$AD30</f>
        <v>0</v>
      </c>
      <c r="K821" s="728"/>
      <c r="L821" s="70">
        <f>L106/'Terms and Turnovers'!$AD30</f>
        <v>0</v>
      </c>
      <c r="M821" s="728"/>
      <c r="N821" s="70">
        <f>N106/'Terms and Turnovers'!$AD30</f>
        <v>0</v>
      </c>
      <c r="O821" s="728"/>
      <c r="P821" s="70">
        <f>P106/'Terms and Turnovers'!$AD30</f>
        <v>0</v>
      </c>
      <c r="Q821" s="728"/>
      <c r="R821" s="132">
        <f t="shared" si="95"/>
        <v>0</v>
      </c>
      <c r="S821" s="728"/>
      <c r="T821" s="70">
        <f>T106/'Terms and Turnovers'!$AI30</f>
        <v>0</v>
      </c>
      <c r="U821" s="728"/>
      <c r="V821" s="70">
        <f>V106/'Terms and Turnovers'!$AI30</f>
        <v>0</v>
      </c>
      <c r="W821" s="728"/>
      <c r="X821" s="70">
        <f>X106/'Terms and Turnovers'!$AI30</f>
        <v>0</v>
      </c>
      <c r="Y821" s="728"/>
      <c r="Z821" s="70">
        <f>Z106/'Terms and Turnovers'!$AI30</f>
        <v>0</v>
      </c>
      <c r="AA821" s="728"/>
      <c r="AB821" s="70">
        <f>AB106/'Terms and Turnovers'!$AI30</f>
        <v>0</v>
      </c>
      <c r="AC821" s="728"/>
      <c r="AD821" s="70">
        <f>AD106/'Terms and Turnovers'!$AI30</f>
        <v>0</v>
      </c>
      <c r="AE821" s="728"/>
      <c r="AF821" s="132">
        <f t="shared" si="96"/>
        <v>0</v>
      </c>
      <c r="AG821" s="728"/>
      <c r="AH821" s="133">
        <f t="shared" si="97"/>
        <v>0</v>
      </c>
      <c r="AI821" s="728"/>
      <c r="AJ821" s="65"/>
    </row>
    <row r="822" spans="2:36" ht="12.75" customHeight="1" outlineLevel="1">
      <c r="B822" s="82"/>
      <c r="C822" s="1234"/>
      <c r="D822" s="1234"/>
      <c r="E822" s="84">
        <f>'Terms and Turnovers'!$AN$12</f>
        <v>0</v>
      </c>
      <c r="F822" s="70">
        <f>F107/'Terms and Turnovers'!$AN30</f>
        <v>0</v>
      </c>
      <c r="G822" s="728"/>
      <c r="H822" s="70">
        <f>H107/'Terms and Turnovers'!$AN30</f>
        <v>0</v>
      </c>
      <c r="I822" s="728"/>
      <c r="J822" s="70">
        <f>J107/'Terms and Turnovers'!$AN30</f>
        <v>0</v>
      </c>
      <c r="K822" s="728"/>
      <c r="L822" s="70">
        <f>L107/'Terms and Turnovers'!$AN30</f>
        <v>0</v>
      </c>
      <c r="M822" s="728"/>
      <c r="N822" s="70">
        <f>N107/'Terms and Turnovers'!$AN30</f>
        <v>0</v>
      </c>
      <c r="O822" s="728"/>
      <c r="P822" s="70">
        <f>P107/'Terms and Turnovers'!$AN30</f>
        <v>0</v>
      </c>
      <c r="Q822" s="728"/>
      <c r="R822" s="132">
        <f t="shared" si="95"/>
        <v>0</v>
      </c>
      <c r="S822" s="728"/>
      <c r="T822" s="70">
        <f>T107/'Terms and Turnovers'!$AS30</f>
        <v>0</v>
      </c>
      <c r="U822" s="728"/>
      <c r="V822" s="70">
        <f>V107/'Terms and Turnovers'!$AS30</f>
        <v>0</v>
      </c>
      <c r="W822" s="728"/>
      <c r="X822" s="70">
        <f>X107/'Terms and Turnovers'!$AS30</f>
        <v>0</v>
      </c>
      <c r="Y822" s="728"/>
      <c r="Z822" s="70">
        <f>Z107/'Terms and Turnovers'!$AS30</f>
        <v>0</v>
      </c>
      <c r="AA822" s="728"/>
      <c r="AB822" s="70">
        <f>AB107/'Terms and Turnovers'!$AS30</f>
        <v>0</v>
      </c>
      <c r="AC822" s="728"/>
      <c r="AD822" s="70">
        <f>AD107/'Terms and Turnovers'!$AS30</f>
        <v>0</v>
      </c>
      <c r="AE822" s="728"/>
      <c r="AF822" s="132">
        <f t="shared" si="96"/>
        <v>0</v>
      </c>
      <c r="AG822" s="728"/>
      <c r="AH822" s="133">
        <f t="shared" si="97"/>
        <v>0</v>
      </c>
      <c r="AI822" s="728"/>
      <c r="AJ822" s="65"/>
    </row>
    <row r="823" spans="2:36" ht="13.5" customHeight="1" outlineLevel="1" thickBot="1">
      <c r="B823" s="82"/>
      <c r="C823" s="1235"/>
      <c r="D823" s="1235"/>
      <c r="E823" s="85">
        <f>'Terms and Turnovers'!$AX$12</f>
        <v>0</v>
      </c>
      <c r="F823" s="70">
        <f>F108/'Terms and Turnovers'!$AX30</f>
        <v>0</v>
      </c>
      <c r="G823" s="107"/>
      <c r="H823" s="70">
        <f>H108/'Terms and Turnovers'!$AX30</f>
        <v>0</v>
      </c>
      <c r="I823" s="107"/>
      <c r="J823" s="70">
        <f>J108/'Terms and Turnovers'!$AX30</f>
        <v>0</v>
      </c>
      <c r="K823" s="107"/>
      <c r="L823" s="70">
        <f>L108/'Terms and Turnovers'!$AX30</f>
        <v>0</v>
      </c>
      <c r="M823" s="107"/>
      <c r="N823" s="70">
        <f>N108/'Terms and Turnovers'!$AX30</f>
        <v>0</v>
      </c>
      <c r="O823" s="107"/>
      <c r="P823" s="70">
        <f>P108/'Terms and Turnovers'!$AX30</f>
        <v>0</v>
      </c>
      <c r="Q823" s="107"/>
      <c r="R823" s="135">
        <f t="shared" si="95"/>
        <v>0</v>
      </c>
      <c r="S823" s="107"/>
      <c r="T823" s="70">
        <f>T108/'Terms and Turnovers'!$AX$30</f>
        <v>0</v>
      </c>
      <c r="U823" s="107"/>
      <c r="V823" s="70">
        <f>V108/'Terms and Turnovers'!$AX$30</f>
        <v>0</v>
      </c>
      <c r="W823" s="107"/>
      <c r="X823" s="70">
        <f>X108/'Terms and Turnovers'!$AX$30</f>
        <v>0</v>
      </c>
      <c r="Y823" s="107"/>
      <c r="Z823" s="70">
        <f>Z108/'Terms and Turnovers'!$AX$30</f>
        <v>0</v>
      </c>
      <c r="AA823" s="107"/>
      <c r="AB823" s="70">
        <f>AB108/'Terms and Turnovers'!$AX$30</f>
        <v>0</v>
      </c>
      <c r="AC823" s="107"/>
      <c r="AD823" s="70">
        <f>AD108/'Terms and Turnovers'!$AX$30</f>
        <v>0</v>
      </c>
      <c r="AE823" s="107"/>
      <c r="AF823" s="135">
        <f t="shared" si="96"/>
        <v>0</v>
      </c>
      <c r="AG823" s="107"/>
      <c r="AH823" s="136">
        <f t="shared" si="97"/>
        <v>0</v>
      </c>
      <c r="AI823" s="107"/>
      <c r="AJ823" s="65"/>
    </row>
    <row r="824" spans="2:36" ht="13.5" customHeight="1" outlineLevel="1">
      <c r="B824" s="82"/>
      <c r="C824" s="425"/>
      <c r="D824" s="425"/>
      <c r="E824" s="634"/>
      <c r="F824" s="635"/>
      <c r="G824" s="428"/>
      <c r="H824" s="635"/>
      <c r="I824" s="428"/>
      <c r="J824" s="635"/>
      <c r="K824" s="636"/>
      <c r="L824" s="635"/>
      <c r="M824" s="636"/>
      <c r="N824" s="635"/>
      <c r="O824" s="636"/>
      <c r="P824" s="635"/>
      <c r="Q824" s="636"/>
      <c r="R824" s="637"/>
      <c r="S824" s="698">
        <f>SUM(R104:R108)/1.18-(SUM(R819:R823)*'Mark Up Validation'!$M$175)</f>
        <v>0</v>
      </c>
      <c r="T824" s="635"/>
      <c r="U824" s="636"/>
      <c r="V824" s="635"/>
      <c r="W824" s="636"/>
      <c r="X824" s="635"/>
      <c r="Y824" s="636"/>
      <c r="Z824" s="635"/>
      <c r="AA824" s="636"/>
      <c r="AB824" s="635"/>
      <c r="AC824" s="636"/>
      <c r="AD824" s="635"/>
      <c r="AE824" s="636"/>
      <c r="AF824" s="637"/>
      <c r="AG824" s="698">
        <f>SUM(AF104:AF108)/1.18-SUM(AF819:AF823)*'Mark Up Validation'!$M$175</f>
        <v>0</v>
      </c>
      <c r="AH824" s="638"/>
      <c r="AI824" s="698">
        <f>SUM(AH104:AH108)/1.18-SUM(AH819:AH823)*'Mark Up Validation'!$M$175</f>
        <v>0</v>
      </c>
      <c r="AJ824" s="65"/>
    </row>
    <row r="825" spans="2:36" ht="13.5" customHeight="1" outlineLevel="1" thickBot="1">
      <c r="B825" s="82"/>
      <c r="C825" s="1228" t="s">
        <v>487</v>
      </c>
      <c r="D825" s="1229"/>
      <c r="E825" s="699"/>
      <c r="F825" s="700"/>
      <c r="G825" s="701"/>
      <c r="H825" s="700"/>
      <c r="I825" s="701"/>
      <c r="J825" s="700"/>
      <c r="K825" s="702"/>
      <c r="L825" s="700"/>
      <c r="M825" s="702"/>
      <c r="N825" s="700"/>
      <c r="O825" s="702"/>
      <c r="P825" s="700"/>
      <c r="Q825" s="702"/>
      <c r="R825" s="703"/>
      <c r="S825" s="729">
        <f>IF(S824&gt;0,S824/(SUM(R104:R108)/1.18),0)</f>
        <v>0</v>
      </c>
      <c r="T825" s="704"/>
      <c r="U825" s="702"/>
      <c r="V825" s="700"/>
      <c r="W825" s="702"/>
      <c r="X825" s="700"/>
      <c r="Y825" s="702"/>
      <c r="Z825" s="700"/>
      <c r="AA825" s="702"/>
      <c r="AB825" s="700"/>
      <c r="AC825" s="702"/>
      <c r="AD825" s="700"/>
      <c r="AE825" s="702"/>
      <c r="AF825" s="705"/>
      <c r="AG825" s="729">
        <f>IF(AG824&gt;0,AG824/(SUM(AF104:AF108)/1.18),0)</f>
        <v>0</v>
      </c>
      <c r="AH825" s="706"/>
      <c r="AI825" s="729">
        <f>IF(AI824&gt;0,AI824/(SUM(AH104:AH108)/1.18),0)</f>
        <v>0</v>
      </c>
      <c r="AJ825" s="65"/>
    </row>
    <row r="826" spans="2:36" ht="12.75" customHeight="1" outlineLevel="1">
      <c r="B826" s="82">
        <f>B819+1</f>
        <v>16</v>
      </c>
      <c r="C826" s="1233">
        <f>C111</f>
        <v>0</v>
      </c>
      <c r="D826" s="1233">
        <f>D111</f>
        <v>0</v>
      </c>
      <c r="E826" s="83" t="str">
        <f>'Terms and Turnovers'!$J$12</f>
        <v>FLIP-FLOPS</v>
      </c>
      <c r="F826" s="68">
        <f>F111/'Terms and Turnovers'!$J31</f>
        <v>0</v>
      </c>
      <c r="G826" s="106"/>
      <c r="H826" s="68">
        <f>H111/'Terms and Turnovers'!$J31</f>
        <v>0</v>
      </c>
      <c r="I826" s="106"/>
      <c r="J826" s="68">
        <f>J111/'Terms and Turnovers'!$J31</f>
        <v>0</v>
      </c>
      <c r="K826" s="106"/>
      <c r="L826" s="68">
        <f>L111/'Terms and Turnovers'!$J31</f>
        <v>0</v>
      </c>
      <c r="M826" s="106"/>
      <c r="N826" s="68">
        <f>N111/'Terms and Turnovers'!$J31</f>
        <v>0</v>
      </c>
      <c r="O826" s="106"/>
      <c r="P826" s="68">
        <f>P111/'Terms and Turnovers'!$J31</f>
        <v>0</v>
      </c>
      <c r="Q826" s="106"/>
      <c r="R826" s="129">
        <f t="shared" si="95"/>
        <v>0</v>
      </c>
      <c r="S826" s="106"/>
      <c r="T826" s="68">
        <f>T111/'Terms and Turnovers'!$O31</f>
        <v>0</v>
      </c>
      <c r="U826" s="106"/>
      <c r="V826" s="68">
        <f>V111/'Terms and Turnovers'!$O31</f>
        <v>0</v>
      </c>
      <c r="W826" s="106"/>
      <c r="X826" s="68">
        <f>X111/'Terms and Turnovers'!$O31</f>
        <v>0</v>
      </c>
      <c r="Y826" s="106"/>
      <c r="Z826" s="68">
        <f>Z111/'Terms and Turnovers'!$O31</f>
        <v>0</v>
      </c>
      <c r="AA826" s="106"/>
      <c r="AB826" s="68">
        <f>AB111/'Terms and Turnovers'!$O31</f>
        <v>0</v>
      </c>
      <c r="AC826" s="106"/>
      <c r="AD826" s="68">
        <f>AD111/'Terms and Turnovers'!$O31</f>
        <v>0</v>
      </c>
      <c r="AE826" s="106"/>
      <c r="AF826" s="129">
        <f t="shared" si="96"/>
        <v>0</v>
      </c>
      <c r="AG826" s="106"/>
      <c r="AH826" s="130">
        <f t="shared" si="97"/>
        <v>0</v>
      </c>
      <c r="AI826" s="106"/>
      <c r="AJ826" s="65"/>
    </row>
    <row r="827" spans="2:36" ht="12.75" customHeight="1" outlineLevel="1">
      <c r="B827" s="82"/>
      <c r="C827" s="1234"/>
      <c r="D827" s="1234"/>
      <c r="E827" s="84" t="str">
        <f>'Terms and Turnovers'!$T$12</f>
        <v>ORIGINALS</v>
      </c>
      <c r="F827" s="70">
        <f>F112/'Terms and Turnovers'!$T31</f>
        <v>0</v>
      </c>
      <c r="G827" s="728"/>
      <c r="H827" s="70">
        <f>H112/'Terms and Turnovers'!$T31</f>
        <v>0</v>
      </c>
      <c r="I827" s="728"/>
      <c r="J827" s="70">
        <f>J112/'Terms and Turnovers'!$T31</f>
        <v>0</v>
      </c>
      <c r="K827" s="728"/>
      <c r="L827" s="70">
        <f>L112/'Terms and Turnovers'!$T31</f>
        <v>0</v>
      </c>
      <c r="M827" s="728"/>
      <c r="N827" s="70">
        <f>N112/'Terms and Turnovers'!$T31</f>
        <v>0</v>
      </c>
      <c r="O827" s="728"/>
      <c r="P827" s="70">
        <f>P112/'Terms and Turnovers'!$T31</f>
        <v>0</v>
      </c>
      <c r="Q827" s="728"/>
      <c r="R827" s="132">
        <f t="shared" si="95"/>
        <v>0</v>
      </c>
      <c r="S827" s="728"/>
      <c r="T827" s="70">
        <f>T112/'Terms and Turnovers'!$Y31</f>
        <v>0</v>
      </c>
      <c r="U827" s="728"/>
      <c r="V827" s="70">
        <f>V112/'Terms and Turnovers'!$Y31</f>
        <v>0</v>
      </c>
      <c r="W827" s="728"/>
      <c r="X827" s="70">
        <f>X112/'Terms and Turnovers'!$Y31</f>
        <v>0</v>
      </c>
      <c r="Y827" s="728"/>
      <c r="Z827" s="70">
        <f>Z112/'Terms and Turnovers'!$Y31</f>
        <v>0</v>
      </c>
      <c r="AA827" s="728"/>
      <c r="AB827" s="70">
        <f>AB112/'Terms and Turnovers'!$Y31</f>
        <v>0</v>
      </c>
      <c r="AC827" s="728"/>
      <c r="AD827" s="70">
        <f>AD112/'Terms and Turnovers'!$Y31</f>
        <v>0</v>
      </c>
      <c r="AE827" s="728"/>
      <c r="AF827" s="132">
        <f t="shared" si="96"/>
        <v>0</v>
      </c>
      <c r="AG827" s="728"/>
      <c r="AH827" s="133">
        <f t="shared" si="97"/>
        <v>0</v>
      </c>
      <c r="AI827" s="728"/>
      <c r="AJ827" s="65"/>
    </row>
    <row r="828" spans="2:36" ht="12.75" customHeight="1" outlineLevel="1">
      <c r="B828" s="82"/>
      <c r="C828" s="1234"/>
      <c r="D828" s="1234"/>
      <c r="E828" s="84" t="str">
        <f>'Terms and Turnovers'!$AD$12</f>
        <v>ACCESSORIES</v>
      </c>
      <c r="F828" s="70">
        <f>F113/'Terms and Turnovers'!$AD31</f>
        <v>0</v>
      </c>
      <c r="G828" s="728"/>
      <c r="H828" s="70">
        <f>H113/'Terms and Turnovers'!$AD31</f>
        <v>0</v>
      </c>
      <c r="I828" s="728"/>
      <c r="J828" s="70">
        <f>J113/'Terms and Turnovers'!$AD31</f>
        <v>0</v>
      </c>
      <c r="K828" s="728"/>
      <c r="L828" s="70">
        <f>L113/'Terms and Turnovers'!$AD31</f>
        <v>0</v>
      </c>
      <c r="M828" s="728"/>
      <c r="N828" s="70">
        <f>N113/'Terms and Turnovers'!$AD31</f>
        <v>0</v>
      </c>
      <c r="O828" s="728"/>
      <c r="P828" s="70">
        <f>P113/'Terms and Turnovers'!$AD31</f>
        <v>0</v>
      </c>
      <c r="Q828" s="728"/>
      <c r="R828" s="132">
        <f t="shared" si="95"/>
        <v>0</v>
      </c>
      <c r="S828" s="728"/>
      <c r="T828" s="70">
        <f>T113/'Terms and Turnovers'!$AI31</f>
        <v>0</v>
      </c>
      <c r="U828" s="728"/>
      <c r="V828" s="70">
        <f>V113/'Terms and Turnovers'!$AI31</f>
        <v>0</v>
      </c>
      <c r="W828" s="728"/>
      <c r="X828" s="70">
        <f>X113/'Terms and Turnovers'!$AI31</f>
        <v>0</v>
      </c>
      <c r="Y828" s="728"/>
      <c r="Z828" s="70">
        <f>Z113/'Terms and Turnovers'!$AI31</f>
        <v>0</v>
      </c>
      <c r="AA828" s="728"/>
      <c r="AB828" s="70">
        <f>AB113/'Terms and Turnovers'!$AI31</f>
        <v>0</v>
      </c>
      <c r="AC828" s="728"/>
      <c r="AD828" s="70">
        <f>AD113/'Terms and Turnovers'!$AI31</f>
        <v>0</v>
      </c>
      <c r="AE828" s="728"/>
      <c r="AF828" s="132">
        <f t="shared" si="96"/>
        <v>0</v>
      </c>
      <c r="AG828" s="728"/>
      <c r="AH828" s="133">
        <f t="shared" si="97"/>
        <v>0</v>
      </c>
      <c r="AI828" s="728"/>
      <c r="AJ828" s="65"/>
    </row>
    <row r="829" spans="2:36" ht="12.75" customHeight="1" outlineLevel="1">
      <c r="B829" s="82"/>
      <c r="C829" s="1234"/>
      <c r="D829" s="1234"/>
      <c r="E829" s="84">
        <f>'Terms and Turnovers'!$AN$12</f>
        <v>0</v>
      </c>
      <c r="F829" s="70">
        <f>F114/'Terms and Turnovers'!$AN31</f>
        <v>0</v>
      </c>
      <c r="G829" s="728"/>
      <c r="H829" s="70">
        <f>H114/'Terms and Turnovers'!$AN31</f>
        <v>0</v>
      </c>
      <c r="I829" s="728"/>
      <c r="J829" s="70">
        <f>J114/'Terms and Turnovers'!$AN31</f>
        <v>0</v>
      </c>
      <c r="K829" s="728"/>
      <c r="L829" s="70">
        <f>L114/'Terms and Turnovers'!$AN31</f>
        <v>0</v>
      </c>
      <c r="M829" s="728"/>
      <c r="N829" s="70">
        <f>N114/'Terms and Turnovers'!$AN31</f>
        <v>0</v>
      </c>
      <c r="O829" s="728"/>
      <c r="P829" s="70">
        <f>P114/'Terms and Turnovers'!$AN31</f>
        <v>0</v>
      </c>
      <c r="Q829" s="728"/>
      <c r="R829" s="132">
        <f t="shared" si="95"/>
        <v>0</v>
      </c>
      <c r="S829" s="728"/>
      <c r="T829" s="70">
        <f>T114/'Terms and Turnovers'!$AS31</f>
        <v>0</v>
      </c>
      <c r="U829" s="728"/>
      <c r="V829" s="70">
        <f>V114/'Terms and Turnovers'!$AS31</f>
        <v>0</v>
      </c>
      <c r="W829" s="728"/>
      <c r="X829" s="70">
        <f>X114/'Terms and Turnovers'!$AS31</f>
        <v>0</v>
      </c>
      <c r="Y829" s="728"/>
      <c r="Z829" s="70">
        <f>Z114/'Terms and Turnovers'!$AS31</f>
        <v>0</v>
      </c>
      <c r="AA829" s="728"/>
      <c r="AB829" s="70">
        <f>AB114/'Terms and Turnovers'!$AS31</f>
        <v>0</v>
      </c>
      <c r="AC829" s="728"/>
      <c r="AD829" s="70">
        <f>AD114/'Terms and Turnovers'!$AS31</f>
        <v>0</v>
      </c>
      <c r="AE829" s="728"/>
      <c r="AF829" s="132">
        <f t="shared" si="96"/>
        <v>0</v>
      </c>
      <c r="AG829" s="728"/>
      <c r="AH829" s="133">
        <f t="shared" si="97"/>
        <v>0</v>
      </c>
      <c r="AI829" s="728"/>
      <c r="AJ829" s="65"/>
    </row>
    <row r="830" spans="2:36" ht="13.5" customHeight="1" outlineLevel="1" thickBot="1">
      <c r="B830" s="82"/>
      <c r="C830" s="1235"/>
      <c r="D830" s="1235"/>
      <c r="E830" s="85">
        <f>'Terms and Turnovers'!$AX$12</f>
        <v>0</v>
      </c>
      <c r="F830" s="70">
        <f>F115/'Terms and Turnovers'!$AX31</f>
        <v>0</v>
      </c>
      <c r="G830" s="107"/>
      <c r="H830" s="70">
        <f>H115/'Terms and Turnovers'!$AX31</f>
        <v>0</v>
      </c>
      <c r="I830" s="107"/>
      <c r="J830" s="70">
        <f>J115/'Terms and Turnovers'!$AX31</f>
        <v>0</v>
      </c>
      <c r="K830" s="107"/>
      <c r="L830" s="70">
        <f>L115/'Terms and Turnovers'!$AX31</f>
        <v>0</v>
      </c>
      <c r="M830" s="107"/>
      <c r="N830" s="70">
        <f>N115/'Terms and Turnovers'!$AX31</f>
        <v>0</v>
      </c>
      <c r="O830" s="107"/>
      <c r="P830" s="70">
        <f>P115/'Terms and Turnovers'!$AX31</f>
        <v>0</v>
      </c>
      <c r="Q830" s="107"/>
      <c r="R830" s="135">
        <f t="shared" si="95"/>
        <v>0</v>
      </c>
      <c r="S830" s="107"/>
      <c r="T830" s="70">
        <f>T115/'Terms and Turnovers'!$AX$31</f>
        <v>0</v>
      </c>
      <c r="U830" s="107"/>
      <c r="V830" s="70">
        <f>V115/'Terms and Turnovers'!$AX$31</f>
        <v>0</v>
      </c>
      <c r="W830" s="107"/>
      <c r="X830" s="70">
        <f>X115/'Terms and Turnovers'!$AX$31</f>
        <v>0</v>
      </c>
      <c r="Y830" s="107"/>
      <c r="Z830" s="70">
        <f>Z115/'Terms and Turnovers'!$AX$31</f>
        <v>0</v>
      </c>
      <c r="AA830" s="107"/>
      <c r="AB830" s="70">
        <f>AB115/'Terms and Turnovers'!$AX$31</f>
        <v>0</v>
      </c>
      <c r="AC830" s="107"/>
      <c r="AD830" s="70">
        <f>AD115/'Terms and Turnovers'!$AX$31</f>
        <v>0</v>
      </c>
      <c r="AE830" s="107"/>
      <c r="AF830" s="135">
        <f t="shared" si="96"/>
        <v>0</v>
      </c>
      <c r="AG830" s="107"/>
      <c r="AH830" s="136">
        <f t="shared" si="97"/>
        <v>0</v>
      </c>
      <c r="AI830" s="107"/>
      <c r="AJ830" s="65"/>
    </row>
    <row r="831" spans="2:36" ht="13.5" customHeight="1" outlineLevel="1">
      <c r="B831" s="82"/>
      <c r="C831" s="425"/>
      <c r="D831" s="425"/>
      <c r="E831" s="634"/>
      <c r="F831" s="635"/>
      <c r="G831" s="428"/>
      <c r="H831" s="635"/>
      <c r="I831" s="428"/>
      <c r="J831" s="635"/>
      <c r="K831" s="636"/>
      <c r="L831" s="635"/>
      <c r="M831" s="636"/>
      <c r="N831" s="635"/>
      <c r="O831" s="636"/>
      <c r="P831" s="635"/>
      <c r="Q831" s="636"/>
      <c r="R831" s="637"/>
      <c r="S831" s="698">
        <f>SUM(R111:R115)/1.18-(SUM(R826:R830)*'Mark Up Validation'!$M$175)</f>
        <v>0</v>
      </c>
      <c r="T831" s="635"/>
      <c r="U831" s="636"/>
      <c r="V831" s="635"/>
      <c r="W831" s="636"/>
      <c r="X831" s="635"/>
      <c r="Y831" s="636"/>
      <c r="Z831" s="635"/>
      <c r="AA831" s="636"/>
      <c r="AB831" s="635"/>
      <c r="AC831" s="636"/>
      <c r="AD831" s="635"/>
      <c r="AE831" s="636"/>
      <c r="AF831" s="637"/>
      <c r="AG831" s="698">
        <f>SUM(AF111:AF115)/1.18-SUM(AF826:AF830)*'Mark Up Validation'!$M$175</f>
        <v>0</v>
      </c>
      <c r="AH831" s="638"/>
      <c r="AI831" s="698">
        <f>SUM(AH111:AH115)/1.18-SUM(AH826:AH830)*'Mark Up Validation'!$M$175</f>
        <v>0</v>
      </c>
      <c r="AJ831" s="65"/>
    </row>
    <row r="832" spans="2:36" ht="13.5" customHeight="1" outlineLevel="1" thickBot="1">
      <c r="B832" s="82"/>
      <c r="C832" s="1228" t="s">
        <v>487</v>
      </c>
      <c r="D832" s="1229"/>
      <c r="E832" s="699"/>
      <c r="F832" s="700"/>
      <c r="G832" s="701"/>
      <c r="H832" s="700"/>
      <c r="I832" s="701"/>
      <c r="J832" s="700"/>
      <c r="K832" s="702"/>
      <c r="L832" s="700"/>
      <c r="M832" s="702"/>
      <c r="N832" s="700"/>
      <c r="O832" s="702"/>
      <c r="P832" s="700"/>
      <c r="Q832" s="702"/>
      <c r="R832" s="703"/>
      <c r="S832" s="729">
        <f>IF(S831&gt;0,S831/(SUM(R111:R115)/1.18),0)</f>
        <v>0</v>
      </c>
      <c r="T832" s="704"/>
      <c r="U832" s="702"/>
      <c r="V832" s="700"/>
      <c r="W832" s="702"/>
      <c r="X832" s="700"/>
      <c r="Y832" s="702"/>
      <c r="Z832" s="700"/>
      <c r="AA832" s="702"/>
      <c r="AB832" s="700"/>
      <c r="AC832" s="702"/>
      <c r="AD832" s="700"/>
      <c r="AE832" s="702"/>
      <c r="AF832" s="705"/>
      <c r="AG832" s="729">
        <f>IF(AG831&gt;0,AG831/(SUM(AF111:AF115)/1.18),0)</f>
        <v>0</v>
      </c>
      <c r="AH832" s="706"/>
      <c r="AI832" s="729">
        <f>IF(AI831&gt;0,AI831/(SUM(AH111:AH115)/1.18),0)</f>
        <v>0</v>
      </c>
      <c r="AJ832" s="65"/>
    </row>
    <row r="833" spans="2:36" ht="12.75" customHeight="1" outlineLevel="1">
      <c r="B833" s="82">
        <f>B826+1</f>
        <v>17</v>
      </c>
      <c r="C833" s="1233">
        <f>C118</f>
        <v>0</v>
      </c>
      <c r="D833" s="1233">
        <f>D118</f>
        <v>0</v>
      </c>
      <c r="E833" s="83" t="str">
        <f>'Terms and Turnovers'!$J$12</f>
        <v>FLIP-FLOPS</v>
      </c>
      <c r="F833" s="68">
        <f>F118/'Terms and Turnovers'!$J32</f>
        <v>0</v>
      </c>
      <c r="G833" s="106"/>
      <c r="H833" s="68">
        <f>H118/'Terms and Turnovers'!$J32</f>
        <v>0</v>
      </c>
      <c r="I833" s="106"/>
      <c r="J833" s="68">
        <f>J118/'Terms and Turnovers'!$J32</f>
        <v>0</v>
      </c>
      <c r="K833" s="106"/>
      <c r="L833" s="68">
        <f>L118/'Terms and Turnovers'!$J32</f>
        <v>0</v>
      </c>
      <c r="M833" s="106"/>
      <c r="N833" s="68">
        <f>N118/'Terms and Turnovers'!$J32</f>
        <v>0</v>
      </c>
      <c r="O833" s="106"/>
      <c r="P833" s="68">
        <f>P118/'Terms and Turnovers'!$J32</f>
        <v>0</v>
      </c>
      <c r="Q833" s="106"/>
      <c r="R833" s="129">
        <f t="shared" si="95"/>
        <v>0</v>
      </c>
      <c r="S833" s="106"/>
      <c r="T833" s="68">
        <f>T118/'Terms and Turnovers'!$O32</f>
        <v>0</v>
      </c>
      <c r="U833" s="106"/>
      <c r="V833" s="68">
        <f>V118/'Terms and Turnovers'!$O32</f>
        <v>0</v>
      </c>
      <c r="W833" s="106"/>
      <c r="X833" s="68">
        <f>X118/'Terms and Turnovers'!$O32</f>
        <v>0</v>
      </c>
      <c r="Y833" s="106"/>
      <c r="Z833" s="68">
        <f>Z118/'Terms and Turnovers'!$O32</f>
        <v>0</v>
      </c>
      <c r="AA833" s="106"/>
      <c r="AB833" s="68">
        <f>AB118/'Terms and Turnovers'!$O32</f>
        <v>0</v>
      </c>
      <c r="AC833" s="106"/>
      <c r="AD833" s="68">
        <f>AD118/'Terms and Turnovers'!$O32</f>
        <v>0</v>
      </c>
      <c r="AE833" s="106"/>
      <c r="AF833" s="129">
        <f t="shared" si="96"/>
        <v>0</v>
      </c>
      <c r="AG833" s="106"/>
      <c r="AH833" s="130">
        <f t="shared" si="97"/>
        <v>0</v>
      </c>
      <c r="AI833" s="106"/>
      <c r="AJ833" s="65"/>
    </row>
    <row r="834" spans="2:36" ht="12.75" customHeight="1" outlineLevel="1">
      <c r="B834" s="82"/>
      <c r="C834" s="1234"/>
      <c r="D834" s="1234"/>
      <c r="E834" s="84" t="str">
        <f>'Terms and Turnovers'!$T$12</f>
        <v>ORIGINALS</v>
      </c>
      <c r="F834" s="70">
        <f>F119/'Terms and Turnovers'!$T32</f>
        <v>0</v>
      </c>
      <c r="G834" s="728"/>
      <c r="H834" s="70">
        <f>H119/'Terms and Turnovers'!$T32</f>
        <v>0</v>
      </c>
      <c r="I834" s="728"/>
      <c r="J834" s="70">
        <f>J119/'Terms and Turnovers'!$T32</f>
        <v>0</v>
      </c>
      <c r="K834" s="728"/>
      <c r="L834" s="70">
        <f>L119/'Terms and Turnovers'!$T32</f>
        <v>0</v>
      </c>
      <c r="M834" s="728"/>
      <c r="N834" s="70">
        <f>N119/'Terms and Turnovers'!$T32</f>
        <v>0</v>
      </c>
      <c r="O834" s="728"/>
      <c r="P834" s="70">
        <f>P119/'Terms and Turnovers'!$T32</f>
        <v>0</v>
      </c>
      <c r="Q834" s="728"/>
      <c r="R834" s="132">
        <f t="shared" si="95"/>
        <v>0</v>
      </c>
      <c r="S834" s="728"/>
      <c r="T834" s="70">
        <f>T119/'Terms and Turnovers'!$Y32</f>
        <v>0</v>
      </c>
      <c r="U834" s="728"/>
      <c r="V834" s="70">
        <f>V119/'Terms and Turnovers'!$Y32</f>
        <v>0</v>
      </c>
      <c r="W834" s="728"/>
      <c r="X834" s="70">
        <f>X119/'Terms and Turnovers'!$Y32</f>
        <v>0</v>
      </c>
      <c r="Y834" s="728"/>
      <c r="Z834" s="70">
        <f>Z119/'Terms and Turnovers'!$Y32</f>
        <v>0</v>
      </c>
      <c r="AA834" s="728"/>
      <c r="AB834" s="70">
        <f>AB119/'Terms and Turnovers'!$Y32</f>
        <v>0</v>
      </c>
      <c r="AC834" s="728"/>
      <c r="AD834" s="70">
        <f>AD119/'Terms and Turnovers'!$Y32</f>
        <v>0</v>
      </c>
      <c r="AE834" s="728"/>
      <c r="AF834" s="132">
        <f t="shared" si="96"/>
        <v>0</v>
      </c>
      <c r="AG834" s="728"/>
      <c r="AH834" s="133">
        <f t="shared" si="97"/>
        <v>0</v>
      </c>
      <c r="AI834" s="728"/>
      <c r="AJ834" s="65"/>
    </row>
    <row r="835" spans="2:36" ht="12.75" customHeight="1" outlineLevel="1">
      <c r="B835" s="82"/>
      <c r="C835" s="1234"/>
      <c r="D835" s="1234"/>
      <c r="E835" s="84" t="str">
        <f>'Terms and Turnovers'!$AD$12</f>
        <v>ACCESSORIES</v>
      </c>
      <c r="F835" s="70">
        <f>F120/'Terms and Turnovers'!$AD32</f>
        <v>0</v>
      </c>
      <c r="G835" s="728"/>
      <c r="H835" s="70">
        <f>H120/'Terms and Turnovers'!$AD32</f>
        <v>0</v>
      </c>
      <c r="I835" s="728"/>
      <c r="J835" s="70">
        <f>J120/'Terms and Turnovers'!$AD32</f>
        <v>0</v>
      </c>
      <c r="K835" s="728"/>
      <c r="L835" s="70">
        <f>L120/'Terms and Turnovers'!$AD32</f>
        <v>0</v>
      </c>
      <c r="M835" s="728"/>
      <c r="N835" s="70">
        <f>N120/'Terms and Turnovers'!$AD32</f>
        <v>0</v>
      </c>
      <c r="O835" s="728"/>
      <c r="P835" s="70">
        <f>P120/'Terms and Turnovers'!$AD32</f>
        <v>0</v>
      </c>
      <c r="Q835" s="728"/>
      <c r="R835" s="132">
        <f t="shared" si="95"/>
        <v>0</v>
      </c>
      <c r="S835" s="728"/>
      <c r="T835" s="70">
        <f>T120/'Terms and Turnovers'!$AI32</f>
        <v>0</v>
      </c>
      <c r="U835" s="728"/>
      <c r="V835" s="70">
        <f>V120/'Terms and Turnovers'!$AI32</f>
        <v>0</v>
      </c>
      <c r="W835" s="728"/>
      <c r="X835" s="70">
        <f>X120/'Terms and Turnovers'!$AI32</f>
        <v>0</v>
      </c>
      <c r="Y835" s="728"/>
      <c r="Z835" s="70">
        <f>Z120/'Terms and Turnovers'!$AI32</f>
        <v>0</v>
      </c>
      <c r="AA835" s="728"/>
      <c r="AB835" s="70">
        <f>AB120/'Terms and Turnovers'!$AI32</f>
        <v>0</v>
      </c>
      <c r="AC835" s="728"/>
      <c r="AD835" s="70">
        <f>AD120/'Terms and Turnovers'!$AI32</f>
        <v>0</v>
      </c>
      <c r="AE835" s="728"/>
      <c r="AF835" s="132">
        <f t="shared" si="96"/>
        <v>0</v>
      </c>
      <c r="AG835" s="728"/>
      <c r="AH835" s="133">
        <f t="shared" si="97"/>
        <v>0</v>
      </c>
      <c r="AI835" s="728"/>
      <c r="AJ835" s="65"/>
    </row>
    <row r="836" spans="2:36" ht="12.75" customHeight="1" outlineLevel="1">
      <c r="B836" s="82"/>
      <c r="C836" s="1234"/>
      <c r="D836" s="1234"/>
      <c r="E836" s="84">
        <f>'Terms and Turnovers'!$AN$12</f>
        <v>0</v>
      </c>
      <c r="F836" s="70">
        <f>F121/'Terms and Turnovers'!$AN32</f>
        <v>0</v>
      </c>
      <c r="G836" s="728"/>
      <c r="H836" s="70">
        <f>H121/'Terms and Turnovers'!$AN32</f>
        <v>0</v>
      </c>
      <c r="I836" s="728"/>
      <c r="J836" s="70">
        <f>J121/'Terms and Turnovers'!$AN32</f>
        <v>0</v>
      </c>
      <c r="K836" s="728"/>
      <c r="L836" s="70">
        <f>L121/'Terms and Turnovers'!$AN32</f>
        <v>0</v>
      </c>
      <c r="M836" s="728"/>
      <c r="N836" s="70">
        <f>N121/'Terms and Turnovers'!$AN32</f>
        <v>0</v>
      </c>
      <c r="O836" s="728"/>
      <c r="P836" s="70">
        <f>P121/'Terms and Turnovers'!$AN32</f>
        <v>0</v>
      </c>
      <c r="Q836" s="728"/>
      <c r="R836" s="132">
        <f t="shared" si="95"/>
        <v>0</v>
      </c>
      <c r="S836" s="728"/>
      <c r="T836" s="70">
        <f>T121/'Terms and Turnovers'!$AS32</f>
        <v>0</v>
      </c>
      <c r="U836" s="728"/>
      <c r="V836" s="70">
        <f>V121/'Terms and Turnovers'!$AS32</f>
        <v>0</v>
      </c>
      <c r="W836" s="728"/>
      <c r="X836" s="70">
        <f>X121/'Terms and Turnovers'!$AS32</f>
        <v>0</v>
      </c>
      <c r="Y836" s="728"/>
      <c r="Z836" s="70">
        <f>Z121/'Terms and Turnovers'!$AS32</f>
        <v>0</v>
      </c>
      <c r="AA836" s="728"/>
      <c r="AB836" s="70">
        <f>AB121/'Terms and Turnovers'!$AS32</f>
        <v>0</v>
      </c>
      <c r="AC836" s="728"/>
      <c r="AD836" s="70">
        <f>AD121/'Terms and Turnovers'!$AS32</f>
        <v>0</v>
      </c>
      <c r="AE836" s="728"/>
      <c r="AF836" s="132">
        <f t="shared" si="96"/>
        <v>0</v>
      </c>
      <c r="AG836" s="728"/>
      <c r="AH836" s="133">
        <f t="shared" si="97"/>
        <v>0</v>
      </c>
      <c r="AI836" s="728"/>
      <c r="AJ836" s="65"/>
    </row>
    <row r="837" spans="2:36" ht="13.5" customHeight="1" outlineLevel="1" thickBot="1">
      <c r="B837" s="82"/>
      <c r="C837" s="1235"/>
      <c r="D837" s="1235"/>
      <c r="E837" s="85">
        <f>'Terms and Turnovers'!$AX$12</f>
        <v>0</v>
      </c>
      <c r="F837" s="70">
        <f>F122/'Terms and Turnovers'!$AX32</f>
        <v>0</v>
      </c>
      <c r="G837" s="107"/>
      <c r="H837" s="70">
        <f>H122/'Terms and Turnovers'!$AX32</f>
        <v>0</v>
      </c>
      <c r="I837" s="107"/>
      <c r="J837" s="70">
        <f>J122/'Terms and Turnovers'!$AX32</f>
        <v>0</v>
      </c>
      <c r="K837" s="107"/>
      <c r="L837" s="70">
        <f>L122/'Terms and Turnovers'!$AX32</f>
        <v>0</v>
      </c>
      <c r="M837" s="107"/>
      <c r="N837" s="70">
        <f>N122/'Terms and Turnovers'!$AX32</f>
        <v>0</v>
      </c>
      <c r="O837" s="107"/>
      <c r="P837" s="70">
        <f>P122/'Terms and Turnovers'!$AX32</f>
        <v>0</v>
      </c>
      <c r="Q837" s="107"/>
      <c r="R837" s="135">
        <f t="shared" si="95"/>
        <v>0</v>
      </c>
      <c r="S837" s="107"/>
      <c r="T837" s="70">
        <f>T122/'Terms and Turnovers'!$AX$32</f>
        <v>0</v>
      </c>
      <c r="U837" s="107"/>
      <c r="V837" s="70">
        <f>V122/'Terms and Turnovers'!$AX$32</f>
        <v>0</v>
      </c>
      <c r="W837" s="107"/>
      <c r="X837" s="70">
        <f>X122/'Terms and Turnovers'!$AX$32</f>
        <v>0</v>
      </c>
      <c r="Y837" s="107"/>
      <c r="Z837" s="70">
        <f>Z122/'Terms and Turnovers'!$AX$32</f>
        <v>0</v>
      </c>
      <c r="AA837" s="107"/>
      <c r="AB837" s="70">
        <f>AB122/'Terms and Turnovers'!$AX$32</f>
        <v>0</v>
      </c>
      <c r="AC837" s="107"/>
      <c r="AD837" s="70">
        <f>AD122/'Terms and Turnovers'!$AX$32</f>
        <v>0</v>
      </c>
      <c r="AE837" s="107"/>
      <c r="AF837" s="135">
        <f t="shared" si="96"/>
        <v>0</v>
      </c>
      <c r="AG837" s="107"/>
      <c r="AH837" s="136">
        <f t="shared" si="97"/>
        <v>0</v>
      </c>
      <c r="AI837" s="107"/>
      <c r="AJ837" s="65"/>
    </row>
    <row r="838" spans="2:36" ht="13.5" customHeight="1" outlineLevel="1">
      <c r="B838" s="82"/>
      <c r="C838" s="425"/>
      <c r="D838" s="425"/>
      <c r="E838" s="634"/>
      <c r="F838" s="635"/>
      <c r="G838" s="428"/>
      <c r="H838" s="635"/>
      <c r="I838" s="428"/>
      <c r="J838" s="635"/>
      <c r="K838" s="636"/>
      <c r="L838" s="635"/>
      <c r="M838" s="636"/>
      <c r="N838" s="635"/>
      <c r="O838" s="636"/>
      <c r="P838" s="635"/>
      <c r="Q838" s="636"/>
      <c r="R838" s="637"/>
      <c r="S838" s="698">
        <f>SUM(R118:R122)/1.18-(SUM(R833:R837)*'Mark Up Validation'!$M$175)</f>
        <v>0</v>
      </c>
      <c r="T838" s="635"/>
      <c r="U838" s="636"/>
      <c r="V838" s="635"/>
      <c r="W838" s="636"/>
      <c r="X838" s="635"/>
      <c r="Y838" s="636"/>
      <c r="Z838" s="635"/>
      <c r="AA838" s="636"/>
      <c r="AB838" s="635"/>
      <c r="AC838" s="636"/>
      <c r="AD838" s="635"/>
      <c r="AE838" s="636"/>
      <c r="AF838" s="637"/>
      <c r="AG838" s="698">
        <f>SUM(AF118:AF122)/1.18-SUM(AF833:AF837)*'Mark Up Validation'!$M$175</f>
        <v>0</v>
      </c>
      <c r="AH838" s="638"/>
      <c r="AI838" s="698">
        <f>SUM(AH118:AH122)/1.18-SUM(AH833:AH837)*'Mark Up Validation'!$M$175</f>
        <v>0</v>
      </c>
      <c r="AJ838" s="65"/>
    </row>
    <row r="839" spans="2:36" ht="13.5" customHeight="1" outlineLevel="1" thickBot="1">
      <c r="B839" s="82"/>
      <c r="C839" s="1228" t="s">
        <v>487</v>
      </c>
      <c r="D839" s="1229"/>
      <c r="E839" s="699"/>
      <c r="F839" s="700"/>
      <c r="G839" s="701"/>
      <c r="H839" s="700"/>
      <c r="I839" s="701"/>
      <c r="J839" s="700"/>
      <c r="K839" s="702"/>
      <c r="L839" s="700"/>
      <c r="M839" s="702"/>
      <c r="N839" s="700"/>
      <c r="O839" s="702"/>
      <c r="P839" s="700"/>
      <c r="Q839" s="702"/>
      <c r="R839" s="703"/>
      <c r="S839" s="729">
        <f>IF(S838&gt;0,S838/(SUM(R118:R122)/1.18),0)</f>
        <v>0</v>
      </c>
      <c r="T839" s="704"/>
      <c r="U839" s="702"/>
      <c r="V839" s="700"/>
      <c r="W839" s="702"/>
      <c r="X839" s="700"/>
      <c r="Y839" s="702"/>
      <c r="Z839" s="700"/>
      <c r="AA839" s="702"/>
      <c r="AB839" s="700"/>
      <c r="AC839" s="702"/>
      <c r="AD839" s="700"/>
      <c r="AE839" s="702"/>
      <c r="AF839" s="705"/>
      <c r="AG839" s="729">
        <f>IF(AG838&gt;0,AG838/(SUM(AF118:AF122)/1.18),0)</f>
        <v>0</v>
      </c>
      <c r="AH839" s="706"/>
      <c r="AI839" s="729">
        <f>IF(AI838&gt;0,AI838/(SUM(AH118:AH122)/1.18),0)</f>
        <v>0</v>
      </c>
      <c r="AJ839" s="65"/>
    </row>
    <row r="840" spans="2:36" ht="12.75" customHeight="1" outlineLevel="1">
      <c r="B840" s="82">
        <f>B833+1</f>
        <v>18</v>
      </c>
      <c r="C840" s="1233">
        <f>C125</f>
        <v>0</v>
      </c>
      <c r="D840" s="1233">
        <f>D125</f>
        <v>0</v>
      </c>
      <c r="E840" s="83" t="str">
        <f>'Terms and Turnovers'!$J$12</f>
        <v>FLIP-FLOPS</v>
      </c>
      <c r="F840" s="68">
        <f>F125/'Terms and Turnovers'!$J33</f>
        <v>0</v>
      </c>
      <c r="G840" s="106"/>
      <c r="H840" s="68">
        <f>H125/'Terms and Turnovers'!$J33</f>
        <v>0</v>
      </c>
      <c r="I840" s="106"/>
      <c r="J840" s="68">
        <f>J125/'Terms and Turnovers'!$J33</f>
        <v>0</v>
      </c>
      <c r="K840" s="106"/>
      <c r="L840" s="68">
        <f>L125/'Terms and Turnovers'!$J33</f>
        <v>0</v>
      </c>
      <c r="M840" s="106"/>
      <c r="N840" s="68">
        <f>N125/'Terms and Turnovers'!$J33</f>
        <v>0</v>
      </c>
      <c r="O840" s="106"/>
      <c r="P840" s="68">
        <f>P125/'Terms and Turnovers'!$J33</f>
        <v>0</v>
      </c>
      <c r="Q840" s="106"/>
      <c r="R840" s="129">
        <f t="shared" si="95"/>
        <v>0</v>
      </c>
      <c r="S840" s="106"/>
      <c r="T840" s="68">
        <f>T125/'Terms and Turnovers'!$O33</f>
        <v>0</v>
      </c>
      <c r="U840" s="106"/>
      <c r="V840" s="68">
        <f>V125/'Terms and Turnovers'!$O33</f>
        <v>0</v>
      </c>
      <c r="W840" s="106"/>
      <c r="X840" s="68">
        <f>X125/'Terms and Turnovers'!$O33</f>
        <v>0</v>
      </c>
      <c r="Y840" s="106"/>
      <c r="Z840" s="68">
        <f>Z125/'Terms and Turnovers'!$O33</f>
        <v>0</v>
      </c>
      <c r="AA840" s="106"/>
      <c r="AB840" s="68">
        <f>AB125/'Terms and Turnovers'!$O33</f>
        <v>0</v>
      </c>
      <c r="AC840" s="106"/>
      <c r="AD840" s="68">
        <f>AD125/'Terms and Turnovers'!$O33</f>
        <v>0</v>
      </c>
      <c r="AE840" s="106"/>
      <c r="AF840" s="129">
        <f t="shared" si="96"/>
        <v>0</v>
      </c>
      <c r="AG840" s="106"/>
      <c r="AH840" s="130">
        <f t="shared" si="97"/>
        <v>0</v>
      </c>
      <c r="AI840" s="106"/>
      <c r="AJ840" s="65"/>
    </row>
    <row r="841" spans="2:36" ht="12.75" customHeight="1" outlineLevel="1">
      <c r="B841" s="82"/>
      <c r="C841" s="1234"/>
      <c r="D841" s="1234"/>
      <c r="E841" s="84" t="str">
        <f>'Terms and Turnovers'!$T$12</f>
        <v>ORIGINALS</v>
      </c>
      <c r="F841" s="70">
        <f>F126/'Terms and Turnovers'!$T33</f>
        <v>0</v>
      </c>
      <c r="G841" s="728"/>
      <c r="H841" s="70">
        <f>H126/'Terms and Turnovers'!$T33</f>
        <v>0</v>
      </c>
      <c r="I841" s="728"/>
      <c r="J841" s="70">
        <f>J126/'Terms and Turnovers'!$T33</f>
        <v>0</v>
      </c>
      <c r="K841" s="728"/>
      <c r="L841" s="70">
        <f>L126/'Terms and Turnovers'!$T33</f>
        <v>0</v>
      </c>
      <c r="M841" s="728"/>
      <c r="N841" s="70">
        <f>N126/'Terms and Turnovers'!$T33</f>
        <v>0</v>
      </c>
      <c r="O841" s="728"/>
      <c r="P841" s="70">
        <f>P126/'Terms and Turnovers'!$T33</f>
        <v>0</v>
      </c>
      <c r="Q841" s="728"/>
      <c r="R841" s="132">
        <f t="shared" si="95"/>
        <v>0</v>
      </c>
      <c r="S841" s="728"/>
      <c r="T841" s="70">
        <f>T126/'Terms and Turnovers'!$Y33</f>
        <v>0</v>
      </c>
      <c r="U841" s="728"/>
      <c r="V841" s="70">
        <f>V126/'Terms and Turnovers'!$Y33</f>
        <v>0</v>
      </c>
      <c r="W841" s="728"/>
      <c r="X841" s="70">
        <f>X126/'Terms and Turnovers'!$Y33</f>
        <v>0</v>
      </c>
      <c r="Y841" s="728"/>
      <c r="Z841" s="70">
        <f>Z126/'Terms and Turnovers'!$Y33</f>
        <v>0</v>
      </c>
      <c r="AA841" s="728"/>
      <c r="AB841" s="70">
        <f>AB126/'Terms and Turnovers'!$Y33</f>
        <v>0</v>
      </c>
      <c r="AC841" s="728"/>
      <c r="AD841" s="70">
        <f>AD126/'Terms and Turnovers'!$Y33</f>
        <v>0</v>
      </c>
      <c r="AE841" s="728"/>
      <c r="AF841" s="132">
        <f t="shared" si="96"/>
        <v>0</v>
      </c>
      <c r="AG841" s="728"/>
      <c r="AH841" s="133">
        <f t="shared" si="97"/>
        <v>0</v>
      </c>
      <c r="AI841" s="728"/>
      <c r="AJ841" s="65"/>
    </row>
    <row r="842" spans="2:36" ht="12.75" customHeight="1" outlineLevel="1">
      <c r="B842" s="82"/>
      <c r="C842" s="1234"/>
      <c r="D842" s="1234"/>
      <c r="E842" s="84" t="str">
        <f>'Terms and Turnovers'!$AD$12</f>
        <v>ACCESSORIES</v>
      </c>
      <c r="F842" s="70">
        <f>F127/'Terms and Turnovers'!$AD33</f>
        <v>0</v>
      </c>
      <c r="G842" s="728"/>
      <c r="H842" s="70">
        <f>H127/'Terms and Turnovers'!$AD33</f>
        <v>0</v>
      </c>
      <c r="I842" s="728"/>
      <c r="J842" s="70">
        <f>J127/'Terms and Turnovers'!$AD33</f>
        <v>0</v>
      </c>
      <c r="K842" s="728"/>
      <c r="L842" s="70">
        <f>L127/'Terms and Turnovers'!$AD33</f>
        <v>0</v>
      </c>
      <c r="M842" s="728"/>
      <c r="N842" s="70">
        <f>N127/'Terms and Turnovers'!$AD33</f>
        <v>0</v>
      </c>
      <c r="O842" s="728"/>
      <c r="P842" s="70">
        <f>P127/'Terms and Turnovers'!$AD33</f>
        <v>0</v>
      </c>
      <c r="Q842" s="728"/>
      <c r="R842" s="132">
        <f t="shared" si="95"/>
        <v>0</v>
      </c>
      <c r="S842" s="728"/>
      <c r="T842" s="70">
        <f>T127/'Terms and Turnovers'!$AI33</f>
        <v>0</v>
      </c>
      <c r="U842" s="728"/>
      <c r="V842" s="70">
        <f>V127/'Terms and Turnovers'!$AI33</f>
        <v>0</v>
      </c>
      <c r="W842" s="728"/>
      <c r="X842" s="70">
        <f>X127/'Terms and Turnovers'!$AI33</f>
        <v>0</v>
      </c>
      <c r="Y842" s="728"/>
      <c r="Z842" s="70">
        <f>Z127/'Terms and Turnovers'!$AI33</f>
        <v>0</v>
      </c>
      <c r="AA842" s="728"/>
      <c r="AB842" s="70">
        <f>AB127/'Terms and Turnovers'!$AI33</f>
        <v>0</v>
      </c>
      <c r="AC842" s="728"/>
      <c r="AD842" s="70">
        <f>AD127/'Terms and Turnovers'!$AI33</f>
        <v>0</v>
      </c>
      <c r="AE842" s="728"/>
      <c r="AF842" s="132">
        <f t="shared" si="96"/>
        <v>0</v>
      </c>
      <c r="AG842" s="728"/>
      <c r="AH842" s="133">
        <f t="shared" si="97"/>
        <v>0</v>
      </c>
      <c r="AI842" s="728"/>
      <c r="AJ842" s="65"/>
    </row>
    <row r="843" spans="2:36" ht="12.75" customHeight="1" outlineLevel="1">
      <c r="B843" s="82"/>
      <c r="C843" s="1234"/>
      <c r="D843" s="1234"/>
      <c r="E843" s="84">
        <f>'Terms and Turnovers'!$AN$12</f>
        <v>0</v>
      </c>
      <c r="F843" s="70">
        <f>F128/'Terms and Turnovers'!$AN33</f>
        <v>0</v>
      </c>
      <c r="G843" s="728"/>
      <c r="H843" s="70">
        <f>H128/'Terms and Turnovers'!$AN33</f>
        <v>0</v>
      </c>
      <c r="I843" s="728"/>
      <c r="J843" s="70">
        <f>J128/'Terms and Turnovers'!$AN33</f>
        <v>0</v>
      </c>
      <c r="K843" s="728"/>
      <c r="L843" s="70">
        <f>L128/'Terms and Turnovers'!$AN33</f>
        <v>0</v>
      </c>
      <c r="M843" s="728"/>
      <c r="N843" s="70">
        <f>N128/'Terms and Turnovers'!$AN33</f>
        <v>0</v>
      </c>
      <c r="O843" s="728"/>
      <c r="P843" s="70">
        <f>P128/'Terms and Turnovers'!$AN33</f>
        <v>0</v>
      </c>
      <c r="Q843" s="728"/>
      <c r="R843" s="132">
        <f t="shared" si="95"/>
        <v>0</v>
      </c>
      <c r="S843" s="728"/>
      <c r="T843" s="70">
        <f>T128/'Terms and Turnovers'!$AS33</f>
        <v>0</v>
      </c>
      <c r="U843" s="728"/>
      <c r="V843" s="70">
        <f>V128/'Terms and Turnovers'!$AS33</f>
        <v>0</v>
      </c>
      <c r="W843" s="728"/>
      <c r="X843" s="70">
        <f>X128/'Terms and Turnovers'!$AS33</f>
        <v>0</v>
      </c>
      <c r="Y843" s="728"/>
      <c r="Z843" s="70">
        <f>Z128/'Terms and Turnovers'!$AS33</f>
        <v>0</v>
      </c>
      <c r="AA843" s="728"/>
      <c r="AB843" s="70">
        <f>AB128/'Terms and Turnovers'!$AS33</f>
        <v>0</v>
      </c>
      <c r="AC843" s="728"/>
      <c r="AD843" s="70">
        <f>AD128/'Terms and Turnovers'!$AS33</f>
        <v>0</v>
      </c>
      <c r="AE843" s="728"/>
      <c r="AF843" s="132">
        <f t="shared" si="96"/>
        <v>0</v>
      </c>
      <c r="AG843" s="728"/>
      <c r="AH843" s="133">
        <f t="shared" si="97"/>
        <v>0</v>
      </c>
      <c r="AI843" s="728"/>
      <c r="AJ843" s="65"/>
    </row>
    <row r="844" spans="2:36" ht="13.5" customHeight="1" outlineLevel="1" thickBot="1">
      <c r="B844" s="82"/>
      <c r="C844" s="1235"/>
      <c r="D844" s="1235"/>
      <c r="E844" s="85">
        <f>'Terms and Turnovers'!$AX$12</f>
        <v>0</v>
      </c>
      <c r="F844" s="70">
        <f>F129/'Terms and Turnovers'!$AX33</f>
        <v>0</v>
      </c>
      <c r="G844" s="107"/>
      <c r="H844" s="70">
        <f>H129/'Terms and Turnovers'!$AX33</f>
        <v>0</v>
      </c>
      <c r="I844" s="107"/>
      <c r="J844" s="70">
        <f>J129/'Terms and Turnovers'!$AX33</f>
        <v>0</v>
      </c>
      <c r="K844" s="107"/>
      <c r="L844" s="70">
        <f>L129/'Terms and Turnovers'!$AX33</f>
        <v>0</v>
      </c>
      <c r="M844" s="107"/>
      <c r="N844" s="70">
        <f>N129/'Terms and Turnovers'!$AX33</f>
        <v>0</v>
      </c>
      <c r="O844" s="107"/>
      <c r="P844" s="70">
        <f>P129/'Terms and Turnovers'!$AX33</f>
        <v>0</v>
      </c>
      <c r="Q844" s="107"/>
      <c r="R844" s="135">
        <f t="shared" si="95"/>
        <v>0</v>
      </c>
      <c r="S844" s="107"/>
      <c r="T844" s="70">
        <f>T129/'Terms and Turnovers'!$AX$33</f>
        <v>0</v>
      </c>
      <c r="U844" s="107"/>
      <c r="V844" s="70">
        <f>V129/'Terms and Turnovers'!$AX$33</f>
        <v>0</v>
      </c>
      <c r="W844" s="107"/>
      <c r="X844" s="70">
        <f>X129/'Terms and Turnovers'!$AX$33</f>
        <v>0</v>
      </c>
      <c r="Y844" s="107"/>
      <c r="Z844" s="70">
        <f>Z129/'Terms and Turnovers'!$AX$33</f>
        <v>0</v>
      </c>
      <c r="AA844" s="107"/>
      <c r="AB844" s="70">
        <f>AB129/'Terms and Turnovers'!$AX$33</f>
        <v>0</v>
      </c>
      <c r="AC844" s="107"/>
      <c r="AD844" s="70">
        <f>AD129/'Terms and Turnovers'!$AX$33</f>
        <v>0</v>
      </c>
      <c r="AE844" s="107"/>
      <c r="AF844" s="135">
        <f t="shared" si="96"/>
        <v>0</v>
      </c>
      <c r="AG844" s="107"/>
      <c r="AH844" s="136">
        <f t="shared" si="97"/>
        <v>0</v>
      </c>
      <c r="AI844" s="107"/>
      <c r="AJ844" s="65"/>
    </row>
    <row r="845" spans="2:36" ht="13.5" customHeight="1" outlineLevel="1">
      <c r="B845" s="82"/>
      <c r="C845" s="425"/>
      <c r="D845" s="425"/>
      <c r="E845" s="634"/>
      <c r="F845" s="635"/>
      <c r="G845" s="428"/>
      <c r="H845" s="635"/>
      <c r="I845" s="428"/>
      <c r="J845" s="635"/>
      <c r="K845" s="636"/>
      <c r="L845" s="635"/>
      <c r="M845" s="636"/>
      <c r="N845" s="635"/>
      <c r="O845" s="636"/>
      <c r="P845" s="635"/>
      <c r="Q845" s="636"/>
      <c r="R845" s="637"/>
      <c r="S845" s="698">
        <f>SUM(R125:R129)/1.18-(SUM(R840:R844)*'Mark Up Validation'!$M$175)</f>
        <v>0</v>
      </c>
      <c r="T845" s="635"/>
      <c r="U845" s="636"/>
      <c r="V845" s="635"/>
      <c r="W845" s="636"/>
      <c r="X845" s="635"/>
      <c r="Y845" s="636"/>
      <c r="Z845" s="635"/>
      <c r="AA845" s="636"/>
      <c r="AB845" s="635"/>
      <c r="AC845" s="636"/>
      <c r="AD845" s="635"/>
      <c r="AE845" s="636"/>
      <c r="AF845" s="637"/>
      <c r="AG845" s="698">
        <f>SUM(AF125:AF129)/1.18-SUM(AF840:AF844)*'Mark Up Validation'!$M$175</f>
        <v>0</v>
      </c>
      <c r="AH845" s="638"/>
      <c r="AI845" s="698">
        <f>SUM(AH125:AH129)/1.18-SUM(AH840:AH844)*'Mark Up Validation'!$M$175</f>
        <v>0</v>
      </c>
      <c r="AJ845" s="65"/>
    </row>
    <row r="846" spans="2:36" ht="13.5" customHeight="1" outlineLevel="1" thickBot="1">
      <c r="B846" s="82"/>
      <c r="C846" s="1228" t="s">
        <v>487</v>
      </c>
      <c r="D846" s="1229"/>
      <c r="E846" s="699"/>
      <c r="F846" s="700"/>
      <c r="G846" s="701"/>
      <c r="H846" s="700"/>
      <c r="I846" s="701"/>
      <c r="J846" s="700"/>
      <c r="K846" s="702"/>
      <c r="L846" s="700"/>
      <c r="M846" s="702"/>
      <c r="N846" s="700"/>
      <c r="O846" s="702"/>
      <c r="P846" s="700"/>
      <c r="Q846" s="702"/>
      <c r="R846" s="703"/>
      <c r="S846" s="729">
        <f>IF(S845&gt;0,S845/(SUM(R125:R129)/1.18),0)</f>
        <v>0</v>
      </c>
      <c r="T846" s="704"/>
      <c r="U846" s="702"/>
      <c r="V846" s="700"/>
      <c r="W846" s="702"/>
      <c r="X846" s="700"/>
      <c r="Y846" s="702"/>
      <c r="Z846" s="700"/>
      <c r="AA846" s="702"/>
      <c r="AB846" s="700"/>
      <c r="AC846" s="702"/>
      <c r="AD846" s="700"/>
      <c r="AE846" s="702"/>
      <c r="AF846" s="705"/>
      <c r="AG846" s="729">
        <f>IF(AG845&gt;0,AG845/(SUM(AF125:AF129)/1.18),0)</f>
        <v>0</v>
      </c>
      <c r="AH846" s="706"/>
      <c r="AI846" s="729">
        <f>IF(AI845&gt;0,AI845/(SUM(AH125:AH129)/1.18),0)</f>
        <v>0</v>
      </c>
      <c r="AJ846" s="65"/>
    </row>
    <row r="847" spans="2:36" ht="12.75" customHeight="1" outlineLevel="1">
      <c r="B847" s="82">
        <f>B840+1</f>
        <v>19</v>
      </c>
      <c r="C847" s="1233">
        <f>C132</f>
        <v>0</v>
      </c>
      <c r="D847" s="1233">
        <f>D132</f>
        <v>0</v>
      </c>
      <c r="E847" s="83" t="str">
        <f>'Terms and Turnovers'!$J$12</f>
        <v>FLIP-FLOPS</v>
      </c>
      <c r="F847" s="68">
        <f>F132/'Terms and Turnovers'!$J34</f>
        <v>0</v>
      </c>
      <c r="G847" s="106"/>
      <c r="H847" s="68">
        <f>H132/'Terms and Turnovers'!$J34</f>
        <v>0</v>
      </c>
      <c r="I847" s="106"/>
      <c r="J847" s="68">
        <f>J132/'Terms and Turnovers'!$J34</f>
        <v>0</v>
      </c>
      <c r="K847" s="106"/>
      <c r="L847" s="68">
        <f>L132/'Terms and Turnovers'!$J34</f>
        <v>0</v>
      </c>
      <c r="M847" s="106"/>
      <c r="N847" s="68">
        <f>N132/'Terms and Turnovers'!$J34</f>
        <v>0</v>
      </c>
      <c r="O847" s="106"/>
      <c r="P847" s="68">
        <f>P132/'Terms and Turnovers'!$J34</f>
        <v>0</v>
      </c>
      <c r="Q847" s="106"/>
      <c r="R847" s="129">
        <f t="shared" si="95"/>
        <v>0</v>
      </c>
      <c r="S847" s="106"/>
      <c r="T847" s="68">
        <f>T132/'Terms and Turnovers'!$O34</f>
        <v>0</v>
      </c>
      <c r="U847" s="106"/>
      <c r="V847" s="68">
        <f>V132/'Terms and Turnovers'!$O34</f>
        <v>0</v>
      </c>
      <c r="W847" s="106"/>
      <c r="X847" s="68">
        <f>X132/'Terms and Turnovers'!$O34</f>
        <v>0</v>
      </c>
      <c r="Y847" s="106"/>
      <c r="Z847" s="68">
        <f>Z132/'Terms and Turnovers'!$O34</f>
        <v>0</v>
      </c>
      <c r="AA847" s="106"/>
      <c r="AB847" s="68">
        <f>AB132/'Terms and Turnovers'!$O34</f>
        <v>0</v>
      </c>
      <c r="AC847" s="106"/>
      <c r="AD847" s="68">
        <f>AD132/'Terms and Turnovers'!$O34</f>
        <v>0</v>
      </c>
      <c r="AE847" s="106"/>
      <c r="AF847" s="129">
        <f t="shared" si="96"/>
        <v>0</v>
      </c>
      <c r="AG847" s="106"/>
      <c r="AH847" s="130">
        <f t="shared" si="97"/>
        <v>0</v>
      </c>
      <c r="AI847" s="106"/>
      <c r="AJ847" s="65"/>
    </row>
    <row r="848" spans="2:36" ht="12.75" customHeight="1" outlineLevel="1">
      <c r="B848" s="82"/>
      <c r="C848" s="1234"/>
      <c r="D848" s="1234"/>
      <c r="E848" s="84" t="str">
        <f>'Terms and Turnovers'!$T$12</f>
        <v>ORIGINALS</v>
      </c>
      <c r="F848" s="70">
        <f>F133/'Terms and Turnovers'!$T34</f>
        <v>0</v>
      </c>
      <c r="G848" s="728"/>
      <c r="H848" s="70">
        <f>H133/'Terms and Turnovers'!$T34</f>
        <v>0</v>
      </c>
      <c r="I848" s="728"/>
      <c r="J848" s="70">
        <f>J133/'Terms and Turnovers'!$T34</f>
        <v>0</v>
      </c>
      <c r="K848" s="728"/>
      <c r="L848" s="70">
        <f>L133/'Terms and Turnovers'!$T34</f>
        <v>0</v>
      </c>
      <c r="M848" s="728"/>
      <c r="N848" s="70">
        <f>N133/'Terms and Turnovers'!$T34</f>
        <v>0</v>
      </c>
      <c r="O848" s="728"/>
      <c r="P848" s="70">
        <f>P133/'Terms and Turnovers'!$T34</f>
        <v>0</v>
      </c>
      <c r="Q848" s="728"/>
      <c r="R848" s="132">
        <f t="shared" si="95"/>
        <v>0</v>
      </c>
      <c r="S848" s="728"/>
      <c r="T848" s="70">
        <f>T133/'Terms and Turnovers'!$Y34</f>
        <v>0</v>
      </c>
      <c r="U848" s="728"/>
      <c r="V848" s="70">
        <f>V133/'Terms and Turnovers'!$Y34</f>
        <v>0</v>
      </c>
      <c r="W848" s="728"/>
      <c r="X848" s="70">
        <f>X133/'Terms and Turnovers'!$Y34</f>
        <v>0</v>
      </c>
      <c r="Y848" s="728"/>
      <c r="Z848" s="70">
        <f>Z133/'Terms and Turnovers'!$Y34</f>
        <v>0</v>
      </c>
      <c r="AA848" s="728"/>
      <c r="AB848" s="70">
        <f>AB133/'Terms and Turnovers'!$Y34</f>
        <v>0</v>
      </c>
      <c r="AC848" s="728"/>
      <c r="AD848" s="70">
        <f>AD133/'Terms and Turnovers'!$Y34</f>
        <v>0</v>
      </c>
      <c r="AE848" s="728"/>
      <c r="AF848" s="132">
        <f t="shared" si="96"/>
        <v>0</v>
      </c>
      <c r="AG848" s="728"/>
      <c r="AH848" s="133">
        <f t="shared" si="97"/>
        <v>0</v>
      </c>
      <c r="AI848" s="728"/>
      <c r="AJ848" s="65"/>
    </row>
    <row r="849" spans="2:36" ht="12.75" customHeight="1" outlineLevel="1">
      <c r="B849" s="82"/>
      <c r="C849" s="1234"/>
      <c r="D849" s="1234"/>
      <c r="E849" s="84" t="str">
        <f>'Terms and Turnovers'!$AD$12</f>
        <v>ACCESSORIES</v>
      </c>
      <c r="F849" s="70">
        <f>F134/'Terms and Turnovers'!$AD34</f>
        <v>0</v>
      </c>
      <c r="G849" s="728"/>
      <c r="H849" s="70">
        <f>H134/'Terms and Turnovers'!$AD34</f>
        <v>0</v>
      </c>
      <c r="I849" s="728"/>
      <c r="J849" s="70">
        <f>J134/'Terms and Turnovers'!$AD34</f>
        <v>0</v>
      </c>
      <c r="K849" s="728"/>
      <c r="L849" s="70">
        <f>L134/'Terms and Turnovers'!$AD34</f>
        <v>0</v>
      </c>
      <c r="M849" s="728"/>
      <c r="N849" s="70">
        <f>N134/'Terms and Turnovers'!$AD34</f>
        <v>0</v>
      </c>
      <c r="O849" s="728"/>
      <c r="P849" s="70">
        <f>P134/'Terms and Turnovers'!$AD34</f>
        <v>0</v>
      </c>
      <c r="Q849" s="728"/>
      <c r="R849" s="132">
        <f t="shared" si="95"/>
        <v>0</v>
      </c>
      <c r="S849" s="728"/>
      <c r="T849" s="70">
        <f>T134/'Terms and Turnovers'!$AI34</f>
        <v>0</v>
      </c>
      <c r="U849" s="728"/>
      <c r="V849" s="70">
        <f>V134/'Terms and Turnovers'!$AI34</f>
        <v>0</v>
      </c>
      <c r="W849" s="728"/>
      <c r="X849" s="70">
        <f>X134/'Terms and Turnovers'!$AI34</f>
        <v>0</v>
      </c>
      <c r="Y849" s="728"/>
      <c r="Z849" s="70">
        <f>Z134/'Terms and Turnovers'!$AI34</f>
        <v>0</v>
      </c>
      <c r="AA849" s="728"/>
      <c r="AB849" s="70">
        <f>AB134/'Terms and Turnovers'!$AI34</f>
        <v>0</v>
      </c>
      <c r="AC849" s="728"/>
      <c r="AD849" s="70">
        <f>AD134/'Terms and Turnovers'!$AI34</f>
        <v>0</v>
      </c>
      <c r="AE849" s="728"/>
      <c r="AF849" s="132">
        <f t="shared" si="96"/>
        <v>0</v>
      </c>
      <c r="AG849" s="728"/>
      <c r="AH849" s="133">
        <f t="shared" si="97"/>
        <v>0</v>
      </c>
      <c r="AI849" s="728"/>
      <c r="AJ849" s="65"/>
    </row>
    <row r="850" spans="2:36" ht="12.75" customHeight="1" outlineLevel="1">
      <c r="B850" s="82"/>
      <c r="C850" s="1234"/>
      <c r="D850" s="1234"/>
      <c r="E850" s="84">
        <f>'Terms and Turnovers'!$AN$12</f>
        <v>0</v>
      </c>
      <c r="F850" s="70">
        <f>F135/'Terms and Turnovers'!$AN34</f>
        <v>0</v>
      </c>
      <c r="G850" s="728"/>
      <c r="H850" s="70">
        <f>H135/'Terms and Turnovers'!$AN34</f>
        <v>0</v>
      </c>
      <c r="I850" s="728"/>
      <c r="J850" s="70">
        <f>J135/'Terms and Turnovers'!$AN34</f>
        <v>0</v>
      </c>
      <c r="K850" s="728"/>
      <c r="L850" s="70">
        <f>L135/'Terms and Turnovers'!$AN34</f>
        <v>0</v>
      </c>
      <c r="M850" s="728"/>
      <c r="N850" s="70">
        <f>N135/'Terms and Turnovers'!$AN34</f>
        <v>0</v>
      </c>
      <c r="O850" s="728"/>
      <c r="P850" s="70">
        <f>P135/'Terms and Turnovers'!$AN34</f>
        <v>0</v>
      </c>
      <c r="Q850" s="728"/>
      <c r="R850" s="132">
        <f t="shared" si="95"/>
        <v>0</v>
      </c>
      <c r="S850" s="728"/>
      <c r="T850" s="70">
        <f>T135/'Terms and Turnovers'!$AS34</f>
        <v>0</v>
      </c>
      <c r="U850" s="728"/>
      <c r="V850" s="70">
        <f>V135/'Terms and Turnovers'!$AS34</f>
        <v>0</v>
      </c>
      <c r="W850" s="728"/>
      <c r="X850" s="70">
        <f>X135/'Terms and Turnovers'!$AS34</f>
        <v>0</v>
      </c>
      <c r="Y850" s="728"/>
      <c r="Z850" s="70">
        <f>Z135/'Terms and Turnovers'!$AS34</f>
        <v>0</v>
      </c>
      <c r="AA850" s="728"/>
      <c r="AB850" s="70">
        <f>AB135/'Terms and Turnovers'!$AS34</f>
        <v>0</v>
      </c>
      <c r="AC850" s="728"/>
      <c r="AD850" s="70">
        <f>AD135/'Terms and Turnovers'!$AS34</f>
        <v>0</v>
      </c>
      <c r="AE850" s="728"/>
      <c r="AF850" s="132">
        <f t="shared" si="96"/>
        <v>0</v>
      </c>
      <c r="AG850" s="728"/>
      <c r="AH850" s="133">
        <f t="shared" si="97"/>
        <v>0</v>
      </c>
      <c r="AI850" s="728"/>
      <c r="AJ850" s="65"/>
    </row>
    <row r="851" spans="2:36" ht="13.5" customHeight="1" outlineLevel="1" thickBot="1">
      <c r="B851" s="82"/>
      <c r="C851" s="1235"/>
      <c r="D851" s="1235"/>
      <c r="E851" s="85">
        <f>'Terms and Turnovers'!$AX$12</f>
        <v>0</v>
      </c>
      <c r="F851" s="70">
        <f>F136/'Terms and Turnovers'!$AX34</f>
        <v>0</v>
      </c>
      <c r="G851" s="107"/>
      <c r="H851" s="70">
        <f>H136/'Terms and Turnovers'!$AX34</f>
        <v>0</v>
      </c>
      <c r="I851" s="107"/>
      <c r="J851" s="70">
        <f>J136/'Terms and Turnovers'!$AX34</f>
        <v>0</v>
      </c>
      <c r="K851" s="107"/>
      <c r="L851" s="70">
        <f>L136/'Terms and Turnovers'!$AX34</f>
        <v>0</v>
      </c>
      <c r="M851" s="107"/>
      <c r="N851" s="70">
        <f>N136/'Terms and Turnovers'!$AX34</f>
        <v>0</v>
      </c>
      <c r="O851" s="107"/>
      <c r="P851" s="70">
        <f>P136/'Terms and Turnovers'!$AX34</f>
        <v>0</v>
      </c>
      <c r="Q851" s="107"/>
      <c r="R851" s="135">
        <f t="shared" si="95"/>
        <v>0</v>
      </c>
      <c r="S851" s="107"/>
      <c r="T851" s="70">
        <f>T136/'Terms and Turnovers'!$AX$34</f>
        <v>0</v>
      </c>
      <c r="U851" s="107"/>
      <c r="V851" s="70">
        <f>V136/'Terms and Turnovers'!$AX$34</f>
        <v>0</v>
      </c>
      <c r="W851" s="107"/>
      <c r="X851" s="70">
        <f>X136/'Terms and Turnovers'!$AX$34</f>
        <v>0</v>
      </c>
      <c r="Y851" s="107"/>
      <c r="Z851" s="70">
        <f>Z136/'Terms and Turnovers'!$AX$34</f>
        <v>0</v>
      </c>
      <c r="AA851" s="107"/>
      <c r="AB851" s="70">
        <f>AB136/'Terms and Turnovers'!$AX$34</f>
        <v>0</v>
      </c>
      <c r="AC851" s="107"/>
      <c r="AD851" s="70">
        <f>AD136/'Terms and Turnovers'!$AX$34</f>
        <v>0</v>
      </c>
      <c r="AE851" s="107"/>
      <c r="AF851" s="135">
        <f t="shared" si="96"/>
        <v>0</v>
      </c>
      <c r="AG851" s="107"/>
      <c r="AH851" s="136">
        <f t="shared" si="97"/>
        <v>0</v>
      </c>
      <c r="AI851" s="107"/>
      <c r="AJ851" s="65"/>
    </row>
    <row r="852" spans="2:36" ht="13.5" customHeight="1" outlineLevel="1">
      <c r="B852" s="82"/>
      <c r="C852" s="425"/>
      <c r="D852" s="425"/>
      <c r="E852" s="634"/>
      <c r="F852" s="635"/>
      <c r="G852" s="428"/>
      <c r="H852" s="635"/>
      <c r="I852" s="428"/>
      <c r="J852" s="635"/>
      <c r="K852" s="636"/>
      <c r="L852" s="635"/>
      <c r="M852" s="636"/>
      <c r="N852" s="635"/>
      <c r="O852" s="636"/>
      <c r="P852" s="635"/>
      <c r="Q852" s="636"/>
      <c r="R852" s="637"/>
      <c r="S852" s="698">
        <f>SUM(R132:R136)/1.18-(SUM(R847:R851)*'Mark Up Validation'!$M$175)</f>
        <v>0</v>
      </c>
      <c r="T852" s="635"/>
      <c r="U852" s="636"/>
      <c r="V852" s="635"/>
      <c r="W852" s="636"/>
      <c r="X852" s="635"/>
      <c r="Y852" s="636"/>
      <c r="Z852" s="635"/>
      <c r="AA852" s="636"/>
      <c r="AB852" s="635"/>
      <c r="AC852" s="636"/>
      <c r="AD852" s="635"/>
      <c r="AE852" s="636"/>
      <c r="AF852" s="637"/>
      <c r="AG852" s="698">
        <f>SUM(AF132:AF136)/1.18-SUM(AF847:AF851)*'Mark Up Validation'!$M$175</f>
        <v>0</v>
      </c>
      <c r="AH852" s="638"/>
      <c r="AI852" s="698">
        <f>SUM(AH132:AH136)/1.18-SUM(AH847:AH851)*'Mark Up Validation'!$M$175</f>
        <v>0</v>
      </c>
      <c r="AJ852" s="65"/>
    </row>
    <row r="853" spans="2:36" ht="13.5" customHeight="1" outlineLevel="1" thickBot="1">
      <c r="B853" s="82"/>
      <c r="C853" s="1228" t="s">
        <v>487</v>
      </c>
      <c r="D853" s="1229"/>
      <c r="E853" s="699"/>
      <c r="F853" s="700"/>
      <c r="G853" s="701"/>
      <c r="H853" s="700"/>
      <c r="I853" s="701"/>
      <c r="J853" s="700"/>
      <c r="K853" s="702"/>
      <c r="L853" s="700"/>
      <c r="M853" s="702"/>
      <c r="N853" s="700"/>
      <c r="O853" s="702"/>
      <c r="P853" s="700"/>
      <c r="Q853" s="702"/>
      <c r="R853" s="703"/>
      <c r="S853" s="729">
        <f>IF(S852&gt;0,S852/(SUM(R132:R136)/1.18),0)</f>
        <v>0</v>
      </c>
      <c r="T853" s="704"/>
      <c r="U853" s="702"/>
      <c r="V853" s="700"/>
      <c r="W853" s="702"/>
      <c r="X853" s="700"/>
      <c r="Y853" s="702"/>
      <c r="Z853" s="700"/>
      <c r="AA853" s="702"/>
      <c r="AB853" s="700"/>
      <c r="AC853" s="702"/>
      <c r="AD853" s="700"/>
      <c r="AE853" s="702"/>
      <c r="AF853" s="705"/>
      <c r="AG853" s="729">
        <f>IF(AG852&gt;0,AG852/(SUM(AF132:AF136)/1.18),0)</f>
        <v>0</v>
      </c>
      <c r="AH853" s="706"/>
      <c r="AI853" s="729">
        <f>IF(AI852&gt;0,AI852/(SUM(AH132:AH136)/1.18),0)</f>
        <v>0</v>
      </c>
      <c r="AJ853" s="65"/>
    </row>
    <row r="854" spans="2:36" ht="12.75" customHeight="1" outlineLevel="1">
      <c r="B854" s="82">
        <f>B847+1</f>
        <v>20</v>
      </c>
      <c r="C854" s="1233">
        <f>C139</f>
        <v>0</v>
      </c>
      <c r="D854" s="1233">
        <f>D139</f>
        <v>0</v>
      </c>
      <c r="E854" s="83" t="str">
        <f>'Terms and Turnovers'!$J$12</f>
        <v>FLIP-FLOPS</v>
      </c>
      <c r="F854" s="68">
        <f>F139/'Terms and Turnovers'!$J35</f>
        <v>0</v>
      </c>
      <c r="G854" s="106"/>
      <c r="H854" s="68">
        <f>H139/'Terms and Turnovers'!$J35</f>
        <v>0</v>
      </c>
      <c r="I854" s="106"/>
      <c r="J854" s="68">
        <f>J139/'Terms and Turnovers'!$J35</f>
        <v>0</v>
      </c>
      <c r="K854" s="106"/>
      <c r="L854" s="68">
        <f>L139/'Terms and Turnovers'!$J35</f>
        <v>0</v>
      </c>
      <c r="M854" s="106"/>
      <c r="N854" s="68">
        <f>N139/'Terms and Turnovers'!$J35</f>
        <v>0</v>
      </c>
      <c r="O854" s="106"/>
      <c r="P854" s="68">
        <f>P139/'Terms and Turnovers'!$J35</f>
        <v>0</v>
      </c>
      <c r="Q854" s="106"/>
      <c r="R854" s="129">
        <f t="shared" si="95"/>
        <v>0</v>
      </c>
      <c r="S854" s="106"/>
      <c r="T854" s="68">
        <f>T139/'Terms and Turnovers'!$O35</f>
        <v>0</v>
      </c>
      <c r="U854" s="106"/>
      <c r="V854" s="68">
        <f>V139/'Terms and Turnovers'!$O35</f>
        <v>0</v>
      </c>
      <c r="W854" s="106"/>
      <c r="X854" s="68">
        <f>X139/'Terms and Turnovers'!$O35</f>
        <v>0</v>
      </c>
      <c r="Y854" s="106"/>
      <c r="Z854" s="68">
        <f>Z139/'Terms and Turnovers'!$O35</f>
        <v>0</v>
      </c>
      <c r="AA854" s="106"/>
      <c r="AB854" s="68">
        <f>AB139/'Terms and Turnovers'!$O35</f>
        <v>0</v>
      </c>
      <c r="AC854" s="106"/>
      <c r="AD854" s="68">
        <f>AD139/'Terms and Turnovers'!$O35</f>
        <v>0</v>
      </c>
      <c r="AE854" s="106"/>
      <c r="AF854" s="129">
        <f t="shared" si="96"/>
        <v>0</v>
      </c>
      <c r="AG854" s="106"/>
      <c r="AH854" s="130">
        <f t="shared" si="97"/>
        <v>0</v>
      </c>
      <c r="AI854" s="106"/>
      <c r="AJ854" s="65"/>
    </row>
    <row r="855" spans="2:36" ht="12.75" customHeight="1" outlineLevel="1">
      <c r="B855" s="82"/>
      <c r="C855" s="1234"/>
      <c r="D855" s="1234"/>
      <c r="E855" s="84" t="str">
        <f>'Terms and Turnovers'!$T$12</f>
        <v>ORIGINALS</v>
      </c>
      <c r="F855" s="70">
        <f>F140/'Terms and Turnovers'!$T35</f>
        <v>0</v>
      </c>
      <c r="G855" s="728"/>
      <c r="H855" s="70">
        <f>H140/'Terms and Turnovers'!$T35</f>
        <v>0</v>
      </c>
      <c r="I855" s="728"/>
      <c r="J855" s="70">
        <f>J140/'Terms and Turnovers'!$T35</f>
        <v>0</v>
      </c>
      <c r="K855" s="728"/>
      <c r="L855" s="70">
        <f>L140/'Terms and Turnovers'!$T35</f>
        <v>0</v>
      </c>
      <c r="M855" s="728"/>
      <c r="N855" s="70">
        <f>N140/'Terms and Turnovers'!$T35</f>
        <v>0</v>
      </c>
      <c r="O855" s="728"/>
      <c r="P855" s="70">
        <f>P140/'Terms and Turnovers'!$T35</f>
        <v>0</v>
      </c>
      <c r="Q855" s="728"/>
      <c r="R855" s="132">
        <f t="shared" si="95"/>
        <v>0</v>
      </c>
      <c r="S855" s="728"/>
      <c r="T855" s="70">
        <f>T140/'Terms and Turnovers'!$Y35</f>
        <v>0</v>
      </c>
      <c r="U855" s="728"/>
      <c r="V855" s="70">
        <f>V140/'Terms and Turnovers'!$Y35</f>
        <v>0</v>
      </c>
      <c r="W855" s="728"/>
      <c r="X855" s="70">
        <f>X140/'Terms and Turnovers'!$Y35</f>
        <v>0</v>
      </c>
      <c r="Y855" s="728"/>
      <c r="Z855" s="70">
        <f>Z140/'Terms and Turnovers'!$Y35</f>
        <v>0</v>
      </c>
      <c r="AA855" s="728"/>
      <c r="AB855" s="70">
        <f>AB140/'Terms and Turnovers'!$Y35</f>
        <v>0</v>
      </c>
      <c r="AC855" s="728"/>
      <c r="AD855" s="70">
        <f>AD140/'Terms and Turnovers'!$Y35</f>
        <v>0</v>
      </c>
      <c r="AE855" s="728"/>
      <c r="AF855" s="132">
        <f t="shared" si="96"/>
        <v>0</v>
      </c>
      <c r="AG855" s="728"/>
      <c r="AH855" s="133">
        <f t="shared" si="97"/>
        <v>0</v>
      </c>
      <c r="AI855" s="728"/>
      <c r="AJ855" s="65"/>
    </row>
    <row r="856" spans="2:36" ht="12.75" customHeight="1" outlineLevel="1">
      <c r="B856" s="82"/>
      <c r="C856" s="1234"/>
      <c r="D856" s="1234"/>
      <c r="E856" s="84" t="str">
        <f>'Terms and Turnovers'!$AD$12</f>
        <v>ACCESSORIES</v>
      </c>
      <c r="F856" s="70">
        <f>F141/'Terms and Turnovers'!$AD35</f>
        <v>0</v>
      </c>
      <c r="G856" s="728"/>
      <c r="H856" s="70">
        <f>H141/'Terms and Turnovers'!$AD35</f>
        <v>0</v>
      </c>
      <c r="I856" s="728"/>
      <c r="J856" s="70">
        <f>J141/'Terms and Turnovers'!$AD35</f>
        <v>0</v>
      </c>
      <c r="K856" s="728"/>
      <c r="L856" s="70">
        <f>L141/'Terms and Turnovers'!$AD35</f>
        <v>0</v>
      </c>
      <c r="M856" s="728"/>
      <c r="N856" s="70">
        <f>N141/'Terms and Turnovers'!$AD35</f>
        <v>0</v>
      </c>
      <c r="O856" s="728"/>
      <c r="P856" s="70">
        <f>P141/'Terms and Turnovers'!$AD35</f>
        <v>0</v>
      </c>
      <c r="Q856" s="728"/>
      <c r="R856" s="132">
        <f t="shared" si="95"/>
        <v>0</v>
      </c>
      <c r="S856" s="728"/>
      <c r="T856" s="70">
        <f>T141/'Terms and Turnovers'!$AI35</f>
        <v>0</v>
      </c>
      <c r="U856" s="728"/>
      <c r="V856" s="70">
        <f>V141/'Terms and Turnovers'!$AI35</f>
        <v>0</v>
      </c>
      <c r="W856" s="728"/>
      <c r="X856" s="70">
        <f>X141/'Terms and Turnovers'!$AI35</f>
        <v>0</v>
      </c>
      <c r="Y856" s="728"/>
      <c r="Z856" s="70">
        <f>Z141/'Terms and Turnovers'!$AI35</f>
        <v>0</v>
      </c>
      <c r="AA856" s="728"/>
      <c r="AB856" s="70">
        <f>AB141/'Terms and Turnovers'!$AI35</f>
        <v>0</v>
      </c>
      <c r="AC856" s="728"/>
      <c r="AD856" s="70">
        <f>AD141/'Terms and Turnovers'!$AI35</f>
        <v>0</v>
      </c>
      <c r="AE856" s="728"/>
      <c r="AF856" s="132">
        <f t="shared" si="96"/>
        <v>0</v>
      </c>
      <c r="AG856" s="728"/>
      <c r="AH856" s="133">
        <f t="shared" si="97"/>
        <v>0</v>
      </c>
      <c r="AI856" s="728"/>
      <c r="AJ856" s="65"/>
    </row>
    <row r="857" spans="2:36" ht="12.75" customHeight="1" outlineLevel="1">
      <c r="B857" s="82"/>
      <c r="C857" s="1234"/>
      <c r="D857" s="1234"/>
      <c r="E857" s="84">
        <f>'Terms and Turnovers'!$AN$12</f>
        <v>0</v>
      </c>
      <c r="F857" s="70">
        <f>F142/'Terms and Turnovers'!$AN35</f>
        <v>0</v>
      </c>
      <c r="G857" s="728"/>
      <c r="H857" s="70">
        <f>H142/'Terms and Turnovers'!$AN35</f>
        <v>0</v>
      </c>
      <c r="I857" s="728"/>
      <c r="J857" s="70">
        <f>J142/'Terms and Turnovers'!$AN35</f>
        <v>0</v>
      </c>
      <c r="K857" s="728"/>
      <c r="L857" s="70">
        <f>L142/'Terms and Turnovers'!$AN35</f>
        <v>0</v>
      </c>
      <c r="M857" s="728"/>
      <c r="N857" s="70">
        <f>N142/'Terms and Turnovers'!$AN35</f>
        <v>0</v>
      </c>
      <c r="O857" s="728"/>
      <c r="P857" s="70">
        <f>P142/'Terms and Turnovers'!$AN35</f>
        <v>0</v>
      </c>
      <c r="Q857" s="728"/>
      <c r="R857" s="132">
        <f t="shared" si="95"/>
        <v>0</v>
      </c>
      <c r="S857" s="728"/>
      <c r="T857" s="70">
        <f>T142/'Terms and Turnovers'!$AS35</f>
        <v>0</v>
      </c>
      <c r="U857" s="728"/>
      <c r="V857" s="70">
        <f>V142/'Terms and Turnovers'!$AS35</f>
        <v>0</v>
      </c>
      <c r="W857" s="728"/>
      <c r="X857" s="70">
        <f>X142/'Terms and Turnovers'!$AS35</f>
        <v>0</v>
      </c>
      <c r="Y857" s="728"/>
      <c r="Z857" s="70">
        <f>Z142/'Terms and Turnovers'!$AS35</f>
        <v>0</v>
      </c>
      <c r="AA857" s="728"/>
      <c r="AB857" s="70">
        <f>AB142/'Terms and Turnovers'!$AS35</f>
        <v>0</v>
      </c>
      <c r="AC857" s="728"/>
      <c r="AD857" s="70">
        <f>AD142/'Terms and Turnovers'!$AS35</f>
        <v>0</v>
      </c>
      <c r="AE857" s="728"/>
      <c r="AF857" s="132">
        <f t="shared" si="96"/>
        <v>0</v>
      </c>
      <c r="AG857" s="728"/>
      <c r="AH857" s="133">
        <f t="shared" si="97"/>
        <v>0</v>
      </c>
      <c r="AI857" s="728"/>
      <c r="AJ857" s="65"/>
    </row>
    <row r="858" spans="2:36" ht="13.5" customHeight="1" outlineLevel="1" thickBot="1">
      <c r="B858" s="82"/>
      <c r="C858" s="1235"/>
      <c r="D858" s="1235"/>
      <c r="E858" s="85">
        <f>'Terms and Turnovers'!$AX$12</f>
        <v>0</v>
      </c>
      <c r="F858" s="70">
        <f>F143/'Terms and Turnovers'!$AX35</f>
        <v>0</v>
      </c>
      <c r="G858" s="107"/>
      <c r="H858" s="70">
        <f>H143/'Terms and Turnovers'!$AX35</f>
        <v>0</v>
      </c>
      <c r="I858" s="107"/>
      <c r="J858" s="70">
        <f>J143/'Terms and Turnovers'!$AX35</f>
        <v>0</v>
      </c>
      <c r="K858" s="107"/>
      <c r="L858" s="70">
        <f>L143/'Terms and Turnovers'!$AX35</f>
        <v>0</v>
      </c>
      <c r="M858" s="107"/>
      <c r="N858" s="70">
        <f>N143/'Terms and Turnovers'!$AX35</f>
        <v>0</v>
      </c>
      <c r="O858" s="107"/>
      <c r="P858" s="70">
        <f>P143/'Terms and Turnovers'!$AX35</f>
        <v>0</v>
      </c>
      <c r="Q858" s="107"/>
      <c r="R858" s="135">
        <f t="shared" si="95"/>
        <v>0</v>
      </c>
      <c r="S858" s="107"/>
      <c r="T858" s="70">
        <f>T143/'Terms and Turnovers'!$AX$35</f>
        <v>0</v>
      </c>
      <c r="U858" s="107"/>
      <c r="V858" s="70">
        <f>V143/'Terms and Turnovers'!$AX$35</f>
        <v>0</v>
      </c>
      <c r="W858" s="107"/>
      <c r="X858" s="70">
        <f>X143/'Terms and Turnovers'!$AX$35</f>
        <v>0</v>
      </c>
      <c r="Y858" s="107"/>
      <c r="Z858" s="70">
        <f>Z143/'Terms and Turnovers'!$AX$35</f>
        <v>0</v>
      </c>
      <c r="AA858" s="107"/>
      <c r="AB858" s="70">
        <f>AB143/'Terms and Turnovers'!$AX$35</f>
        <v>0</v>
      </c>
      <c r="AC858" s="107"/>
      <c r="AD858" s="70">
        <f>AD143/'Terms and Turnovers'!$AX$35</f>
        <v>0</v>
      </c>
      <c r="AE858" s="107"/>
      <c r="AF858" s="135">
        <f t="shared" si="96"/>
        <v>0</v>
      </c>
      <c r="AG858" s="107"/>
      <c r="AH858" s="136">
        <f t="shared" si="97"/>
        <v>0</v>
      </c>
      <c r="AI858" s="107"/>
      <c r="AJ858" s="65"/>
    </row>
    <row r="859" spans="2:36" ht="13.5" customHeight="1" outlineLevel="1">
      <c r="B859" s="82"/>
      <c r="C859" s="425"/>
      <c r="D859" s="425"/>
      <c r="E859" s="634"/>
      <c r="F859" s="635"/>
      <c r="G859" s="428"/>
      <c r="H859" s="635"/>
      <c r="I859" s="428"/>
      <c r="J859" s="635"/>
      <c r="K859" s="636"/>
      <c r="L859" s="635"/>
      <c r="M859" s="636"/>
      <c r="N859" s="635"/>
      <c r="O859" s="636"/>
      <c r="P859" s="635"/>
      <c r="Q859" s="636"/>
      <c r="R859" s="637"/>
      <c r="S859" s="698">
        <f>SUM(R139:R143)/1.18-(SUM(R854:R858)*'Mark Up Validation'!$M$175)</f>
        <v>0</v>
      </c>
      <c r="T859" s="635"/>
      <c r="U859" s="636"/>
      <c r="V859" s="635"/>
      <c r="W859" s="636"/>
      <c r="X859" s="635"/>
      <c r="Y859" s="636"/>
      <c r="Z859" s="635"/>
      <c r="AA859" s="636"/>
      <c r="AB859" s="635"/>
      <c r="AC859" s="636"/>
      <c r="AD859" s="635"/>
      <c r="AE859" s="636"/>
      <c r="AF859" s="637"/>
      <c r="AG859" s="698">
        <f>SUM(AF139:AF143)/1.18-SUM(AF854:AF858)*'Mark Up Validation'!$M$175</f>
        <v>0</v>
      </c>
      <c r="AH859" s="638"/>
      <c r="AI859" s="698">
        <f>SUM(AH139:AH143)/1.18-SUM(AH854:AH858)*'Mark Up Validation'!$M$175</f>
        <v>0</v>
      </c>
      <c r="AJ859" s="65"/>
    </row>
    <row r="860" spans="2:36" ht="13.5" customHeight="1" outlineLevel="1" thickBot="1">
      <c r="B860" s="82"/>
      <c r="C860" s="1228" t="s">
        <v>487</v>
      </c>
      <c r="D860" s="1229"/>
      <c r="E860" s="699"/>
      <c r="F860" s="700"/>
      <c r="G860" s="701"/>
      <c r="H860" s="700"/>
      <c r="I860" s="701"/>
      <c r="J860" s="700"/>
      <c r="K860" s="702"/>
      <c r="L860" s="700"/>
      <c r="M860" s="702"/>
      <c r="N860" s="700"/>
      <c r="O860" s="702"/>
      <c r="P860" s="700"/>
      <c r="Q860" s="702"/>
      <c r="R860" s="703"/>
      <c r="S860" s="729">
        <f>IF(S859&gt;0,S859/(SUM(R139:R143)/1.18),0)</f>
        <v>0</v>
      </c>
      <c r="T860" s="704"/>
      <c r="U860" s="702"/>
      <c r="V860" s="700"/>
      <c r="W860" s="702"/>
      <c r="X860" s="700"/>
      <c r="Y860" s="702"/>
      <c r="Z860" s="700"/>
      <c r="AA860" s="702"/>
      <c r="AB860" s="700"/>
      <c r="AC860" s="702"/>
      <c r="AD860" s="700"/>
      <c r="AE860" s="702"/>
      <c r="AF860" s="705"/>
      <c r="AG860" s="729">
        <f>IF(AG859&gt;0,AG859/(SUM(AF139:AF143)/1.18),0)</f>
        <v>0</v>
      </c>
      <c r="AH860" s="706"/>
      <c r="AI860" s="729">
        <f>IF(AI859&gt;0,AI859/(SUM(AH139:AH143)/1.18),0)</f>
        <v>0</v>
      </c>
      <c r="AJ860" s="65"/>
    </row>
    <row r="861" spans="2:36" ht="12.75" customHeight="1" outlineLevel="1">
      <c r="B861" s="82">
        <f>B854+1</f>
        <v>21</v>
      </c>
      <c r="C861" s="1233">
        <f>C146</f>
        <v>0</v>
      </c>
      <c r="D861" s="1233">
        <f>D146</f>
        <v>0</v>
      </c>
      <c r="E861" s="83" t="str">
        <f>'Terms and Turnovers'!$J$12</f>
        <v>FLIP-FLOPS</v>
      </c>
      <c r="F861" s="68">
        <f>F146/'Terms and Turnovers'!$J36</f>
        <v>0</v>
      </c>
      <c r="G861" s="106"/>
      <c r="H861" s="68">
        <f>H146/'Terms and Turnovers'!$J36</f>
        <v>0</v>
      </c>
      <c r="I861" s="106"/>
      <c r="J861" s="68">
        <f>J146/'Terms and Turnovers'!$J36</f>
        <v>0</v>
      </c>
      <c r="K861" s="106"/>
      <c r="L861" s="68">
        <f>L146/'Terms and Turnovers'!$J36</f>
        <v>0</v>
      </c>
      <c r="M861" s="106"/>
      <c r="N861" s="68">
        <f>N146/'Terms and Turnovers'!$J36</f>
        <v>0</v>
      </c>
      <c r="O861" s="106"/>
      <c r="P861" s="68">
        <f>P146/'Terms and Turnovers'!$J36</f>
        <v>0</v>
      </c>
      <c r="Q861" s="106"/>
      <c r="R861" s="129">
        <f t="shared" si="95"/>
        <v>0</v>
      </c>
      <c r="S861" s="106"/>
      <c r="T861" s="68">
        <f>T146/'Terms and Turnovers'!$O36</f>
        <v>0</v>
      </c>
      <c r="U861" s="106"/>
      <c r="V861" s="68">
        <f>V146/'Terms and Turnovers'!$O36</f>
        <v>0</v>
      </c>
      <c r="W861" s="106"/>
      <c r="X861" s="68">
        <f>X146/'Terms and Turnovers'!$O36</f>
        <v>0</v>
      </c>
      <c r="Y861" s="106"/>
      <c r="Z861" s="68">
        <f>Z146/'Terms and Turnovers'!$O36</f>
        <v>0</v>
      </c>
      <c r="AA861" s="106"/>
      <c r="AB861" s="68">
        <f>AB146/'Terms and Turnovers'!$O36</f>
        <v>0</v>
      </c>
      <c r="AC861" s="106"/>
      <c r="AD861" s="68">
        <f>AD146/'Terms and Turnovers'!$O36</f>
        <v>0</v>
      </c>
      <c r="AE861" s="106"/>
      <c r="AF861" s="129">
        <f t="shared" si="96"/>
        <v>0</v>
      </c>
      <c r="AG861" s="106"/>
      <c r="AH861" s="130">
        <f t="shared" si="97"/>
        <v>0</v>
      </c>
      <c r="AI861" s="106"/>
      <c r="AJ861" s="65"/>
    </row>
    <row r="862" spans="2:36" ht="12.75" customHeight="1" outlineLevel="1">
      <c r="B862" s="82"/>
      <c r="C862" s="1234"/>
      <c r="D862" s="1234"/>
      <c r="E862" s="84" t="str">
        <f>'Terms and Turnovers'!$T$12</f>
        <v>ORIGINALS</v>
      </c>
      <c r="F862" s="70">
        <f>F147/'Terms and Turnovers'!$T36</f>
        <v>0</v>
      </c>
      <c r="G862" s="728"/>
      <c r="H862" s="70">
        <f>H147/'Terms and Turnovers'!$T36</f>
        <v>0</v>
      </c>
      <c r="I862" s="728"/>
      <c r="J862" s="70">
        <f>J147/'Terms and Turnovers'!$T36</f>
        <v>0</v>
      </c>
      <c r="K862" s="728"/>
      <c r="L862" s="70">
        <f>L147/'Terms and Turnovers'!$T36</f>
        <v>0</v>
      </c>
      <c r="M862" s="728"/>
      <c r="N862" s="70">
        <f>N147/'Terms and Turnovers'!$T36</f>
        <v>0</v>
      </c>
      <c r="O862" s="728"/>
      <c r="P862" s="70">
        <f>P147/'Terms and Turnovers'!$T36</f>
        <v>0</v>
      </c>
      <c r="Q862" s="728"/>
      <c r="R862" s="132">
        <f t="shared" si="95"/>
        <v>0</v>
      </c>
      <c r="S862" s="728"/>
      <c r="T862" s="70">
        <f>T147/'Terms and Turnovers'!$Y36</f>
        <v>0</v>
      </c>
      <c r="U862" s="728"/>
      <c r="V862" s="70">
        <f>V147/'Terms and Turnovers'!$Y36</f>
        <v>0</v>
      </c>
      <c r="W862" s="728"/>
      <c r="X862" s="70">
        <f>X147/'Terms and Turnovers'!$Y36</f>
        <v>0</v>
      </c>
      <c r="Y862" s="728"/>
      <c r="Z862" s="70">
        <f>Z147/'Terms and Turnovers'!$Y36</f>
        <v>0</v>
      </c>
      <c r="AA862" s="728"/>
      <c r="AB862" s="70">
        <f>AB147/'Terms and Turnovers'!$Y36</f>
        <v>0</v>
      </c>
      <c r="AC862" s="728"/>
      <c r="AD862" s="70">
        <f>AD147/'Terms and Turnovers'!$Y36</f>
        <v>0</v>
      </c>
      <c r="AE862" s="728"/>
      <c r="AF862" s="132">
        <f t="shared" si="96"/>
        <v>0</v>
      </c>
      <c r="AG862" s="728"/>
      <c r="AH862" s="133">
        <f t="shared" si="97"/>
        <v>0</v>
      </c>
      <c r="AI862" s="728"/>
      <c r="AJ862" s="65"/>
    </row>
    <row r="863" spans="2:36" ht="12.75" customHeight="1" outlineLevel="1">
      <c r="B863" s="82"/>
      <c r="C863" s="1234"/>
      <c r="D863" s="1234"/>
      <c r="E863" s="84" t="str">
        <f>'Terms and Turnovers'!$AD$12</f>
        <v>ACCESSORIES</v>
      </c>
      <c r="F863" s="70">
        <f>F148/'Terms and Turnovers'!$AD36</f>
        <v>0</v>
      </c>
      <c r="G863" s="728"/>
      <c r="H863" s="70">
        <f>H148/'Terms and Turnovers'!$AD36</f>
        <v>0</v>
      </c>
      <c r="I863" s="728"/>
      <c r="J863" s="70">
        <f>J148/'Terms and Turnovers'!$AD36</f>
        <v>0</v>
      </c>
      <c r="K863" s="728"/>
      <c r="L863" s="70">
        <f>L148/'Terms and Turnovers'!$AD36</f>
        <v>0</v>
      </c>
      <c r="M863" s="728"/>
      <c r="N863" s="70">
        <f>N148/'Terms and Turnovers'!$AD36</f>
        <v>0</v>
      </c>
      <c r="O863" s="728"/>
      <c r="P863" s="70">
        <f>P148/'Terms and Turnovers'!$AD36</f>
        <v>0</v>
      </c>
      <c r="Q863" s="728"/>
      <c r="R863" s="132">
        <f t="shared" si="95"/>
        <v>0</v>
      </c>
      <c r="S863" s="728"/>
      <c r="T863" s="70">
        <f>T148/'Terms and Turnovers'!$AI36</f>
        <v>0</v>
      </c>
      <c r="U863" s="728"/>
      <c r="V863" s="70">
        <f>V148/'Terms and Turnovers'!$AI36</f>
        <v>0</v>
      </c>
      <c r="W863" s="728"/>
      <c r="X863" s="70">
        <f>X148/'Terms and Turnovers'!$AI36</f>
        <v>0</v>
      </c>
      <c r="Y863" s="728"/>
      <c r="Z863" s="70">
        <f>Z148/'Terms and Turnovers'!$AI36</f>
        <v>0</v>
      </c>
      <c r="AA863" s="728"/>
      <c r="AB863" s="70">
        <f>AB148/'Terms and Turnovers'!$AI36</f>
        <v>0</v>
      </c>
      <c r="AC863" s="728"/>
      <c r="AD863" s="70">
        <f>AD148/'Terms and Turnovers'!$AI36</f>
        <v>0</v>
      </c>
      <c r="AE863" s="728"/>
      <c r="AF863" s="132">
        <f t="shared" si="96"/>
        <v>0</v>
      </c>
      <c r="AG863" s="728"/>
      <c r="AH863" s="133">
        <f t="shared" si="97"/>
        <v>0</v>
      </c>
      <c r="AI863" s="728"/>
      <c r="AJ863" s="65"/>
    </row>
    <row r="864" spans="2:36" ht="12.75" customHeight="1" outlineLevel="1">
      <c r="B864" s="82"/>
      <c r="C864" s="1234"/>
      <c r="D864" s="1234"/>
      <c r="E864" s="84">
        <f>'Terms and Turnovers'!$AN$12</f>
        <v>0</v>
      </c>
      <c r="F864" s="70">
        <f>F149/'Terms and Turnovers'!$AN36</f>
        <v>0</v>
      </c>
      <c r="G864" s="728"/>
      <c r="H864" s="70">
        <f>H149/'Terms and Turnovers'!$AN36</f>
        <v>0</v>
      </c>
      <c r="I864" s="728"/>
      <c r="J864" s="70">
        <f>J149/'Terms and Turnovers'!$AN36</f>
        <v>0</v>
      </c>
      <c r="K864" s="728"/>
      <c r="L864" s="70">
        <f>L149/'Terms and Turnovers'!$AN36</f>
        <v>0</v>
      </c>
      <c r="M864" s="728"/>
      <c r="N864" s="70">
        <f>N149/'Terms and Turnovers'!$AN36</f>
        <v>0</v>
      </c>
      <c r="O864" s="728"/>
      <c r="P864" s="70">
        <f>P149/'Terms and Turnovers'!$AN36</f>
        <v>0</v>
      </c>
      <c r="Q864" s="728"/>
      <c r="R864" s="132">
        <f t="shared" si="95"/>
        <v>0</v>
      </c>
      <c r="S864" s="728"/>
      <c r="T864" s="70">
        <f>T149/'Terms and Turnovers'!$AS36</f>
        <v>0</v>
      </c>
      <c r="U864" s="728"/>
      <c r="V864" s="70">
        <f>V149/'Terms and Turnovers'!$AS36</f>
        <v>0</v>
      </c>
      <c r="W864" s="728"/>
      <c r="X864" s="70">
        <f>X149/'Terms and Turnovers'!$AS36</f>
        <v>0</v>
      </c>
      <c r="Y864" s="728"/>
      <c r="Z864" s="70">
        <f>Z149/'Terms and Turnovers'!$AS36</f>
        <v>0</v>
      </c>
      <c r="AA864" s="728"/>
      <c r="AB864" s="70">
        <f>AB149/'Terms and Turnovers'!$AS36</f>
        <v>0</v>
      </c>
      <c r="AC864" s="728"/>
      <c r="AD864" s="70">
        <f>AD149/'Terms and Turnovers'!$AS36</f>
        <v>0</v>
      </c>
      <c r="AE864" s="728"/>
      <c r="AF864" s="132">
        <f t="shared" si="96"/>
        <v>0</v>
      </c>
      <c r="AG864" s="728"/>
      <c r="AH864" s="133">
        <f t="shared" si="97"/>
        <v>0</v>
      </c>
      <c r="AI864" s="728"/>
      <c r="AJ864" s="65"/>
    </row>
    <row r="865" spans="2:36" ht="13.5" customHeight="1" outlineLevel="1" thickBot="1">
      <c r="B865" s="82"/>
      <c r="C865" s="1235"/>
      <c r="D865" s="1235"/>
      <c r="E865" s="85">
        <f>'Terms and Turnovers'!$AX$12</f>
        <v>0</v>
      </c>
      <c r="F865" s="70">
        <f>F150/'Terms and Turnovers'!$AX36</f>
        <v>0</v>
      </c>
      <c r="G865" s="107"/>
      <c r="H865" s="70">
        <f>H150/'Terms and Turnovers'!$AX36</f>
        <v>0</v>
      </c>
      <c r="I865" s="107"/>
      <c r="J865" s="70">
        <f>J150/'Terms and Turnovers'!$AX36</f>
        <v>0</v>
      </c>
      <c r="K865" s="107"/>
      <c r="L865" s="70">
        <f>L150/'Terms and Turnovers'!$AX36</f>
        <v>0</v>
      </c>
      <c r="M865" s="107"/>
      <c r="N865" s="70">
        <f>N150/'Terms and Turnovers'!$AX36</f>
        <v>0</v>
      </c>
      <c r="O865" s="107"/>
      <c r="P865" s="70">
        <f>P150/'Terms and Turnovers'!$AX36</f>
        <v>0</v>
      </c>
      <c r="Q865" s="107"/>
      <c r="R865" s="135">
        <f t="shared" si="95"/>
        <v>0</v>
      </c>
      <c r="S865" s="107"/>
      <c r="T865" s="70">
        <f>T150/'Terms and Turnovers'!$AX$36</f>
        <v>0</v>
      </c>
      <c r="U865" s="107"/>
      <c r="V865" s="70">
        <f>V150/'Terms and Turnovers'!$AX$36</f>
        <v>0</v>
      </c>
      <c r="W865" s="107"/>
      <c r="X865" s="70">
        <f>X150/'Terms and Turnovers'!$AX$36</f>
        <v>0</v>
      </c>
      <c r="Y865" s="107"/>
      <c r="Z865" s="70">
        <f>Z150/'Terms and Turnovers'!$AX$36</f>
        <v>0</v>
      </c>
      <c r="AA865" s="107"/>
      <c r="AB865" s="70">
        <f>AB150/'Terms and Turnovers'!$AX$36</f>
        <v>0</v>
      </c>
      <c r="AC865" s="107"/>
      <c r="AD865" s="70">
        <f>AD150/'Terms and Turnovers'!$AX$36</f>
        <v>0</v>
      </c>
      <c r="AE865" s="107"/>
      <c r="AF865" s="135">
        <f t="shared" si="96"/>
        <v>0</v>
      </c>
      <c r="AG865" s="107"/>
      <c r="AH865" s="136">
        <f t="shared" si="97"/>
        <v>0</v>
      </c>
      <c r="AI865" s="107"/>
      <c r="AJ865" s="65"/>
    </row>
    <row r="866" spans="2:36" ht="13.5" customHeight="1" outlineLevel="1">
      <c r="B866" s="82"/>
      <c r="C866" s="425"/>
      <c r="D866" s="425"/>
      <c r="E866" s="634"/>
      <c r="F866" s="635"/>
      <c r="G866" s="428"/>
      <c r="H866" s="635"/>
      <c r="I866" s="428"/>
      <c r="J866" s="635"/>
      <c r="K866" s="636"/>
      <c r="L866" s="635"/>
      <c r="M866" s="636"/>
      <c r="N866" s="635"/>
      <c r="O866" s="636"/>
      <c r="P866" s="635"/>
      <c r="Q866" s="636"/>
      <c r="R866" s="637"/>
      <c r="S866" s="698">
        <f>SUM(R146:R150)/1.18-(SUM(R861:R865)*'Mark Up Validation'!$M$175)</f>
        <v>0</v>
      </c>
      <c r="T866" s="635"/>
      <c r="U866" s="636"/>
      <c r="V866" s="635"/>
      <c r="W866" s="636"/>
      <c r="X866" s="635"/>
      <c r="Y866" s="636"/>
      <c r="Z866" s="635"/>
      <c r="AA866" s="636"/>
      <c r="AB866" s="635"/>
      <c r="AC866" s="636"/>
      <c r="AD866" s="635"/>
      <c r="AE866" s="636"/>
      <c r="AF866" s="637"/>
      <c r="AG866" s="698">
        <f>SUM(AF146:AF150)/1.18-SUM(AF861:AF865)*'Mark Up Validation'!$M$175</f>
        <v>0</v>
      </c>
      <c r="AH866" s="638"/>
      <c r="AI866" s="698">
        <f>SUM(AH146:AH150)/1.18-SUM(AH861:AH865)*'Mark Up Validation'!$M$175</f>
        <v>0</v>
      </c>
      <c r="AJ866" s="65"/>
    </row>
    <row r="867" spans="2:36" ht="13.5" customHeight="1" outlineLevel="1" thickBot="1">
      <c r="B867" s="82"/>
      <c r="C867" s="1228" t="s">
        <v>487</v>
      </c>
      <c r="D867" s="1229"/>
      <c r="E867" s="699"/>
      <c r="F867" s="700"/>
      <c r="G867" s="701"/>
      <c r="H867" s="700"/>
      <c r="I867" s="701"/>
      <c r="J867" s="700"/>
      <c r="K867" s="702"/>
      <c r="L867" s="700"/>
      <c r="M867" s="702"/>
      <c r="N867" s="700"/>
      <c r="O867" s="702"/>
      <c r="P867" s="700"/>
      <c r="Q867" s="702"/>
      <c r="R867" s="703"/>
      <c r="S867" s="729">
        <f>IF(S866&gt;0,S866/(SUM(R146:R150)/1.18),0)</f>
        <v>0</v>
      </c>
      <c r="T867" s="704"/>
      <c r="U867" s="702"/>
      <c r="V867" s="700"/>
      <c r="W867" s="702"/>
      <c r="X867" s="700"/>
      <c r="Y867" s="702"/>
      <c r="Z867" s="700"/>
      <c r="AA867" s="702"/>
      <c r="AB867" s="700"/>
      <c r="AC867" s="702"/>
      <c r="AD867" s="700"/>
      <c r="AE867" s="702"/>
      <c r="AF867" s="705"/>
      <c r="AG867" s="729">
        <f>IF(AG866&gt;0,AG866/(SUM(AF146:AF150)/1.18),0)</f>
        <v>0</v>
      </c>
      <c r="AH867" s="706"/>
      <c r="AI867" s="729">
        <f>IF(AI866&gt;0,AI866/(SUM(AH146:AH150)/1.18),0)</f>
        <v>0</v>
      </c>
      <c r="AJ867" s="65"/>
    </row>
    <row r="868" spans="2:36" ht="12.75" customHeight="1" outlineLevel="1">
      <c r="B868" s="82">
        <f>B861+1</f>
        <v>22</v>
      </c>
      <c r="C868" s="1233">
        <f>C153</f>
        <v>0</v>
      </c>
      <c r="D868" s="1233">
        <f>D153</f>
        <v>0</v>
      </c>
      <c r="E868" s="83" t="str">
        <f>'Terms and Turnovers'!$J$12</f>
        <v>FLIP-FLOPS</v>
      </c>
      <c r="F868" s="68">
        <f>F153/'Terms and Turnovers'!$J37</f>
        <v>0</v>
      </c>
      <c r="G868" s="106"/>
      <c r="H868" s="68">
        <f>H153/'Terms and Turnovers'!$J37</f>
        <v>0</v>
      </c>
      <c r="I868" s="106"/>
      <c r="J868" s="68">
        <f>J153/'Terms and Turnovers'!$J37</f>
        <v>0</v>
      </c>
      <c r="K868" s="106"/>
      <c r="L868" s="68">
        <f>L153/'Terms and Turnovers'!$J37</f>
        <v>0</v>
      </c>
      <c r="M868" s="106"/>
      <c r="N868" s="68">
        <f>N153/'Terms and Turnovers'!$J37</f>
        <v>0</v>
      </c>
      <c r="O868" s="106"/>
      <c r="P868" s="68">
        <f>P153/'Terms and Turnovers'!$J37</f>
        <v>0</v>
      </c>
      <c r="Q868" s="106"/>
      <c r="R868" s="129">
        <f t="shared" si="95"/>
        <v>0</v>
      </c>
      <c r="S868" s="106"/>
      <c r="T868" s="68">
        <f>T153/'Terms and Turnovers'!$O37</f>
        <v>0</v>
      </c>
      <c r="U868" s="106"/>
      <c r="V868" s="68">
        <f>V153/'Terms and Turnovers'!$O37</f>
        <v>0</v>
      </c>
      <c r="W868" s="106"/>
      <c r="X868" s="68">
        <f>X153/'Terms and Turnovers'!$O37</f>
        <v>0</v>
      </c>
      <c r="Y868" s="106"/>
      <c r="Z868" s="68">
        <f>Z153/'Terms and Turnovers'!$O37</f>
        <v>0</v>
      </c>
      <c r="AA868" s="106"/>
      <c r="AB868" s="68">
        <f>AB153/'Terms and Turnovers'!$O37</f>
        <v>0</v>
      </c>
      <c r="AC868" s="106"/>
      <c r="AD868" s="68">
        <f>AD153/'Terms and Turnovers'!$O37</f>
        <v>0</v>
      </c>
      <c r="AE868" s="106"/>
      <c r="AF868" s="129">
        <f t="shared" si="96"/>
        <v>0</v>
      </c>
      <c r="AG868" s="106"/>
      <c r="AH868" s="130">
        <f t="shared" si="97"/>
        <v>0</v>
      </c>
      <c r="AI868" s="106"/>
      <c r="AJ868" s="65"/>
    </row>
    <row r="869" spans="2:36" ht="12.75" customHeight="1" outlineLevel="1">
      <c r="B869" s="82"/>
      <c r="C869" s="1234"/>
      <c r="D869" s="1234"/>
      <c r="E869" s="84" t="str">
        <f>'Terms and Turnovers'!$T$12</f>
        <v>ORIGINALS</v>
      </c>
      <c r="F869" s="70">
        <f>F154/'Terms and Turnovers'!$T37</f>
        <v>0</v>
      </c>
      <c r="G869" s="728"/>
      <c r="H869" s="70">
        <f>H154/'Terms and Turnovers'!$T37</f>
        <v>0</v>
      </c>
      <c r="I869" s="728"/>
      <c r="J869" s="70">
        <f>J154/'Terms and Turnovers'!$T37</f>
        <v>0</v>
      </c>
      <c r="K869" s="728"/>
      <c r="L869" s="70">
        <f>L154/'Terms and Turnovers'!$T37</f>
        <v>0</v>
      </c>
      <c r="M869" s="728"/>
      <c r="N869" s="70">
        <f>N154/'Terms and Turnovers'!$T37</f>
        <v>0</v>
      </c>
      <c r="O869" s="728"/>
      <c r="P869" s="70">
        <f>P154/'Terms and Turnovers'!$T37</f>
        <v>0</v>
      </c>
      <c r="Q869" s="728"/>
      <c r="R869" s="132">
        <f t="shared" si="95"/>
        <v>0</v>
      </c>
      <c r="S869" s="728"/>
      <c r="T869" s="70">
        <f>T154/'Terms and Turnovers'!$Y37</f>
        <v>0</v>
      </c>
      <c r="U869" s="728"/>
      <c r="V869" s="70">
        <f>V154/'Terms and Turnovers'!$Y37</f>
        <v>0</v>
      </c>
      <c r="W869" s="728"/>
      <c r="X869" s="70">
        <f>X154/'Terms and Turnovers'!$Y37</f>
        <v>0</v>
      </c>
      <c r="Y869" s="728"/>
      <c r="Z869" s="70">
        <f>Z154/'Terms and Turnovers'!$Y37</f>
        <v>0</v>
      </c>
      <c r="AA869" s="728"/>
      <c r="AB869" s="70">
        <f>AB154/'Terms and Turnovers'!$Y37</f>
        <v>0</v>
      </c>
      <c r="AC869" s="728"/>
      <c r="AD869" s="70">
        <f>AD154/'Terms and Turnovers'!$Y37</f>
        <v>0</v>
      </c>
      <c r="AE869" s="728"/>
      <c r="AF869" s="132">
        <f t="shared" si="96"/>
        <v>0</v>
      </c>
      <c r="AG869" s="728"/>
      <c r="AH869" s="133">
        <f t="shared" si="97"/>
        <v>0</v>
      </c>
      <c r="AI869" s="728"/>
      <c r="AJ869" s="65"/>
    </row>
    <row r="870" spans="2:36" ht="12.75" customHeight="1" outlineLevel="1">
      <c r="B870" s="82"/>
      <c r="C870" s="1234"/>
      <c r="D870" s="1234"/>
      <c r="E870" s="84" t="str">
        <f>'Terms and Turnovers'!$AD$12</f>
        <v>ACCESSORIES</v>
      </c>
      <c r="F870" s="70">
        <f>F155/'Terms and Turnovers'!$AD37</f>
        <v>0</v>
      </c>
      <c r="G870" s="728"/>
      <c r="H870" s="70">
        <f>H155/'Terms and Turnovers'!$AD37</f>
        <v>0</v>
      </c>
      <c r="I870" s="728"/>
      <c r="J870" s="70">
        <f>J155/'Terms and Turnovers'!$AD37</f>
        <v>0</v>
      </c>
      <c r="K870" s="728"/>
      <c r="L870" s="70">
        <f>L155/'Terms and Turnovers'!$AD37</f>
        <v>0</v>
      </c>
      <c r="M870" s="728"/>
      <c r="N870" s="70">
        <f>N155/'Terms and Turnovers'!$AD37</f>
        <v>0</v>
      </c>
      <c r="O870" s="728"/>
      <c r="P870" s="70">
        <f>P155/'Terms and Turnovers'!$AD37</f>
        <v>0</v>
      </c>
      <c r="Q870" s="728"/>
      <c r="R870" s="132">
        <f t="shared" si="95"/>
        <v>0</v>
      </c>
      <c r="S870" s="728"/>
      <c r="T870" s="70">
        <f>T155/'Terms and Turnovers'!$AI37</f>
        <v>0</v>
      </c>
      <c r="U870" s="728"/>
      <c r="V870" s="70">
        <f>V155/'Terms and Turnovers'!$AI37</f>
        <v>0</v>
      </c>
      <c r="W870" s="728"/>
      <c r="X870" s="70">
        <f>X155/'Terms and Turnovers'!$AI37</f>
        <v>0</v>
      </c>
      <c r="Y870" s="728"/>
      <c r="Z870" s="70">
        <f>Z155/'Terms and Turnovers'!$AI37</f>
        <v>0</v>
      </c>
      <c r="AA870" s="728"/>
      <c r="AB870" s="70">
        <f>AB155/'Terms and Turnovers'!$AI37</f>
        <v>0</v>
      </c>
      <c r="AC870" s="728"/>
      <c r="AD870" s="70">
        <f>AD155/'Terms and Turnovers'!$AI37</f>
        <v>0</v>
      </c>
      <c r="AE870" s="728"/>
      <c r="AF870" s="132">
        <f t="shared" si="96"/>
        <v>0</v>
      </c>
      <c r="AG870" s="728"/>
      <c r="AH870" s="133">
        <f t="shared" si="97"/>
        <v>0</v>
      </c>
      <c r="AI870" s="728"/>
      <c r="AJ870" s="65"/>
    </row>
    <row r="871" spans="2:36" ht="12.75" customHeight="1" outlineLevel="1">
      <c r="B871" s="82"/>
      <c r="C871" s="1234"/>
      <c r="D871" s="1234"/>
      <c r="E871" s="84">
        <f>'Terms and Turnovers'!$AN$12</f>
        <v>0</v>
      </c>
      <c r="F871" s="70">
        <f>F156/'Terms and Turnovers'!$AN37</f>
        <v>0</v>
      </c>
      <c r="G871" s="728"/>
      <c r="H871" s="70">
        <f>H156/'Terms and Turnovers'!$AN37</f>
        <v>0</v>
      </c>
      <c r="I871" s="728"/>
      <c r="J871" s="70">
        <f>J156/'Terms and Turnovers'!$AN37</f>
        <v>0</v>
      </c>
      <c r="K871" s="728"/>
      <c r="L871" s="70">
        <f>L156/'Terms and Turnovers'!$AN37</f>
        <v>0</v>
      </c>
      <c r="M871" s="728"/>
      <c r="N871" s="70">
        <f>N156/'Terms and Turnovers'!$AN37</f>
        <v>0</v>
      </c>
      <c r="O871" s="728"/>
      <c r="P871" s="70">
        <f>P156/'Terms and Turnovers'!$AN37</f>
        <v>0</v>
      </c>
      <c r="Q871" s="728"/>
      <c r="R871" s="132">
        <f t="shared" si="95"/>
        <v>0</v>
      </c>
      <c r="S871" s="728"/>
      <c r="T871" s="70">
        <f>T156/'Terms and Turnovers'!$AS37</f>
        <v>0</v>
      </c>
      <c r="U871" s="728"/>
      <c r="V871" s="70">
        <f>V156/'Terms and Turnovers'!$AS37</f>
        <v>0</v>
      </c>
      <c r="W871" s="728"/>
      <c r="X871" s="70">
        <f>X156/'Terms and Turnovers'!$AS37</f>
        <v>0</v>
      </c>
      <c r="Y871" s="728"/>
      <c r="Z871" s="70">
        <f>Z156/'Terms and Turnovers'!$AS37</f>
        <v>0</v>
      </c>
      <c r="AA871" s="728"/>
      <c r="AB871" s="70">
        <f>AB156/'Terms and Turnovers'!$AS37</f>
        <v>0</v>
      </c>
      <c r="AC871" s="728"/>
      <c r="AD871" s="70">
        <f>AD156/'Terms and Turnovers'!$AS37</f>
        <v>0</v>
      </c>
      <c r="AE871" s="728"/>
      <c r="AF871" s="132">
        <f t="shared" si="96"/>
        <v>0</v>
      </c>
      <c r="AG871" s="728"/>
      <c r="AH871" s="133">
        <f t="shared" si="97"/>
        <v>0</v>
      </c>
      <c r="AI871" s="728"/>
      <c r="AJ871" s="65"/>
    </row>
    <row r="872" spans="2:36" ht="13.5" customHeight="1" outlineLevel="1" thickBot="1">
      <c r="B872" s="82"/>
      <c r="C872" s="1235"/>
      <c r="D872" s="1235"/>
      <c r="E872" s="85">
        <f>'Terms and Turnovers'!$AX$12</f>
        <v>0</v>
      </c>
      <c r="F872" s="70">
        <f>F157/'Terms and Turnovers'!$AX37</f>
        <v>0</v>
      </c>
      <c r="G872" s="107"/>
      <c r="H872" s="70">
        <f>H157/'Terms and Turnovers'!$AX37</f>
        <v>0</v>
      </c>
      <c r="I872" s="107"/>
      <c r="J872" s="70">
        <f>J157/'Terms and Turnovers'!$AX37</f>
        <v>0</v>
      </c>
      <c r="K872" s="107"/>
      <c r="L872" s="70">
        <f>L157/'Terms and Turnovers'!$AX37</f>
        <v>0</v>
      </c>
      <c r="M872" s="107"/>
      <c r="N872" s="70">
        <f>N157/'Terms and Turnovers'!$AX37</f>
        <v>0</v>
      </c>
      <c r="O872" s="107"/>
      <c r="P872" s="70">
        <f>P157/'Terms and Turnovers'!$AX37</f>
        <v>0</v>
      </c>
      <c r="Q872" s="107"/>
      <c r="R872" s="135">
        <f t="shared" si="95"/>
        <v>0</v>
      </c>
      <c r="S872" s="107"/>
      <c r="T872" s="70">
        <f>T157/'Terms and Turnovers'!$AX$37</f>
        <v>0</v>
      </c>
      <c r="U872" s="107"/>
      <c r="V872" s="70">
        <f>V157/'Terms and Turnovers'!$AX$37</f>
        <v>0</v>
      </c>
      <c r="W872" s="107"/>
      <c r="X872" s="70">
        <f>X157/'Terms and Turnovers'!$AX$37</f>
        <v>0</v>
      </c>
      <c r="Y872" s="107"/>
      <c r="Z872" s="70">
        <f>Z157/'Terms and Turnovers'!$AX$37</f>
        <v>0</v>
      </c>
      <c r="AA872" s="107"/>
      <c r="AB872" s="70">
        <f>AB157/'Terms and Turnovers'!$AX$37</f>
        <v>0</v>
      </c>
      <c r="AC872" s="107"/>
      <c r="AD872" s="70">
        <f>AD157/'Terms and Turnovers'!$AX$37</f>
        <v>0</v>
      </c>
      <c r="AE872" s="107"/>
      <c r="AF872" s="135">
        <f t="shared" si="96"/>
        <v>0</v>
      </c>
      <c r="AG872" s="107"/>
      <c r="AH872" s="136">
        <f t="shared" si="97"/>
        <v>0</v>
      </c>
      <c r="AI872" s="107"/>
      <c r="AJ872" s="65"/>
    </row>
    <row r="873" spans="2:36" ht="13.5" customHeight="1" outlineLevel="1">
      <c r="B873" s="82"/>
      <c r="C873" s="425"/>
      <c r="D873" s="425"/>
      <c r="E873" s="634"/>
      <c r="F873" s="635"/>
      <c r="G873" s="428"/>
      <c r="H873" s="635"/>
      <c r="I873" s="428"/>
      <c r="J873" s="635"/>
      <c r="K873" s="636"/>
      <c r="L873" s="635"/>
      <c r="M873" s="636"/>
      <c r="N873" s="635"/>
      <c r="O873" s="636"/>
      <c r="P873" s="635"/>
      <c r="Q873" s="636"/>
      <c r="R873" s="637"/>
      <c r="S873" s="698">
        <f>SUM(R153:R157)/1.18-(SUM(R868:R872)*'Mark Up Validation'!$M$175)</f>
        <v>0</v>
      </c>
      <c r="T873" s="635"/>
      <c r="U873" s="636"/>
      <c r="V873" s="635"/>
      <c r="W873" s="636"/>
      <c r="X873" s="635"/>
      <c r="Y873" s="636"/>
      <c r="Z873" s="635"/>
      <c r="AA873" s="636"/>
      <c r="AB873" s="635"/>
      <c r="AC873" s="636"/>
      <c r="AD873" s="635"/>
      <c r="AE873" s="636"/>
      <c r="AF873" s="637"/>
      <c r="AG873" s="698">
        <f>SUM(AF153:AF157)/1.18-SUM(AF868:AF872)*'Mark Up Validation'!$M$175</f>
        <v>0</v>
      </c>
      <c r="AH873" s="638"/>
      <c r="AI873" s="698">
        <f>SUM(AH153:AH157)/1.18-SUM(AH868:AH872)*'Mark Up Validation'!$M$175</f>
        <v>0</v>
      </c>
      <c r="AJ873" s="65"/>
    </row>
    <row r="874" spans="2:36" ht="13.5" customHeight="1" outlineLevel="1" thickBot="1">
      <c r="B874" s="82"/>
      <c r="C874" s="1228" t="s">
        <v>487</v>
      </c>
      <c r="D874" s="1229"/>
      <c r="E874" s="699"/>
      <c r="F874" s="700"/>
      <c r="G874" s="701"/>
      <c r="H874" s="700"/>
      <c r="I874" s="701"/>
      <c r="J874" s="700"/>
      <c r="K874" s="702"/>
      <c r="L874" s="700"/>
      <c r="M874" s="702"/>
      <c r="N874" s="700"/>
      <c r="O874" s="702"/>
      <c r="P874" s="700"/>
      <c r="Q874" s="702"/>
      <c r="R874" s="703"/>
      <c r="S874" s="729">
        <f>IF(S873&gt;0,S873/(SUM(R153:R157)/1.18),0)</f>
        <v>0</v>
      </c>
      <c r="T874" s="704"/>
      <c r="U874" s="702"/>
      <c r="V874" s="700"/>
      <c r="W874" s="702"/>
      <c r="X874" s="700"/>
      <c r="Y874" s="702"/>
      <c r="Z874" s="700"/>
      <c r="AA874" s="702"/>
      <c r="AB874" s="700"/>
      <c r="AC874" s="702"/>
      <c r="AD874" s="700"/>
      <c r="AE874" s="702"/>
      <c r="AF874" s="705"/>
      <c r="AG874" s="729">
        <f>IF(AG873&gt;0,AG873/(SUM(AF153:AF157)/1.18),0)</f>
        <v>0</v>
      </c>
      <c r="AH874" s="706"/>
      <c r="AI874" s="729">
        <f>IF(AI873&gt;0,AI873/(SUM(AH153:AH157)/1.18),0)</f>
        <v>0</v>
      </c>
      <c r="AJ874" s="65"/>
    </row>
    <row r="875" spans="2:36" ht="12.75" customHeight="1" outlineLevel="1">
      <c r="B875" s="82">
        <f>B868+1</f>
        <v>23</v>
      </c>
      <c r="C875" s="1233">
        <f>C160</f>
        <v>0</v>
      </c>
      <c r="D875" s="1233">
        <f>D160</f>
        <v>0</v>
      </c>
      <c r="E875" s="83" t="str">
        <f>'Terms and Turnovers'!$J$12</f>
        <v>FLIP-FLOPS</v>
      </c>
      <c r="F875" s="68">
        <f>F160/'Terms and Turnovers'!$J38</f>
        <v>0</v>
      </c>
      <c r="G875" s="106"/>
      <c r="H875" s="68">
        <f>H160/'Terms and Turnovers'!$J38</f>
        <v>0</v>
      </c>
      <c r="I875" s="106"/>
      <c r="J875" s="68">
        <f>J160/'Terms and Turnovers'!$J38</f>
        <v>0</v>
      </c>
      <c r="K875" s="106"/>
      <c r="L875" s="68">
        <f>L160/'Terms and Turnovers'!$J38</f>
        <v>0</v>
      </c>
      <c r="M875" s="106"/>
      <c r="N875" s="68">
        <f>N160/'Terms and Turnovers'!$J38</f>
        <v>0</v>
      </c>
      <c r="O875" s="106"/>
      <c r="P875" s="68">
        <f>P160/'Terms and Turnovers'!$J38</f>
        <v>0</v>
      </c>
      <c r="Q875" s="106"/>
      <c r="R875" s="129">
        <f t="shared" si="95"/>
        <v>0</v>
      </c>
      <c r="S875" s="106"/>
      <c r="T875" s="68">
        <f>T160/'Terms and Turnovers'!$O38</f>
        <v>0</v>
      </c>
      <c r="U875" s="106"/>
      <c r="V875" s="68">
        <f>V160/'Terms and Turnovers'!$O38</f>
        <v>0</v>
      </c>
      <c r="W875" s="106"/>
      <c r="X875" s="68">
        <f>X160/'Terms and Turnovers'!$O38</f>
        <v>0</v>
      </c>
      <c r="Y875" s="106"/>
      <c r="Z875" s="68">
        <f>Z160/'Terms and Turnovers'!$O38</f>
        <v>0</v>
      </c>
      <c r="AA875" s="106"/>
      <c r="AB875" s="68">
        <f>AB160/'Terms and Turnovers'!$O38</f>
        <v>0</v>
      </c>
      <c r="AC875" s="106"/>
      <c r="AD875" s="68">
        <f>AD160/'Terms and Turnovers'!$O38</f>
        <v>0</v>
      </c>
      <c r="AE875" s="106"/>
      <c r="AF875" s="129">
        <f t="shared" si="96"/>
        <v>0</v>
      </c>
      <c r="AG875" s="106"/>
      <c r="AH875" s="130">
        <f t="shared" si="97"/>
        <v>0</v>
      </c>
      <c r="AI875" s="106"/>
      <c r="AJ875" s="65"/>
    </row>
    <row r="876" spans="2:36" ht="12.75" customHeight="1" outlineLevel="1">
      <c r="B876" s="82"/>
      <c r="C876" s="1234"/>
      <c r="D876" s="1234"/>
      <c r="E876" s="84" t="str">
        <f>'Terms and Turnovers'!$T$12</f>
        <v>ORIGINALS</v>
      </c>
      <c r="F876" s="70">
        <f>F161/'Terms and Turnovers'!$T38</f>
        <v>0</v>
      </c>
      <c r="G876" s="728"/>
      <c r="H876" s="70">
        <f>H161/'Terms and Turnovers'!$T38</f>
        <v>0</v>
      </c>
      <c r="I876" s="728"/>
      <c r="J876" s="70">
        <f>J161/'Terms and Turnovers'!$T38</f>
        <v>0</v>
      </c>
      <c r="K876" s="728"/>
      <c r="L876" s="70">
        <f>L161/'Terms and Turnovers'!$T38</f>
        <v>0</v>
      </c>
      <c r="M876" s="728"/>
      <c r="N876" s="70">
        <f>N161/'Terms and Turnovers'!$T38</f>
        <v>0</v>
      </c>
      <c r="O876" s="728"/>
      <c r="P876" s="70">
        <f>P161/'Terms and Turnovers'!$T38</f>
        <v>0</v>
      </c>
      <c r="Q876" s="728"/>
      <c r="R876" s="132">
        <f t="shared" si="95"/>
        <v>0</v>
      </c>
      <c r="S876" s="728"/>
      <c r="T876" s="70">
        <f>T161/'Terms and Turnovers'!$Y38</f>
        <v>0</v>
      </c>
      <c r="U876" s="728"/>
      <c r="V876" s="70">
        <f>V161/'Terms and Turnovers'!$Y38</f>
        <v>0</v>
      </c>
      <c r="W876" s="728"/>
      <c r="X876" s="70">
        <f>X161/'Terms and Turnovers'!$Y38</f>
        <v>0</v>
      </c>
      <c r="Y876" s="728"/>
      <c r="Z876" s="70">
        <f>Z161/'Terms and Turnovers'!$Y38</f>
        <v>0</v>
      </c>
      <c r="AA876" s="728"/>
      <c r="AB876" s="70">
        <f>AB161/'Terms and Turnovers'!$Y38</f>
        <v>0</v>
      </c>
      <c r="AC876" s="728"/>
      <c r="AD876" s="70">
        <f>AD161/'Terms and Turnovers'!$Y38</f>
        <v>0</v>
      </c>
      <c r="AE876" s="728"/>
      <c r="AF876" s="132">
        <f t="shared" si="96"/>
        <v>0</v>
      </c>
      <c r="AG876" s="728"/>
      <c r="AH876" s="133">
        <f t="shared" si="97"/>
        <v>0</v>
      </c>
      <c r="AI876" s="728"/>
      <c r="AJ876" s="65"/>
    </row>
    <row r="877" spans="2:36" ht="12.75" customHeight="1" outlineLevel="1">
      <c r="B877" s="82"/>
      <c r="C877" s="1234"/>
      <c r="D877" s="1234"/>
      <c r="E877" s="84" t="str">
        <f>'Terms and Turnovers'!$AD$12</f>
        <v>ACCESSORIES</v>
      </c>
      <c r="F877" s="70">
        <f>F162/'Terms and Turnovers'!$AD38</f>
        <v>0</v>
      </c>
      <c r="G877" s="728"/>
      <c r="H877" s="70">
        <f>H162/'Terms and Turnovers'!$AD38</f>
        <v>0</v>
      </c>
      <c r="I877" s="728"/>
      <c r="J877" s="70">
        <f>J162/'Terms and Turnovers'!$AD38</f>
        <v>0</v>
      </c>
      <c r="K877" s="728"/>
      <c r="L877" s="70">
        <f>L162/'Terms and Turnovers'!$AD38</f>
        <v>0</v>
      </c>
      <c r="M877" s="728"/>
      <c r="N877" s="70">
        <f>N162/'Terms and Turnovers'!$AD38</f>
        <v>0</v>
      </c>
      <c r="O877" s="728"/>
      <c r="P877" s="70">
        <f>P162/'Terms and Turnovers'!$AD38</f>
        <v>0</v>
      </c>
      <c r="Q877" s="728"/>
      <c r="R877" s="132">
        <f t="shared" si="95"/>
        <v>0</v>
      </c>
      <c r="S877" s="728"/>
      <c r="T877" s="70">
        <f>T162/'Terms and Turnovers'!$AI38</f>
        <v>0</v>
      </c>
      <c r="U877" s="728"/>
      <c r="V877" s="70">
        <f>V162/'Terms and Turnovers'!$AI38</f>
        <v>0</v>
      </c>
      <c r="W877" s="728"/>
      <c r="X877" s="70">
        <f>X162/'Terms and Turnovers'!$AI38</f>
        <v>0</v>
      </c>
      <c r="Y877" s="728"/>
      <c r="Z877" s="70">
        <f>Z162/'Terms and Turnovers'!$AI38</f>
        <v>0</v>
      </c>
      <c r="AA877" s="728"/>
      <c r="AB877" s="70">
        <f>AB162/'Terms and Turnovers'!$AI38</f>
        <v>0</v>
      </c>
      <c r="AC877" s="728"/>
      <c r="AD877" s="70">
        <f>AD162/'Terms and Turnovers'!$AI38</f>
        <v>0</v>
      </c>
      <c r="AE877" s="728"/>
      <c r="AF877" s="132">
        <f t="shared" si="96"/>
        <v>0</v>
      </c>
      <c r="AG877" s="728"/>
      <c r="AH877" s="133">
        <f t="shared" si="97"/>
        <v>0</v>
      </c>
      <c r="AI877" s="728"/>
      <c r="AJ877" s="65"/>
    </row>
    <row r="878" spans="2:36" ht="12.75" customHeight="1" outlineLevel="1">
      <c r="B878" s="82"/>
      <c r="C878" s="1234"/>
      <c r="D878" s="1234"/>
      <c r="E878" s="84">
        <f>'Terms and Turnovers'!$AN$12</f>
        <v>0</v>
      </c>
      <c r="F878" s="70">
        <f>F163/'Terms and Turnovers'!$AN38</f>
        <v>0</v>
      </c>
      <c r="G878" s="728"/>
      <c r="H878" s="70">
        <f>H163/'Terms and Turnovers'!$AN38</f>
        <v>0</v>
      </c>
      <c r="I878" s="728"/>
      <c r="J878" s="70">
        <f>J163/'Terms and Turnovers'!$AN38</f>
        <v>0</v>
      </c>
      <c r="K878" s="728"/>
      <c r="L878" s="70">
        <f>L163/'Terms and Turnovers'!$AN38</f>
        <v>0</v>
      </c>
      <c r="M878" s="728"/>
      <c r="N878" s="70">
        <f>N163/'Terms and Turnovers'!$AN38</f>
        <v>0</v>
      </c>
      <c r="O878" s="728"/>
      <c r="P878" s="70">
        <f>P163/'Terms and Turnovers'!$AN38</f>
        <v>0</v>
      </c>
      <c r="Q878" s="728"/>
      <c r="R878" s="132">
        <f t="shared" si="95"/>
        <v>0</v>
      </c>
      <c r="S878" s="728"/>
      <c r="T878" s="70">
        <f>T163/'Terms and Turnovers'!$AS38</f>
        <v>0</v>
      </c>
      <c r="U878" s="728"/>
      <c r="V878" s="70">
        <f>V163/'Terms and Turnovers'!$AS38</f>
        <v>0</v>
      </c>
      <c r="W878" s="728"/>
      <c r="X878" s="70">
        <f>X163/'Terms and Turnovers'!$AS38</f>
        <v>0</v>
      </c>
      <c r="Y878" s="728"/>
      <c r="Z878" s="70">
        <f>Z163/'Terms and Turnovers'!$AS38</f>
        <v>0</v>
      </c>
      <c r="AA878" s="728"/>
      <c r="AB878" s="70">
        <f>AB163/'Terms and Turnovers'!$AS38</f>
        <v>0</v>
      </c>
      <c r="AC878" s="728"/>
      <c r="AD878" s="70">
        <f>AD163/'Terms and Turnovers'!$AS38</f>
        <v>0</v>
      </c>
      <c r="AE878" s="728"/>
      <c r="AF878" s="132">
        <f t="shared" si="96"/>
        <v>0</v>
      </c>
      <c r="AG878" s="728"/>
      <c r="AH878" s="133">
        <f t="shared" si="97"/>
        <v>0</v>
      </c>
      <c r="AI878" s="728"/>
      <c r="AJ878" s="65"/>
    </row>
    <row r="879" spans="2:36" ht="13.5" customHeight="1" outlineLevel="1" thickBot="1">
      <c r="B879" s="82"/>
      <c r="C879" s="1235"/>
      <c r="D879" s="1235"/>
      <c r="E879" s="85">
        <f>'Terms and Turnovers'!$AX$12</f>
        <v>0</v>
      </c>
      <c r="F879" s="70">
        <f>F164/'Terms and Turnovers'!$AX38</f>
        <v>0</v>
      </c>
      <c r="G879" s="107"/>
      <c r="H879" s="70">
        <f>H164/'Terms and Turnovers'!$AX38</f>
        <v>0</v>
      </c>
      <c r="I879" s="107"/>
      <c r="J879" s="70">
        <f>J164/'Terms and Turnovers'!$AX38</f>
        <v>0</v>
      </c>
      <c r="K879" s="107"/>
      <c r="L879" s="70">
        <f>L164/'Terms and Turnovers'!$AX38</f>
        <v>0</v>
      </c>
      <c r="M879" s="107"/>
      <c r="N879" s="70">
        <f>N164/'Terms and Turnovers'!$AX38</f>
        <v>0</v>
      </c>
      <c r="O879" s="107"/>
      <c r="P879" s="70">
        <f>P164/'Terms and Turnovers'!$AX38</f>
        <v>0</v>
      </c>
      <c r="Q879" s="107"/>
      <c r="R879" s="135">
        <f t="shared" si="95"/>
        <v>0</v>
      </c>
      <c r="S879" s="107"/>
      <c r="T879" s="70">
        <f>T164/'Terms and Turnovers'!$AX$38</f>
        <v>0</v>
      </c>
      <c r="U879" s="107"/>
      <c r="V879" s="70">
        <f>V164/'Terms and Turnovers'!$AX$38</f>
        <v>0</v>
      </c>
      <c r="W879" s="107"/>
      <c r="X879" s="70">
        <f>X164/'Terms and Turnovers'!$AX$38</f>
        <v>0</v>
      </c>
      <c r="Y879" s="107"/>
      <c r="Z879" s="70">
        <f>Z164/'Terms and Turnovers'!$AX$38</f>
        <v>0</v>
      </c>
      <c r="AA879" s="107"/>
      <c r="AB879" s="70">
        <f>AB164/'Terms and Turnovers'!$AX$38</f>
        <v>0</v>
      </c>
      <c r="AC879" s="107"/>
      <c r="AD879" s="70">
        <f>AD164/'Terms and Turnovers'!$AX$38</f>
        <v>0</v>
      </c>
      <c r="AE879" s="107"/>
      <c r="AF879" s="135">
        <f t="shared" si="96"/>
        <v>0</v>
      </c>
      <c r="AG879" s="107"/>
      <c r="AH879" s="136">
        <f t="shared" si="97"/>
        <v>0</v>
      </c>
      <c r="AI879" s="107"/>
      <c r="AJ879" s="65"/>
    </row>
    <row r="880" spans="2:36" ht="13.5" customHeight="1" outlineLevel="1">
      <c r="B880" s="82"/>
      <c r="C880" s="425"/>
      <c r="D880" s="425"/>
      <c r="E880" s="634"/>
      <c r="F880" s="635"/>
      <c r="G880" s="428"/>
      <c r="H880" s="635"/>
      <c r="I880" s="428"/>
      <c r="J880" s="635"/>
      <c r="K880" s="636"/>
      <c r="L880" s="635"/>
      <c r="M880" s="636"/>
      <c r="N880" s="635"/>
      <c r="O880" s="636"/>
      <c r="P880" s="635"/>
      <c r="Q880" s="636"/>
      <c r="R880" s="637"/>
      <c r="S880" s="698">
        <f>SUM(R160:R164)/1.18-(SUM(R875:R879)*'Mark Up Validation'!$M$175)</f>
        <v>0</v>
      </c>
      <c r="T880" s="635"/>
      <c r="U880" s="636"/>
      <c r="V880" s="635"/>
      <c r="W880" s="636"/>
      <c r="X880" s="635"/>
      <c r="Y880" s="636"/>
      <c r="Z880" s="635"/>
      <c r="AA880" s="636"/>
      <c r="AB880" s="635"/>
      <c r="AC880" s="636"/>
      <c r="AD880" s="635"/>
      <c r="AE880" s="636"/>
      <c r="AF880" s="637"/>
      <c r="AG880" s="698">
        <f>SUM(AF160:AF164)/1.18-SUM(AF875:AF879)*'Mark Up Validation'!$M$175</f>
        <v>0</v>
      </c>
      <c r="AH880" s="638"/>
      <c r="AI880" s="698">
        <f>SUM(AH160:AH164)/1.18-SUM(AH875:AH879)*'Mark Up Validation'!$M$175</f>
        <v>0</v>
      </c>
      <c r="AJ880" s="65"/>
    </row>
    <row r="881" spans="2:36" ht="13.5" customHeight="1" outlineLevel="1" thickBot="1">
      <c r="B881" s="82"/>
      <c r="C881" s="1228" t="s">
        <v>487</v>
      </c>
      <c r="D881" s="1229"/>
      <c r="E881" s="699"/>
      <c r="F881" s="700"/>
      <c r="G881" s="701"/>
      <c r="H881" s="700"/>
      <c r="I881" s="701"/>
      <c r="J881" s="700"/>
      <c r="K881" s="702"/>
      <c r="L881" s="700"/>
      <c r="M881" s="702"/>
      <c r="N881" s="700"/>
      <c r="O881" s="702"/>
      <c r="P881" s="700"/>
      <c r="Q881" s="702"/>
      <c r="R881" s="703"/>
      <c r="S881" s="729">
        <f>IF(S880&gt;0,S880/(SUM(R160:R164)/1.18),0)</f>
        <v>0</v>
      </c>
      <c r="T881" s="704"/>
      <c r="U881" s="702"/>
      <c r="V881" s="700"/>
      <c r="W881" s="702"/>
      <c r="X881" s="700"/>
      <c r="Y881" s="702"/>
      <c r="Z881" s="700"/>
      <c r="AA881" s="702"/>
      <c r="AB881" s="700"/>
      <c r="AC881" s="702"/>
      <c r="AD881" s="700"/>
      <c r="AE881" s="702"/>
      <c r="AF881" s="705"/>
      <c r="AG881" s="729">
        <f>IF(AG880&gt;0,AG880/(SUM(AF160:AF164)/1.18),0)</f>
        <v>0</v>
      </c>
      <c r="AH881" s="706"/>
      <c r="AI881" s="729">
        <f>IF(AI880&gt;0,AI880/(SUM(AH160:AH164)/1.18),0)</f>
        <v>0</v>
      </c>
      <c r="AJ881" s="65"/>
    </row>
    <row r="882" spans="2:36" ht="12.75" customHeight="1" outlineLevel="1">
      <c r="B882" s="82">
        <f>B875+1</f>
        <v>24</v>
      </c>
      <c r="C882" s="1233">
        <f>C167</f>
        <v>0</v>
      </c>
      <c r="D882" s="1233">
        <f>D167</f>
        <v>0</v>
      </c>
      <c r="E882" s="83" t="str">
        <f>'Terms and Turnovers'!$J$12</f>
        <v>FLIP-FLOPS</v>
      </c>
      <c r="F882" s="68">
        <f>F167/'Terms and Turnovers'!$J39</f>
        <v>0</v>
      </c>
      <c r="G882" s="106"/>
      <c r="H882" s="68">
        <f>H167/'Terms and Turnovers'!$J39</f>
        <v>0</v>
      </c>
      <c r="I882" s="106"/>
      <c r="J882" s="68">
        <f>J167/'Terms and Turnovers'!$J39</f>
        <v>0</v>
      </c>
      <c r="K882" s="106"/>
      <c r="L882" s="68">
        <f>L167/'Terms and Turnovers'!$J39</f>
        <v>0</v>
      </c>
      <c r="M882" s="106"/>
      <c r="N882" s="68">
        <f>N167/'Terms and Turnovers'!$J39</f>
        <v>0</v>
      </c>
      <c r="O882" s="106"/>
      <c r="P882" s="68">
        <f>P167/'Terms and Turnovers'!$J39</f>
        <v>0</v>
      </c>
      <c r="Q882" s="106"/>
      <c r="R882" s="129">
        <f t="shared" si="95"/>
        <v>0</v>
      </c>
      <c r="S882" s="106"/>
      <c r="T882" s="68">
        <f>T167/'Terms and Turnovers'!$O39</f>
        <v>0</v>
      </c>
      <c r="U882" s="106"/>
      <c r="V882" s="68">
        <f>V167/'Terms and Turnovers'!$O39</f>
        <v>0</v>
      </c>
      <c r="W882" s="106"/>
      <c r="X882" s="68">
        <f>X167/'Terms and Turnovers'!$O39</f>
        <v>0</v>
      </c>
      <c r="Y882" s="106"/>
      <c r="Z882" s="68">
        <f>Z167/'Terms and Turnovers'!$O39</f>
        <v>0</v>
      </c>
      <c r="AA882" s="106"/>
      <c r="AB882" s="68">
        <f>AB167/'Terms and Turnovers'!$O39</f>
        <v>0</v>
      </c>
      <c r="AC882" s="106"/>
      <c r="AD882" s="68">
        <f>AD167/'Terms and Turnovers'!$O39</f>
        <v>0</v>
      </c>
      <c r="AE882" s="106"/>
      <c r="AF882" s="129">
        <f t="shared" si="96"/>
        <v>0</v>
      </c>
      <c r="AG882" s="106"/>
      <c r="AH882" s="130">
        <f t="shared" si="97"/>
        <v>0</v>
      </c>
      <c r="AI882" s="106"/>
      <c r="AJ882" s="65"/>
    </row>
    <row r="883" spans="2:36" ht="12.75" customHeight="1" outlineLevel="1">
      <c r="B883" s="82"/>
      <c r="C883" s="1234"/>
      <c r="D883" s="1234"/>
      <c r="E883" s="84" t="str">
        <f>'Terms and Turnovers'!$T$12</f>
        <v>ORIGINALS</v>
      </c>
      <c r="F883" s="70">
        <f>F168/'Terms and Turnovers'!$T39</f>
        <v>0</v>
      </c>
      <c r="G883" s="728"/>
      <c r="H883" s="70">
        <f>H168/'Terms and Turnovers'!$T39</f>
        <v>0</v>
      </c>
      <c r="I883" s="728"/>
      <c r="J883" s="70">
        <f>J168/'Terms and Turnovers'!$T39</f>
        <v>0</v>
      </c>
      <c r="K883" s="728"/>
      <c r="L883" s="70">
        <f>L168/'Terms and Turnovers'!$T39</f>
        <v>0</v>
      </c>
      <c r="M883" s="728"/>
      <c r="N883" s="70">
        <f>N168/'Terms and Turnovers'!$T39</f>
        <v>0</v>
      </c>
      <c r="O883" s="728"/>
      <c r="P883" s="70">
        <f>P168/'Terms and Turnovers'!$T39</f>
        <v>0</v>
      </c>
      <c r="Q883" s="728"/>
      <c r="R883" s="132">
        <f t="shared" si="95"/>
        <v>0</v>
      </c>
      <c r="S883" s="728"/>
      <c r="T883" s="70">
        <f>T168/'Terms and Turnovers'!$Y39</f>
        <v>0</v>
      </c>
      <c r="U883" s="728"/>
      <c r="V883" s="70">
        <f>V168/'Terms and Turnovers'!$Y39</f>
        <v>0</v>
      </c>
      <c r="W883" s="728"/>
      <c r="X883" s="70">
        <f>X168/'Terms and Turnovers'!$Y39</f>
        <v>0</v>
      </c>
      <c r="Y883" s="728"/>
      <c r="Z883" s="70">
        <f>Z168/'Terms and Turnovers'!$Y39</f>
        <v>0</v>
      </c>
      <c r="AA883" s="728"/>
      <c r="AB883" s="70">
        <f>AB168/'Terms and Turnovers'!$Y39</f>
        <v>0</v>
      </c>
      <c r="AC883" s="728"/>
      <c r="AD883" s="70">
        <f>AD168/'Terms and Turnovers'!$Y39</f>
        <v>0</v>
      </c>
      <c r="AE883" s="728"/>
      <c r="AF883" s="132">
        <f t="shared" si="96"/>
        <v>0</v>
      </c>
      <c r="AG883" s="728"/>
      <c r="AH883" s="133">
        <f t="shared" si="97"/>
        <v>0</v>
      </c>
      <c r="AI883" s="728"/>
      <c r="AJ883" s="65"/>
    </row>
    <row r="884" spans="2:36" ht="12.75" customHeight="1" outlineLevel="1">
      <c r="B884" s="82"/>
      <c r="C884" s="1234"/>
      <c r="D884" s="1234"/>
      <c r="E884" s="84" t="str">
        <f>'Terms and Turnovers'!$AD$12</f>
        <v>ACCESSORIES</v>
      </c>
      <c r="F884" s="70">
        <f>F169/'Terms and Turnovers'!$AD39</f>
        <v>0</v>
      </c>
      <c r="G884" s="728"/>
      <c r="H884" s="70">
        <f>H169/'Terms and Turnovers'!$AD39</f>
        <v>0</v>
      </c>
      <c r="I884" s="728"/>
      <c r="J884" s="70">
        <f>J169/'Terms and Turnovers'!$AD39</f>
        <v>0</v>
      </c>
      <c r="K884" s="728"/>
      <c r="L884" s="70">
        <f>L169/'Terms and Turnovers'!$AD39</f>
        <v>0</v>
      </c>
      <c r="M884" s="728"/>
      <c r="N884" s="70">
        <f>N169/'Terms and Turnovers'!$AD39</f>
        <v>0</v>
      </c>
      <c r="O884" s="728"/>
      <c r="P884" s="70">
        <f>P169/'Terms and Turnovers'!$AD39</f>
        <v>0</v>
      </c>
      <c r="Q884" s="728"/>
      <c r="R884" s="132">
        <f t="shared" si="95"/>
        <v>0</v>
      </c>
      <c r="S884" s="728"/>
      <c r="T884" s="70">
        <f>T169/'Terms and Turnovers'!$AI39</f>
        <v>0</v>
      </c>
      <c r="U884" s="728"/>
      <c r="V884" s="70">
        <f>V169/'Terms and Turnovers'!$AI39</f>
        <v>0</v>
      </c>
      <c r="W884" s="728"/>
      <c r="X884" s="70">
        <f>X169/'Terms and Turnovers'!$AI39</f>
        <v>0</v>
      </c>
      <c r="Y884" s="728"/>
      <c r="Z884" s="70">
        <f>Z169/'Terms and Turnovers'!$AI39</f>
        <v>0</v>
      </c>
      <c r="AA884" s="728"/>
      <c r="AB884" s="70">
        <f>AB169/'Terms and Turnovers'!$AI39</f>
        <v>0</v>
      </c>
      <c r="AC884" s="728"/>
      <c r="AD884" s="70">
        <f>AD169/'Terms and Turnovers'!$AI39</f>
        <v>0</v>
      </c>
      <c r="AE884" s="728"/>
      <c r="AF884" s="132">
        <f t="shared" si="96"/>
        <v>0</v>
      </c>
      <c r="AG884" s="728"/>
      <c r="AH884" s="133">
        <f t="shared" si="97"/>
        <v>0</v>
      </c>
      <c r="AI884" s="728"/>
      <c r="AJ884" s="65"/>
    </row>
    <row r="885" spans="2:36" ht="12.75" customHeight="1" outlineLevel="1">
      <c r="B885" s="82"/>
      <c r="C885" s="1234"/>
      <c r="D885" s="1234"/>
      <c r="E885" s="84">
        <f>'Terms and Turnovers'!$AN$12</f>
        <v>0</v>
      </c>
      <c r="F885" s="70">
        <f>F170/'Terms and Turnovers'!$AN39</f>
        <v>0</v>
      </c>
      <c r="G885" s="728"/>
      <c r="H885" s="70">
        <f>H170/'Terms and Turnovers'!$AN39</f>
        <v>0</v>
      </c>
      <c r="I885" s="728"/>
      <c r="J885" s="70">
        <f>J170/'Terms and Turnovers'!$AN39</f>
        <v>0</v>
      </c>
      <c r="K885" s="728"/>
      <c r="L885" s="70">
        <f>L170/'Terms and Turnovers'!$AN39</f>
        <v>0</v>
      </c>
      <c r="M885" s="728"/>
      <c r="N885" s="70">
        <f>N170/'Terms and Turnovers'!$AN39</f>
        <v>0</v>
      </c>
      <c r="O885" s="728"/>
      <c r="P885" s="70">
        <f>P170/'Terms and Turnovers'!$AN39</f>
        <v>0</v>
      </c>
      <c r="Q885" s="728"/>
      <c r="R885" s="132">
        <f t="shared" si="95"/>
        <v>0</v>
      </c>
      <c r="S885" s="728"/>
      <c r="T885" s="70">
        <f>T170/'Terms and Turnovers'!$AS39</f>
        <v>0</v>
      </c>
      <c r="U885" s="728"/>
      <c r="V885" s="70">
        <f>V170/'Terms and Turnovers'!$AS39</f>
        <v>0</v>
      </c>
      <c r="W885" s="728"/>
      <c r="X885" s="70">
        <f>X170/'Terms and Turnovers'!$AS39</f>
        <v>0</v>
      </c>
      <c r="Y885" s="728"/>
      <c r="Z885" s="70">
        <f>Z170/'Terms and Turnovers'!$AS39</f>
        <v>0</v>
      </c>
      <c r="AA885" s="728"/>
      <c r="AB885" s="70">
        <f>AB170/'Terms and Turnovers'!$AS39</f>
        <v>0</v>
      </c>
      <c r="AC885" s="728"/>
      <c r="AD885" s="70">
        <f>AD170/'Terms and Turnovers'!$AS39</f>
        <v>0</v>
      </c>
      <c r="AE885" s="728"/>
      <c r="AF885" s="132">
        <f t="shared" si="96"/>
        <v>0</v>
      </c>
      <c r="AG885" s="728"/>
      <c r="AH885" s="133">
        <f t="shared" si="97"/>
        <v>0</v>
      </c>
      <c r="AI885" s="728"/>
      <c r="AJ885" s="65"/>
    </row>
    <row r="886" spans="2:36" ht="13.5" customHeight="1" outlineLevel="1" thickBot="1">
      <c r="B886" s="82"/>
      <c r="C886" s="1235"/>
      <c r="D886" s="1235"/>
      <c r="E886" s="85">
        <f>'Terms and Turnovers'!$AX$12</f>
        <v>0</v>
      </c>
      <c r="F886" s="70">
        <f>F171/'Terms and Turnovers'!$AX39</f>
        <v>0</v>
      </c>
      <c r="G886" s="107"/>
      <c r="H886" s="70">
        <f>H171/'Terms and Turnovers'!$AX39</f>
        <v>0</v>
      </c>
      <c r="I886" s="107"/>
      <c r="J886" s="70">
        <f>J171/'Terms and Turnovers'!$AX39</f>
        <v>0</v>
      </c>
      <c r="K886" s="107"/>
      <c r="L886" s="70">
        <f>L171/'Terms and Turnovers'!$AX39</f>
        <v>0</v>
      </c>
      <c r="M886" s="107"/>
      <c r="N886" s="70">
        <f>N171/'Terms and Turnovers'!$AX39</f>
        <v>0</v>
      </c>
      <c r="O886" s="107"/>
      <c r="P886" s="70">
        <f>P171/'Terms and Turnovers'!$AX39</f>
        <v>0</v>
      </c>
      <c r="Q886" s="107"/>
      <c r="R886" s="135">
        <f t="shared" si="95"/>
        <v>0</v>
      </c>
      <c r="S886" s="107"/>
      <c r="T886" s="70">
        <f>T171/'Terms and Turnovers'!$AX$39</f>
        <v>0</v>
      </c>
      <c r="U886" s="107"/>
      <c r="V886" s="70">
        <f>V171/'Terms and Turnovers'!$AX$39</f>
        <v>0</v>
      </c>
      <c r="W886" s="107"/>
      <c r="X886" s="70">
        <f>X171/'Terms and Turnovers'!$AX$39</f>
        <v>0</v>
      </c>
      <c r="Y886" s="107"/>
      <c r="Z886" s="70">
        <f>Z171/'Terms and Turnovers'!$AX$39</f>
        <v>0</v>
      </c>
      <c r="AA886" s="107"/>
      <c r="AB886" s="70">
        <f>AB171/'Terms and Turnovers'!$AX$39</f>
        <v>0</v>
      </c>
      <c r="AC886" s="107"/>
      <c r="AD886" s="70">
        <f>AD171/'Terms and Turnovers'!$AX$39</f>
        <v>0</v>
      </c>
      <c r="AE886" s="107"/>
      <c r="AF886" s="135">
        <f t="shared" si="96"/>
        <v>0</v>
      </c>
      <c r="AG886" s="107"/>
      <c r="AH886" s="136">
        <f t="shared" si="97"/>
        <v>0</v>
      </c>
      <c r="AI886" s="107"/>
      <c r="AJ886" s="65"/>
    </row>
    <row r="887" spans="2:36" ht="13.5" customHeight="1" outlineLevel="1">
      <c r="B887" s="82"/>
      <c r="C887" s="425"/>
      <c r="D887" s="425"/>
      <c r="E887" s="634"/>
      <c r="F887" s="635"/>
      <c r="G887" s="428"/>
      <c r="H887" s="635"/>
      <c r="I887" s="428"/>
      <c r="J887" s="635"/>
      <c r="K887" s="636"/>
      <c r="L887" s="635"/>
      <c r="M887" s="636"/>
      <c r="N887" s="635"/>
      <c r="O887" s="636"/>
      <c r="P887" s="635"/>
      <c r="Q887" s="636"/>
      <c r="R887" s="637"/>
      <c r="S887" s="698">
        <f>SUM(R167:R171)/1.18-(SUM(R882:R886)*'Mark Up Validation'!$M$175)</f>
        <v>0</v>
      </c>
      <c r="T887" s="635"/>
      <c r="U887" s="636"/>
      <c r="V887" s="635"/>
      <c r="W887" s="636"/>
      <c r="X887" s="635"/>
      <c r="Y887" s="636"/>
      <c r="Z887" s="635"/>
      <c r="AA887" s="636"/>
      <c r="AB887" s="635"/>
      <c r="AC887" s="636"/>
      <c r="AD887" s="635"/>
      <c r="AE887" s="636"/>
      <c r="AF887" s="637"/>
      <c r="AG887" s="698">
        <f>SUM(AF167:AF171)/1.18-SUM(AF882:AF886)*'Mark Up Validation'!$M$175</f>
        <v>0</v>
      </c>
      <c r="AH887" s="638"/>
      <c r="AI887" s="698">
        <f>SUM(AH167:AH171)/1.18-SUM(AH882:AH886)*'Mark Up Validation'!$M$175</f>
        <v>0</v>
      </c>
      <c r="AJ887" s="65"/>
    </row>
    <row r="888" spans="2:36" ht="13.5" customHeight="1" outlineLevel="1" thickBot="1">
      <c r="B888" s="82"/>
      <c r="C888" s="1228" t="s">
        <v>487</v>
      </c>
      <c r="D888" s="1229"/>
      <c r="E888" s="699"/>
      <c r="F888" s="700"/>
      <c r="G888" s="701"/>
      <c r="H888" s="700"/>
      <c r="I888" s="701"/>
      <c r="J888" s="700"/>
      <c r="K888" s="702"/>
      <c r="L888" s="700"/>
      <c r="M888" s="702"/>
      <c r="N888" s="700"/>
      <c r="O888" s="702"/>
      <c r="P888" s="700"/>
      <c r="Q888" s="702"/>
      <c r="R888" s="703"/>
      <c r="S888" s="729">
        <f>IF(S887&gt;0,S887/(SUM(R167:R171)/1.18),0)</f>
        <v>0</v>
      </c>
      <c r="T888" s="704"/>
      <c r="U888" s="702"/>
      <c r="V888" s="700"/>
      <c r="W888" s="702"/>
      <c r="X888" s="700"/>
      <c r="Y888" s="702"/>
      <c r="Z888" s="700"/>
      <c r="AA888" s="702"/>
      <c r="AB888" s="700"/>
      <c r="AC888" s="702"/>
      <c r="AD888" s="700"/>
      <c r="AE888" s="702"/>
      <c r="AF888" s="705"/>
      <c r="AG888" s="729">
        <f>IF(AG887&gt;0,AG887/(SUM(AF167:AF171)/1.18),0)</f>
        <v>0</v>
      </c>
      <c r="AH888" s="706"/>
      <c r="AI888" s="729">
        <f>IF(AI887&gt;0,AI887/(SUM(AH167:AH171)/1.18),0)</f>
        <v>0</v>
      </c>
      <c r="AJ888" s="65"/>
    </row>
    <row r="889" spans="2:36" ht="12.75" customHeight="1" outlineLevel="1">
      <c r="B889" s="82">
        <f>B882+1</f>
        <v>25</v>
      </c>
      <c r="C889" s="1233">
        <f>C174</f>
        <v>0</v>
      </c>
      <c r="D889" s="1233">
        <f>D174</f>
        <v>0</v>
      </c>
      <c r="E889" s="83" t="str">
        <f>'Terms and Turnovers'!$J$12</f>
        <v>FLIP-FLOPS</v>
      </c>
      <c r="F889" s="68">
        <f>F174/'Terms and Turnovers'!$J40</f>
        <v>0</v>
      </c>
      <c r="G889" s="106"/>
      <c r="H889" s="68">
        <f>H174/'Terms and Turnovers'!$J40</f>
        <v>0</v>
      </c>
      <c r="I889" s="106"/>
      <c r="J889" s="68">
        <f>J174/'Terms and Turnovers'!$J40</f>
        <v>0</v>
      </c>
      <c r="K889" s="106"/>
      <c r="L889" s="68">
        <f>L174/'Terms and Turnovers'!$J40</f>
        <v>0</v>
      </c>
      <c r="M889" s="106"/>
      <c r="N889" s="68">
        <f>N174/'Terms and Turnovers'!$J40</f>
        <v>0</v>
      </c>
      <c r="O889" s="106"/>
      <c r="P889" s="68">
        <f>P174/'Terms and Turnovers'!$J40</f>
        <v>0</v>
      </c>
      <c r="Q889" s="106"/>
      <c r="R889" s="129">
        <f t="shared" si="95"/>
        <v>0</v>
      </c>
      <c r="S889" s="106"/>
      <c r="T889" s="68">
        <f>T174/'Terms and Turnovers'!$O40</f>
        <v>0</v>
      </c>
      <c r="U889" s="106"/>
      <c r="V889" s="68">
        <f>V174/'Terms and Turnovers'!$O40</f>
        <v>0</v>
      </c>
      <c r="W889" s="106"/>
      <c r="X889" s="68">
        <f>X174/'Terms and Turnovers'!$O40</f>
        <v>0</v>
      </c>
      <c r="Y889" s="106"/>
      <c r="Z889" s="68">
        <f>Z174/'Terms and Turnovers'!$O40</f>
        <v>0</v>
      </c>
      <c r="AA889" s="106"/>
      <c r="AB889" s="68">
        <f>AB174/'Terms and Turnovers'!$O40</f>
        <v>0</v>
      </c>
      <c r="AC889" s="106"/>
      <c r="AD889" s="68">
        <f>AD174/'Terms and Turnovers'!$O40</f>
        <v>0</v>
      </c>
      <c r="AE889" s="106"/>
      <c r="AF889" s="129">
        <f t="shared" si="96"/>
        <v>0</v>
      </c>
      <c r="AG889" s="106"/>
      <c r="AH889" s="130">
        <f t="shared" si="97"/>
        <v>0</v>
      </c>
      <c r="AI889" s="106"/>
      <c r="AJ889" s="65"/>
    </row>
    <row r="890" spans="2:36" ht="12.75" customHeight="1" outlineLevel="1">
      <c r="B890" s="82"/>
      <c r="C890" s="1234"/>
      <c r="D890" s="1234"/>
      <c r="E890" s="84" t="str">
        <f>'Terms and Turnovers'!$T$12</f>
        <v>ORIGINALS</v>
      </c>
      <c r="F890" s="70">
        <f>F175/'Terms and Turnovers'!$T40</f>
        <v>0</v>
      </c>
      <c r="G890" s="728"/>
      <c r="H890" s="70">
        <f>H175/'Terms and Turnovers'!$T40</f>
        <v>0</v>
      </c>
      <c r="I890" s="728"/>
      <c r="J890" s="70">
        <f>J175/'Terms and Turnovers'!$T40</f>
        <v>0</v>
      </c>
      <c r="K890" s="728"/>
      <c r="L890" s="70">
        <f>L175/'Terms and Turnovers'!$T40</f>
        <v>0</v>
      </c>
      <c r="M890" s="728"/>
      <c r="N890" s="70">
        <f>N175/'Terms and Turnovers'!$T40</f>
        <v>0</v>
      </c>
      <c r="O890" s="728"/>
      <c r="P890" s="70">
        <f>P175/'Terms and Turnovers'!$T40</f>
        <v>0</v>
      </c>
      <c r="Q890" s="728"/>
      <c r="R890" s="132">
        <f t="shared" si="95"/>
        <v>0</v>
      </c>
      <c r="S890" s="728"/>
      <c r="T890" s="70">
        <f>T175/'Terms and Turnovers'!$Y40</f>
        <v>0</v>
      </c>
      <c r="U890" s="728"/>
      <c r="V890" s="70">
        <f>V175/'Terms and Turnovers'!$Y40</f>
        <v>0</v>
      </c>
      <c r="W890" s="728"/>
      <c r="X890" s="70">
        <f>X175/'Terms and Turnovers'!$Y40</f>
        <v>0</v>
      </c>
      <c r="Y890" s="728"/>
      <c r="Z890" s="70">
        <f>Z175/'Terms and Turnovers'!$Y40</f>
        <v>0</v>
      </c>
      <c r="AA890" s="728"/>
      <c r="AB890" s="70">
        <f>AB175/'Terms and Turnovers'!$Y40</f>
        <v>0</v>
      </c>
      <c r="AC890" s="728"/>
      <c r="AD890" s="70">
        <f>AD175/'Terms and Turnovers'!$Y40</f>
        <v>0</v>
      </c>
      <c r="AE890" s="728"/>
      <c r="AF890" s="132">
        <f t="shared" si="96"/>
        <v>0</v>
      </c>
      <c r="AG890" s="728"/>
      <c r="AH890" s="133">
        <f t="shared" si="97"/>
        <v>0</v>
      </c>
      <c r="AI890" s="728"/>
      <c r="AJ890" s="65"/>
    </row>
    <row r="891" spans="2:36" ht="12.75" customHeight="1" outlineLevel="1">
      <c r="B891" s="82"/>
      <c r="C891" s="1234"/>
      <c r="D891" s="1234"/>
      <c r="E891" s="84" t="str">
        <f>'Terms and Turnovers'!$AD$12</f>
        <v>ACCESSORIES</v>
      </c>
      <c r="F891" s="70">
        <f>F176/'Terms and Turnovers'!$AD40</f>
        <v>0</v>
      </c>
      <c r="G891" s="728"/>
      <c r="H891" s="70">
        <f>H176/'Terms and Turnovers'!$AD40</f>
        <v>0</v>
      </c>
      <c r="I891" s="728"/>
      <c r="J891" s="70">
        <f>J176/'Terms and Turnovers'!$AD40</f>
        <v>0</v>
      </c>
      <c r="K891" s="728"/>
      <c r="L891" s="70">
        <f>L176/'Terms and Turnovers'!$AD40</f>
        <v>0</v>
      </c>
      <c r="M891" s="728"/>
      <c r="N891" s="70">
        <f>N176/'Terms and Turnovers'!$AD40</f>
        <v>0</v>
      </c>
      <c r="O891" s="728"/>
      <c r="P891" s="70">
        <f>P176/'Terms and Turnovers'!$AD40</f>
        <v>0</v>
      </c>
      <c r="Q891" s="728"/>
      <c r="R891" s="132">
        <f t="shared" si="95"/>
        <v>0</v>
      </c>
      <c r="S891" s="728"/>
      <c r="T891" s="70">
        <f>T176/'Terms and Turnovers'!$AI40</f>
        <v>0</v>
      </c>
      <c r="U891" s="728"/>
      <c r="V891" s="70">
        <f>V176/'Terms and Turnovers'!$AI40</f>
        <v>0</v>
      </c>
      <c r="W891" s="728"/>
      <c r="X891" s="70">
        <f>X176/'Terms and Turnovers'!$AI40</f>
        <v>0</v>
      </c>
      <c r="Y891" s="728"/>
      <c r="Z891" s="70">
        <f>Z176/'Terms and Turnovers'!$AI40</f>
        <v>0</v>
      </c>
      <c r="AA891" s="728"/>
      <c r="AB891" s="70">
        <f>AB176/'Terms and Turnovers'!$AI40</f>
        <v>0</v>
      </c>
      <c r="AC891" s="728"/>
      <c r="AD891" s="70">
        <f>AD176/'Terms and Turnovers'!$AI40</f>
        <v>0</v>
      </c>
      <c r="AE891" s="728"/>
      <c r="AF891" s="132">
        <f t="shared" si="96"/>
        <v>0</v>
      </c>
      <c r="AG891" s="728"/>
      <c r="AH891" s="133">
        <f t="shared" si="97"/>
        <v>0</v>
      </c>
      <c r="AI891" s="728"/>
      <c r="AJ891" s="65"/>
    </row>
    <row r="892" spans="2:36" ht="12.75" customHeight="1" outlineLevel="1">
      <c r="B892" s="82"/>
      <c r="C892" s="1234"/>
      <c r="D892" s="1234"/>
      <c r="E892" s="84">
        <f>'Terms and Turnovers'!$AN$12</f>
        <v>0</v>
      </c>
      <c r="F892" s="70">
        <f>F177/'Terms and Turnovers'!$AN40</f>
        <v>0</v>
      </c>
      <c r="G892" s="728"/>
      <c r="H892" s="70">
        <f>H177/'Terms and Turnovers'!$AN40</f>
        <v>0</v>
      </c>
      <c r="I892" s="728"/>
      <c r="J892" s="70">
        <f>J177/'Terms and Turnovers'!$AN40</f>
        <v>0</v>
      </c>
      <c r="K892" s="728"/>
      <c r="L892" s="70">
        <f>L177/'Terms and Turnovers'!$AN40</f>
        <v>0</v>
      </c>
      <c r="M892" s="728"/>
      <c r="N892" s="70">
        <f>N177/'Terms and Turnovers'!$AN40</f>
        <v>0</v>
      </c>
      <c r="O892" s="728"/>
      <c r="P892" s="70">
        <f>P177/'Terms and Turnovers'!$AN40</f>
        <v>0</v>
      </c>
      <c r="Q892" s="728"/>
      <c r="R892" s="132">
        <f t="shared" si="95"/>
        <v>0</v>
      </c>
      <c r="S892" s="728"/>
      <c r="T892" s="70">
        <f>T177/'Terms and Turnovers'!$AS40</f>
        <v>0</v>
      </c>
      <c r="U892" s="728"/>
      <c r="V892" s="70">
        <f>V177/'Terms and Turnovers'!$AS40</f>
        <v>0</v>
      </c>
      <c r="W892" s="728"/>
      <c r="X892" s="70">
        <f>X177/'Terms and Turnovers'!$AS40</f>
        <v>0</v>
      </c>
      <c r="Y892" s="728"/>
      <c r="Z892" s="70">
        <f>Z177/'Terms and Turnovers'!$AS40</f>
        <v>0</v>
      </c>
      <c r="AA892" s="728"/>
      <c r="AB892" s="70">
        <f>AB177/'Terms and Turnovers'!$AS40</f>
        <v>0</v>
      </c>
      <c r="AC892" s="728"/>
      <c r="AD892" s="70">
        <f>AD177/'Terms and Turnovers'!$AS40</f>
        <v>0</v>
      </c>
      <c r="AE892" s="728"/>
      <c r="AF892" s="132">
        <f t="shared" si="96"/>
        <v>0</v>
      </c>
      <c r="AG892" s="728"/>
      <c r="AH892" s="133">
        <f t="shared" si="97"/>
        <v>0</v>
      </c>
      <c r="AI892" s="728"/>
      <c r="AJ892" s="65"/>
    </row>
    <row r="893" spans="2:36" ht="13.5" customHeight="1" outlineLevel="1" thickBot="1">
      <c r="B893" s="82"/>
      <c r="C893" s="1235"/>
      <c r="D893" s="1235"/>
      <c r="E893" s="85">
        <f>'Terms and Turnovers'!$AX$12</f>
        <v>0</v>
      </c>
      <c r="F893" s="70">
        <f>F178/'Terms and Turnovers'!$AX40</f>
        <v>0</v>
      </c>
      <c r="G893" s="107"/>
      <c r="H893" s="70">
        <f>H178/'Terms and Turnovers'!$AX40</f>
        <v>0</v>
      </c>
      <c r="I893" s="107"/>
      <c r="J893" s="70">
        <f>J178/'Terms and Turnovers'!$AX40</f>
        <v>0</v>
      </c>
      <c r="K893" s="107"/>
      <c r="L893" s="70">
        <f>L178/'Terms and Turnovers'!$AX40</f>
        <v>0</v>
      </c>
      <c r="M893" s="107"/>
      <c r="N893" s="70">
        <f>N178/'Terms and Turnovers'!$AX40</f>
        <v>0</v>
      </c>
      <c r="O893" s="107"/>
      <c r="P893" s="70">
        <f>P178/'Terms and Turnovers'!$AX40</f>
        <v>0</v>
      </c>
      <c r="Q893" s="107"/>
      <c r="R893" s="135">
        <f t="shared" si="95"/>
        <v>0</v>
      </c>
      <c r="S893" s="107"/>
      <c r="T893" s="70">
        <f>T178/'Terms and Turnovers'!$AX$40</f>
        <v>0</v>
      </c>
      <c r="U893" s="107"/>
      <c r="V893" s="70">
        <f>V178/'Terms and Turnovers'!$AX$40</f>
        <v>0</v>
      </c>
      <c r="W893" s="107"/>
      <c r="X893" s="70">
        <f>X178/'Terms and Turnovers'!$AX$40</f>
        <v>0</v>
      </c>
      <c r="Y893" s="107"/>
      <c r="Z893" s="70">
        <f>Z178/'Terms and Turnovers'!$AX$40</f>
        <v>0</v>
      </c>
      <c r="AA893" s="107"/>
      <c r="AB893" s="70">
        <f>AB178/'Terms and Turnovers'!$AX$40</f>
        <v>0</v>
      </c>
      <c r="AC893" s="107"/>
      <c r="AD893" s="70">
        <f>AD178/'Terms and Turnovers'!$AX$40</f>
        <v>0</v>
      </c>
      <c r="AE893" s="107"/>
      <c r="AF893" s="135">
        <f t="shared" si="96"/>
        <v>0</v>
      </c>
      <c r="AG893" s="107"/>
      <c r="AH893" s="136">
        <f t="shared" si="97"/>
        <v>0</v>
      </c>
      <c r="AI893" s="107"/>
      <c r="AJ893" s="65"/>
    </row>
    <row r="894" spans="2:36" ht="13.5" customHeight="1" outlineLevel="1">
      <c r="B894" s="82"/>
      <c r="C894" s="425"/>
      <c r="D894" s="425"/>
      <c r="E894" s="634"/>
      <c r="F894" s="635"/>
      <c r="G894" s="428"/>
      <c r="H894" s="635"/>
      <c r="I894" s="428"/>
      <c r="J894" s="635"/>
      <c r="K894" s="636"/>
      <c r="L894" s="635"/>
      <c r="M894" s="636"/>
      <c r="N894" s="635"/>
      <c r="O894" s="636"/>
      <c r="P894" s="635"/>
      <c r="Q894" s="636"/>
      <c r="R894" s="637"/>
      <c r="S894" s="698">
        <f>SUM(R174:R178)/1.18-(SUM(R889:R893)*'Mark Up Validation'!$M$175)</f>
        <v>0</v>
      </c>
      <c r="T894" s="635"/>
      <c r="U894" s="636"/>
      <c r="V894" s="635"/>
      <c r="W894" s="636"/>
      <c r="X894" s="635"/>
      <c r="Y894" s="636"/>
      <c r="Z894" s="635"/>
      <c r="AA894" s="636"/>
      <c r="AB894" s="635"/>
      <c r="AC894" s="636"/>
      <c r="AD894" s="635"/>
      <c r="AE894" s="636"/>
      <c r="AF894" s="637"/>
      <c r="AG894" s="698">
        <f>SUM(AF174:AF178)/1.18-SUM(AF889:AF893)*'Mark Up Validation'!$M$175</f>
        <v>0</v>
      </c>
      <c r="AH894" s="638"/>
      <c r="AI894" s="698">
        <f>SUM(AH174:AH178)/1.18-SUM(AH889:AH893)*'Mark Up Validation'!$M$175</f>
        <v>0</v>
      </c>
      <c r="AJ894" s="65"/>
    </row>
    <row r="895" spans="2:36" ht="13.5" customHeight="1" outlineLevel="1" thickBot="1">
      <c r="B895" s="82"/>
      <c r="C895" s="1228" t="s">
        <v>487</v>
      </c>
      <c r="D895" s="1229"/>
      <c r="E895" s="699"/>
      <c r="F895" s="700"/>
      <c r="G895" s="701"/>
      <c r="H895" s="700"/>
      <c r="I895" s="701"/>
      <c r="J895" s="700"/>
      <c r="K895" s="702"/>
      <c r="L895" s="700"/>
      <c r="M895" s="702"/>
      <c r="N895" s="700"/>
      <c r="O895" s="702"/>
      <c r="P895" s="700"/>
      <c r="Q895" s="702"/>
      <c r="R895" s="703"/>
      <c r="S895" s="729">
        <f>IF(S894&gt;0,S894/(SUM(R174:R178)/1.18),0)</f>
        <v>0</v>
      </c>
      <c r="T895" s="704"/>
      <c r="U895" s="702"/>
      <c r="V895" s="700"/>
      <c r="W895" s="702"/>
      <c r="X895" s="700"/>
      <c r="Y895" s="702"/>
      <c r="Z895" s="700"/>
      <c r="AA895" s="702"/>
      <c r="AB895" s="700"/>
      <c r="AC895" s="702"/>
      <c r="AD895" s="700"/>
      <c r="AE895" s="702"/>
      <c r="AF895" s="705"/>
      <c r="AG895" s="729">
        <f>IF(AG894&gt;0,AG894/(SUM(AF174:AF178)/1.18),0)</f>
        <v>0</v>
      </c>
      <c r="AH895" s="706"/>
      <c r="AI895" s="729">
        <f>IF(AI894&gt;0,AI894/(SUM(AH174:AH178)/1.18),0)</f>
        <v>0</v>
      </c>
      <c r="AJ895" s="65"/>
    </row>
    <row r="896" spans="2:36" ht="12.75" customHeight="1" outlineLevel="1">
      <c r="B896" s="82">
        <f>B889+1</f>
        <v>26</v>
      </c>
      <c r="C896" s="1233">
        <f>C181</f>
        <v>0</v>
      </c>
      <c r="D896" s="1233">
        <f>D181</f>
        <v>0</v>
      </c>
      <c r="E896" s="83" t="str">
        <f>'Terms and Turnovers'!$J$12</f>
        <v>FLIP-FLOPS</v>
      </c>
      <c r="F896" s="68">
        <f>F181/'Terms and Turnovers'!$J41</f>
        <v>0</v>
      </c>
      <c r="G896" s="106"/>
      <c r="H896" s="68">
        <f>H181/'Terms and Turnovers'!$J41</f>
        <v>0</v>
      </c>
      <c r="I896" s="106"/>
      <c r="J896" s="68">
        <f>J181/'Terms and Turnovers'!$J41</f>
        <v>0</v>
      </c>
      <c r="K896" s="106"/>
      <c r="L896" s="68">
        <f>L181/'Terms and Turnovers'!$J41</f>
        <v>0</v>
      </c>
      <c r="M896" s="106"/>
      <c r="N896" s="68">
        <f>N181/'Terms and Turnovers'!$J41</f>
        <v>0</v>
      </c>
      <c r="O896" s="106"/>
      <c r="P896" s="68">
        <f>P181/'Terms and Turnovers'!$J41</f>
        <v>0</v>
      </c>
      <c r="Q896" s="106"/>
      <c r="R896" s="129">
        <f t="shared" si="95"/>
        <v>0</v>
      </c>
      <c r="S896" s="106"/>
      <c r="T896" s="68">
        <f>T181/'Terms and Turnovers'!$O41</f>
        <v>0</v>
      </c>
      <c r="U896" s="106"/>
      <c r="V896" s="68">
        <f>V181/'Terms and Turnovers'!$O41</f>
        <v>0</v>
      </c>
      <c r="W896" s="106"/>
      <c r="X896" s="68">
        <f>X181/'Terms and Turnovers'!$O41</f>
        <v>0</v>
      </c>
      <c r="Y896" s="106"/>
      <c r="Z896" s="68">
        <f>Z181/'Terms and Turnovers'!$O41</f>
        <v>0</v>
      </c>
      <c r="AA896" s="106"/>
      <c r="AB896" s="68">
        <f>AB181/'Terms and Turnovers'!$O41</f>
        <v>0</v>
      </c>
      <c r="AC896" s="106"/>
      <c r="AD896" s="68">
        <f>AD181/'Terms and Turnovers'!$O41</f>
        <v>0</v>
      </c>
      <c r="AE896" s="106"/>
      <c r="AF896" s="129">
        <f t="shared" si="96"/>
        <v>0</v>
      </c>
      <c r="AG896" s="106"/>
      <c r="AH896" s="130">
        <f t="shared" si="97"/>
        <v>0</v>
      </c>
      <c r="AI896" s="106"/>
      <c r="AJ896" s="65"/>
    </row>
    <row r="897" spans="2:36" ht="12.75" customHeight="1" outlineLevel="1">
      <c r="B897" s="82"/>
      <c r="C897" s="1234"/>
      <c r="D897" s="1234"/>
      <c r="E897" s="84" t="str">
        <f>'Terms and Turnovers'!$T$12</f>
        <v>ORIGINALS</v>
      </c>
      <c r="F897" s="70">
        <f>F182/'Terms and Turnovers'!$T41</f>
        <v>0</v>
      </c>
      <c r="G897" s="728"/>
      <c r="H897" s="70">
        <f>H182/'Terms and Turnovers'!$T41</f>
        <v>0</v>
      </c>
      <c r="I897" s="728"/>
      <c r="J897" s="70">
        <f>J182/'Terms and Turnovers'!$T41</f>
        <v>0</v>
      </c>
      <c r="K897" s="728"/>
      <c r="L897" s="70">
        <f>L182/'Terms and Turnovers'!$T41</f>
        <v>0</v>
      </c>
      <c r="M897" s="728"/>
      <c r="N897" s="70">
        <f>N182/'Terms and Turnovers'!$T41</f>
        <v>0</v>
      </c>
      <c r="O897" s="728"/>
      <c r="P897" s="70">
        <f>P182/'Terms and Turnovers'!$T41</f>
        <v>0</v>
      </c>
      <c r="Q897" s="728"/>
      <c r="R897" s="132">
        <f t="shared" si="95"/>
        <v>0</v>
      </c>
      <c r="S897" s="728"/>
      <c r="T897" s="70">
        <f>T182/'Terms and Turnovers'!$Y41</f>
        <v>0</v>
      </c>
      <c r="U897" s="728"/>
      <c r="V897" s="70">
        <f>V182/'Terms and Turnovers'!$Y41</f>
        <v>0</v>
      </c>
      <c r="W897" s="728"/>
      <c r="X897" s="70">
        <f>X182/'Terms and Turnovers'!$Y41</f>
        <v>0</v>
      </c>
      <c r="Y897" s="728"/>
      <c r="Z897" s="70">
        <f>Z182/'Terms and Turnovers'!$Y41</f>
        <v>0</v>
      </c>
      <c r="AA897" s="728"/>
      <c r="AB897" s="70">
        <f>AB182/'Terms and Turnovers'!$Y41</f>
        <v>0</v>
      </c>
      <c r="AC897" s="728"/>
      <c r="AD897" s="70">
        <f>AD182/'Terms and Turnovers'!$Y41</f>
        <v>0</v>
      </c>
      <c r="AE897" s="728"/>
      <c r="AF897" s="132">
        <f t="shared" si="96"/>
        <v>0</v>
      </c>
      <c r="AG897" s="728"/>
      <c r="AH897" s="133">
        <f t="shared" si="97"/>
        <v>0</v>
      </c>
      <c r="AI897" s="728"/>
      <c r="AJ897" s="65"/>
    </row>
    <row r="898" spans="2:36" ht="12.75" customHeight="1" outlineLevel="1">
      <c r="B898" s="82"/>
      <c r="C898" s="1234"/>
      <c r="D898" s="1234"/>
      <c r="E898" s="84" t="str">
        <f>'Terms and Turnovers'!$AD$12</f>
        <v>ACCESSORIES</v>
      </c>
      <c r="F898" s="70">
        <f>F183/'Terms and Turnovers'!$AD41</f>
        <v>0</v>
      </c>
      <c r="G898" s="728"/>
      <c r="H898" s="70">
        <f>H183/'Terms and Turnovers'!$AD41</f>
        <v>0</v>
      </c>
      <c r="I898" s="728"/>
      <c r="J898" s="70">
        <f>J183/'Terms and Turnovers'!$AD41</f>
        <v>0</v>
      </c>
      <c r="K898" s="728"/>
      <c r="L898" s="70">
        <f>L183/'Terms and Turnovers'!$AD41</f>
        <v>0</v>
      </c>
      <c r="M898" s="728"/>
      <c r="N898" s="70">
        <f>N183/'Terms and Turnovers'!$AD41</f>
        <v>0</v>
      </c>
      <c r="O898" s="728"/>
      <c r="P898" s="70">
        <f>P183/'Terms and Turnovers'!$AD41</f>
        <v>0</v>
      </c>
      <c r="Q898" s="728"/>
      <c r="R898" s="132">
        <f t="shared" si="95"/>
        <v>0</v>
      </c>
      <c r="S898" s="728"/>
      <c r="T898" s="70">
        <f>T183/'Terms and Turnovers'!$AI41</f>
        <v>0</v>
      </c>
      <c r="U898" s="728"/>
      <c r="V898" s="70">
        <f>V183/'Terms and Turnovers'!$AI41</f>
        <v>0</v>
      </c>
      <c r="W898" s="728"/>
      <c r="X898" s="70">
        <f>X183/'Terms and Turnovers'!$AI41</f>
        <v>0</v>
      </c>
      <c r="Y898" s="728"/>
      <c r="Z898" s="70">
        <f>Z183/'Terms and Turnovers'!$AI41</f>
        <v>0</v>
      </c>
      <c r="AA898" s="728"/>
      <c r="AB898" s="70">
        <f>AB183/'Terms and Turnovers'!$AI41</f>
        <v>0</v>
      </c>
      <c r="AC898" s="728"/>
      <c r="AD898" s="70">
        <f>AD183/'Terms and Turnovers'!$AI41</f>
        <v>0</v>
      </c>
      <c r="AE898" s="728"/>
      <c r="AF898" s="132">
        <f t="shared" si="96"/>
        <v>0</v>
      </c>
      <c r="AG898" s="728"/>
      <c r="AH898" s="133">
        <f t="shared" si="97"/>
        <v>0</v>
      </c>
      <c r="AI898" s="728"/>
      <c r="AJ898" s="65"/>
    </row>
    <row r="899" spans="2:36" ht="12.75" customHeight="1" outlineLevel="1">
      <c r="B899" s="82"/>
      <c r="C899" s="1234"/>
      <c r="D899" s="1234"/>
      <c r="E899" s="84">
        <f>'Terms and Turnovers'!$AN$12</f>
        <v>0</v>
      </c>
      <c r="F899" s="70">
        <f>F184/'Terms and Turnovers'!$AN41</f>
        <v>0</v>
      </c>
      <c r="G899" s="728"/>
      <c r="H899" s="70">
        <f>H184/'Terms and Turnovers'!$AN41</f>
        <v>0</v>
      </c>
      <c r="I899" s="728"/>
      <c r="J899" s="70">
        <f>J184/'Terms and Turnovers'!$AN41</f>
        <v>0</v>
      </c>
      <c r="K899" s="728"/>
      <c r="L899" s="70">
        <f>L184/'Terms and Turnovers'!$AN41</f>
        <v>0</v>
      </c>
      <c r="M899" s="728"/>
      <c r="N899" s="70">
        <f>N184/'Terms and Turnovers'!$AN41</f>
        <v>0</v>
      </c>
      <c r="O899" s="728"/>
      <c r="P899" s="70">
        <f>P184/'Terms and Turnovers'!$AN41</f>
        <v>0</v>
      </c>
      <c r="Q899" s="728"/>
      <c r="R899" s="132">
        <f t="shared" ref="R899:R988" si="98">SUM(F899,H899,J899,L899,N899,P899)</f>
        <v>0</v>
      </c>
      <c r="S899" s="728"/>
      <c r="T899" s="70">
        <f>T184/'Terms and Turnovers'!$AS41</f>
        <v>0</v>
      </c>
      <c r="U899" s="728"/>
      <c r="V899" s="70">
        <f>V184/'Terms and Turnovers'!$AS41</f>
        <v>0</v>
      </c>
      <c r="W899" s="728"/>
      <c r="X899" s="70">
        <f>X184/'Terms and Turnovers'!$AS41</f>
        <v>0</v>
      </c>
      <c r="Y899" s="728"/>
      <c r="Z899" s="70">
        <f>Z184/'Terms and Turnovers'!$AS41</f>
        <v>0</v>
      </c>
      <c r="AA899" s="728"/>
      <c r="AB899" s="70">
        <f>AB184/'Terms and Turnovers'!$AS41</f>
        <v>0</v>
      </c>
      <c r="AC899" s="728"/>
      <c r="AD899" s="70">
        <f>AD184/'Terms and Turnovers'!$AS41</f>
        <v>0</v>
      </c>
      <c r="AE899" s="728"/>
      <c r="AF899" s="132">
        <f t="shared" ref="AF899:AF988" si="99">SUM(T899,V899,X899,Z899,AB899,AD899)</f>
        <v>0</v>
      </c>
      <c r="AG899" s="728"/>
      <c r="AH899" s="133">
        <f t="shared" si="97"/>
        <v>0</v>
      </c>
      <c r="AI899" s="728"/>
      <c r="AJ899" s="65"/>
    </row>
    <row r="900" spans="2:36" ht="13.5" customHeight="1" outlineLevel="1" thickBot="1">
      <c r="B900" s="82"/>
      <c r="C900" s="1235"/>
      <c r="D900" s="1235"/>
      <c r="E900" s="85">
        <f>'Terms and Turnovers'!$AX$12</f>
        <v>0</v>
      </c>
      <c r="F900" s="70">
        <f>F185/'Terms and Turnovers'!$AX41</f>
        <v>0</v>
      </c>
      <c r="G900" s="107"/>
      <c r="H900" s="70">
        <f>H185/'Terms and Turnovers'!$AX41</f>
        <v>0</v>
      </c>
      <c r="I900" s="107"/>
      <c r="J900" s="70">
        <f>J185/'Terms and Turnovers'!$AX41</f>
        <v>0</v>
      </c>
      <c r="K900" s="107"/>
      <c r="L900" s="70">
        <f>L185/'Terms and Turnovers'!$AX41</f>
        <v>0</v>
      </c>
      <c r="M900" s="107"/>
      <c r="N900" s="70">
        <f>N185/'Terms and Turnovers'!$AX41</f>
        <v>0</v>
      </c>
      <c r="O900" s="107"/>
      <c r="P900" s="70">
        <f>P185/'Terms and Turnovers'!$AX41</f>
        <v>0</v>
      </c>
      <c r="Q900" s="107"/>
      <c r="R900" s="135">
        <f t="shared" si="98"/>
        <v>0</v>
      </c>
      <c r="S900" s="107"/>
      <c r="T900" s="70">
        <f>T185/'Terms and Turnovers'!$AX$41</f>
        <v>0</v>
      </c>
      <c r="U900" s="107"/>
      <c r="V900" s="70">
        <f>V185/'Terms and Turnovers'!$AX$41</f>
        <v>0</v>
      </c>
      <c r="W900" s="107"/>
      <c r="X900" s="70">
        <f>X185/'Terms and Turnovers'!$AX$41</f>
        <v>0</v>
      </c>
      <c r="Y900" s="107"/>
      <c r="Z900" s="70">
        <f>Z185/'Terms and Turnovers'!$AX$41</f>
        <v>0</v>
      </c>
      <c r="AA900" s="107"/>
      <c r="AB900" s="70">
        <f>AB185/'Terms and Turnovers'!$AX$41</f>
        <v>0</v>
      </c>
      <c r="AC900" s="107"/>
      <c r="AD900" s="70">
        <f>AD185/'Terms and Turnovers'!$AX$41</f>
        <v>0</v>
      </c>
      <c r="AE900" s="107"/>
      <c r="AF900" s="135">
        <f t="shared" si="99"/>
        <v>0</v>
      </c>
      <c r="AG900" s="107"/>
      <c r="AH900" s="136">
        <f t="shared" ref="AH900:AH989" si="100">SUM(AF900,R900)</f>
        <v>0</v>
      </c>
      <c r="AI900" s="107"/>
      <c r="AJ900" s="65"/>
    </row>
    <row r="901" spans="2:36" ht="13.5" customHeight="1" outlineLevel="1">
      <c r="B901" s="82"/>
      <c r="C901" s="425"/>
      <c r="D901" s="425"/>
      <c r="E901" s="634"/>
      <c r="F901" s="635"/>
      <c r="G901" s="428"/>
      <c r="H901" s="635"/>
      <c r="I901" s="428"/>
      <c r="J901" s="635"/>
      <c r="K901" s="636"/>
      <c r="L901" s="635"/>
      <c r="M901" s="636"/>
      <c r="N901" s="635"/>
      <c r="O901" s="636"/>
      <c r="P901" s="635"/>
      <c r="Q901" s="636"/>
      <c r="R901" s="637"/>
      <c r="S901" s="698">
        <f>SUM(R181:R185)/1.18-(SUM(R896:R900)*'Mark Up Validation'!$M$175)</f>
        <v>0</v>
      </c>
      <c r="T901" s="635"/>
      <c r="U901" s="636"/>
      <c r="V901" s="635"/>
      <c r="W901" s="636"/>
      <c r="X901" s="635"/>
      <c r="Y901" s="636"/>
      <c r="Z901" s="635"/>
      <c r="AA901" s="636"/>
      <c r="AB901" s="635"/>
      <c r="AC901" s="636"/>
      <c r="AD901" s="635"/>
      <c r="AE901" s="636"/>
      <c r="AF901" s="637"/>
      <c r="AG901" s="698">
        <f>SUM(AF181:AF185)/1.18-SUM(AF896:AF900)*'Mark Up Validation'!$M$175</f>
        <v>0</v>
      </c>
      <c r="AH901" s="638"/>
      <c r="AI901" s="698">
        <f>SUM(AH181:AH185)/1.18-SUM(AH896:AH900)*'Mark Up Validation'!$M$175</f>
        <v>0</v>
      </c>
      <c r="AJ901" s="65"/>
    </row>
    <row r="902" spans="2:36" ht="13.5" customHeight="1" outlineLevel="1" thickBot="1">
      <c r="B902" s="82"/>
      <c r="C902" s="1228" t="s">
        <v>487</v>
      </c>
      <c r="D902" s="1229"/>
      <c r="E902" s="699"/>
      <c r="F902" s="700"/>
      <c r="G902" s="701"/>
      <c r="H902" s="700"/>
      <c r="I902" s="701"/>
      <c r="J902" s="700"/>
      <c r="K902" s="702"/>
      <c r="L902" s="700"/>
      <c r="M902" s="702"/>
      <c r="N902" s="700"/>
      <c r="O902" s="702"/>
      <c r="P902" s="700"/>
      <c r="Q902" s="702"/>
      <c r="R902" s="703"/>
      <c r="S902" s="729">
        <f>IF(S901&gt;0,S901/(SUM(R181:R185)/1.18),0)</f>
        <v>0</v>
      </c>
      <c r="T902" s="704"/>
      <c r="U902" s="702"/>
      <c r="V902" s="700"/>
      <c r="W902" s="702"/>
      <c r="X902" s="700"/>
      <c r="Y902" s="702"/>
      <c r="Z902" s="700"/>
      <c r="AA902" s="702"/>
      <c r="AB902" s="700"/>
      <c r="AC902" s="702"/>
      <c r="AD902" s="700"/>
      <c r="AE902" s="702"/>
      <c r="AF902" s="705"/>
      <c r="AG902" s="729">
        <f>IF(AG901&gt;0,AG901/(SUM(AF181:AF185)/1.18),0)</f>
        <v>0</v>
      </c>
      <c r="AH902" s="706"/>
      <c r="AI902" s="729">
        <f>IF(AI901&gt;0,AI901/(SUM(AH181:AH185)/1.18),0)</f>
        <v>0</v>
      </c>
      <c r="AJ902" s="65"/>
    </row>
    <row r="903" spans="2:36" ht="12.75" customHeight="1" outlineLevel="1" thickBot="1">
      <c r="B903" s="82">
        <f>B896+1</f>
        <v>27</v>
      </c>
      <c r="C903" s="1233">
        <f>C188</f>
        <v>0</v>
      </c>
      <c r="D903" s="1233">
        <f>D188</f>
        <v>0</v>
      </c>
      <c r="E903" s="83" t="str">
        <f>'Terms and Turnovers'!$J$12</f>
        <v>FLIP-FLOPS</v>
      </c>
      <c r="F903" s="68">
        <f>F188/'Terms and Turnovers'!$J42</f>
        <v>0</v>
      </c>
      <c r="G903" s="106"/>
      <c r="H903" s="68">
        <f>H188/'Terms and Turnovers'!$J42</f>
        <v>0</v>
      </c>
      <c r="I903" s="106"/>
      <c r="J903" s="68">
        <f>J188/'Terms and Turnovers'!$J42</f>
        <v>0</v>
      </c>
      <c r="K903" s="106"/>
      <c r="L903" s="68">
        <f>L188/'Terms and Turnovers'!$J42</f>
        <v>0</v>
      </c>
      <c r="M903" s="106"/>
      <c r="N903" s="68">
        <f>N188/'Terms and Turnovers'!$J42</f>
        <v>0</v>
      </c>
      <c r="O903" s="106"/>
      <c r="P903" s="68">
        <f>P188/'Terms and Turnovers'!$J42</f>
        <v>0</v>
      </c>
      <c r="Q903" s="106"/>
      <c r="R903" s="129">
        <f t="shared" si="98"/>
        <v>0</v>
      </c>
      <c r="S903" s="106"/>
      <c r="T903" s="68">
        <f>T188/'Terms and Turnovers'!$O42</f>
        <v>0</v>
      </c>
      <c r="U903" s="106"/>
      <c r="V903" s="68">
        <f>V188/'Terms and Turnovers'!$O42</f>
        <v>0</v>
      </c>
      <c r="W903" s="106"/>
      <c r="X903" s="68">
        <f>X188/'Terms and Turnovers'!$O42</f>
        <v>0</v>
      </c>
      <c r="Y903" s="106"/>
      <c r="Z903" s="68">
        <f>Z188/'Terms and Turnovers'!$O42</f>
        <v>0</v>
      </c>
      <c r="AA903" s="106"/>
      <c r="AB903" s="68">
        <f>AB188/'Terms and Turnovers'!$O42</f>
        <v>0</v>
      </c>
      <c r="AC903" s="106"/>
      <c r="AD903" s="68">
        <f>AD188/'Terms and Turnovers'!$O42</f>
        <v>0</v>
      </c>
      <c r="AE903" s="106"/>
      <c r="AF903" s="129">
        <f t="shared" si="99"/>
        <v>0</v>
      </c>
      <c r="AG903" s="106"/>
      <c r="AH903" s="130">
        <f t="shared" si="100"/>
        <v>0</v>
      </c>
      <c r="AI903" s="106"/>
      <c r="AJ903" s="65"/>
    </row>
    <row r="904" spans="2:36" ht="12.75" customHeight="1" outlineLevel="1" thickBot="1">
      <c r="B904" s="82"/>
      <c r="C904" s="1234"/>
      <c r="D904" s="1234"/>
      <c r="E904" s="84" t="str">
        <f>'Terms and Turnovers'!$T$12</f>
        <v>ORIGINALS</v>
      </c>
      <c r="F904" s="68">
        <f>F189/'Terms and Turnovers'!$T42</f>
        <v>0</v>
      </c>
      <c r="G904" s="728"/>
      <c r="H904" s="68">
        <f>H189/'Terms and Turnovers'!$T42</f>
        <v>0</v>
      </c>
      <c r="I904" s="728"/>
      <c r="J904" s="68">
        <f>J189/'Terms and Turnovers'!$T42</f>
        <v>0</v>
      </c>
      <c r="K904" s="728"/>
      <c r="L904" s="68">
        <f>L189/'Terms and Turnovers'!$T42</f>
        <v>0</v>
      </c>
      <c r="M904" s="728"/>
      <c r="N904" s="68">
        <f>N189/'Terms and Turnovers'!$T42</f>
        <v>0</v>
      </c>
      <c r="O904" s="728"/>
      <c r="P904" s="68">
        <f>P189/'Terms and Turnovers'!$T42</f>
        <v>0</v>
      </c>
      <c r="Q904" s="728"/>
      <c r="R904" s="132">
        <f t="shared" si="98"/>
        <v>0</v>
      </c>
      <c r="S904" s="728"/>
      <c r="T904" s="68">
        <f>T189/'Terms and Turnovers'!$Y42</f>
        <v>0</v>
      </c>
      <c r="U904" s="728"/>
      <c r="V904" s="68">
        <f>V189/'Terms and Turnovers'!$Y42</f>
        <v>0</v>
      </c>
      <c r="W904" s="728"/>
      <c r="X904" s="68">
        <f>X189/'Terms and Turnovers'!$Y42</f>
        <v>0</v>
      </c>
      <c r="Y904" s="728"/>
      <c r="Z904" s="68">
        <f>Z189/'Terms and Turnovers'!$Y42</f>
        <v>0</v>
      </c>
      <c r="AA904" s="728"/>
      <c r="AB904" s="68">
        <f>AB189/'Terms and Turnovers'!$Y42</f>
        <v>0</v>
      </c>
      <c r="AC904" s="728"/>
      <c r="AD904" s="68">
        <f>AD189/'Terms and Turnovers'!$Y42</f>
        <v>0</v>
      </c>
      <c r="AE904" s="728"/>
      <c r="AF904" s="132">
        <f t="shared" si="99"/>
        <v>0</v>
      </c>
      <c r="AG904" s="728"/>
      <c r="AH904" s="133">
        <f t="shared" si="100"/>
        <v>0</v>
      </c>
      <c r="AI904" s="728"/>
      <c r="AJ904" s="65"/>
    </row>
    <row r="905" spans="2:36" ht="12.75" customHeight="1" outlineLevel="1" thickBot="1">
      <c r="B905" s="82"/>
      <c r="C905" s="1234"/>
      <c r="D905" s="1234"/>
      <c r="E905" s="84" t="str">
        <f>'Terms and Turnovers'!$AD$12</f>
        <v>ACCESSORIES</v>
      </c>
      <c r="F905" s="68">
        <f>F190/'Terms and Turnovers'!$AD42</f>
        <v>0</v>
      </c>
      <c r="G905" s="728"/>
      <c r="H905" s="68">
        <f>H190/'Terms and Turnovers'!$AD42</f>
        <v>0</v>
      </c>
      <c r="I905" s="728"/>
      <c r="J905" s="68">
        <f>J190/'Terms and Turnovers'!$AD42</f>
        <v>0</v>
      </c>
      <c r="K905" s="728"/>
      <c r="L905" s="68">
        <f>L190/'Terms and Turnovers'!$AD42</f>
        <v>0</v>
      </c>
      <c r="M905" s="728"/>
      <c r="N905" s="68">
        <f>N190/'Terms and Turnovers'!$AD42</f>
        <v>0</v>
      </c>
      <c r="O905" s="728"/>
      <c r="P905" s="68">
        <f>P190/'Terms and Turnovers'!$AD42</f>
        <v>0</v>
      </c>
      <c r="Q905" s="728"/>
      <c r="R905" s="132">
        <f t="shared" si="98"/>
        <v>0</v>
      </c>
      <c r="S905" s="728"/>
      <c r="T905" s="68">
        <f>T190/'Terms and Turnovers'!$AI42</f>
        <v>0</v>
      </c>
      <c r="U905" s="728"/>
      <c r="V905" s="68">
        <f>V190/'Terms and Turnovers'!$AI42</f>
        <v>0</v>
      </c>
      <c r="W905" s="728"/>
      <c r="X905" s="68">
        <f>X190/'Terms and Turnovers'!$AI42</f>
        <v>0</v>
      </c>
      <c r="Y905" s="728"/>
      <c r="Z905" s="68">
        <f>Z190/'Terms and Turnovers'!$AI42</f>
        <v>0</v>
      </c>
      <c r="AA905" s="728"/>
      <c r="AB905" s="68">
        <f>AB190/'Terms and Turnovers'!$AI42</f>
        <v>0</v>
      </c>
      <c r="AC905" s="728"/>
      <c r="AD905" s="68">
        <f>AD190/'Terms and Turnovers'!$AI42</f>
        <v>0</v>
      </c>
      <c r="AE905" s="728"/>
      <c r="AF905" s="132">
        <f t="shared" si="99"/>
        <v>0</v>
      </c>
      <c r="AG905" s="728"/>
      <c r="AH905" s="133">
        <f t="shared" si="100"/>
        <v>0</v>
      </c>
      <c r="AI905" s="728"/>
      <c r="AJ905" s="65"/>
    </row>
    <row r="906" spans="2:36" ht="12.75" customHeight="1" outlineLevel="1">
      <c r="B906" s="82"/>
      <c r="C906" s="1234"/>
      <c r="D906" s="1234"/>
      <c r="E906" s="84">
        <f>'Terms and Turnovers'!$AN$12</f>
        <v>0</v>
      </c>
      <c r="F906" s="68">
        <f>F191/'Terms and Turnovers'!$AN42</f>
        <v>0</v>
      </c>
      <c r="G906" s="728"/>
      <c r="H906" s="68">
        <f>H191/'Terms and Turnovers'!$AN42</f>
        <v>0</v>
      </c>
      <c r="I906" s="728"/>
      <c r="J906" s="68">
        <f>J191/'Terms and Turnovers'!$AN42</f>
        <v>0</v>
      </c>
      <c r="K906" s="728"/>
      <c r="L906" s="68">
        <f>L191/'Terms and Turnovers'!$AN42</f>
        <v>0</v>
      </c>
      <c r="M906" s="728"/>
      <c r="N906" s="68">
        <f>N191/'Terms and Turnovers'!$AN42</f>
        <v>0</v>
      </c>
      <c r="O906" s="728"/>
      <c r="P906" s="68">
        <f>P191/'Terms and Turnovers'!$AN42</f>
        <v>0</v>
      </c>
      <c r="Q906" s="728"/>
      <c r="R906" s="132">
        <f t="shared" si="98"/>
        <v>0</v>
      </c>
      <c r="S906" s="728"/>
      <c r="T906" s="68">
        <f>T191/'Terms and Turnovers'!$AS42</f>
        <v>0</v>
      </c>
      <c r="U906" s="728"/>
      <c r="V906" s="68">
        <f>V191/'Terms and Turnovers'!$AS42</f>
        <v>0</v>
      </c>
      <c r="W906" s="728"/>
      <c r="X906" s="68">
        <f>X191/'Terms and Turnovers'!$AS42</f>
        <v>0</v>
      </c>
      <c r="Y906" s="728"/>
      <c r="Z906" s="68">
        <f>Z191/'Terms and Turnovers'!$AS42</f>
        <v>0</v>
      </c>
      <c r="AA906" s="728"/>
      <c r="AB906" s="68">
        <f>AB191/'Terms and Turnovers'!$AS42</f>
        <v>0</v>
      </c>
      <c r="AC906" s="728"/>
      <c r="AD906" s="68">
        <f>AD191/'Terms and Turnovers'!$AS42</f>
        <v>0</v>
      </c>
      <c r="AE906" s="728"/>
      <c r="AF906" s="132">
        <f t="shared" si="99"/>
        <v>0</v>
      </c>
      <c r="AG906" s="728"/>
      <c r="AH906" s="133">
        <f t="shared" si="100"/>
        <v>0</v>
      </c>
      <c r="AI906" s="728"/>
      <c r="AJ906" s="65"/>
    </row>
    <row r="907" spans="2:36" ht="13.5" customHeight="1" outlineLevel="1" thickBot="1">
      <c r="B907" s="82"/>
      <c r="C907" s="1235"/>
      <c r="D907" s="1235"/>
      <c r="E907" s="85">
        <f>'Terms and Turnovers'!$AX$12</f>
        <v>0</v>
      </c>
      <c r="F907" s="70">
        <f>F192/'Terms and Turnovers'!$AX42</f>
        <v>0</v>
      </c>
      <c r="G907" s="107"/>
      <c r="H907" s="70">
        <f>H192/'Terms and Turnovers'!$AX42</f>
        <v>0</v>
      </c>
      <c r="I907" s="107"/>
      <c r="J907" s="70">
        <f>J192/'Terms and Turnovers'!$AX42</f>
        <v>0</v>
      </c>
      <c r="K907" s="107"/>
      <c r="L907" s="70">
        <f>L192/'Terms and Turnovers'!$AX42</f>
        <v>0</v>
      </c>
      <c r="M907" s="107"/>
      <c r="N907" s="70">
        <f>N192/'Terms and Turnovers'!$AX42</f>
        <v>0</v>
      </c>
      <c r="O907" s="107"/>
      <c r="P907" s="70">
        <f>P192/'Terms and Turnovers'!$AX42</f>
        <v>0</v>
      </c>
      <c r="Q907" s="107"/>
      <c r="R907" s="135">
        <f t="shared" si="98"/>
        <v>0</v>
      </c>
      <c r="S907" s="107"/>
      <c r="T907" s="70">
        <f>T192/'Terms and Turnovers'!$AX$42</f>
        <v>0</v>
      </c>
      <c r="U907" s="107"/>
      <c r="V907" s="70">
        <f>V192/'Terms and Turnovers'!$AX$42</f>
        <v>0</v>
      </c>
      <c r="W907" s="107"/>
      <c r="X907" s="70">
        <f>X192/'Terms and Turnovers'!$AX$42</f>
        <v>0</v>
      </c>
      <c r="Y907" s="107"/>
      <c r="Z907" s="70">
        <f>Z192/'Terms and Turnovers'!$AX$42</f>
        <v>0</v>
      </c>
      <c r="AA907" s="107"/>
      <c r="AB907" s="70">
        <f>AB192/'Terms and Turnovers'!$AX$42</f>
        <v>0</v>
      </c>
      <c r="AC907" s="107"/>
      <c r="AD907" s="70">
        <f>AD192/'Terms and Turnovers'!$AX$42</f>
        <v>0</v>
      </c>
      <c r="AE907" s="107"/>
      <c r="AF907" s="135">
        <f t="shared" si="99"/>
        <v>0</v>
      </c>
      <c r="AG907" s="107"/>
      <c r="AH907" s="136">
        <f t="shared" si="100"/>
        <v>0</v>
      </c>
      <c r="AI907" s="107"/>
      <c r="AJ907" s="65"/>
    </row>
    <row r="908" spans="2:36" ht="13.5" customHeight="1" outlineLevel="1">
      <c r="B908" s="82"/>
      <c r="C908" s="425"/>
      <c r="D908" s="425"/>
      <c r="E908" s="634"/>
      <c r="F908" s="635"/>
      <c r="G908" s="428"/>
      <c r="H908" s="635"/>
      <c r="I908" s="428"/>
      <c r="J908" s="635"/>
      <c r="K908" s="636"/>
      <c r="L908" s="635"/>
      <c r="M908" s="636"/>
      <c r="N908" s="635"/>
      <c r="O908" s="636"/>
      <c r="P908" s="635"/>
      <c r="Q908" s="636"/>
      <c r="R908" s="637"/>
      <c r="S908" s="698">
        <f>SUM(R188:R192)/1.18-(SUM(R903:R907)*'Mark Up Validation'!$M$175)</f>
        <v>0</v>
      </c>
      <c r="T908" s="635"/>
      <c r="U908" s="636"/>
      <c r="V908" s="635"/>
      <c r="W908" s="636"/>
      <c r="X908" s="635"/>
      <c r="Y908" s="636"/>
      <c r="Z908" s="635"/>
      <c r="AA908" s="636"/>
      <c r="AB908" s="635"/>
      <c r="AC908" s="636"/>
      <c r="AD908" s="635"/>
      <c r="AE908" s="636"/>
      <c r="AF908" s="637"/>
      <c r="AG908" s="698">
        <f>SUM(AF188:AF192)/1.18-SUM(AF903:AF907)*'Mark Up Validation'!$M$175</f>
        <v>0</v>
      </c>
      <c r="AH908" s="638"/>
      <c r="AI908" s="698">
        <f>SUM(AH188:AH192)/1.18-SUM(AH903:AH907)*'Mark Up Validation'!$M$175</f>
        <v>0</v>
      </c>
      <c r="AJ908" s="65"/>
    </row>
    <row r="909" spans="2:36" ht="13.5" customHeight="1" outlineLevel="1" thickBot="1">
      <c r="B909" s="82"/>
      <c r="C909" s="1228" t="s">
        <v>487</v>
      </c>
      <c r="D909" s="1229"/>
      <c r="E909" s="699"/>
      <c r="F909" s="700"/>
      <c r="G909" s="701"/>
      <c r="H909" s="700"/>
      <c r="I909" s="701"/>
      <c r="J909" s="700"/>
      <c r="K909" s="702"/>
      <c r="L909" s="700"/>
      <c r="M909" s="702"/>
      <c r="N909" s="700"/>
      <c r="O909" s="702"/>
      <c r="P909" s="700"/>
      <c r="Q909" s="702"/>
      <c r="R909" s="703"/>
      <c r="S909" s="729">
        <f>IF(S908&gt;0,S908/(SUM(R188:R192)/1.18),0)</f>
        <v>0</v>
      </c>
      <c r="T909" s="704"/>
      <c r="U909" s="702"/>
      <c r="V909" s="700"/>
      <c r="W909" s="702"/>
      <c r="X909" s="700"/>
      <c r="Y909" s="702"/>
      <c r="Z909" s="700"/>
      <c r="AA909" s="702"/>
      <c r="AB909" s="700"/>
      <c r="AC909" s="702"/>
      <c r="AD909" s="700"/>
      <c r="AE909" s="702"/>
      <c r="AF909" s="705"/>
      <c r="AG909" s="729">
        <f>IF(AG908&gt;0,AG908/(SUM(AF188:AF192)/1.18),0)</f>
        <v>0</v>
      </c>
      <c r="AH909" s="706"/>
      <c r="AI909" s="729">
        <f>IF(AI908&gt;0,AI908/(SUM(AH188:AH192)/1.18),0)</f>
        <v>0</v>
      </c>
      <c r="AJ909" s="65"/>
    </row>
    <row r="910" spans="2:36" ht="12.75" customHeight="1" outlineLevel="1" thickBot="1">
      <c r="B910" s="82">
        <f>B903+1</f>
        <v>28</v>
      </c>
      <c r="C910" s="1233">
        <f>C195</f>
        <v>0</v>
      </c>
      <c r="D910" s="1233">
        <f>D195</f>
        <v>0</v>
      </c>
      <c r="E910" s="83" t="str">
        <f>'Terms and Turnovers'!$J$12</f>
        <v>FLIP-FLOPS</v>
      </c>
      <c r="F910" s="68">
        <f>F195/'Terms and Turnovers'!$J43</f>
        <v>0</v>
      </c>
      <c r="G910" s="106"/>
      <c r="H910" s="68">
        <f>H195/'Terms and Turnovers'!$J43</f>
        <v>0</v>
      </c>
      <c r="I910" s="106"/>
      <c r="J910" s="68">
        <f>J195/'Terms and Turnovers'!$J43</f>
        <v>0</v>
      </c>
      <c r="K910" s="106"/>
      <c r="L910" s="68">
        <f>L195/'Terms and Turnovers'!$J43</f>
        <v>0</v>
      </c>
      <c r="M910" s="106"/>
      <c r="N910" s="68">
        <f>N195/'Terms and Turnovers'!$J43</f>
        <v>0</v>
      </c>
      <c r="O910" s="106"/>
      <c r="P910" s="68">
        <f>P195/'Terms and Turnovers'!$J43</f>
        <v>0</v>
      </c>
      <c r="Q910" s="106"/>
      <c r="R910" s="129">
        <f t="shared" si="98"/>
        <v>0</v>
      </c>
      <c r="S910" s="106"/>
      <c r="T910" s="68">
        <f>T195/'Terms and Turnovers'!$O43</f>
        <v>0</v>
      </c>
      <c r="U910" s="106"/>
      <c r="V910" s="68">
        <f>V195/'Terms and Turnovers'!$O43</f>
        <v>0</v>
      </c>
      <c r="W910" s="106"/>
      <c r="X910" s="68">
        <f>X195/'Terms and Turnovers'!$O43</f>
        <v>0</v>
      </c>
      <c r="Y910" s="106"/>
      <c r="Z910" s="68">
        <f>Z195/'Terms and Turnovers'!$O43</f>
        <v>0</v>
      </c>
      <c r="AA910" s="106"/>
      <c r="AB910" s="68">
        <f>AB195/'Terms and Turnovers'!$O43</f>
        <v>0</v>
      </c>
      <c r="AC910" s="106"/>
      <c r="AD910" s="68">
        <f>AD195/'Terms and Turnovers'!$O43</f>
        <v>0</v>
      </c>
      <c r="AE910" s="106"/>
      <c r="AF910" s="129">
        <f t="shared" si="99"/>
        <v>0</v>
      </c>
      <c r="AG910" s="106"/>
      <c r="AH910" s="130">
        <f t="shared" si="100"/>
        <v>0</v>
      </c>
      <c r="AI910" s="106"/>
      <c r="AJ910" s="65"/>
    </row>
    <row r="911" spans="2:36" ht="12.75" customHeight="1" outlineLevel="1" thickBot="1">
      <c r="B911" s="82"/>
      <c r="C911" s="1234"/>
      <c r="D911" s="1234"/>
      <c r="E911" s="84" t="str">
        <f>'Terms and Turnovers'!$T$12</f>
        <v>ORIGINALS</v>
      </c>
      <c r="F911" s="68">
        <f>F196/'Terms and Turnovers'!$T43</f>
        <v>0</v>
      </c>
      <c r="G911" s="728"/>
      <c r="H911" s="68">
        <f>H196/'Terms and Turnovers'!$T43</f>
        <v>0</v>
      </c>
      <c r="I911" s="728"/>
      <c r="J911" s="68">
        <f>J196/'Terms and Turnovers'!$T43</f>
        <v>0</v>
      </c>
      <c r="K911" s="728"/>
      <c r="L911" s="68">
        <f>L196/'Terms and Turnovers'!$T43</f>
        <v>0</v>
      </c>
      <c r="M911" s="728"/>
      <c r="N911" s="68">
        <f>N196/'Terms and Turnovers'!$T43</f>
        <v>0</v>
      </c>
      <c r="O911" s="728"/>
      <c r="P911" s="68">
        <f>P196/'Terms and Turnovers'!$T43</f>
        <v>0</v>
      </c>
      <c r="Q911" s="728"/>
      <c r="R911" s="132">
        <f t="shared" si="98"/>
        <v>0</v>
      </c>
      <c r="S911" s="728"/>
      <c r="T911" s="68">
        <f>T196/'Terms and Turnovers'!$Y43</f>
        <v>0</v>
      </c>
      <c r="U911" s="728"/>
      <c r="V911" s="68">
        <f>V196/'Terms and Turnovers'!$Y43</f>
        <v>0</v>
      </c>
      <c r="W911" s="728"/>
      <c r="X911" s="68">
        <f>X196/'Terms and Turnovers'!$Y43</f>
        <v>0</v>
      </c>
      <c r="Y911" s="728"/>
      <c r="Z911" s="68">
        <f>Z196/'Terms and Turnovers'!$Y43</f>
        <v>0</v>
      </c>
      <c r="AA911" s="728"/>
      <c r="AB911" s="68">
        <f>AB196/'Terms and Turnovers'!$Y43</f>
        <v>0</v>
      </c>
      <c r="AC911" s="728"/>
      <c r="AD911" s="68">
        <f>AD196/'Terms and Turnovers'!$Y43</f>
        <v>0</v>
      </c>
      <c r="AE911" s="728"/>
      <c r="AF911" s="132">
        <f t="shared" si="99"/>
        <v>0</v>
      </c>
      <c r="AG911" s="728"/>
      <c r="AH911" s="133">
        <f t="shared" si="100"/>
        <v>0</v>
      </c>
      <c r="AI911" s="728"/>
      <c r="AJ911" s="65"/>
    </row>
    <row r="912" spans="2:36" ht="12.75" customHeight="1" outlineLevel="1" thickBot="1">
      <c r="B912" s="82"/>
      <c r="C912" s="1234"/>
      <c r="D912" s="1234"/>
      <c r="E912" s="84" t="str">
        <f>'Terms and Turnovers'!$AD$12</f>
        <v>ACCESSORIES</v>
      </c>
      <c r="F912" s="68">
        <f>F197/'Terms and Turnovers'!$AD43</f>
        <v>0</v>
      </c>
      <c r="G912" s="728"/>
      <c r="H912" s="68">
        <f>H197/'Terms and Turnovers'!$AD43</f>
        <v>0</v>
      </c>
      <c r="I912" s="728"/>
      <c r="J912" s="68">
        <f>J197/'Terms and Turnovers'!$AD43</f>
        <v>0</v>
      </c>
      <c r="K912" s="728"/>
      <c r="L912" s="68">
        <f>L197/'Terms and Turnovers'!$AD43</f>
        <v>0</v>
      </c>
      <c r="M912" s="728"/>
      <c r="N912" s="68">
        <f>N197/'Terms and Turnovers'!$AD43</f>
        <v>0</v>
      </c>
      <c r="O912" s="728"/>
      <c r="P912" s="68">
        <f>P197/'Terms and Turnovers'!$AD43</f>
        <v>0</v>
      </c>
      <c r="Q912" s="728"/>
      <c r="R912" s="132">
        <f t="shared" si="98"/>
        <v>0</v>
      </c>
      <c r="S912" s="728"/>
      <c r="T912" s="68">
        <f>T197/'Terms and Turnovers'!$AI43</f>
        <v>0</v>
      </c>
      <c r="U912" s="728"/>
      <c r="V912" s="68">
        <f>V197/'Terms and Turnovers'!$AI43</f>
        <v>0</v>
      </c>
      <c r="W912" s="728"/>
      <c r="X912" s="68">
        <f>X197/'Terms and Turnovers'!$AI43</f>
        <v>0</v>
      </c>
      <c r="Y912" s="728"/>
      <c r="Z912" s="68">
        <f>Z197/'Terms and Turnovers'!$AI43</f>
        <v>0</v>
      </c>
      <c r="AA912" s="728"/>
      <c r="AB912" s="68">
        <f>AB197/'Terms and Turnovers'!$AI43</f>
        <v>0</v>
      </c>
      <c r="AC912" s="728"/>
      <c r="AD912" s="68">
        <f>AD197/'Terms and Turnovers'!$AI43</f>
        <v>0</v>
      </c>
      <c r="AE912" s="728"/>
      <c r="AF912" s="132">
        <f t="shared" si="99"/>
        <v>0</v>
      </c>
      <c r="AG912" s="728"/>
      <c r="AH912" s="133">
        <f t="shared" si="100"/>
        <v>0</v>
      </c>
      <c r="AI912" s="728"/>
      <c r="AJ912" s="65"/>
    </row>
    <row r="913" spans="2:36" ht="12.75" customHeight="1" outlineLevel="1">
      <c r="B913" s="82"/>
      <c r="C913" s="1234"/>
      <c r="D913" s="1234"/>
      <c r="E913" s="84">
        <f>'Terms and Turnovers'!$AN$12</f>
        <v>0</v>
      </c>
      <c r="F913" s="68">
        <f>F198/'Terms and Turnovers'!$AN43</f>
        <v>0</v>
      </c>
      <c r="G913" s="728"/>
      <c r="H913" s="68">
        <f>H198/'Terms and Turnovers'!$AN43</f>
        <v>0</v>
      </c>
      <c r="I913" s="728"/>
      <c r="J913" s="68">
        <f>J198/'Terms and Turnovers'!$AN43</f>
        <v>0</v>
      </c>
      <c r="K913" s="728"/>
      <c r="L913" s="68">
        <f>L198/'Terms and Turnovers'!$AN43</f>
        <v>0</v>
      </c>
      <c r="M913" s="728"/>
      <c r="N913" s="68">
        <f>N198/'Terms and Turnovers'!$AN43</f>
        <v>0</v>
      </c>
      <c r="O913" s="728"/>
      <c r="P913" s="68">
        <f>P198/'Terms and Turnovers'!$AN43</f>
        <v>0</v>
      </c>
      <c r="Q913" s="728"/>
      <c r="R913" s="132">
        <f t="shared" si="98"/>
        <v>0</v>
      </c>
      <c r="S913" s="728"/>
      <c r="T913" s="68">
        <f>T198/'Terms and Turnovers'!$AS43</f>
        <v>0</v>
      </c>
      <c r="U913" s="728"/>
      <c r="V913" s="68">
        <f>V198/'Terms and Turnovers'!$AS43</f>
        <v>0</v>
      </c>
      <c r="W913" s="728"/>
      <c r="X913" s="68">
        <f>X198/'Terms and Turnovers'!$AS43</f>
        <v>0</v>
      </c>
      <c r="Y913" s="728"/>
      <c r="Z913" s="68">
        <f>Z198/'Terms and Turnovers'!$AS43</f>
        <v>0</v>
      </c>
      <c r="AA913" s="728"/>
      <c r="AB913" s="68">
        <f>AB198/'Terms and Turnovers'!$AS43</f>
        <v>0</v>
      </c>
      <c r="AC913" s="728"/>
      <c r="AD913" s="68">
        <f>AD198/'Terms and Turnovers'!$AS43</f>
        <v>0</v>
      </c>
      <c r="AE913" s="728"/>
      <c r="AF913" s="132">
        <f t="shared" si="99"/>
        <v>0</v>
      </c>
      <c r="AG913" s="728"/>
      <c r="AH913" s="133">
        <f t="shared" si="100"/>
        <v>0</v>
      </c>
      <c r="AI913" s="728"/>
      <c r="AJ913" s="65"/>
    </row>
    <row r="914" spans="2:36" ht="13.5" customHeight="1" outlineLevel="1" thickBot="1">
      <c r="B914" s="82"/>
      <c r="C914" s="1235"/>
      <c r="D914" s="1235"/>
      <c r="E914" s="85">
        <f>'Terms and Turnovers'!$AX$12</f>
        <v>0</v>
      </c>
      <c r="F914" s="70">
        <f>F199/'Terms and Turnovers'!$AX43</f>
        <v>0</v>
      </c>
      <c r="G914" s="107"/>
      <c r="H914" s="70">
        <f>H199/'Terms and Turnovers'!$AX43</f>
        <v>0</v>
      </c>
      <c r="I914" s="107"/>
      <c r="J914" s="70">
        <f>J199/'Terms and Turnovers'!$AX43</f>
        <v>0</v>
      </c>
      <c r="K914" s="107"/>
      <c r="L914" s="70">
        <f>L199/'Terms and Turnovers'!$AX43</f>
        <v>0</v>
      </c>
      <c r="M914" s="107"/>
      <c r="N914" s="70">
        <f>N199/'Terms and Turnovers'!$AX43</f>
        <v>0</v>
      </c>
      <c r="O914" s="107"/>
      <c r="P914" s="70">
        <f>P199/'Terms and Turnovers'!$AX43</f>
        <v>0</v>
      </c>
      <c r="Q914" s="107"/>
      <c r="R914" s="135">
        <f t="shared" si="98"/>
        <v>0</v>
      </c>
      <c r="S914" s="107"/>
      <c r="T914" s="70">
        <f>T199/'Terms and Turnovers'!$AX$43</f>
        <v>0</v>
      </c>
      <c r="U914" s="107"/>
      <c r="V914" s="70">
        <f>V199/'Terms and Turnovers'!$AX$43</f>
        <v>0</v>
      </c>
      <c r="W914" s="107"/>
      <c r="X914" s="70">
        <f>X199/'Terms and Turnovers'!$AX$43</f>
        <v>0</v>
      </c>
      <c r="Y914" s="107"/>
      <c r="Z914" s="70">
        <f>Z199/'Terms and Turnovers'!$AX$43</f>
        <v>0</v>
      </c>
      <c r="AA914" s="107"/>
      <c r="AB914" s="70">
        <f>AB199/'Terms and Turnovers'!$AX$43</f>
        <v>0</v>
      </c>
      <c r="AC914" s="107"/>
      <c r="AD914" s="70">
        <f>AD199/'Terms and Turnovers'!$AX$43</f>
        <v>0</v>
      </c>
      <c r="AE914" s="107"/>
      <c r="AF914" s="135">
        <f t="shared" si="99"/>
        <v>0</v>
      </c>
      <c r="AG914" s="107"/>
      <c r="AH914" s="136">
        <f t="shared" si="100"/>
        <v>0</v>
      </c>
      <c r="AI914" s="107"/>
      <c r="AJ914" s="65"/>
    </row>
    <row r="915" spans="2:36" ht="13.5" customHeight="1" outlineLevel="1">
      <c r="B915" s="82"/>
      <c r="C915" s="425"/>
      <c r="D915" s="425"/>
      <c r="E915" s="634"/>
      <c r="F915" s="635"/>
      <c r="G915" s="428"/>
      <c r="H915" s="635"/>
      <c r="I915" s="428"/>
      <c r="J915" s="635"/>
      <c r="K915" s="636"/>
      <c r="L915" s="635"/>
      <c r="M915" s="636"/>
      <c r="N915" s="635"/>
      <c r="O915" s="636"/>
      <c r="P915" s="635"/>
      <c r="Q915" s="636"/>
      <c r="R915" s="637"/>
      <c r="S915" s="698">
        <f>SUM(R195:R199)/1.18-(SUM(R910:R914)*'Mark Up Validation'!$M$175)</f>
        <v>0</v>
      </c>
      <c r="T915" s="635"/>
      <c r="U915" s="636"/>
      <c r="V915" s="635"/>
      <c r="W915" s="636"/>
      <c r="X915" s="635"/>
      <c r="Y915" s="636"/>
      <c r="Z915" s="635"/>
      <c r="AA915" s="636"/>
      <c r="AB915" s="635"/>
      <c r="AC915" s="636"/>
      <c r="AD915" s="635"/>
      <c r="AE915" s="636"/>
      <c r="AF915" s="637"/>
      <c r="AG915" s="698">
        <f>SUM(AF195:AF199)/1.18-SUM(AF910:AF914)*'Mark Up Validation'!$M$175</f>
        <v>0</v>
      </c>
      <c r="AH915" s="638"/>
      <c r="AI915" s="698">
        <f>SUM(AH195:AH199)/1.18-SUM(AH910:AH914)*'Mark Up Validation'!$M$175</f>
        <v>0</v>
      </c>
      <c r="AJ915" s="65"/>
    </row>
    <row r="916" spans="2:36" ht="13.5" customHeight="1" outlineLevel="1" thickBot="1">
      <c r="B916" s="82"/>
      <c r="C916" s="1228" t="s">
        <v>487</v>
      </c>
      <c r="D916" s="1229"/>
      <c r="E916" s="699"/>
      <c r="F916" s="700"/>
      <c r="G916" s="701"/>
      <c r="H916" s="700"/>
      <c r="I916" s="701"/>
      <c r="J916" s="700"/>
      <c r="K916" s="702"/>
      <c r="L916" s="700"/>
      <c r="M916" s="702"/>
      <c r="N916" s="700"/>
      <c r="O916" s="702"/>
      <c r="P916" s="700"/>
      <c r="Q916" s="702"/>
      <c r="R916" s="703"/>
      <c r="S916" s="729">
        <f>IF(S915&gt;0,S915/(SUM(R195:R199)/1.18),0)</f>
        <v>0</v>
      </c>
      <c r="T916" s="704"/>
      <c r="U916" s="702"/>
      <c r="V916" s="700"/>
      <c r="W916" s="702"/>
      <c r="X916" s="700"/>
      <c r="Y916" s="702"/>
      <c r="Z916" s="700"/>
      <c r="AA916" s="702"/>
      <c r="AB916" s="700"/>
      <c r="AC916" s="702"/>
      <c r="AD916" s="700"/>
      <c r="AE916" s="702"/>
      <c r="AF916" s="705"/>
      <c r="AG916" s="729">
        <f>IF(AG915&gt;0,AG915/(SUM(AF195:AF199)/1.18),0)</f>
        <v>0</v>
      </c>
      <c r="AH916" s="706"/>
      <c r="AI916" s="729">
        <f>IF(AI915&gt;0,AI915/(SUM(AH195:AH199)/1.18),0)</f>
        <v>0</v>
      </c>
      <c r="AJ916" s="65"/>
    </row>
    <row r="917" spans="2:36" ht="12.75" customHeight="1" outlineLevel="1" thickBot="1">
      <c r="B917" s="82">
        <f>B910+1</f>
        <v>29</v>
      </c>
      <c r="C917" s="1233">
        <f>C202</f>
        <v>0</v>
      </c>
      <c r="D917" s="1233">
        <f>D202</f>
        <v>0</v>
      </c>
      <c r="E917" s="83" t="str">
        <f>'Terms and Turnovers'!$J$12</f>
        <v>FLIP-FLOPS</v>
      </c>
      <c r="F917" s="68">
        <f>F202/'Terms and Turnovers'!$J44</f>
        <v>0</v>
      </c>
      <c r="G917" s="106"/>
      <c r="H917" s="68">
        <f>H202/'Terms and Turnovers'!$J44</f>
        <v>0</v>
      </c>
      <c r="I917" s="106"/>
      <c r="J917" s="68">
        <f>J202/'Terms and Turnovers'!$J44</f>
        <v>0</v>
      </c>
      <c r="K917" s="106"/>
      <c r="L917" s="68">
        <f>L202/'Terms and Turnovers'!$J44</f>
        <v>0</v>
      </c>
      <c r="M917" s="106"/>
      <c r="N917" s="68">
        <f>N202/'Terms and Turnovers'!$J44</f>
        <v>0</v>
      </c>
      <c r="O917" s="106"/>
      <c r="P917" s="68">
        <f>P202/'Terms and Turnovers'!$J44</f>
        <v>0</v>
      </c>
      <c r="Q917" s="106"/>
      <c r="R917" s="129">
        <f t="shared" si="98"/>
        <v>0</v>
      </c>
      <c r="S917" s="106"/>
      <c r="T917" s="68">
        <f>T202/'Terms and Turnovers'!$O44</f>
        <v>0</v>
      </c>
      <c r="U917" s="106"/>
      <c r="V917" s="68">
        <f>V202/'Terms and Turnovers'!$O44</f>
        <v>0</v>
      </c>
      <c r="W917" s="106"/>
      <c r="X917" s="68">
        <f>X202/'Terms and Turnovers'!$O44</f>
        <v>0</v>
      </c>
      <c r="Y917" s="106"/>
      <c r="Z917" s="68">
        <f>Z202/'Terms and Turnovers'!$O44</f>
        <v>0</v>
      </c>
      <c r="AA917" s="106"/>
      <c r="AB917" s="68">
        <f>AB202/'Terms and Turnovers'!$O44</f>
        <v>0</v>
      </c>
      <c r="AC917" s="106"/>
      <c r="AD917" s="68">
        <f>AD202/'Terms and Turnovers'!$O44</f>
        <v>0</v>
      </c>
      <c r="AE917" s="106"/>
      <c r="AF917" s="129">
        <f t="shared" si="99"/>
        <v>0</v>
      </c>
      <c r="AG917" s="106"/>
      <c r="AH917" s="130">
        <f t="shared" si="100"/>
        <v>0</v>
      </c>
      <c r="AI917" s="106"/>
      <c r="AJ917" s="65"/>
    </row>
    <row r="918" spans="2:36" ht="12.75" customHeight="1" outlineLevel="1" thickBot="1">
      <c r="B918" s="82"/>
      <c r="C918" s="1234"/>
      <c r="D918" s="1234"/>
      <c r="E918" s="84" t="str">
        <f>'Terms and Turnovers'!$T$12</f>
        <v>ORIGINALS</v>
      </c>
      <c r="F918" s="68">
        <f>F203/'Terms and Turnovers'!$T44</f>
        <v>0</v>
      </c>
      <c r="G918" s="728"/>
      <c r="H918" s="68">
        <f>H203/'Terms and Turnovers'!$T44</f>
        <v>0</v>
      </c>
      <c r="I918" s="728"/>
      <c r="J918" s="68">
        <f>J203/'Terms and Turnovers'!$T44</f>
        <v>0</v>
      </c>
      <c r="K918" s="728"/>
      <c r="L918" s="68">
        <f>L203/'Terms and Turnovers'!$T44</f>
        <v>0</v>
      </c>
      <c r="M918" s="728"/>
      <c r="N918" s="68">
        <f>N203/'Terms and Turnovers'!$T44</f>
        <v>0</v>
      </c>
      <c r="O918" s="728"/>
      <c r="P918" s="68">
        <f>P203/'Terms and Turnovers'!$T44</f>
        <v>0</v>
      </c>
      <c r="Q918" s="728"/>
      <c r="R918" s="132">
        <f t="shared" si="98"/>
        <v>0</v>
      </c>
      <c r="S918" s="728"/>
      <c r="T918" s="68">
        <f>T203/'Terms and Turnovers'!$Y44</f>
        <v>0</v>
      </c>
      <c r="U918" s="728"/>
      <c r="V918" s="68">
        <f>V203/'Terms and Turnovers'!$Y44</f>
        <v>0</v>
      </c>
      <c r="W918" s="728"/>
      <c r="X918" s="68">
        <f>X203/'Terms and Turnovers'!$Y44</f>
        <v>0</v>
      </c>
      <c r="Y918" s="728"/>
      <c r="Z918" s="68">
        <f>Z203/'Terms and Turnovers'!$Y44</f>
        <v>0</v>
      </c>
      <c r="AA918" s="728"/>
      <c r="AB918" s="68">
        <f>AB203/'Terms and Turnovers'!$Y44</f>
        <v>0</v>
      </c>
      <c r="AC918" s="728"/>
      <c r="AD918" s="68">
        <f>AD203/'Terms and Turnovers'!$Y44</f>
        <v>0</v>
      </c>
      <c r="AE918" s="728"/>
      <c r="AF918" s="132">
        <f t="shared" si="99"/>
        <v>0</v>
      </c>
      <c r="AG918" s="728"/>
      <c r="AH918" s="133">
        <f t="shared" si="100"/>
        <v>0</v>
      </c>
      <c r="AI918" s="728"/>
      <c r="AJ918" s="65"/>
    </row>
    <row r="919" spans="2:36" ht="12.75" customHeight="1" outlineLevel="1" thickBot="1">
      <c r="B919" s="82"/>
      <c r="C919" s="1234"/>
      <c r="D919" s="1234"/>
      <c r="E919" s="84" t="str">
        <f>'Terms and Turnovers'!$AD$12</f>
        <v>ACCESSORIES</v>
      </c>
      <c r="F919" s="68">
        <f>F204/'Terms and Turnovers'!$AD44</f>
        <v>0</v>
      </c>
      <c r="G919" s="728"/>
      <c r="H919" s="68">
        <f>H204/'Terms and Turnovers'!$AD44</f>
        <v>0</v>
      </c>
      <c r="I919" s="728"/>
      <c r="J919" s="68">
        <f>J204/'Terms and Turnovers'!$AD44</f>
        <v>0</v>
      </c>
      <c r="K919" s="728"/>
      <c r="L919" s="68">
        <f>L204/'Terms and Turnovers'!$AD44</f>
        <v>0</v>
      </c>
      <c r="M919" s="728"/>
      <c r="N919" s="68">
        <f>N204/'Terms and Turnovers'!$AD44</f>
        <v>0</v>
      </c>
      <c r="O919" s="728"/>
      <c r="P919" s="68">
        <f>P204/'Terms and Turnovers'!$AD44</f>
        <v>0</v>
      </c>
      <c r="Q919" s="728"/>
      <c r="R919" s="132">
        <f t="shared" si="98"/>
        <v>0</v>
      </c>
      <c r="S919" s="728"/>
      <c r="T919" s="68">
        <f>T204/'Terms and Turnovers'!$AI44</f>
        <v>0</v>
      </c>
      <c r="U919" s="728"/>
      <c r="V919" s="68">
        <f>V204/'Terms and Turnovers'!$AI44</f>
        <v>0</v>
      </c>
      <c r="W919" s="728"/>
      <c r="X919" s="68">
        <f>X204/'Terms and Turnovers'!$AI44</f>
        <v>0</v>
      </c>
      <c r="Y919" s="728"/>
      <c r="Z919" s="68">
        <f>Z204/'Terms and Turnovers'!$AI44</f>
        <v>0</v>
      </c>
      <c r="AA919" s="728"/>
      <c r="AB919" s="68">
        <f>AB204/'Terms and Turnovers'!$AI44</f>
        <v>0</v>
      </c>
      <c r="AC919" s="728"/>
      <c r="AD919" s="68">
        <f>AD204/'Terms and Turnovers'!$AI44</f>
        <v>0</v>
      </c>
      <c r="AE919" s="728"/>
      <c r="AF919" s="132">
        <f t="shared" si="99"/>
        <v>0</v>
      </c>
      <c r="AG919" s="728"/>
      <c r="AH919" s="133">
        <f t="shared" si="100"/>
        <v>0</v>
      </c>
      <c r="AI919" s="728"/>
      <c r="AJ919" s="65"/>
    </row>
    <row r="920" spans="2:36" ht="12.75" customHeight="1" outlineLevel="1">
      <c r="B920" s="82"/>
      <c r="C920" s="1234"/>
      <c r="D920" s="1234"/>
      <c r="E920" s="84">
        <f>'Terms and Turnovers'!$AN$12</f>
        <v>0</v>
      </c>
      <c r="F920" s="68">
        <f>F205/'Terms and Turnovers'!$AN44</f>
        <v>0</v>
      </c>
      <c r="G920" s="728"/>
      <c r="H920" s="68">
        <f>H205/'Terms and Turnovers'!$AN44</f>
        <v>0</v>
      </c>
      <c r="I920" s="728"/>
      <c r="J920" s="68">
        <f>J205/'Terms and Turnovers'!$AN44</f>
        <v>0</v>
      </c>
      <c r="K920" s="728"/>
      <c r="L920" s="68">
        <f>L205/'Terms and Turnovers'!$AN44</f>
        <v>0</v>
      </c>
      <c r="M920" s="728"/>
      <c r="N920" s="68">
        <f>N205/'Terms and Turnovers'!$AN44</f>
        <v>0</v>
      </c>
      <c r="O920" s="728"/>
      <c r="P920" s="68">
        <f>P205/'Terms and Turnovers'!$AN44</f>
        <v>0</v>
      </c>
      <c r="Q920" s="728"/>
      <c r="R920" s="132">
        <f t="shared" si="98"/>
        <v>0</v>
      </c>
      <c r="S920" s="728"/>
      <c r="T920" s="68">
        <f>T205/'Terms and Turnovers'!$AS44</f>
        <v>0</v>
      </c>
      <c r="U920" s="728"/>
      <c r="V920" s="68">
        <f>V205/'Terms and Turnovers'!$AS44</f>
        <v>0</v>
      </c>
      <c r="W920" s="728"/>
      <c r="X920" s="68">
        <f>X205/'Terms and Turnovers'!$AS44</f>
        <v>0</v>
      </c>
      <c r="Y920" s="728"/>
      <c r="Z920" s="68">
        <f>Z205/'Terms and Turnovers'!$AS44</f>
        <v>0</v>
      </c>
      <c r="AA920" s="728"/>
      <c r="AB920" s="68">
        <f>AB205/'Terms and Turnovers'!$AS44</f>
        <v>0</v>
      </c>
      <c r="AC920" s="728"/>
      <c r="AD920" s="68">
        <f>AD205/'Terms and Turnovers'!$AS44</f>
        <v>0</v>
      </c>
      <c r="AE920" s="728"/>
      <c r="AF920" s="132">
        <f t="shared" si="99"/>
        <v>0</v>
      </c>
      <c r="AG920" s="728"/>
      <c r="AH920" s="133">
        <f t="shared" si="100"/>
        <v>0</v>
      </c>
      <c r="AI920" s="728"/>
      <c r="AJ920" s="65"/>
    </row>
    <row r="921" spans="2:36" ht="13.5" customHeight="1" outlineLevel="1" thickBot="1">
      <c r="B921" s="82"/>
      <c r="C921" s="1235"/>
      <c r="D921" s="1235"/>
      <c r="E921" s="85">
        <f>'Terms and Turnovers'!$AX$12</f>
        <v>0</v>
      </c>
      <c r="F921" s="70">
        <f>F206/'Terms and Turnovers'!$AX44</f>
        <v>0</v>
      </c>
      <c r="G921" s="107"/>
      <c r="H921" s="70">
        <f>H206/'Terms and Turnovers'!$AX44</f>
        <v>0</v>
      </c>
      <c r="I921" s="107"/>
      <c r="J921" s="70">
        <f>J206/'Terms and Turnovers'!$AX44</f>
        <v>0</v>
      </c>
      <c r="K921" s="107"/>
      <c r="L921" s="70">
        <f>L206/'Terms and Turnovers'!$AX44</f>
        <v>0</v>
      </c>
      <c r="M921" s="107"/>
      <c r="N921" s="70">
        <f>N206/'Terms and Turnovers'!$AX44</f>
        <v>0</v>
      </c>
      <c r="O921" s="107"/>
      <c r="P921" s="70">
        <f>P206/'Terms and Turnovers'!$AX44</f>
        <v>0</v>
      </c>
      <c r="Q921" s="107"/>
      <c r="R921" s="135">
        <f t="shared" si="98"/>
        <v>0</v>
      </c>
      <c r="S921" s="107"/>
      <c r="T921" s="70">
        <f>T206/'Terms and Turnovers'!$AX$44</f>
        <v>0</v>
      </c>
      <c r="U921" s="107"/>
      <c r="V921" s="70">
        <f>V206/'Terms and Turnovers'!$AX$44</f>
        <v>0</v>
      </c>
      <c r="W921" s="107"/>
      <c r="X921" s="70">
        <f>X206/'Terms and Turnovers'!$AX$44</f>
        <v>0</v>
      </c>
      <c r="Y921" s="107"/>
      <c r="Z921" s="70">
        <f>Z206/'Terms and Turnovers'!$AX$44</f>
        <v>0</v>
      </c>
      <c r="AA921" s="107"/>
      <c r="AB921" s="70">
        <f>AB206/'Terms and Turnovers'!$AX$44</f>
        <v>0</v>
      </c>
      <c r="AC921" s="107"/>
      <c r="AD921" s="70">
        <f>AD206/'Terms and Turnovers'!$AX$44</f>
        <v>0</v>
      </c>
      <c r="AE921" s="107"/>
      <c r="AF921" s="135">
        <f t="shared" si="99"/>
        <v>0</v>
      </c>
      <c r="AG921" s="107"/>
      <c r="AH921" s="136">
        <f t="shared" si="100"/>
        <v>0</v>
      </c>
      <c r="AI921" s="107"/>
      <c r="AJ921" s="65"/>
    </row>
    <row r="922" spans="2:36" ht="13.5" customHeight="1" outlineLevel="1">
      <c r="B922" s="82"/>
      <c r="C922" s="425"/>
      <c r="D922" s="425"/>
      <c r="E922" s="634"/>
      <c r="F922" s="635"/>
      <c r="G922" s="428"/>
      <c r="H922" s="635"/>
      <c r="I922" s="428"/>
      <c r="J922" s="635"/>
      <c r="K922" s="636"/>
      <c r="L922" s="635"/>
      <c r="M922" s="636"/>
      <c r="N922" s="635"/>
      <c r="O922" s="636"/>
      <c r="P922" s="635"/>
      <c r="Q922" s="636"/>
      <c r="R922" s="637"/>
      <c r="S922" s="698">
        <f>SUM(R202:R206)/1.18-(SUM(R917:R921)*'Mark Up Validation'!$M$175)</f>
        <v>0</v>
      </c>
      <c r="T922" s="635"/>
      <c r="U922" s="636"/>
      <c r="V922" s="635"/>
      <c r="W922" s="636"/>
      <c r="X922" s="635"/>
      <c r="Y922" s="636"/>
      <c r="Z922" s="635"/>
      <c r="AA922" s="636"/>
      <c r="AB922" s="635"/>
      <c r="AC922" s="636"/>
      <c r="AD922" s="635"/>
      <c r="AE922" s="636"/>
      <c r="AF922" s="637"/>
      <c r="AG922" s="698">
        <f>SUM(AF202:AF206)/1.18-SUM(AF917:AF921)*'Mark Up Validation'!$M$175</f>
        <v>0</v>
      </c>
      <c r="AH922" s="638"/>
      <c r="AI922" s="698">
        <f>SUM(AH202:AH206)/1.18-SUM(AH917:AH921)*'Mark Up Validation'!$M$175</f>
        <v>0</v>
      </c>
      <c r="AJ922" s="65"/>
    </row>
    <row r="923" spans="2:36" ht="13.5" customHeight="1" outlineLevel="1" thickBot="1">
      <c r="B923" s="82"/>
      <c r="C923" s="1228" t="s">
        <v>487</v>
      </c>
      <c r="D923" s="1229"/>
      <c r="E923" s="699"/>
      <c r="F923" s="700"/>
      <c r="G923" s="701"/>
      <c r="H923" s="700"/>
      <c r="I923" s="701"/>
      <c r="J923" s="700"/>
      <c r="K923" s="702"/>
      <c r="L923" s="700"/>
      <c r="M923" s="702"/>
      <c r="N923" s="700"/>
      <c r="O923" s="702"/>
      <c r="P923" s="700"/>
      <c r="Q923" s="702"/>
      <c r="R923" s="703"/>
      <c r="S923" s="729">
        <f>IF(S922&gt;0,S922/(SUM(R202:R206)/1.18),0)</f>
        <v>0</v>
      </c>
      <c r="T923" s="704"/>
      <c r="U923" s="702"/>
      <c r="V923" s="700"/>
      <c r="W923" s="702"/>
      <c r="X923" s="700"/>
      <c r="Y923" s="702"/>
      <c r="Z923" s="700"/>
      <c r="AA923" s="702"/>
      <c r="AB923" s="700"/>
      <c r="AC923" s="702"/>
      <c r="AD923" s="700"/>
      <c r="AE923" s="702"/>
      <c r="AF923" s="705"/>
      <c r="AG923" s="729">
        <f>IF(AG922&gt;0,AG922/(SUM(AF202:AF206)/1.18),0)</f>
        <v>0</v>
      </c>
      <c r="AH923" s="706"/>
      <c r="AI923" s="729">
        <f>IF(AI922&gt;0,AI922/(SUM(AH202:AH206)/1.18),0)</f>
        <v>0</v>
      </c>
      <c r="AJ923" s="65"/>
    </row>
    <row r="924" spans="2:36" ht="12.75" customHeight="1" outlineLevel="1" thickBot="1">
      <c r="B924" s="82">
        <f>B917+1</f>
        <v>30</v>
      </c>
      <c r="C924" s="1233">
        <f>C209</f>
        <v>0</v>
      </c>
      <c r="D924" s="1233">
        <f>D209</f>
        <v>0</v>
      </c>
      <c r="E924" s="83" t="str">
        <f>'Terms and Turnovers'!$J$12</f>
        <v>FLIP-FLOPS</v>
      </c>
      <c r="F924" s="68">
        <f>F209/'Terms and Turnovers'!$J45</f>
        <v>0</v>
      </c>
      <c r="G924" s="106"/>
      <c r="H924" s="68">
        <f>H209/'Terms and Turnovers'!$J45</f>
        <v>0</v>
      </c>
      <c r="I924" s="106"/>
      <c r="J924" s="68">
        <f>J209/'Terms and Turnovers'!$J45</f>
        <v>0</v>
      </c>
      <c r="K924" s="106"/>
      <c r="L924" s="68">
        <f>L209/'Terms and Turnovers'!$J45</f>
        <v>0</v>
      </c>
      <c r="M924" s="106"/>
      <c r="N924" s="68">
        <f>N209/'Terms and Turnovers'!$J45</f>
        <v>0</v>
      </c>
      <c r="O924" s="106"/>
      <c r="P924" s="68">
        <f>P209/'Terms and Turnovers'!$J45</f>
        <v>0</v>
      </c>
      <c r="Q924" s="106"/>
      <c r="R924" s="129">
        <f t="shared" si="98"/>
        <v>0</v>
      </c>
      <c r="S924" s="106"/>
      <c r="T924" s="68">
        <f>T209/'Terms and Turnovers'!$O45</f>
        <v>0</v>
      </c>
      <c r="U924" s="106"/>
      <c r="V924" s="68">
        <f>V209/'Terms and Turnovers'!$O45</f>
        <v>0</v>
      </c>
      <c r="W924" s="106"/>
      <c r="X924" s="68">
        <f>X209/'Terms and Turnovers'!$O45</f>
        <v>0</v>
      </c>
      <c r="Y924" s="106"/>
      <c r="Z924" s="68">
        <f>Z209/'Terms and Turnovers'!$O45</f>
        <v>0</v>
      </c>
      <c r="AA924" s="106"/>
      <c r="AB924" s="68">
        <f>AB209/'Terms and Turnovers'!$O45</f>
        <v>0</v>
      </c>
      <c r="AC924" s="106"/>
      <c r="AD924" s="68">
        <f>AD209/'Terms and Turnovers'!$O45</f>
        <v>0</v>
      </c>
      <c r="AE924" s="106"/>
      <c r="AF924" s="129">
        <f t="shared" si="99"/>
        <v>0</v>
      </c>
      <c r="AG924" s="106"/>
      <c r="AH924" s="130">
        <f t="shared" si="100"/>
        <v>0</v>
      </c>
      <c r="AI924" s="106"/>
      <c r="AJ924" s="65"/>
    </row>
    <row r="925" spans="2:36" ht="12.75" customHeight="1" outlineLevel="1" thickBot="1">
      <c r="B925" s="82"/>
      <c r="C925" s="1234"/>
      <c r="D925" s="1234"/>
      <c r="E925" s="84" t="str">
        <f>'Terms and Turnovers'!$T$12</f>
        <v>ORIGINALS</v>
      </c>
      <c r="F925" s="68">
        <f>F210/'Terms and Turnovers'!$T45</f>
        <v>0</v>
      </c>
      <c r="G925" s="728"/>
      <c r="H925" s="68">
        <f>H210/'Terms and Turnovers'!$T45</f>
        <v>0</v>
      </c>
      <c r="I925" s="728"/>
      <c r="J925" s="68">
        <f>J210/'Terms and Turnovers'!$T45</f>
        <v>0</v>
      </c>
      <c r="K925" s="728"/>
      <c r="L925" s="68">
        <f>L210/'Terms and Turnovers'!$T45</f>
        <v>0</v>
      </c>
      <c r="M925" s="728"/>
      <c r="N925" s="68">
        <f>N210/'Terms and Turnovers'!$T45</f>
        <v>0</v>
      </c>
      <c r="O925" s="728"/>
      <c r="P925" s="68">
        <f>P210/'Terms and Turnovers'!$T45</f>
        <v>0</v>
      </c>
      <c r="Q925" s="728"/>
      <c r="R925" s="132">
        <f t="shared" si="98"/>
        <v>0</v>
      </c>
      <c r="S925" s="728"/>
      <c r="T925" s="68">
        <f>T210/'Terms and Turnovers'!$Y45</f>
        <v>0</v>
      </c>
      <c r="U925" s="728"/>
      <c r="V925" s="68">
        <f>V210/'Terms and Turnovers'!$Y45</f>
        <v>0</v>
      </c>
      <c r="W925" s="728"/>
      <c r="X925" s="68">
        <f>X210/'Terms and Turnovers'!$Y45</f>
        <v>0</v>
      </c>
      <c r="Y925" s="728"/>
      <c r="Z925" s="68">
        <f>Z210/'Terms and Turnovers'!$Y45</f>
        <v>0</v>
      </c>
      <c r="AA925" s="728"/>
      <c r="AB925" s="68">
        <f>AB210/'Terms and Turnovers'!$Y45</f>
        <v>0</v>
      </c>
      <c r="AC925" s="728"/>
      <c r="AD925" s="68">
        <f>AD210/'Terms and Turnovers'!$Y45</f>
        <v>0</v>
      </c>
      <c r="AE925" s="728"/>
      <c r="AF925" s="132">
        <f t="shared" si="99"/>
        <v>0</v>
      </c>
      <c r="AG925" s="728"/>
      <c r="AH925" s="133">
        <f t="shared" si="100"/>
        <v>0</v>
      </c>
      <c r="AI925" s="728"/>
      <c r="AJ925" s="65"/>
    </row>
    <row r="926" spans="2:36" ht="12.75" customHeight="1" outlineLevel="1" thickBot="1">
      <c r="B926" s="82"/>
      <c r="C926" s="1234"/>
      <c r="D926" s="1234"/>
      <c r="E926" s="84" t="str">
        <f>'Terms and Turnovers'!$AD$12</f>
        <v>ACCESSORIES</v>
      </c>
      <c r="F926" s="68">
        <f>F211/'Terms and Turnovers'!$AD45</f>
        <v>0</v>
      </c>
      <c r="G926" s="728"/>
      <c r="H926" s="68">
        <f>H211/'Terms and Turnovers'!$AD45</f>
        <v>0</v>
      </c>
      <c r="I926" s="728"/>
      <c r="J926" s="68">
        <f>J211/'Terms and Turnovers'!$AD45</f>
        <v>0</v>
      </c>
      <c r="K926" s="728"/>
      <c r="L926" s="68">
        <f>L211/'Terms and Turnovers'!$AD45</f>
        <v>0</v>
      </c>
      <c r="M926" s="728"/>
      <c r="N926" s="68">
        <f>N211/'Terms and Turnovers'!$AD45</f>
        <v>0</v>
      </c>
      <c r="O926" s="728"/>
      <c r="P926" s="68">
        <f>P211/'Terms and Turnovers'!$AD45</f>
        <v>0</v>
      </c>
      <c r="Q926" s="728"/>
      <c r="R926" s="132">
        <f t="shared" si="98"/>
        <v>0</v>
      </c>
      <c r="S926" s="728"/>
      <c r="T926" s="68">
        <f>T211/'Terms and Turnovers'!$AI45</f>
        <v>0</v>
      </c>
      <c r="U926" s="728"/>
      <c r="V926" s="68">
        <f>V211/'Terms and Turnovers'!$AI45</f>
        <v>0</v>
      </c>
      <c r="W926" s="728"/>
      <c r="X926" s="68">
        <f>X211/'Terms and Turnovers'!$AI45</f>
        <v>0</v>
      </c>
      <c r="Y926" s="728"/>
      <c r="Z926" s="68">
        <f>Z211/'Terms and Turnovers'!$AI45</f>
        <v>0</v>
      </c>
      <c r="AA926" s="728"/>
      <c r="AB926" s="68">
        <f>AB211/'Terms and Turnovers'!$AI45</f>
        <v>0</v>
      </c>
      <c r="AC926" s="728"/>
      <c r="AD926" s="68">
        <f>AD211/'Terms and Turnovers'!$AI45</f>
        <v>0</v>
      </c>
      <c r="AE926" s="728"/>
      <c r="AF926" s="132">
        <f t="shared" si="99"/>
        <v>0</v>
      </c>
      <c r="AG926" s="728"/>
      <c r="AH926" s="133">
        <f t="shared" si="100"/>
        <v>0</v>
      </c>
      <c r="AI926" s="728"/>
      <c r="AJ926" s="65"/>
    </row>
    <row r="927" spans="2:36" ht="12.75" customHeight="1" outlineLevel="1">
      <c r="B927" s="82"/>
      <c r="C927" s="1234"/>
      <c r="D927" s="1234"/>
      <c r="E927" s="84">
        <f>'Terms and Turnovers'!$AN$12</f>
        <v>0</v>
      </c>
      <c r="F927" s="68">
        <f>F212/'Terms and Turnovers'!$AN45</f>
        <v>0</v>
      </c>
      <c r="G927" s="728"/>
      <c r="H927" s="68">
        <f>H212/'Terms and Turnovers'!$AN45</f>
        <v>0</v>
      </c>
      <c r="I927" s="728"/>
      <c r="J927" s="68">
        <f>J212/'Terms and Turnovers'!$AN45</f>
        <v>0</v>
      </c>
      <c r="K927" s="728"/>
      <c r="L927" s="68">
        <f>L212/'Terms and Turnovers'!$AN45</f>
        <v>0</v>
      </c>
      <c r="M927" s="728"/>
      <c r="N927" s="68">
        <f>N212/'Terms and Turnovers'!$AN45</f>
        <v>0</v>
      </c>
      <c r="O927" s="728"/>
      <c r="P927" s="68">
        <f>P212/'Terms and Turnovers'!$AN45</f>
        <v>0</v>
      </c>
      <c r="Q927" s="728"/>
      <c r="R927" s="132">
        <f t="shared" si="98"/>
        <v>0</v>
      </c>
      <c r="S927" s="728"/>
      <c r="T927" s="68">
        <f>T212/'Terms and Turnovers'!$AS45</f>
        <v>0</v>
      </c>
      <c r="U927" s="728"/>
      <c r="V927" s="68">
        <f>V212/'Terms and Turnovers'!$AS45</f>
        <v>0</v>
      </c>
      <c r="W927" s="728"/>
      <c r="X927" s="68">
        <f>X212/'Terms and Turnovers'!$AS45</f>
        <v>0</v>
      </c>
      <c r="Y927" s="728"/>
      <c r="Z927" s="68">
        <f>Z212/'Terms and Turnovers'!$AS45</f>
        <v>0</v>
      </c>
      <c r="AA927" s="728"/>
      <c r="AB927" s="68">
        <f>AB212/'Terms and Turnovers'!$AS45</f>
        <v>0</v>
      </c>
      <c r="AC927" s="728"/>
      <c r="AD927" s="68">
        <f>AD212/'Terms and Turnovers'!$AS45</f>
        <v>0</v>
      </c>
      <c r="AE927" s="728"/>
      <c r="AF927" s="132">
        <f t="shared" si="99"/>
        <v>0</v>
      </c>
      <c r="AG927" s="728"/>
      <c r="AH927" s="133">
        <f t="shared" si="100"/>
        <v>0</v>
      </c>
      <c r="AI927" s="728"/>
      <c r="AJ927" s="65"/>
    </row>
    <row r="928" spans="2:36" ht="13.5" customHeight="1" outlineLevel="1" thickBot="1">
      <c r="B928" s="82"/>
      <c r="C928" s="1235"/>
      <c r="D928" s="1235"/>
      <c r="E928" s="85">
        <f>'Terms and Turnovers'!$AX$12</f>
        <v>0</v>
      </c>
      <c r="F928" s="70">
        <f>F213/'Terms and Turnovers'!$AX45</f>
        <v>0</v>
      </c>
      <c r="G928" s="107"/>
      <c r="H928" s="70">
        <f>H213/'Terms and Turnovers'!$AX45</f>
        <v>0</v>
      </c>
      <c r="I928" s="107"/>
      <c r="J928" s="70">
        <f>J213/'Terms and Turnovers'!$AX45</f>
        <v>0</v>
      </c>
      <c r="K928" s="107"/>
      <c r="L928" s="70">
        <f>L213/'Terms and Turnovers'!$AX45</f>
        <v>0</v>
      </c>
      <c r="M928" s="107"/>
      <c r="N928" s="70">
        <f>N213/'Terms and Turnovers'!$AX45</f>
        <v>0</v>
      </c>
      <c r="O928" s="107"/>
      <c r="P928" s="70">
        <f>P213/'Terms and Turnovers'!$AX45</f>
        <v>0</v>
      </c>
      <c r="Q928" s="107"/>
      <c r="R928" s="135">
        <f t="shared" si="98"/>
        <v>0</v>
      </c>
      <c r="S928" s="107"/>
      <c r="T928" s="70">
        <f>T213/'Terms and Turnovers'!$AX$45</f>
        <v>0</v>
      </c>
      <c r="U928" s="107"/>
      <c r="V928" s="70">
        <f>V213/'Terms and Turnovers'!$AX$45</f>
        <v>0</v>
      </c>
      <c r="W928" s="107"/>
      <c r="X928" s="70">
        <f>X213/'Terms and Turnovers'!$AX$45</f>
        <v>0</v>
      </c>
      <c r="Y928" s="107"/>
      <c r="Z928" s="70">
        <f>Z213/'Terms and Turnovers'!$AX$45</f>
        <v>0</v>
      </c>
      <c r="AA928" s="107"/>
      <c r="AB928" s="70">
        <f>AB213/'Terms and Turnovers'!$AX$45</f>
        <v>0</v>
      </c>
      <c r="AC928" s="107"/>
      <c r="AD928" s="70">
        <f>AD213/'Terms and Turnovers'!$AX$45</f>
        <v>0</v>
      </c>
      <c r="AE928" s="107"/>
      <c r="AF928" s="135">
        <f t="shared" si="99"/>
        <v>0</v>
      </c>
      <c r="AG928" s="107"/>
      <c r="AH928" s="136">
        <f t="shared" si="100"/>
        <v>0</v>
      </c>
      <c r="AI928" s="107"/>
      <c r="AJ928" s="65"/>
    </row>
    <row r="929" spans="2:36" ht="13.5" customHeight="1" outlineLevel="1">
      <c r="B929" s="82"/>
      <c r="C929" s="425"/>
      <c r="D929" s="425"/>
      <c r="E929" s="634"/>
      <c r="F929" s="635"/>
      <c r="G929" s="428"/>
      <c r="H929" s="635"/>
      <c r="I929" s="428"/>
      <c r="J929" s="635"/>
      <c r="K929" s="636"/>
      <c r="L929" s="635"/>
      <c r="M929" s="636"/>
      <c r="N929" s="635"/>
      <c r="O929" s="636"/>
      <c r="P929" s="635"/>
      <c r="Q929" s="636"/>
      <c r="R929" s="637"/>
      <c r="S929" s="698">
        <f>SUM(R209:R213)/1.18-(SUM(R924:R928)*'Mark Up Validation'!$M$175)</f>
        <v>0</v>
      </c>
      <c r="T929" s="635"/>
      <c r="U929" s="636"/>
      <c r="V929" s="635"/>
      <c r="W929" s="636"/>
      <c r="X929" s="635"/>
      <c r="Y929" s="636"/>
      <c r="Z929" s="635"/>
      <c r="AA929" s="636"/>
      <c r="AB929" s="635"/>
      <c r="AC929" s="636"/>
      <c r="AD929" s="635"/>
      <c r="AE929" s="636"/>
      <c r="AF929" s="637"/>
      <c r="AG929" s="698">
        <f>SUM(AF209:AF213)/1.18-SUM(AF924:AF928)*'Mark Up Validation'!$M$175</f>
        <v>0</v>
      </c>
      <c r="AH929" s="638"/>
      <c r="AI929" s="698">
        <f>SUM(AH209:AH213)/1.18-SUM(AH924:AH928)*'Mark Up Validation'!$M$175</f>
        <v>0</v>
      </c>
      <c r="AJ929" s="65"/>
    </row>
    <row r="930" spans="2:36" ht="13.5" customHeight="1" outlineLevel="1" thickBot="1">
      <c r="B930" s="82"/>
      <c r="C930" s="1228" t="s">
        <v>487</v>
      </c>
      <c r="D930" s="1229"/>
      <c r="E930" s="699"/>
      <c r="F930" s="700"/>
      <c r="G930" s="701"/>
      <c r="H930" s="700"/>
      <c r="I930" s="701"/>
      <c r="J930" s="700"/>
      <c r="K930" s="702"/>
      <c r="L930" s="700"/>
      <c r="M930" s="702"/>
      <c r="N930" s="700"/>
      <c r="O930" s="702"/>
      <c r="P930" s="700"/>
      <c r="Q930" s="702"/>
      <c r="R930" s="703"/>
      <c r="S930" s="729">
        <f>IF(S929&gt;0,S929/(SUM(R209:R213)/1.18),0)</f>
        <v>0</v>
      </c>
      <c r="T930" s="704"/>
      <c r="U930" s="702"/>
      <c r="V930" s="700"/>
      <c r="W930" s="702"/>
      <c r="X930" s="700"/>
      <c r="Y930" s="702"/>
      <c r="Z930" s="700"/>
      <c r="AA930" s="702"/>
      <c r="AB930" s="700"/>
      <c r="AC930" s="702"/>
      <c r="AD930" s="700"/>
      <c r="AE930" s="702"/>
      <c r="AF930" s="705"/>
      <c r="AG930" s="729">
        <f>IF(AG929&gt;0,AG929/(SUM(AF209:AF213)/1.18),0)</f>
        <v>0</v>
      </c>
      <c r="AH930" s="706"/>
      <c r="AI930" s="729">
        <f>IF(AI929&gt;0,AI929/(SUM(AH209:AH213)/1.18),0)</f>
        <v>0</v>
      </c>
      <c r="AJ930" s="65"/>
    </row>
    <row r="931" spans="2:36" ht="12.75" customHeight="1" outlineLevel="1" thickBot="1">
      <c r="B931" s="82">
        <f>B924+1</f>
        <v>31</v>
      </c>
      <c r="C931" s="1233">
        <f>C216</f>
        <v>0</v>
      </c>
      <c r="D931" s="1233">
        <f>D216</f>
        <v>0</v>
      </c>
      <c r="E931" s="83" t="str">
        <f>'Terms and Turnovers'!$J$12</f>
        <v>FLIP-FLOPS</v>
      </c>
      <c r="F931" s="68">
        <f>F216/'Terms and Turnovers'!$J46</f>
        <v>0</v>
      </c>
      <c r="G931" s="106"/>
      <c r="H931" s="68">
        <f>H216/'Terms and Turnovers'!$J46</f>
        <v>0</v>
      </c>
      <c r="I931" s="106"/>
      <c r="J931" s="68">
        <f>J216/'Terms and Turnovers'!$J46</f>
        <v>0</v>
      </c>
      <c r="K931" s="106"/>
      <c r="L931" s="68">
        <f>L216/'Terms and Turnovers'!$J46</f>
        <v>0</v>
      </c>
      <c r="M931" s="106"/>
      <c r="N931" s="68">
        <f>N216/'Terms and Turnovers'!$J46</f>
        <v>0</v>
      </c>
      <c r="O931" s="106"/>
      <c r="P931" s="68">
        <f>P216/'Terms and Turnovers'!$J46</f>
        <v>0</v>
      </c>
      <c r="Q931" s="106"/>
      <c r="R931" s="129">
        <f t="shared" si="98"/>
        <v>0</v>
      </c>
      <c r="S931" s="106"/>
      <c r="T931" s="68">
        <f>T216/'Terms and Turnovers'!$O46</f>
        <v>0</v>
      </c>
      <c r="U931" s="106"/>
      <c r="V931" s="68">
        <f>V216/'Terms and Turnovers'!$O46</f>
        <v>0</v>
      </c>
      <c r="W931" s="106"/>
      <c r="X931" s="68">
        <f>X216/'Terms and Turnovers'!$O46</f>
        <v>0</v>
      </c>
      <c r="Y931" s="106"/>
      <c r="Z931" s="68">
        <f>Z216/'Terms and Turnovers'!$O46</f>
        <v>0</v>
      </c>
      <c r="AA931" s="106"/>
      <c r="AB931" s="68">
        <f>AB216/'Terms and Turnovers'!$O46</f>
        <v>0</v>
      </c>
      <c r="AC931" s="106"/>
      <c r="AD931" s="68">
        <f>AD216/'Terms and Turnovers'!$O46</f>
        <v>0</v>
      </c>
      <c r="AE931" s="106"/>
      <c r="AF931" s="129">
        <f t="shared" si="99"/>
        <v>0</v>
      </c>
      <c r="AG931" s="106"/>
      <c r="AH931" s="130">
        <f t="shared" si="100"/>
        <v>0</v>
      </c>
      <c r="AI931" s="106"/>
      <c r="AJ931" s="65"/>
    </row>
    <row r="932" spans="2:36" ht="12.75" customHeight="1" outlineLevel="1" thickBot="1">
      <c r="B932" s="82"/>
      <c r="C932" s="1234"/>
      <c r="D932" s="1234"/>
      <c r="E932" s="84" t="str">
        <f>'Terms and Turnovers'!$T$12</f>
        <v>ORIGINALS</v>
      </c>
      <c r="F932" s="68">
        <f>F217/'Terms and Turnovers'!$T46</f>
        <v>0</v>
      </c>
      <c r="G932" s="728"/>
      <c r="H932" s="68">
        <f>H217/'Terms and Turnovers'!$T46</f>
        <v>0</v>
      </c>
      <c r="I932" s="728"/>
      <c r="J932" s="68">
        <f>J217/'Terms and Turnovers'!$T46</f>
        <v>0</v>
      </c>
      <c r="K932" s="728"/>
      <c r="L932" s="68">
        <f>L217/'Terms and Turnovers'!$T46</f>
        <v>0</v>
      </c>
      <c r="M932" s="728"/>
      <c r="N932" s="68">
        <f>N217/'Terms and Turnovers'!$T46</f>
        <v>0</v>
      </c>
      <c r="O932" s="728"/>
      <c r="P932" s="68">
        <f>P217/'Terms and Turnovers'!$T46</f>
        <v>0</v>
      </c>
      <c r="Q932" s="728"/>
      <c r="R932" s="132">
        <f t="shared" si="98"/>
        <v>0</v>
      </c>
      <c r="S932" s="728"/>
      <c r="T932" s="68">
        <f>T217/'Terms and Turnovers'!$Y46</f>
        <v>0</v>
      </c>
      <c r="U932" s="728"/>
      <c r="V932" s="68">
        <f>V217/'Terms and Turnovers'!$Y46</f>
        <v>0</v>
      </c>
      <c r="W932" s="728"/>
      <c r="X932" s="68">
        <f>X217/'Terms and Turnovers'!$Y46</f>
        <v>0</v>
      </c>
      <c r="Y932" s="728"/>
      <c r="Z932" s="68">
        <f>Z217/'Terms and Turnovers'!$Y46</f>
        <v>0</v>
      </c>
      <c r="AA932" s="728"/>
      <c r="AB932" s="68">
        <f>AB217/'Terms and Turnovers'!$Y46</f>
        <v>0</v>
      </c>
      <c r="AC932" s="728"/>
      <c r="AD932" s="68">
        <f>AD217/'Terms and Turnovers'!$Y46</f>
        <v>0</v>
      </c>
      <c r="AE932" s="728"/>
      <c r="AF932" s="132">
        <f t="shared" si="99"/>
        <v>0</v>
      </c>
      <c r="AG932" s="728"/>
      <c r="AH932" s="133">
        <f t="shared" si="100"/>
        <v>0</v>
      </c>
      <c r="AI932" s="728"/>
      <c r="AJ932" s="65"/>
    </row>
    <row r="933" spans="2:36" ht="12.75" customHeight="1" outlineLevel="1" thickBot="1">
      <c r="B933" s="82"/>
      <c r="C933" s="1234"/>
      <c r="D933" s="1234"/>
      <c r="E933" s="84" t="str">
        <f>'Terms and Turnovers'!$AD$12</f>
        <v>ACCESSORIES</v>
      </c>
      <c r="F933" s="68">
        <f>F218/'Terms and Turnovers'!$AD46</f>
        <v>0</v>
      </c>
      <c r="G933" s="728"/>
      <c r="H933" s="68">
        <f>H218/'Terms and Turnovers'!$AD46</f>
        <v>0</v>
      </c>
      <c r="I933" s="728"/>
      <c r="J933" s="68">
        <f>J218/'Terms and Turnovers'!$AD46</f>
        <v>0</v>
      </c>
      <c r="K933" s="728"/>
      <c r="L933" s="68">
        <f>L218/'Terms and Turnovers'!$AD46</f>
        <v>0</v>
      </c>
      <c r="M933" s="728"/>
      <c r="N933" s="68">
        <f>N218/'Terms and Turnovers'!$AD46</f>
        <v>0</v>
      </c>
      <c r="O933" s="728"/>
      <c r="P933" s="68">
        <f>P218/'Terms and Turnovers'!$AD46</f>
        <v>0</v>
      </c>
      <c r="Q933" s="728"/>
      <c r="R933" s="132">
        <f t="shared" si="98"/>
        <v>0</v>
      </c>
      <c r="S933" s="728"/>
      <c r="T933" s="68">
        <f>T218/'Terms and Turnovers'!$AI46</f>
        <v>0</v>
      </c>
      <c r="U933" s="728"/>
      <c r="V933" s="68">
        <f>V218/'Terms and Turnovers'!$AI46</f>
        <v>0</v>
      </c>
      <c r="W933" s="728"/>
      <c r="X933" s="68">
        <f>X218/'Terms and Turnovers'!$AI46</f>
        <v>0</v>
      </c>
      <c r="Y933" s="728"/>
      <c r="Z933" s="68">
        <f>Z218/'Terms and Turnovers'!$AI46</f>
        <v>0</v>
      </c>
      <c r="AA933" s="728"/>
      <c r="AB933" s="68">
        <f>AB218/'Terms and Turnovers'!$AI46</f>
        <v>0</v>
      </c>
      <c r="AC933" s="728"/>
      <c r="AD933" s="68">
        <f>AD218/'Terms and Turnovers'!$AI46</f>
        <v>0</v>
      </c>
      <c r="AE933" s="728"/>
      <c r="AF933" s="132">
        <f t="shared" si="99"/>
        <v>0</v>
      </c>
      <c r="AG933" s="728"/>
      <c r="AH933" s="133">
        <f t="shared" si="100"/>
        <v>0</v>
      </c>
      <c r="AI933" s="728"/>
      <c r="AJ933" s="65"/>
    </row>
    <row r="934" spans="2:36" ht="12.75" customHeight="1" outlineLevel="1">
      <c r="B934" s="82"/>
      <c r="C934" s="1234"/>
      <c r="D934" s="1234"/>
      <c r="E934" s="84">
        <f>'Terms and Turnovers'!$AN$12</f>
        <v>0</v>
      </c>
      <c r="F934" s="68">
        <f>F219/'Terms and Turnovers'!$AN46</f>
        <v>0</v>
      </c>
      <c r="G934" s="728"/>
      <c r="H934" s="68">
        <f>H219/'Terms and Turnovers'!$AN46</f>
        <v>0</v>
      </c>
      <c r="I934" s="728"/>
      <c r="J934" s="68">
        <f>J219/'Terms and Turnovers'!$AN46</f>
        <v>0</v>
      </c>
      <c r="K934" s="728"/>
      <c r="L934" s="68">
        <f>L219/'Terms and Turnovers'!$AN46</f>
        <v>0</v>
      </c>
      <c r="M934" s="728"/>
      <c r="N934" s="68">
        <f>N219/'Terms and Turnovers'!$AN46</f>
        <v>0</v>
      </c>
      <c r="O934" s="728"/>
      <c r="P934" s="68">
        <f>P219/'Terms and Turnovers'!$AN46</f>
        <v>0</v>
      </c>
      <c r="Q934" s="728"/>
      <c r="R934" s="132">
        <f t="shared" si="98"/>
        <v>0</v>
      </c>
      <c r="S934" s="728"/>
      <c r="T934" s="68">
        <f>T219/'Terms and Turnovers'!$AS46</f>
        <v>0</v>
      </c>
      <c r="U934" s="728"/>
      <c r="V934" s="68">
        <f>V219/'Terms and Turnovers'!$AS46</f>
        <v>0</v>
      </c>
      <c r="W934" s="728"/>
      <c r="X934" s="68">
        <f>X219/'Terms and Turnovers'!$AS46</f>
        <v>0</v>
      </c>
      <c r="Y934" s="728"/>
      <c r="Z934" s="68">
        <f>Z219/'Terms and Turnovers'!$AS46</f>
        <v>0</v>
      </c>
      <c r="AA934" s="728"/>
      <c r="AB934" s="68">
        <f>AB219/'Terms and Turnovers'!$AS46</f>
        <v>0</v>
      </c>
      <c r="AC934" s="728"/>
      <c r="AD934" s="68">
        <f>AD219/'Terms and Turnovers'!$AS46</f>
        <v>0</v>
      </c>
      <c r="AE934" s="728"/>
      <c r="AF934" s="132">
        <f t="shared" si="99"/>
        <v>0</v>
      </c>
      <c r="AG934" s="728"/>
      <c r="AH934" s="133">
        <f t="shared" si="100"/>
        <v>0</v>
      </c>
      <c r="AI934" s="728"/>
      <c r="AJ934" s="65"/>
    </row>
    <row r="935" spans="2:36" ht="13.5" customHeight="1" outlineLevel="1" thickBot="1">
      <c r="B935" s="82"/>
      <c r="C935" s="1235"/>
      <c r="D935" s="1235"/>
      <c r="E935" s="85">
        <f>'Terms and Turnovers'!$AX$12</f>
        <v>0</v>
      </c>
      <c r="F935" s="70">
        <f>F220/'Terms and Turnovers'!$AX46</f>
        <v>0</v>
      </c>
      <c r="G935" s="107"/>
      <c r="H935" s="70">
        <f>H220/'Terms and Turnovers'!$AX46</f>
        <v>0</v>
      </c>
      <c r="I935" s="107"/>
      <c r="J935" s="70">
        <f>J220/'Terms and Turnovers'!$AX46</f>
        <v>0</v>
      </c>
      <c r="K935" s="107"/>
      <c r="L935" s="70">
        <f>L220/'Terms and Turnovers'!$AX46</f>
        <v>0</v>
      </c>
      <c r="M935" s="107"/>
      <c r="N935" s="70">
        <f>N220/'Terms and Turnovers'!$AX46</f>
        <v>0</v>
      </c>
      <c r="O935" s="107"/>
      <c r="P935" s="70">
        <f>P220/'Terms and Turnovers'!$AX46</f>
        <v>0</v>
      </c>
      <c r="Q935" s="107"/>
      <c r="R935" s="135">
        <f t="shared" si="98"/>
        <v>0</v>
      </c>
      <c r="S935" s="107"/>
      <c r="T935" s="70">
        <f>T220/'Terms and Turnovers'!$AX$46</f>
        <v>0</v>
      </c>
      <c r="U935" s="107"/>
      <c r="V935" s="70">
        <f>V220/'Terms and Turnovers'!$AX$46</f>
        <v>0</v>
      </c>
      <c r="W935" s="107"/>
      <c r="X935" s="70">
        <f>X220/'Terms and Turnovers'!$AX$46</f>
        <v>0</v>
      </c>
      <c r="Y935" s="107"/>
      <c r="Z935" s="70">
        <f>Z220/'Terms and Turnovers'!$AX$46</f>
        <v>0</v>
      </c>
      <c r="AA935" s="107"/>
      <c r="AB935" s="70">
        <f>AB220/'Terms and Turnovers'!$AX$46</f>
        <v>0</v>
      </c>
      <c r="AC935" s="107"/>
      <c r="AD935" s="70">
        <f>AD220/'Terms and Turnovers'!$AX$46</f>
        <v>0</v>
      </c>
      <c r="AE935" s="107"/>
      <c r="AF935" s="135">
        <f t="shared" si="99"/>
        <v>0</v>
      </c>
      <c r="AG935" s="107"/>
      <c r="AH935" s="136">
        <f t="shared" si="100"/>
        <v>0</v>
      </c>
      <c r="AI935" s="107"/>
      <c r="AJ935" s="65"/>
    </row>
    <row r="936" spans="2:36" ht="13.5" customHeight="1" outlineLevel="1">
      <c r="B936" s="82"/>
      <c r="C936" s="425"/>
      <c r="D936" s="425"/>
      <c r="E936" s="634"/>
      <c r="F936" s="635"/>
      <c r="G936" s="428"/>
      <c r="H936" s="635"/>
      <c r="I936" s="428"/>
      <c r="J936" s="635"/>
      <c r="K936" s="636"/>
      <c r="L936" s="635"/>
      <c r="M936" s="636"/>
      <c r="N936" s="635"/>
      <c r="O936" s="636"/>
      <c r="P936" s="635"/>
      <c r="Q936" s="636"/>
      <c r="R936" s="637"/>
      <c r="S936" s="698">
        <f>SUM(R216:R220)/1.18-(SUM(R931:R935)*'Mark Up Validation'!$M$175)</f>
        <v>0</v>
      </c>
      <c r="T936" s="635"/>
      <c r="U936" s="636"/>
      <c r="V936" s="635"/>
      <c r="W936" s="636"/>
      <c r="X936" s="635"/>
      <c r="Y936" s="636"/>
      <c r="Z936" s="635"/>
      <c r="AA936" s="636"/>
      <c r="AB936" s="635"/>
      <c r="AC936" s="636"/>
      <c r="AD936" s="635"/>
      <c r="AE936" s="636"/>
      <c r="AF936" s="637"/>
      <c r="AG936" s="698">
        <f>SUM(AF216:AF220)/1.18-SUM(AF931:AF935)*'Mark Up Validation'!$M$175</f>
        <v>0</v>
      </c>
      <c r="AH936" s="638"/>
      <c r="AI936" s="698">
        <f>SUM(AH216:AH220)/1.18-SUM(AH931:AH935)*'Mark Up Validation'!$M$175</f>
        <v>0</v>
      </c>
      <c r="AJ936" s="65"/>
    </row>
    <row r="937" spans="2:36" ht="13.5" customHeight="1" outlineLevel="1" thickBot="1">
      <c r="B937" s="82"/>
      <c r="C937" s="1228" t="s">
        <v>487</v>
      </c>
      <c r="D937" s="1229"/>
      <c r="E937" s="699"/>
      <c r="F937" s="700"/>
      <c r="G937" s="701"/>
      <c r="H937" s="700"/>
      <c r="I937" s="701"/>
      <c r="J937" s="700"/>
      <c r="K937" s="702"/>
      <c r="L937" s="700"/>
      <c r="M937" s="702"/>
      <c r="N937" s="700"/>
      <c r="O937" s="702"/>
      <c r="P937" s="700"/>
      <c r="Q937" s="702"/>
      <c r="R937" s="703"/>
      <c r="S937" s="729">
        <f>IF(S936&gt;0,S936/(SUM(R216:R220)/1.18),0)</f>
        <v>0</v>
      </c>
      <c r="T937" s="704"/>
      <c r="U937" s="702"/>
      <c r="V937" s="700"/>
      <c r="W937" s="702"/>
      <c r="X937" s="700"/>
      <c r="Y937" s="702"/>
      <c r="Z937" s="700"/>
      <c r="AA937" s="702"/>
      <c r="AB937" s="700"/>
      <c r="AC937" s="702"/>
      <c r="AD937" s="700"/>
      <c r="AE937" s="702"/>
      <c r="AF937" s="705"/>
      <c r="AG937" s="729">
        <f>IF(AG936&gt;0,AG936/(SUM(AF216:AF220)/1.18),0)</f>
        <v>0</v>
      </c>
      <c r="AH937" s="706"/>
      <c r="AI937" s="729">
        <f>IF(AI936&gt;0,AI936/(SUM(AH216:AH220)/1.18),0)</f>
        <v>0</v>
      </c>
      <c r="AJ937" s="65"/>
    </row>
    <row r="938" spans="2:36" ht="12.75" customHeight="1" outlineLevel="1" thickBot="1">
      <c r="B938" s="82">
        <f>B931+1</f>
        <v>32</v>
      </c>
      <c r="C938" s="1233">
        <f>C223</f>
        <v>0</v>
      </c>
      <c r="D938" s="1233">
        <f>D223</f>
        <v>0</v>
      </c>
      <c r="E938" s="83" t="str">
        <f>'Terms and Turnovers'!$J$12</f>
        <v>FLIP-FLOPS</v>
      </c>
      <c r="F938" s="68">
        <f>F223/'Terms and Turnovers'!$J47</f>
        <v>0</v>
      </c>
      <c r="G938" s="106"/>
      <c r="H938" s="68">
        <f>H223/'Terms and Turnovers'!$J47</f>
        <v>0</v>
      </c>
      <c r="I938" s="106"/>
      <c r="J938" s="68">
        <f>J223/'Terms and Turnovers'!$J47</f>
        <v>0</v>
      </c>
      <c r="K938" s="106"/>
      <c r="L938" s="68">
        <f>L223/'Terms and Turnovers'!$J47</f>
        <v>0</v>
      </c>
      <c r="M938" s="106"/>
      <c r="N938" s="68">
        <f>N223/'Terms and Turnovers'!$J47</f>
        <v>0</v>
      </c>
      <c r="O938" s="106"/>
      <c r="P938" s="68">
        <f>P223/'Terms and Turnovers'!$J47</f>
        <v>0</v>
      </c>
      <c r="Q938" s="106"/>
      <c r="R938" s="129">
        <f t="shared" si="98"/>
        <v>0</v>
      </c>
      <c r="S938" s="106"/>
      <c r="T938" s="68">
        <f>T223/'Terms and Turnovers'!$O47</f>
        <v>0</v>
      </c>
      <c r="U938" s="106"/>
      <c r="V938" s="68">
        <f>V223/'Terms and Turnovers'!$O47</f>
        <v>0</v>
      </c>
      <c r="W938" s="106"/>
      <c r="X938" s="68">
        <f>X223/'Terms and Turnovers'!$O47</f>
        <v>0</v>
      </c>
      <c r="Y938" s="106"/>
      <c r="Z938" s="68">
        <f>Z223/'Terms and Turnovers'!$O47</f>
        <v>0</v>
      </c>
      <c r="AA938" s="106"/>
      <c r="AB938" s="68">
        <f>AB223/'Terms and Turnovers'!$O47</f>
        <v>0</v>
      </c>
      <c r="AC938" s="106"/>
      <c r="AD938" s="68">
        <f>AD223/'Terms and Turnovers'!$O47</f>
        <v>0</v>
      </c>
      <c r="AE938" s="106"/>
      <c r="AF938" s="129">
        <f t="shared" si="99"/>
        <v>0</v>
      </c>
      <c r="AG938" s="106"/>
      <c r="AH938" s="130">
        <f t="shared" si="100"/>
        <v>0</v>
      </c>
      <c r="AI938" s="106"/>
      <c r="AJ938" s="65"/>
    </row>
    <row r="939" spans="2:36" ht="12.75" customHeight="1" outlineLevel="1" thickBot="1">
      <c r="B939" s="82"/>
      <c r="C939" s="1234"/>
      <c r="D939" s="1234"/>
      <c r="E939" s="84" t="str">
        <f>'Terms and Turnovers'!$T$12</f>
        <v>ORIGINALS</v>
      </c>
      <c r="F939" s="68">
        <f>F224/'Terms and Turnovers'!$T47</f>
        <v>0</v>
      </c>
      <c r="G939" s="728"/>
      <c r="H939" s="68">
        <f>H224/'Terms and Turnovers'!$T47</f>
        <v>0</v>
      </c>
      <c r="I939" s="728"/>
      <c r="J939" s="68">
        <f>J224/'Terms and Turnovers'!$T47</f>
        <v>0</v>
      </c>
      <c r="K939" s="728"/>
      <c r="L939" s="68">
        <f>L224/'Terms and Turnovers'!$T47</f>
        <v>0</v>
      </c>
      <c r="M939" s="728"/>
      <c r="N939" s="68">
        <f>N224/'Terms and Turnovers'!$T47</f>
        <v>0</v>
      </c>
      <c r="O939" s="728"/>
      <c r="P939" s="68">
        <f>P224/'Terms and Turnovers'!$T47</f>
        <v>0</v>
      </c>
      <c r="Q939" s="728"/>
      <c r="R939" s="132">
        <f t="shared" si="98"/>
        <v>0</v>
      </c>
      <c r="S939" s="728"/>
      <c r="T939" s="68">
        <f>T224/'Terms and Turnovers'!$Y47</f>
        <v>0</v>
      </c>
      <c r="U939" s="728"/>
      <c r="V939" s="68">
        <f>V224/'Terms and Turnovers'!$Y47</f>
        <v>0</v>
      </c>
      <c r="W939" s="728"/>
      <c r="X939" s="68">
        <f>X224/'Terms and Turnovers'!$Y47</f>
        <v>0</v>
      </c>
      <c r="Y939" s="728"/>
      <c r="Z939" s="68">
        <f>Z224/'Terms and Turnovers'!$Y47</f>
        <v>0</v>
      </c>
      <c r="AA939" s="728"/>
      <c r="AB939" s="68">
        <f>AB224/'Terms and Turnovers'!$Y47</f>
        <v>0</v>
      </c>
      <c r="AC939" s="728"/>
      <c r="AD939" s="68">
        <f>AD224/'Terms and Turnovers'!$Y47</f>
        <v>0</v>
      </c>
      <c r="AE939" s="728"/>
      <c r="AF939" s="132">
        <f t="shared" si="99"/>
        <v>0</v>
      </c>
      <c r="AG939" s="728"/>
      <c r="AH939" s="133">
        <f t="shared" si="100"/>
        <v>0</v>
      </c>
      <c r="AI939" s="728"/>
      <c r="AJ939" s="65"/>
    </row>
    <row r="940" spans="2:36" ht="12.75" customHeight="1" outlineLevel="1" thickBot="1">
      <c r="B940" s="82"/>
      <c r="C940" s="1234"/>
      <c r="D940" s="1234"/>
      <c r="E940" s="84" t="str">
        <f>'Terms and Turnovers'!$AD$12</f>
        <v>ACCESSORIES</v>
      </c>
      <c r="F940" s="68">
        <f>F225/'Terms and Turnovers'!$AD47</f>
        <v>0</v>
      </c>
      <c r="G940" s="728"/>
      <c r="H940" s="68">
        <f>H225/'Terms and Turnovers'!$AD47</f>
        <v>0</v>
      </c>
      <c r="I940" s="728"/>
      <c r="J940" s="68">
        <f>J225/'Terms and Turnovers'!$AD47</f>
        <v>0</v>
      </c>
      <c r="K940" s="728"/>
      <c r="L940" s="68">
        <f>L225/'Terms and Turnovers'!$AD47</f>
        <v>0</v>
      </c>
      <c r="M940" s="728"/>
      <c r="N940" s="68">
        <f>N225/'Terms and Turnovers'!$AD47</f>
        <v>0</v>
      </c>
      <c r="O940" s="728"/>
      <c r="P940" s="68">
        <f>P225/'Terms and Turnovers'!$AD47</f>
        <v>0</v>
      </c>
      <c r="Q940" s="728"/>
      <c r="R940" s="132">
        <f t="shared" si="98"/>
        <v>0</v>
      </c>
      <c r="S940" s="728"/>
      <c r="T940" s="68">
        <f>T225/'Terms and Turnovers'!$AI47</f>
        <v>0</v>
      </c>
      <c r="U940" s="728"/>
      <c r="V940" s="68">
        <f>V225/'Terms and Turnovers'!$AI47</f>
        <v>0</v>
      </c>
      <c r="W940" s="728"/>
      <c r="X940" s="68">
        <f>X225/'Terms and Turnovers'!$AI47</f>
        <v>0</v>
      </c>
      <c r="Y940" s="728"/>
      <c r="Z940" s="68">
        <f>Z225/'Terms and Turnovers'!$AI47</f>
        <v>0</v>
      </c>
      <c r="AA940" s="728"/>
      <c r="AB940" s="68">
        <f>AB225/'Terms and Turnovers'!$AI47</f>
        <v>0</v>
      </c>
      <c r="AC940" s="728"/>
      <c r="AD940" s="68">
        <f>AD225/'Terms and Turnovers'!$AI47</f>
        <v>0</v>
      </c>
      <c r="AE940" s="728"/>
      <c r="AF940" s="132">
        <f t="shared" si="99"/>
        <v>0</v>
      </c>
      <c r="AG940" s="728"/>
      <c r="AH940" s="133">
        <f t="shared" si="100"/>
        <v>0</v>
      </c>
      <c r="AI940" s="728"/>
      <c r="AJ940" s="65"/>
    </row>
    <row r="941" spans="2:36" ht="12.75" customHeight="1" outlineLevel="1">
      <c r="B941" s="82"/>
      <c r="C941" s="1234"/>
      <c r="D941" s="1234"/>
      <c r="E941" s="84">
        <f>'Terms and Turnovers'!$AN$12</f>
        <v>0</v>
      </c>
      <c r="F941" s="68">
        <f>F226/'Terms and Turnovers'!$AN47</f>
        <v>0</v>
      </c>
      <c r="G941" s="728"/>
      <c r="H941" s="68">
        <f>H226/'Terms and Turnovers'!$AN47</f>
        <v>0</v>
      </c>
      <c r="I941" s="728"/>
      <c r="J941" s="68">
        <f>J226/'Terms and Turnovers'!$AN47</f>
        <v>0</v>
      </c>
      <c r="K941" s="728"/>
      <c r="L941" s="68">
        <f>L226/'Terms and Turnovers'!$AN47</f>
        <v>0</v>
      </c>
      <c r="M941" s="728"/>
      <c r="N941" s="68">
        <f>N226/'Terms and Turnovers'!$AN47</f>
        <v>0</v>
      </c>
      <c r="O941" s="728"/>
      <c r="P941" s="68">
        <f>P226/'Terms and Turnovers'!$AN47</f>
        <v>0</v>
      </c>
      <c r="Q941" s="728"/>
      <c r="R941" s="132">
        <f t="shared" si="98"/>
        <v>0</v>
      </c>
      <c r="S941" s="728"/>
      <c r="T941" s="68">
        <f>T226/'Terms and Turnovers'!$AS47</f>
        <v>0</v>
      </c>
      <c r="U941" s="728"/>
      <c r="V941" s="68">
        <f>V226/'Terms and Turnovers'!$AS47</f>
        <v>0</v>
      </c>
      <c r="W941" s="728"/>
      <c r="X941" s="68">
        <f>X226/'Terms and Turnovers'!$AS47</f>
        <v>0</v>
      </c>
      <c r="Y941" s="728"/>
      <c r="Z941" s="68">
        <f>Z226/'Terms and Turnovers'!$AS47</f>
        <v>0</v>
      </c>
      <c r="AA941" s="728"/>
      <c r="AB941" s="68">
        <f>AB226/'Terms and Turnovers'!$AS47</f>
        <v>0</v>
      </c>
      <c r="AC941" s="728"/>
      <c r="AD941" s="68">
        <f>AD226/'Terms and Turnovers'!$AS47</f>
        <v>0</v>
      </c>
      <c r="AE941" s="728"/>
      <c r="AF941" s="132">
        <f t="shared" si="99"/>
        <v>0</v>
      </c>
      <c r="AG941" s="728"/>
      <c r="AH941" s="133">
        <f t="shared" si="100"/>
        <v>0</v>
      </c>
      <c r="AI941" s="728"/>
      <c r="AJ941" s="65"/>
    </row>
    <row r="942" spans="2:36" ht="13.5" customHeight="1" outlineLevel="1" thickBot="1">
      <c r="B942" s="82"/>
      <c r="C942" s="1235"/>
      <c r="D942" s="1235"/>
      <c r="E942" s="85">
        <f>'Terms and Turnovers'!$AX$12</f>
        <v>0</v>
      </c>
      <c r="F942" s="70">
        <f>F227/'Terms and Turnovers'!$AX47</f>
        <v>0</v>
      </c>
      <c r="G942" s="107"/>
      <c r="H942" s="70">
        <f>H227/'Terms and Turnovers'!$AX47</f>
        <v>0</v>
      </c>
      <c r="I942" s="107"/>
      <c r="J942" s="70">
        <f>J227/'Terms and Turnovers'!$AX47</f>
        <v>0</v>
      </c>
      <c r="K942" s="107"/>
      <c r="L942" s="70">
        <f>L227/'Terms and Turnovers'!$AX47</f>
        <v>0</v>
      </c>
      <c r="M942" s="107"/>
      <c r="N942" s="70">
        <f>N227/'Terms and Turnovers'!$AX47</f>
        <v>0</v>
      </c>
      <c r="O942" s="107"/>
      <c r="P942" s="70">
        <f>P227/'Terms and Turnovers'!$AX47</f>
        <v>0</v>
      </c>
      <c r="Q942" s="107"/>
      <c r="R942" s="135">
        <f t="shared" si="98"/>
        <v>0</v>
      </c>
      <c r="S942" s="107"/>
      <c r="T942" s="70">
        <f>T227/'Terms and Turnovers'!$AX$47</f>
        <v>0</v>
      </c>
      <c r="U942" s="107"/>
      <c r="V942" s="70">
        <f>V227/'Terms and Turnovers'!$AX$47</f>
        <v>0</v>
      </c>
      <c r="W942" s="107"/>
      <c r="X942" s="70">
        <f>X227/'Terms and Turnovers'!$AX$47</f>
        <v>0</v>
      </c>
      <c r="Y942" s="107"/>
      <c r="Z942" s="70">
        <f>Z227/'Terms and Turnovers'!$AX$47</f>
        <v>0</v>
      </c>
      <c r="AA942" s="107"/>
      <c r="AB942" s="70">
        <f>AB227/'Terms and Turnovers'!$AX$47</f>
        <v>0</v>
      </c>
      <c r="AC942" s="107"/>
      <c r="AD942" s="70">
        <f>AD227/'Terms and Turnovers'!$AX$47</f>
        <v>0</v>
      </c>
      <c r="AE942" s="107"/>
      <c r="AF942" s="135">
        <f t="shared" si="99"/>
        <v>0</v>
      </c>
      <c r="AG942" s="107"/>
      <c r="AH942" s="136">
        <f t="shared" si="100"/>
        <v>0</v>
      </c>
      <c r="AI942" s="107"/>
      <c r="AJ942" s="65"/>
    </row>
    <row r="943" spans="2:36" ht="13.5" customHeight="1" outlineLevel="1">
      <c r="B943" s="82"/>
      <c r="C943" s="425"/>
      <c r="D943" s="425"/>
      <c r="E943" s="634"/>
      <c r="F943" s="635"/>
      <c r="G943" s="428"/>
      <c r="H943" s="635"/>
      <c r="I943" s="428"/>
      <c r="J943" s="635"/>
      <c r="K943" s="636"/>
      <c r="L943" s="635"/>
      <c r="M943" s="636"/>
      <c r="N943" s="635"/>
      <c r="O943" s="636"/>
      <c r="P943" s="635"/>
      <c r="Q943" s="636"/>
      <c r="R943" s="637"/>
      <c r="S943" s="698">
        <f>SUM(R223:R227)/1.18-(SUM(R938:R942)*'Mark Up Validation'!$M$175)</f>
        <v>0</v>
      </c>
      <c r="T943" s="635"/>
      <c r="U943" s="636"/>
      <c r="V943" s="635"/>
      <c r="W943" s="636"/>
      <c r="X943" s="635"/>
      <c r="Y943" s="636"/>
      <c r="Z943" s="635"/>
      <c r="AA943" s="636"/>
      <c r="AB943" s="635"/>
      <c r="AC943" s="636"/>
      <c r="AD943" s="635"/>
      <c r="AE943" s="636"/>
      <c r="AF943" s="637"/>
      <c r="AG943" s="698">
        <f>SUM(AF223:AF227)/1.18-SUM(AF938:AF942)*'Mark Up Validation'!$M$175</f>
        <v>0</v>
      </c>
      <c r="AH943" s="638"/>
      <c r="AI943" s="698">
        <f>SUM(AH223:AH227)/1.18-SUM(AH938:AH942)*'Mark Up Validation'!$M$175</f>
        <v>0</v>
      </c>
      <c r="AJ943" s="65"/>
    </row>
    <row r="944" spans="2:36" ht="13.5" customHeight="1" outlineLevel="1" thickBot="1">
      <c r="B944" s="82"/>
      <c r="C944" s="1228" t="s">
        <v>487</v>
      </c>
      <c r="D944" s="1229"/>
      <c r="E944" s="699"/>
      <c r="F944" s="700"/>
      <c r="G944" s="701"/>
      <c r="H944" s="700"/>
      <c r="I944" s="701"/>
      <c r="J944" s="700"/>
      <c r="K944" s="702"/>
      <c r="L944" s="700"/>
      <c r="M944" s="702"/>
      <c r="N944" s="700"/>
      <c r="O944" s="702"/>
      <c r="P944" s="700"/>
      <c r="Q944" s="702"/>
      <c r="R944" s="703"/>
      <c r="S944" s="729">
        <f>IF(S943&gt;0,S943/(SUM(R223:R227)/1.18),0)</f>
        <v>0</v>
      </c>
      <c r="T944" s="704"/>
      <c r="U944" s="702"/>
      <c r="V944" s="700"/>
      <c r="W944" s="702"/>
      <c r="X944" s="700"/>
      <c r="Y944" s="702"/>
      <c r="Z944" s="700"/>
      <c r="AA944" s="702"/>
      <c r="AB944" s="700"/>
      <c r="AC944" s="702"/>
      <c r="AD944" s="700"/>
      <c r="AE944" s="702"/>
      <c r="AF944" s="705"/>
      <c r="AG944" s="729">
        <f>IF(AG943&gt;0,AG943/(SUM(AF223:AF227)/1.18),0)</f>
        <v>0</v>
      </c>
      <c r="AH944" s="706"/>
      <c r="AI944" s="729">
        <f>IF(AI943&gt;0,AI943/(SUM(AH223:AH227)/1.18),0)</f>
        <v>0</v>
      </c>
      <c r="AJ944" s="65"/>
    </row>
    <row r="945" spans="2:36" ht="12.75" customHeight="1" outlineLevel="1">
      <c r="B945" s="82">
        <f>B938+1</f>
        <v>33</v>
      </c>
      <c r="C945" s="1233">
        <f>C230</f>
        <v>0</v>
      </c>
      <c r="D945" s="1233">
        <f>D230</f>
        <v>0</v>
      </c>
      <c r="E945" s="83" t="str">
        <f>'Terms and Turnovers'!$J$12</f>
        <v>FLIP-FLOPS</v>
      </c>
      <c r="F945" s="68">
        <f>F230/'Terms and Turnovers'!$J48</f>
        <v>0</v>
      </c>
      <c r="G945" s="106"/>
      <c r="H945" s="68">
        <f>H230/'Terms and Turnovers'!$J48</f>
        <v>0</v>
      </c>
      <c r="I945" s="106"/>
      <c r="J945" s="68">
        <f>J230/'Terms and Turnovers'!$J48</f>
        <v>0</v>
      </c>
      <c r="K945" s="106"/>
      <c r="L945" s="68">
        <f>L230/'Terms and Turnovers'!$J48</f>
        <v>0</v>
      </c>
      <c r="M945" s="106"/>
      <c r="N945" s="68">
        <f>N230/'Terms and Turnovers'!$J48</f>
        <v>0</v>
      </c>
      <c r="O945" s="106"/>
      <c r="P945" s="68">
        <f>P230/'Terms and Turnovers'!$J48</f>
        <v>0</v>
      </c>
      <c r="Q945" s="106"/>
      <c r="R945" s="129">
        <f t="shared" si="98"/>
        <v>0</v>
      </c>
      <c r="S945" s="106"/>
      <c r="T945" s="68">
        <f>T230/'Terms and Turnovers'!$O48</f>
        <v>0</v>
      </c>
      <c r="U945" s="106"/>
      <c r="V945" s="68">
        <f>V230/'Terms and Turnovers'!$O48</f>
        <v>0</v>
      </c>
      <c r="W945" s="106"/>
      <c r="X945" s="68">
        <f>X230/'Terms and Turnovers'!$O48</f>
        <v>0</v>
      </c>
      <c r="Y945" s="106"/>
      <c r="Z945" s="68">
        <f>Z230/'Terms and Turnovers'!$O48</f>
        <v>0</v>
      </c>
      <c r="AA945" s="106"/>
      <c r="AB945" s="68">
        <f>AB230/'Terms and Turnovers'!$O48</f>
        <v>0</v>
      </c>
      <c r="AC945" s="106"/>
      <c r="AD945" s="68">
        <f>AD230/'Terms and Turnovers'!$O48</f>
        <v>0</v>
      </c>
      <c r="AE945" s="106"/>
      <c r="AF945" s="129">
        <f t="shared" si="99"/>
        <v>0</v>
      </c>
      <c r="AG945" s="106"/>
      <c r="AH945" s="130">
        <f t="shared" si="100"/>
        <v>0</v>
      </c>
      <c r="AI945" s="106"/>
      <c r="AJ945" s="65"/>
    </row>
    <row r="946" spans="2:36" ht="12.75" customHeight="1" outlineLevel="1">
      <c r="B946" s="82"/>
      <c r="C946" s="1234"/>
      <c r="D946" s="1234"/>
      <c r="E946" s="84" t="str">
        <f>'Terms and Turnovers'!$T$12</f>
        <v>ORIGINALS</v>
      </c>
      <c r="F946" s="70">
        <f>F231/'Terms and Turnovers'!$T48</f>
        <v>0</v>
      </c>
      <c r="G946" s="728"/>
      <c r="H946" s="70">
        <f>H231/'Terms and Turnovers'!$T48</f>
        <v>0</v>
      </c>
      <c r="I946" s="728"/>
      <c r="J946" s="70">
        <f>J231/'Terms and Turnovers'!$T48</f>
        <v>0</v>
      </c>
      <c r="K946" s="728"/>
      <c r="L946" s="70">
        <f>L231/'Terms and Turnovers'!$T48</f>
        <v>0</v>
      </c>
      <c r="M946" s="728"/>
      <c r="N946" s="70">
        <f>N231/'Terms and Turnovers'!$T48</f>
        <v>0</v>
      </c>
      <c r="O946" s="728"/>
      <c r="P946" s="70">
        <f>P231/'Terms and Turnovers'!$T48</f>
        <v>0</v>
      </c>
      <c r="Q946" s="728"/>
      <c r="R946" s="132">
        <f t="shared" si="98"/>
        <v>0</v>
      </c>
      <c r="S946" s="728"/>
      <c r="T946" s="70">
        <f>T231/'Terms and Turnovers'!$Y48</f>
        <v>0</v>
      </c>
      <c r="U946" s="728"/>
      <c r="V946" s="70">
        <f>V231/'Terms and Turnovers'!$Y48</f>
        <v>0</v>
      </c>
      <c r="W946" s="728"/>
      <c r="X946" s="70">
        <f>X231/'Terms and Turnovers'!$Y48</f>
        <v>0</v>
      </c>
      <c r="Y946" s="728"/>
      <c r="Z946" s="70">
        <f>Z231/'Terms and Turnovers'!$Y48</f>
        <v>0</v>
      </c>
      <c r="AA946" s="728"/>
      <c r="AB946" s="70">
        <f>AB231/'Terms and Turnovers'!$Y48</f>
        <v>0</v>
      </c>
      <c r="AC946" s="728"/>
      <c r="AD946" s="70">
        <f>AD231/'Terms and Turnovers'!$Y48</f>
        <v>0</v>
      </c>
      <c r="AE946" s="728"/>
      <c r="AF946" s="132">
        <f t="shared" si="99"/>
        <v>0</v>
      </c>
      <c r="AG946" s="728"/>
      <c r="AH946" s="133">
        <f t="shared" si="100"/>
        <v>0</v>
      </c>
      <c r="AI946" s="728"/>
      <c r="AJ946" s="65"/>
    </row>
    <row r="947" spans="2:36" ht="12.75" customHeight="1" outlineLevel="1">
      <c r="B947" s="82"/>
      <c r="C947" s="1234"/>
      <c r="D947" s="1234"/>
      <c r="E947" s="84" t="str">
        <f>'Terms and Turnovers'!$AD$12</f>
        <v>ACCESSORIES</v>
      </c>
      <c r="F947" s="70">
        <f>F232/'Terms and Turnovers'!$AD48</f>
        <v>0</v>
      </c>
      <c r="G947" s="728"/>
      <c r="H947" s="70">
        <f>H232/'Terms and Turnovers'!$AD48</f>
        <v>0</v>
      </c>
      <c r="I947" s="728"/>
      <c r="J947" s="70">
        <f>J232/'Terms and Turnovers'!$AD48</f>
        <v>0</v>
      </c>
      <c r="K947" s="728"/>
      <c r="L947" s="70">
        <f>L232/'Terms and Turnovers'!$AD48</f>
        <v>0</v>
      </c>
      <c r="M947" s="728"/>
      <c r="N947" s="70">
        <f>N232/'Terms and Turnovers'!$AD48</f>
        <v>0</v>
      </c>
      <c r="O947" s="728"/>
      <c r="P947" s="70">
        <f>P232/'Terms and Turnovers'!$AD48</f>
        <v>0</v>
      </c>
      <c r="Q947" s="728"/>
      <c r="R947" s="132">
        <f t="shared" si="98"/>
        <v>0</v>
      </c>
      <c r="S947" s="728"/>
      <c r="T947" s="70">
        <f>T232/'Terms and Turnovers'!$AI48</f>
        <v>0</v>
      </c>
      <c r="U947" s="728"/>
      <c r="V947" s="70">
        <f>V232/'Terms and Turnovers'!$AI48</f>
        <v>0</v>
      </c>
      <c r="W947" s="728"/>
      <c r="X947" s="70">
        <f>X232/'Terms and Turnovers'!$AI48</f>
        <v>0</v>
      </c>
      <c r="Y947" s="728"/>
      <c r="Z947" s="70">
        <f>Z232/'Terms and Turnovers'!$AI48</f>
        <v>0</v>
      </c>
      <c r="AA947" s="728"/>
      <c r="AB947" s="70">
        <f>AB232/'Terms and Turnovers'!$AI48</f>
        <v>0</v>
      </c>
      <c r="AC947" s="728"/>
      <c r="AD947" s="70">
        <f>AD232/'Terms and Turnovers'!$AI48</f>
        <v>0</v>
      </c>
      <c r="AE947" s="728"/>
      <c r="AF947" s="132">
        <f t="shared" si="99"/>
        <v>0</v>
      </c>
      <c r="AG947" s="728"/>
      <c r="AH947" s="133">
        <f t="shared" si="100"/>
        <v>0</v>
      </c>
      <c r="AI947" s="728"/>
      <c r="AJ947" s="65"/>
    </row>
    <row r="948" spans="2:36" ht="12.75" customHeight="1" outlineLevel="1">
      <c r="B948" s="82"/>
      <c r="C948" s="1234"/>
      <c r="D948" s="1234"/>
      <c r="E948" s="84">
        <f>'Terms and Turnovers'!$AN$12</f>
        <v>0</v>
      </c>
      <c r="F948" s="70">
        <f>F233/'Terms and Turnovers'!$AN48</f>
        <v>0</v>
      </c>
      <c r="G948" s="728"/>
      <c r="H948" s="70">
        <f>H233/'Terms and Turnovers'!$AN48</f>
        <v>0</v>
      </c>
      <c r="I948" s="728"/>
      <c r="J948" s="70">
        <f>J233/'Terms and Turnovers'!$AN48</f>
        <v>0</v>
      </c>
      <c r="K948" s="728"/>
      <c r="L948" s="70">
        <f>L233/'Terms and Turnovers'!$AN48</f>
        <v>0</v>
      </c>
      <c r="M948" s="728"/>
      <c r="N948" s="70">
        <f>N233/'Terms and Turnovers'!$AN48</f>
        <v>0</v>
      </c>
      <c r="O948" s="728"/>
      <c r="P948" s="70">
        <f>P233/'Terms and Turnovers'!$AN48</f>
        <v>0</v>
      </c>
      <c r="Q948" s="728"/>
      <c r="R948" s="132">
        <f t="shared" si="98"/>
        <v>0</v>
      </c>
      <c r="S948" s="728"/>
      <c r="T948" s="70">
        <f>T233/'Terms and Turnovers'!$AS48</f>
        <v>0</v>
      </c>
      <c r="U948" s="728"/>
      <c r="V948" s="70">
        <f>V233/'Terms and Turnovers'!$AS48</f>
        <v>0</v>
      </c>
      <c r="W948" s="728"/>
      <c r="X948" s="70">
        <f>X233/'Terms and Turnovers'!$AS48</f>
        <v>0</v>
      </c>
      <c r="Y948" s="728"/>
      <c r="Z948" s="70">
        <f>Z233/'Terms and Turnovers'!$AS48</f>
        <v>0</v>
      </c>
      <c r="AA948" s="728"/>
      <c r="AB948" s="70">
        <f>AB233/'Terms and Turnovers'!$AS48</f>
        <v>0</v>
      </c>
      <c r="AC948" s="728"/>
      <c r="AD948" s="70">
        <f>AD233/'Terms and Turnovers'!$AS48</f>
        <v>0</v>
      </c>
      <c r="AE948" s="728"/>
      <c r="AF948" s="132">
        <f t="shared" si="99"/>
        <v>0</v>
      </c>
      <c r="AG948" s="728"/>
      <c r="AH948" s="133">
        <f t="shared" si="100"/>
        <v>0</v>
      </c>
      <c r="AI948" s="728"/>
      <c r="AJ948" s="65"/>
    </row>
    <row r="949" spans="2:36" ht="13.5" customHeight="1" outlineLevel="1" thickBot="1">
      <c r="B949" s="82"/>
      <c r="C949" s="1235"/>
      <c r="D949" s="1235"/>
      <c r="E949" s="85">
        <f>'Terms and Turnovers'!$AX$12</f>
        <v>0</v>
      </c>
      <c r="F949" s="70">
        <f>F234/'Terms and Turnovers'!$AX48</f>
        <v>0</v>
      </c>
      <c r="G949" s="107"/>
      <c r="H949" s="70">
        <f>H234/'Terms and Turnovers'!$AX48</f>
        <v>0</v>
      </c>
      <c r="I949" s="107"/>
      <c r="J949" s="70">
        <f>J234/'Terms and Turnovers'!$AX48</f>
        <v>0</v>
      </c>
      <c r="K949" s="107"/>
      <c r="L949" s="70">
        <f>L234/'Terms and Turnovers'!$AX48</f>
        <v>0</v>
      </c>
      <c r="M949" s="107"/>
      <c r="N949" s="70">
        <f>N234/'Terms and Turnovers'!$AX48</f>
        <v>0</v>
      </c>
      <c r="O949" s="107"/>
      <c r="P949" s="70">
        <f>P234/'Terms and Turnovers'!$AX48</f>
        <v>0</v>
      </c>
      <c r="Q949" s="107"/>
      <c r="R949" s="135">
        <f t="shared" si="98"/>
        <v>0</v>
      </c>
      <c r="S949" s="107"/>
      <c r="T949" s="70">
        <f>T234/'Terms and Turnovers'!$AX$48</f>
        <v>0</v>
      </c>
      <c r="U949" s="107"/>
      <c r="V949" s="70">
        <f>V234/'Terms and Turnovers'!$AX$48</f>
        <v>0</v>
      </c>
      <c r="W949" s="107"/>
      <c r="X949" s="70">
        <f>X234/'Terms and Turnovers'!$AX$48</f>
        <v>0</v>
      </c>
      <c r="Y949" s="107"/>
      <c r="Z949" s="70">
        <f>Z234/'Terms and Turnovers'!$AX$48</f>
        <v>0</v>
      </c>
      <c r="AA949" s="107"/>
      <c r="AB949" s="70">
        <f>AB234/'Terms and Turnovers'!$AX$48</f>
        <v>0</v>
      </c>
      <c r="AC949" s="107"/>
      <c r="AD949" s="70">
        <f>AD234/'Terms and Turnovers'!$AX$48</f>
        <v>0</v>
      </c>
      <c r="AE949" s="107"/>
      <c r="AF949" s="135">
        <f t="shared" si="99"/>
        <v>0</v>
      </c>
      <c r="AG949" s="107"/>
      <c r="AH949" s="136">
        <f t="shared" si="100"/>
        <v>0</v>
      </c>
      <c r="AI949" s="107"/>
      <c r="AJ949" s="65"/>
    </row>
    <row r="950" spans="2:36" ht="13.5" customHeight="1" outlineLevel="1">
      <c r="B950" s="82"/>
      <c r="C950" s="425"/>
      <c r="D950" s="425"/>
      <c r="E950" s="634"/>
      <c r="F950" s="635"/>
      <c r="G950" s="428"/>
      <c r="H950" s="635"/>
      <c r="I950" s="428"/>
      <c r="J950" s="635"/>
      <c r="K950" s="636"/>
      <c r="L950" s="635"/>
      <c r="M950" s="636"/>
      <c r="N950" s="635"/>
      <c r="O950" s="636"/>
      <c r="P950" s="635"/>
      <c r="Q950" s="636"/>
      <c r="R950" s="637"/>
      <c r="S950" s="698">
        <f>SUM(R230:R234)/1.18-(SUM(R945:R949)*'Mark Up Validation'!$M$175)</f>
        <v>0</v>
      </c>
      <c r="T950" s="635"/>
      <c r="U950" s="636"/>
      <c r="V950" s="635"/>
      <c r="W950" s="636"/>
      <c r="X950" s="635"/>
      <c r="Y950" s="636"/>
      <c r="Z950" s="635"/>
      <c r="AA950" s="636"/>
      <c r="AB950" s="635"/>
      <c r="AC950" s="636"/>
      <c r="AD950" s="635"/>
      <c r="AE950" s="636"/>
      <c r="AF950" s="637"/>
      <c r="AG950" s="698">
        <f>SUM(AF230:AF234)/1.18-SUM(AF945:AF949)*'Mark Up Validation'!$M$175</f>
        <v>0</v>
      </c>
      <c r="AH950" s="638"/>
      <c r="AI950" s="698">
        <f>SUM(AH230:AH234)/1.18-SUM(AH945:AH949)*'Mark Up Validation'!$M$175</f>
        <v>0</v>
      </c>
      <c r="AJ950" s="65"/>
    </row>
    <row r="951" spans="2:36" ht="13.5" customHeight="1" outlineLevel="1" thickBot="1">
      <c r="B951" s="82"/>
      <c r="C951" s="1228" t="s">
        <v>487</v>
      </c>
      <c r="D951" s="1229"/>
      <c r="E951" s="699"/>
      <c r="F951" s="700"/>
      <c r="G951" s="701"/>
      <c r="H951" s="700"/>
      <c r="I951" s="701"/>
      <c r="J951" s="700"/>
      <c r="K951" s="702"/>
      <c r="L951" s="700"/>
      <c r="M951" s="702"/>
      <c r="N951" s="700"/>
      <c r="O951" s="702"/>
      <c r="P951" s="700"/>
      <c r="Q951" s="702"/>
      <c r="R951" s="703"/>
      <c r="S951" s="729">
        <f>IF(S950&gt;0,S950/(SUM(R230:R234)/1.18),0)</f>
        <v>0</v>
      </c>
      <c r="T951" s="704"/>
      <c r="U951" s="702"/>
      <c r="V951" s="700"/>
      <c r="W951" s="702"/>
      <c r="X951" s="700"/>
      <c r="Y951" s="702"/>
      <c r="Z951" s="700"/>
      <c r="AA951" s="702"/>
      <c r="AB951" s="700"/>
      <c r="AC951" s="702"/>
      <c r="AD951" s="700"/>
      <c r="AE951" s="702"/>
      <c r="AF951" s="705"/>
      <c r="AG951" s="729">
        <f>IF(AG950&gt;0,AG950/(SUM(AF230:AF234)/1.18),0)</f>
        <v>0</v>
      </c>
      <c r="AH951" s="706"/>
      <c r="AI951" s="729">
        <f>IF(AI950&gt;0,AI950/(SUM(AH230:AH234)/1.18),0)</f>
        <v>0</v>
      </c>
      <c r="AJ951" s="65"/>
    </row>
    <row r="952" spans="2:36" ht="12.75" customHeight="1" outlineLevel="1">
      <c r="B952" s="82">
        <f>B945+1</f>
        <v>34</v>
      </c>
      <c r="C952" s="1233">
        <f>C237</f>
        <v>0</v>
      </c>
      <c r="D952" s="1233">
        <f>D237</f>
        <v>0</v>
      </c>
      <c r="E952" s="83" t="str">
        <f>'Terms and Turnovers'!$J$12</f>
        <v>FLIP-FLOPS</v>
      </c>
      <c r="F952" s="68">
        <f>F237/'Terms and Turnovers'!$J49</f>
        <v>0</v>
      </c>
      <c r="G952" s="106"/>
      <c r="H952" s="68">
        <f>H237/'Terms and Turnovers'!$J49</f>
        <v>0</v>
      </c>
      <c r="I952" s="106"/>
      <c r="J952" s="68">
        <f>J237/'Terms and Turnovers'!$J49</f>
        <v>0</v>
      </c>
      <c r="K952" s="106"/>
      <c r="L952" s="68">
        <f>L237/'Terms and Turnovers'!$J49</f>
        <v>0</v>
      </c>
      <c r="M952" s="106"/>
      <c r="N952" s="68">
        <f>N237/'Terms and Turnovers'!$J49</f>
        <v>0</v>
      </c>
      <c r="O952" s="106"/>
      <c r="P952" s="68">
        <f>P237/'Terms and Turnovers'!$J49</f>
        <v>0</v>
      </c>
      <c r="Q952" s="106"/>
      <c r="R952" s="129">
        <f t="shared" si="98"/>
        <v>0</v>
      </c>
      <c r="S952" s="106"/>
      <c r="T952" s="68">
        <f>T237/'Terms and Turnovers'!$O49</f>
        <v>0</v>
      </c>
      <c r="U952" s="106"/>
      <c r="V952" s="68">
        <f>V237/'Terms and Turnovers'!$O49</f>
        <v>0</v>
      </c>
      <c r="W952" s="106"/>
      <c r="X952" s="68">
        <f>X237/'Terms and Turnovers'!$O49</f>
        <v>0</v>
      </c>
      <c r="Y952" s="106"/>
      <c r="Z952" s="68">
        <f>Z237/'Terms and Turnovers'!$O49</f>
        <v>0</v>
      </c>
      <c r="AA952" s="106"/>
      <c r="AB952" s="68">
        <f>AB237/'Terms and Turnovers'!$O49</f>
        <v>0</v>
      </c>
      <c r="AC952" s="106"/>
      <c r="AD952" s="68">
        <f>AD237/'Terms and Turnovers'!$O49</f>
        <v>0</v>
      </c>
      <c r="AE952" s="106"/>
      <c r="AF952" s="129">
        <f t="shared" si="99"/>
        <v>0</v>
      </c>
      <c r="AG952" s="106"/>
      <c r="AH952" s="130">
        <f t="shared" si="100"/>
        <v>0</v>
      </c>
      <c r="AI952" s="106"/>
      <c r="AJ952" s="65"/>
    </row>
    <row r="953" spans="2:36" ht="12.75" customHeight="1" outlineLevel="1">
      <c r="B953" s="82"/>
      <c r="C953" s="1234"/>
      <c r="D953" s="1234"/>
      <c r="E953" s="84" t="str">
        <f>'Terms and Turnovers'!$T$12</f>
        <v>ORIGINALS</v>
      </c>
      <c r="F953" s="70">
        <f>F238/'Terms and Turnovers'!$T49</f>
        <v>0</v>
      </c>
      <c r="G953" s="728"/>
      <c r="H953" s="70">
        <f>H238/'Terms and Turnovers'!$T49</f>
        <v>0</v>
      </c>
      <c r="I953" s="728"/>
      <c r="J953" s="70">
        <f>J238/'Terms and Turnovers'!$T49</f>
        <v>0</v>
      </c>
      <c r="K953" s="728"/>
      <c r="L953" s="70">
        <f>L238/'Terms and Turnovers'!$T49</f>
        <v>0</v>
      </c>
      <c r="M953" s="728"/>
      <c r="N953" s="70">
        <f>N238/'Terms and Turnovers'!$T49</f>
        <v>0</v>
      </c>
      <c r="O953" s="728"/>
      <c r="P953" s="70">
        <f>P238/'Terms and Turnovers'!$T49</f>
        <v>0</v>
      </c>
      <c r="Q953" s="728"/>
      <c r="R953" s="132">
        <f t="shared" si="98"/>
        <v>0</v>
      </c>
      <c r="S953" s="728"/>
      <c r="T953" s="70">
        <f>T238/'Terms and Turnovers'!$Y49</f>
        <v>0</v>
      </c>
      <c r="U953" s="728"/>
      <c r="V953" s="70">
        <f>V238/'Terms and Turnovers'!$Y49</f>
        <v>0</v>
      </c>
      <c r="W953" s="728"/>
      <c r="X953" s="70">
        <f>X238/'Terms and Turnovers'!$Y49</f>
        <v>0</v>
      </c>
      <c r="Y953" s="728"/>
      <c r="Z953" s="70">
        <f>Z238/'Terms and Turnovers'!$Y49</f>
        <v>0</v>
      </c>
      <c r="AA953" s="728"/>
      <c r="AB953" s="70">
        <f>AB238/'Terms and Turnovers'!$Y49</f>
        <v>0</v>
      </c>
      <c r="AC953" s="728"/>
      <c r="AD953" s="70">
        <f>AD238/'Terms and Turnovers'!$Y49</f>
        <v>0</v>
      </c>
      <c r="AE953" s="728"/>
      <c r="AF953" s="132">
        <f t="shared" si="99"/>
        <v>0</v>
      </c>
      <c r="AG953" s="728"/>
      <c r="AH953" s="133">
        <f t="shared" si="100"/>
        <v>0</v>
      </c>
      <c r="AI953" s="728"/>
      <c r="AJ953" s="65"/>
    </row>
    <row r="954" spans="2:36" ht="12.75" customHeight="1" outlineLevel="1">
      <c r="B954" s="82"/>
      <c r="C954" s="1234"/>
      <c r="D954" s="1234"/>
      <c r="E954" s="84" t="str">
        <f>'Terms and Turnovers'!$AD$12</f>
        <v>ACCESSORIES</v>
      </c>
      <c r="F954" s="70">
        <f>F239/'Terms and Turnovers'!$AD49</f>
        <v>0</v>
      </c>
      <c r="G954" s="728"/>
      <c r="H954" s="70">
        <f>H239/'Terms and Turnovers'!$AD49</f>
        <v>0</v>
      </c>
      <c r="I954" s="728"/>
      <c r="J954" s="70">
        <f>J239/'Terms and Turnovers'!$AD49</f>
        <v>0</v>
      </c>
      <c r="K954" s="728"/>
      <c r="L954" s="70">
        <f>L239/'Terms and Turnovers'!$AD49</f>
        <v>0</v>
      </c>
      <c r="M954" s="728"/>
      <c r="N954" s="70">
        <f>N239/'Terms and Turnovers'!$AD49</f>
        <v>0</v>
      </c>
      <c r="O954" s="728"/>
      <c r="P954" s="70">
        <f>P239/'Terms and Turnovers'!$AD49</f>
        <v>0</v>
      </c>
      <c r="Q954" s="728"/>
      <c r="R954" s="132">
        <f t="shared" si="98"/>
        <v>0</v>
      </c>
      <c r="S954" s="728"/>
      <c r="T954" s="70">
        <f>T239/'Terms and Turnovers'!$AI49</f>
        <v>0</v>
      </c>
      <c r="U954" s="728"/>
      <c r="V954" s="70">
        <f>V239/'Terms and Turnovers'!$AI49</f>
        <v>0</v>
      </c>
      <c r="W954" s="728"/>
      <c r="X954" s="70">
        <f>X239/'Terms and Turnovers'!$AI49</f>
        <v>0</v>
      </c>
      <c r="Y954" s="728"/>
      <c r="Z954" s="70">
        <f>Z239/'Terms and Turnovers'!$AI49</f>
        <v>0</v>
      </c>
      <c r="AA954" s="728"/>
      <c r="AB954" s="70">
        <f>AB239/'Terms and Turnovers'!$AI49</f>
        <v>0</v>
      </c>
      <c r="AC954" s="728"/>
      <c r="AD954" s="70">
        <f>AD239/'Terms and Turnovers'!$AI49</f>
        <v>0</v>
      </c>
      <c r="AE954" s="728"/>
      <c r="AF954" s="132">
        <f t="shared" si="99"/>
        <v>0</v>
      </c>
      <c r="AG954" s="728"/>
      <c r="AH954" s="133">
        <f t="shared" si="100"/>
        <v>0</v>
      </c>
      <c r="AI954" s="728"/>
      <c r="AJ954" s="65"/>
    </row>
    <row r="955" spans="2:36" ht="12.75" customHeight="1" outlineLevel="1">
      <c r="B955" s="82"/>
      <c r="C955" s="1234"/>
      <c r="D955" s="1234"/>
      <c r="E955" s="84">
        <f>'Terms and Turnovers'!$AN$12</f>
        <v>0</v>
      </c>
      <c r="F955" s="70">
        <f>F240/'Terms and Turnovers'!$AN49</f>
        <v>0</v>
      </c>
      <c r="G955" s="728"/>
      <c r="H955" s="70">
        <f>H240/'Terms and Turnovers'!$AN49</f>
        <v>0</v>
      </c>
      <c r="I955" s="728"/>
      <c r="J955" s="70">
        <f>J240/'Terms and Turnovers'!$AN49</f>
        <v>0</v>
      </c>
      <c r="K955" s="728"/>
      <c r="L955" s="70">
        <f>L240/'Terms and Turnovers'!$AN49</f>
        <v>0</v>
      </c>
      <c r="M955" s="728"/>
      <c r="N955" s="70">
        <f>N240/'Terms and Turnovers'!$AN49</f>
        <v>0</v>
      </c>
      <c r="O955" s="728"/>
      <c r="P955" s="70">
        <f>P240/'Terms and Turnovers'!$AN49</f>
        <v>0</v>
      </c>
      <c r="Q955" s="728"/>
      <c r="R955" s="132">
        <f t="shared" si="98"/>
        <v>0</v>
      </c>
      <c r="S955" s="728"/>
      <c r="T955" s="70">
        <f>T240/'Terms and Turnovers'!$AS49</f>
        <v>0</v>
      </c>
      <c r="U955" s="728"/>
      <c r="V955" s="70">
        <f>V240/'Terms and Turnovers'!$AS49</f>
        <v>0</v>
      </c>
      <c r="W955" s="728"/>
      <c r="X955" s="70">
        <f>X240/'Terms and Turnovers'!$AS49</f>
        <v>0</v>
      </c>
      <c r="Y955" s="728"/>
      <c r="Z955" s="70">
        <f>Z240/'Terms and Turnovers'!$AS49</f>
        <v>0</v>
      </c>
      <c r="AA955" s="728"/>
      <c r="AB955" s="70">
        <f>AB240/'Terms and Turnovers'!$AS49</f>
        <v>0</v>
      </c>
      <c r="AC955" s="728"/>
      <c r="AD955" s="70">
        <f>AD240/'Terms and Turnovers'!$AS49</f>
        <v>0</v>
      </c>
      <c r="AE955" s="728"/>
      <c r="AF955" s="132">
        <f t="shared" si="99"/>
        <v>0</v>
      </c>
      <c r="AG955" s="728"/>
      <c r="AH955" s="133">
        <f t="shared" si="100"/>
        <v>0</v>
      </c>
      <c r="AI955" s="728"/>
      <c r="AJ955" s="65"/>
    </row>
    <row r="956" spans="2:36" ht="13.5" customHeight="1" outlineLevel="1" thickBot="1">
      <c r="B956" s="82"/>
      <c r="C956" s="1235"/>
      <c r="D956" s="1235"/>
      <c r="E956" s="85">
        <f>'Terms and Turnovers'!$AX$12</f>
        <v>0</v>
      </c>
      <c r="F956" s="70">
        <f>F241/'Terms and Turnovers'!$AX49</f>
        <v>0</v>
      </c>
      <c r="G956" s="107"/>
      <c r="H956" s="70">
        <f>H241/'Terms and Turnovers'!$AX49</f>
        <v>0</v>
      </c>
      <c r="I956" s="107"/>
      <c r="J956" s="70">
        <f>J241/'Terms and Turnovers'!$AX49</f>
        <v>0</v>
      </c>
      <c r="K956" s="107"/>
      <c r="L956" s="70">
        <f>L241/'Terms and Turnovers'!$AX49</f>
        <v>0</v>
      </c>
      <c r="M956" s="107"/>
      <c r="N956" s="70">
        <f>N241/'Terms and Turnovers'!$AX49</f>
        <v>0</v>
      </c>
      <c r="O956" s="107"/>
      <c r="P956" s="70">
        <f>P241/'Terms and Turnovers'!$AX49</f>
        <v>0</v>
      </c>
      <c r="Q956" s="107"/>
      <c r="R956" s="135">
        <f t="shared" si="98"/>
        <v>0</v>
      </c>
      <c r="S956" s="107"/>
      <c r="T956" s="70">
        <f>T241/'Terms and Turnovers'!$AX$49</f>
        <v>0</v>
      </c>
      <c r="U956" s="107"/>
      <c r="V956" s="70">
        <f>V241/'Terms and Turnovers'!$AX$49</f>
        <v>0</v>
      </c>
      <c r="W956" s="107"/>
      <c r="X956" s="70">
        <f>X241/'Terms and Turnovers'!$AX$49</f>
        <v>0</v>
      </c>
      <c r="Y956" s="107"/>
      <c r="Z956" s="70">
        <f>Z241/'Terms and Turnovers'!$AX$49</f>
        <v>0</v>
      </c>
      <c r="AA956" s="107"/>
      <c r="AB956" s="70">
        <f>AB241/'Terms and Turnovers'!$AX$49</f>
        <v>0</v>
      </c>
      <c r="AC956" s="107"/>
      <c r="AD956" s="70">
        <f>AD241/'Terms and Turnovers'!$AX$49</f>
        <v>0</v>
      </c>
      <c r="AE956" s="107"/>
      <c r="AF956" s="135">
        <f t="shared" si="99"/>
        <v>0</v>
      </c>
      <c r="AG956" s="107"/>
      <c r="AH956" s="136">
        <f t="shared" si="100"/>
        <v>0</v>
      </c>
      <c r="AI956" s="107"/>
      <c r="AJ956" s="65"/>
    </row>
    <row r="957" spans="2:36" ht="13.5" customHeight="1" outlineLevel="1">
      <c r="B957" s="82"/>
      <c r="C957" s="425"/>
      <c r="D957" s="425"/>
      <c r="E957" s="634"/>
      <c r="F957" s="635"/>
      <c r="G957" s="428"/>
      <c r="H957" s="635"/>
      <c r="I957" s="428"/>
      <c r="J957" s="635"/>
      <c r="K957" s="636"/>
      <c r="L957" s="635"/>
      <c r="M957" s="636"/>
      <c r="N957" s="635"/>
      <c r="O957" s="636"/>
      <c r="P957" s="635"/>
      <c r="Q957" s="636"/>
      <c r="R957" s="637"/>
      <c r="S957" s="698">
        <f>SUM(R237:R241)/1.18-(SUM(R952:R956)*'Mark Up Validation'!$M$175)</f>
        <v>0</v>
      </c>
      <c r="T957" s="635"/>
      <c r="U957" s="636"/>
      <c r="V957" s="635"/>
      <c r="W957" s="636"/>
      <c r="X957" s="635"/>
      <c r="Y957" s="636"/>
      <c r="Z957" s="635"/>
      <c r="AA957" s="636"/>
      <c r="AB957" s="635"/>
      <c r="AC957" s="636"/>
      <c r="AD957" s="635"/>
      <c r="AE957" s="636"/>
      <c r="AF957" s="637"/>
      <c r="AG957" s="698">
        <f>SUM(AF237:AF241)/1.18-SUM(AF952:AF956)*'Mark Up Validation'!$M$175</f>
        <v>0</v>
      </c>
      <c r="AH957" s="638"/>
      <c r="AI957" s="698">
        <f>SUM(AH237:AH241)/1.18-SUM(AH952:AH956)*'Mark Up Validation'!$M$175</f>
        <v>0</v>
      </c>
      <c r="AJ957" s="65"/>
    </row>
    <row r="958" spans="2:36" ht="13.5" customHeight="1" outlineLevel="1" thickBot="1">
      <c r="B958" s="82"/>
      <c r="C958" s="1228" t="s">
        <v>487</v>
      </c>
      <c r="D958" s="1229"/>
      <c r="E958" s="699"/>
      <c r="F958" s="700"/>
      <c r="G958" s="701"/>
      <c r="H958" s="700"/>
      <c r="I958" s="701"/>
      <c r="J958" s="700"/>
      <c r="K958" s="702"/>
      <c r="L958" s="700"/>
      <c r="M958" s="702"/>
      <c r="N958" s="700"/>
      <c r="O958" s="702"/>
      <c r="P958" s="700"/>
      <c r="Q958" s="702"/>
      <c r="R958" s="703"/>
      <c r="S958" s="729">
        <f>IF(S957&gt;0,S957/(SUM(R237:R241)/1.18),0)</f>
        <v>0</v>
      </c>
      <c r="T958" s="704"/>
      <c r="U958" s="702"/>
      <c r="V958" s="700"/>
      <c r="W958" s="702"/>
      <c r="X958" s="700"/>
      <c r="Y958" s="702"/>
      <c r="Z958" s="700"/>
      <c r="AA958" s="702"/>
      <c r="AB958" s="700"/>
      <c r="AC958" s="702"/>
      <c r="AD958" s="700"/>
      <c r="AE958" s="702"/>
      <c r="AF958" s="705"/>
      <c r="AG958" s="729">
        <f>IF(AG957&gt;0,AG957/(SUM(AF237:AF241)/1.18),0)</f>
        <v>0</v>
      </c>
      <c r="AH958" s="706"/>
      <c r="AI958" s="729">
        <f>IF(AI957&gt;0,AI957/(SUM(AH237:AH241)/1.18),0)</f>
        <v>0</v>
      </c>
      <c r="AJ958" s="65"/>
    </row>
    <row r="959" spans="2:36" ht="12.75" customHeight="1" outlineLevel="1">
      <c r="B959" s="82">
        <f>B952+1</f>
        <v>35</v>
      </c>
      <c r="C959" s="1233">
        <f>C244</f>
        <v>0</v>
      </c>
      <c r="D959" s="1233">
        <f>D244</f>
        <v>0</v>
      </c>
      <c r="E959" s="83" t="str">
        <f>'Terms and Turnovers'!$J$12</f>
        <v>FLIP-FLOPS</v>
      </c>
      <c r="F959" s="68">
        <f>F244/'Terms and Turnovers'!$J50</f>
        <v>0</v>
      </c>
      <c r="G959" s="106"/>
      <c r="H959" s="68">
        <f>H244/'Terms and Turnovers'!$J50</f>
        <v>0</v>
      </c>
      <c r="I959" s="106"/>
      <c r="J959" s="68">
        <f>J244/'Terms and Turnovers'!$J50</f>
        <v>0</v>
      </c>
      <c r="K959" s="106"/>
      <c r="L959" s="68">
        <f>L244/'Terms and Turnovers'!$J50</f>
        <v>0</v>
      </c>
      <c r="M959" s="106"/>
      <c r="N959" s="68">
        <f>N244/'Terms and Turnovers'!$J50</f>
        <v>0</v>
      </c>
      <c r="O959" s="106"/>
      <c r="P959" s="68">
        <f>P244/'Terms and Turnovers'!$J50</f>
        <v>0</v>
      </c>
      <c r="Q959" s="106"/>
      <c r="R959" s="129">
        <f t="shared" si="98"/>
        <v>0</v>
      </c>
      <c r="S959" s="106"/>
      <c r="T959" s="68">
        <f>T244/'Terms and Turnovers'!$O50</f>
        <v>0</v>
      </c>
      <c r="U959" s="106"/>
      <c r="V959" s="68">
        <f>V244/'Terms and Turnovers'!$O50</f>
        <v>0</v>
      </c>
      <c r="W959" s="106"/>
      <c r="X959" s="68">
        <f>X244/'Terms and Turnovers'!$O50</f>
        <v>0</v>
      </c>
      <c r="Y959" s="106"/>
      <c r="Z959" s="68">
        <f>Z244/'Terms and Turnovers'!$O50</f>
        <v>0</v>
      </c>
      <c r="AA959" s="106"/>
      <c r="AB959" s="68">
        <f>AB244/'Terms and Turnovers'!$O50</f>
        <v>0</v>
      </c>
      <c r="AC959" s="106"/>
      <c r="AD959" s="68">
        <f>AD244/'Terms and Turnovers'!$O50</f>
        <v>0</v>
      </c>
      <c r="AE959" s="106"/>
      <c r="AF959" s="129">
        <f t="shared" si="99"/>
        <v>0</v>
      </c>
      <c r="AG959" s="106"/>
      <c r="AH959" s="130">
        <f t="shared" si="100"/>
        <v>0</v>
      </c>
      <c r="AI959" s="106"/>
      <c r="AJ959" s="65"/>
    </row>
    <row r="960" spans="2:36" ht="12.75" customHeight="1" outlineLevel="1">
      <c r="B960" s="82"/>
      <c r="C960" s="1234"/>
      <c r="D960" s="1234"/>
      <c r="E960" s="84" t="str">
        <f>'Terms and Turnovers'!$T$12</f>
        <v>ORIGINALS</v>
      </c>
      <c r="F960" s="70">
        <f>F245/'Terms and Turnovers'!$T50</f>
        <v>0</v>
      </c>
      <c r="G960" s="728"/>
      <c r="H960" s="70">
        <f>H245/'Terms and Turnovers'!$T50</f>
        <v>0</v>
      </c>
      <c r="I960" s="728"/>
      <c r="J960" s="70">
        <f>J245/'Terms and Turnovers'!$T50</f>
        <v>0</v>
      </c>
      <c r="K960" s="728"/>
      <c r="L960" s="70">
        <f>L245/'Terms and Turnovers'!$T50</f>
        <v>0</v>
      </c>
      <c r="M960" s="728"/>
      <c r="N960" s="70">
        <f>N245/'Terms and Turnovers'!$T50</f>
        <v>0</v>
      </c>
      <c r="O960" s="728"/>
      <c r="P960" s="70">
        <f>P245/'Terms and Turnovers'!$T50</f>
        <v>0</v>
      </c>
      <c r="Q960" s="728"/>
      <c r="R960" s="132">
        <f t="shared" si="98"/>
        <v>0</v>
      </c>
      <c r="S960" s="728"/>
      <c r="T960" s="70">
        <f>T245/'Terms and Turnovers'!$Y50</f>
        <v>0</v>
      </c>
      <c r="U960" s="728"/>
      <c r="V960" s="70">
        <f>V245/'Terms and Turnovers'!$Y50</f>
        <v>0</v>
      </c>
      <c r="W960" s="728"/>
      <c r="X960" s="70">
        <f>X245/'Terms and Turnovers'!$Y50</f>
        <v>0</v>
      </c>
      <c r="Y960" s="728"/>
      <c r="Z960" s="70">
        <f>Z245/'Terms and Turnovers'!$Y50</f>
        <v>0</v>
      </c>
      <c r="AA960" s="728"/>
      <c r="AB960" s="70">
        <f>AB245/'Terms and Turnovers'!$Y50</f>
        <v>0</v>
      </c>
      <c r="AC960" s="728"/>
      <c r="AD960" s="70">
        <f>AD245/'Terms and Turnovers'!$Y50</f>
        <v>0</v>
      </c>
      <c r="AE960" s="728"/>
      <c r="AF960" s="132">
        <f t="shared" si="99"/>
        <v>0</v>
      </c>
      <c r="AG960" s="728"/>
      <c r="AH960" s="133">
        <f t="shared" si="100"/>
        <v>0</v>
      </c>
      <c r="AI960" s="728"/>
      <c r="AJ960" s="65"/>
    </row>
    <row r="961" spans="2:36" ht="12.75" customHeight="1" outlineLevel="1">
      <c r="B961" s="82"/>
      <c r="C961" s="1234"/>
      <c r="D961" s="1234"/>
      <c r="E961" s="84" t="str">
        <f>'Terms and Turnovers'!$AD$12</f>
        <v>ACCESSORIES</v>
      </c>
      <c r="F961" s="70">
        <f>F246/'Terms and Turnovers'!$AD50</f>
        <v>0</v>
      </c>
      <c r="G961" s="728"/>
      <c r="H961" s="70">
        <f>H246/'Terms and Turnovers'!$AD50</f>
        <v>0</v>
      </c>
      <c r="I961" s="728"/>
      <c r="J961" s="70">
        <f>J246/'Terms and Turnovers'!$AD50</f>
        <v>0</v>
      </c>
      <c r="K961" s="728"/>
      <c r="L961" s="70">
        <f>L246/'Terms and Turnovers'!$AD50</f>
        <v>0</v>
      </c>
      <c r="M961" s="728"/>
      <c r="N961" s="70">
        <f>N246/'Terms and Turnovers'!$AD50</f>
        <v>0</v>
      </c>
      <c r="O961" s="728"/>
      <c r="P961" s="70">
        <f>P246/'Terms and Turnovers'!$AD50</f>
        <v>0</v>
      </c>
      <c r="Q961" s="728"/>
      <c r="R961" s="132">
        <f t="shared" si="98"/>
        <v>0</v>
      </c>
      <c r="S961" s="728"/>
      <c r="T961" s="70">
        <f>T246/'Terms and Turnovers'!$AI50</f>
        <v>0</v>
      </c>
      <c r="U961" s="728"/>
      <c r="V961" s="70">
        <f>V246/'Terms and Turnovers'!$AI50</f>
        <v>0</v>
      </c>
      <c r="W961" s="728"/>
      <c r="X961" s="70">
        <f>X246/'Terms and Turnovers'!$AI50</f>
        <v>0</v>
      </c>
      <c r="Y961" s="728"/>
      <c r="Z961" s="70">
        <f>Z246/'Terms and Turnovers'!$AI50</f>
        <v>0</v>
      </c>
      <c r="AA961" s="728"/>
      <c r="AB961" s="70">
        <f>AB246/'Terms and Turnovers'!$AI50</f>
        <v>0</v>
      </c>
      <c r="AC961" s="728"/>
      <c r="AD961" s="70">
        <f>AD246/'Terms and Turnovers'!$AI50</f>
        <v>0</v>
      </c>
      <c r="AE961" s="728"/>
      <c r="AF961" s="132">
        <f t="shared" si="99"/>
        <v>0</v>
      </c>
      <c r="AG961" s="728"/>
      <c r="AH961" s="133">
        <f t="shared" si="100"/>
        <v>0</v>
      </c>
      <c r="AI961" s="728"/>
      <c r="AJ961" s="65"/>
    </row>
    <row r="962" spans="2:36" ht="12.75" customHeight="1" outlineLevel="1">
      <c r="B962" s="82"/>
      <c r="C962" s="1234"/>
      <c r="D962" s="1234"/>
      <c r="E962" s="84">
        <f>'Terms and Turnovers'!$AN$12</f>
        <v>0</v>
      </c>
      <c r="F962" s="70">
        <f>F247/'Terms and Turnovers'!$AN50</f>
        <v>0</v>
      </c>
      <c r="G962" s="728"/>
      <c r="H962" s="70">
        <f>H247/'Terms and Turnovers'!$AN50</f>
        <v>0</v>
      </c>
      <c r="I962" s="728"/>
      <c r="J962" s="70">
        <f>J247/'Terms and Turnovers'!$AN50</f>
        <v>0</v>
      </c>
      <c r="K962" s="728"/>
      <c r="L962" s="70">
        <f>L247/'Terms and Turnovers'!$AN50</f>
        <v>0</v>
      </c>
      <c r="M962" s="728"/>
      <c r="N962" s="70">
        <f>N247/'Terms and Turnovers'!$AN50</f>
        <v>0</v>
      </c>
      <c r="O962" s="728"/>
      <c r="P962" s="70">
        <f>P247/'Terms and Turnovers'!$AN50</f>
        <v>0</v>
      </c>
      <c r="Q962" s="728"/>
      <c r="R962" s="132">
        <f t="shared" si="98"/>
        <v>0</v>
      </c>
      <c r="S962" s="728"/>
      <c r="T962" s="70">
        <f>T247/'Terms and Turnovers'!$AS50</f>
        <v>0</v>
      </c>
      <c r="U962" s="728"/>
      <c r="V962" s="70">
        <f>V247/'Terms and Turnovers'!$AS50</f>
        <v>0</v>
      </c>
      <c r="W962" s="728"/>
      <c r="X962" s="70">
        <f>X247/'Terms and Turnovers'!$AS50</f>
        <v>0</v>
      </c>
      <c r="Y962" s="728"/>
      <c r="Z962" s="70">
        <f>Z247/'Terms and Turnovers'!$AS50</f>
        <v>0</v>
      </c>
      <c r="AA962" s="728"/>
      <c r="AB962" s="70">
        <f>AB247/'Terms and Turnovers'!$AS50</f>
        <v>0</v>
      </c>
      <c r="AC962" s="728"/>
      <c r="AD962" s="70">
        <f>AD247/'Terms and Turnovers'!$AS50</f>
        <v>0</v>
      </c>
      <c r="AE962" s="728"/>
      <c r="AF962" s="132">
        <f t="shared" si="99"/>
        <v>0</v>
      </c>
      <c r="AG962" s="728"/>
      <c r="AH962" s="133">
        <f t="shared" si="100"/>
        <v>0</v>
      </c>
      <c r="AI962" s="728"/>
      <c r="AJ962" s="65"/>
    </row>
    <row r="963" spans="2:36" ht="13.5" customHeight="1" outlineLevel="1" thickBot="1">
      <c r="B963" s="82"/>
      <c r="C963" s="1235"/>
      <c r="D963" s="1235"/>
      <c r="E963" s="85">
        <f>'Terms and Turnovers'!$AX$12</f>
        <v>0</v>
      </c>
      <c r="F963" s="70">
        <f>F248/'Terms and Turnovers'!$AX50</f>
        <v>0</v>
      </c>
      <c r="G963" s="107"/>
      <c r="H963" s="70">
        <f>H248/'Terms and Turnovers'!$AX50</f>
        <v>0</v>
      </c>
      <c r="I963" s="107"/>
      <c r="J963" s="70">
        <f>J248/'Terms and Turnovers'!$AX50</f>
        <v>0</v>
      </c>
      <c r="K963" s="107"/>
      <c r="L963" s="70">
        <f>L248/'Terms and Turnovers'!$AX50</f>
        <v>0</v>
      </c>
      <c r="M963" s="107"/>
      <c r="N963" s="70">
        <f>N248/'Terms and Turnovers'!$AX50</f>
        <v>0</v>
      </c>
      <c r="O963" s="107"/>
      <c r="P963" s="70">
        <f>P248/'Terms and Turnovers'!$AX50</f>
        <v>0</v>
      </c>
      <c r="Q963" s="107"/>
      <c r="R963" s="135">
        <f t="shared" si="98"/>
        <v>0</v>
      </c>
      <c r="S963" s="107"/>
      <c r="T963" s="70">
        <f>T248/'Terms and Turnovers'!$AX$50</f>
        <v>0</v>
      </c>
      <c r="U963" s="107"/>
      <c r="V963" s="70">
        <f>V248/'Terms and Turnovers'!$AX$50</f>
        <v>0</v>
      </c>
      <c r="W963" s="107"/>
      <c r="X963" s="70">
        <f>X248/'Terms and Turnovers'!$AX$50</f>
        <v>0</v>
      </c>
      <c r="Y963" s="107"/>
      <c r="Z963" s="70">
        <f>Z248/'Terms and Turnovers'!$AX$50</f>
        <v>0</v>
      </c>
      <c r="AA963" s="107"/>
      <c r="AB963" s="70">
        <f>AB248/'Terms and Turnovers'!$AX$50</f>
        <v>0</v>
      </c>
      <c r="AC963" s="107"/>
      <c r="AD963" s="70">
        <f>AD248/'Terms and Turnovers'!$AX$50</f>
        <v>0</v>
      </c>
      <c r="AE963" s="107"/>
      <c r="AF963" s="135">
        <f t="shared" si="99"/>
        <v>0</v>
      </c>
      <c r="AG963" s="107"/>
      <c r="AH963" s="136">
        <f t="shared" si="100"/>
        <v>0</v>
      </c>
      <c r="AI963" s="107"/>
      <c r="AJ963" s="65"/>
    </row>
    <row r="964" spans="2:36" ht="13.5" customHeight="1" outlineLevel="1">
      <c r="B964" s="82"/>
      <c r="C964" s="425"/>
      <c r="D964" s="425"/>
      <c r="E964" s="634"/>
      <c r="F964" s="635"/>
      <c r="G964" s="428"/>
      <c r="H964" s="635"/>
      <c r="I964" s="428"/>
      <c r="J964" s="635"/>
      <c r="K964" s="636"/>
      <c r="L964" s="635"/>
      <c r="M964" s="636"/>
      <c r="N964" s="635"/>
      <c r="O964" s="636"/>
      <c r="P964" s="635"/>
      <c r="Q964" s="636"/>
      <c r="R964" s="637"/>
      <c r="S964" s="698">
        <f>SUM(R244:R248)/1.18-(SUM(R959:R963)*'Mark Up Validation'!$M$175)</f>
        <v>0</v>
      </c>
      <c r="T964" s="635"/>
      <c r="U964" s="636"/>
      <c r="V964" s="635"/>
      <c r="W964" s="636"/>
      <c r="X964" s="635"/>
      <c r="Y964" s="636"/>
      <c r="Z964" s="635"/>
      <c r="AA964" s="636"/>
      <c r="AB964" s="635"/>
      <c r="AC964" s="636"/>
      <c r="AD964" s="635"/>
      <c r="AE964" s="636"/>
      <c r="AF964" s="637"/>
      <c r="AG964" s="698">
        <f>SUM(AF244:AF248)/1.18-SUM(AF959:AF963)*'Mark Up Validation'!$M$175</f>
        <v>0</v>
      </c>
      <c r="AH964" s="638"/>
      <c r="AI964" s="698">
        <f>SUM(AH244:AH248)/1.18-SUM(AH959:AH963)*'Mark Up Validation'!$M$175</f>
        <v>0</v>
      </c>
      <c r="AJ964" s="65"/>
    </row>
    <row r="965" spans="2:36" ht="13.5" customHeight="1" outlineLevel="1" thickBot="1">
      <c r="B965" s="82"/>
      <c r="C965" s="1228" t="s">
        <v>487</v>
      </c>
      <c r="D965" s="1229"/>
      <c r="E965" s="699"/>
      <c r="F965" s="700"/>
      <c r="G965" s="701"/>
      <c r="H965" s="700"/>
      <c r="I965" s="701"/>
      <c r="J965" s="700"/>
      <c r="K965" s="702"/>
      <c r="L965" s="700"/>
      <c r="M965" s="702"/>
      <c r="N965" s="700"/>
      <c r="O965" s="702"/>
      <c r="P965" s="700"/>
      <c r="Q965" s="702"/>
      <c r="R965" s="703"/>
      <c r="S965" s="729">
        <f>IF(S964&gt;0,S964/(SUM(R244:R248)/1.18),0)</f>
        <v>0</v>
      </c>
      <c r="T965" s="704"/>
      <c r="U965" s="702"/>
      <c r="V965" s="700"/>
      <c r="W965" s="702"/>
      <c r="X965" s="700"/>
      <c r="Y965" s="702"/>
      <c r="Z965" s="700"/>
      <c r="AA965" s="702"/>
      <c r="AB965" s="700"/>
      <c r="AC965" s="702"/>
      <c r="AD965" s="700"/>
      <c r="AE965" s="702"/>
      <c r="AF965" s="705"/>
      <c r="AG965" s="729">
        <f>IF(AG964&gt;0,AG964/(SUM(AF244:AF248)/1.18),0)</f>
        <v>0</v>
      </c>
      <c r="AH965" s="706"/>
      <c r="AI965" s="729">
        <f>IF(AI964&gt;0,AI964/(SUM(AH244:AH248)/1.18),0)</f>
        <v>0</v>
      </c>
      <c r="AJ965" s="65"/>
    </row>
    <row r="966" spans="2:36" ht="12.75" customHeight="1" outlineLevel="1">
      <c r="B966" s="82">
        <f>B959+1</f>
        <v>36</v>
      </c>
      <c r="C966" s="1233">
        <f>C251</f>
        <v>0</v>
      </c>
      <c r="D966" s="1233">
        <f>D251</f>
        <v>0</v>
      </c>
      <c r="E966" s="83" t="str">
        <f>'Terms and Turnovers'!$J$12</f>
        <v>FLIP-FLOPS</v>
      </c>
      <c r="F966" s="68">
        <f>F251/'Terms and Turnovers'!$J51</f>
        <v>0</v>
      </c>
      <c r="G966" s="106"/>
      <c r="H966" s="68">
        <f>H251/'Terms and Turnovers'!$J51</f>
        <v>0</v>
      </c>
      <c r="I966" s="106"/>
      <c r="J966" s="68">
        <f>J251/'Terms and Turnovers'!$J51</f>
        <v>0</v>
      </c>
      <c r="K966" s="106"/>
      <c r="L966" s="68">
        <f>L251/'Terms and Turnovers'!$J51</f>
        <v>0</v>
      </c>
      <c r="M966" s="106"/>
      <c r="N966" s="68">
        <f>N251/'Terms and Turnovers'!$J51</f>
        <v>0</v>
      </c>
      <c r="O966" s="106"/>
      <c r="P966" s="68">
        <f>P251/'Terms and Turnovers'!$J51</f>
        <v>0</v>
      </c>
      <c r="Q966" s="106"/>
      <c r="R966" s="129">
        <f t="shared" si="98"/>
        <v>0</v>
      </c>
      <c r="S966" s="106"/>
      <c r="T966" s="68">
        <f>T251/'Terms and Turnovers'!$O51</f>
        <v>0</v>
      </c>
      <c r="U966" s="106"/>
      <c r="V966" s="68">
        <f>V251/'Terms and Turnovers'!$O51</f>
        <v>0</v>
      </c>
      <c r="W966" s="106"/>
      <c r="X966" s="68">
        <f>X251/'Terms and Turnovers'!$O51</f>
        <v>0</v>
      </c>
      <c r="Y966" s="106"/>
      <c r="Z966" s="68">
        <f>Z251/'Terms and Turnovers'!$O51</f>
        <v>0</v>
      </c>
      <c r="AA966" s="106"/>
      <c r="AB966" s="68">
        <f>AB251/'Terms and Turnovers'!$O51</f>
        <v>0</v>
      </c>
      <c r="AC966" s="106"/>
      <c r="AD966" s="68">
        <f>AD251/'Terms and Turnovers'!$O51</f>
        <v>0</v>
      </c>
      <c r="AE966" s="106"/>
      <c r="AF966" s="129">
        <f t="shared" si="99"/>
        <v>0</v>
      </c>
      <c r="AG966" s="106"/>
      <c r="AH966" s="130">
        <f t="shared" si="100"/>
        <v>0</v>
      </c>
      <c r="AI966" s="106"/>
      <c r="AJ966" s="65"/>
    </row>
    <row r="967" spans="2:36" ht="12.75" customHeight="1" outlineLevel="1">
      <c r="B967" s="82"/>
      <c r="C967" s="1234"/>
      <c r="D967" s="1234"/>
      <c r="E967" s="84" t="str">
        <f>'Terms and Turnovers'!$T$12</f>
        <v>ORIGINALS</v>
      </c>
      <c r="F967" s="70">
        <f>F252/'Terms and Turnovers'!$T51</f>
        <v>0</v>
      </c>
      <c r="G967" s="728"/>
      <c r="H967" s="70">
        <f>H252/'Terms and Turnovers'!$T51</f>
        <v>0</v>
      </c>
      <c r="I967" s="728"/>
      <c r="J967" s="70">
        <f>J252/'Terms and Turnovers'!$T51</f>
        <v>0</v>
      </c>
      <c r="K967" s="728"/>
      <c r="L967" s="70">
        <f>L252/'Terms and Turnovers'!$T51</f>
        <v>0</v>
      </c>
      <c r="M967" s="728"/>
      <c r="N967" s="70">
        <f>N252/'Terms and Turnovers'!$T51</f>
        <v>0</v>
      </c>
      <c r="O967" s="728"/>
      <c r="P967" s="70">
        <f>P252/'Terms and Turnovers'!$T51</f>
        <v>0</v>
      </c>
      <c r="Q967" s="728"/>
      <c r="R967" s="132">
        <f t="shared" si="98"/>
        <v>0</v>
      </c>
      <c r="S967" s="728"/>
      <c r="T967" s="70">
        <f>T252/'Terms and Turnovers'!$Y51</f>
        <v>0</v>
      </c>
      <c r="U967" s="728"/>
      <c r="V967" s="70">
        <f>V252/'Terms and Turnovers'!$Y51</f>
        <v>0</v>
      </c>
      <c r="W967" s="728"/>
      <c r="X967" s="70">
        <f>X252/'Terms and Turnovers'!$Y51</f>
        <v>0</v>
      </c>
      <c r="Y967" s="728"/>
      <c r="Z967" s="70">
        <f>Z252/'Terms and Turnovers'!$Y51</f>
        <v>0</v>
      </c>
      <c r="AA967" s="728"/>
      <c r="AB967" s="70">
        <f>AB252/'Terms and Turnovers'!$Y51</f>
        <v>0</v>
      </c>
      <c r="AC967" s="728"/>
      <c r="AD967" s="70">
        <f>AD252/'Terms and Turnovers'!$Y51</f>
        <v>0</v>
      </c>
      <c r="AE967" s="728"/>
      <c r="AF967" s="132">
        <f t="shared" si="99"/>
        <v>0</v>
      </c>
      <c r="AG967" s="728"/>
      <c r="AH967" s="133">
        <f t="shared" si="100"/>
        <v>0</v>
      </c>
      <c r="AI967" s="728"/>
      <c r="AJ967" s="65"/>
    </row>
    <row r="968" spans="2:36" ht="12.75" customHeight="1" outlineLevel="1">
      <c r="B968" s="82"/>
      <c r="C968" s="1234"/>
      <c r="D968" s="1234"/>
      <c r="E968" s="84" t="str">
        <f>'Terms and Turnovers'!$AD$12</f>
        <v>ACCESSORIES</v>
      </c>
      <c r="F968" s="70">
        <f>F253/'Terms and Turnovers'!$AD51</f>
        <v>0</v>
      </c>
      <c r="G968" s="728"/>
      <c r="H968" s="70">
        <f>H253/'Terms and Turnovers'!$AD51</f>
        <v>0</v>
      </c>
      <c r="I968" s="728"/>
      <c r="J968" s="70">
        <f>J253/'Terms and Turnovers'!$AD51</f>
        <v>0</v>
      </c>
      <c r="K968" s="728"/>
      <c r="L968" s="70">
        <f>L253/'Terms and Turnovers'!$AD51</f>
        <v>0</v>
      </c>
      <c r="M968" s="728"/>
      <c r="N968" s="70">
        <f>N253/'Terms and Turnovers'!$AD51</f>
        <v>0</v>
      </c>
      <c r="O968" s="728"/>
      <c r="P968" s="70">
        <f>P253/'Terms and Turnovers'!$AD51</f>
        <v>0</v>
      </c>
      <c r="Q968" s="728"/>
      <c r="R968" s="132">
        <f t="shared" si="98"/>
        <v>0</v>
      </c>
      <c r="S968" s="728"/>
      <c r="T968" s="70">
        <f>T253/'Terms and Turnovers'!$AI51</f>
        <v>0</v>
      </c>
      <c r="U968" s="728"/>
      <c r="V968" s="70">
        <f>V253/'Terms and Turnovers'!$AI51</f>
        <v>0</v>
      </c>
      <c r="W968" s="728"/>
      <c r="X968" s="70">
        <f>X253/'Terms and Turnovers'!$AI51</f>
        <v>0</v>
      </c>
      <c r="Y968" s="728"/>
      <c r="Z968" s="70">
        <f>Z253/'Terms and Turnovers'!$AI51</f>
        <v>0</v>
      </c>
      <c r="AA968" s="728"/>
      <c r="AB968" s="70">
        <f>AB253/'Terms and Turnovers'!$AI51</f>
        <v>0</v>
      </c>
      <c r="AC968" s="728"/>
      <c r="AD968" s="70">
        <f>AD253/'Terms and Turnovers'!$AI51</f>
        <v>0</v>
      </c>
      <c r="AE968" s="728"/>
      <c r="AF968" s="132">
        <f t="shared" si="99"/>
        <v>0</v>
      </c>
      <c r="AG968" s="728"/>
      <c r="AH968" s="133">
        <f t="shared" si="100"/>
        <v>0</v>
      </c>
      <c r="AI968" s="728"/>
      <c r="AJ968" s="65"/>
    </row>
    <row r="969" spans="2:36" ht="12.75" customHeight="1" outlineLevel="1">
      <c r="B969" s="82"/>
      <c r="C969" s="1234"/>
      <c r="D969" s="1234"/>
      <c r="E969" s="84">
        <f>'Terms and Turnovers'!$AN$12</f>
        <v>0</v>
      </c>
      <c r="F969" s="70">
        <f>F254/'Terms and Turnovers'!$AN51</f>
        <v>0</v>
      </c>
      <c r="G969" s="728"/>
      <c r="H969" s="70">
        <f>H254/'Terms and Turnovers'!$AN51</f>
        <v>0</v>
      </c>
      <c r="I969" s="728"/>
      <c r="J969" s="70">
        <f>J254/'Terms and Turnovers'!$AN51</f>
        <v>0</v>
      </c>
      <c r="K969" s="728"/>
      <c r="L969" s="70">
        <f>L254/'Terms and Turnovers'!$AN51</f>
        <v>0</v>
      </c>
      <c r="M969" s="728"/>
      <c r="N969" s="70">
        <f>N254/'Terms and Turnovers'!$AN51</f>
        <v>0</v>
      </c>
      <c r="O969" s="728"/>
      <c r="P969" s="70">
        <f>P254/'Terms and Turnovers'!$AN51</f>
        <v>0</v>
      </c>
      <c r="Q969" s="728"/>
      <c r="R969" s="132">
        <f t="shared" si="98"/>
        <v>0</v>
      </c>
      <c r="S969" s="728"/>
      <c r="T969" s="70">
        <f>T254/'Terms and Turnovers'!$AS51</f>
        <v>0</v>
      </c>
      <c r="U969" s="728"/>
      <c r="V969" s="70">
        <f>V254/'Terms and Turnovers'!$AS51</f>
        <v>0</v>
      </c>
      <c r="W969" s="728"/>
      <c r="X969" s="70">
        <f>X254/'Terms and Turnovers'!$AS51</f>
        <v>0</v>
      </c>
      <c r="Y969" s="728"/>
      <c r="Z969" s="70">
        <f>Z254/'Terms and Turnovers'!$AS51</f>
        <v>0</v>
      </c>
      <c r="AA969" s="728"/>
      <c r="AB969" s="70">
        <f>AB254/'Terms and Turnovers'!$AS51</f>
        <v>0</v>
      </c>
      <c r="AC969" s="728"/>
      <c r="AD969" s="70">
        <f>AD254/'Terms and Turnovers'!$AS51</f>
        <v>0</v>
      </c>
      <c r="AE969" s="728"/>
      <c r="AF969" s="132">
        <f t="shared" si="99"/>
        <v>0</v>
      </c>
      <c r="AG969" s="728"/>
      <c r="AH969" s="133">
        <f t="shared" si="100"/>
        <v>0</v>
      </c>
      <c r="AI969" s="728"/>
      <c r="AJ969" s="65"/>
    </row>
    <row r="970" spans="2:36" ht="13.5" customHeight="1" outlineLevel="1" thickBot="1">
      <c r="B970" s="82"/>
      <c r="C970" s="1235"/>
      <c r="D970" s="1235"/>
      <c r="E970" s="85">
        <f>'Terms and Turnovers'!$AX$12</f>
        <v>0</v>
      </c>
      <c r="F970" s="70">
        <f>F255/'Terms and Turnovers'!$AX51</f>
        <v>0</v>
      </c>
      <c r="G970" s="107"/>
      <c r="H970" s="70">
        <f>H255/'Terms and Turnovers'!$AX51</f>
        <v>0</v>
      </c>
      <c r="I970" s="107"/>
      <c r="J970" s="70">
        <f>J255/'Terms and Turnovers'!$AX51</f>
        <v>0</v>
      </c>
      <c r="K970" s="107"/>
      <c r="L970" s="70">
        <f>L255/'Terms and Turnovers'!$AX51</f>
        <v>0</v>
      </c>
      <c r="M970" s="107"/>
      <c r="N970" s="70">
        <f>N255/'Terms and Turnovers'!$AX51</f>
        <v>0</v>
      </c>
      <c r="O970" s="107"/>
      <c r="P970" s="70">
        <f>P255/'Terms and Turnovers'!$AX51</f>
        <v>0</v>
      </c>
      <c r="Q970" s="107"/>
      <c r="R970" s="135">
        <f t="shared" si="98"/>
        <v>0</v>
      </c>
      <c r="S970" s="107"/>
      <c r="T970" s="70">
        <f>T255/'Terms and Turnovers'!$AX$51</f>
        <v>0</v>
      </c>
      <c r="U970" s="107"/>
      <c r="V970" s="70">
        <f>V255/'Terms and Turnovers'!$AX$51</f>
        <v>0</v>
      </c>
      <c r="W970" s="107"/>
      <c r="X970" s="70">
        <f>X255/'Terms and Turnovers'!$AX$51</f>
        <v>0</v>
      </c>
      <c r="Y970" s="107"/>
      <c r="Z970" s="70">
        <f>Z255/'Terms and Turnovers'!$AX$51</f>
        <v>0</v>
      </c>
      <c r="AA970" s="107"/>
      <c r="AB970" s="70">
        <f>AB255/'Terms and Turnovers'!$AX$51</f>
        <v>0</v>
      </c>
      <c r="AC970" s="107"/>
      <c r="AD970" s="70">
        <f>AD255/'Terms and Turnovers'!$AX$51</f>
        <v>0</v>
      </c>
      <c r="AE970" s="107"/>
      <c r="AF970" s="135">
        <f t="shared" si="99"/>
        <v>0</v>
      </c>
      <c r="AG970" s="107"/>
      <c r="AH970" s="136">
        <f t="shared" si="100"/>
        <v>0</v>
      </c>
      <c r="AI970" s="107"/>
      <c r="AJ970" s="65"/>
    </row>
    <row r="971" spans="2:36" ht="13.5" customHeight="1" outlineLevel="1">
      <c r="B971" s="82"/>
      <c r="C971" s="425"/>
      <c r="D971" s="425"/>
      <c r="E971" s="634"/>
      <c r="F971" s="635"/>
      <c r="G971" s="428"/>
      <c r="H971" s="635"/>
      <c r="I971" s="428"/>
      <c r="J971" s="635"/>
      <c r="K971" s="636"/>
      <c r="L971" s="635"/>
      <c r="M971" s="636"/>
      <c r="N971" s="635"/>
      <c r="O971" s="636"/>
      <c r="P971" s="635"/>
      <c r="Q971" s="636"/>
      <c r="R971" s="637"/>
      <c r="S971" s="698">
        <f>SUM(R251:R255)/1.18-(SUM(R966:R970)*'Mark Up Validation'!$M$175)</f>
        <v>0</v>
      </c>
      <c r="T971" s="635"/>
      <c r="U971" s="636"/>
      <c r="V971" s="635"/>
      <c r="W971" s="636"/>
      <c r="X971" s="635"/>
      <c r="Y971" s="636"/>
      <c r="Z971" s="635"/>
      <c r="AA971" s="636"/>
      <c r="AB971" s="635"/>
      <c r="AC971" s="636"/>
      <c r="AD971" s="635"/>
      <c r="AE971" s="636"/>
      <c r="AF971" s="637"/>
      <c r="AG971" s="698">
        <f>SUM(AF251:AF255)/1.18-SUM(AF966:AF970)*'Mark Up Validation'!$M$175</f>
        <v>0</v>
      </c>
      <c r="AH971" s="638"/>
      <c r="AI971" s="698">
        <f>SUM(AH251:AH255)/1.18-SUM(AH966:AH970)*'Mark Up Validation'!$M$175</f>
        <v>0</v>
      </c>
      <c r="AJ971" s="65"/>
    </row>
    <row r="972" spans="2:36" ht="13.5" customHeight="1" outlineLevel="1" thickBot="1">
      <c r="B972" s="82"/>
      <c r="C972" s="1228" t="s">
        <v>487</v>
      </c>
      <c r="D972" s="1229"/>
      <c r="E972" s="699"/>
      <c r="F972" s="700"/>
      <c r="G972" s="701"/>
      <c r="H972" s="700"/>
      <c r="I972" s="701"/>
      <c r="J972" s="700"/>
      <c r="K972" s="702"/>
      <c r="L972" s="700"/>
      <c r="M972" s="702"/>
      <c r="N972" s="700"/>
      <c r="O972" s="702"/>
      <c r="P972" s="700"/>
      <c r="Q972" s="702"/>
      <c r="R972" s="703"/>
      <c r="S972" s="729">
        <f>IF(S971&gt;0,S971/(SUM(R251:R255)/1.18),0)</f>
        <v>0</v>
      </c>
      <c r="T972" s="704"/>
      <c r="U972" s="702"/>
      <c r="V972" s="700"/>
      <c r="W972" s="702"/>
      <c r="X972" s="700"/>
      <c r="Y972" s="702"/>
      <c r="Z972" s="700"/>
      <c r="AA972" s="702"/>
      <c r="AB972" s="700"/>
      <c r="AC972" s="702"/>
      <c r="AD972" s="700"/>
      <c r="AE972" s="702"/>
      <c r="AF972" s="705"/>
      <c r="AG972" s="729">
        <f>IF(AG971&gt;0,AG971/(SUM(AF251:AF255)/1.18),0)</f>
        <v>0</v>
      </c>
      <c r="AH972" s="706"/>
      <c r="AI972" s="729">
        <f>IF(AI971&gt;0,AI971/(SUM(AH251:AH255)/1.18),0)</f>
        <v>0</v>
      </c>
      <c r="AJ972" s="65"/>
    </row>
    <row r="973" spans="2:36" ht="12.75" customHeight="1" outlineLevel="1">
      <c r="B973" s="82">
        <f>B966+1</f>
        <v>37</v>
      </c>
      <c r="C973" s="1233">
        <f>C258</f>
        <v>0</v>
      </c>
      <c r="D973" s="1233">
        <f>D258</f>
        <v>0</v>
      </c>
      <c r="E973" s="83" t="str">
        <f>'Terms and Turnovers'!$J$12</f>
        <v>FLIP-FLOPS</v>
      </c>
      <c r="F973" s="68">
        <f>F258/'Terms and Turnovers'!$J52</f>
        <v>0</v>
      </c>
      <c r="G973" s="106"/>
      <c r="H973" s="68">
        <f>H258/'Terms and Turnovers'!$J52</f>
        <v>0</v>
      </c>
      <c r="I973" s="106"/>
      <c r="J973" s="68">
        <f>J258/'Terms and Turnovers'!$J52</f>
        <v>0</v>
      </c>
      <c r="K973" s="106"/>
      <c r="L973" s="68">
        <f>L258/'Terms and Turnovers'!$J52</f>
        <v>0</v>
      </c>
      <c r="M973" s="106"/>
      <c r="N973" s="68">
        <f>N258/'Terms and Turnovers'!$J52</f>
        <v>0</v>
      </c>
      <c r="O973" s="106"/>
      <c r="P973" s="68">
        <f>P258/'Terms and Turnovers'!$J52</f>
        <v>0</v>
      </c>
      <c r="Q973" s="106"/>
      <c r="R973" s="129">
        <f t="shared" si="98"/>
        <v>0</v>
      </c>
      <c r="S973" s="106"/>
      <c r="T973" s="68">
        <f>T258/'Terms and Turnovers'!$O52</f>
        <v>0</v>
      </c>
      <c r="U973" s="106"/>
      <c r="V973" s="68">
        <f>V258/'Terms and Turnovers'!$O52</f>
        <v>0</v>
      </c>
      <c r="W973" s="106"/>
      <c r="X973" s="68">
        <f>X258/'Terms and Turnovers'!$O52</f>
        <v>0</v>
      </c>
      <c r="Y973" s="106"/>
      <c r="Z973" s="68">
        <f>Z258/'Terms and Turnovers'!$O52</f>
        <v>0</v>
      </c>
      <c r="AA973" s="106"/>
      <c r="AB973" s="68">
        <f>AB258/'Terms and Turnovers'!$O52</f>
        <v>0</v>
      </c>
      <c r="AC973" s="106"/>
      <c r="AD973" s="68">
        <f>AD258/'Terms and Turnovers'!$O52</f>
        <v>0</v>
      </c>
      <c r="AE973" s="106"/>
      <c r="AF973" s="129">
        <f t="shared" si="99"/>
        <v>0</v>
      </c>
      <c r="AG973" s="106"/>
      <c r="AH973" s="130">
        <f t="shared" si="100"/>
        <v>0</v>
      </c>
      <c r="AI973" s="106"/>
      <c r="AJ973" s="65"/>
    </row>
    <row r="974" spans="2:36" ht="12.75" customHeight="1" outlineLevel="1">
      <c r="B974" s="82"/>
      <c r="C974" s="1234"/>
      <c r="D974" s="1234"/>
      <c r="E974" s="84" t="str">
        <f>'Terms and Turnovers'!$T$12</f>
        <v>ORIGINALS</v>
      </c>
      <c r="F974" s="70">
        <f>F259/'Terms and Turnovers'!$T52</f>
        <v>0</v>
      </c>
      <c r="G974" s="728"/>
      <c r="H974" s="70">
        <f>H259/'Terms and Turnovers'!$T52</f>
        <v>0</v>
      </c>
      <c r="I974" s="728"/>
      <c r="J974" s="70">
        <f>J259/'Terms and Turnovers'!$T52</f>
        <v>0</v>
      </c>
      <c r="K974" s="728"/>
      <c r="L974" s="70">
        <f>L259/'Terms and Turnovers'!$T52</f>
        <v>0</v>
      </c>
      <c r="M974" s="728"/>
      <c r="N974" s="70">
        <f>N259/'Terms and Turnovers'!$T52</f>
        <v>0</v>
      </c>
      <c r="O974" s="728"/>
      <c r="P974" s="70">
        <f>P259/'Terms and Turnovers'!$T52</f>
        <v>0</v>
      </c>
      <c r="Q974" s="728"/>
      <c r="R974" s="132">
        <f t="shared" si="98"/>
        <v>0</v>
      </c>
      <c r="S974" s="728"/>
      <c r="T974" s="70">
        <f>T259/'Terms and Turnovers'!$Y52</f>
        <v>0</v>
      </c>
      <c r="U974" s="728"/>
      <c r="V974" s="70">
        <f>V259/'Terms and Turnovers'!$Y52</f>
        <v>0</v>
      </c>
      <c r="W974" s="728"/>
      <c r="X974" s="70">
        <f>X259/'Terms and Turnovers'!$Y52</f>
        <v>0</v>
      </c>
      <c r="Y974" s="728"/>
      <c r="Z974" s="70">
        <f>Z259/'Terms and Turnovers'!$Y52</f>
        <v>0</v>
      </c>
      <c r="AA974" s="728"/>
      <c r="AB974" s="70">
        <f>AB259/'Terms and Turnovers'!$Y52</f>
        <v>0</v>
      </c>
      <c r="AC974" s="728"/>
      <c r="AD974" s="70">
        <f>AD259/'Terms and Turnovers'!$Y52</f>
        <v>0</v>
      </c>
      <c r="AE974" s="728"/>
      <c r="AF974" s="132">
        <f t="shared" si="99"/>
        <v>0</v>
      </c>
      <c r="AG974" s="728"/>
      <c r="AH974" s="133">
        <f t="shared" si="100"/>
        <v>0</v>
      </c>
      <c r="AI974" s="728"/>
      <c r="AJ974" s="65"/>
    </row>
    <row r="975" spans="2:36" ht="12.75" customHeight="1" outlineLevel="1">
      <c r="B975" s="82"/>
      <c r="C975" s="1234"/>
      <c r="D975" s="1234"/>
      <c r="E975" s="84" t="str">
        <f>'Terms and Turnovers'!$AD$12</f>
        <v>ACCESSORIES</v>
      </c>
      <c r="F975" s="70">
        <f>F260/'Terms and Turnovers'!$AD52</f>
        <v>0</v>
      </c>
      <c r="G975" s="728"/>
      <c r="H975" s="70">
        <f>H260/'Terms and Turnovers'!$AD52</f>
        <v>0</v>
      </c>
      <c r="I975" s="728"/>
      <c r="J975" s="70">
        <f>J260/'Terms and Turnovers'!$AD52</f>
        <v>0</v>
      </c>
      <c r="K975" s="728"/>
      <c r="L975" s="70">
        <f>L260/'Terms and Turnovers'!$AD52</f>
        <v>0</v>
      </c>
      <c r="M975" s="728"/>
      <c r="N975" s="70">
        <f>N260/'Terms and Turnovers'!$AD52</f>
        <v>0</v>
      </c>
      <c r="O975" s="728"/>
      <c r="P975" s="70">
        <f>P260/'Terms and Turnovers'!$AD52</f>
        <v>0</v>
      </c>
      <c r="Q975" s="728"/>
      <c r="R975" s="132">
        <f t="shared" si="98"/>
        <v>0</v>
      </c>
      <c r="S975" s="728"/>
      <c r="T975" s="70">
        <f>T260/'Terms and Turnovers'!$AI52</f>
        <v>0</v>
      </c>
      <c r="U975" s="728"/>
      <c r="V975" s="70">
        <f>V260/'Terms and Turnovers'!$AI52</f>
        <v>0</v>
      </c>
      <c r="W975" s="728"/>
      <c r="X975" s="70">
        <f>X260/'Terms and Turnovers'!$AI52</f>
        <v>0</v>
      </c>
      <c r="Y975" s="728"/>
      <c r="Z975" s="70">
        <f>Z260/'Terms and Turnovers'!$AI52</f>
        <v>0</v>
      </c>
      <c r="AA975" s="728"/>
      <c r="AB975" s="70">
        <f>AB260/'Terms and Turnovers'!$AI52</f>
        <v>0</v>
      </c>
      <c r="AC975" s="728"/>
      <c r="AD975" s="70">
        <f>AD260/'Terms and Turnovers'!$AI52</f>
        <v>0</v>
      </c>
      <c r="AE975" s="728"/>
      <c r="AF975" s="132">
        <f t="shared" si="99"/>
        <v>0</v>
      </c>
      <c r="AG975" s="728"/>
      <c r="AH975" s="133">
        <f t="shared" si="100"/>
        <v>0</v>
      </c>
      <c r="AI975" s="728"/>
      <c r="AJ975" s="65"/>
    </row>
    <row r="976" spans="2:36" ht="12.75" customHeight="1" outlineLevel="1">
      <c r="B976" s="82"/>
      <c r="C976" s="1234"/>
      <c r="D976" s="1234"/>
      <c r="E976" s="84">
        <f>'Terms and Turnovers'!$AN$12</f>
        <v>0</v>
      </c>
      <c r="F976" s="70">
        <f>F261/'Terms and Turnovers'!$AN52</f>
        <v>0</v>
      </c>
      <c r="G976" s="728"/>
      <c r="H976" s="70">
        <f>H261/'Terms and Turnovers'!$AN52</f>
        <v>0</v>
      </c>
      <c r="I976" s="728"/>
      <c r="J976" s="70">
        <f>J261/'Terms and Turnovers'!$AN52</f>
        <v>0</v>
      </c>
      <c r="K976" s="728"/>
      <c r="L976" s="70">
        <f>L261/'Terms and Turnovers'!$AN52</f>
        <v>0</v>
      </c>
      <c r="M976" s="728"/>
      <c r="N976" s="70">
        <f>N261/'Terms and Turnovers'!$AN52</f>
        <v>0</v>
      </c>
      <c r="O976" s="728"/>
      <c r="P976" s="70">
        <f>P261/'Terms and Turnovers'!$AN52</f>
        <v>0</v>
      </c>
      <c r="Q976" s="728"/>
      <c r="R976" s="132">
        <f t="shared" si="98"/>
        <v>0</v>
      </c>
      <c r="S976" s="728"/>
      <c r="T976" s="70">
        <f>T261/'Terms and Turnovers'!$AS52</f>
        <v>0</v>
      </c>
      <c r="U976" s="728"/>
      <c r="V976" s="70">
        <f>V261/'Terms and Turnovers'!$AS52</f>
        <v>0</v>
      </c>
      <c r="W976" s="728"/>
      <c r="X976" s="70">
        <f>X261/'Terms and Turnovers'!$AS52</f>
        <v>0</v>
      </c>
      <c r="Y976" s="728"/>
      <c r="Z976" s="70">
        <f>Z261/'Terms and Turnovers'!$AS52</f>
        <v>0</v>
      </c>
      <c r="AA976" s="728"/>
      <c r="AB976" s="70">
        <f>AB261/'Terms and Turnovers'!$AS52</f>
        <v>0</v>
      </c>
      <c r="AC976" s="728"/>
      <c r="AD976" s="70">
        <f>AD261/'Terms and Turnovers'!$AS52</f>
        <v>0</v>
      </c>
      <c r="AE976" s="728"/>
      <c r="AF976" s="132">
        <f t="shared" si="99"/>
        <v>0</v>
      </c>
      <c r="AG976" s="728"/>
      <c r="AH976" s="133">
        <f t="shared" si="100"/>
        <v>0</v>
      </c>
      <c r="AI976" s="728"/>
      <c r="AJ976" s="65"/>
    </row>
    <row r="977" spans="2:36" ht="13.5" customHeight="1" outlineLevel="1" thickBot="1">
      <c r="B977" s="82"/>
      <c r="C977" s="1235"/>
      <c r="D977" s="1235"/>
      <c r="E977" s="85">
        <f>'Terms and Turnovers'!$AX$12</f>
        <v>0</v>
      </c>
      <c r="F977" s="70">
        <f>F262/'Terms and Turnovers'!$AX52</f>
        <v>0</v>
      </c>
      <c r="G977" s="107"/>
      <c r="H977" s="70">
        <f>H262/'Terms and Turnovers'!$AX52</f>
        <v>0</v>
      </c>
      <c r="I977" s="107"/>
      <c r="J977" s="70">
        <f>J262/'Terms and Turnovers'!$AX52</f>
        <v>0</v>
      </c>
      <c r="K977" s="107"/>
      <c r="L977" s="70">
        <f>L262/'Terms and Turnovers'!$AX52</f>
        <v>0</v>
      </c>
      <c r="M977" s="107"/>
      <c r="N977" s="70">
        <f>N262/'Terms and Turnovers'!$AX52</f>
        <v>0</v>
      </c>
      <c r="O977" s="107"/>
      <c r="P977" s="70">
        <f>P262/'Terms and Turnovers'!$AX52</f>
        <v>0</v>
      </c>
      <c r="Q977" s="107"/>
      <c r="R977" s="135">
        <f t="shared" si="98"/>
        <v>0</v>
      </c>
      <c r="S977" s="107"/>
      <c r="T977" s="70">
        <f>T262/'Terms and Turnovers'!$AX$52</f>
        <v>0</v>
      </c>
      <c r="U977" s="107"/>
      <c r="V977" s="70">
        <f>V262/'Terms and Turnovers'!$AX$52</f>
        <v>0</v>
      </c>
      <c r="W977" s="107"/>
      <c r="X977" s="70">
        <f>X262/'Terms and Turnovers'!$AX$52</f>
        <v>0</v>
      </c>
      <c r="Y977" s="107"/>
      <c r="Z977" s="70">
        <f>Z262/'Terms and Turnovers'!$AX$52</f>
        <v>0</v>
      </c>
      <c r="AA977" s="107"/>
      <c r="AB977" s="70">
        <f>AB262/'Terms and Turnovers'!$AX$52</f>
        <v>0</v>
      </c>
      <c r="AC977" s="107"/>
      <c r="AD977" s="70">
        <f>AD262/'Terms and Turnovers'!$AX$52</f>
        <v>0</v>
      </c>
      <c r="AE977" s="107"/>
      <c r="AF977" s="135">
        <f t="shared" si="99"/>
        <v>0</v>
      </c>
      <c r="AG977" s="107"/>
      <c r="AH977" s="136">
        <f t="shared" si="100"/>
        <v>0</v>
      </c>
      <c r="AI977" s="107"/>
      <c r="AJ977" s="65"/>
    </row>
    <row r="978" spans="2:36" ht="13.5" customHeight="1" outlineLevel="1">
      <c r="B978" s="82"/>
      <c r="C978" s="425"/>
      <c r="D978" s="425"/>
      <c r="E978" s="634"/>
      <c r="F978" s="635"/>
      <c r="G978" s="428"/>
      <c r="H978" s="635"/>
      <c r="I978" s="428"/>
      <c r="J978" s="635"/>
      <c r="K978" s="636"/>
      <c r="L978" s="635"/>
      <c r="M978" s="636"/>
      <c r="N978" s="635"/>
      <c r="O978" s="636"/>
      <c r="P978" s="635"/>
      <c r="Q978" s="636"/>
      <c r="R978" s="637"/>
      <c r="S978" s="698">
        <f>SUM(R258:R262)/1.18-(SUM(R973:R977)*'Mark Up Validation'!$M$175)</f>
        <v>0</v>
      </c>
      <c r="T978" s="635"/>
      <c r="U978" s="636"/>
      <c r="V978" s="635"/>
      <c r="W978" s="636"/>
      <c r="X978" s="635"/>
      <c r="Y978" s="636"/>
      <c r="Z978" s="635"/>
      <c r="AA978" s="636"/>
      <c r="AB978" s="635"/>
      <c r="AC978" s="636"/>
      <c r="AD978" s="635"/>
      <c r="AE978" s="636"/>
      <c r="AF978" s="637"/>
      <c r="AG978" s="698">
        <f>SUM(AF258:AF262)/1.18-SUM(AF973:AF977)*'Mark Up Validation'!$M$175</f>
        <v>0</v>
      </c>
      <c r="AH978" s="638"/>
      <c r="AI978" s="698">
        <f>SUM(AH258:AH262)/1.18-SUM(AH973:AH977)*'Mark Up Validation'!$M$175</f>
        <v>0</v>
      </c>
      <c r="AJ978" s="65"/>
    </row>
    <row r="979" spans="2:36" ht="13.5" customHeight="1" outlineLevel="1" thickBot="1">
      <c r="B979" s="82"/>
      <c r="C979" s="1228" t="s">
        <v>487</v>
      </c>
      <c r="D979" s="1229"/>
      <c r="E979" s="699"/>
      <c r="F979" s="700"/>
      <c r="G979" s="701"/>
      <c r="H979" s="700"/>
      <c r="I979" s="701"/>
      <c r="J979" s="700"/>
      <c r="K979" s="702"/>
      <c r="L979" s="700"/>
      <c r="M979" s="702"/>
      <c r="N979" s="700"/>
      <c r="O979" s="702"/>
      <c r="P979" s="700"/>
      <c r="Q979" s="702"/>
      <c r="R979" s="703"/>
      <c r="S979" s="729">
        <f>IF(S978&gt;0,S978/(SUM(R258:R262)/1.18),0)</f>
        <v>0</v>
      </c>
      <c r="T979" s="704"/>
      <c r="U979" s="702"/>
      <c r="V979" s="700"/>
      <c r="W979" s="702"/>
      <c r="X979" s="700"/>
      <c r="Y979" s="702"/>
      <c r="Z979" s="700"/>
      <c r="AA979" s="702"/>
      <c r="AB979" s="700"/>
      <c r="AC979" s="702"/>
      <c r="AD979" s="700"/>
      <c r="AE979" s="702"/>
      <c r="AF979" s="705"/>
      <c r="AG979" s="729">
        <f>IF(AG978&gt;0,AG978/(SUM(AF258:AF262)/1.18),0)</f>
        <v>0</v>
      </c>
      <c r="AH979" s="706"/>
      <c r="AI979" s="729">
        <f>IF(AI978&gt;0,AI978/(SUM(AH258:AH262)/1.18),0)</f>
        <v>0</v>
      </c>
      <c r="AJ979" s="65"/>
    </row>
    <row r="980" spans="2:36" ht="12.75" customHeight="1" outlineLevel="1">
      <c r="B980" s="82">
        <f>B973+1</f>
        <v>38</v>
      </c>
      <c r="C980" s="1233">
        <f>C265</f>
        <v>0</v>
      </c>
      <c r="D980" s="1233">
        <f>D265</f>
        <v>0</v>
      </c>
      <c r="E980" s="83" t="str">
        <f>'Terms and Turnovers'!$J$12</f>
        <v>FLIP-FLOPS</v>
      </c>
      <c r="F980" s="68">
        <f>F265/'Terms and Turnovers'!$J53</f>
        <v>0</v>
      </c>
      <c r="G980" s="106"/>
      <c r="H980" s="68">
        <f>H265/'Terms and Turnovers'!$J53</f>
        <v>0</v>
      </c>
      <c r="I980" s="106"/>
      <c r="J980" s="68">
        <f>J265/'Terms and Turnovers'!$J53</f>
        <v>0</v>
      </c>
      <c r="K980" s="106"/>
      <c r="L980" s="68">
        <f>L265/'Terms and Turnovers'!$J53</f>
        <v>0</v>
      </c>
      <c r="M980" s="106"/>
      <c r="N980" s="68">
        <f>N265/'Terms and Turnovers'!$J53</f>
        <v>0</v>
      </c>
      <c r="O980" s="106"/>
      <c r="P980" s="68">
        <f>P265/'Terms and Turnovers'!$J53</f>
        <v>0</v>
      </c>
      <c r="Q980" s="106"/>
      <c r="R980" s="129">
        <f t="shared" si="98"/>
        <v>0</v>
      </c>
      <c r="S980" s="106"/>
      <c r="T980" s="68">
        <f>T265/'Terms and Turnovers'!$O53</f>
        <v>0</v>
      </c>
      <c r="U980" s="106"/>
      <c r="V980" s="68">
        <f>V265/'Terms and Turnovers'!$O53</f>
        <v>0</v>
      </c>
      <c r="W980" s="106"/>
      <c r="X980" s="68">
        <f>X265/'Terms and Turnovers'!$O53</f>
        <v>0</v>
      </c>
      <c r="Y980" s="106"/>
      <c r="Z980" s="68">
        <f>Z265/'Terms and Turnovers'!$O53</f>
        <v>0</v>
      </c>
      <c r="AA980" s="106"/>
      <c r="AB980" s="68">
        <f>AB265/'Terms and Turnovers'!$O53</f>
        <v>0</v>
      </c>
      <c r="AC980" s="106"/>
      <c r="AD980" s="68">
        <f>AD265/'Terms and Turnovers'!$O53</f>
        <v>0</v>
      </c>
      <c r="AE980" s="106"/>
      <c r="AF980" s="129">
        <f t="shared" si="99"/>
        <v>0</v>
      </c>
      <c r="AG980" s="106"/>
      <c r="AH980" s="130">
        <f t="shared" si="100"/>
        <v>0</v>
      </c>
      <c r="AI980" s="106"/>
      <c r="AJ980" s="65"/>
    </row>
    <row r="981" spans="2:36" ht="12.75" customHeight="1" outlineLevel="1">
      <c r="B981" s="82"/>
      <c r="C981" s="1234"/>
      <c r="D981" s="1234"/>
      <c r="E981" s="84" t="str">
        <f>'Terms and Turnovers'!$T$12</f>
        <v>ORIGINALS</v>
      </c>
      <c r="F981" s="70">
        <f>F266/'Terms and Turnovers'!$T53</f>
        <v>0</v>
      </c>
      <c r="G981" s="728"/>
      <c r="H981" s="70">
        <f>H266/'Terms and Turnovers'!$T53</f>
        <v>0</v>
      </c>
      <c r="I981" s="728"/>
      <c r="J981" s="70">
        <f>J266/'Terms and Turnovers'!$T53</f>
        <v>0</v>
      </c>
      <c r="K981" s="728"/>
      <c r="L981" s="70">
        <f>L266/'Terms and Turnovers'!$T53</f>
        <v>0</v>
      </c>
      <c r="M981" s="728"/>
      <c r="N981" s="70">
        <f>N266/'Terms and Turnovers'!$T53</f>
        <v>0</v>
      </c>
      <c r="O981" s="728"/>
      <c r="P981" s="70">
        <f>P266/'Terms and Turnovers'!$T53</f>
        <v>0</v>
      </c>
      <c r="Q981" s="728"/>
      <c r="R981" s="132">
        <f t="shared" si="98"/>
        <v>0</v>
      </c>
      <c r="S981" s="728"/>
      <c r="T981" s="70">
        <f>T266/'Terms and Turnovers'!$Y53</f>
        <v>0</v>
      </c>
      <c r="U981" s="728"/>
      <c r="V981" s="70">
        <f>V266/'Terms and Turnovers'!$Y53</f>
        <v>0</v>
      </c>
      <c r="W981" s="728"/>
      <c r="X981" s="70">
        <f>X266/'Terms and Turnovers'!$Y53</f>
        <v>0</v>
      </c>
      <c r="Y981" s="728"/>
      <c r="Z981" s="70">
        <f>Z266/'Terms and Turnovers'!$Y53</f>
        <v>0</v>
      </c>
      <c r="AA981" s="728"/>
      <c r="AB981" s="70">
        <f>AB266/'Terms and Turnovers'!$Y53</f>
        <v>0</v>
      </c>
      <c r="AC981" s="728"/>
      <c r="AD981" s="70">
        <f>AD266/'Terms and Turnovers'!$Y53</f>
        <v>0</v>
      </c>
      <c r="AE981" s="728"/>
      <c r="AF981" s="132">
        <f t="shared" si="99"/>
        <v>0</v>
      </c>
      <c r="AG981" s="728"/>
      <c r="AH981" s="133">
        <f t="shared" si="100"/>
        <v>0</v>
      </c>
      <c r="AI981" s="728"/>
      <c r="AJ981" s="65"/>
    </row>
    <row r="982" spans="2:36" ht="12.75" customHeight="1" outlineLevel="1">
      <c r="B982" s="82"/>
      <c r="C982" s="1234"/>
      <c r="D982" s="1234"/>
      <c r="E982" s="84" t="str">
        <f>'Terms and Turnovers'!$AD$12</f>
        <v>ACCESSORIES</v>
      </c>
      <c r="F982" s="70">
        <f>F267/'Terms and Turnovers'!$AD53</f>
        <v>0</v>
      </c>
      <c r="G982" s="728"/>
      <c r="H982" s="70">
        <f>H267/'Terms and Turnovers'!$AD53</f>
        <v>0</v>
      </c>
      <c r="I982" s="728"/>
      <c r="J982" s="70">
        <f>J267/'Terms and Turnovers'!$AD53</f>
        <v>0</v>
      </c>
      <c r="K982" s="728"/>
      <c r="L982" s="70">
        <f>L267/'Terms and Turnovers'!$AD53</f>
        <v>0</v>
      </c>
      <c r="M982" s="728"/>
      <c r="N982" s="70">
        <f>N267/'Terms and Turnovers'!$AD53</f>
        <v>0</v>
      </c>
      <c r="O982" s="728"/>
      <c r="P982" s="70">
        <f>P267/'Terms and Turnovers'!$AD53</f>
        <v>0</v>
      </c>
      <c r="Q982" s="728"/>
      <c r="R982" s="132">
        <f t="shared" si="98"/>
        <v>0</v>
      </c>
      <c r="S982" s="728"/>
      <c r="T982" s="70">
        <f>T267/'Terms and Turnovers'!$AI53</f>
        <v>0</v>
      </c>
      <c r="U982" s="728"/>
      <c r="V982" s="70">
        <f>V267/'Terms and Turnovers'!$AI53</f>
        <v>0</v>
      </c>
      <c r="W982" s="728"/>
      <c r="X982" s="70">
        <f>X267/'Terms and Turnovers'!$AI53</f>
        <v>0</v>
      </c>
      <c r="Y982" s="728"/>
      <c r="Z982" s="70">
        <f>Z267/'Terms and Turnovers'!$AI53</f>
        <v>0</v>
      </c>
      <c r="AA982" s="728"/>
      <c r="AB982" s="70">
        <f>AB267/'Terms and Turnovers'!$AI53</f>
        <v>0</v>
      </c>
      <c r="AC982" s="728"/>
      <c r="AD982" s="70">
        <f>AD267/'Terms and Turnovers'!$AI53</f>
        <v>0</v>
      </c>
      <c r="AE982" s="728"/>
      <c r="AF982" s="132">
        <f t="shared" si="99"/>
        <v>0</v>
      </c>
      <c r="AG982" s="728"/>
      <c r="AH982" s="133">
        <f t="shared" si="100"/>
        <v>0</v>
      </c>
      <c r="AI982" s="728"/>
      <c r="AJ982" s="65"/>
    </row>
    <row r="983" spans="2:36" ht="12.75" customHeight="1" outlineLevel="1">
      <c r="B983" s="82"/>
      <c r="C983" s="1234"/>
      <c r="D983" s="1234"/>
      <c r="E983" s="84">
        <f>'Terms and Turnovers'!$AN$12</f>
        <v>0</v>
      </c>
      <c r="F983" s="70">
        <f>F268/'Terms and Turnovers'!$AN53</f>
        <v>0</v>
      </c>
      <c r="G983" s="728"/>
      <c r="H983" s="70">
        <f>H268/'Terms and Turnovers'!$AN53</f>
        <v>0</v>
      </c>
      <c r="I983" s="728"/>
      <c r="J983" s="70">
        <f>J268/'Terms and Turnovers'!$AN53</f>
        <v>0</v>
      </c>
      <c r="K983" s="728"/>
      <c r="L983" s="70">
        <f>L268/'Terms and Turnovers'!$AN53</f>
        <v>0</v>
      </c>
      <c r="M983" s="728"/>
      <c r="N983" s="70">
        <f>N268/'Terms and Turnovers'!$AN53</f>
        <v>0</v>
      </c>
      <c r="O983" s="728"/>
      <c r="P983" s="70">
        <f>P268/'Terms and Turnovers'!$AN53</f>
        <v>0</v>
      </c>
      <c r="Q983" s="728"/>
      <c r="R983" s="132">
        <f t="shared" si="98"/>
        <v>0</v>
      </c>
      <c r="S983" s="728"/>
      <c r="T983" s="70">
        <f>T268/'Terms and Turnovers'!$AS53</f>
        <v>0</v>
      </c>
      <c r="U983" s="728"/>
      <c r="V983" s="70">
        <f>V268/'Terms and Turnovers'!$AS53</f>
        <v>0</v>
      </c>
      <c r="W983" s="728"/>
      <c r="X983" s="70">
        <f>X268/'Terms and Turnovers'!$AS53</f>
        <v>0</v>
      </c>
      <c r="Y983" s="728"/>
      <c r="Z983" s="70">
        <f>Z268/'Terms and Turnovers'!$AS53</f>
        <v>0</v>
      </c>
      <c r="AA983" s="728"/>
      <c r="AB983" s="70">
        <f>AB268/'Terms and Turnovers'!$AS53</f>
        <v>0</v>
      </c>
      <c r="AC983" s="728"/>
      <c r="AD983" s="70">
        <f>AD268/'Terms and Turnovers'!$AS53</f>
        <v>0</v>
      </c>
      <c r="AE983" s="728"/>
      <c r="AF983" s="132">
        <f t="shared" si="99"/>
        <v>0</v>
      </c>
      <c r="AG983" s="728"/>
      <c r="AH983" s="133">
        <f t="shared" si="100"/>
        <v>0</v>
      </c>
      <c r="AI983" s="728"/>
      <c r="AJ983" s="65"/>
    </row>
    <row r="984" spans="2:36" ht="13.5" customHeight="1" outlineLevel="1" thickBot="1">
      <c r="B984" s="82"/>
      <c r="C984" s="1235"/>
      <c r="D984" s="1235"/>
      <c r="E984" s="85">
        <f>'Terms and Turnovers'!$AX$12</f>
        <v>0</v>
      </c>
      <c r="F984" s="70">
        <f>F269/'Terms and Turnovers'!$AX53</f>
        <v>0</v>
      </c>
      <c r="G984" s="107"/>
      <c r="H984" s="70">
        <f>H269/'Terms and Turnovers'!$AX53</f>
        <v>0</v>
      </c>
      <c r="I984" s="107"/>
      <c r="J984" s="70">
        <f>J269/'Terms and Turnovers'!$AX53</f>
        <v>0</v>
      </c>
      <c r="K984" s="107"/>
      <c r="L984" s="70">
        <f>L269/'Terms and Turnovers'!$AX53</f>
        <v>0</v>
      </c>
      <c r="M984" s="107"/>
      <c r="N984" s="70">
        <f>N269/'Terms and Turnovers'!$AX53</f>
        <v>0</v>
      </c>
      <c r="O984" s="107"/>
      <c r="P984" s="70">
        <f>P269/'Terms and Turnovers'!$AX53</f>
        <v>0</v>
      </c>
      <c r="Q984" s="107"/>
      <c r="R984" s="135">
        <f t="shared" si="98"/>
        <v>0</v>
      </c>
      <c r="S984" s="107"/>
      <c r="T984" s="70">
        <f>T269/'Terms and Turnovers'!$AX$53</f>
        <v>0</v>
      </c>
      <c r="U984" s="107"/>
      <c r="V984" s="70">
        <f>V269/'Terms and Turnovers'!$AX$53</f>
        <v>0</v>
      </c>
      <c r="W984" s="107"/>
      <c r="X984" s="70">
        <f>X269/'Terms and Turnovers'!$AX$53</f>
        <v>0</v>
      </c>
      <c r="Y984" s="107"/>
      <c r="Z984" s="70">
        <f>Z269/'Terms and Turnovers'!$AX$53</f>
        <v>0</v>
      </c>
      <c r="AA984" s="107"/>
      <c r="AB984" s="70">
        <f>AB269/'Terms and Turnovers'!$AX$53</f>
        <v>0</v>
      </c>
      <c r="AC984" s="107"/>
      <c r="AD984" s="70">
        <f>AD269/'Terms and Turnovers'!$AX$53</f>
        <v>0</v>
      </c>
      <c r="AE984" s="107"/>
      <c r="AF984" s="135">
        <f t="shared" si="99"/>
        <v>0</v>
      </c>
      <c r="AG984" s="107"/>
      <c r="AH984" s="136">
        <f t="shared" si="100"/>
        <v>0</v>
      </c>
      <c r="AI984" s="107"/>
      <c r="AJ984" s="65"/>
    </row>
    <row r="985" spans="2:36" ht="13.5" customHeight="1" outlineLevel="1">
      <c r="B985" s="82"/>
      <c r="C985" s="425"/>
      <c r="D985" s="425"/>
      <c r="E985" s="634"/>
      <c r="F985" s="635"/>
      <c r="G985" s="428"/>
      <c r="H985" s="635"/>
      <c r="I985" s="428"/>
      <c r="J985" s="635"/>
      <c r="K985" s="636"/>
      <c r="L985" s="635"/>
      <c r="M985" s="636"/>
      <c r="N985" s="635"/>
      <c r="O985" s="636"/>
      <c r="P985" s="635"/>
      <c r="Q985" s="636"/>
      <c r="R985" s="637"/>
      <c r="S985" s="698">
        <f>SUM(R265:R269)/1.18-(SUM(R980:R984)*'Mark Up Validation'!$M$175)</f>
        <v>0</v>
      </c>
      <c r="T985" s="635"/>
      <c r="U985" s="636"/>
      <c r="V985" s="635"/>
      <c r="W985" s="636"/>
      <c r="X985" s="635"/>
      <c r="Y985" s="636"/>
      <c r="Z985" s="635"/>
      <c r="AA985" s="636"/>
      <c r="AB985" s="635"/>
      <c r="AC985" s="636"/>
      <c r="AD985" s="635"/>
      <c r="AE985" s="636"/>
      <c r="AF985" s="637"/>
      <c r="AG985" s="698">
        <f>SUM(AF265:AF269)/1.18-SUM(AF980:AF984)*'Mark Up Validation'!$M$175</f>
        <v>0</v>
      </c>
      <c r="AH985" s="638"/>
      <c r="AI985" s="698">
        <f>SUM(AH265:AH269)/1.18-SUM(AH980:AH984)*'Mark Up Validation'!$M$175</f>
        <v>0</v>
      </c>
      <c r="AJ985" s="65"/>
    </row>
    <row r="986" spans="2:36" ht="13.5" customHeight="1" outlineLevel="1" thickBot="1">
      <c r="B986" s="82"/>
      <c r="C986" s="1228" t="s">
        <v>487</v>
      </c>
      <c r="D986" s="1229"/>
      <c r="E986" s="699"/>
      <c r="F986" s="700"/>
      <c r="G986" s="701"/>
      <c r="H986" s="700"/>
      <c r="I986" s="701"/>
      <c r="J986" s="700"/>
      <c r="K986" s="702"/>
      <c r="L986" s="700"/>
      <c r="M986" s="702"/>
      <c r="N986" s="700"/>
      <c r="O986" s="702"/>
      <c r="P986" s="700"/>
      <c r="Q986" s="702"/>
      <c r="R986" s="703"/>
      <c r="S986" s="729">
        <f>IF(S985&gt;0,S985/(SUM(R265:R269)/1.18),0)</f>
        <v>0</v>
      </c>
      <c r="T986" s="704"/>
      <c r="U986" s="702"/>
      <c r="V986" s="700"/>
      <c r="W986" s="702"/>
      <c r="X986" s="700"/>
      <c r="Y986" s="702"/>
      <c r="Z986" s="700"/>
      <c r="AA986" s="702"/>
      <c r="AB986" s="700"/>
      <c r="AC986" s="702"/>
      <c r="AD986" s="700"/>
      <c r="AE986" s="702"/>
      <c r="AF986" s="705"/>
      <c r="AG986" s="729">
        <f>IF(AG985&gt;0,AG985/(SUM(AF265:AF269)/1.18),0)</f>
        <v>0</v>
      </c>
      <c r="AH986" s="706"/>
      <c r="AI986" s="729">
        <f>IF(AI985&gt;0,AI985/(SUM(AH265:AH269)/1.18),0)</f>
        <v>0</v>
      </c>
      <c r="AJ986" s="65"/>
    </row>
    <row r="987" spans="2:36" ht="12.75" customHeight="1" outlineLevel="1">
      <c r="B987" s="82">
        <f>B980+1</f>
        <v>39</v>
      </c>
      <c r="C987" s="1233">
        <f>C272</f>
        <v>0</v>
      </c>
      <c r="D987" s="1233">
        <f>D272</f>
        <v>0</v>
      </c>
      <c r="E987" s="83" t="str">
        <f>'Terms and Turnovers'!$J$12</f>
        <v>FLIP-FLOPS</v>
      </c>
      <c r="F987" s="68">
        <f>F272/'Terms and Turnovers'!$J54</f>
        <v>0</v>
      </c>
      <c r="G987" s="106"/>
      <c r="H987" s="68">
        <f>H272/'Terms and Turnovers'!$J54</f>
        <v>0</v>
      </c>
      <c r="I987" s="106"/>
      <c r="J987" s="68">
        <f>J272/'Terms and Turnovers'!$J54</f>
        <v>0</v>
      </c>
      <c r="K987" s="106"/>
      <c r="L987" s="68">
        <f>L272/'Terms and Turnovers'!$J54</f>
        <v>0</v>
      </c>
      <c r="M987" s="106"/>
      <c r="N987" s="68">
        <f>N272/'Terms and Turnovers'!$J54</f>
        <v>0</v>
      </c>
      <c r="O987" s="106"/>
      <c r="P987" s="68">
        <f>P272/'Terms and Turnovers'!$J54</f>
        <v>0</v>
      </c>
      <c r="Q987" s="106"/>
      <c r="R987" s="129">
        <f t="shared" si="98"/>
        <v>0</v>
      </c>
      <c r="S987" s="106"/>
      <c r="T987" s="68">
        <f>T272/'Terms and Turnovers'!$O54</f>
        <v>0</v>
      </c>
      <c r="U987" s="106"/>
      <c r="V987" s="68">
        <f>V272/'Terms and Turnovers'!$O54</f>
        <v>0</v>
      </c>
      <c r="W987" s="106"/>
      <c r="X987" s="68">
        <f>X272/'Terms and Turnovers'!$O54</f>
        <v>0</v>
      </c>
      <c r="Y987" s="106"/>
      <c r="Z987" s="68">
        <f>Z272/'Terms and Turnovers'!$O54</f>
        <v>0</v>
      </c>
      <c r="AA987" s="106"/>
      <c r="AB987" s="68">
        <f>AB272/'Terms and Turnovers'!$O54</f>
        <v>0</v>
      </c>
      <c r="AC987" s="106"/>
      <c r="AD987" s="68">
        <f>AD272/'Terms and Turnovers'!$O54</f>
        <v>0</v>
      </c>
      <c r="AE987" s="106"/>
      <c r="AF987" s="129">
        <f t="shared" si="99"/>
        <v>0</v>
      </c>
      <c r="AG987" s="106"/>
      <c r="AH987" s="130">
        <f t="shared" si="100"/>
        <v>0</v>
      </c>
      <c r="AI987" s="106"/>
      <c r="AJ987" s="65"/>
    </row>
    <row r="988" spans="2:36" ht="12.75" customHeight="1" outlineLevel="1">
      <c r="B988" s="82"/>
      <c r="C988" s="1234"/>
      <c r="D988" s="1234"/>
      <c r="E988" s="84" t="str">
        <f>'Terms and Turnovers'!$T$12</f>
        <v>ORIGINALS</v>
      </c>
      <c r="F988" s="70">
        <f>F273/'Terms and Turnovers'!$T54</f>
        <v>0</v>
      </c>
      <c r="G988" s="728"/>
      <c r="H988" s="70">
        <f>H273/'Terms and Turnovers'!$T54</f>
        <v>0</v>
      </c>
      <c r="I988" s="728"/>
      <c r="J988" s="70">
        <f>J273/'Terms and Turnovers'!$T54</f>
        <v>0</v>
      </c>
      <c r="K988" s="728"/>
      <c r="L988" s="70">
        <f>L273/'Terms and Turnovers'!$T54</f>
        <v>0</v>
      </c>
      <c r="M988" s="728"/>
      <c r="N988" s="70">
        <f>N273/'Terms and Turnovers'!$T54</f>
        <v>0</v>
      </c>
      <c r="O988" s="728"/>
      <c r="P988" s="70">
        <f>P273/'Terms and Turnovers'!$T54</f>
        <v>0</v>
      </c>
      <c r="Q988" s="728"/>
      <c r="R988" s="132">
        <f t="shared" si="98"/>
        <v>0</v>
      </c>
      <c r="S988" s="728"/>
      <c r="T988" s="70">
        <f>T273/'Terms and Turnovers'!$Y54</f>
        <v>0</v>
      </c>
      <c r="U988" s="728"/>
      <c r="V988" s="70">
        <f>V273/'Terms and Turnovers'!$Y54</f>
        <v>0</v>
      </c>
      <c r="W988" s="728"/>
      <c r="X988" s="70">
        <f>X273/'Terms and Turnovers'!$Y54</f>
        <v>0</v>
      </c>
      <c r="Y988" s="728"/>
      <c r="Z988" s="70">
        <f>Z273/'Terms and Turnovers'!$Y54</f>
        <v>0</v>
      </c>
      <c r="AA988" s="728"/>
      <c r="AB988" s="70">
        <f>AB273/'Terms and Turnovers'!$Y54</f>
        <v>0</v>
      </c>
      <c r="AC988" s="728"/>
      <c r="AD988" s="70">
        <f>AD273/'Terms and Turnovers'!$Y54</f>
        <v>0</v>
      </c>
      <c r="AE988" s="728"/>
      <c r="AF988" s="132">
        <f t="shared" si="99"/>
        <v>0</v>
      </c>
      <c r="AG988" s="728"/>
      <c r="AH988" s="133">
        <f t="shared" si="100"/>
        <v>0</v>
      </c>
      <c r="AI988" s="728"/>
      <c r="AJ988" s="65"/>
    </row>
    <row r="989" spans="2:36" ht="12.75" customHeight="1" outlineLevel="1">
      <c r="B989" s="82"/>
      <c r="C989" s="1234"/>
      <c r="D989" s="1234"/>
      <c r="E989" s="84" t="str">
        <f>'Terms and Turnovers'!$AD$12</f>
        <v>ACCESSORIES</v>
      </c>
      <c r="F989" s="70">
        <f>F274/'Terms and Turnovers'!$AD54</f>
        <v>0</v>
      </c>
      <c r="G989" s="728"/>
      <c r="H989" s="70">
        <f>H274/'Terms and Turnovers'!$AD54</f>
        <v>0</v>
      </c>
      <c r="I989" s="728"/>
      <c r="J989" s="70">
        <f>J274/'Terms and Turnovers'!$AD54</f>
        <v>0</v>
      </c>
      <c r="K989" s="728"/>
      <c r="L989" s="70">
        <f>L274/'Terms and Turnovers'!$AD54</f>
        <v>0</v>
      </c>
      <c r="M989" s="728"/>
      <c r="N989" s="70">
        <f>N274/'Terms and Turnovers'!$AD54</f>
        <v>0</v>
      </c>
      <c r="O989" s="728"/>
      <c r="P989" s="70">
        <f>P274/'Terms and Turnovers'!$AD54</f>
        <v>0</v>
      </c>
      <c r="Q989" s="728"/>
      <c r="R989" s="132">
        <f t="shared" ref="R989:R1078" si="101">SUM(F989,H989,J989,L989,N989,P989)</f>
        <v>0</v>
      </c>
      <c r="S989" s="728"/>
      <c r="T989" s="70">
        <f>T274/'Terms and Turnovers'!$AI54</f>
        <v>0</v>
      </c>
      <c r="U989" s="728"/>
      <c r="V989" s="70">
        <f>V274/'Terms and Turnovers'!$AI54</f>
        <v>0</v>
      </c>
      <c r="W989" s="728"/>
      <c r="X989" s="70">
        <f>X274/'Terms and Turnovers'!$AI54</f>
        <v>0</v>
      </c>
      <c r="Y989" s="728"/>
      <c r="Z989" s="70">
        <f>Z274/'Terms and Turnovers'!$AI54</f>
        <v>0</v>
      </c>
      <c r="AA989" s="728"/>
      <c r="AB989" s="70">
        <f>AB274/'Terms and Turnovers'!$AI54</f>
        <v>0</v>
      </c>
      <c r="AC989" s="728"/>
      <c r="AD989" s="70">
        <f>AD274/'Terms and Turnovers'!$AI54</f>
        <v>0</v>
      </c>
      <c r="AE989" s="728"/>
      <c r="AF989" s="132">
        <f t="shared" ref="AF989:AF1078" si="102">SUM(T989,V989,X989,Z989,AB989,AD989)</f>
        <v>0</v>
      </c>
      <c r="AG989" s="728"/>
      <c r="AH989" s="133">
        <f t="shared" si="100"/>
        <v>0</v>
      </c>
      <c r="AI989" s="728"/>
      <c r="AJ989" s="65"/>
    </row>
    <row r="990" spans="2:36" ht="12.75" customHeight="1" outlineLevel="1">
      <c r="B990" s="82"/>
      <c r="C990" s="1234"/>
      <c r="D990" s="1234"/>
      <c r="E990" s="84">
        <f>'Terms and Turnovers'!$AN$12</f>
        <v>0</v>
      </c>
      <c r="F990" s="70">
        <f>F275/'Terms and Turnovers'!$AN54</f>
        <v>0</v>
      </c>
      <c r="G990" s="728"/>
      <c r="H990" s="70">
        <f>H275/'Terms and Turnovers'!$AN54</f>
        <v>0</v>
      </c>
      <c r="I990" s="728"/>
      <c r="J990" s="70">
        <f>J275/'Terms and Turnovers'!$AN54</f>
        <v>0</v>
      </c>
      <c r="K990" s="728"/>
      <c r="L990" s="70">
        <f>L275/'Terms and Turnovers'!$AN54</f>
        <v>0</v>
      </c>
      <c r="M990" s="728"/>
      <c r="N990" s="70">
        <f>N275/'Terms and Turnovers'!$AN54</f>
        <v>0</v>
      </c>
      <c r="O990" s="728"/>
      <c r="P990" s="70">
        <f>P275/'Terms and Turnovers'!$AN54</f>
        <v>0</v>
      </c>
      <c r="Q990" s="728"/>
      <c r="R990" s="132">
        <f t="shared" si="101"/>
        <v>0</v>
      </c>
      <c r="S990" s="728"/>
      <c r="T990" s="70">
        <f>T275/'Terms and Turnovers'!$AS54</f>
        <v>0</v>
      </c>
      <c r="U990" s="728"/>
      <c r="V990" s="70">
        <f>V275/'Terms and Turnovers'!$AS54</f>
        <v>0</v>
      </c>
      <c r="W990" s="728"/>
      <c r="X990" s="70">
        <f>X275/'Terms and Turnovers'!$AS54</f>
        <v>0</v>
      </c>
      <c r="Y990" s="728"/>
      <c r="Z990" s="70">
        <f>Z275/'Terms and Turnovers'!$AS54</f>
        <v>0</v>
      </c>
      <c r="AA990" s="728"/>
      <c r="AB990" s="70">
        <f>AB275/'Terms and Turnovers'!$AS54</f>
        <v>0</v>
      </c>
      <c r="AC990" s="728"/>
      <c r="AD990" s="70">
        <f>AD275/'Terms and Turnovers'!$AS54</f>
        <v>0</v>
      </c>
      <c r="AE990" s="728"/>
      <c r="AF990" s="132">
        <f t="shared" si="102"/>
        <v>0</v>
      </c>
      <c r="AG990" s="728"/>
      <c r="AH990" s="133">
        <f t="shared" ref="AH990:AH1079" si="103">SUM(AF990,R990)</f>
        <v>0</v>
      </c>
      <c r="AI990" s="728"/>
      <c r="AJ990" s="65"/>
    </row>
    <row r="991" spans="2:36" ht="13.5" customHeight="1" outlineLevel="1" thickBot="1">
      <c r="B991" s="82"/>
      <c r="C991" s="1235"/>
      <c r="D991" s="1235"/>
      <c r="E991" s="85">
        <f>'Terms and Turnovers'!$AX$12</f>
        <v>0</v>
      </c>
      <c r="F991" s="70">
        <f>F276/'Terms and Turnovers'!$AX54</f>
        <v>0</v>
      </c>
      <c r="G991" s="107"/>
      <c r="H991" s="70">
        <f>H276/'Terms and Turnovers'!$AX54</f>
        <v>0</v>
      </c>
      <c r="I991" s="107"/>
      <c r="J991" s="70">
        <f>J276/'Terms and Turnovers'!$AX54</f>
        <v>0</v>
      </c>
      <c r="K991" s="107"/>
      <c r="L991" s="70">
        <f>L276/'Terms and Turnovers'!$AX54</f>
        <v>0</v>
      </c>
      <c r="M991" s="107"/>
      <c r="N991" s="70">
        <f>N276/'Terms and Turnovers'!$AX54</f>
        <v>0</v>
      </c>
      <c r="O991" s="107"/>
      <c r="P991" s="70">
        <f>P276/'Terms and Turnovers'!$AX54</f>
        <v>0</v>
      </c>
      <c r="Q991" s="107"/>
      <c r="R991" s="135">
        <f t="shared" si="101"/>
        <v>0</v>
      </c>
      <c r="S991" s="107"/>
      <c r="T991" s="70">
        <f>T276/'Terms and Turnovers'!$AX$54</f>
        <v>0</v>
      </c>
      <c r="U991" s="107"/>
      <c r="V991" s="70">
        <f>V276/'Terms and Turnovers'!$AX$54</f>
        <v>0</v>
      </c>
      <c r="W991" s="107"/>
      <c r="X991" s="70">
        <f>X276/'Terms and Turnovers'!$AX$54</f>
        <v>0</v>
      </c>
      <c r="Y991" s="107"/>
      <c r="Z991" s="70">
        <f>Z276/'Terms and Turnovers'!$AX$54</f>
        <v>0</v>
      </c>
      <c r="AA991" s="107"/>
      <c r="AB991" s="70">
        <f>AB276/'Terms and Turnovers'!$AX$54</f>
        <v>0</v>
      </c>
      <c r="AC991" s="107"/>
      <c r="AD991" s="70">
        <f>AD276/'Terms and Turnovers'!$AX$54</f>
        <v>0</v>
      </c>
      <c r="AE991" s="107"/>
      <c r="AF991" s="135">
        <f t="shared" si="102"/>
        <v>0</v>
      </c>
      <c r="AG991" s="107"/>
      <c r="AH991" s="136">
        <f t="shared" si="103"/>
        <v>0</v>
      </c>
      <c r="AI991" s="107"/>
      <c r="AJ991" s="65"/>
    </row>
    <row r="992" spans="2:36" ht="13.5" customHeight="1" outlineLevel="1">
      <c r="B992" s="82"/>
      <c r="C992" s="425"/>
      <c r="D992" s="425"/>
      <c r="E992" s="634"/>
      <c r="F992" s="635"/>
      <c r="G992" s="428"/>
      <c r="H992" s="635"/>
      <c r="I992" s="428"/>
      <c r="J992" s="635"/>
      <c r="K992" s="636"/>
      <c r="L992" s="635"/>
      <c r="M992" s="636"/>
      <c r="N992" s="635"/>
      <c r="O992" s="636"/>
      <c r="P992" s="635"/>
      <c r="Q992" s="636"/>
      <c r="R992" s="637"/>
      <c r="S992" s="698">
        <f>SUM(R272:R276)/1.18-(SUM(R987:R991)*'Mark Up Validation'!$M$175)</f>
        <v>0</v>
      </c>
      <c r="T992" s="635"/>
      <c r="U992" s="636"/>
      <c r="V992" s="635"/>
      <c r="W992" s="636"/>
      <c r="X992" s="635"/>
      <c r="Y992" s="636"/>
      <c r="Z992" s="635"/>
      <c r="AA992" s="636"/>
      <c r="AB992" s="635"/>
      <c r="AC992" s="636"/>
      <c r="AD992" s="635"/>
      <c r="AE992" s="636"/>
      <c r="AF992" s="637"/>
      <c r="AG992" s="698">
        <f>SUM(AF272:AF276)/1.18-SUM(AF987:AF991)*'Mark Up Validation'!$M$175</f>
        <v>0</v>
      </c>
      <c r="AH992" s="638"/>
      <c r="AI992" s="698">
        <f>SUM(AH272:AH276)/1.18-SUM(AH987:AH991)*'Mark Up Validation'!$M$175</f>
        <v>0</v>
      </c>
      <c r="AJ992" s="65"/>
    </row>
    <row r="993" spans="2:36" ht="13.5" customHeight="1" outlineLevel="1" thickBot="1">
      <c r="B993" s="82"/>
      <c r="C993" s="1228" t="s">
        <v>487</v>
      </c>
      <c r="D993" s="1229"/>
      <c r="E993" s="699"/>
      <c r="F993" s="700"/>
      <c r="G993" s="701"/>
      <c r="H993" s="700"/>
      <c r="I993" s="701"/>
      <c r="J993" s="700"/>
      <c r="K993" s="702"/>
      <c r="L993" s="700"/>
      <c r="M993" s="702"/>
      <c r="N993" s="700"/>
      <c r="O993" s="702"/>
      <c r="P993" s="700"/>
      <c r="Q993" s="702"/>
      <c r="R993" s="703"/>
      <c r="S993" s="729">
        <f>IF(S992&gt;0,S992/(SUM(R272:R276)/1.18),0)</f>
        <v>0</v>
      </c>
      <c r="T993" s="704"/>
      <c r="U993" s="702"/>
      <c r="V993" s="700"/>
      <c r="W993" s="702"/>
      <c r="X993" s="700"/>
      <c r="Y993" s="702"/>
      <c r="Z993" s="700"/>
      <c r="AA993" s="702"/>
      <c r="AB993" s="700"/>
      <c r="AC993" s="702"/>
      <c r="AD993" s="700"/>
      <c r="AE993" s="702"/>
      <c r="AF993" s="705"/>
      <c r="AG993" s="729">
        <f>IF(AG992&gt;0,AG992/(SUM(AF272:AF276)/1.18),0)</f>
        <v>0</v>
      </c>
      <c r="AH993" s="706"/>
      <c r="AI993" s="729">
        <f>IF(AI992&gt;0,AI992/(SUM(AH272:AH276)/1.18),0)</f>
        <v>0</v>
      </c>
      <c r="AJ993" s="65"/>
    </row>
    <row r="994" spans="2:36" ht="12.75" customHeight="1" outlineLevel="1">
      <c r="B994" s="82">
        <f>B987+1</f>
        <v>40</v>
      </c>
      <c r="C994" s="1233">
        <f>C279</f>
        <v>0</v>
      </c>
      <c r="D994" s="1233">
        <f>D279</f>
        <v>0</v>
      </c>
      <c r="E994" s="83" t="str">
        <f>'Terms and Turnovers'!$J$12</f>
        <v>FLIP-FLOPS</v>
      </c>
      <c r="F994" s="68">
        <f>F279/'Terms and Turnovers'!$J55</f>
        <v>0</v>
      </c>
      <c r="G994" s="106"/>
      <c r="H994" s="68">
        <f>H279/'Terms and Turnovers'!$J55</f>
        <v>0</v>
      </c>
      <c r="I994" s="106"/>
      <c r="J994" s="68">
        <f>J279/'Terms and Turnovers'!$J55</f>
        <v>0</v>
      </c>
      <c r="K994" s="106"/>
      <c r="L994" s="68">
        <f>L279/'Terms and Turnovers'!$J55</f>
        <v>0</v>
      </c>
      <c r="M994" s="106"/>
      <c r="N994" s="68">
        <f>N279/'Terms and Turnovers'!$J55</f>
        <v>0</v>
      </c>
      <c r="O994" s="106"/>
      <c r="P994" s="68">
        <f>P279/'Terms and Turnovers'!$J55</f>
        <v>0</v>
      </c>
      <c r="Q994" s="106"/>
      <c r="R994" s="129">
        <f t="shared" si="101"/>
        <v>0</v>
      </c>
      <c r="S994" s="106"/>
      <c r="T994" s="68">
        <f>T279/'Terms and Turnovers'!$O55</f>
        <v>0</v>
      </c>
      <c r="U994" s="106"/>
      <c r="V994" s="68">
        <f>V279/'Terms and Turnovers'!$O55</f>
        <v>0</v>
      </c>
      <c r="W994" s="106"/>
      <c r="X994" s="68">
        <f>X279/'Terms and Turnovers'!$O55</f>
        <v>0</v>
      </c>
      <c r="Y994" s="106"/>
      <c r="Z994" s="68">
        <f>Z279/'Terms and Turnovers'!$O55</f>
        <v>0</v>
      </c>
      <c r="AA994" s="106"/>
      <c r="AB994" s="68">
        <f>AB279/'Terms and Turnovers'!$O55</f>
        <v>0</v>
      </c>
      <c r="AC994" s="106"/>
      <c r="AD994" s="68">
        <f>AD279/'Terms and Turnovers'!$O55</f>
        <v>0</v>
      </c>
      <c r="AE994" s="106"/>
      <c r="AF994" s="129">
        <f t="shared" si="102"/>
        <v>0</v>
      </c>
      <c r="AG994" s="106"/>
      <c r="AH994" s="130">
        <f t="shared" si="103"/>
        <v>0</v>
      </c>
      <c r="AI994" s="106"/>
      <c r="AJ994" s="65"/>
    </row>
    <row r="995" spans="2:36" ht="12.75" customHeight="1" outlineLevel="1">
      <c r="B995" s="82"/>
      <c r="C995" s="1234"/>
      <c r="D995" s="1234"/>
      <c r="E995" s="84" t="str">
        <f>'Terms and Turnovers'!$T$12</f>
        <v>ORIGINALS</v>
      </c>
      <c r="F995" s="70">
        <f>F280/'Terms and Turnovers'!$T55</f>
        <v>0</v>
      </c>
      <c r="G995" s="728"/>
      <c r="H995" s="70">
        <f>H280/'Terms and Turnovers'!$T55</f>
        <v>0</v>
      </c>
      <c r="I995" s="728"/>
      <c r="J995" s="70">
        <f>J280/'Terms and Turnovers'!$T55</f>
        <v>0</v>
      </c>
      <c r="K995" s="728"/>
      <c r="L995" s="70">
        <f>L280/'Terms and Turnovers'!$T55</f>
        <v>0</v>
      </c>
      <c r="M995" s="728"/>
      <c r="N995" s="70">
        <f>N280/'Terms and Turnovers'!$T55</f>
        <v>0</v>
      </c>
      <c r="O995" s="728"/>
      <c r="P995" s="70">
        <f>P280/'Terms and Turnovers'!$T55</f>
        <v>0</v>
      </c>
      <c r="Q995" s="728"/>
      <c r="R995" s="132">
        <f t="shared" si="101"/>
        <v>0</v>
      </c>
      <c r="S995" s="728"/>
      <c r="T995" s="70">
        <f>T280/'Terms and Turnovers'!$Y55</f>
        <v>0</v>
      </c>
      <c r="U995" s="728"/>
      <c r="V995" s="70">
        <f>V280/'Terms and Turnovers'!$Y55</f>
        <v>0</v>
      </c>
      <c r="W995" s="728"/>
      <c r="X995" s="70">
        <f>X280/'Terms and Turnovers'!$Y55</f>
        <v>0</v>
      </c>
      <c r="Y995" s="728"/>
      <c r="Z995" s="70">
        <f>Z280/'Terms and Turnovers'!$Y55</f>
        <v>0</v>
      </c>
      <c r="AA995" s="728"/>
      <c r="AB995" s="70">
        <f>AB280/'Terms and Turnovers'!$Y55</f>
        <v>0</v>
      </c>
      <c r="AC995" s="728"/>
      <c r="AD995" s="70">
        <f>AD280/'Terms and Turnovers'!$Y55</f>
        <v>0</v>
      </c>
      <c r="AE995" s="728"/>
      <c r="AF995" s="132">
        <f t="shared" si="102"/>
        <v>0</v>
      </c>
      <c r="AG995" s="728"/>
      <c r="AH995" s="133">
        <f t="shared" si="103"/>
        <v>0</v>
      </c>
      <c r="AI995" s="728"/>
      <c r="AJ995" s="65"/>
    </row>
    <row r="996" spans="2:36" ht="12.75" customHeight="1" outlineLevel="1">
      <c r="B996" s="82"/>
      <c r="C996" s="1234"/>
      <c r="D996" s="1234"/>
      <c r="E996" s="84" t="str">
        <f>'Terms and Turnovers'!$AD$12</f>
        <v>ACCESSORIES</v>
      </c>
      <c r="F996" s="70">
        <f>F281/'Terms and Turnovers'!$AD55</f>
        <v>0</v>
      </c>
      <c r="G996" s="728"/>
      <c r="H996" s="70">
        <f>H281/'Terms and Turnovers'!$AD55</f>
        <v>0</v>
      </c>
      <c r="I996" s="728"/>
      <c r="J996" s="70">
        <f>J281/'Terms and Turnovers'!$AD55</f>
        <v>0</v>
      </c>
      <c r="K996" s="728"/>
      <c r="L996" s="70">
        <f>L281/'Terms and Turnovers'!$AD55</f>
        <v>0</v>
      </c>
      <c r="M996" s="728"/>
      <c r="N996" s="70">
        <f>N281/'Terms and Turnovers'!$AD55</f>
        <v>0</v>
      </c>
      <c r="O996" s="728"/>
      <c r="P996" s="70">
        <f>P281/'Terms and Turnovers'!$AD55</f>
        <v>0</v>
      </c>
      <c r="Q996" s="728"/>
      <c r="R996" s="132">
        <f t="shared" si="101"/>
        <v>0</v>
      </c>
      <c r="S996" s="728"/>
      <c r="T996" s="70">
        <f>T281/'Terms and Turnovers'!$AI55</f>
        <v>0</v>
      </c>
      <c r="U996" s="728"/>
      <c r="V996" s="70">
        <f>V281/'Terms and Turnovers'!$AI55</f>
        <v>0</v>
      </c>
      <c r="W996" s="728"/>
      <c r="X996" s="70">
        <f>X281/'Terms and Turnovers'!$AI55</f>
        <v>0</v>
      </c>
      <c r="Y996" s="728"/>
      <c r="Z996" s="70">
        <f>Z281/'Terms and Turnovers'!$AI55</f>
        <v>0</v>
      </c>
      <c r="AA996" s="728"/>
      <c r="AB996" s="70">
        <f>AB281/'Terms and Turnovers'!$AI55</f>
        <v>0</v>
      </c>
      <c r="AC996" s="728"/>
      <c r="AD996" s="70">
        <f>AD281/'Terms and Turnovers'!$AI55</f>
        <v>0</v>
      </c>
      <c r="AE996" s="728"/>
      <c r="AF996" s="132">
        <f t="shared" si="102"/>
        <v>0</v>
      </c>
      <c r="AG996" s="728"/>
      <c r="AH996" s="133">
        <f t="shared" si="103"/>
        <v>0</v>
      </c>
      <c r="AI996" s="728"/>
      <c r="AJ996" s="65"/>
    </row>
    <row r="997" spans="2:36" ht="12.75" customHeight="1" outlineLevel="1">
      <c r="B997" s="82"/>
      <c r="C997" s="1234"/>
      <c r="D997" s="1234"/>
      <c r="E997" s="84">
        <f>'Terms and Turnovers'!$AN$12</f>
        <v>0</v>
      </c>
      <c r="F997" s="70">
        <f>F282/'Terms and Turnovers'!$AN55</f>
        <v>0</v>
      </c>
      <c r="G997" s="728"/>
      <c r="H997" s="70">
        <f>H282/'Terms and Turnovers'!$AN55</f>
        <v>0</v>
      </c>
      <c r="I997" s="728"/>
      <c r="J997" s="70">
        <f>J282/'Terms and Turnovers'!$AN55</f>
        <v>0</v>
      </c>
      <c r="K997" s="728"/>
      <c r="L997" s="70">
        <f>L282/'Terms and Turnovers'!$AN55</f>
        <v>0</v>
      </c>
      <c r="M997" s="728"/>
      <c r="N997" s="70">
        <f>N282/'Terms and Turnovers'!$AN55</f>
        <v>0</v>
      </c>
      <c r="O997" s="728"/>
      <c r="P997" s="70">
        <f>P282/'Terms and Turnovers'!$AN55</f>
        <v>0</v>
      </c>
      <c r="Q997" s="728"/>
      <c r="R997" s="132">
        <f t="shared" si="101"/>
        <v>0</v>
      </c>
      <c r="S997" s="728"/>
      <c r="T997" s="70">
        <f>T282/'Terms and Turnovers'!$AS55</f>
        <v>0</v>
      </c>
      <c r="U997" s="728"/>
      <c r="V997" s="70">
        <f>V282/'Terms and Turnovers'!$AS55</f>
        <v>0</v>
      </c>
      <c r="W997" s="728"/>
      <c r="X997" s="70">
        <f>X282/'Terms and Turnovers'!$AS55</f>
        <v>0</v>
      </c>
      <c r="Y997" s="728"/>
      <c r="Z997" s="70">
        <f>Z282/'Terms and Turnovers'!$AS55</f>
        <v>0</v>
      </c>
      <c r="AA997" s="728"/>
      <c r="AB997" s="70">
        <f>AB282/'Terms and Turnovers'!$AS55</f>
        <v>0</v>
      </c>
      <c r="AC997" s="728"/>
      <c r="AD997" s="70">
        <f>AD282/'Terms and Turnovers'!$AS55</f>
        <v>0</v>
      </c>
      <c r="AE997" s="728"/>
      <c r="AF997" s="132">
        <f t="shared" si="102"/>
        <v>0</v>
      </c>
      <c r="AG997" s="728"/>
      <c r="AH997" s="133">
        <f t="shared" si="103"/>
        <v>0</v>
      </c>
      <c r="AI997" s="728"/>
      <c r="AJ997" s="65"/>
    </row>
    <row r="998" spans="2:36" ht="13.5" customHeight="1" outlineLevel="1" thickBot="1">
      <c r="B998" s="82"/>
      <c r="C998" s="1235"/>
      <c r="D998" s="1235"/>
      <c r="E998" s="85">
        <f>'Terms and Turnovers'!$AX$12</f>
        <v>0</v>
      </c>
      <c r="F998" s="70">
        <f>F283/'Terms and Turnovers'!$AX55</f>
        <v>0</v>
      </c>
      <c r="G998" s="107"/>
      <c r="H998" s="70">
        <f>H283/'Terms and Turnovers'!$AX55</f>
        <v>0</v>
      </c>
      <c r="I998" s="107"/>
      <c r="J998" s="70">
        <f>J283/'Terms and Turnovers'!$AX55</f>
        <v>0</v>
      </c>
      <c r="K998" s="107"/>
      <c r="L998" s="70">
        <f>L283/'Terms and Turnovers'!$AX55</f>
        <v>0</v>
      </c>
      <c r="M998" s="107"/>
      <c r="N998" s="70">
        <f>N283/'Terms and Turnovers'!$AX55</f>
        <v>0</v>
      </c>
      <c r="O998" s="107"/>
      <c r="P998" s="70">
        <f>P283/'Terms and Turnovers'!$AX55</f>
        <v>0</v>
      </c>
      <c r="Q998" s="107"/>
      <c r="R998" s="135">
        <f t="shared" si="101"/>
        <v>0</v>
      </c>
      <c r="S998" s="107"/>
      <c r="T998" s="70">
        <f>T283/'Terms and Turnovers'!$AX$55</f>
        <v>0</v>
      </c>
      <c r="U998" s="107"/>
      <c r="V998" s="70">
        <f>V283/'Terms and Turnovers'!$AX$55</f>
        <v>0</v>
      </c>
      <c r="W998" s="107"/>
      <c r="X998" s="70">
        <f>X283/'Terms and Turnovers'!$AX$55</f>
        <v>0</v>
      </c>
      <c r="Y998" s="107"/>
      <c r="Z998" s="70">
        <f>Z283/'Terms and Turnovers'!$AX$55</f>
        <v>0</v>
      </c>
      <c r="AA998" s="107"/>
      <c r="AB998" s="70">
        <f>AB283/'Terms and Turnovers'!$AX$55</f>
        <v>0</v>
      </c>
      <c r="AC998" s="107"/>
      <c r="AD998" s="70">
        <f>AD283/'Terms and Turnovers'!$AX$55</f>
        <v>0</v>
      </c>
      <c r="AE998" s="107"/>
      <c r="AF998" s="135">
        <f t="shared" si="102"/>
        <v>0</v>
      </c>
      <c r="AG998" s="107"/>
      <c r="AH998" s="136">
        <f t="shared" si="103"/>
        <v>0</v>
      </c>
      <c r="AI998" s="107"/>
      <c r="AJ998" s="65"/>
    </row>
    <row r="999" spans="2:36" ht="13.5" customHeight="1" outlineLevel="1">
      <c r="B999" s="82"/>
      <c r="C999" s="425"/>
      <c r="D999" s="425"/>
      <c r="E999" s="634"/>
      <c r="F999" s="635"/>
      <c r="G999" s="428"/>
      <c r="H999" s="635"/>
      <c r="I999" s="428"/>
      <c r="J999" s="635"/>
      <c r="K999" s="636"/>
      <c r="L999" s="635"/>
      <c r="M999" s="636"/>
      <c r="N999" s="635"/>
      <c r="O999" s="636"/>
      <c r="P999" s="635"/>
      <c r="Q999" s="636"/>
      <c r="R999" s="637"/>
      <c r="S999" s="698">
        <f>SUM(R279:R283)/1.18-(SUM(R994:R998)*'Mark Up Validation'!$M$175)</f>
        <v>0</v>
      </c>
      <c r="T999" s="635"/>
      <c r="U999" s="636"/>
      <c r="V999" s="635"/>
      <c r="W999" s="636"/>
      <c r="X999" s="635"/>
      <c r="Y999" s="636"/>
      <c r="Z999" s="635"/>
      <c r="AA999" s="636"/>
      <c r="AB999" s="635"/>
      <c r="AC999" s="636"/>
      <c r="AD999" s="635"/>
      <c r="AE999" s="636"/>
      <c r="AF999" s="637"/>
      <c r="AG999" s="698">
        <f>SUM(AF279:AF283)/1.18-SUM(AF994:AF998)*'Mark Up Validation'!$M$175</f>
        <v>0</v>
      </c>
      <c r="AH999" s="638"/>
      <c r="AI999" s="698">
        <f>SUM(AH279:AH283)/1.18-SUM(AH994:AH998)*'Mark Up Validation'!$M$175</f>
        <v>0</v>
      </c>
      <c r="AJ999" s="65"/>
    </row>
    <row r="1000" spans="2:36" ht="13.5" customHeight="1" outlineLevel="1" thickBot="1">
      <c r="B1000" s="82"/>
      <c r="C1000" s="1228" t="s">
        <v>487</v>
      </c>
      <c r="D1000" s="1229"/>
      <c r="E1000" s="699"/>
      <c r="F1000" s="700"/>
      <c r="G1000" s="701"/>
      <c r="H1000" s="700"/>
      <c r="I1000" s="701"/>
      <c r="J1000" s="700"/>
      <c r="K1000" s="702"/>
      <c r="L1000" s="700"/>
      <c r="M1000" s="702"/>
      <c r="N1000" s="700"/>
      <c r="O1000" s="702"/>
      <c r="P1000" s="700"/>
      <c r="Q1000" s="702"/>
      <c r="R1000" s="703"/>
      <c r="S1000" s="729">
        <f>IF(S999&gt;0,S999/(SUM(R279:R283)/1.18),0)</f>
        <v>0</v>
      </c>
      <c r="T1000" s="704"/>
      <c r="U1000" s="702"/>
      <c r="V1000" s="700"/>
      <c r="W1000" s="702"/>
      <c r="X1000" s="700"/>
      <c r="Y1000" s="702"/>
      <c r="Z1000" s="700"/>
      <c r="AA1000" s="702"/>
      <c r="AB1000" s="700"/>
      <c r="AC1000" s="702"/>
      <c r="AD1000" s="700"/>
      <c r="AE1000" s="702"/>
      <c r="AF1000" s="705"/>
      <c r="AG1000" s="729">
        <f>IF(AG999&gt;0,AG999/(SUM(AF279:AF283)/1.18),0)</f>
        <v>0</v>
      </c>
      <c r="AH1000" s="706"/>
      <c r="AI1000" s="729">
        <f>IF(AI999&gt;0,AI999/(SUM(AH279:AH283)/1.18),0)</f>
        <v>0</v>
      </c>
      <c r="AJ1000" s="65"/>
    </row>
    <row r="1001" spans="2:36" ht="12.75" customHeight="1" outlineLevel="1">
      <c r="B1001" s="82">
        <f>B994+1</f>
        <v>41</v>
      </c>
      <c r="C1001" s="1233">
        <f>C286</f>
        <v>0</v>
      </c>
      <c r="D1001" s="1233">
        <f>D286</f>
        <v>0</v>
      </c>
      <c r="E1001" s="83" t="str">
        <f>'Terms and Turnovers'!$J$12</f>
        <v>FLIP-FLOPS</v>
      </c>
      <c r="F1001" s="68">
        <f>F286/'Terms and Turnovers'!$J56</f>
        <v>0</v>
      </c>
      <c r="G1001" s="106"/>
      <c r="H1001" s="68">
        <f>H286/'Terms and Turnovers'!$J56</f>
        <v>0</v>
      </c>
      <c r="I1001" s="106"/>
      <c r="J1001" s="68">
        <f>J286/'Terms and Turnovers'!$J56</f>
        <v>0</v>
      </c>
      <c r="K1001" s="106"/>
      <c r="L1001" s="68">
        <f>L286/'Terms and Turnovers'!$J56</f>
        <v>0</v>
      </c>
      <c r="M1001" s="106"/>
      <c r="N1001" s="68">
        <f>N286/'Terms and Turnovers'!$J56</f>
        <v>0</v>
      </c>
      <c r="O1001" s="106"/>
      <c r="P1001" s="68">
        <f>P286/'Terms and Turnovers'!$J56</f>
        <v>0</v>
      </c>
      <c r="Q1001" s="106"/>
      <c r="R1001" s="129">
        <f t="shared" si="101"/>
        <v>0</v>
      </c>
      <c r="S1001" s="106"/>
      <c r="T1001" s="68">
        <f>T286/'Terms and Turnovers'!$O56</f>
        <v>0</v>
      </c>
      <c r="U1001" s="106"/>
      <c r="V1001" s="68">
        <f>V286/'Terms and Turnovers'!$O56</f>
        <v>0</v>
      </c>
      <c r="W1001" s="106"/>
      <c r="X1001" s="68">
        <f>X286/'Terms and Turnovers'!$O56</f>
        <v>0</v>
      </c>
      <c r="Y1001" s="106"/>
      <c r="Z1001" s="68">
        <f>Z286/'Terms and Turnovers'!$O56</f>
        <v>0</v>
      </c>
      <c r="AA1001" s="106"/>
      <c r="AB1001" s="68">
        <f>AB286/'Terms and Turnovers'!$O56</f>
        <v>0</v>
      </c>
      <c r="AC1001" s="106"/>
      <c r="AD1001" s="68">
        <f>AD286/'Terms and Turnovers'!$O56</f>
        <v>0</v>
      </c>
      <c r="AE1001" s="106"/>
      <c r="AF1001" s="129">
        <f t="shared" si="102"/>
        <v>0</v>
      </c>
      <c r="AG1001" s="106"/>
      <c r="AH1001" s="130">
        <f t="shared" si="103"/>
        <v>0</v>
      </c>
      <c r="AI1001" s="106"/>
      <c r="AJ1001" s="65"/>
    </row>
    <row r="1002" spans="2:36" ht="12.75" customHeight="1" outlineLevel="1">
      <c r="B1002" s="82"/>
      <c r="C1002" s="1234"/>
      <c r="D1002" s="1234"/>
      <c r="E1002" s="84" t="str">
        <f>'Terms and Turnovers'!$T$12</f>
        <v>ORIGINALS</v>
      </c>
      <c r="F1002" s="70">
        <f>F287/'Terms and Turnovers'!$T56</f>
        <v>0</v>
      </c>
      <c r="G1002" s="728"/>
      <c r="H1002" s="70">
        <f>H287/'Terms and Turnovers'!$T56</f>
        <v>0</v>
      </c>
      <c r="I1002" s="728"/>
      <c r="J1002" s="70">
        <f>J287/'Terms and Turnovers'!$T56</f>
        <v>0</v>
      </c>
      <c r="K1002" s="728"/>
      <c r="L1002" s="70">
        <f>L287/'Terms and Turnovers'!$T56</f>
        <v>0</v>
      </c>
      <c r="M1002" s="728"/>
      <c r="N1002" s="70">
        <f>N287/'Terms and Turnovers'!$T56</f>
        <v>0</v>
      </c>
      <c r="O1002" s="728"/>
      <c r="P1002" s="70">
        <f>P287/'Terms and Turnovers'!$T56</f>
        <v>0</v>
      </c>
      <c r="Q1002" s="728"/>
      <c r="R1002" s="132">
        <f t="shared" si="101"/>
        <v>0</v>
      </c>
      <c r="S1002" s="728"/>
      <c r="T1002" s="70">
        <f>T287/'Terms and Turnovers'!$Y56</f>
        <v>0</v>
      </c>
      <c r="U1002" s="728"/>
      <c r="V1002" s="70">
        <f>V287/'Terms and Turnovers'!$Y56</f>
        <v>0</v>
      </c>
      <c r="W1002" s="728"/>
      <c r="X1002" s="70">
        <f>X287/'Terms and Turnovers'!$Y56</f>
        <v>0</v>
      </c>
      <c r="Y1002" s="728"/>
      <c r="Z1002" s="70">
        <f>Z287/'Terms and Turnovers'!$Y56</f>
        <v>0</v>
      </c>
      <c r="AA1002" s="728"/>
      <c r="AB1002" s="70">
        <f>AB287/'Terms and Turnovers'!$Y56</f>
        <v>0</v>
      </c>
      <c r="AC1002" s="728"/>
      <c r="AD1002" s="70">
        <f>AD287/'Terms and Turnovers'!$Y56</f>
        <v>0</v>
      </c>
      <c r="AE1002" s="728"/>
      <c r="AF1002" s="132">
        <f t="shared" si="102"/>
        <v>0</v>
      </c>
      <c r="AG1002" s="728"/>
      <c r="AH1002" s="133">
        <f t="shared" si="103"/>
        <v>0</v>
      </c>
      <c r="AI1002" s="728"/>
      <c r="AJ1002" s="65"/>
    </row>
    <row r="1003" spans="2:36" ht="12.75" customHeight="1" outlineLevel="1">
      <c r="B1003" s="82"/>
      <c r="C1003" s="1234"/>
      <c r="D1003" s="1234"/>
      <c r="E1003" s="84" t="str">
        <f>'Terms and Turnovers'!$AD$12</f>
        <v>ACCESSORIES</v>
      </c>
      <c r="F1003" s="70">
        <f>F288/'Terms and Turnovers'!$AD56</f>
        <v>0</v>
      </c>
      <c r="G1003" s="728"/>
      <c r="H1003" s="70">
        <f>H288/'Terms and Turnovers'!$AD56</f>
        <v>0</v>
      </c>
      <c r="I1003" s="728"/>
      <c r="J1003" s="70">
        <f>J288/'Terms and Turnovers'!$AD56</f>
        <v>0</v>
      </c>
      <c r="K1003" s="728"/>
      <c r="L1003" s="70">
        <f>L288/'Terms and Turnovers'!$AD56</f>
        <v>0</v>
      </c>
      <c r="M1003" s="728"/>
      <c r="N1003" s="70">
        <f>N288/'Terms and Turnovers'!$AD56</f>
        <v>0</v>
      </c>
      <c r="O1003" s="728"/>
      <c r="P1003" s="70">
        <f>P288/'Terms and Turnovers'!$AD56</f>
        <v>0</v>
      </c>
      <c r="Q1003" s="728"/>
      <c r="R1003" s="132">
        <f t="shared" si="101"/>
        <v>0</v>
      </c>
      <c r="S1003" s="728"/>
      <c r="T1003" s="70">
        <f>T288/'Terms and Turnovers'!$AI56</f>
        <v>0</v>
      </c>
      <c r="U1003" s="728"/>
      <c r="V1003" s="70">
        <f>V288/'Terms and Turnovers'!$AI56</f>
        <v>0</v>
      </c>
      <c r="W1003" s="728"/>
      <c r="X1003" s="70">
        <f>X288/'Terms and Turnovers'!$AI56</f>
        <v>0</v>
      </c>
      <c r="Y1003" s="728"/>
      <c r="Z1003" s="70">
        <f>Z288/'Terms and Turnovers'!$AI56</f>
        <v>0</v>
      </c>
      <c r="AA1003" s="728"/>
      <c r="AB1003" s="70">
        <f>AB288/'Terms and Turnovers'!$AI56</f>
        <v>0</v>
      </c>
      <c r="AC1003" s="728"/>
      <c r="AD1003" s="70">
        <f>AD288/'Terms and Turnovers'!$AI56</f>
        <v>0</v>
      </c>
      <c r="AE1003" s="728"/>
      <c r="AF1003" s="132">
        <f t="shared" si="102"/>
        <v>0</v>
      </c>
      <c r="AG1003" s="728"/>
      <c r="AH1003" s="133">
        <f t="shared" si="103"/>
        <v>0</v>
      </c>
      <c r="AI1003" s="728"/>
      <c r="AJ1003" s="65"/>
    </row>
    <row r="1004" spans="2:36" ht="12.75" customHeight="1" outlineLevel="1">
      <c r="B1004" s="82"/>
      <c r="C1004" s="1234"/>
      <c r="D1004" s="1234"/>
      <c r="E1004" s="84">
        <f>'Terms and Turnovers'!$AN$12</f>
        <v>0</v>
      </c>
      <c r="F1004" s="70">
        <f>F289/'Terms and Turnovers'!$AN56</f>
        <v>0</v>
      </c>
      <c r="G1004" s="728"/>
      <c r="H1004" s="70">
        <f>H289/'Terms and Turnovers'!$AN56</f>
        <v>0</v>
      </c>
      <c r="I1004" s="728"/>
      <c r="J1004" s="70">
        <f>J289/'Terms and Turnovers'!$AN56</f>
        <v>0</v>
      </c>
      <c r="K1004" s="728"/>
      <c r="L1004" s="70">
        <f>L289/'Terms and Turnovers'!$AN56</f>
        <v>0</v>
      </c>
      <c r="M1004" s="728"/>
      <c r="N1004" s="70">
        <f>N289/'Terms and Turnovers'!$AN56</f>
        <v>0</v>
      </c>
      <c r="O1004" s="728"/>
      <c r="P1004" s="70">
        <f>P289/'Terms and Turnovers'!$AN56</f>
        <v>0</v>
      </c>
      <c r="Q1004" s="728"/>
      <c r="R1004" s="132">
        <f t="shared" si="101"/>
        <v>0</v>
      </c>
      <c r="S1004" s="728"/>
      <c r="T1004" s="70">
        <f>T289/'Terms and Turnovers'!$AS56</f>
        <v>0</v>
      </c>
      <c r="U1004" s="728"/>
      <c r="V1004" s="70">
        <f>V289/'Terms and Turnovers'!$AS56</f>
        <v>0</v>
      </c>
      <c r="W1004" s="728"/>
      <c r="X1004" s="70">
        <f>X289/'Terms and Turnovers'!$AS56</f>
        <v>0</v>
      </c>
      <c r="Y1004" s="728"/>
      <c r="Z1004" s="70">
        <f>Z289/'Terms and Turnovers'!$AS56</f>
        <v>0</v>
      </c>
      <c r="AA1004" s="728"/>
      <c r="AB1004" s="70">
        <f>AB289/'Terms and Turnovers'!$AS56</f>
        <v>0</v>
      </c>
      <c r="AC1004" s="728"/>
      <c r="AD1004" s="70">
        <f>AD289/'Terms and Turnovers'!$AS56</f>
        <v>0</v>
      </c>
      <c r="AE1004" s="728"/>
      <c r="AF1004" s="132">
        <f t="shared" si="102"/>
        <v>0</v>
      </c>
      <c r="AG1004" s="728"/>
      <c r="AH1004" s="133">
        <f t="shared" si="103"/>
        <v>0</v>
      </c>
      <c r="AI1004" s="728"/>
      <c r="AJ1004" s="65"/>
    </row>
    <row r="1005" spans="2:36" ht="13.5" customHeight="1" outlineLevel="1" thickBot="1">
      <c r="B1005" s="82"/>
      <c r="C1005" s="1235"/>
      <c r="D1005" s="1235"/>
      <c r="E1005" s="85">
        <f>'Terms and Turnovers'!$AX$12</f>
        <v>0</v>
      </c>
      <c r="F1005" s="70">
        <f>F290/'Terms and Turnovers'!$AX56</f>
        <v>0</v>
      </c>
      <c r="G1005" s="107"/>
      <c r="H1005" s="70">
        <f>H290/'Terms and Turnovers'!$AX56</f>
        <v>0</v>
      </c>
      <c r="I1005" s="107"/>
      <c r="J1005" s="70">
        <f>J290/'Terms and Turnovers'!$AX56</f>
        <v>0</v>
      </c>
      <c r="K1005" s="107"/>
      <c r="L1005" s="70">
        <f>L290/'Terms and Turnovers'!$AX56</f>
        <v>0</v>
      </c>
      <c r="M1005" s="107"/>
      <c r="N1005" s="70">
        <f>N290/'Terms and Turnovers'!$AX56</f>
        <v>0</v>
      </c>
      <c r="O1005" s="107"/>
      <c r="P1005" s="70">
        <f>P290/'Terms and Turnovers'!$AX56</f>
        <v>0</v>
      </c>
      <c r="Q1005" s="107"/>
      <c r="R1005" s="135">
        <f t="shared" si="101"/>
        <v>0</v>
      </c>
      <c r="S1005" s="107"/>
      <c r="T1005" s="70">
        <f>T290/'Terms and Turnovers'!$AX$56</f>
        <v>0</v>
      </c>
      <c r="U1005" s="107"/>
      <c r="V1005" s="70">
        <f>V290/'Terms and Turnovers'!$AX$56</f>
        <v>0</v>
      </c>
      <c r="W1005" s="107"/>
      <c r="X1005" s="70">
        <f>X290/'Terms and Turnovers'!$AX$56</f>
        <v>0</v>
      </c>
      <c r="Y1005" s="107"/>
      <c r="Z1005" s="70">
        <f>Z290/'Terms and Turnovers'!$AX$56</f>
        <v>0</v>
      </c>
      <c r="AA1005" s="107"/>
      <c r="AB1005" s="70">
        <f>AB290/'Terms and Turnovers'!$AX$56</f>
        <v>0</v>
      </c>
      <c r="AC1005" s="107"/>
      <c r="AD1005" s="70">
        <f>AD290/'Terms and Turnovers'!$AX$56</f>
        <v>0</v>
      </c>
      <c r="AE1005" s="107"/>
      <c r="AF1005" s="135">
        <f t="shared" si="102"/>
        <v>0</v>
      </c>
      <c r="AG1005" s="107"/>
      <c r="AH1005" s="136">
        <f t="shared" si="103"/>
        <v>0</v>
      </c>
      <c r="AI1005" s="107"/>
      <c r="AJ1005" s="65"/>
    </row>
    <row r="1006" spans="2:36" ht="13.5" customHeight="1" outlineLevel="1">
      <c r="B1006" s="82"/>
      <c r="C1006" s="425"/>
      <c r="D1006" s="425"/>
      <c r="E1006" s="634"/>
      <c r="F1006" s="635"/>
      <c r="G1006" s="428"/>
      <c r="H1006" s="635"/>
      <c r="I1006" s="428"/>
      <c r="J1006" s="635"/>
      <c r="K1006" s="636"/>
      <c r="L1006" s="635"/>
      <c r="M1006" s="636"/>
      <c r="N1006" s="635"/>
      <c r="O1006" s="636"/>
      <c r="P1006" s="635"/>
      <c r="Q1006" s="636"/>
      <c r="R1006" s="637"/>
      <c r="S1006" s="698">
        <f>SUM(R286:R290)/1.18-(SUM(R1001:R1005)*'Mark Up Validation'!$M$175)</f>
        <v>0</v>
      </c>
      <c r="T1006" s="635"/>
      <c r="U1006" s="636"/>
      <c r="V1006" s="635"/>
      <c r="W1006" s="636"/>
      <c r="X1006" s="635"/>
      <c r="Y1006" s="636"/>
      <c r="Z1006" s="635"/>
      <c r="AA1006" s="636"/>
      <c r="AB1006" s="635"/>
      <c r="AC1006" s="636"/>
      <c r="AD1006" s="635"/>
      <c r="AE1006" s="636"/>
      <c r="AF1006" s="637"/>
      <c r="AG1006" s="698">
        <f>SUM(AF286:AF290)/1.18-SUM(AF1001:AF1005)*'Mark Up Validation'!$M$175</f>
        <v>0</v>
      </c>
      <c r="AH1006" s="638"/>
      <c r="AI1006" s="698">
        <f>SUM(AH286:AH290)/1.18-SUM(AH1001:AH1005)*'Mark Up Validation'!$M$175</f>
        <v>0</v>
      </c>
      <c r="AJ1006" s="65"/>
    </row>
    <row r="1007" spans="2:36" ht="13.5" customHeight="1" outlineLevel="1" thickBot="1">
      <c r="B1007" s="82"/>
      <c r="C1007" s="1228" t="s">
        <v>487</v>
      </c>
      <c r="D1007" s="1229"/>
      <c r="E1007" s="699"/>
      <c r="F1007" s="700"/>
      <c r="G1007" s="701"/>
      <c r="H1007" s="700"/>
      <c r="I1007" s="701"/>
      <c r="J1007" s="700"/>
      <c r="K1007" s="702"/>
      <c r="L1007" s="700"/>
      <c r="M1007" s="702"/>
      <c r="N1007" s="700"/>
      <c r="O1007" s="702"/>
      <c r="P1007" s="700"/>
      <c r="Q1007" s="702"/>
      <c r="R1007" s="703"/>
      <c r="S1007" s="729">
        <f>IF(S1006&gt;0,S1006/(SUM(R286:R290)/1.18),0)</f>
        <v>0</v>
      </c>
      <c r="T1007" s="704"/>
      <c r="U1007" s="702"/>
      <c r="V1007" s="700"/>
      <c r="W1007" s="702"/>
      <c r="X1007" s="700"/>
      <c r="Y1007" s="702"/>
      <c r="Z1007" s="700"/>
      <c r="AA1007" s="702"/>
      <c r="AB1007" s="700"/>
      <c r="AC1007" s="702"/>
      <c r="AD1007" s="700"/>
      <c r="AE1007" s="702"/>
      <c r="AF1007" s="705"/>
      <c r="AG1007" s="729">
        <f>IF(AG1006&gt;0,AG1006/(SUM(AF286:AF290)/1.18),0)</f>
        <v>0</v>
      </c>
      <c r="AH1007" s="706"/>
      <c r="AI1007" s="729">
        <f>IF(AI1006&gt;0,AI1006/(SUM(AH286:AH290)/1.18),0)</f>
        <v>0</v>
      </c>
      <c r="AJ1007" s="65"/>
    </row>
    <row r="1008" spans="2:36" ht="12.75" customHeight="1" outlineLevel="1">
      <c r="B1008" s="82">
        <f>B1001+1</f>
        <v>42</v>
      </c>
      <c r="C1008" s="1233">
        <f>C293</f>
        <v>0</v>
      </c>
      <c r="D1008" s="1233">
        <f>D293</f>
        <v>0</v>
      </c>
      <c r="E1008" s="83" t="str">
        <f>'Terms and Turnovers'!$J$12</f>
        <v>FLIP-FLOPS</v>
      </c>
      <c r="F1008" s="68">
        <f>F293/'Terms and Turnovers'!$J57</f>
        <v>0</v>
      </c>
      <c r="G1008" s="106"/>
      <c r="H1008" s="68">
        <f>H293/'Terms and Turnovers'!$J57</f>
        <v>0</v>
      </c>
      <c r="I1008" s="106"/>
      <c r="J1008" s="68">
        <f>J293/'Terms and Turnovers'!$J57</f>
        <v>0</v>
      </c>
      <c r="K1008" s="106"/>
      <c r="L1008" s="68">
        <f>L293/'Terms and Turnovers'!$J57</f>
        <v>0</v>
      </c>
      <c r="M1008" s="106"/>
      <c r="N1008" s="68">
        <f>N293/'Terms and Turnovers'!$J57</f>
        <v>0</v>
      </c>
      <c r="O1008" s="106"/>
      <c r="P1008" s="68">
        <f>P293/'Terms and Turnovers'!$J57</f>
        <v>0</v>
      </c>
      <c r="Q1008" s="106"/>
      <c r="R1008" s="129">
        <f t="shared" si="101"/>
        <v>0</v>
      </c>
      <c r="S1008" s="106"/>
      <c r="T1008" s="68">
        <f>T293/'Terms and Turnovers'!$O57</f>
        <v>0</v>
      </c>
      <c r="U1008" s="106"/>
      <c r="V1008" s="68">
        <f>V293/'Terms and Turnovers'!$O57</f>
        <v>0</v>
      </c>
      <c r="W1008" s="106"/>
      <c r="X1008" s="68">
        <f>X293/'Terms and Turnovers'!$O57</f>
        <v>0</v>
      </c>
      <c r="Y1008" s="106"/>
      <c r="Z1008" s="68">
        <f>Z293/'Terms and Turnovers'!$O57</f>
        <v>0</v>
      </c>
      <c r="AA1008" s="106"/>
      <c r="AB1008" s="68">
        <f>AB293/'Terms and Turnovers'!$O57</f>
        <v>0</v>
      </c>
      <c r="AC1008" s="106"/>
      <c r="AD1008" s="68">
        <f>AD293/'Terms and Turnovers'!$O57</f>
        <v>0</v>
      </c>
      <c r="AE1008" s="106"/>
      <c r="AF1008" s="129">
        <f t="shared" si="102"/>
        <v>0</v>
      </c>
      <c r="AG1008" s="106"/>
      <c r="AH1008" s="130">
        <f t="shared" si="103"/>
        <v>0</v>
      </c>
      <c r="AI1008" s="106"/>
      <c r="AJ1008" s="65"/>
    </row>
    <row r="1009" spans="2:36" ht="12.75" customHeight="1" outlineLevel="1">
      <c r="B1009" s="82"/>
      <c r="C1009" s="1234"/>
      <c r="D1009" s="1234"/>
      <c r="E1009" s="84" t="str">
        <f>'Terms and Turnovers'!$T$12</f>
        <v>ORIGINALS</v>
      </c>
      <c r="F1009" s="70">
        <f>F294/'Terms and Turnovers'!$T57</f>
        <v>0</v>
      </c>
      <c r="G1009" s="728"/>
      <c r="H1009" s="70">
        <f>H294/'Terms and Turnovers'!$T57</f>
        <v>0</v>
      </c>
      <c r="I1009" s="728"/>
      <c r="J1009" s="70">
        <f>J294/'Terms and Turnovers'!$T57</f>
        <v>0</v>
      </c>
      <c r="K1009" s="728"/>
      <c r="L1009" s="70">
        <f>L294/'Terms and Turnovers'!$T57</f>
        <v>0</v>
      </c>
      <c r="M1009" s="728"/>
      <c r="N1009" s="70">
        <f>N294/'Terms and Turnovers'!$T57</f>
        <v>0</v>
      </c>
      <c r="O1009" s="728"/>
      <c r="P1009" s="70">
        <f>P294/'Terms and Turnovers'!$T57</f>
        <v>0</v>
      </c>
      <c r="Q1009" s="728"/>
      <c r="R1009" s="132">
        <f t="shared" si="101"/>
        <v>0</v>
      </c>
      <c r="S1009" s="728"/>
      <c r="T1009" s="70">
        <f>T294/'Terms and Turnovers'!$Y57</f>
        <v>0</v>
      </c>
      <c r="U1009" s="728"/>
      <c r="V1009" s="70">
        <f>V294/'Terms and Turnovers'!$Y57</f>
        <v>0</v>
      </c>
      <c r="W1009" s="728"/>
      <c r="X1009" s="70">
        <f>X294/'Terms and Turnovers'!$Y57</f>
        <v>0</v>
      </c>
      <c r="Y1009" s="728"/>
      <c r="Z1009" s="70">
        <f>Z294/'Terms and Turnovers'!$Y57</f>
        <v>0</v>
      </c>
      <c r="AA1009" s="728"/>
      <c r="AB1009" s="70">
        <f>AB294/'Terms and Turnovers'!$Y57</f>
        <v>0</v>
      </c>
      <c r="AC1009" s="728"/>
      <c r="AD1009" s="70">
        <f>AD294/'Terms and Turnovers'!$Y57</f>
        <v>0</v>
      </c>
      <c r="AE1009" s="728"/>
      <c r="AF1009" s="132">
        <f t="shared" si="102"/>
        <v>0</v>
      </c>
      <c r="AG1009" s="728"/>
      <c r="AH1009" s="133">
        <f t="shared" si="103"/>
        <v>0</v>
      </c>
      <c r="AI1009" s="728"/>
      <c r="AJ1009" s="65"/>
    </row>
    <row r="1010" spans="2:36" ht="12.75" customHeight="1" outlineLevel="1">
      <c r="B1010" s="82"/>
      <c r="C1010" s="1234"/>
      <c r="D1010" s="1234"/>
      <c r="E1010" s="84" t="str">
        <f>'Terms and Turnovers'!$AD$12</f>
        <v>ACCESSORIES</v>
      </c>
      <c r="F1010" s="70">
        <f>F295/'Terms and Turnovers'!$AD57</f>
        <v>0</v>
      </c>
      <c r="G1010" s="728"/>
      <c r="H1010" s="70">
        <f>H295/'Terms and Turnovers'!$AD57</f>
        <v>0</v>
      </c>
      <c r="I1010" s="728"/>
      <c r="J1010" s="70">
        <f>J295/'Terms and Turnovers'!$AD57</f>
        <v>0</v>
      </c>
      <c r="K1010" s="728"/>
      <c r="L1010" s="70">
        <f>L295/'Terms and Turnovers'!$AD57</f>
        <v>0</v>
      </c>
      <c r="M1010" s="728"/>
      <c r="N1010" s="70">
        <f>N295/'Terms and Turnovers'!$AD57</f>
        <v>0</v>
      </c>
      <c r="O1010" s="728"/>
      <c r="P1010" s="70">
        <f>P295/'Terms and Turnovers'!$AD57</f>
        <v>0</v>
      </c>
      <c r="Q1010" s="728"/>
      <c r="R1010" s="132">
        <f t="shared" si="101"/>
        <v>0</v>
      </c>
      <c r="S1010" s="728"/>
      <c r="T1010" s="70">
        <f>T295/'Terms and Turnovers'!$AI57</f>
        <v>0</v>
      </c>
      <c r="U1010" s="728"/>
      <c r="V1010" s="70">
        <f>V295/'Terms and Turnovers'!$AI57</f>
        <v>0</v>
      </c>
      <c r="W1010" s="728"/>
      <c r="X1010" s="70">
        <f>X295/'Terms and Turnovers'!$AI57</f>
        <v>0</v>
      </c>
      <c r="Y1010" s="728"/>
      <c r="Z1010" s="70">
        <f>Z295/'Terms and Turnovers'!$AI57</f>
        <v>0</v>
      </c>
      <c r="AA1010" s="728"/>
      <c r="AB1010" s="70">
        <f>AB295/'Terms and Turnovers'!$AI57</f>
        <v>0</v>
      </c>
      <c r="AC1010" s="728"/>
      <c r="AD1010" s="70">
        <f>AD295/'Terms and Turnovers'!$AI57</f>
        <v>0</v>
      </c>
      <c r="AE1010" s="728"/>
      <c r="AF1010" s="132">
        <f t="shared" si="102"/>
        <v>0</v>
      </c>
      <c r="AG1010" s="728"/>
      <c r="AH1010" s="133">
        <f t="shared" si="103"/>
        <v>0</v>
      </c>
      <c r="AI1010" s="728"/>
      <c r="AJ1010" s="65"/>
    </row>
    <row r="1011" spans="2:36" ht="12.75" customHeight="1" outlineLevel="1">
      <c r="B1011" s="82"/>
      <c r="C1011" s="1234"/>
      <c r="D1011" s="1234"/>
      <c r="E1011" s="84">
        <f>'Terms and Turnovers'!$AN$12</f>
        <v>0</v>
      </c>
      <c r="F1011" s="70">
        <f>F296/'Terms and Turnovers'!$AN57</f>
        <v>0</v>
      </c>
      <c r="G1011" s="728"/>
      <c r="H1011" s="70">
        <f>H296/'Terms and Turnovers'!$AN57</f>
        <v>0</v>
      </c>
      <c r="I1011" s="728"/>
      <c r="J1011" s="70">
        <f>J296/'Terms and Turnovers'!$AN57</f>
        <v>0</v>
      </c>
      <c r="K1011" s="728"/>
      <c r="L1011" s="70">
        <f>L296/'Terms and Turnovers'!$AN57</f>
        <v>0</v>
      </c>
      <c r="M1011" s="728"/>
      <c r="N1011" s="70">
        <f>N296/'Terms and Turnovers'!$AN57</f>
        <v>0</v>
      </c>
      <c r="O1011" s="728"/>
      <c r="P1011" s="70">
        <f>P296/'Terms and Turnovers'!$AN57</f>
        <v>0</v>
      </c>
      <c r="Q1011" s="728"/>
      <c r="R1011" s="132">
        <f t="shared" si="101"/>
        <v>0</v>
      </c>
      <c r="S1011" s="728"/>
      <c r="T1011" s="70">
        <f>T296/'Terms and Turnovers'!$AS57</f>
        <v>0</v>
      </c>
      <c r="U1011" s="728"/>
      <c r="V1011" s="70">
        <f>V296/'Terms and Turnovers'!$AS57</f>
        <v>0</v>
      </c>
      <c r="W1011" s="728"/>
      <c r="X1011" s="70">
        <f>X296/'Terms and Turnovers'!$AS57</f>
        <v>0</v>
      </c>
      <c r="Y1011" s="728"/>
      <c r="Z1011" s="70">
        <f>Z296/'Terms and Turnovers'!$AS57</f>
        <v>0</v>
      </c>
      <c r="AA1011" s="728"/>
      <c r="AB1011" s="70">
        <f>AB296/'Terms and Turnovers'!$AS57</f>
        <v>0</v>
      </c>
      <c r="AC1011" s="728"/>
      <c r="AD1011" s="70">
        <f>AD296/'Terms and Turnovers'!$AS57</f>
        <v>0</v>
      </c>
      <c r="AE1011" s="728"/>
      <c r="AF1011" s="132">
        <f t="shared" si="102"/>
        <v>0</v>
      </c>
      <c r="AG1011" s="728"/>
      <c r="AH1011" s="133">
        <f t="shared" si="103"/>
        <v>0</v>
      </c>
      <c r="AI1011" s="728"/>
      <c r="AJ1011" s="65"/>
    </row>
    <row r="1012" spans="2:36" ht="13.5" customHeight="1" outlineLevel="1" thickBot="1">
      <c r="B1012" s="82"/>
      <c r="C1012" s="1235"/>
      <c r="D1012" s="1235"/>
      <c r="E1012" s="85">
        <f>'Terms and Turnovers'!$AX$12</f>
        <v>0</v>
      </c>
      <c r="F1012" s="70">
        <f>F297/'Terms and Turnovers'!$AX57</f>
        <v>0</v>
      </c>
      <c r="G1012" s="107"/>
      <c r="H1012" s="70">
        <f>H297/'Terms and Turnovers'!$AX57</f>
        <v>0</v>
      </c>
      <c r="I1012" s="107"/>
      <c r="J1012" s="70">
        <f>J297/'Terms and Turnovers'!$AX57</f>
        <v>0</v>
      </c>
      <c r="K1012" s="107"/>
      <c r="L1012" s="70">
        <f>L297/'Terms and Turnovers'!$AX57</f>
        <v>0</v>
      </c>
      <c r="M1012" s="107"/>
      <c r="N1012" s="70">
        <f>N297/'Terms and Turnovers'!$AX57</f>
        <v>0</v>
      </c>
      <c r="O1012" s="107"/>
      <c r="P1012" s="70">
        <f>P297/'Terms and Turnovers'!$AX57</f>
        <v>0</v>
      </c>
      <c r="Q1012" s="107"/>
      <c r="R1012" s="135">
        <f t="shared" si="101"/>
        <v>0</v>
      </c>
      <c r="S1012" s="107"/>
      <c r="T1012" s="70">
        <f>T297/'Terms and Turnovers'!$AX$57</f>
        <v>0</v>
      </c>
      <c r="U1012" s="107"/>
      <c r="V1012" s="70">
        <f>V297/'Terms and Turnovers'!$AX$57</f>
        <v>0</v>
      </c>
      <c r="W1012" s="107"/>
      <c r="X1012" s="70">
        <f>X297/'Terms and Turnovers'!$AX$57</f>
        <v>0</v>
      </c>
      <c r="Y1012" s="107"/>
      <c r="Z1012" s="70">
        <f>Z297/'Terms and Turnovers'!$AX$57</f>
        <v>0</v>
      </c>
      <c r="AA1012" s="107"/>
      <c r="AB1012" s="70">
        <f>AB297/'Terms and Turnovers'!$AX$57</f>
        <v>0</v>
      </c>
      <c r="AC1012" s="107"/>
      <c r="AD1012" s="70">
        <f>AD297/'Terms and Turnovers'!$AX$57</f>
        <v>0</v>
      </c>
      <c r="AE1012" s="107"/>
      <c r="AF1012" s="135">
        <f t="shared" si="102"/>
        <v>0</v>
      </c>
      <c r="AG1012" s="107"/>
      <c r="AH1012" s="136">
        <f t="shared" si="103"/>
        <v>0</v>
      </c>
      <c r="AI1012" s="107"/>
      <c r="AJ1012" s="65"/>
    </row>
    <row r="1013" spans="2:36" ht="13.5" customHeight="1" outlineLevel="1">
      <c r="B1013" s="82"/>
      <c r="C1013" s="425"/>
      <c r="D1013" s="425"/>
      <c r="E1013" s="634"/>
      <c r="F1013" s="635"/>
      <c r="G1013" s="428"/>
      <c r="H1013" s="635"/>
      <c r="I1013" s="428"/>
      <c r="J1013" s="635"/>
      <c r="K1013" s="636"/>
      <c r="L1013" s="635"/>
      <c r="M1013" s="636"/>
      <c r="N1013" s="635"/>
      <c r="O1013" s="636"/>
      <c r="P1013" s="635"/>
      <c r="Q1013" s="636"/>
      <c r="R1013" s="637"/>
      <c r="S1013" s="698">
        <f>SUM(R293:R297)/1.18-(SUM(R1008:R1012)*'Mark Up Validation'!$M$175)</f>
        <v>0</v>
      </c>
      <c r="T1013" s="635"/>
      <c r="U1013" s="636"/>
      <c r="V1013" s="635"/>
      <c r="W1013" s="636"/>
      <c r="X1013" s="635"/>
      <c r="Y1013" s="636"/>
      <c r="Z1013" s="635"/>
      <c r="AA1013" s="636"/>
      <c r="AB1013" s="635"/>
      <c r="AC1013" s="636"/>
      <c r="AD1013" s="635"/>
      <c r="AE1013" s="636"/>
      <c r="AF1013" s="637"/>
      <c r="AG1013" s="698">
        <f>SUM(AF293:AF297)/1.18-SUM(AF1008:AF1012)*'Mark Up Validation'!$M$175</f>
        <v>0</v>
      </c>
      <c r="AH1013" s="638"/>
      <c r="AI1013" s="698">
        <f>SUM(AH293:AH297)/1.18-SUM(AH1008:AH1012)*'Mark Up Validation'!$M$175</f>
        <v>0</v>
      </c>
      <c r="AJ1013" s="65"/>
    </row>
    <row r="1014" spans="2:36" ht="13.5" customHeight="1" outlineLevel="1" thickBot="1">
      <c r="B1014" s="82"/>
      <c r="C1014" s="1228" t="s">
        <v>487</v>
      </c>
      <c r="D1014" s="1229"/>
      <c r="E1014" s="699"/>
      <c r="F1014" s="700"/>
      <c r="G1014" s="701"/>
      <c r="H1014" s="700"/>
      <c r="I1014" s="701"/>
      <c r="J1014" s="700"/>
      <c r="K1014" s="702"/>
      <c r="L1014" s="700"/>
      <c r="M1014" s="702"/>
      <c r="N1014" s="700"/>
      <c r="O1014" s="702"/>
      <c r="P1014" s="700"/>
      <c r="Q1014" s="702"/>
      <c r="R1014" s="703"/>
      <c r="S1014" s="729">
        <f>IF(S1013&gt;0,S1013/(SUM(R293:R297)/1.18),0)</f>
        <v>0</v>
      </c>
      <c r="T1014" s="704"/>
      <c r="U1014" s="702"/>
      <c r="V1014" s="700"/>
      <c r="W1014" s="702"/>
      <c r="X1014" s="700"/>
      <c r="Y1014" s="702"/>
      <c r="Z1014" s="700"/>
      <c r="AA1014" s="702"/>
      <c r="AB1014" s="700"/>
      <c r="AC1014" s="702"/>
      <c r="AD1014" s="700"/>
      <c r="AE1014" s="702"/>
      <c r="AF1014" s="705"/>
      <c r="AG1014" s="729">
        <f>IF(AG1013&gt;0,AG1013/(SUM(AF293:AF297)/1.18),0)</f>
        <v>0</v>
      </c>
      <c r="AH1014" s="706"/>
      <c r="AI1014" s="729">
        <f>IF(AI1013&gt;0,AI1013/(SUM(AH293:AH297)/1.18),0)</f>
        <v>0</v>
      </c>
      <c r="AJ1014" s="65"/>
    </row>
    <row r="1015" spans="2:36" ht="12.75" customHeight="1" outlineLevel="1">
      <c r="B1015" s="82">
        <f>B1008+1</f>
        <v>43</v>
      </c>
      <c r="C1015" s="1233">
        <f>C300</f>
        <v>0</v>
      </c>
      <c r="D1015" s="1233">
        <f>D300</f>
        <v>0</v>
      </c>
      <c r="E1015" s="83" t="str">
        <f>'Terms and Turnovers'!$J$12</f>
        <v>FLIP-FLOPS</v>
      </c>
      <c r="F1015" s="68">
        <f>F300/'Terms and Turnovers'!$J58</f>
        <v>0</v>
      </c>
      <c r="G1015" s="106"/>
      <c r="H1015" s="68">
        <f>H300/'Terms and Turnovers'!$J58</f>
        <v>0</v>
      </c>
      <c r="I1015" s="106"/>
      <c r="J1015" s="68">
        <f>J300/'Terms and Turnovers'!$J58</f>
        <v>0</v>
      </c>
      <c r="K1015" s="106"/>
      <c r="L1015" s="68">
        <f>L300/'Terms and Turnovers'!$J58</f>
        <v>0</v>
      </c>
      <c r="M1015" s="106"/>
      <c r="N1015" s="68">
        <f>N300/'Terms and Turnovers'!$J58</f>
        <v>0</v>
      </c>
      <c r="O1015" s="106"/>
      <c r="P1015" s="68">
        <f>P300/'Terms and Turnovers'!$J58</f>
        <v>0</v>
      </c>
      <c r="Q1015" s="106"/>
      <c r="R1015" s="129">
        <f t="shared" si="101"/>
        <v>0</v>
      </c>
      <c r="S1015" s="106"/>
      <c r="T1015" s="68">
        <f>T300/'Terms and Turnovers'!$O58</f>
        <v>0</v>
      </c>
      <c r="U1015" s="106"/>
      <c r="V1015" s="68">
        <f>V300/'Terms and Turnovers'!$O58</f>
        <v>0</v>
      </c>
      <c r="W1015" s="106"/>
      <c r="X1015" s="68">
        <f>X300/'Terms and Turnovers'!$O58</f>
        <v>0</v>
      </c>
      <c r="Y1015" s="106"/>
      <c r="Z1015" s="68">
        <f>Z300/'Terms and Turnovers'!$O58</f>
        <v>0</v>
      </c>
      <c r="AA1015" s="106"/>
      <c r="AB1015" s="68">
        <f>AB300/'Terms and Turnovers'!$O58</f>
        <v>0</v>
      </c>
      <c r="AC1015" s="106"/>
      <c r="AD1015" s="68">
        <f>AD300/'Terms and Turnovers'!$O58</f>
        <v>0</v>
      </c>
      <c r="AE1015" s="106"/>
      <c r="AF1015" s="129">
        <f t="shared" si="102"/>
        <v>0</v>
      </c>
      <c r="AG1015" s="106"/>
      <c r="AH1015" s="130">
        <f t="shared" si="103"/>
        <v>0</v>
      </c>
      <c r="AI1015" s="106"/>
      <c r="AJ1015" s="65"/>
    </row>
    <row r="1016" spans="2:36" ht="12.75" customHeight="1" outlineLevel="1">
      <c r="B1016" s="82"/>
      <c r="C1016" s="1234"/>
      <c r="D1016" s="1234"/>
      <c r="E1016" s="84" t="str">
        <f>'Terms and Turnovers'!$T$12</f>
        <v>ORIGINALS</v>
      </c>
      <c r="F1016" s="70">
        <f>F301/'Terms and Turnovers'!$T58</f>
        <v>0</v>
      </c>
      <c r="G1016" s="728"/>
      <c r="H1016" s="70">
        <f>H301/'Terms and Turnovers'!$T58</f>
        <v>0</v>
      </c>
      <c r="I1016" s="728"/>
      <c r="J1016" s="70">
        <f>J301/'Terms and Turnovers'!$T58</f>
        <v>0</v>
      </c>
      <c r="K1016" s="728"/>
      <c r="L1016" s="70">
        <f>L301/'Terms and Turnovers'!$T58</f>
        <v>0</v>
      </c>
      <c r="M1016" s="728"/>
      <c r="N1016" s="70">
        <f>N301/'Terms and Turnovers'!$T58</f>
        <v>0</v>
      </c>
      <c r="O1016" s="728"/>
      <c r="P1016" s="70">
        <f>P301/'Terms and Turnovers'!$T58</f>
        <v>0</v>
      </c>
      <c r="Q1016" s="728"/>
      <c r="R1016" s="132">
        <f t="shared" si="101"/>
        <v>0</v>
      </c>
      <c r="S1016" s="728"/>
      <c r="T1016" s="70">
        <f>T301/'Terms and Turnovers'!$Y58</f>
        <v>0</v>
      </c>
      <c r="U1016" s="728"/>
      <c r="V1016" s="70">
        <f>V301/'Terms and Turnovers'!$Y58</f>
        <v>0</v>
      </c>
      <c r="W1016" s="728"/>
      <c r="X1016" s="70">
        <f>X301/'Terms and Turnovers'!$Y58</f>
        <v>0</v>
      </c>
      <c r="Y1016" s="728"/>
      <c r="Z1016" s="70">
        <f>Z301/'Terms and Turnovers'!$Y58</f>
        <v>0</v>
      </c>
      <c r="AA1016" s="728"/>
      <c r="AB1016" s="70">
        <f>AB301/'Terms and Turnovers'!$Y58</f>
        <v>0</v>
      </c>
      <c r="AC1016" s="728"/>
      <c r="AD1016" s="70">
        <f>AD301/'Terms and Turnovers'!$Y58</f>
        <v>0</v>
      </c>
      <c r="AE1016" s="728"/>
      <c r="AF1016" s="132">
        <f t="shared" si="102"/>
        <v>0</v>
      </c>
      <c r="AG1016" s="728"/>
      <c r="AH1016" s="133">
        <f t="shared" si="103"/>
        <v>0</v>
      </c>
      <c r="AI1016" s="728"/>
      <c r="AJ1016" s="65"/>
    </row>
    <row r="1017" spans="2:36" ht="12.75" customHeight="1" outlineLevel="1">
      <c r="B1017" s="82"/>
      <c r="C1017" s="1234"/>
      <c r="D1017" s="1234"/>
      <c r="E1017" s="84" t="str">
        <f>'Terms and Turnovers'!$AD$12</f>
        <v>ACCESSORIES</v>
      </c>
      <c r="F1017" s="70">
        <f>F302/'Terms and Turnovers'!$AD58</f>
        <v>0</v>
      </c>
      <c r="G1017" s="728"/>
      <c r="H1017" s="70">
        <f>H302/'Terms and Turnovers'!$AD58</f>
        <v>0</v>
      </c>
      <c r="I1017" s="728"/>
      <c r="J1017" s="70">
        <f>J302/'Terms and Turnovers'!$AD58</f>
        <v>0</v>
      </c>
      <c r="K1017" s="728"/>
      <c r="L1017" s="70">
        <f>L302/'Terms and Turnovers'!$AD58</f>
        <v>0</v>
      </c>
      <c r="M1017" s="728"/>
      <c r="N1017" s="70">
        <f>N302/'Terms and Turnovers'!$AD58</f>
        <v>0</v>
      </c>
      <c r="O1017" s="728"/>
      <c r="P1017" s="70">
        <f>P302/'Terms and Turnovers'!$AD58</f>
        <v>0</v>
      </c>
      <c r="Q1017" s="728"/>
      <c r="R1017" s="132">
        <f t="shared" si="101"/>
        <v>0</v>
      </c>
      <c r="S1017" s="728"/>
      <c r="T1017" s="70">
        <f>T302/'Terms and Turnovers'!$AI58</f>
        <v>0</v>
      </c>
      <c r="U1017" s="728"/>
      <c r="V1017" s="70">
        <f>V302/'Terms and Turnovers'!$AI58</f>
        <v>0</v>
      </c>
      <c r="W1017" s="728"/>
      <c r="X1017" s="70">
        <f>X302/'Terms and Turnovers'!$AI58</f>
        <v>0</v>
      </c>
      <c r="Y1017" s="728"/>
      <c r="Z1017" s="70">
        <f>Z302/'Terms and Turnovers'!$AI58</f>
        <v>0</v>
      </c>
      <c r="AA1017" s="728"/>
      <c r="AB1017" s="70">
        <f>AB302/'Terms and Turnovers'!$AI58</f>
        <v>0</v>
      </c>
      <c r="AC1017" s="728"/>
      <c r="AD1017" s="70">
        <f>AD302/'Terms and Turnovers'!$AI58</f>
        <v>0</v>
      </c>
      <c r="AE1017" s="728"/>
      <c r="AF1017" s="132">
        <f t="shared" si="102"/>
        <v>0</v>
      </c>
      <c r="AG1017" s="728"/>
      <c r="AH1017" s="133">
        <f t="shared" si="103"/>
        <v>0</v>
      </c>
      <c r="AI1017" s="728"/>
      <c r="AJ1017" s="65"/>
    </row>
    <row r="1018" spans="2:36" ht="12.75" customHeight="1" outlineLevel="1">
      <c r="B1018" s="82"/>
      <c r="C1018" s="1234"/>
      <c r="D1018" s="1234"/>
      <c r="E1018" s="84">
        <f>'Terms and Turnovers'!$AN$12</f>
        <v>0</v>
      </c>
      <c r="F1018" s="70">
        <f>F303/'Terms and Turnovers'!$AN58</f>
        <v>0</v>
      </c>
      <c r="G1018" s="728"/>
      <c r="H1018" s="70">
        <f>H303/'Terms and Turnovers'!$AN58</f>
        <v>0</v>
      </c>
      <c r="I1018" s="728"/>
      <c r="J1018" s="70">
        <f>J303/'Terms and Turnovers'!$AN58</f>
        <v>0</v>
      </c>
      <c r="K1018" s="728"/>
      <c r="L1018" s="70">
        <f>L303/'Terms and Turnovers'!$AN58</f>
        <v>0</v>
      </c>
      <c r="M1018" s="728"/>
      <c r="N1018" s="70">
        <f>N303/'Terms and Turnovers'!$AN58</f>
        <v>0</v>
      </c>
      <c r="O1018" s="728"/>
      <c r="P1018" s="70">
        <f>P303/'Terms and Turnovers'!$AN58</f>
        <v>0</v>
      </c>
      <c r="Q1018" s="728"/>
      <c r="R1018" s="132">
        <f t="shared" si="101"/>
        <v>0</v>
      </c>
      <c r="S1018" s="728"/>
      <c r="T1018" s="70">
        <f>T303/'Terms and Turnovers'!$AS58</f>
        <v>0</v>
      </c>
      <c r="U1018" s="728"/>
      <c r="V1018" s="70">
        <f>V303/'Terms and Turnovers'!$AS58</f>
        <v>0</v>
      </c>
      <c r="W1018" s="728"/>
      <c r="X1018" s="70">
        <f>X303/'Terms and Turnovers'!$AS58</f>
        <v>0</v>
      </c>
      <c r="Y1018" s="728"/>
      <c r="Z1018" s="70">
        <f>Z303/'Terms and Turnovers'!$AS58</f>
        <v>0</v>
      </c>
      <c r="AA1018" s="728"/>
      <c r="AB1018" s="70">
        <f>AB303/'Terms and Turnovers'!$AS58</f>
        <v>0</v>
      </c>
      <c r="AC1018" s="728"/>
      <c r="AD1018" s="70">
        <f>AD303/'Terms and Turnovers'!$AS58</f>
        <v>0</v>
      </c>
      <c r="AE1018" s="728"/>
      <c r="AF1018" s="132">
        <f t="shared" si="102"/>
        <v>0</v>
      </c>
      <c r="AG1018" s="728"/>
      <c r="AH1018" s="133">
        <f t="shared" si="103"/>
        <v>0</v>
      </c>
      <c r="AI1018" s="728"/>
      <c r="AJ1018" s="65"/>
    </row>
    <row r="1019" spans="2:36" ht="13.5" customHeight="1" outlineLevel="1" thickBot="1">
      <c r="B1019" s="82"/>
      <c r="C1019" s="1235"/>
      <c r="D1019" s="1235"/>
      <c r="E1019" s="85">
        <f>'Terms and Turnovers'!$AX$12</f>
        <v>0</v>
      </c>
      <c r="F1019" s="70">
        <f>F304/'Terms and Turnovers'!$AX58</f>
        <v>0</v>
      </c>
      <c r="G1019" s="107"/>
      <c r="H1019" s="70">
        <f>H304/'Terms and Turnovers'!$AX58</f>
        <v>0</v>
      </c>
      <c r="I1019" s="107"/>
      <c r="J1019" s="70">
        <f>J304/'Terms and Turnovers'!$AX58</f>
        <v>0</v>
      </c>
      <c r="K1019" s="107"/>
      <c r="L1019" s="70">
        <f>L304/'Terms and Turnovers'!$AX58</f>
        <v>0</v>
      </c>
      <c r="M1019" s="107"/>
      <c r="N1019" s="70">
        <f>N304/'Terms and Turnovers'!$AX58</f>
        <v>0</v>
      </c>
      <c r="O1019" s="107"/>
      <c r="P1019" s="70">
        <f>P304/'Terms and Turnovers'!$AX58</f>
        <v>0</v>
      </c>
      <c r="Q1019" s="107"/>
      <c r="R1019" s="135">
        <f t="shared" si="101"/>
        <v>0</v>
      </c>
      <c r="S1019" s="107"/>
      <c r="T1019" s="70">
        <f>T304/'Terms and Turnovers'!$AX$58</f>
        <v>0</v>
      </c>
      <c r="U1019" s="107"/>
      <c r="V1019" s="70">
        <f>V304/'Terms and Turnovers'!$AX$58</f>
        <v>0</v>
      </c>
      <c r="W1019" s="107"/>
      <c r="X1019" s="70">
        <f>X304/'Terms and Turnovers'!$AX$58</f>
        <v>0</v>
      </c>
      <c r="Y1019" s="107"/>
      <c r="Z1019" s="70">
        <f>Z304/'Terms and Turnovers'!$AX$58</f>
        <v>0</v>
      </c>
      <c r="AA1019" s="107"/>
      <c r="AB1019" s="70">
        <f>AB304/'Terms and Turnovers'!$AX$58</f>
        <v>0</v>
      </c>
      <c r="AC1019" s="107"/>
      <c r="AD1019" s="70">
        <f>AD304/'Terms and Turnovers'!$AX$58</f>
        <v>0</v>
      </c>
      <c r="AE1019" s="107"/>
      <c r="AF1019" s="135">
        <f t="shared" si="102"/>
        <v>0</v>
      </c>
      <c r="AG1019" s="107"/>
      <c r="AH1019" s="136">
        <f t="shared" si="103"/>
        <v>0</v>
      </c>
      <c r="AI1019" s="107"/>
      <c r="AJ1019" s="65"/>
    </row>
    <row r="1020" spans="2:36" ht="13.5" customHeight="1" outlineLevel="1">
      <c r="B1020" s="82"/>
      <c r="C1020" s="425"/>
      <c r="D1020" s="425"/>
      <c r="E1020" s="634"/>
      <c r="F1020" s="635"/>
      <c r="G1020" s="428"/>
      <c r="H1020" s="635"/>
      <c r="I1020" s="428"/>
      <c r="J1020" s="635"/>
      <c r="K1020" s="636"/>
      <c r="L1020" s="635"/>
      <c r="M1020" s="636"/>
      <c r="N1020" s="635"/>
      <c r="O1020" s="636"/>
      <c r="P1020" s="635"/>
      <c r="Q1020" s="636"/>
      <c r="R1020" s="637"/>
      <c r="S1020" s="698">
        <f>SUM(R300:R304)/1.18-(SUM(R1015:R1019)*'Mark Up Validation'!$M$175)</f>
        <v>0</v>
      </c>
      <c r="T1020" s="635"/>
      <c r="U1020" s="636"/>
      <c r="V1020" s="635"/>
      <c r="W1020" s="636"/>
      <c r="X1020" s="635"/>
      <c r="Y1020" s="636"/>
      <c r="Z1020" s="635"/>
      <c r="AA1020" s="636"/>
      <c r="AB1020" s="635"/>
      <c r="AC1020" s="636"/>
      <c r="AD1020" s="635"/>
      <c r="AE1020" s="636"/>
      <c r="AF1020" s="637"/>
      <c r="AG1020" s="698">
        <f>SUM(AF300:AF304)/1.18-SUM(AF1015:AF1019)*'Mark Up Validation'!$M$175</f>
        <v>0</v>
      </c>
      <c r="AH1020" s="638"/>
      <c r="AI1020" s="698">
        <f>SUM(AH300:AH304)/1.18-SUM(AH1015:AH1019)*'Mark Up Validation'!$M$175</f>
        <v>0</v>
      </c>
      <c r="AJ1020" s="65"/>
    </row>
    <row r="1021" spans="2:36" ht="13.5" customHeight="1" outlineLevel="1" thickBot="1">
      <c r="B1021" s="82"/>
      <c r="C1021" s="1228" t="s">
        <v>487</v>
      </c>
      <c r="D1021" s="1229"/>
      <c r="E1021" s="699"/>
      <c r="F1021" s="700"/>
      <c r="G1021" s="701"/>
      <c r="H1021" s="700"/>
      <c r="I1021" s="701"/>
      <c r="J1021" s="700"/>
      <c r="K1021" s="702"/>
      <c r="L1021" s="700"/>
      <c r="M1021" s="702"/>
      <c r="N1021" s="700"/>
      <c r="O1021" s="702"/>
      <c r="P1021" s="700"/>
      <c r="Q1021" s="702"/>
      <c r="R1021" s="703"/>
      <c r="S1021" s="729">
        <f>IF(S1020&gt;0,S1020/(SUM(R300:R304)/1.18),0)</f>
        <v>0</v>
      </c>
      <c r="T1021" s="704"/>
      <c r="U1021" s="702"/>
      <c r="V1021" s="700"/>
      <c r="W1021" s="702"/>
      <c r="X1021" s="700"/>
      <c r="Y1021" s="702"/>
      <c r="Z1021" s="700"/>
      <c r="AA1021" s="702"/>
      <c r="AB1021" s="700"/>
      <c r="AC1021" s="702"/>
      <c r="AD1021" s="700"/>
      <c r="AE1021" s="702"/>
      <c r="AF1021" s="705"/>
      <c r="AG1021" s="729">
        <f>IF(AG1020&gt;0,AG1020/(SUM(AF300:AF304)/1.18),0)</f>
        <v>0</v>
      </c>
      <c r="AH1021" s="706"/>
      <c r="AI1021" s="729">
        <f>IF(AI1020&gt;0,AI1020/(SUM(AH300:AH304)/1.18),0)</f>
        <v>0</v>
      </c>
      <c r="AJ1021" s="65"/>
    </row>
    <row r="1022" spans="2:36" ht="12.75" customHeight="1" outlineLevel="1">
      <c r="B1022" s="82">
        <f>B1015+1</f>
        <v>44</v>
      </c>
      <c r="C1022" s="1233">
        <f>C307</f>
        <v>0</v>
      </c>
      <c r="D1022" s="1233">
        <f>D307</f>
        <v>0</v>
      </c>
      <c r="E1022" s="83" t="str">
        <f>'Terms and Turnovers'!$J$12</f>
        <v>FLIP-FLOPS</v>
      </c>
      <c r="F1022" s="68">
        <f>F307/'Terms and Turnovers'!$J59</f>
        <v>0</v>
      </c>
      <c r="G1022" s="106"/>
      <c r="H1022" s="68">
        <f>H307/'Terms and Turnovers'!$J59</f>
        <v>0</v>
      </c>
      <c r="I1022" s="106"/>
      <c r="J1022" s="68">
        <f>J307/'Terms and Turnovers'!$J59</f>
        <v>0</v>
      </c>
      <c r="K1022" s="106"/>
      <c r="L1022" s="68">
        <f>L307/'Terms and Turnovers'!$J59</f>
        <v>0</v>
      </c>
      <c r="M1022" s="106"/>
      <c r="N1022" s="68">
        <f>N307/'Terms and Turnovers'!$J59</f>
        <v>0</v>
      </c>
      <c r="O1022" s="106"/>
      <c r="P1022" s="68">
        <f>P307/'Terms and Turnovers'!$J59</f>
        <v>0</v>
      </c>
      <c r="Q1022" s="106"/>
      <c r="R1022" s="129">
        <f t="shared" si="101"/>
        <v>0</v>
      </c>
      <c r="S1022" s="106"/>
      <c r="T1022" s="68">
        <f>T307/'Terms and Turnovers'!$O59</f>
        <v>0</v>
      </c>
      <c r="U1022" s="106"/>
      <c r="V1022" s="68">
        <f>V307/'Terms and Turnovers'!$O59</f>
        <v>0</v>
      </c>
      <c r="W1022" s="106"/>
      <c r="X1022" s="68">
        <f>X307/'Terms and Turnovers'!$O59</f>
        <v>0</v>
      </c>
      <c r="Y1022" s="106"/>
      <c r="Z1022" s="68">
        <f>Z307/'Terms and Turnovers'!$O59</f>
        <v>0</v>
      </c>
      <c r="AA1022" s="106"/>
      <c r="AB1022" s="68">
        <f>AB307/'Terms and Turnovers'!$O59</f>
        <v>0</v>
      </c>
      <c r="AC1022" s="106"/>
      <c r="AD1022" s="68">
        <f>AD307/'Terms and Turnovers'!$O59</f>
        <v>0</v>
      </c>
      <c r="AE1022" s="106"/>
      <c r="AF1022" s="129">
        <f t="shared" si="102"/>
        <v>0</v>
      </c>
      <c r="AG1022" s="106"/>
      <c r="AH1022" s="130">
        <f t="shared" si="103"/>
        <v>0</v>
      </c>
      <c r="AI1022" s="106"/>
      <c r="AJ1022" s="65"/>
    </row>
    <row r="1023" spans="2:36" ht="12.75" customHeight="1" outlineLevel="1">
      <c r="B1023" s="82"/>
      <c r="C1023" s="1234"/>
      <c r="D1023" s="1234"/>
      <c r="E1023" s="84" t="str">
        <f>'Terms and Turnovers'!$T$12</f>
        <v>ORIGINALS</v>
      </c>
      <c r="F1023" s="70">
        <f>F308/'Terms and Turnovers'!$T59</f>
        <v>0</v>
      </c>
      <c r="G1023" s="728"/>
      <c r="H1023" s="70">
        <f>H308/'Terms and Turnovers'!$T59</f>
        <v>0</v>
      </c>
      <c r="I1023" s="728"/>
      <c r="J1023" s="70">
        <f>J308/'Terms and Turnovers'!$T59</f>
        <v>0</v>
      </c>
      <c r="K1023" s="728"/>
      <c r="L1023" s="70">
        <f>L308/'Terms and Turnovers'!$T59</f>
        <v>0</v>
      </c>
      <c r="M1023" s="728"/>
      <c r="N1023" s="70">
        <f>N308/'Terms and Turnovers'!$T59</f>
        <v>0</v>
      </c>
      <c r="O1023" s="728"/>
      <c r="P1023" s="70">
        <f>P308/'Terms and Turnovers'!$T59</f>
        <v>0</v>
      </c>
      <c r="Q1023" s="728"/>
      <c r="R1023" s="132">
        <f t="shared" si="101"/>
        <v>0</v>
      </c>
      <c r="S1023" s="728"/>
      <c r="T1023" s="70">
        <f>T308/'Terms and Turnovers'!$Y59</f>
        <v>0</v>
      </c>
      <c r="U1023" s="728"/>
      <c r="V1023" s="70">
        <f>V308/'Terms and Turnovers'!$Y59</f>
        <v>0</v>
      </c>
      <c r="W1023" s="728"/>
      <c r="X1023" s="70">
        <f>X308/'Terms and Turnovers'!$Y59</f>
        <v>0</v>
      </c>
      <c r="Y1023" s="728"/>
      <c r="Z1023" s="70">
        <f>Z308/'Terms and Turnovers'!$Y59</f>
        <v>0</v>
      </c>
      <c r="AA1023" s="728"/>
      <c r="AB1023" s="70">
        <f>AB308/'Terms and Turnovers'!$Y59</f>
        <v>0</v>
      </c>
      <c r="AC1023" s="728"/>
      <c r="AD1023" s="70">
        <f>AD308/'Terms and Turnovers'!$Y59</f>
        <v>0</v>
      </c>
      <c r="AE1023" s="728"/>
      <c r="AF1023" s="132">
        <f t="shared" si="102"/>
        <v>0</v>
      </c>
      <c r="AG1023" s="728"/>
      <c r="AH1023" s="133">
        <f t="shared" si="103"/>
        <v>0</v>
      </c>
      <c r="AI1023" s="728"/>
      <c r="AJ1023" s="65"/>
    </row>
    <row r="1024" spans="2:36" ht="12.75" customHeight="1" outlineLevel="1">
      <c r="B1024" s="82"/>
      <c r="C1024" s="1234"/>
      <c r="D1024" s="1234"/>
      <c r="E1024" s="84" t="str">
        <f>'Terms and Turnovers'!$AD$12</f>
        <v>ACCESSORIES</v>
      </c>
      <c r="F1024" s="70">
        <f>F309/'Terms and Turnovers'!$AD59</f>
        <v>0</v>
      </c>
      <c r="G1024" s="728"/>
      <c r="H1024" s="70">
        <f>H309/'Terms and Turnovers'!$AD59</f>
        <v>0</v>
      </c>
      <c r="I1024" s="728"/>
      <c r="J1024" s="70">
        <f>J309/'Terms and Turnovers'!$AD59</f>
        <v>0</v>
      </c>
      <c r="K1024" s="728"/>
      <c r="L1024" s="70">
        <f>L309/'Terms and Turnovers'!$AD59</f>
        <v>0</v>
      </c>
      <c r="M1024" s="728"/>
      <c r="N1024" s="70">
        <f>N309/'Terms and Turnovers'!$AD59</f>
        <v>0</v>
      </c>
      <c r="O1024" s="728"/>
      <c r="P1024" s="70">
        <f>P309/'Terms and Turnovers'!$AD59</f>
        <v>0</v>
      </c>
      <c r="Q1024" s="728"/>
      <c r="R1024" s="132">
        <f t="shared" si="101"/>
        <v>0</v>
      </c>
      <c r="S1024" s="728"/>
      <c r="T1024" s="70">
        <f>T309/'Terms and Turnovers'!$AI59</f>
        <v>0</v>
      </c>
      <c r="U1024" s="728"/>
      <c r="V1024" s="70">
        <f>V309/'Terms and Turnovers'!$AI59</f>
        <v>0</v>
      </c>
      <c r="W1024" s="728"/>
      <c r="X1024" s="70">
        <f>X309/'Terms and Turnovers'!$AI59</f>
        <v>0</v>
      </c>
      <c r="Y1024" s="728"/>
      <c r="Z1024" s="70">
        <f>Z309/'Terms and Turnovers'!$AI59</f>
        <v>0</v>
      </c>
      <c r="AA1024" s="728"/>
      <c r="AB1024" s="70">
        <f>AB309/'Terms and Turnovers'!$AI59</f>
        <v>0</v>
      </c>
      <c r="AC1024" s="728"/>
      <c r="AD1024" s="70">
        <f>AD309/'Terms and Turnovers'!$AI59</f>
        <v>0</v>
      </c>
      <c r="AE1024" s="728"/>
      <c r="AF1024" s="132">
        <f t="shared" si="102"/>
        <v>0</v>
      </c>
      <c r="AG1024" s="728"/>
      <c r="AH1024" s="133">
        <f t="shared" si="103"/>
        <v>0</v>
      </c>
      <c r="AI1024" s="728"/>
      <c r="AJ1024" s="65"/>
    </row>
    <row r="1025" spans="2:36" ht="12.75" customHeight="1" outlineLevel="1">
      <c r="B1025" s="82"/>
      <c r="C1025" s="1234"/>
      <c r="D1025" s="1234"/>
      <c r="E1025" s="84">
        <f>'Terms and Turnovers'!$AN$12</f>
        <v>0</v>
      </c>
      <c r="F1025" s="70">
        <f>F310/'Terms and Turnovers'!$AN59</f>
        <v>0</v>
      </c>
      <c r="G1025" s="728"/>
      <c r="H1025" s="70">
        <f>H310/'Terms and Turnovers'!$AN59</f>
        <v>0</v>
      </c>
      <c r="I1025" s="728"/>
      <c r="J1025" s="70">
        <f>J310/'Terms and Turnovers'!$AN59</f>
        <v>0</v>
      </c>
      <c r="K1025" s="728"/>
      <c r="L1025" s="70">
        <f>L310/'Terms and Turnovers'!$AN59</f>
        <v>0</v>
      </c>
      <c r="M1025" s="728"/>
      <c r="N1025" s="70">
        <f>N310/'Terms and Turnovers'!$AN59</f>
        <v>0</v>
      </c>
      <c r="O1025" s="728"/>
      <c r="P1025" s="70">
        <f>P310/'Terms and Turnovers'!$AN59</f>
        <v>0</v>
      </c>
      <c r="Q1025" s="728"/>
      <c r="R1025" s="132">
        <f t="shared" si="101"/>
        <v>0</v>
      </c>
      <c r="S1025" s="728"/>
      <c r="T1025" s="70">
        <f>T310/'Terms and Turnovers'!$AS59</f>
        <v>0</v>
      </c>
      <c r="U1025" s="728"/>
      <c r="V1025" s="70">
        <f>V310/'Terms and Turnovers'!$AS59</f>
        <v>0</v>
      </c>
      <c r="W1025" s="728"/>
      <c r="X1025" s="70">
        <f>X310/'Terms and Turnovers'!$AS59</f>
        <v>0</v>
      </c>
      <c r="Y1025" s="728"/>
      <c r="Z1025" s="70">
        <f>Z310/'Terms and Turnovers'!$AS59</f>
        <v>0</v>
      </c>
      <c r="AA1025" s="728"/>
      <c r="AB1025" s="70">
        <f>AB310/'Terms and Turnovers'!$AS59</f>
        <v>0</v>
      </c>
      <c r="AC1025" s="728"/>
      <c r="AD1025" s="70">
        <f>AD310/'Terms and Turnovers'!$AS59</f>
        <v>0</v>
      </c>
      <c r="AE1025" s="728"/>
      <c r="AF1025" s="132">
        <f t="shared" si="102"/>
        <v>0</v>
      </c>
      <c r="AG1025" s="728"/>
      <c r="AH1025" s="133">
        <f t="shared" si="103"/>
        <v>0</v>
      </c>
      <c r="AI1025" s="728"/>
      <c r="AJ1025" s="65"/>
    </row>
    <row r="1026" spans="2:36" ht="13.5" customHeight="1" outlineLevel="1" thickBot="1">
      <c r="B1026" s="82"/>
      <c r="C1026" s="1235"/>
      <c r="D1026" s="1235"/>
      <c r="E1026" s="85">
        <f>'Terms and Turnovers'!$AX$12</f>
        <v>0</v>
      </c>
      <c r="F1026" s="70">
        <f>F311/'Terms and Turnovers'!$AX59</f>
        <v>0</v>
      </c>
      <c r="G1026" s="107"/>
      <c r="H1026" s="70">
        <f>H311/'Terms and Turnovers'!$AX59</f>
        <v>0</v>
      </c>
      <c r="I1026" s="107"/>
      <c r="J1026" s="70">
        <f>J311/'Terms and Turnovers'!$AX59</f>
        <v>0</v>
      </c>
      <c r="K1026" s="107"/>
      <c r="L1026" s="70">
        <f>L311/'Terms and Turnovers'!$AX59</f>
        <v>0</v>
      </c>
      <c r="M1026" s="107"/>
      <c r="N1026" s="70">
        <f>N311/'Terms and Turnovers'!$AX59</f>
        <v>0</v>
      </c>
      <c r="O1026" s="107"/>
      <c r="P1026" s="70">
        <f>P311/'Terms and Turnovers'!$AX59</f>
        <v>0</v>
      </c>
      <c r="Q1026" s="107"/>
      <c r="R1026" s="135">
        <f t="shared" si="101"/>
        <v>0</v>
      </c>
      <c r="S1026" s="107"/>
      <c r="T1026" s="70">
        <f>T311/'Terms and Turnovers'!$AX$59</f>
        <v>0</v>
      </c>
      <c r="U1026" s="107"/>
      <c r="V1026" s="70">
        <f>V311/'Terms and Turnovers'!$AX$59</f>
        <v>0</v>
      </c>
      <c r="W1026" s="107"/>
      <c r="X1026" s="70">
        <f>X311/'Terms and Turnovers'!$AX$59</f>
        <v>0</v>
      </c>
      <c r="Y1026" s="107"/>
      <c r="Z1026" s="70">
        <f>Z311/'Terms and Turnovers'!$AX$59</f>
        <v>0</v>
      </c>
      <c r="AA1026" s="107"/>
      <c r="AB1026" s="70">
        <f>AB311/'Terms and Turnovers'!$AX$59</f>
        <v>0</v>
      </c>
      <c r="AC1026" s="107"/>
      <c r="AD1026" s="70">
        <f>AD311/'Terms and Turnovers'!$AX$59</f>
        <v>0</v>
      </c>
      <c r="AE1026" s="107"/>
      <c r="AF1026" s="135">
        <f t="shared" si="102"/>
        <v>0</v>
      </c>
      <c r="AG1026" s="107"/>
      <c r="AH1026" s="136">
        <f t="shared" si="103"/>
        <v>0</v>
      </c>
      <c r="AI1026" s="107"/>
      <c r="AJ1026" s="65"/>
    </row>
    <row r="1027" spans="2:36" ht="13.5" customHeight="1" outlineLevel="1">
      <c r="B1027" s="82"/>
      <c r="C1027" s="425"/>
      <c r="D1027" s="425"/>
      <c r="E1027" s="634"/>
      <c r="F1027" s="635"/>
      <c r="G1027" s="428"/>
      <c r="H1027" s="635"/>
      <c r="I1027" s="428"/>
      <c r="J1027" s="635"/>
      <c r="K1027" s="636"/>
      <c r="L1027" s="635"/>
      <c r="M1027" s="636"/>
      <c r="N1027" s="635"/>
      <c r="O1027" s="636"/>
      <c r="P1027" s="635"/>
      <c r="Q1027" s="636"/>
      <c r="R1027" s="637"/>
      <c r="S1027" s="698">
        <f>SUM(R307:R311)/1.18-(SUM(R1022:R1026)*'Mark Up Validation'!$M$175)</f>
        <v>0</v>
      </c>
      <c r="T1027" s="635"/>
      <c r="U1027" s="636"/>
      <c r="V1027" s="635"/>
      <c r="W1027" s="636"/>
      <c r="X1027" s="635"/>
      <c r="Y1027" s="636"/>
      <c r="Z1027" s="635"/>
      <c r="AA1027" s="636"/>
      <c r="AB1027" s="635"/>
      <c r="AC1027" s="636"/>
      <c r="AD1027" s="635"/>
      <c r="AE1027" s="636"/>
      <c r="AF1027" s="637"/>
      <c r="AG1027" s="698">
        <f>SUM(AF307:AF311)/1.18-SUM(AF1022:AF1026)*'Mark Up Validation'!$M$175</f>
        <v>0</v>
      </c>
      <c r="AH1027" s="638"/>
      <c r="AI1027" s="698">
        <f>SUM(AH307:AH311)/1.18-SUM(AH1022:AH1026)*'Mark Up Validation'!$M$175</f>
        <v>0</v>
      </c>
      <c r="AJ1027" s="65"/>
    </row>
    <row r="1028" spans="2:36" ht="13.5" customHeight="1" outlineLevel="1" thickBot="1">
      <c r="B1028" s="82"/>
      <c r="C1028" s="1228" t="s">
        <v>487</v>
      </c>
      <c r="D1028" s="1229"/>
      <c r="E1028" s="699"/>
      <c r="F1028" s="700"/>
      <c r="G1028" s="701"/>
      <c r="H1028" s="700"/>
      <c r="I1028" s="701"/>
      <c r="J1028" s="700"/>
      <c r="K1028" s="702"/>
      <c r="L1028" s="700"/>
      <c r="M1028" s="702"/>
      <c r="N1028" s="700"/>
      <c r="O1028" s="702"/>
      <c r="P1028" s="700"/>
      <c r="Q1028" s="702"/>
      <c r="R1028" s="703"/>
      <c r="S1028" s="729">
        <f>IF(S1027&gt;0,S1027/(SUM(R307:R311)/1.18),0)</f>
        <v>0</v>
      </c>
      <c r="T1028" s="704"/>
      <c r="U1028" s="702"/>
      <c r="V1028" s="700"/>
      <c r="W1028" s="702"/>
      <c r="X1028" s="700"/>
      <c r="Y1028" s="702"/>
      <c r="Z1028" s="700"/>
      <c r="AA1028" s="702"/>
      <c r="AB1028" s="700"/>
      <c r="AC1028" s="702"/>
      <c r="AD1028" s="700"/>
      <c r="AE1028" s="702"/>
      <c r="AF1028" s="705"/>
      <c r="AG1028" s="729">
        <f>IF(AG1027&gt;0,AG1027/(SUM(AF307:AF311)/1.18),0)</f>
        <v>0</v>
      </c>
      <c r="AH1028" s="706"/>
      <c r="AI1028" s="729">
        <f>IF(AI1027&gt;0,AI1027/(SUM(AH307:AH311)/1.18),0)</f>
        <v>0</v>
      </c>
      <c r="AJ1028" s="65"/>
    </row>
    <row r="1029" spans="2:36" ht="12.75" customHeight="1" outlineLevel="1">
      <c r="B1029" s="82">
        <f>B1022+1</f>
        <v>45</v>
      </c>
      <c r="C1029" s="1233">
        <f>C314</f>
        <v>0</v>
      </c>
      <c r="D1029" s="1233">
        <f>D314</f>
        <v>0</v>
      </c>
      <c r="E1029" s="83" t="str">
        <f>'Terms and Turnovers'!$J$12</f>
        <v>FLIP-FLOPS</v>
      </c>
      <c r="F1029" s="68">
        <f>F314/'Terms and Turnovers'!$J60</f>
        <v>0</v>
      </c>
      <c r="G1029" s="106"/>
      <c r="H1029" s="68">
        <f>H314/'Terms and Turnovers'!$J60</f>
        <v>0</v>
      </c>
      <c r="I1029" s="106"/>
      <c r="J1029" s="68">
        <f>J314/'Terms and Turnovers'!$J60</f>
        <v>0</v>
      </c>
      <c r="K1029" s="106"/>
      <c r="L1029" s="68">
        <f>L314/'Terms and Turnovers'!$J60</f>
        <v>0</v>
      </c>
      <c r="M1029" s="106"/>
      <c r="N1029" s="68">
        <f>N314/'Terms and Turnovers'!$J60</f>
        <v>0</v>
      </c>
      <c r="O1029" s="106"/>
      <c r="P1029" s="68">
        <f>P314/'Terms and Turnovers'!$J60</f>
        <v>0</v>
      </c>
      <c r="Q1029" s="106"/>
      <c r="R1029" s="129">
        <f t="shared" si="101"/>
        <v>0</v>
      </c>
      <c r="S1029" s="106"/>
      <c r="T1029" s="68">
        <f>T314/'Terms and Turnovers'!$O60</f>
        <v>0</v>
      </c>
      <c r="U1029" s="106"/>
      <c r="V1029" s="68">
        <f>V314/'Terms and Turnovers'!$O60</f>
        <v>0</v>
      </c>
      <c r="W1029" s="106"/>
      <c r="X1029" s="68">
        <f>X314/'Terms and Turnovers'!$O60</f>
        <v>0</v>
      </c>
      <c r="Y1029" s="106"/>
      <c r="Z1029" s="68">
        <f>Z314/'Terms and Turnovers'!$O60</f>
        <v>0</v>
      </c>
      <c r="AA1029" s="106"/>
      <c r="AB1029" s="68">
        <f>AB314/'Terms and Turnovers'!$O60</f>
        <v>0</v>
      </c>
      <c r="AC1029" s="106"/>
      <c r="AD1029" s="68">
        <f>AD314/'Terms and Turnovers'!$O60</f>
        <v>0</v>
      </c>
      <c r="AE1029" s="106"/>
      <c r="AF1029" s="129">
        <f t="shared" si="102"/>
        <v>0</v>
      </c>
      <c r="AG1029" s="106"/>
      <c r="AH1029" s="130">
        <f t="shared" si="103"/>
        <v>0</v>
      </c>
      <c r="AI1029" s="106"/>
      <c r="AJ1029" s="65"/>
    </row>
    <row r="1030" spans="2:36" ht="12.75" customHeight="1" outlineLevel="1">
      <c r="B1030" s="82"/>
      <c r="C1030" s="1234"/>
      <c r="D1030" s="1234"/>
      <c r="E1030" s="84" t="str">
        <f>'Terms and Turnovers'!$T$12</f>
        <v>ORIGINALS</v>
      </c>
      <c r="F1030" s="70">
        <f>F315/'Terms and Turnovers'!$T60</f>
        <v>0</v>
      </c>
      <c r="G1030" s="728"/>
      <c r="H1030" s="70">
        <f>H315/'Terms and Turnovers'!$T60</f>
        <v>0</v>
      </c>
      <c r="I1030" s="728"/>
      <c r="J1030" s="70">
        <f>J315/'Terms and Turnovers'!$T60</f>
        <v>0</v>
      </c>
      <c r="K1030" s="728"/>
      <c r="L1030" s="70">
        <f>L315/'Terms and Turnovers'!$T60</f>
        <v>0</v>
      </c>
      <c r="M1030" s="728"/>
      <c r="N1030" s="70">
        <f>N315/'Terms and Turnovers'!$T60</f>
        <v>0</v>
      </c>
      <c r="O1030" s="728"/>
      <c r="P1030" s="70">
        <f>P315/'Terms and Turnovers'!$T60</f>
        <v>0</v>
      </c>
      <c r="Q1030" s="728"/>
      <c r="R1030" s="132">
        <f t="shared" si="101"/>
        <v>0</v>
      </c>
      <c r="S1030" s="728"/>
      <c r="T1030" s="70">
        <f>T315/'Terms and Turnovers'!$Y60</f>
        <v>0</v>
      </c>
      <c r="U1030" s="728"/>
      <c r="V1030" s="70">
        <f>V315/'Terms and Turnovers'!$Y60</f>
        <v>0</v>
      </c>
      <c r="W1030" s="728"/>
      <c r="X1030" s="70">
        <f>X315/'Terms and Turnovers'!$Y60</f>
        <v>0</v>
      </c>
      <c r="Y1030" s="728"/>
      <c r="Z1030" s="70">
        <f>Z315/'Terms and Turnovers'!$Y60</f>
        <v>0</v>
      </c>
      <c r="AA1030" s="728"/>
      <c r="AB1030" s="70">
        <f>AB315/'Terms and Turnovers'!$Y60</f>
        <v>0</v>
      </c>
      <c r="AC1030" s="728"/>
      <c r="AD1030" s="70">
        <f>AD315/'Terms and Turnovers'!$Y60</f>
        <v>0</v>
      </c>
      <c r="AE1030" s="728"/>
      <c r="AF1030" s="132">
        <f t="shared" si="102"/>
        <v>0</v>
      </c>
      <c r="AG1030" s="728"/>
      <c r="AH1030" s="133">
        <f t="shared" si="103"/>
        <v>0</v>
      </c>
      <c r="AI1030" s="728"/>
      <c r="AJ1030" s="65"/>
    </row>
    <row r="1031" spans="2:36" ht="12.75" customHeight="1" outlineLevel="1">
      <c r="B1031" s="82"/>
      <c r="C1031" s="1234"/>
      <c r="D1031" s="1234"/>
      <c r="E1031" s="84" t="str">
        <f>'Terms and Turnovers'!$AD$12</f>
        <v>ACCESSORIES</v>
      </c>
      <c r="F1031" s="70">
        <f>F316/'Terms and Turnovers'!$AD60</f>
        <v>0</v>
      </c>
      <c r="G1031" s="728"/>
      <c r="H1031" s="70">
        <f>H316/'Terms and Turnovers'!$AD60</f>
        <v>0</v>
      </c>
      <c r="I1031" s="728"/>
      <c r="J1031" s="70">
        <f>J316/'Terms and Turnovers'!$AD60</f>
        <v>0</v>
      </c>
      <c r="K1031" s="728"/>
      <c r="L1031" s="70">
        <f>L316/'Terms and Turnovers'!$AD60</f>
        <v>0</v>
      </c>
      <c r="M1031" s="728"/>
      <c r="N1031" s="70">
        <f>N316/'Terms and Turnovers'!$AD60</f>
        <v>0</v>
      </c>
      <c r="O1031" s="728"/>
      <c r="P1031" s="70">
        <f>P316/'Terms and Turnovers'!$AD60</f>
        <v>0</v>
      </c>
      <c r="Q1031" s="728"/>
      <c r="R1031" s="132">
        <f t="shared" si="101"/>
        <v>0</v>
      </c>
      <c r="S1031" s="728"/>
      <c r="T1031" s="70">
        <f>T316/'Terms and Turnovers'!$AI60</f>
        <v>0</v>
      </c>
      <c r="U1031" s="728"/>
      <c r="V1031" s="70">
        <f>V316/'Terms and Turnovers'!$AI60</f>
        <v>0</v>
      </c>
      <c r="W1031" s="728"/>
      <c r="X1031" s="70">
        <f>X316/'Terms and Turnovers'!$AI60</f>
        <v>0</v>
      </c>
      <c r="Y1031" s="728"/>
      <c r="Z1031" s="70">
        <f>Z316/'Terms and Turnovers'!$AI60</f>
        <v>0</v>
      </c>
      <c r="AA1031" s="728"/>
      <c r="AB1031" s="70">
        <f>AB316/'Terms and Turnovers'!$AI60</f>
        <v>0</v>
      </c>
      <c r="AC1031" s="728"/>
      <c r="AD1031" s="70">
        <f>AD316/'Terms and Turnovers'!$AI60</f>
        <v>0</v>
      </c>
      <c r="AE1031" s="728"/>
      <c r="AF1031" s="132">
        <f t="shared" si="102"/>
        <v>0</v>
      </c>
      <c r="AG1031" s="728"/>
      <c r="AH1031" s="133">
        <f t="shared" si="103"/>
        <v>0</v>
      </c>
      <c r="AI1031" s="728"/>
      <c r="AJ1031" s="65"/>
    </row>
    <row r="1032" spans="2:36" ht="12.75" customHeight="1" outlineLevel="1">
      <c r="B1032" s="82"/>
      <c r="C1032" s="1234"/>
      <c r="D1032" s="1234"/>
      <c r="E1032" s="84">
        <f>'Terms and Turnovers'!$AN$12</f>
        <v>0</v>
      </c>
      <c r="F1032" s="70">
        <f>F317/'Terms and Turnovers'!$AN60</f>
        <v>0</v>
      </c>
      <c r="G1032" s="728"/>
      <c r="H1032" s="70">
        <f>H317/'Terms and Turnovers'!$AN60</f>
        <v>0</v>
      </c>
      <c r="I1032" s="728"/>
      <c r="J1032" s="70">
        <f>J317/'Terms and Turnovers'!$AN60</f>
        <v>0</v>
      </c>
      <c r="K1032" s="728"/>
      <c r="L1032" s="70">
        <f>L317/'Terms and Turnovers'!$AN60</f>
        <v>0</v>
      </c>
      <c r="M1032" s="728"/>
      <c r="N1032" s="70">
        <f>N317/'Terms and Turnovers'!$AN60</f>
        <v>0</v>
      </c>
      <c r="O1032" s="728"/>
      <c r="P1032" s="70">
        <f>P317/'Terms and Turnovers'!$AN60</f>
        <v>0</v>
      </c>
      <c r="Q1032" s="728"/>
      <c r="R1032" s="132">
        <f t="shared" si="101"/>
        <v>0</v>
      </c>
      <c r="S1032" s="728"/>
      <c r="T1032" s="70">
        <f>T317/'Terms and Turnovers'!$AS60</f>
        <v>0</v>
      </c>
      <c r="U1032" s="728"/>
      <c r="V1032" s="70">
        <f>V317/'Terms and Turnovers'!$AS60</f>
        <v>0</v>
      </c>
      <c r="W1032" s="728"/>
      <c r="X1032" s="70">
        <f>X317/'Terms and Turnovers'!$AS60</f>
        <v>0</v>
      </c>
      <c r="Y1032" s="728"/>
      <c r="Z1032" s="70">
        <f>Z317/'Terms and Turnovers'!$AS60</f>
        <v>0</v>
      </c>
      <c r="AA1032" s="728"/>
      <c r="AB1032" s="70">
        <f>AB317/'Terms and Turnovers'!$AS60</f>
        <v>0</v>
      </c>
      <c r="AC1032" s="728"/>
      <c r="AD1032" s="70">
        <f>AD317/'Terms and Turnovers'!$AS60</f>
        <v>0</v>
      </c>
      <c r="AE1032" s="728"/>
      <c r="AF1032" s="132">
        <f t="shared" si="102"/>
        <v>0</v>
      </c>
      <c r="AG1032" s="728"/>
      <c r="AH1032" s="133">
        <f t="shared" si="103"/>
        <v>0</v>
      </c>
      <c r="AI1032" s="728"/>
      <c r="AJ1032" s="65"/>
    </row>
    <row r="1033" spans="2:36" ht="13.5" customHeight="1" outlineLevel="1" thickBot="1">
      <c r="B1033" s="82"/>
      <c r="C1033" s="1235"/>
      <c r="D1033" s="1235"/>
      <c r="E1033" s="85">
        <f>'Terms and Turnovers'!$AX$12</f>
        <v>0</v>
      </c>
      <c r="F1033" s="70">
        <f>F318/'Terms and Turnovers'!$AX60</f>
        <v>0</v>
      </c>
      <c r="G1033" s="107"/>
      <c r="H1033" s="70">
        <f>H318/'Terms and Turnovers'!$AX60</f>
        <v>0</v>
      </c>
      <c r="I1033" s="107"/>
      <c r="J1033" s="70">
        <f>J318/'Terms and Turnovers'!$AX60</f>
        <v>0</v>
      </c>
      <c r="K1033" s="107"/>
      <c r="L1033" s="70">
        <f>L318/'Terms and Turnovers'!$AX60</f>
        <v>0</v>
      </c>
      <c r="M1033" s="107"/>
      <c r="N1033" s="70">
        <f>N318/'Terms and Turnovers'!$AX60</f>
        <v>0</v>
      </c>
      <c r="O1033" s="107"/>
      <c r="P1033" s="70">
        <f>P318/'Terms and Turnovers'!$AX60</f>
        <v>0</v>
      </c>
      <c r="Q1033" s="107"/>
      <c r="R1033" s="135">
        <f t="shared" si="101"/>
        <v>0</v>
      </c>
      <c r="S1033" s="107"/>
      <c r="T1033" s="70">
        <f>T318/'Terms and Turnovers'!$AX$60</f>
        <v>0</v>
      </c>
      <c r="U1033" s="107"/>
      <c r="V1033" s="70">
        <f>V318/'Terms and Turnovers'!$AX$60</f>
        <v>0</v>
      </c>
      <c r="W1033" s="107"/>
      <c r="X1033" s="70">
        <f>X318/'Terms and Turnovers'!$AX$60</f>
        <v>0</v>
      </c>
      <c r="Y1033" s="107"/>
      <c r="Z1033" s="70">
        <f>Z318/'Terms and Turnovers'!$AX$60</f>
        <v>0</v>
      </c>
      <c r="AA1033" s="107"/>
      <c r="AB1033" s="70">
        <f>AB318/'Terms and Turnovers'!$AX$60</f>
        <v>0</v>
      </c>
      <c r="AC1033" s="107"/>
      <c r="AD1033" s="70">
        <f>AD318/'Terms and Turnovers'!$AX$60</f>
        <v>0</v>
      </c>
      <c r="AE1033" s="107"/>
      <c r="AF1033" s="135">
        <f t="shared" si="102"/>
        <v>0</v>
      </c>
      <c r="AG1033" s="107"/>
      <c r="AH1033" s="136">
        <f t="shared" si="103"/>
        <v>0</v>
      </c>
      <c r="AI1033" s="107"/>
      <c r="AJ1033" s="65"/>
    </row>
    <row r="1034" spans="2:36" ht="13.5" customHeight="1" outlineLevel="1">
      <c r="B1034" s="82"/>
      <c r="C1034" s="425"/>
      <c r="D1034" s="425"/>
      <c r="E1034" s="634"/>
      <c r="F1034" s="635"/>
      <c r="G1034" s="428"/>
      <c r="H1034" s="635"/>
      <c r="I1034" s="428"/>
      <c r="J1034" s="635"/>
      <c r="K1034" s="636"/>
      <c r="L1034" s="635"/>
      <c r="M1034" s="636"/>
      <c r="N1034" s="635"/>
      <c r="O1034" s="636"/>
      <c r="P1034" s="635"/>
      <c r="Q1034" s="636"/>
      <c r="R1034" s="637"/>
      <c r="S1034" s="698">
        <f>SUM(R314:R318)/1.18-(SUM(R1029:R1033)*'Mark Up Validation'!$M$175)</f>
        <v>0</v>
      </c>
      <c r="T1034" s="635"/>
      <c r="U1034" s="636"/>
      <c r="V1034" s="635"/>
      <c r="W1034" s="636"/>
      <c r="X1034" s="635"/>
      <c r="Y1034" s="636"/>
      <c r="Z1034" s="635"/>
      <c r="AA1034" s="636"/>
      <c r="AB1034" s="635"/>
      <c r="AC1034" s="636"/>
      <c r="AD1034" s="635"/>
      <c r="AE1034" s="636"/>
      <c r="AF1034" s="637"/>
      <c r="AG1034" s="698">
        <f>SUM(AF314:AF318)/1.18-SUM(AF1029:AF1033)*'Mark Up Validation'!$M$175</f>
        <v>0</v>
      </c>
      <c r="AH1034" s="638"/>
      <c r="AI1034" s="698">
        <f>SUM(AH314:AH318)/1.18-SUM(AH1029:AH1033)*'Mark Up Validation'!$M$175</f>
        <v>0</v>
      </c>
      <c r="AJ1034" s="65"/>
    </row>
    <row r="1035" spans="2:36" ht="13.5" customHeight="1" outlineLevel="1" thickBot="1">
      <c r="B1035" s="82"/>
      <c r="C1035" s="1228" t="s">
        <v>487</v>
      </c>
      <c r="D1035" s="1229"/>
      <c r="E1035" s="699"/>
      <c r="F1035" s="700"/>
      <c r="G1035" s="701"/>
      <c r="H1035" s="700"/>
      <c r="I1035" s="701"/>
      <c r="J1035" s="700"/>
      <c r="K1035" s="702"/>
      <c r="L1035" s="700"/>
      <c r="M1035" s="702"/>
      <c r="N1035" s="700"/>
      <c r="O1035" s="702"/>
      <c r="P1035" s="700"/>
      <c r="Q1035" s="702"/>
      <c r="R1035" s="703"/>
      <c r="S1035" s="729">
        <f>IF(S1034&gt;0,S1034/(SUM(R314:R318)/1.18),0)</f>
        <v>0</v>
      </c>
      <c r="T1035" s="704"/>
      <c r="U1035" s="702"/>
      <c r="V1035" s="700"/>
      <c r="W1035" s="702"/>
      <c r="X1035" s="700"/>
      <c r="Y1035" s="702"/>
      <c r="Z1035" s="700"/>
      <c r="AA1035" s="702"/>
      <c r="AB1035" s="700"/>
      <c r="AC1035" s="702"/>
      <c r="AD1035" s="700"/>
      <c r="AE1035" s="702"/>
      <c r="AF1035" s="705"/>
      <c r="AG1035" s="729">
        <f>IF(AG1034&gt;0,AG1034/(SUM(AF314:AF318)/1.18),0)</f>
        <v>0</v>
      </c>
      <c r="AH1035" s="706"/>
      <c r="AI1035" s="729">
        <f>IF(AI1034&gt;0,AI1034/(SUM(AH314:AH318)/1.18),0)</f>
        <v>0</v>
      </c>
      <c r="AJ1035" s="65"/>
    </row>
    <row r="1036" spans="2:36" ht="12.75" customHeight="1" outlineLevel="1">
      <c r="B1036" s="82">
        <f>B1029+1</f>
        <v>46</v>
      </c>
      <c r="C1036" s="1233">
        <f>C321</f>
        <v>0</v>
      </c>
      <c r="D1036" s="1233">
        <f>D321</f>
        <v>0</v>
      </c>
      <c r="E1036" s="83" t="str">
        <f>'Terms and Turnovers'!$J$12</f>
        <v>FLIP-FLOPS</v>
      </c>
      <c r="F1036" s="68">
        <f>F321/'Terms and Turnovers'!$J61</f>
        <v>0</v>
      </c>
      <c r="G1036" s="106"/>
      <c r="H1036" s="68">
        <f>H321/'Terms and Turnovers'!$J61</f>
        <v>0</v>
      </c>
      <c r="I1036" s="106"/>
      <c r="J1036" s="68">
        <f>J321/'Terms and Turnovers'!$J61</f>
        <v>0</v>
      </c>
      <c r="K1036" s="106"/>
      <c r="L1036" s="68">
        <f>L321/'Terms and Turnovers'!$J61</f>
        <v>0</v>
      </c>
      <c r="M1036" s="106"/>
      <c r="N1036" s="68">
        <f>N321/'Terms and Turnovers'!$J61</f>
        <v>0</v>
      </c>
      <c r="O1036" s="106"/>
      <c r="P1036" s="68">
        <f>P321/'Terms and Turnovers'!$J61</f>
        <v>0</v>
      </c>
      <c r="Q1036" s="106"/>
      <c r="R1036" s="129">
        <f t="shared" si="101"/>
        <v>0</v>
      </c>
      <c r="S1036" s="106"/>
      <c r="T1036" s="68">
        <f>T321/'Terms and Turnovers'!$O61</f>
        <v>0</v>
      </c>
      <c r="U1036" s="106"/>
      <c r="V1036" s="68">
        <f>V321/'Terms and Turnovers'!$O61</f>
        <v>0</v>
      </c>
      <c r="W1036" s="106"/>
      <c r="X1036" s="68">
        <f>X321/'Terms and Turnovers'!$O61</f>
        <v>0</v>
      </c>
      <c r="Y1036" s="106"/>
      <c r="Z1036" s="68">
        <f>Z321/'Terms and Turnovers'!$O61</f>
        <v>0</v>
      </c>
      <c r="AA1036" s="106"/>
      <c r="AB1036" s="68">
        <f>AB321/'Terms and Turnovers'!$O61</f>
        <v>0</v>
      </c>
      <c r="AC1036" s="106"/>
      <c r="AD1036" s="68">
        <f>AD321/'Terms and Turnovers'!$O61</f>
        <v>0</v>
      </c>
      <c r="AE1036" s="106"/>
      <c r="AF1036" s="129">
        <f t="shared" si="102"/>
        <v>0</v>
      </c>
      <c r="AG1036" s="106"/>
      <c r="AH1036" s="130">
        <f t="shared" si="103"/>
        <v>0</v>
      </c>
      <c r="AI1036" s="106"/>
      <c r="AJ1036" s="65"/>
    </row>
    <row r="1037" spans="2:36" ht="12.75" customHeight="1" outlineLevel="1">
      <c r="B1037" s="82"/>
      <c r="C1037" s="1234"/>
      <c r="D1037" s="1234"/>
      <c r="E1037" s="84" t="str">
        <f>'Terms and Turnovers'!$T$12</f>
        <v>ORIGINALS</v>
      </c>
      <c r="F1037" s="70">
        <f>F322/'Terms and Turnovers'!$T61</f>
        <v>0</v>
      </c>
      <c r="G1037" s="728"/>
      <c r="H1037" s="70">
        <f>H322/'Terms and Turnovers'!$T61</f>
        <v>0</v>
      </c>
      <c r="I1037" s="728"/>
      <c r="J1037" s="70">
        <f>J322/'Terms and Turnovers'!$T61</f>
        <v>0</v>
      </c>
      <c r="K1037" s="728"/>
      <c r="L1037" s="70">
        <f>L322/'Terms and Turnovers'!$T61</f>
        <v>0</v>
      </c>
      <c r="M1037" s="728"/>
      <c r="N1037" s="70">
        <f>N322/'Terms and Turnovers'!$T61</f>
        <v>0</v>
      </c>
      <c r="O1037" s="728"/>
      <c r="P1037" s="70">
        <f>P322/'Terms and Turnovers'!$T61</f>
        <v>0</v>
      </c>
      <c r="Q1037" s="728"/>
      <c r="R1037" s="132">
        <f t="shared" si="101"/>
        <v>0</v>
      </c>
      <c r="S1037" s="728"/>
      <c r="T1037" s="70">
        <f>T322/'Terms and Turnovers'!$Y61</f>
        <v>0</v>
      </c>
      <c r="U1037" s="728"/>
      <c r="V1037" s="70">
        <f>V322/'Terms and Turnovers'!$Y61</f>
        <v>0</v>
      </c>
      <c r="W1037" s="728"/>
      <c r="X1037" s="70">
        <f>X322/'Terms and Turnovers'!$Y61</f>
        <v>0</v>
      </c>
      <c r="Y1037" s="728"/>
      <c r="Z1037" s="70">
        <f>Z322/'Terms and Turnovers'!$Y61</f>
        <v>0</v>
      </c>
      <c r="AA1037" s="728"/>
      <c r="AB1037" s="70">
        <f>AB322/'Terms and Turnovers'!$Y61</f>
        <v>0</v>
      </c>
      <c r="AC1037" s="728"/>
      <c r="AD1037" s="70">
        <f>AD322/'Terms and Turnovers'!$Y61</f>
        <v>0</v>
      </c>
      <c r="AE1037" s="728"/>
      <c r="AF1037" s="132">
        <f t="shared" si="102"/>
        <v>0</v>
      </c>
      <c r="AG1037" s="728"/>
      <c r="AH1037" s="133">
        <f t="shared" si="103"/>
        <v>0</v>
      </c>
      <c r="AI1037" s="728"/>
      <c r="AJ1037" s="65"/>
    </row>
    <row r="1038" spans="2:36" ht="12.75" customHeight="1" outlineLevel="1">
      <c r="B1038" s="82"/>
      <c r="C1038" s="1234"/>
      <c r="D1038" s="1234"/>
      <c r="E1038" s="84" t="str">
        <f>'Terms and Turnovers'!$AD$12</f>
        <v>ACCESSORIES</v>
      </c>
      <c r="F1038" s="70">
        <f>F323/'Terms and Turnovers'!$AD61</f>
        <v>0</v>
      </c>
      <c r="G1038" s="728"/>
      <c r="H1038" s="70">
        <f>H323/'Terms and Turnovers'!$AD61</f>
        <v>0</v>
      </c>
      <c r="I1038" s="728"/>
      <c r="J1038" s="70">
        <f>J323/'Terms and Turnovers'!$AD61</f>
        <v>0</v>
      </c>
      <c r="K1038" s="728"/>
      <c r="L1038" s="70">
        <f>L323/'Terms and Turnovers'!$AD61</f>
        <v>0</v>
      </c>
      <c r="M1038" s="728"/>
      <c r="N1038" s="70">
        <f>N323/'Terms and Turnovers'!$AD61</f>
        <v>0</v>
      </c>
      <c r="O1038" s="728"/>
      <c r="P1038" s="70">
        <f>P323/'Terms and Turnovers'!$AD61</f>
        <v>0</v>
      </c>
      <c r="Q1038" s="728"/>
      <c r="R1038" s="132">
        <f t="shared" si="101"/>
        <v>0</v>
      </c>
      <c r="S1038" s="728"/>
      <c r="T1038" s="70">
        <f>T323/'Terms and Turnovers'!$AI61</f>
        <v>0</v>
      </c>
      <c r="U1038" s="728"/>
      <c r="V1038" s="70">
        <f>V323/'Terms and Turnovers'!$AI61</f>
        <v>0</v>
      </c>
      <c r="W1038" s="728"/>
      <c r="X1038" s="70">
        <f>X323/'Terms and Turnovers'!$AI61</f>
        <v>0</v>
      </c>
      <c r="Y1038" s="728"/>
      <c r="Z1038" s="70">
        <f>Z323/'Terms and Turnovers'!$AI61</f>
        <v>0</v>
      </c>
      <c r="AA1038" s="728"/>
      <c r="AB1038" s="70">
        <f>AB323/'Terms and Turnovers'!$AI61</f>
        <v>0</v>
      </c>
      <c r="AC1038" s="728"/>
      <c r="AD1038" s="70">
        <f>AD323/'Terms and Turnovers'!$AI61</f>
        <v>0</v>
      </c>
      <c r="AE1038" s="728"/>
      <c r="AF1038" s="132">
        <f t="shared" si="102"/>
        <v>0</v>
      </c>
      <c r="AG1038" s="728"/>
      <c r="AH1038" s="133">
        <f t="shared" si="103"/>
        <v>0</v>
      </c>
      <c r="AI1038" s="728"/>
      <c r="AJ1038" s="65"/>
    </row>
    <row r="1039" spans="2:36" ht="12.75" customHeight="1" outlineLevel="1">
      <c r="B1039" s="82"/>
      <c r="C1039" s="1234"/>
      <c r="D1039" s="1234"/>
      <c r="E1039" s="84">
        <f>'Terms and Turnovers'!$AN$12</f>
        <v>0</v>
      </c>
      <c r="F1039" s="70">
        <f>F324/'Terms and Turnovers'!$AN61</f>
        <v>0</v>
      </c>
      <c r="G1039" s="728"/>
      <c r="H1039" s="70">
        <f>H324/'Terms and Turnovers'!$AN61</f>
        <v>0</v>
      </c>
      <c r="I1039" s="728"/>
      <c r="J1039" s="70">
        <f>J324/'Terms and Turnovers'!$AN61</f>
        <v>0</v>
      </c>
      <c r="K1039" s="728"/>
      <c r="L1039" s="70">
        <f>L324/'Terms and Turnovers'!$AN61</f>
        <v>0</v>
      </c>
      <c r="M1039" s="728"/>
      <c r="N1039" s="70">
        <f>N324/'Terms and Turnovers'!$AN61</f>
        <v>0</v>
      </c>
      <c r="O1039" s="728"/>
      <c r="P1039" s="70">
        <f>P324/'Terms and Turnovers'!$AN61</f>
        <v>0</v>
      </c>
      <c r="Q1039" s="728"/>
      <c r="R1039" s="132">
        <f t="shared" si="101"/>
        <v>0</v>
      </c>
      <c r="S1039" s="728"/>
      <c r="T1039" s="70">
        <f>T324/'Terms and Turnovers'!$AS61</f>
        <v>0</v>
      </c>
      <c r="U1039" s="728"/>
      <c r="V1039" s="70">
        <f>V324/'Terms and Turnovers'!$AS61</f>
        <v>0</v>
      </c>
      <c r="W1039" s="728"/>
      <c r="X1039" s="70">
        <f>X324/'Terms and Turnovers'!$AS61</f>
        <v>0</v>
      </c>
      <c r="Y1039" s="728"/>
      <c r="Z1039" s="70">
        <f>Z324/'Terms and Turnovers'!$AS61</f>
        <v>0</v>
      </c>
      <c r="AA1039" s="728"/>
      <c r="AB1039" s="70">
        <f>AB324/'Terms and Turnovers'!$AS61</f>
        <v>0</v>
      </c>
      <c r="AC1039" s="728"/>
      <c r="AD1039" s="70">
        <f>AD324/'Terms and Turnovers'!$AS61</f>
        <v>0</v>
      </c>
      <c r="AE1039" s="728"/>
      <c r="AF1039" s="132">
        <f t="shared" si="102"/>
        <v>0</v>
      </c>
      <c r="AG1039" s="728"/>
      <c r="AH1039" s="133">
        <f t="shared" si="103"/>
        <v>0</v>
      </c>
      <c r="AI1039" s="728"/>
      <c r="AJ1039" s="65"/>
    </row>
    <row r="1040" spans="2:36" ht="13.5" customHeight="1" outlineLevel="1" thickBot="1">
      <c r="B1040" s="82"/>
      <c r="C1040" s="1235"/>
      <c r="D1040" s="1235"/>
      <c r="E1040" s="85">
        <f>'Terms and Turnovers'!$AX$12</f>
        <v>0</v>
      </c>
      <c r="F1040" s="70">
        <f>F325/'Terms and Turnovers'!$AX61</f>
        <v>0</v>
      </c>
      <c r="G1040" s="107"/>
      <c r="H1040" s="70">
        <f>H325/'Terms and Turnovers'!$AX61</f>
        <v>0</v>
      </c>
      <c r="I1040" s="107"/>
      <c r="J1040" s="70">
        <f>J325/'Terms and Turnovers'!$AX61</f>
        <v>0</v>
      </c>
      <c r="K1040" s="107"/>
      <c r="L1040" s="70">
        <f>L325/'Terms and Turnovers'!$AX61</f>
        <v>0</v>
      </c>
      <c r="M1040" s="107"/>
      <c r="N1040" s="70">
        <f>N325/'Terms and Turnovers'!$AX61</f>
        <v>0</v>
      </c>
      <c r="O1040" s="107"/>
      <c r="P1040" s="70">
        <f>P325/'Terms and Turnovers'!$AX61</f>
        <v>0</v>
      </c>
      <c r="Q1040" s="107"/>
      <c r="R1040" s="135">
        <f t="shared" si="101"/>
        <v>0</v>
      </c>
      <c r="S1040" s="107"/>
      <c r="T1040" s="70">
        <f>T325/'Terms and Turnovers'!$AX$61</f>
        <v>0</v>
      </c>
      <c r="U1040" s="107"/>
      <c r="V1040" s="70">
        <f>V325/'Terms and Turnovers'!$AX$61</f>
        <v>0</v>
      </c>
      <c r="W1040" s="107"/>
      <c r="X1040" s="70">
        <f>X325/'Terms and Turnovers'!$AX$61</f>
        <v>0</v>
      </c>
      <c r="Y1040" s="107"/>
      <c r="Z1040" s="70">
        <f>Z325/'Terms and Turnovers'!$AX$61</f>
        <v>0</v>
      </c>
      <c r="AA1040" s="107"/>
      <c r="AB1040" s="70">
        <f>AB325/'Terms and Turnovers'!$AX$61</f>
        <v>0</v>
      </c>
      <c r="AC1040" s="107"/>
      <c r="AD1040" s="70">
        <f>AD325/'Terms and Turnovers'!$AX$61</f>
        <v>0</v>
      </c>
      <c r="AE1040" s="107"/>
      <c r="AF1040" s="135">
        <f t="shared" si="102"/>
        <v>0</v>
      </c>
      <c r="AG1040" s="107"/>
      <c r="AH1040" s="136">
        <f t="shared" si="103"/>
        <v>0</v>
      </c>
      <c r="AI1040" s="107"/>
      <c r="AJ1040" s="65"/>
    </row>
    <row r="1041" spans="2:36" ht="13.5" customHeight="1" outlineLevel="1">
      <c r="B1041" s="82"/>
      <c r="C1041" s="425"/>
      <c r="D1041" s="425"/>
      <c r="E1041" s="634"/>
      <c r="F1041" s="635"/>
      <c r="G1041" s="428"/>
      <c r="H1041" s="635"/>
      <c r="I1041" s="428"/>
      <c r="J1041" s="635"/>
      <c r="K1041" s="636"/>
      <c r="L1041" s="635"/>
      <c r="M1041" s="636"/>
      <c r="N1041" s="635"/>
      <c r="O1041" s="636"/>
      <c r="P1041" s="635"/>
      <c r="Q1041" s="636"/>
      <c r="R1041" s="637"/>
      <c r="S1041" s="698">
        <f>SUM(R321:R325)/1.18-(SUM(R1036:R1040)*'Mark Up Validation'!$M$175)</f>
        <v>0</v>
      </c>
      <c r="T1041" s="635"/>
      <c r="U1041" s="636"/>
      <c r="V1041" s="635"/>
      <c r="W1041" s="636"/>
      <c r="X1041" s="635"/>
      <c r="Y1041" s="636"/>
      <c r="Z1041" s="635"/>
      <c r="AA1041" s="636"/>
      <c r="AB1041" s="635"/>
      <c r="AC1041" s="636"/>
      <c r="AD1041" s="635"/>
      <c r="AE1041" s="636"/>
      <c r="AF1041" s="637"/>
      <c r="AG1041" s="698">
        <f>SUM(AF321:AF325)/1.18-SUM(AF1036:AF1040)*'Mark Up Validation'!$M$175</f>
        <v>0</v>
      </c>
      <c r="AH1041" s="638"/>
      <c r="AI1041" s="698">
        <f>SUM(AH321:AH325)/1.18-SUM(AH1036:AH1040)*'Mark Up Validation'!$M$175</f>
        <v>0</v>
      </c>
      <c r="AJ1041" s="65"/>
    </row>
    <row r="1042" spans="2:36" ht="13.5" customHeight="1" outlineLevel="1" thickBot="1">
      <c r="B1042" s="82"/>
      <c r="C1042" s="1228" t="s">
        <v>487</v>
      </c>
      <c r="D1042" s="1229"/>
      <c r="E1042" s="699"/>
      <c r="F1042" s="700"/>
      <c r="G1042" s="701"/>
      <c r="H1042" s="700"/>
      <c r="I1042" s="701"/>
      <c r="J1042" s="700"/>
      <c r="K1042" s="702"/>
      <c r="L1042" s="700"/>
      <c r="M1042" s="702"/>
      <c r="N1042" s="700"/>
      <c r="O1042" s="702"/>
      <c r="P1042" s="700"/>
      <c r="Q1042" s="702"/>
      <c r="R1042" s="703"/>
      <c r="S1042" s="729">
        <f>IF(S1041&gt;0,S1041/(SUM(R321:R325)/1.18),0)</f>
        <v>0</v>
      </c>
      <c r="T1042" s="704"/>
      <c r="U1042" s="702"/>
      <c r="V1042" s="700"/>
      <c r="W1042" s="702"/>
      <c r="X1042" s="700"/>
      <c r="Y1042" s="702"/>
      <c r="Z1042" s="700"/>
      <c r="AA1042" s="702"/>
      <c r="AB1042" s="700"/>
      <c r="AC1042" s="702"/>
      <c r="AD1042" s="700"/>
      <c r="AE1042" s="702"/>
      <c r="AF1042" s="705"/>
      <c r="AG1042" s="729">
        <f>IF(AG1041&gt;0,AG1041/(SUM(AF321:AF325)/1.18),0)</f>
        <v>0</v>
      </c>
      <c r="AH1042" s="706"/>
      <c r="AI1042" s="729">
        <f>IF(AI1041&gt;0,AI1041/(SUM(AH321:AH325)/1.18),0)</f>
        <v>0</v>
      </c>
      <c r="AJ1042" s="65"/>
    </row>
    <row r="1043" spans="2:36" ht="12.75" customHeight="1" outlineLevel="1">
      <c r="B1043" s="82">
        <f>B1036+1</f>
        <v>47</v>
      </c>
      <c r="C1043" s="1233">
        <f>C328</f>
        <v>0</v>
      </c>
      <c r="D1043" s="1233">
        <f>D328</f>
        <v>0</v>
      </c>
      <c r="E1043" s="83" t="str">
        <f>'Terms and Turnovers'!$J$12</f>
        <v>FLIP-FLOPS</v>
      </c>
      <c r="F1043" s="68">
        <f>F328/'Terms and Turnovers'!$J62</f>
        <v>0</v>
      </c>
      <c r="G1043" s="106"/>
      <c r="H1043" s="68">
        <f>H328/'Terms and Turnovers'!$J62</f>
        <v>0</v>
      </c>
      <c r="I1043" s="106"/>
      <c r="J1043" s="68">
        <f>J328/'Terms and Turnovers'!$J62</f>
        <v>0</v>
      </c>
      <c r="K1043" s="106"/>
      <c r="L1043" s="68">
        <f>L328/'Terms and Turnovers'!$J62</f>
        <v>0</v>
      </c>
      <c r="M1043" s="106"/>
      <c r="N1043" s="68">
        <f>N328/'Terms and Turnovers'!$J62</f>
        <v>0</v>
      </c>
      <c r="O1043" s="106"/>
      <c r="P1043" s="68">
        <f>P328/'Terms and Turnovers'!$J62</f>
        <v>0</v>
      </c>
      <c r="Q1043" s="106"/>
      <c r="R1043" s="129">
        <f t="shared" si="101"/>
        <v>0</v>
      </c>
      <c r="S1043" s="106"/>
      <c r="T1043" s="68">
        <f>T328/'Terms and Turnovers'!$O62</f>
        <v>0</v>
      </c>
      <c r="U1043" s="106"/>
      <c r="V1043" s="68">
        <f>V328/'Terms and Turnovers'!$O62</f>
        <v>0</v>
      </c>
      <c r="W1043" s="106"/>
      <c r="X1043" s="68">
        <f>X328/'Terms and Turnovers'!$O62</f>
        <v>0</v>
      </c>
      <c r="Y1043" s="106"/>
      <c r="Z1043" s="68">
        <f>Z328/'Terms and Turnovers'!$O62</f>
        <v>0</v>
      </c>
      <c r="AA1043" s="106"/>
      <c r="AB1043" s="68">
        <f>AB328/'Terms and Turnovers'!$O62</f>
        <v>0</v>
      </c>
      <c r="AC1043" s="106"/>
      <c r="AD1043" s="68">
        <f>AD328/'Terms and Turnovers'!$O62</f>
        <v>0</v>
      </c>
      <c r="AE1043" s="106"/>
      <c r="AF1043" s="129">
        <f t="shared" si="102"/>
        <v>0</v>
      </c>
      <c r="AG1043" s="106"/>
      <c r="AH1043" s="130">
        <f t="shared" si="103"/>
        <v>0</v>
      </c>
      <c r="AI1043" s="106"/>
      <c r="AJ1043" s="65"/>
    </row>
    <row r="1044" spans="2:36" ht="12.75" customHeight="1" outlineLevel="1">
      <c r="B1044" s="82"/>
      <c r="C1044" s="1234"/>
      <c r="D1044" s="1234"/>
      <c r="E1044" s="84" t="str">
        <f>'Terms and Turnovers'!$T$12</f>
        <v>ORIGINALS</v>
      </c>
      <c r="F1044" s="70">
        <f>F329/'Terms and Turnovers'!$T62</f>
        <v>0</v>
      </c>
      <c r="G1044" s="728"/>
      <c r="H1044" s="70">
        <f>H329/'Terms and Turnovers'!$T62</f>
        <v>0</v>
      </c>
      <c r="I1044" s="728"/>
      <c r="J1044" s="70">
        <f>J329/'Terms and Turnovers'!$T62</f>
        <v>0</v>
      </c>
      <c r="K1044" s="728"/>
      <c r="L1044" s="70">
        <f>L329/'Terms and Turnovers'!$T62</f>
        <v>0</v>
      </c>
      <c r="M1044" s="728"/>
      <c r="N1044" s="70">
        <f>N329/'Terms and Turnovers'!$T62</f>
        <v>0</v>
      </c>
      <c r="O1044" s="728"/>
      <c r="P1044" s="70">
        <f>P329/'Terms and Turnovers'!$T62</f>
        <v>0</v>
      </c>
      <c r="Q1044" s="728"/>
      <c r="R1044" s="132">
        <f t="shared" si="101"/>
        <v>0</v>
      </c>
      <c r="S1044" s="728"/>
      <c r="T1044" s="70">
        <f>T329/'Terms and Turnovers'!$Y62</f>
        <v>0</v>
      </c>
      <c r="U1044" s="728"/>
      <c r="V1044" s="70">
        <f>V329/'Terms and Turnovers'!$Y62</f>
        <v>0</v>
      </c>
      <c r="W1044" s="728"/>
      <c r="X1044" s="70">
        <f>X329/'Terms and Turnovers'!$Y62</f>
        <v>0</v>
      </c>
      <c r="Y1044" s="728"/>
      <c r="Z1044" s="70">
        <f>Z329/'Terms and Turnovers'!$Y62</f>
        <v>0</v>
      </c>
      <c r="AA1044" s="728"/>
      <c r="AB1044" s="70">
        <f>AB329/'Terms and Turnovers'!$Y62</f>
        <v>0</v>
      </c>
      <c r="AC1044" s="728"/>
      <c r="AD1044" s="70">
        <f>AD329/'Terms and Turnovers'!$Y62</f>
        <v>0</v>
      </c>
      <c r="AE1044" s="728"/>
      <c r="AF1044" s="132">
        <f t="shared" si="102"/>
        <v>0</v>
      </c>
      <c r="AG1044" s="728"/>
      <c r="AH1044" s="133">
        <f t="shared" si="103"/>
        <v>0</v>
      </c>
      <c r="AI1044" s="728"/>
      <c r="AJ1044" s="65"/>
    </row>
    <row r="1045" spans="2:36" ht="12.75" customHeight="1" outlineLevel="1">
      <c r="B1045" s="82"/>
      <c r="C1045" s="1234"/>
      <c r="D1045" s="1234"/>
      <c r="E1045" s="84" t="str">
        <f>'Terms and Turnovers'!$AD$12</f>
        <v>ACCESSORIES</v>
      </c>
      <c r="F1045" s="70">
        <f>F330/'Terms and Turnovers'!$AD62</f>
        <v>0</v>
      </c>
      <c r="G1045" s="728"/>
      <c r="H1045" s="70">
        <f>H330/'Terms and Turnovers'!$AD62</f>
        <v>0</v>
      </c>
      <c r="I1045" s="728"/>
      <c r="J1045" s="70">
        <f>J330/'Terms and Turnovers'!$AD62</f>
        <v>0</v>
      </c>
      <c r="K1045" s="728"/>
      <c r="L1045" s="70">
        <f>L330/'Terms and Turnovers'!$AD62</f>
        <v>0</v>
      </c>
      <c r="M1045" s="728"/>
      <c r="N1045" s="70">
        <f>N330/'Terms and Turnovers'!$AD62</f>
        <v>0</v>
      </c>
      <c r="O1045" s="728"/>
      <c r="P1045" s="70">
        <f>P330/'Terms and Turnovers'!$AD62</f>
        <v>0</v>
      </c>
      <c r="Q1045" s="728"/>
      <c r="R1045" s="132">
        <f t="shared" si="101"/>
        <v>0</v>
      </c>
      <c r="S1045" s="728"/>
      <c r="T1045" s="70">
        <f>T330/'Terms and Turnovers'!$AI62</f>
        <v>0</v>
      </c>
      <c r="U1045" s="728"/>
      <c r="V1045" s="70">
        <f>V330/'Terms and Turnovers'!$AI62</f>
        <v>0</v>
      </c>
      <c r="W1045" s="728"/>
      <c r="X1045" s="70">
        <f>X330/'Terms and Turnovers'!$AI62</f>
        <v>0</v>
      </c>
      <c r="Y1045" s="728"/>
      <c r="Z1045" s="70">
        <f>Z330/'Terms and Turnovers'!$AI62</f>
        <v>0</v>
      </c>
      <c r="AA1045" s="728"/>
      <c r="AB1045" s="70">
        <f>AB330/'Terms and Turnovers'!$AI62</f>
        <v>0</v>
      </c>
      <c r="AC1045" s="728"/>
      <c r="AD1045" s="70">
        <f>AD330/'Terms and Turnovers'!$AI62</f>
        <v>0</v>
      </c>
      <c r="AE1045" s="728"/>
      <c r="AF1045" s="132">
        <f t="shared" si="102"/>
        <v>0</v>
      </c>
      <c r="AG1045" s="728"/>
      <c r="AH1045" s="133">
        <f t="shared" si="103"/>
        <v>0</v>
      </c>
      <c r="AI1045" s="728"/>
      <c r="AJ1045" s="65"/>
    </row>
    <row r="1046" spans="2:36" ht="12.75" customHeight="1" outlineLevel="1">
      <c r="B1046" s="82"/>
      <c r="C1046" s="1234"/>
      <c r="D1046" s="1234"/>
      <c r="E1046" s="84">
        <f>'Terms and Turnovers'!$AN$12</f>
        <v>0</v>
      </c>
      <c r="F1046" s="70">
        <f>F331/'Terms and Turnovers'!$AN62</f>
        <v>0</v>
      </c>
      <c r="G1046" s="728"/>
      <c r="H1046" s="70">
        <f>H331/'Terms and Turnovers'!$AN62</f>
        <v>0</v>
      </c>
      <c r="I1046" s="728"/>
      <c r="J1046" s="70">
        <f>J331/'Terms and Turnovers'!$AN62</f>
        <v>0</v>
      </c>
      <c r="K1046" s="728"/>
      <c r="L1046" s="70">
        <f>L331/'Terms and Turnovers'!$AN62</f>
        <v>0</v>
      </c>
      <c r="M1046" s="728"/>
      <c r="N1046" s="70">
        <f>N331/'Terms and Turnovers'!$AN62</f>
        <v>0</v>
      </c>
      <c r="O1046" s="728"/>
      <c r="P1046" s="70">
        <f>P331/'Terms and Turnovers'!$AN62</f>
        <v>0</v>
      </c>
      <c r="Q1046" s="728"/>
      <c r="R1046" s="132">
        <f t="shared" si="101"/>
        <v>0</v>
      </c>
      <c r="S1046" s="728"/>
      <c r="T1046" s="70">
        <f>T331/'Terms and Turnovers'!$AS62</f>
        <v>0</v>
      </c>
      <c r="U1046" s="728"/>
      <c r="V1046" s="70">
        <f>V331/'Terms and Turnovers'!$AS62</f>
        <v>0</v>
      </c>
      <c r="W1046" s="728"/>
      <c r="X1046" s="70">
        <f>X331/'Terms and Turnovers'!$AS62</f>
        <v>0</v>
      </c>
      <c r="Y1046" s="728"/>
      <c r="Z1046" s="70">
        <f>Z331/'Terms and Turnovers'!$AS62</f>
        <v>0</v>
      </c>
      <c r="AA1046" s="728"/>
      <c r="AB1046" s="70">
        <f>AB331/'Terms and Turnovers'!$AS62</f>
        <v>0</v>
      </c>
      <c r="AC1046" s="728"/>
      <c r="AD1046" s="70">
        <f>AD331/'Terms and Turnovers'!$AS62</f>
        <v>0</v>
      </c>
      <c r="AE1046" s="728"/>
      <c r="AF1046" s="132">
        <f t="shared" si="102"/>
        <v>0</v>
      </c>
      <c r="AG1046" s="728"/>
      <c r="AH1046" s="133">
        <f t="shared" si="103"/>
        <v>0</v>
      </c>
      <c r="AI1046" s="728"/>
      <c r="AJ1046" s="65"/>
    </row>
    <row r="1047" spans="2:36" ht="13.5" customHeight="1" outlineLevel="1" thickBot="1">
      <c r="B1047" s="82"/>
      <c r="C1047" s="1235"/>
      <c r="D1047" s="1235"/>
      <c r="E1047" s="85">
        <f>'Terms and Turnovers'!$AX$12</f>
        <v>0</v>
      </c>
      <c r="F1047" s="70">
        <f>F332/'Terms and Turnovers'!$AX62</f>
        <v>0</v>
      </c>
      <c r="G1047" s="107"/>
      <c r="H1047" s="70">
        <f>H332/'Terms and Turnovers'!$AX62</f>
        <v>0</v>
      </c>
      <c r="I1047" s="107"/>
      <c r="J1047" s="70">
        <f>J332/'Terms and Turnovers'!$AX62</f>
        <v>0</v>
      </c>
      <c r="K1047" s="107"/>
      <c r="L1047" s="70">
        <f>L332/'Terms and Turnovers'!$AX62</f>
        <v>0</v>
      </c>
      <c r="M1047" s="107"/>
      <c r="N1047" s="70">
        <f>N332/'Terms and Turnovers'!$AX62</f>
        <v>0</v>
      </c>
      <c r="O1047" s="107"/>
      <c r="P1047" s="70">
        <f>P332/'Terms and Turnovers'!$AX62</f>
        <v>0</v>
      </c>
      <c r="Q1047" s="107"/>
      <c r="R1047" s="135">
        <f t="shared" si="101"/>
        <v>0</v>
      </c>
      <c r="S1047" s="107"/>
      <c r="T1047" s="70">
        <f>T332/'Terms and Turnovers'!$AX$62</f>
        <v>0</v>
      </c>
      <c r="U1047" s="107"/>
      <c r="V1047" s="70">
        <f>V332/'Terms and Turnovers'!$AX$62</f>
        <v>0</v>
      </c>
      <c r="W1047" s="107"/>
      <c r="X1047" s="70">
        <f>X332/'Terms and Turnovers'!$AX$62</f>
        <v>0</v>
      </c>
      <c r="Y1047" s="107"/>
      <c r="Z1047" s="70">
        <f>Z332/'Terms and Turnovers'!$AX$62</f>
        <v>0</v>
      </c>
      <c r="AA1047" s="107"/>
      <c r="AB1047" s="70">
        <f>AB332/'Terms and Turnovers'!$AX$62</f>
        <v>0</v>
      </c>
      <c r="AC1047" s="107"/>
      <c r="AD1047" s="70">
        <f>AD332/'Terms and Turnovers'!$AX$62</f>
        <v>0</v>
      </c>
      <c r="AE1047" s="107"/>
      <c r="AF1047" s="135">
        <f t="shared" si="102"/>
        <v>0</v>
      </c>
      <c r="AG1047" s="107"/>
      <c r="AH1047" s="136">
        <f t="shared" si="103"/>
        <v>0</v>
      </c>
      <c r="AI1047" s="107"/>
      <c r="AJ1047" s="65"/>
    </row>
    <row r="1048" spans="2:36" ht="13.5" customHeight="1" outlineLevel="1">
      <c r="B1048" s="82"/>
      <c r="C1048" s="425"/>
      <c r="D1048" s="425"/>
      <c r="E1048" s="634"/>
      <c r="F1048" s="635"/>
      <c r="G1048" s="428"/>
      <c r="H1048" s="635"/>
      <c r="I1048" s="428"/>
      <c r="J1048" s="635"/>
      <c r="K1048" s="636"/>
      <c r="L1048" s="635"/>
      <c r="M1048" s="636"/>
      <c r="N1048" s="635"/>
      <c r="O1048" s="636"/>
      <c r="P1048" s="635"/>
      <c r="Q1048" s="636"/>
      <c r="R1048" s="637"/>
      <c r="S1048" s="698">
        <f>SUM(R328:R332)/1.18-(SUM(R1043:R1047)*'Mark Up Validation'!$M$175)</f>
        <v>0</v>
      </c>
      <c r="T1048" s="635"/>
      <c r="U1048" s="636"/>
      <c r="V1048" s="635"/>
      <c r="W1048" s="636"/>
      <c r="X1048" s="635"/>
      <c r="Y1048" s="636"/>
      <c r="Z1048" s="635"/>
      <c r="AA1048" s="636"/>
      <c r="AB1048" s="635"/>
      <c r="AC1048" s="636"/>
      <c r="AD1048" s="635"/>
      <c r="AE1048" s="636"/>
      <c r="AF1048" s="637"/>
      <c r="AG1048" s="698">
        <f>SUM(AF328:AF332)/1.18-SUM(AF1043:AF1047)*'Mark Up Validation'!$M$175</f>
        <v>0</v>
      </c>
      <c r="AH1048" s="638"/>
      <c r="AI1048" s="698">
        <f>SUM(AH328:AH332)/1.18-SUM(AH1043:AH1047)*'Mark Up Validation'!$M$175</f>
        <v>0</v>
      </c>
      <c r="AJ1048" s="65"/>
    </row>
    <row r="1049" spans="2:36" ht="13.5" customHeight="1" outlineLevel="1" thickBot="1">
      <c r="B1049" s="82"/>
      <c r="C1049" s="1228" t="s">
        <v>487</v>
      </c>
      <c r="D1049" s="1229"/>
      <c r="E1049" s="699"/>
      <c r="F1049" s="700"/>
      <c r="G1049" s="701"/>
      <c r="H1049" s="700"/>
      <c r="I1049" s="701"/>
      <c r="J1049" s="700"/>
      <c r="K1049" s="702"/>
      <c r="L1049" s="700"/>
      <c r="M1049" s="702"/>
      <c r="N1049" s="700"/>
      <c r="O1049" s="702"/>
      <c r="P1049" s="700"/>
      <c r="Q1049" s="702"/>
      <c r="R1049" s="703"/>
      <c r="S1049" s="729">
        <f>IF(S1048&gt;0,S1048/(SUM(R328:R332)/1.18),0)</f>
        <v>0</v>
      </c>
      <c r="T1049" s="704"/>
      <c r="U1049" s="702"/>
      <c r="V1049" s="700"/>
      <c r="W1049" s="702"/>
      <c r="X1049" s="700"/>
      <c r="Y1049" s="702"/>
      <c r="Z1049" s="700"/>
      <c r="AA1049" s="702"/>
      <c r="AB1049" s="700"/>
      <c r="AC1049" s="702"/>
      <c r="AD1049" s="700"/>
      <c r="AE1049" s="702"/>
      <c r="AF1049" s="705"/>
      <c r="AG1049" s="729">
        <f>IF(AG1048&gt;0,AG1048/(SUM(AF328:AF332)/1.18),0)</f>
        <v>0</v>
      </c>
      <c r="AH1049" s="706"/>
      <c r="AI1049" s="729">
        <f>IF(AI1048&gt;0,AI1048/(SUM(AH328:AH332)/1.18),0)</f>
        <v>0</v>
      </c>
      <c r="AJ1049" s="65"/>
    </row>
    <row r="1050" spans="2:36" ht="12.75" customHeight="1" outlineLevel="1">
      <c r="B1050" s="82">
        <f>B1043+1</f>
        <v>48</v>
      </c>
      <c r="C1050" s="1233">
        <f>C335</f>
        <v>0</v>
      </c>
      <c r="D1050" s="1233">
        <f>D335</f>
        <v>0</v>
      </c>
      <c r="E1050" s="83" t="str">
        <f>'Terms and Turnovers'!$J$12</f>
        <v>FLIP-FLOPS</v>
      </c>
      <c r="F1050" s="68">
        <f>F335/'Terms and Turnovers'!$J63</f>
        <v>0</v>
      </c>
      <c r="G1050" s="106"/>
      <c r="H1050" s="68">
        <f>H335/'Terms and Turnovers'!$J63</f>
        <v>0</v>
      </c>
      <c r="I1050" s="106"/>
      <c r="J1050" s="68">
        <f>J335/'Terms and Turnovers'!$J63</f>
        <v>0</v>
      </c>
      <c r="K1050" s="106"/>
      <c r="L1050" s="68">
        <f>L335/'Terms and Turnovers'!$J63</f>
        <v>0</v>
      </c>
      <c r="M1050" s="106"/>
      <c r="N1050" s="68">
        <f>N335/'Terms and Turnovers'!$J63</f>
        <v>0</v>
      </c>
      <c r="O1050" s="106"/>
      <c r="P1050" s="68">
        <f>P335/'Terms and Turnovers'!$J63</f>
        <v>0</v>
      </c>
      <c r="Q1050" s="106"/>
      <c r="R1050" s="129">
        <f t="shared" si="101"/>
        <v>0</v>
      </c>
      <c r="S1050" s="106"/>
      <c r="T1050" s="68">
        <f>T335/'Terms and Turnovers'!$O63</f>
        <v>0</v>
      </c>
      <c r="U1050" s="106"/>
      <c r="V1050" s="68">
        <f>V335/'Terms and Turnovers'!$O63</f>
        <v>0</v>
      </c>
      <c r="W1050" s="106"/>
      <c r="X1050" s="68">
        <f>X335/'Terms and Turnovers'!$O63</f>
        <v>0</v>
      </c>
      <c r="Y1050" s="106"/>
      <c r="Z1050" s="68">
        <f>Z335/'Terms and Turnovers'!$O63</f>
        <v>0</v>
      </c>
      <c r="AA1050" s="106"/>
      <c r="AB1050" s="68">
        <f>AB335/'Terms and Turnovers'!$O63</f>
        <v>0</v>
      </c>
      <c r="AC1050" s="106"/>
      <c r="AD1050" s="68">
        <f>AD335/'Terms and Turnovers'!$O63</f>
        <v>0</v>
      </c>
      <c r="AE1050" s="106"/>
      <c r="AF1050" s="129">
        <f t="shared" si="102"/>
        <v>0</v>
      </c>
      <c r="AG1050" s="106"/>
      <c r="AH1050" s="130">
        <f t="shared" si="103"/>
        <v>0</v>
      </c>
      <c r="AI1050" s="106"/>
      <c r="AJ1050" s="65"/>
    </row>
    <row r="1051" spans="2:36" ht="12.75" customHeight="1" outlineLevel="1">
      <c r="B1051" s="82"/>
      <c r="C1051" s="1234"/>
      <c r="D1051" s="1234"/>
      <c r="E1051" s="84" t="str">
        <f>'Terms and Turnovers'!$T$12</f>
        <v>ORIGINALS</v>
      </c>
      <c r="F1051" s="70">
        <f>F336/'Terms and Turnovers'!$T63</f>
        <v>0</v>
      </c>
      <c r="G1051" s="728"/>
      <c r="H1051" s="70">
        <f>H336/'Terms and Turnovers'!$T63</f>
        <v>0</v>
      </c>
      <c r="I1051" s="728"/>
      <c r="J1051" s="70">
        <f>J336/'Terms and Turnovers'!$T63</f>
        <v>0</v>
      </c>
      <c r="K1051" s="728"/>
      <c r="L1051" s="70">
        <f>L336/'Terms and Turnovers'!$T63</f>
        <v>0</v>
      </c>
      <c r="M1051" s="728"/>
      <c r="N1051" s="70">
        <f>N336/'Terms and Turnovers'!$T63</f>
        <v>0</v>
      </c>
      <c r="O1051" s="728"/>
      <c r="P1051" s="70">
        <f>P336/'Terms and Turnovers'!$T63</f>
        <v>0</v>
      </c>
      <c r="Q1051" s="728"/>
      <c r="R1051" s="132">
        <f t="shared" si="101"/>
        <v>0</v>
      </c>
      <c r="S1051" s="728"/>
      <c r="T1051" s="70">
        <f>T336/'Terms and Turnovers'!$Y63</f>
        <v>0</v>
      </c>
      <c r="U1051" s="728"/>
      <c r="V1051" s="70">
        <f>V336/'Terms and Turnovers'!$Y63</f>
        <v>0</v>
      </c>
      <c r="W1051" s="728"/>
      <c r="X1051" s="70">
        <f>X336/'Terms and Turnovers'!$Y63</f>
        <v>0</v>
      </c>
      <c r="Y1051" s="728"/>
      <c r="Z1051" s="70">
        <f>Z336/'Terms and Turnovers'!$Y63</f>
        <v>0</v>
      </c>
      <c r="AA1051" s="728"/>
      <c r="AB1051" s="70">
        <f>AB336/'Terms and Turnovers'!$Y63</f>
        <v>0</v>
      </c>
      <c r="AC1051" s="728"/>
      <c r="AD1051" s="70">
        <f>AD336/'Terms and Turnovers'!$Y63</f>
        <v>0</v>
      </c>
      <c r="AE1051" s="728"/>
      <c r="AF1051" s="132">
        <f t="shared" si="102"/>
        <v>0</v>
      </c>
      <c r="AG1051" s="728"/>
      <c r="AH1051" s="133">
        <f t="shared" si="103"/>
        <v>0</v>
      </c>
      <c r="AI1051" s="728"/>
      <c r="AJ1051" s="65"/>
    </row>
    <row r="1052" spans="2:36" ht="12.75" customHeight="1" outlineLevel="1">
      <c r="B1052" s="82"/>
      <c r="C1052" s="1234"/>
      <c r="D1052" s="1234"/>
      <c r="E1052" s="84" t="str">
        <f>'Terms and Turnovers'!$AD$12</f>
        <v>ACCESSORIES</v>
      </c>
      <c r="F1052" s="70">
        <f>F337/'Terms and Turnovers'!$AD63</f>
        <v>0</v>
      </c>
      <c r="G1052" s="728"/>
      <c r="H1052" s="70">
        <f>H337/'Terms and Turnovers'!$AD63</f>
        <v>0</v>
      </c>
      <c r="I1052" s="728"/>
      <c r="J1052" s="70">
        <f>J337/'Terms and Turnovers'!$AD63</f>
        <v>0</v>
      </c>
      <c r="K1052" s="728"/>
      <c r="L1052" s="70">
        <f>L337/'Terms and Turnovers'!$AD63</f>
        <v>0</v>
      </c>
      <c r="M1052" s="728"/>
      <c r="N1052" s="70">
        <f>N337/'Terms and Turnovers'!$AD63</f>
        <v>0</v>
      </c>
      <c r="O1052" s="728"/>
      <c r="P1052" s="70">
        <f>P337/'Terms and Turnovers'!$AD63</f>
        <v>0</v>
      </c>
      <c r="Q1052" s="728"/>
      <c r="R1052" s="132">
        <f t="shared" si="101"/>
        <v>0</v>
      </c>
      <c r="S1052" s="728"/>
      <c r="T1052" s="70">
        <f>T337/'Terms and Turnovers'!$AI63</f>
        <v>0</v>
      </c>
      <c r="U1052" s="728"/>
      <c r="V1052" s="70">
        <f>V337/'Terms and Turnovers'!$AI63</f>
        <v>0</v>
      </c>
      <c r="W1052" s="728"/>
      <c r="X1052" s="70">
        <f>X337/'Terms and Turnovers'!$AI63</f>
        <v>0</v>
      </c>
      <c r="Y1052" s="728"/>
      <c r="Z1052" s="70">
        <f>Z337/'Terms and Turnovers'!$AI63</f>
        <v>0</v>
      </c>
      <c r="AA1052" s="728"/>
      <c r="AB1052" s="70">
        <f>AB337/'Terms and Turnovers'!$AI63</f>
        <v>0</v>
      </c>
      <c r="AC1052" s="728"/>
      <c r="AD1052" s="70">
        <f>AD337/'Terms and Turnovers'!$AI63</f>
        <v>0</v>
      </c>
      <c r="AE1052" s="728"/>
      <c r="AF1052" s="132">
        <f t="shared" si="102"/>
        <v>0</v>
      </c>
      <c r="AG1052" s="728"/>
      <c r="AH1052" s="133">
        <f t="shared" si="103"/>
        <v>0</v>
      </c>
      <c r="AI1052" s="728"/>
      <c r="AJ1052" s="65"/>
    </row>
    <row r="1053" spans="2:36" ht="12.75" customHeight="1" outlineLevel="1">
      <c r="B1053" s="82"/>
      <c r="C1053" s="1234"/>
      <c r="D1053" s="1234"/>
      <c r="E1053" s="84">
        <f>'Terms and Turnovers'!$AN$12</f>
        <v>0</v>
      </c>
      <c r="F1053" s="70">
        <f>F338/'Terms and Turnovers'!$AN63</f>
        <v>0</v>
      </c>
      <c r="G1053" s="728"/>
      <c r="H1053" s="70">
        <f>H338/'Terms and Turnovers'!$AN63</f>
        <v>0</v>
      </c>
      <c r="I1053" s="728"/>
      <c r="J1053" s="70">
        <f>J338/'Terms and Turnovers'!$AN63</f>
        <v>0</v>
      </c>
      <c r="K1053" s="728"/>
      <c r="L1053" s="70">
        <f>L338/'Terms and Turnovers'!$AN63</f>
        <v>0</v>
      </c>
      <c r="M1053" s="728"/>
      <c r="N1053" s="70">
        <f>N338/'Terms and Turnovers'!$AN63</f>
        <v>0</v>
      </c>
      <c r="O1053" s="728"/>
      <c r="P1053" s="70">
        <f>P338/'Terms and Turnovers'!$AN63</f>
        <v>0</v>
      </c>
      <c r="Q1053" s="728"/>
      <c r="R1053" s="132">
        <f t="shared" si="101"/>
        <v>0</v>
      </c>
      <c r="S1053" s="728"/>
      <c r="T1053" s="70">
        <f>T338/'Terms and Turnovers'!$AS63</f>
        <v>0</v>
      </c>
      <c r="U1053" s="728"/>
      <c r="V1053" s="70">
        <f>V338/'Terms and Turnovers'!$AS63</f>
        <v>0</v>
      </c>
      <c r="W1053" s="728"/>
      <c r="X1053" s="70">
        <f>X338/'Terms and Turnovers'!$AS63</f>
        <v>0</v>
      </c>
      <c r="Y1053" s="728"/>
      <c r="Z1053" s="70">
        <f>Z338/'Terms and Turnovers'!$AS63</f>
        <v>0</v>
      </c>
      <c r="AA1053" s="728"/>
      <c r="AB1053" s="70">
        <f>AB338/'Terms and Turnovers'!$AS63</f>
        <v>0</v>
      </c>
      <c r="AC1053" s="728"/>
      <c r="AD1053" s="70">
        <f>AD338/'Terms and Turnovers'!$AS63</f>
        <v>0</v>
      </c>
      <c r="AE1053" s="728"/>
      <c r="AF1053" s="132">
        <f t="shared" si="102"/>
        <v>0</v>
      </c>
      <c r="AG1053" s="728"/>
      <c r="AH1053" s="133">
        <f t="shared" si="103"/>
        <v>0</v>
      </c>
      <c r="AI1053" s="728"/>
      <c r="AJ1053" s="65"/>
    </row>
    <row r="1054" spans="2:36" ht="13.5" customHeight="1" outlineLevel="1" thickBot="1">
      <c r="B1054" s="82"/>
      <c r="C1054" s="1235"/>
      <c r="D1054" s="1235"/>
      <c r="E1054" s="85">
        <f>'Terms and Turnovers'!$AX$12</f>
        <v>0</v>
      </c>
      <c r="F1054" s="70">
        <f>F339/'Terms and Turnovers'!$AX63</f>
        <v>0</v>
      </c>
      <c r="G1054" s="107"/>
      <c r="H1054" s="70">
        <f>H339/'Terms and Turnovers'!$AX63</f>
        <v>0</v>
      </c>
      <c r="I1054" s="107"/>
      <c r="J1054" s="70">
        <f>J339/'Terms and Turnovers'!$AX63</f>
        <v>0</v>
      </c>
      <c r="K1054" s="107"/>
      <c r="L1054" s="70">
        <f>L339/'Terms and Turnovers'!$AX63</f>
        <v>0</v>
      </c>
      <c r="M1054" s="107"/>
      <c r="N1054" s="70">
        <f>N339/'Terms and Turnovers'!$AX63</f>
        <v>0</v>
      </c>
      <c r="O1054" s="107"/>
      <c r="P1054" s="70">
        <f>P339/'Terms and Turnovers'!$AX63</f>
        <v>0</v>
      </c>
      <c r="Q1054" s="107"/>
      <c r="R1054" s="135">
        <f t="shared" si="101"/>
        <v>0</v>
      </c>
      <c r="S1054" s="107"/>
      <c r="T1054" s="70">
        <f>T339/'Terms and Turnovers'!$AX$63</f>
        <v>0</v>
      </c>
      <c r="U1054" s="107"/>
      <c r="V1054" s="70">
        <f>V339/'Terms and Turnovers'!$AX$63</f>
        <v>0</v>
      </c>
      <c r="W1054" s="107"/>
      <c r="X1054" s="70">
        <f>X339/'Terms and Turnovers'!$AX$63</f>
        <v>0</v>
      </c>
      <c r="Y1054" s="107"/>
      <c r="Z1054" s="70">
        <f>Z339/'Terms and Turnovers'!$AX$63</f>
        <v>0</v>
      </c>
      <c r="AA1054" s="107"/>
      <c r="AB1054" s="70">
        <f>AB339/'Terms and Turnovers'!$AX$63</f>
        <v>0</v>
      </c>
      <c r="AC1054" s="107"/>
      <c r="AD1054" s="70">
        <f>AD339/'Terms and Turnovers'!$AX$63</f>
        <v>0</v>
      </c>
      <c r="AE1054" s="107"/>
      <c r="AF1054" s="135">
        <f t="shared" si="102"/>
        <v>0</v>
      </c>
      <c r="AG1054" s="107"/>
      <c r="AH1054" s="136">
        <f t="shared" si="103"/>
        <v>0</v>
      </c>
      <c r="AI1054" s="107"/>
      <c r="AJ1054" s="65"/>
    </row>
    <row r="1055" spans="2:36" ht="13.5" customHeight="1" outlineLevel="1">
      <c r="B1055" s="82"/>
      <c r="C1055" s="425"/>
      <c r="D1055" s="425"/>
      <c r="E1055" s="634"/>
      <c r="F1055" s="635"/>
      <c r="G1055" s="428"/>
      <c r="H1055" s="635"/>
      <c r="I1055" s="428"/>
      <c r="J1055" s="635"/>
      <c r="K1055" s="636"/>
      <c r="L1055" s="635"/>
      <c r="M1055" s="636"/>
      <c r="N1055" s="635"/>
      <c r="O1055" s="636"/>
      <c r="P1055" s="635"/>
      <c r="Q1055" s="636"/>
      <c r="R1055" s="637"/>
      <c r="S1055" s="698">
        <f>SUM(R335:R339)/1.18-(SUM(R1050:R1054)*'Mark Up Validation'!$M$175)</f>
        <v>0</v>
      </c>
      <c r="T1055" s="635"/>
      <c r="U1055" s="636"/>
      <c r="V1055" s="635"/>
      <c r="W1055" s="636"/>
      <c r="X1055" s="635"/>
      <c r="Y1055" s="636"/>
      <c r="Z1055" s="635"/>
      <c r="AA1055" s="636"/>
      <c r="AB1055" s="635"/>
      <c r="AC1055" s="636"/>
      <c r="AD1055" s="635"/>
      <c r="AE1055" s="636"/>
      <c r="AF1055" s="637"/>
      <c r="AG1055" s="698">
        <f>SUM(AF335:AF339)/1.18-SUM(AF1050:AF1054)*'Mark Up Validation'!$M$175</f>
        <v>0</v>
      </c>
      <c r="AH1055" s="638"/>
      <c r="AI1055" s="698">
        <f>SUM(AH335:AH339)/1.18-SUM(AH1050:AH1054)*'Mark Up Validation'!$M$175</f>
        <v>0</v>
      </c>
      <c r="AJ1055" s="65"/>
    </row>
    <row r="1056" spans="2:36" ht="13.5" customHeight="1" outlineLevel="1" thickBot="1">
      <c r="B1056" s="82"/>
      <c r="C1056" s="1228" t="s">
        <v>487</v>
      </c>
      <c r="D1056" s="1229"/>
      <c r="E1056" s="699"/>
      <c r="F1056" s="700"/>
      <c r="G1056" s="701"/>
      <c r="H1056" s="700"/>
      <c r="I1056" s="701"/>
      <c r="J1056" s="700"/>
      <c r="K1056" s="702"/>
      <c r="L1056" s="700"/>
      <c r="M1056" s="702"/>
      <c r="N1056" s="700"/>
      <c r="O1056" s="702"/>
      <c r="P1056" s="700"/>
      <c r="Q1056" s="702"/>
      <c r="R1056" s="703"/>
      <c r="S1056" s="729">
        <f>IF(S1055&gt;0,S1055/(SUM(R335:R339)/1.18),0)</f>
        <v>0</v>
      </c>
      <c r="T1056" s="704"/>
      <c r="U1056" s="702"/>
      <c r="V1056" s="700"/>
      <c r="W1056" s="702"/>
      <c r="X1056" s="700"/>
      <c r="Y1056" s="702"/>
      <c r="Z1056" s="700"/>
      <c r="AA1056" s="702"/>
      <c r="AB1056" s="700"/>
      <c r="AC1056" s="702"/>
      <c r="AD1056" s="700"/>
      <c r="AE1056" s="702"/>
      <c r="AF1056" s="705"/>
      <c r="AG1056" s="729">
        <f>IF(AG1055&gt;0,AG1055/(SUM(AF335:AF339)/1.18),0)</f>
        <v>0</v>
      </c>
      <c r="AH1056" s="706"/>
      <c r="AI1056" s="729">
        <f>IF(AI1055&gt;0,AI1055/(SUM(AH335:AH339)/1.18),0)</f>
        <v>0</v>
      </c>
      <c r="AJ1056" s="65"/>
    </row>
    <row r="1057" spans="2:36" ht="12.75" customHeight="1" outlineLevel="1">
      <c r="B1057" s="82">
        <f>B1050+1</f>
        <v>49</v>
      </c>
      <c r="C1057" s="1233">
        <f>C342</f>
        <v>0</v>
      </c>
      <c r="D1057" s="1233">
        <f>D342</f>
        <v>0</v>
      </c>
      <c r="E1057" s="83" t="str">
        <f>'Terms and Turnovers'!$J$12</f>
        <v>FLIP-FLOPS</v>
      </c>
      <c r="F1057" s="68">
        <f>F342/'Terms and Turnovers'!$J64</f>
        <v>0</v>
      </c>
      <c r="G1057" s="106"/>
      <c r="H1057" s="68">
        <f>H342/'Terms and Turnovers'!$J64</f>
        <v>0</v>
      </c>
      <c r="I1057" s="106"/>
      <c r="J1057" s="68">
        <f>J342/'Terms and Turnovers'!$J64</f>
        <v>0</v>
      </c>
      <c r="K1057" s="106"/>
      <c r="L1057" s="68">
        <f>L342/'Terms and Turnovers'!$J64</f>
        <v>0</v>
      </c>
      <c r="M1057" s="106"/>
      <c r="N1057" s="68">
        <f>N342/'Terms and Turnovers'!$J64</f>
        <v>0</v>
      </c>
      <c r="O1057" s="106"/>
      <c r="P1057" s="68">
        <f>P342/'Terms and Turnovers'!$J64</f>
        <v>0</v>
      </c>
      <c r="Q1057" s="106"/>
      <c r="R1057" s="129">
        <f t="shared" si="101"/>
        <v>0</v>
      </c>
      <c r="S1057" s="106"/>
      <c r="T1057" s="68">
        <f>T342/'Terms and Turnovers'!$O64</f>
        <v>0</v>
      </c>
      <c r="U1057" s="106"/>
      <c r="V1057" s="68">
        <f>V342/'Terms and Turnovers'!$O64</f>
        <v>0</v>
      </c>
      <c r="W1057" s="106"/>
      <c r="X1057" s="68">
        <f>X342/'Terms and Turnovers'!$O64</f>
        <v>0</v>
      </c>
      <c r="Y1057" s="106"/>
      <c r="Z1057" s="68">
        <f>Z342/'Terms and Turnovers'!$O64</f>
        <v>0</v>
      </c>
      <c r="AA1057" s="106"/>
      <c r="AB1057" s="68">
        <f>AB342/'Terms and Turnovers'!$O64</f>
        <v>0</v>
      </c>
      <c r="AC1057" s="106"/>
      <c r="AD1057" s="68">
        <f>AD342/'Terms and Turnovers'!$O64</f>
        <v>0</v>
      </c>
      <c r="AE1057" s="106"/>
      <c r="AF1057" s="129">
        <f t="shared" si="102"/>
        <v>0</v>
      </c>
      <c r="AG1057" s="106"/>
      <c r="AH1057" s="130">
        <f t="shared" si="103"/>
        <v>0</v>
      </c>
      <c r="AI1057" s="106"/>
      <c r="AJ1057" s="65"/>
    </row>
    <row r="1058" spans="2:36" ht="12.75" customHeight="1" outlineLevel="1">
      <c r="B1058" s="82"/>
      <c r="C1058" s="1234"/>
      <c r="D1058" s="1234"/>
      <c r="E1058" s="84" t="str">
        <f>'Terms and Turnovers'!$T$12</f>
        <v>ORIGINALS</v>
      </c>
      <c r="F1058" s="70">
        <f>F343/'Terms and Turnovers'!$T64</f>
        <v>0</v>
      </c>
      <c r="G1058" s="728"/>
      <c r="H1058" s="70">
        <f>H343/'Terms and Turnovers'!$T64</f>
        <v>0</v>
      </c>
      <c r="I1058" s="728"/>
      <c r="J1058" s="70">
        <f>J343/'Terms and Turnovers'!$T64</f>
        <v>0</v>
      </c>
      <c r="K1058" s="728"/>
      <c r="L1058" s="70">
        <f>L343/'Terms and Turnovers'!$T64</f>
        <v>0</v>
      </c>
      <c r="M1058" s="728"/>
      <c r="N1058" s="70">
        <f>N343/'Terms and Turnovers'!$T64</f>
        <v>0</v>
      </c>
      <c r="O1058" s="728"/>
      <c r="P1058" s="70">
        <f>P343/'Terms and Turnovers'!$T64</f>
        <v>0</v>
      </c>
      <c r="Q1058" s="728"/>
      <c r="R1058" s="132">
        <f t="shared" si="101"/>
        <v>0</v>
      </c>
      <c r="S1058" s="728"/>
      <c r="T1058" s="70">
        <f>T343/'Terms and Turnovers'!$Y64</f>
        <v>0</v>
      </c>
      <c r="U1058" s="728"/>
      <c r="V1058" s="70">
        <f>V343/'Terms and Turnovers'!$Y64</f>
        <v>0</v>
      </c>
      <c r="W1058" s="728"/>
      <c r="X1058" s="70">
        <f>X343/'Terms and Turnovers'!$Y64</f>
        <v>0</v>
      </c>
      <c r="Y1058" s="728"/>
      <c r="Z1058" s="70">
        <f>Z343/'Terms and Turnovers'!$Y64</f>
        <v>0</v>
      </c>
      <c r="AA1058" s="728"/>
      <c r="AB1058" s="70">
        <f>AB343/'Terms and Turnovers'!$Y64</f>
        <v>0</v>
      </c>
      <c r="AC1058" s="728"/>
      <c r="AD1058" s="70">
        <f>AD343/'Terms and Turnovers'!$Y64</f>
        <v>0</v>
      </c>
      <c r="AE1058" s="728"/>
      <c r="AF1058" s="132">
        <f t="shared" si="102"/>
        <v>0</v>
      </c>
      <c r="AG1058" s="728"/>
      <c r="AH1058" s="133">
        <f t="shared" si="103"/>
        <v>0</v>
      </c>
      <c r="AI1058" s="728"/>
      <c r="AJ1058" s="65"/>
    </row>
    <row r="1059" spans="2:36" ht="12.75" customHeight="1" outlineLevel="1">
      <c r="B1059" s="82"/>
      <c r="C1059" s="1234"/>
      <c r="D1059" s="1234"/>
      <c r="E1059" s="84" t="str">
        <f>'Terms and Turnovers'!$AD$12</f>
        <v>ACCESSORIES</v>
      </c>
      <c r="F1059" s="70">
        <f>F344/'Terms and Turnovers'!$AD64</f>
        <v>0</v>
      </c>
      <c r="G1059" s="728"/>
      <c r="H1059" s="70">
        <f>H344/'Terms and Turnovers'!$AD64</f>
        <v>0</v>
      </c>
      <c r="I1059" s="728"/>
      <c r="J1059" s="70">
        <f>J344/'Terms and Turnovers'!$AD64</f>
        <v>0</v>
      </c>
      <c r="K1059" s="728"/>
      <c r="L1059" s="70">
        <f>L344/'Terms and Turnovers'!$AD64</f>
        <v>0</v>
      </c>
      <c r="M1059" s="728"/>
      <c r="N1059" s="70">
        <f>N344/'Terms and Turnovers'!$AD64</f>
        <v>0</v>
      </c>
      <c r="O1059" s="728"/>
      <c r="P1059" s="70">
        <f>P344/'Terms and Turnovers'!$AD64</f>
        <v>0</v>
      </c>
      <c r="Q1059" s="728"/>
      <c r="R1059" s="132">
        <f t="shared" si="101"/>
        <v>0</v>
      </c>
      <c r="S1059" s="728"/>
      <c r="T1059" s="70">
        <f>T344/'Terms and Turnovers'!$AI64</f>
        <v>0</v>
      </c>
      <c r="U1059" s="728"/>
      <c r="V1059" s="70">
        <f>V344/'Terms and Turnovers'!$AI64</f>
        <v>0</v>
      </c>
      <c r="W1059" s="728"/>
      <c r="X1059" s="70">
        <f>X344/'Terms and Turnovers'!$AI64</f>
        <v>0</v>
      </c>
      <c r="Y1059" s="728"/>
      <c r="Z1059" s="70">
        <f>Z344/'Terms and Turnovers'!$AI64</f>
        <v>0</v>
      </c>
      <c r="AA1059" s="728"/>
      <c r="AB1059" s="70">
        <f>AB344/'Terms and Turnovers'!$AI64</f>
        <v>0</v>
      </c>
      <c r="AC1059" s="728"/>
      <c r="AD1059" s="70">
        <f>AD344/'Terms and Turnovers'!$AI64</f>
        <v>0</v>
      </c>
      <c r="AE1059" s="728"/>
      <c r="AF1059" s="132">
        <f t="shared" si="102"/>
        <v>0</v>
      </c>
      <c r="AG1059" s="728"/>
      <c r="AH1059" s="133">
        <f t="shared" si="103"/>
        <v>0</v>
      </c>
      <c r="AI1059" s="728"/>
      <c r="AJ1059" s="65"/>
    </row>
    <row r="1060" spans="2:36" ht="12.75" customHeight="1" outlineLevel="1">
      <c r="B1060" s="82"/>
      <c r="C1060" s="1234"/>
      <c r="D1060" s="1234"/>
      <c r="E1060" s="84">
        <f>'Terms and Turnovers'!$AN$12</f>
        <v>0</v>
      </c>
      <c r="F1060" s="70">
        <f>F345/'Terms and Turnovers'!$AN64</f>
        <v>0</v>
      </c>
      <c r="G1060" s="728"/>
      <c r="H1060" s="70">
        <f>H345/'Terms and Turnovers'!$AN64</f>
        <v>0</v>
      </c>
      <c r="I1060" s="728"/>
      <c r="J1060" s="70">
        <f>J345/'Terms and Turnovers'!$AN64</f>
        <v>0</v>
      </c>
      <c r="K1060" s="728"/>
      <c r="L1060" s="70">
        <f>L345/'Terms and Turnovers'!$AN64</f>
        <v>0</v>
      </c>
      <c r="M1060" s="728"/>
      <c r="N1060" s="70">
        <f>N345/'Terms and Turnovers'!$AN64</f>
        <v>0</v>
      </c>
      <c r="O1060" s="728"/>
      <c r="P1060" s="70">
        <f>P345/'Terms and Turnovers'!$AN64</f>
        <v>0</v>
      </c>
      <c r="Q1060" s="728"/>
      <c r="R1060" s="132">
        <f t="shared" si="101"/>
        <v>0</v>
      </c>
      <c r="S1060" s="728"/>
      <c r="T1060" s="70">
        <f>T345/'Terms and Turnovers'!$AS64</f>
        <v>0</v>
      </c>
      <c r="U1060" s="728"/>
      <c r="V1060" s="70">
        <f>V345/'Terms and Turnovers'!$AS64</f>
        <v>0</v>
      </c>
      <c r="W1060" s="728"/>
      <c r="X1060" s="70">
        <f>X345/'Terms and Turnovers'!$AS64</f>
        <v>0</v>
      </c>
      <c r="Y1060" s="728"/>
      <c r="Z1060" s="70">
        <f>Z345/'Terms and Turnovers'!$AS64</f>
        <v>0</v>
      </c>
      <c r="AA1060" s="728"/>
      <c r="AB1060" s="70">
        <f>AB345/'Terms and Turnovers'!$AS64</f>
        <v>0</v>
      </c>
      <c r="AC1060" s="728"/>
      <c r="AD1060" s="70">
        <f>AD345/'Terms and Turnovers'!$AS64</f>
        <v>0</v>
      </c>
      <c r="AE1060" s="728"/>
      <c r="AF1060" s="132">
        <f t="shared" si="102"/>
        <v>0</v>
      </c>
      <c r="AG1060" s="728"/>
      <c r="AH1060" s="133">
        <f t="shared" si="103"/>
        <v>0</v>
      </c>
      <c r="AI1060" s="728"/>
      <c r="AJ1060" s="65"/>
    </row>
    <row r="1061" spans="2:36" ht="13.5" customHeight="1" outlineLevel="1" thickBot="1">
      <c r="B1061" s="82"/>
      <c r="C1061" s="1235"/>
      <c r="D1061" s="1235"/>
      <c r="E1061" s="85">
        <f>'Terms and Turnovers'!$AX$12</f>
        <v>0</v>
      </c>
      <c r="F1061" s="70">
        <f>F346/'Terms and Turnovers'!$AX64</f>
        <v>0</v>
      </c>
      <c r="G1061" s="107"/>
      <c r="H1061" s="70">
        <f>H346/'Terms and Turnovers'!$AX64</f>
        <v>0</v>
      </c>
      <c r="I1061" s="107"/>
      <c r="J1061" s="70">
        <f>J346/'Terms and Turnovers'!$AX64</f>
        <v>0</v>
      </c>
      <c r="K1061" s="107"/>
      <c r="L1061" s="70">
        <f>L346/'Terms and Turnovers'!$AX64</f>
        <v>0</v>
      </c>
      <c r="M1061" s="107"/>
      <c r="N1061" s="70">
        <f>N346/'Terms and Turnovers'!$AX64</f>
        <v>0</v>
      </c>
      <c r="O1061" s="107"/>
      <c r="P1061" s="70">
        <f>P346/'Terms and Turnovers'!$AX64</f>
        <v>0</v>
      </c>
      <c r="Q1061" s="107"/>
      <c r="R1061" s="135">
        <f t="shared" si="101"/>
        <v>0</v>
      </c>
      <c r="S1061" s="107"/>
      <c r="T1061" s="70">
        <f>T346/'Terms and Turnovers'!$AX$64</f>
        <v>0</v>
      </c>
      <c r="U1061" s="107"/>
      <c r="V1061" s="70">
        <f>V346/'Terms and Turnovers'!$AX$64</f>
        <v>0</v>
      </c>
      <c r="W1061" s="107"/>
      <c r="X1061" s="70">
        <f>X346/'Terms and Turnovers'!$AX$64</f>
        <v>0</v>
      </c>
      <c r="Y1061" s="107"/>
      <c r="Z1061" s="70">
        <f>Z346/'Terms and Turnovers'!$AX$64</f>
        <v>0</v>
      </c>
      <c r="AA1061" s="107"/>
      <c r="AB1061" s="70">
        <f>AB346/'Terms and Turnovers'!$AX$64</f>
        <v>0</v>
      </c>
      <c r="AC1061" s="107"/>
      <c r="AD1061" s="70">
        <f>AD346/'Terms and Turnovers'!$AX$64</f>
        <v>0</v>
      </c>
      <c r="AE1061" s="107"/>
      <c r="AF1061" s="135">
        <f t="shared" si="102"/>
        <v>0</v>
      </c>
      <c r="AG1061" s="107"/>
      <c r="AH1061" s="136">
        <f t="shared" si="103"/>
        <v>0</v>
      </c>
      <c r="AI1061" s="107"/>
      <c r="AJ1061" s="65"/>
    </row>
    <row r="1062" spans="2:36" ht="13.5" customHeight="1" outlineLevel="1">
      <c r="B1062" s="82"/>
      <c r="C1062" s="425"/>
      <c r="D1062" s="425"/>
      <c r="E1062" s="634"/>
      <c r="F1062" s="635"/>
      <c r="G1062" s="428"/>
      <c r="H1062" s="635"/>
      <c r="I1062" s="428"/>
      <c r="J1062" s="635"/>
      <c r="K1062" s="636"/>
      <c r="L1062" s="635"/>
      <c r="M1062" s="636"/>
      <c r="N1062" s="635"/>
      <c r="O1062" s="636"/>
      <c r="P1062" s="635"/>
      <c r="Q1062" s="636"/>
      <c r="R1062" s="637"/>
      <c r="S1062" s="698">
        <f>SUM(R342:R346)/1.18-(SUM(R1057:R1061)*'Mark Up Validation'!$M$175)</f>
        <v>0</v>
      </c>
      <c r="T1062" s="635"/>
      <c r="U1062" s="636"/>
      <c r="V1062" s="635"/>
      <c r="W1062" s="636"/>
      <c r="X1062" s="635"/>
      <c r="Y1062" s="636"/>
      <c r="Z1062" s="635"/>
      <c r="AA1062" s="636"/>
      <c r="AB1062" s="635"/>
      <c r="AC1062" s="636"/>
      <c r="AD1062" s="635"/>
      <c r="AE1062" s="636"/>
      <c r="AF1062" s="637"/>
      <c r="AG1062" s="698">
        <f>SUM(AF342:AF346)/1.18-SUM(AF1057:AF1061)*'Mark Up Validation'!$M$175</f>
        <v>0</v>
      </c>
      <c r="AH1062" s="638"/>
      <c r="AI1062" s="698">
        <f>SUM(AH342:AH346)/1.18-SUM(AH1057:AH1061)*'Mark Up Validation'!$M$175</f>
        <v>0</v>
      </c>
      <c r="AJ1062" s="65"/>
    </row>
    <row r="1063" spans="2:36" ht="13.5" customHeight="1" outlineLevel="1" thickBot="1">
      <c r="B1063" s="82"/>
      <c r="C1063" s="1228" t="s">
        <v>487</v>
      </c>
      <c r="D1063" s="1229"/>
      <c r="E1063" s="699"/>
      <c r="F1063" s="700"/>
      <c r="G1063" s="701"/>
      <c r="H1063" s="700"/>
      <c r="I1063" s="701"/>
      <c r="J1063" s="700"/>
      <c r="K1063" s="702"/>
      <c r="L1063" s="700"/>
      <c r="M1063" s="702"/>
      <c r="N1063" s="700"/>
      <c r="O1063" s="702"/>
      <c r="P1063" s="700"/>
      <c r="Q1063" s="702"/>
      <c r="R1063" s="703"/>
      <c r="S1063" s="729">
        <f>IF(S1062&gt;0,S1062/(SUM(R342:R346)/1.18),0)</f>
        <v>0</v>
      </c>
      <c r="T1063" s="704"/>
      <c r="U1063" s="702"/>
      <c r="V1063" s="700"/>
      <c r="W1063" s="702"/>
      <c r="X1063" s="700"/>
      <c r="Y1063" s="702"/>
      <c r="Z1063" s="700"/>
      <c r="AA1063" s="702"/>
      <c r="AB1063" s="700"/>
      <c r="AC1063" s="702"/>
      <c r="AD1063" s="700"/>
      <c r="AE1063" s="702"/>
      <c r="AF1063" s="705"/>
      <c r="AG1063" s="729">
        <f>IF(AG1062&gt;0,AG1062/(SUM(AF342:AF346)/1.18),0)</f>
        <v>0</v>
      </c>
      <c r="AH1063" s="706"/>
      <c r="AI1063" s="729">
        <f>IF(AI1062&gt;0,AI1062/(SUM(AH342:AH346)/1.18),0)</f>
        <v>0</v>
      </c>
      <c r="AJ1063" s="65"/>
    </row>
    <row r="1064" spans="2:36" ht="12.75" customHeight="1" outlineLevel="1">
      <c r="B1064" s="82">
        <f>B1057+1</f>
        <v>50</v>
      </c>
      <c r="C1064" s="1233">
        <f>C349</f>
        <v>0</v>
      </c>
      <c r="D1064" s="1233">
        <f>D349</f>
        <v>0</v>
      </c>
      <c r="E1064" s="83" t="str">
        <f>'Terms and Turnovers'!$J$12</f>
        <v>FLIP-FLOPS</v>
      </c>
      <c r="F1064" s="68">
        <f>F349/'Terms and Turnovers'!$J65</f>
        <v>0</v>
      </c>
      <c r="G1064" s="106"/>
      <c r="H1064" s="68">
        <f>H349/'Terms and Turnovers'!$J65</f>
        <v>0</v>
      </c>
      <c r="I1064" s="106"/>
      <c r="J1064" s="68">
        <f>J349/'Terms and Turnovers'!$J65</f>
        <v>0</v>
      </c>
      <c r="K1064" s="106"/>
      <c r="L1064" s="68">
        <f>L349/'Terms and Turnovers'!$J65</f>
        <v>0</v>
      </c>
      <c r="M1064" s="106"/>
      <c r="N1064" s="68">
        <f>N349/'Terms and Turnovers'!$J65</f>
        <v>0</v>
      </c>
      <c r="O1064" s="106"/>
      <c r="P1064" s="68">
        <f>P349/'Terms and Turnovers'!$J65</f>
        <v>0</v>
      </c>
      <c r="Q1064" s="106"/>
      <c r="R1064" s="129">
        <f t="shared" si="101"/>
        <v>0</v>
      </c>
      <c r="S1064" s="106"/>
      <c r="T1064" s="68">
        <f>T349/'Terms and Turnovers'!$O65</f>
        <v>0</v>
      </c>
      <c r="U1064" s="106"/>
      <c r="V1064" s="68">
        <f>V349/'Terms and Turnovers'!$O65</f>
        <v>0</v>
      </c>
      <c r="W1064" s="106"/>
      <c r="X1064" s="68">
        <f>X349/'Terms and Turnovers'!$O65</f>
        <v>0</v>
      </c>
      <c r="Y1064" s="106"/>
      <c r="Z1064" s="68">
        <f>Z349/'Terms and Turnovers'!$O65</f>
        <v>0</v>
      </c>
      <c r="AA1064" s="106"/>
      <c r="AB1064" s="68">
        <f>AB349/'Terms and Turnovers'!$O65</f>
        <v>0</v>
      </c>
      <c r="AC1064" s="106"/>
      <c r="AD1064" s="68">
        <f>AD349/'Terms and Turnovers'!$O65</f>
        <v>0</v>
      </c>
      <c r="AE1064" s="106"/>
      <c r="AF1064" s="129">
        <f t="shared" si="102"/>
        <v>0</v>
      </c>
      <c r="AG1064" s="106"/>
      <c r="AH1064" s="130">
        <f t="shared" si="103"/>
        <v>0</v>
      </c>
      <c r="AI1064" s="106"/>
      <c r="AJ1064" s="65"/>
    </row>
    <row r="1065" spans="2:36" ht="12.75" customHeight="1" outlineLevel="1">
      <c r="B1065" s="82"/>
      <c r="C1065" s="1234"/>
      <c r="D1065" s="1234"/>
      <c r="E1065" s="84" t="str">
        <f>'Terms and Turnovers'!$T$12</f>
        <v>ORIGINALS</v>
      </c>
      <c r="F1065" s="70">
        <f>F350/'Terms and Turnovers'!$T65</f>
        <v>0</v>
      </c>
      <c r="G1065" s="728"/>
      <c r="H1065" s="70">
        <f>H350/'Terms and Turnovers'!$T65</f>
        <v>0</v>
      </c>
      <c r="I1065" s="728"/>
      <c r="J1065" s="70">
        <f>J350/'Terms and Turnovers'!$T65</f>
        <v>0</v>
      </c>
      <c r="K1065" s="728"/>
      <c r="L1065" s="70">
        <f>L350/'Terms and Turnovers'!$T65</f>
        <v>0</v>
      </c>
      <c r="M1065" s="728"/>
      <c r="N1065" s="70">
        <f>N350/'Terms and Turnovers'!$T65</f>
        <v>0</v>
      </c>
      <c r="O1065" s="728"/>
      <c r="P1065" s="70">
        <f>P350/'Terms and Turnovers'!$T65</f>
        <v>0</v>
      </c>
      <c r="Q1065" s="728"/>
      <c r="R1065" s="132">
        <f t="shared" si="101"/>
        <v>0</v>
      </c>
      <c r="S1065" s="728"/>
      <c r="T1065" s="70">
        <f>T350/'Terms and Turnovers'!$Y65</f>
        <v>0</v>
      </c>
      <c r="U1065" s="728"/>
      <c r="V1065" s="70">
        <f>V350/'Terms and Turnovers'!$Y65</f>
        <v>0</v>
      </c>
      <c r="W1065" s="728"/>
      <c r="X1065" s="70">
        <f>X350/'Terms and Turnovers'!$Y65</f>
        <v>0</v>
      </c>
      <c r="Y1065" s="728"/>
      <c r="Z1065" s="70">
        <f>Z350/'Terms and Turnovers'!$Y65</f>
        <v>0</v>
      </c>
      <c r="AA1065" s="728"/>
      <c r="AB1065" s="70">
        <f>AB350/'Terms and Turnovers'!$Y65</f>
        <v>0</v>
      </c>
      <c r="AC1065" s="728"/>
      <c r="AD1065" s="70">
        <f>AD350/'Terms and Turnovers'!$Y65</f>
        <v>0</v>
      </c>
      <c r="AE1065" s="728"/>
      <c r="AF1065" s="132">
        <f t="shared" si="102"/>
        <v>0</v>
      </c>
      <c r="AG1065" s="728"/>
      <c r="AH1065" s="133">
        <f t="shared" si="103"/>
        <v>0</v>
      </c>
      <c r="AI1065" s="728"/>
      <c r="AJ1065" s="65"/>
    </row>
    <row r="1066" spans="2:36" ht="12.75" customHeight="1" outlineLevel="1">
      <c r="B1066" s="82"/>
      <c r="C1066" s="1234"/>
      <c r="D1066" s="1234"/>
      <c r="E1066" s="84" t="str">
        <f>'Terms and Turnovers'!$AD$12</f>
        <v>ACCESSORIES</v>
      </c>
      <c r="F1066" s="70">
        <f>F351/'Terms and Turnovers'!$AD65</f>
        <v>0</v>
      </c>
      <c r="G1066" s="728"/>
      <c r="H1066" s="70">
        <f>H351/'Terms and Turnovers'!$AD65</f>
        <v>0</v>
      </c>
      <c r="I1066" s="728"/>
      <c r="J1066" s="70">
        <f>J351/'Terms and Turnovers'!$AD65</f>
        <v>0</v>
      </c>
      <c r="K1066" s="728"/>
      <c r="L1066" s="70">
        <f>L351/'Terms and Turnovers'!$AD65</f>
        <v>0</v>
      </c>
      <c r="M1066" s="728"/>
      <c r="N1066" s="70">
        <f>N351/'Terms and Turnovers'!$AD65</f>
        <v>0</v>
      </c>
      <c r="O1066" s="728"/>
      <c r="P1066" s="70">
        <f>P351/'Terms and Turnovers'!$AD65</f>
        <v>0</v>
      </c>
      <c r="Q1066" s="728"/>
      <c r="R1066" s="132">
        <f t="shared" si="101"/>
        <v>0</v>
      </c>
      <c r="S1066" s="728"/>
      <c r="T1066" s="70">
        <f>T351/'Terms and Turnovers'!$AI65</f>
        <v>0</v>
      </c>
      <c r="U1066" s="728"/>
      <c r="V1066" s="70">
        <f>V351/'Terms and Turnovers'!$AI65</f>
        <v>0</v>
      </c>
      <c r="W1066" s="728"/>
      <c r="X1066" s="70">
        <f>X351/'Terms and Turnovers'!$AI65</f>
        <v>0</v>
      </c>
      <c r="Y1066" s="728"/>
      <c r="Z1066" s="70">
        <f>Z351/'Terms and Turnovers'!$AI65</f>
        <v>0</v>
      </c>
      <c r="AA1066" s="728"/>
      <c r="AB1066" s="70">
        <f>AB351/'Terms and Turnovers'!$AI65</f>
        <v>0</v>
      </c>
      <c r="AC1066" s="728"/>
      <c r="AD1066" s="70">
        <f>AD351/'Terms and Turnovers'!$AI65</f>
        <v>0</v>
      </c>
      <c r="AE1066" s="728"/>
      <c r="AF1066" s="132">
        <f t="shared" si="102"/>
        <v>0</v>
      </c>
      <c r="AG1066" s="728"/>
      <c r="AH1066" s="133">
        <f t="shared" si="103"/>
        <v>0</v>
      </c>
      <c r="AI1066" s="728"/>
      <c r="AJ1066" s="65"/>
    </row>
    <row r="1067" spans="2:36" ht="12.75" customHeight="1" outlineLevel="1">
      <c r="B1067" s="82"/>
      <c r="C1067" s="1234"/>
      <c r="D1067" s="1234"/>
      <c r="E1067" s="84">
        <f>'Terms and Turnovers'!$AN$12</f>
        <v>0</v>
      </c>
      <c r="F1067" s="70">
        <f>F352/'Terms and Turnovers'!$AN65</f>
        <v>0</v>
      </c>
      <c r="G1067" s="728"/>
      <c r="H1067" s="70">
        <f>H352/'Terms and Turnovers'!$AN65</f>
        <v>0</v>
      </c>
      <c r="I1067" s="728"/>
      <c r="J1067" s="70">
        <f>J352/'Terms and Turnovers'!$AN65</f>
        <v>0</v>
      </c>
      <c r="K1067" s="728"/>
      <c r="L1067" s="70">
        <f>L352/'Terms and Turnovers'!$AN65</f>
        <v>0</v>
      </c>
      <c r="M1067" s="728"/>
      <c r="N1067" s="70">
        <f>N352/'Terms and Turnovers'!$AN65</f>
        <v>0</v>
      </c>
      <c r="O1067" s="728"/>
      <c r="P1067" s="70">
        <f>P352/'Terms and Turnovers'!$AN65</f>
        <v>0</v>
      </c>
      <c r="Q1067" s="728"/>
      <c r="R1067" s="132">
        <f t="shared" si="101"/>
        <v>0</v>
      </c>
      <c r="S1067" s="728"/>
      <c r="T1067" s="70">
        <f>T352/'Terms and Turnovers'!$AS65</f>
        <v>0</v>
      </c>
      <c r="U1067" s="728"/>
      <c r="V1067" s="70">
        <f>V352/'Terms and Turnovers'!$AS65</f>
        <v>0</v>
      </c>
      <c r="W1067" s="728"/>
      <c r="X1067" s="70">
        <f>X352/'Terms and Turnovers'!$AS65</f>
        <v>0</v>
      </c>
      <c r="Y1067" s="728"/>
      <c r="Z1067" s="70">
        <f>Z352/'Terms and Turnovers'!$AS65</f>
        <v>0</v>
      </c>
      <c r="AA1067" s="728"/>
      <c r="AB1067" s="70">
        <f>AB352/'Terms and Turnovers'!$AS65</f>
        <v>0</v>
      </c>
      <c r="AC1067" s="728"/>
      <c r="AD1067" s="70">
        <f>AD352/'Terms and Turnovers'!$AS65</f>
        <v>0</v>
      </c>
      <c r="AE1067" s="728"/>
      <c r="AF1067" s="132">
        <f t="shared" si="102"/>
        <v>0</v>
      </c>
      <c r="AG1067" s="728"/>
      <c r="AH1067" s="133">
        <f t="shared" si="103"/>
        <v>0</v>
      </c>
      <c r="AI1067" s="728"/>
      <c r="AJ1067" s="65"/>
    </row>
    <row r="1068" spans="2:36" ht="13.5" customHeight="1" outlineLevel="1" thickBot="1">
      <c r="B1068" s="82"/>
      <c r="C1068" s="1235"/>
      <c r="D1068" s="1235"/>
      <c r="E1068" s="85">
        <f>'Terms and Turnovers'!$AX$12</f>
        <v>0</v>
      </c>
      <c r="F1068" s="70">
        <f>F353/'Terms and Turnovers'!$AX65</f>
        <v>0</v>
      </c>
      <c r="G1068" s="107"/>
      <c r="H1068" s="70">
        <f>H353/'Terms and Turnovers'!$AX65</f>
        <v>0</v>
      </c>
      <c r="I1068" s="107"/>
      <c r="J1068" s="70">
        <f>J353/'Terms and Turnovers'!$AX65</f>
        <v>0</v>
      </c>
      <c r="K1068" s="107"/>
      <c r="L1068" s="70">
        <f>L353/'Terms and Turnovers'!$AX65</f>
        <v>0</v>
      </c>
      <c r="M1068" s="107"/>
      <c r="N1068" s="70">
        <f>N353/'Terms and Turnovers'!$AX65</f>
        <v>0</v>
      </c>
      <c r="O1068" s="107"/>
      <c r="P1068" s="70">
        <f>P353/'Terms and Turnovers'!$AX65</f>
        <v>0</v>
      </c>
      <c r="Q1068" s="107"/>
      <c r="R1068" s="135">
        <f t="shared" si="101"/>
        <v>0</v>
      </c>
      <c r="S1068" s="107"/>
      <c r="T1068" s="70">
        <f>T353/'Terms and Turnovers'!$AX$65</f>
        <v>0</v>
      </c>
      <c r="U1068" s="107"/>
      <c r="V1068" s="70">
        <f>V353/'Terms and Turnovers'!$AX$65</f>
        <v>0</v>
      </c>
      <c r="W1068" s="107"/>
      <c r="X1068" s="70">
        <f>X353/'Terms and Turnovers'!$AX$65</f>
        <v>0</v>
      </c>
      <c r="Y1068" s="107"/>
      <c r="Z1068" s="70">
        <f>Z353/'Terms and Turnovers'!$AX$65</f>
        <v>0</v>
      </c>
      <c r="AA1068" s="107"/>
      <c r="AB1068" s="70">
        <f>AB353/'Terms and Turnovers'!$AX$65</f>
        <v>0</v>
      </c>
      <c r="AC1068" s="107"/>
      <c r="AD1068" s="70">
        <f>AD353/'Terms and Turnovers'!$AX$65</f>
        <v>0</v>
      </c>
      <c r="AE1068" s="107"/>
      <c r="AF1068" s="135">
        <f t="shared" si="102"/>
        <v>0</v>
      </c>
      <c r="AG1068" s="107"/>
      <c r="AH1068" s="136">
        <f t="shared" si="103"/>
        <v>0</v>
      </c>
      <c r="AI1068" s="107"/>
      <c r="AJ1068" s="65"/>
    </row>
    <row r="1069" spans="2:36" ht="13.5" customHeight="1" outlineLevel="1">
      <c r="B1069" s="82"/>
      <c r="C1069" s="425"/>
      <c r="D1069" s="425"/>
      <c r="E1069" s="634"/>
      <c r="F1069" s="635"/>
      <c r="G1069" s="428"/>
      <c r="H1069" s="635"/>
      <c r="I1069" s="428"/>
      <c r="J1069" s="635"/>
      <c r="K1069" s="636"/>
      <c r="L1069" s="635"/>
      <c r="M1069" s="636"/>
      <c r="N1069" s="635"/>
      <c r="O1069" s="636"/>
      <c r="P1069" s="635"/>
      <c r="Q1069" s="636"/>
      <c r="R1069" s="637"/>
      <c r="S1069" s="698">
        <f>SUM(R349:R353)/1.18-(SUM(R1064:R1068)*'Mark Up Validation'!$M$175)</f>
        <v>0</v>
      </c>
      <c r="T1069" s="635"/>
      <c r="U1069" s="636"/>
      <c r="V1069" s="635"/>
      <c r="W1069" s="636"/>
      <c r="X1069" s="635"/>
      <c r="Y1069" s="636"/>
      <c r="Z1069" s="635"/>
      <c r="AA1069" s="636"/>
      <c r="AB1069" s="635"/>
      <c r="AC1069" s="636"/>
      <c r="AD1069" s="635"/>
      <c r="AE1069" s="636"/>
      <c r="AF1069" s="637"/>
      <c r="AG1069" s="698">
        <f>SUM(AF349:AF353)/1.18-SUM(AF1064:AF1068)*'Mark Up Validation'!$M$175</f>
        <v>0</v>
      </c>
      <c r="AH1069" s="638"/>
      <c r="AI1069" s="698">
        <f>SUM(AH349:AH353)/1.18-SUM(AH1064:AH1068)*'Mark Up Validation'!$M$175</f>
        <v>0</v>
      </c>
      <c r="AJ1069" s="65"/>
    </row>
    <row r="1070" spans="2:36" ht="13.5" customHeight="1" outlineLevel="1" thickBot="1">
      <c r="B1070" s="82"/>
      <c r="C1070" s="1228" t="s">
        <v>487</v>
      </c>
      <c r="D1070" s="1229"/>
      <c r="E1070" s="699"/>
      <c r="F1070" s="700"/>
      <c r="G1070" s="701"/>
      <c r="H1070" s="700"/>
      <c r="I1070" s="701"/>
      <c r="J1070" s="700"/>
      <c r="K1070" s="702"/>
      <c r="L1070" s="700"/>
      <c r="M1070" s="702"/>
      <c r="N1070" s="700"/>
      <c r="O1070" s="702"/>
      <c r="P1070" s="700"/>
      <c r="Q1070" s="702"/>
      <c r="R1070" s="703"/>
      <c r="S1070" s="729">
        <f>IF(S1069&gt;0,S1069/(SUM(R349:R353)/1.18),0)</f>
        <v>0</v>
      </c>
      <c r="T1070" s="704"/>
      <c r="U1070" s="702"/>
      <c r="V1070" s="700"/>
      <c r="W1070" s="702"/>
      <c r="X1070" s="700"/>
      <c r="Y1070" s="702"/>
      <c r="Z1070" s="700"/>
      <c r="AA1070" s="702"/>
      <c r="AB1070" s="700"/>
      <c r="AC1070" s="702"/>
      <c r="AD1070" s="700"/>
      <c r="AE1070" s="702"/>
      <c r="AF1070" s="705"/>
      <c r="AG1070" s="729">
        <f>IF(AG1069&gt;0,AG1069/(SUM(AF349:AF353)/1.18),0)</f>
        <v>0</v>
      </c>
      <c r="AH1070" s="706"/>
      <c r="AI1070" s="729">
        <f>IF(AI1069&gt;0,AI1069/(SUM(AH349:AH353)/1.18),0)</f>
        <v>0</v>
      </c>
      <c r="AJ1070" s="65"/>
    </row>
    <row r="1071" spans="2:36" ht="12.75" customHeight="1" outlineLevel="1">
      <c r="B1071" s="82">
        <f>B1064+1</f>
        <v>51</v>
      </c>
      <c r="C1071" s="1233">
        <f>C356</f>
        <v>0</v>
      </c>
      <c r="D1071" s="1233">
        <f>D356</f>
        <v>0</v>
      </c>
      <c r="E1071" s="83" t="str">
        <f>'Terms and Turnovers'!$J$12</f>
        <v>FLIP-FLOPS</v>
      </c>
      <c r="F1071" s="68">
        <f>F356/'Terms and Turnovers'!$J66</f>
        <v>0</v>
      </c>
      <c r="G1071" s="106"/>
      <c r="H1071" s="68">
        <f>H356/'Terms and Turnovers'!$J66</f>
        <v>0</v>
      </c>
      <c r="I1071" s="106"/>
      <c r="J1071" s="68">
        <f>J356/'Terms and Turnovers'!$J66</f>
        <v>0</v>
      </c>
      <c r="K1071" s="106"/>
      <c r="L1071" s="68">
        <f>L356/'Terms and Turnovers'!$J66</f>
        <v>0</v>
      </c>
      <c r="M1071" s="106"/>
      <c r="N1071" s="68">
        <f>N356/'Terms and Turnovers'!$J66</f>
        <v>0</v>
      </c>
      <c r="O1071" s="106"/>
      <c r="P1071" s="68">
        <f>P356/'Terms and Turnovers'!$J66</f>
        <v>0</v>
      </c>
      <c r="Q1071" s="106"/>
      <c r="R1071" s="129">
        <f t="shared" si="101"/>
        <v>0</v>
      </c>
      <c r="S1071" s="106"/>
      <c r="T1071" s="68">
        <f>T356/'Terms and Turnovers'!$O66</f>
        <v>0</v>
      </c>
      <c r="U1071" s="106"/>
      <c r="V1071" s="68">
        <f>V356/'Terms and Turnovers'!$O66</f>
        <v>0</v>
      </c>
      <c r="W1071" s="106"/>
      <c r="X1071" s="68">
        <f>X356/'Terms and Turnovers'!$O66</f>
        <v>0</v>
      </c>
      <c r="Y1071" s="106"/>
      <c r="Z1071" s="68">
        <f>Z356/'Terms and Turnovers'!$O66</f>
        <v>0</v>
      </c>
      <c r="AA1071" s="106"/>
      <c r="AB1071" s="68">
        <f>AB356/'Terms and Turnovers'!$O66</f>
        <v>0</v>
      </c>
      <c r="AC1071" s="106"/>
      <c r="AD1071" s="68">
        <f>AD356/'Terms and Turnovers'!$O66</f>
        <v>0</v>
      </c>
      <c r="AE1071" s="106"/>
      <c r="AF1071" s="129">
        <f t="shared" si="102"/>
        <v>0</v>
      </c>
      <c r="AG1071" s="106"/>
      <c r="AH1071" s="130">
        <f t="shared" si="103"/>
        <v>0</v>
      </c>
      <c r="AI1071" s="106"/>
      <c r="AJ1071" s="65"/>
    </row>
    <row r="1072" spans="2:36" ht="12.75" customHeight="1" outlineLevel="1">
      <c r="B1072" s="82"/>
      <c r="C1072" s="1234"/>
      <c r="D1072" s="1234"/>
      <c r="E1072" s="84" t="str">
        <f>'Terms and Turnovers'!$T$12</f>
        <v>ORIGINALS</v>
      </c>
      <c r="F1072" s="70">
        <f>F357/'Terms and Turnovers'!$T66</f>
        <v>0</v>
      </c>
      <c r="G1072" s="728"/>
      <c r="H1072" s="70">
        <f>H357/'Terms and Turnovers'!$T66</f>
        <v>0</v>
      </c>
      <c r="I1072" s="728"/>
      <c r="J1072" s="70">
        <f>J357/'Terms and Turnovers'!$T66</f>
        <v>0</v>
      </c>
      <c r="K1072" s="728"/>
      <c r="L1072" s="70">
        <f>L357/'Terms and Turnovers'!$T66</f>
        <v>0</v>
      </c>
      <c r="M1072" s="728"/>
      <c r="N1072" s="70">
        <f>N357/'Terms and Turnovers'!$T66</f>
        <v>0</v>
      </c>
      <c r="O1072" s="728"/>
      <c r="P1072" s="70">
        <f>P357/'Terms and Turnovers'!$T66</f>
        <v>0</v>
      </c>
      <c r="Q1072" s="728"/>
      <c r="R1072" s="132">
        <f t="shared" si="101"/>
        <v>0</v>
      </c>
      <c r="S1072" s="728"/>
      <c r="T1072" s="70">
        <f>T357/'Terms and Turnovers'!$Y66</f>
        <v>0</v>
      </c>
      <c r="U1072" s="728"/>
      <c r="V1072" s="70">
        <f>V357/'Terms and Turnovers'!$Y66</f>
        <v>0</v>
      </c>
      <c r="W1072" s="728"/>
      <c r="X1072" s="70">
        <f>X357/'Terms and Turnovers'!$Y66</f>
        <v>0</v>
      </c>
      <c r="Y1072" s="728"/>
      <c r="Z1072" s="70">
        <f>Z357/'Terms and Turnovers'!$Y66</f>
        <v>0</v>
      </c>
      <c r="AA1072" s="728"/>
      <c r="AB1072" s="70">
        <f>AB357/'Terms and Turnovers'!$Y66</f>
        <v>0</v>
      </c>
      <c r="AC1072" s="728"/>
      <c r="AD1072" s="70">
        <f>AD357/'Terms and Turnovers'!$Y66</f>
        <v>0</v>
      </c>
      <c r="AE1072" s="728"/>
      <c r="AF1072" s="132">
        <f t="shared" si="102"/>
        <v>0</v>
      </c>
      <c r="AG1072" s="728"/>
      <c r="AH1072" s="133">
        <f t="shared" si="103"/>
        <v>0</v>
      </c>
      <c r="AI1072" s="728"/>
      <c r="AJ1072" s="65"/>
    </row>
    <row r="1073" spans="2:36" ht="12.75" customHeight="1" outlineLevel="1">
      <c r="B1073" s="82"/>
      <c r="C1073" s="1234"/>
      <c r="D1073" s="1234"/>
      <c r="E1073" s="84" t="str">
        <f>'Terms and Turnovers'!$AD$12</f>
        <v>ACCESSORIES</v>
      </c>
      <c r="F1073" s="70">
        <f>F358/'Terms and Turnovers'!$AD66</f>
        <v>0</v>
      </c>
      <c r="G1073" s="728"/>
      <c r="H1073" s="70">
        <f>H358/'Terms and Turnovers'!$AD66</f>
        <v>0</v>
      </c>
      <c r="I1073" s="728"/>
      <c r="J1073" s="70">
        <f>J358/'Terms and Turnovers'!$AD66</f>
        <v>0</v>
      </c>
      <c r="K1073" s="728"/>
      <c r="L1073" s="70">
        <f>L358/'Terms and Turnovers'!$AD66</f>
        <v>0</v>
      </c>
      <c r="M1073" s="728"/>
      <c r="N1073" s="70">
        <f>N358/'Terms and Turnovers'!$AD66</f>
        <v>0</v>
      </c>
      <c r="O1073" s="728"/>
      <c r="P1073" s="70">
        <f>P358/'Terms and Turnovers'!$AD66</f>
        <v>0</v>
      </c>
      <c r="Q1073" s="728"/>
      <c r="R1073" s="132">
        <f t="shared" si="101"/>
        <v>0</v>
      </c>
      <c r="S1073" s="728"/>
      <c r="T1073" s="70">
        <f>T358/'Terms and Turnovers'!$AI66</f>
        <v>0</v>
      </c>
      <c r="U1073" s="728"/>
      <c r="V1073" s="70">
        <f>V358/'Terms and Turnovers'!$AI66</f>
        <v>0</v>
      </c>
      <c r="W1073" s="728"/>
      <c r="X1073" s="70">
        <f>X358/'Terms and Turnovers'!$AI66</f>
        <v>0</v>
      </c>
      <c r="Y1073" s="728"/>
      <c r="Z1073" s="70">
        <f>Z358/'Terms and Turnovers'!$AI66</f>
        <v>0</v>
      </c>
      <c r="AA1073" s="728"/>
      <c r="AB1073" s="70">
        <f>AB358/'Terms and Turnovers'!$AI66</f>
        <v>0</v>
      </c>
      <c r="AC1073" s="728"/>
      <c r="AD1073" s="70">
        <f>AD358/'Terms and Turnovers'!$AI66</f>
        <v>0</v>
      </c>
      <c r="AE1073" s="728"/>
      <c r="AF1073" s="132">
        <f t="shared" si="102"/>
        <v>0</v>
      </c>
      <c r="AG1073" s="728"/>
      <c r="AH1073" s="133">
        <f t="shared" si="103"/>
        <v>0</v>
      </c>
      <c r="AI1073" s="728"/>
      <c r="AJ1073" s="65"/>
    </row>
    <row r="1074" spans="2:36" ht="12.75" customHeight="1" outlineLevel="1">
      <c r="B1074" s="82"/>
      <c r="C1074" s="1234"/>
      <c r="D1074" s="1234"/>
      <c r="E1074" s="84">
        <f>'Terms and Turnovers'!$AN$12</f>
        <v>0</v>
      </c>
      <c r="F1074" s="70">
        <f>F359/'Terms and Turnovers'!$AN66</f>
        <v>0</v>
      </c>
      <c r="G1074" s="728"/>
      <c r="H1074" s="70">
        <f>H359/'Terms and Turnovers'!$AN66</f>
        <v>0</v>
      </c>
      <c r="I1074" s="728"/>
      <c r="J1074" s="70">
        <f>J359/'Terms and Turnovers'!$AN66</f>
        <v>0</v>
      </c>
      <c r="K1074" s="728"/>
      <c r="L1074" s="70">
        <f>L359/'Terms and Turnovers'!$AN66</f>
        <v>0</v>
      </c>
      <c r="M1074" s="728"/>
      <c r="N1074" s="70">
        <f>N359/'Terms and Turnovers'!$AN66</f>
        <v>0</v>
      </c>
      <c r="O1074" s="728"/>
      <c r="P1074" s="70">
        <f>P359/'Terms and Turnovers'!$AN66</f>
        <v>0</v>
      </c>
      <c r="Q1074" s="728"/>
      <c r="R1074" s="132">
        <f t="shared" si="101"/>
        <v>0</v>
      </c>
      <c r="S1074" s="728"/>
      <c r="T1074" s="70">
        <f>T359/'Terms and Turnovers'!$AS66</f>
        <v>0</v>
      </c>
      <c r="U1074" s="728"/>
      <c r="V1074" s="70">
        <f>V359/'Terms and Turnovers'!$AS66</f>
        <v>0</v>
      </c>
      <c r="W1074" s="728"/>
      <c r="X1074" s="70">
        <f>X359/'Terms and Turnovers'!$AS66</f>
        <v>0</v>
      </c>
      <c r="Y1074" s="728"/>
      <c r="Z1074" s="70">
        <f>Z359/'Terms and Turnovers'!$AS66</f>
        <v>0</v>
      </c>
      <c r="AA1074" s="728"/>
      <c r="AB1074" s="70">
        <f>AB359/'Terms and Turnovers'!$AS66</f>
        <v>0</v>
      </c>
      <c r="AC1074" s="728"/>
      <c r="AD1074" s="70">
        <f>AD359/'Terms and Turnovers'!$AS66</f>
        <v>0</v>
      </c>
      <c r="AE1074" s="728"/>
      <c r="AF1074" s="132">
        <f t="shared" si="102"/>
        <v>0</v>
      </c>
      <c r="AG1074" s="728"/>
      <c r="AH1074" s="133">
        <f t="shared" si="103"/>
        <v>0</v>
      </c>
      <c r="AI1074" s="728"/>
      <c r="AJ1074" s="65"/>
    </row>
    <row r="1075" spans="2:36" ht="13.5" customHeight="1" outlineLevel="1" thickBot="1">
      <c r="B1075" s="82"/>
      <c r="C1075" s="1235"/>
      <c r="D1075" s="1235"/>
      <c r="E1075" s="85">
        <f>'Terms and Turnovers'!$AX$12</f>
        <v>0</v>
      </c>
      <c r="F1075" s="70">
        <f>F360/'Terms and Turnovers'!$AX66</f>
        <v>0</v>
      </c>
      <c r="G1075" s="107"/>
      <c r="H1075" s="70">
        <f>H360/'Terms and Turnovers'!$AX66</f>
        <v>0</v>
      </c>
      <c r="I1075" s="107"/>
      <c r="J1075" s="70">
        <f>J360/'Terms and Turnovers'!$AX66</f>
        <v>0</v>
      </c>
      <c r="K1075" s="107"/>
      <c r="L1075" s="70">
        <f>L360/'Terms and Turnovers'!$AX66</f>
        <v>0</v>
      </c>
      <c r="M1075" s="107"/>
      <c r="N1075" s="70">
        <f>N360/'Terms and Turnovers'!$AX66</f>
        <v>0</v>
      </c>
      <c r="O1075" s="107"/>
      <c r="P1075" s="70">
        <f>P360/'Terms and Turnovers'!$AX66</f>
        <v>0</v>
      </c>
      <c r="Q1075" s="107"/>
      <c r="R1075" s="135">
        <f t="shared" si="101"/>
        <v>0</v>
      </c>
      <c r="S1075" s="107"/>
      <c r="T1075" s="70">
        <f>T360/'Terms and Turnovers'!$AX$66</f>
        <v>0</v>
      </c>
      <c r="U1075" s="107"/>
      <c r="V1075" s="70">
        <f>V360/'Terms and Turnovers'!$AX$66</f>
        <v>0</v>
      </c>
      <c r="W1075" s="107"/>
      <c r="X1075" s="70">
        <f>X360/'Terms and Turnovers'!$AX$66</f>
        <v>0</v>
      </c>
      <c r="Y1075" s="107"/>
      <c r="Z1075" s="70">
        <f>Z360/'Terms and Turnovers'!$AX$66</f>
        <v>0</v>
      </c>
      <c r="AA1075" s="107"/>
      <c r="AB1075" s="70">
        <f>AB360/'Terms and Turnovers'!$AX$66</f>
        <v>0</v>
      </c>
      <c r="AC1075" s="107"/>
      <c r="AD1075" s="70">
        <f>AD360/'Terms and Turnovers'!$AX$66</f>
        <v>0</v>
      </c>
      <c r="AE1075" s="107"/>
      <c r="AF1075" s="135">
        <f t="shared" si="102"/>
        <v>0</v>
      </c>
      <c r="AG1075" s="107"/>
      <c r="AH1075" s="136">
        <f t="shared" si="103"/>
        <v>0</v>
      </c>
      <c r="AI1075" s="107"/>
      <c r="AJ1075" s="65"/>
    </row>
    <row r="1076" spans="2:36" ht="13.5" customHeight="1" outlineLevel="1">
      <c r="B1076" s="82"/>
      <c r="C1076" s="425"/>
      <c r="D1076" s="425"/>
      <c r="E1076" s="634"/>
      <c r="F1076" s="635"/>
      <c r="G1076" s="428"/>
      <c r="H1076" s="635"/>
      <c r="I1076" s="428"/>
      <c r="J1076" s="635"/>
      <c r="K1076" s="636"/>
      <c r="L1076" s="635"/>
      <c r="M1076" s="636"/>
      <c r="N1076" s="635"/>
      <c r="O1076" s="636"/>
      <c r="P1076" s="635"/>
      <c r="Q1076" s="636"/>
      <c r="R1076" s="637"/>
      <c r="S1076" s="698">
        <f>SUM(R356:R360)/1.18-(SUM(R1071:R1075)*'Mark Up Validation'!$M$175)</f>
        <v>0</v>
      </c>
      <c r="T1076" s="635"/>
      <c r="U1076" s="636"/>
      <c r="V1076" s="635"/>
      <c r="W1076" s="636"/>
      <c r="X1076" s="635"/>
      <c r="Y1076" s="636"/>
      <c r="Z1076" s="635"/>
      <c r="AA1076" s="636"/>
      <c r="AB1076" s="635"/>
      <c r="AC1076" s="636"/>
      <c r="AD1076" s="635"/>
      <c r="AE1076" s="636"/>
      <c r="AF1076" s="637"/>
      <c r="AG1076" s="698">
        <f>SUM(AF356:AF360)/1.18-SUM(AF1071:AF1075)*'Mark Up Validation'!$M$175</f>
        <v>0</v>
      </c>
      <c r="AH1076" s="638"/>
      <c r="AI1076" s="698">
        <f>SUM(AH356:AH360)/1.18-SUM(AH1071:AH1075)*'Mark Up Validation'!$M$175</f>
        <v>0</v>
      </c>
      <c r="AJ1076" s="65"/>
    </row>
    <row r="1077" spans="2:36" ht="13.5" customHeight="1" outlineLevel="1" thickBot="1">
      <c r="B1077" s="82"/>
      <c r="C1077" s="1228" t="s">
        <v>487</v>
      </c>
      <c r="D1077" s="1229"/>
      <c r="E1077" s="699"/>
      <c r="F1077" s="700"/>
      <c r="G1077" s="701"/>
      <c r="H1077" s="700"/>
      <c r="I1077" s="701"/>
      <c r="J1077" s="700"/>
      <c r="K1077" s="702"/>
      <c r="L1077" s="700"/>
      <c r="M1077" s="702"/>
      <c r="N1077" s="700"/>
      <c r="O1077" s="702"/>
      <c r="P1077" s="700"/>
      <c r="Q1077" s="702"/>
      <c r="R1077" s="703"/>
      <c r="S1077" s="729">
        <f>IF(S1076&gt;0,S1076/(SUM(R356:R360)/1.18),0)</f>
        <v>0</v>
      </c>
      <c r="T1077" s="704"/>
      <c r="U1077" s="702"/>
      <c r="V1077" s="700"/>
      <c r="W1077" s="702"/>
      <c r="X1077" s="700"/>
      <c r="Y1077" s="702"/>
      <c r="Z1077" s="700"/>
      <c r="AA1077" s="702"/>
      <c r="AB1077" s="700"/>
      <c r="AC1077" s="702"/>
      <c r="AD1077" s="700"/>
      <c r="AE1077" s="702"/>
      <c r="AF1077" s="705"/>
      <c r="AG1077" s="729">
        <f>IF(AG1076&gt;0,AG1076/(SUM(AF356:AF360)/1.18),0)</f>
        <v>0</v>
      </c>
      <c r="AH1077" s="706"/>
      <c r="AI1077" s="729">
        <f>IF(AI1076&gt;0,AI1076/(SUM(AH356:AH360)/1.18),0)</f>
        <v>0</v>
      </c>
      <c r="AJ1077" s="65"/>
    </row>
    <row r="1078" spans="2:36" ht="12.75" customHeight="1" outlineLevel="1">
      <c r="B1078" s="82">
        <f>B1071+1</f>
        <v>52</v>
      </c>
      <c r="C1078" s="1233">
        <f>C363</f>
        <v>0</v>
      </c>
      <c r="D1078" s="1233">
        <f>D363</f>
        <v>0</v>
      </c>
      <c r="E1078" s="83" t="str">
        <f>'Terms and Turnovers'!$J$12</f>
        <v>FLIP-FLOPS</v>
      </c>
      <c r="F1078" s="68">
        <f>F363/'Terms and Turnovers'!$J67</f>
        <v>0</v>
      </c>
      <c r="G1078" s="106"/>
      <c r="H1078" s="68">
        <f>H363/'Terms and Turnovers'!$J67</f>
        <v>0</v>
      </c>
      <c r="I1078" s="106"/>
      <c r="J1078" s="68">
        <f>J363/'Terms and Turnovers'!$J67</f>
        <v>0</v>
      </c>
      <c r="K1078" s="106"/>
      <c r="L1078" s="68">
        <f>L363/'Terms and Turnovers'!$J67</f>
        <v>0</v>
      </c>
      <c r="M1078" s="106"/>
      <c r="N1078" s="68">
        <f>N363/'Terms and Turnovers'!$J67</f>
        <v>0</v>
      </c>
      <c r="O1078" s="106"/>
      <c r="P1078" s="68">
        <f>P363/'Terms and Turnovers'!$J67</f>
        <v>0</v>
      </c>
      <c r="Q1078" s="106"/>
      <c r="R1078" s="129">
        <f t="shared" si="101"/>
        <v>0</v>
      </c>
      <c r="S1078" s="106"/>
      <c r="T1078" s="68">
        <f>T363/'Terms and Turnovers'!$O67</f>
        <v>0</v>
      </c>
      <c r="U1078" s="106"/>
      <c r="V1078" s="68">
        <f>V363/'Terms and Turnovers'!$O67</f>
        <v>0</v>
      </c>
      <c r="W1078" s="106"/>
      <c r="X1078" s="68">
        <f>X363/'Terms and Turnovers'!$O67</f>
        <v>0</v>
      </c>
      <c r="Y1078" s="106"/>
      <c r="Z1078" s="68">
        <f>Z363/'Terms and Turnovers'!$O67</f>
        <v>0</v>
      </c>
      <c r="AA1078" s="106"/>
      <c r="AB1078" s="68">
        <f>AB363/'Terms and Turnovers'!$O67</f>
        <v>0</v>
      </c>
      <c r="AC1078" s="106"/>
      <c r="AD1078" s="68">
        <f>AD363/'Terms and Turnovers'!$O67</f>
        <v>0</v>
      </c>
      <c r="AE1078" s="106"/>
      <c r="AF1078" s="129">
        <f t="shared" si="102"/>
        <v>0</v>
      </c>
      <c r="AG1078" s="106"/>
      <c r="AH1078" s="130">
        <f t="shared" si="103"/>
        <v>0</v>
      </c>
      <c r="AI1078" s="106"/>
      <c r="AJ1078" s="65"/>
    </row>
    <row r="1079" spans="2:36" ht="12.75" customHeight="1" outlineLevel="1">
      <c r="B1079" s="82"/>
      <c r="C1079" s="1234"/>
      <c r="D1079" s="1234"/>
      <c r="E1079" s="84" t="str">
        <f>'Terms and Turnovers'!$T$12</f>
        <v>ORIGINALS</v>
      </c>
      <c r="F1079" s="70">
        <f>F364/'Terms and Turnovers'!$T67</f>
        <v>0</v>
      </c>
      <c r="G1079" s="728"/>
      <c r="H1079" s="70">
        <f>H364/'Terms and Turnovers'!$T67</f>
        <v>0</v>
      </c>
      <c r="I1079" s="728"/>
      <c r="J1079" s="70">
        <f>J364/'Terms and Turnovers'!$T67</f>
        <v>0</v>
      </c>
      <c r="K1079" s="728"/>
      <c r="L1079" s="70">
        <f>L364/'Terms and Turnovers'!$T67</f>
        <v>0</v>
      </c>
      <c r="M1079" s="728"/>
      <c r="N1079" s="70">
        <f>N364/'Terms and Turnovers'!$T67</f>
        <v>0</v>
      </c>
      <c r="O1079" s="728"/>
      <c r="P1079" s="70">
        <f>P364/'Terms and Turnovers'!$T67</f>
        <v>0</v>
      </c>
      <c r="Q1079" s="728"/>
      <c r="R1079" s="132">
        <f t="shared" ref="R1079:R1166" si="104">SUM(F1079,H1079,J1079,L1079,N1079,P1079)</f>
        <v>0</v>
      </c>
      <c r="S1079" s="728"/>
      <c r="T1079" s="70">
        <f>T364/'Terms and Turnovers'!$Y67</f>
        <v>0</v>
      </c>
      <c r="U1079" s="728"/>
      <c r="V1079" s="70">
        <f>V364/'Terms and Turnovers'!$Y67</f>
        <v>0</v>
      </c>
      <c r="W1079" s="728"/>
      <c r="X1079" s="70">
        <f>X364/'Terms and Turnovers'!$Y67</f>
        <v>0</v>
      </c>
      <c r="Y1079" s="728"/>
      <c r="Z1079" s="70">
        <f>Z364/'Terms and Turnovers'!$Y67</f>
        <v>0</v>
      </c>
      <c r="AA1079" s="728"/>
      <c r="AB1079" s="70">
        <f>AB364/'Terms and Turnovers'!$Y67</f>
        <v>0</v>
      </c>
      <c r="AC1079" s="728"/>
      <c r="AD1079" s="70">
        <f>AD364/'Terms and Turnovers'!$Y67</f>
        <v>0</v>
      </c>
      <c r="AE1079" s="728"/>
      <c r="AF1079" s="132">
        <f t="shared" ref="AF1079:AF1166" si="105">SUM(T1079,V1079,X1079,Z1079,AB1079,AD1079)</f>
        <v>0</v>
      </c>
      <c r="AG1079" s="728"/>
      <c r="AH1079" s="133">
        <f t="shared" si="103"/>
        <v>0</v>
      </c>
      <c r="AI1079" s="728"/>
      <c r="AJ1079" s="65"/>
    </row>
    <row r="1080" spans="2:36" ht="12.75" customHeight="1" outlineLevel="1">
      <c r="B1080" s="82"/>
      <c r="C1080" s="1234"/>
      <c r="D1080" s="1234"/>
      <c r="E1080" s="84" t="str">
        <f>'Terms and Turnovers'!$AD$12</f>
        <v>ACCESSORIES</v>
      </c>
      <c r="F1080" s="70">
        <f>F365/'Terms and Turnovers'!$AD67</f>
        <v>0</v>
      </c>
      <c r="G1080" s="728"/>
      <c r="H1080" s="70">
        <f>H365/'Terms and Turnovers'!$AD67</f>
        <v>0</v>
      </c>
      <c r="I1080" s="728"/>
      <c r="J1080" s="70">
        <f>J365/'Terms and Turnovers'!$AD67</f>
        <v>0</v>
      </c>
      <c r="K1080" s="728"/>
      <c r="L1080" s="70">
        <f>L365/'Terms and Turnovers'!$AD67</f>
        <v>0</v>
      </c>
      <c r="M1080" s="728"/>
      <c r="N1080" s="70">
        <f>N365/'Terms and Turnovers'!$AD67</f>
        <v>0</v>
      </c>
      <c r="O1080" s="728"/>
      <c r="P1080" s="70">
        <f>P365/'Terms and Turnovers'!$AD67</f>
        <v>0</v>
      </c>
      <c r="Q1080" s="728"/>
      <c r="R1080" s="132">
        <f t="shared" si="104"/>
        <v>0</v>
      </c>
      <c r="S1080" s="728"/>
      <c r="T1080" s="70">
        <f>T365/'Terms and Turnovers'!$AI67</f>
        <v>0</v>
      </c>
      <c r="U1080" s="728"/>
      <c r="V1080" s="70">
        <f>V365/'Terms and Turnovers'!$AI67</f>
        <v>0</v>
      </c>
      <c r="W1080" s="728"/>
      <c r="X1080" s="70">
        <f>X365/'Terms and Turnovers'!$AI67</f>
        <v>0</v>
      </c>
      <c r="Y1080" s="728"/>
      <c r="Z1080" s="70">
        <f>Z365/'Terms and Turnovers'!$AI67</f>
        <v>0</v>
      </c>
      <c r="AA1080" s="728"/>
      <c r="AB1080" s="70">
        <f>AB365/'Terms and Turnovers'!$AI67</f>
        <v>0</v>
      </c>
      <c r="AC1080" s="728"/>
      <c r="AD1080" s="70">
        <f>AD365/'Terms and Turnovers'!$AI67</f>
        <v>0</v>
      </c>
      <c r="AE1080" s="728"/>
      <c r="AF1080" s="132">
        <f t="shared" si="105"/>
        <v>0</v>
      </c>
      <c r="AG1080" s="728"/>
      <c r="AH1080" s="133">
        <f t="shared" ref="AH1080:AH1169" si="106">SUM(AF1080,R1080)</f>
        <v>0</v>
      </c>
      <c r="AI1080" s="728"/>
      <c r="AJ1080" s="65"/>
    </row>
    <row r="1081" spans="2:36" ht="12.75" customHeight="1" outlineLevel="1">
      <c r="B1081" s="82"/>
      <c r="C1081" s="1234"/>
      <c r="D1081" s="1234"/>
      <c r="E1081" s="84">
        <f>'Terms and Turnovers'!$AN$12</f>
        <v>0</v>
      </c>
      <c r="F1081" s="70">
        <f>F366/'Terms and Turnovers'!$AN67</f>
        <v>0</v>
      </c>
      <c r="G1081" s="728"/>
      <c r="H1081" s="70">
        <f>H366/'Terms and Turnovers'!$AN67</f>
        <v>0</v>
      </c>
      <c r="I1081" s="728"/>
      <c r="J1081" s="70">
        <f>J366/'Terms and Turnovers'!$AN67</f>
        <v>0</v>
      </c>
      <c r="K1081" s="728"/>
      <c r="L1081" s="70">
        <f>L366/'Terms and Turnovers'!$AN67</f>
        <v>0</v>
      </c>
      <c r="M1081" s="728"/>
      <c r="N1081" s="70">
        <f>N366/'Terms and Turnovers'!$AN67</f>
        <v>0</v>
      </c>
      <c r="O1081" s="728"/>
      <c r="P1081" s="70">
        <f>P366/'Terms and Turnovers'!$AN67</f>
        <v>0</v>
      </c>
      <c r="Q1081" s="728"/>
      <c r="R1081" s="132">
        <f t="shared" si="104"/>
        <v>0</v>
      </c>
      <c r="S1081" s="728"/>
      <c r="T1081" s="70">
        <f>T366/'Terms and Turnovers'!$AS67</f>
        <v>0</v>
      </c>
      <c r="U1081" s="728"/>
      <c r="V1081" s="70">
        <f>V366/'Terms and Turnovers'!$AS67</f>
        <v>0</v>
      </c>
      <c r="W1081" s="728"/>
      <c r="X1081" s="70">
        <f>X366/'Terms and Turnovers'!$AS67</f>
        <v>0</v>
      </c>
      <c r="Y1081" s="728"/>
      <c r="Z1081" s="70">
        <f>Z366/'Terms and Turnovers'!$AS67</f>
        <v>0</v>
      </c>
      <c r="AA1081" s="728"/>
      <c r="AB1081" s="70">
        <f>AB366/'Terms and Turnovers'!$AS67</f>
        <v>0</v>
      </c>
      <c r="AC1081" s="728"/>
      <c r="AD1081" s="70">
        <f>AD366/'Terms and Turnovers'!$AS67</f>
        <v>0</v>
      </c>
      <c r="AE1081" s="728"/>
      <c r="AF1081" s="132">
        <f t="shared" si="105"/>
        <v>0</v>
      </c>
      <c r="AG1081" s="728"/>
      <c r="AH1081" s="133">
        <f t="shared" si="106"/>
        <v>0</v>
      </c>
      <c r="AI1081" s="728"/>
      <c r="AJ1081" s="65"/>
    </row>
    <row r="1082" spans="2:36" ht="13.5" customHeight="1" outlineLevel="1" thickBot="1">
      <c r="B1082" s="82"/>
      <c r="C1082" s="1235"/>
      <c r="D1082" s="1235"/>
      <c r="E1082" s="85">
        <f>'Terms and Turnovers'!$AX$12</f>
        <v>0</v>
      </c>
      <c r="F1082" s="70">
        <f>F367/'Terms and Turnovers'!$AX67</f>
        <v>0</v>
      </c>
      <c r="G1082" s="107"/>
      <c r="H1082" s="70">
        <f>H367/'Terms and Turnovers'!$AX67</f>
        <v>0</v>
      </c>
      <c r="I1082" s="107"/>
      <c r="J1082" s="70">
        <f>J367/'Terms and Turnovers'!$AX67</f>
        <v>0</v>
      </c>
      <c r="K1082" s="107"/>
      <c r="L1082" s="70">
        <f>L367/'Terms and Turnovers'!$AX67</f>
        <v>0</v>
      </c>
      <c r="M1082" s="107"/>
      <c r="N1082" s="70">
        <f>N367/'Terms and Turnovers'!$AX67</f>
        <v>0</v>
      </c>
      <c r="O1082" s="107"/>
      <c r="P1082" s="70">
        <f>P367/'Terms and Turnovers'!$AX67</f>
        <v>0</v>
      </c>
      <c r="Q1082" s="107"/>
      <c r="R1082" s="135">
        <f t="shared" si="104"/>
        <v>0</v>
      </c>
      <c r="S1082" s="107"/>
      <c r="T1082" s="70">
        <f>T367/'Terms and Turnovers'!$AX$67</f>
        <v>0</v>
      </c>
      <c r="U1082" s="107"/>
      <c r="V1082" s="70">
        <f>V367/'Terms and Turnovers'!$AX$67</f>
        <v>0</v>
      </c>
      <c r="W1082" s="107"/>
      <c r="X1082" s="70">
        <f>X367/'Terms and Turnovers'!$AX$67</f>
        <v>0</v>
      </c>
      <c r="Y1082" s="107"/>
      <c r="Z1082" s="70">
        <f>Z367/'Terms and Turnovers'!$AX$67</f>
        <v>0</v>
      </c>
      <c r="AA1082" s="107"/>
      <c r="AB1082" s="70">
        <f>AB367/'Terms and Turnovers'!$AX$67</f>
        <v>0</v>
      </c>
      <c r="AC1082" s="107"/>
      <c r="AD1082" s="70">
        <f>AD367/'Terms and Turnovers'!$AX$67</f>
        <v>0</v>
      </c>
      <c r="AE1082" s="107"/>
      <c r="AF1082" s="135">
        <f t="shared" si="105"/>
        <v>0</v>
      </c>
      <c r="AG1082" s="107"/>
      <c r="AH1082" s="136">
        <f t="shared" si="106"/>
        <v>0</v>
      </c>
      <c r="AI1082" s="107"/>
      <c r="AJ1082" s="65"/>
    </row>
    <row r="1083" spans="2:36" ht="13.5" customHeight="1" outlineLevel="1">
      <c r="B1083" s="82"/>
      <c r="C1083" s="425"/>
      <c r="D1083" s="425"/>
      <c r="E1083" s="634"/>
      <c r="F1083" s="635"/>
      <c r="G1083" s="428"/>
      <c r="H1083" s="635"/>
      <c r="I1083" s="428"/>
      <c r="J1083" s="635"/>
      <c r="K1083" s="636"/>
      <c r="L1083" s="635"/>
      <c r="M1083" s="636"/>
      <c r="N1083" s="635"/>
      <c r="O1083" s="636"/>
      <c r="P1083" s="635"/>
      <c r="Q1083" s="636"/>
      <c r="R1083" s="637"/>
      <c r="S1083" s="698">
        <f>SUM(R363:R367)/1.18-(SUM(R1078:R1082)*'Mark Up Validation'!$M$175)</f>
        <v>0</v>
      </c>
      <c r="T1083" s="635"/>
      <c r="U1083" s="636"/>
      <c r="V1083" s="635"/>
      <c r="W1083" s="636"/>
      <c r="X1083" s="635"/>
      <c r="Y1083" s="636"/>
      <c r="Z1083" s="635"/>
      <c r="AA1083" s="636"/>
      <c r="AB1083" s="635"/>
      <c r="AC1083" s="636"/>
      <c r="AD1083" s="635"/>
      <c r="AE1083" s="636"/>
      <c r="AF1083" s="637"/>
      <c r="AG1083" s="698">
        <f>SUM(AF363:AF367)/1.18-SUM(AF1078:AF1082)*'Mark Up Validation'!$M$175</f>
        <v>0</v>
      </c>
      <c r="AH1083" s="638"/>
      <c r="AI1083" s="698">
        <f>SUM(AH363:AH367)/1.18-SUM(AH1078:AH1082)*'Mark Up Validation'!$M$175</f>
        <v>0</v>
      </c>
      <c r="AJ1083" s="65"/>
    </row>
    <row r="1084" spans="2:36" ht="13.5" customHeight="1" outlineLevel="1" thickBot="1">
      <c r="B1084" s="82"/>
      <c r="C1084" s="1228" t="s">
        <v>487</v>
      </c>
      <c r="D1084" s="1229"/>
      <c r="E1084" s="699"/>
      <c r="F1084" s="700"/>
      <c r="G1084" s="701"/>
      <c r="H1084" s="700"/>
      <c r="I1084" s="701"/>
      <c r="J1084" s="700"/>
      <c r="K1084" s="702"/>
      <c r="L1084" s="700"/>
      <c r="M1084" s="702"/>
      <c r="N1084" s="700"/>
      <c r="O1084" s="702"/>
      <c r="P1084" s="700"/>
      <c r="Q1084" s="702"/>
      <c r="R1084" s="703"/>
      <c r="S1084" s="729">
        <f>IF(S1083&gt;0,S1083/(SUM(R363:R367)/1.18),0)</f>
        <v>0</v>
      </c>
      <c r="T1084" s="704"/>
      <c r="U1084" s="702"/>
      <c r="V1084" s="700"/>
      <c r="W1084" s="702"/>
      <c r="X1084" s="700"/>
      <c r="Y1084" s="702"/>
      <c r="Z1084" s="700"/>
      <c r="AA1084" s="702"/>
      <c r="AB1084" s="700"/>
      <c r="AC1084" s="702"/>
      <c r="AD1084" s="700"/>
      <c r="AE1084" s="702"/>
      <c r="AF1084" s="705"/>
      <c r="AG1084" s="729">
        <f>IF(AG1083&gt;0,AG1083/(SUM(AF363:AF367)/1.18),0)</f>
        <v>0</v>
      </c>
      <c r="AH1084" s="706"/>
      <c r="AI1084" s="729">
        <f>IF(AI1083&gt;0,AI1083/(SUM(AH363:AH367)/1.18),0)</f>
        <v>0</v>
      </c>
      <c r="AJ1084" s="65"/>
    </row>
    <row r="1085" spans="2:36" ht="12.75" customHeight="1" outlineLevel="1">
      <c r="B1085" s="82">
        <f>B1078+1</f>
        <v>53</v>
      </c>
      <c r="C1085" s="1233">
        <f>C370</f>
        <v>0</v>
      </c>
      <c r="D1085" s="1233">
        <f>D370</f>
        <v>0</v>
      </c>
      <c r="E1085" s="83" t="str">
        <f>'Terms and Turnovers'!$J$12</f>
        <v>FLIP-FLOPS</v>
      </c>
      <c r="F1085" s="68">
        <f>F370/'Terms and Turnovers'!$J68</f>
        <v>0</v>
      </c>
      <c r="G1085" s="106"/>
      <c r="H1085" s="68">
        <f>H370/'Terms and Turnovers'!$J68</f>
        <v>0</v>
      </c>
      <c r="I1085" s="106"/>
      <c r="J1085" s="68">
        <f>J370/'Terms and Turnovers'!$J68</f>
        <v>0</v>
      </c>
      <c r="K1085" s="106"/>
      <c r="L1085" s="68">
        <f>L370/'Terms and Turnovers'!$J68</f>
        <v>0</v>
      </c>
      <c r="M1085" s="106"/>
      <c r="N1085" s="68">
        <f>N370/'Terms and Turnovers'!$J68</f>
        <v>0</v>
      </c>
      <c r="O1085" s="106"/>
      <c r="P1085" s="68">
        <f>P370/'Terms and Turnovers'!$J68</f>
        <v>0</v>
      </c>
      <c r="Q1085" s="106"/>
      <c r="R1085" s="129">
        <f t="shared" si="104"/>
        <v>0</v>
      </c>
      <c r="S1085" s="106"/>
      <c r="T1085" s="68">
        <f>T370/'Terms and Turnovers'!$O68</f>
        <v>0</v>
      </c>
      <c r="U1085" s="106"/>
      <c r="V1085" s="68">
        <f>V370/'Terms and Turnovers'!$O68</f>
        <v>0</v>
      </c>
      <c r="W1085" s="106"/>
      <c r="X1085" s="68">
        <f>X370/'Terms and Turnovers'!$O68</f>
        <v>0</v>
      </c>
      <c r="Y1085" s="106"/>
      <c r="Z1085" s="68">
        <f>Z370/'Terms and Turnovers'!$O68</f>
        <v>0</v>
      </c>
      <c r="AA1085" s="106"/>
      <c r="AB1085" s="68">
        <f>AB370/'Terms and Turnovers'!$O68</f>
        <v>0</v>
      </c>
      <c r="AC1085" s="106"/>
      <c r="AD1085" s="68">
        <f>AD370/'Terms and Turnovers'!$O68</f>
        <v>0</v>
      </c>
      <c r="AE1085" s="106"/>
      <c r="AF1085" s="129">
        <f t="shared" si="105"/>
        <v>0</v>
      </c>
      <c r="AG1085" s="106"/>
      <c r="AH1085" s="130">
        <f t="shared" si="106"/>
        <v>0</v>
      </c>
      <c r="AI1085" s="106"/>
      <c r="AJ1085" s="65"/>
    </row>
    <row r="1086" spans="2:36" ht="12.75" customHeight="1" outlineLevel="1">
      <c r="B1086" s="82"/>
      <c r="C1086" s="1234"/>
      <c r="D1086" s="1234"/>
      <c r="E1086" s="84" t="str">
        <f>'Terms and Turnovers'!$T$12</f>
        <v>ORIGINALS</v>
      </c>
      <c r="F1086" s="70">
        <f>F371/'Terms and Turnovers'!$T68</f>
        <v>0</v>
      </c>
      <c r="G1086" s="728"/>
      <c r="H1086" s="70">
        <f>H371/'Terms and Turnovers'!$T68</f>
        <v>0</v>
      </c>
      <c r="I1086" s="728"/>
      <c r="J1086" s="70">
        <f>J371/'Terms and Turnovers'!$T68</f>
        <v>0</v>
      </c>
      <c r="K1086" s="728"/>
      <c r="L1086" s="70">
        <f>L371/'Terms and Turnovers'!$T68</f>
        <v>0</v>
      </c>
      <c r="M1086" s="728"/>
      <c r="N1086" s="70">
        <f>N371/'Terms and Turnovers'!$T68</f>
        <v>0</v>
      </c>
      <c r="O1086" s="728"/>
      <c r="P1086" s="70">
        <f>P371/'Terms and Turnovers'!$T68</f>
        <v>0</v>
      </c>
      <c r="Q1086" s="728"/>
      <c r="R1086" s="132">
        <f t="shared" si="104"/>
        <v>0</v>
      </c>
      <c r="S1086" s="728"/>
      <c r="T1086" s="70">
        <f>T371/'Terms and Turnovers'!$Y68</f>
        <v>0</v>
      </c>
      <c r="U1086" s="728"/>
      <c r="V1086" s="70">
        <f>V371/'Terms and Turnovers'!$Y68</f>
        <v>0</v>
      </c>
      <c r="W1086" s="728"/>
      <c r="X1086" s="70">
        <f>X371/'Terms and Turnovers'!$Y68</f>
        <v>0</v>
      </c>
      <c r="Y1086" s="728"/>
      <c r="Z1086" s="70">
        <f>Z371/'Terms and Turnovers'!$Y68</f>
        <v>0</v>
      </c>
      <c r="AA1086" s="728"/>
      <c r="AB1086" s="70">
        <f>AB371/'Terms and Turnovers'!$Y68</f>
        <v>0</v>
      </c>
      <c r="AC1086" s="728"/>
      <c r="AD1086" s="70">
        <f>AD371/'Terms and Turnovers'!$Y68</f>
        <v>0</v>
      </c>
      <c r="AE1086" s="728"/>
      <c r="AF1086" s="132">
        <f t="shared" si="105"/>
        <v>0</v>
      </c>
      <c r="AG1086" s="728"/>
      <c r="AH1086" s="133">
        <f t="shared" si="106"/>
        <v>0</v>
      </c>
      <c r="AI1086" s="728"/>
      <c r="AJ1086" s="65"/>
    </row>
    <row r="1087" spans="2:36" ht="12.75" customHeight="1" outlineLevel="1">
      <c r="B1087" s="82"/>
      <c r="C1087" s="1234"/>
      <c r="D1087" s="1234"/>
      <c r="E1087" s="84" t="str">
        <f>'Terms and Turnovers'!$AD$12</f>
        <v>ACCESSORIES</v>
      </c>
      <c r="F1087" s="70">
        <f>F372/'Terms and Turnovers'!$AD68</f>
        <v>0</v>
      </c>
      <c r="G1087" s="728"/>
      <c r="H1087" s="70">
        <f>H372/'Terms and Turnovers'!$AD68</f>
        <v>0</v>
      </c>
      <c r="I1087" s="728"/>
      <c r="J1087" s="70">
        <f>J372/'Terms and Turnovers'!$AD68</f>
        <v>0</v>
      </c>
      <c r="K1087" s="728"/>
      <c r="L1087" s="70">
        <f>L372/'Terms and Turnovers'!$AD68</f>
        <v>0</v>
      </c>
      <c r="M1087" s="728"/>
      <c r="N1087" s="70">
        <f>N372/'Terms and Turnovers'!$AD68</f>
        <v>0</v>
      </c>
      <c r="O1087" s="728"/>
      <c r="P1087" s="70">
        <f>P372/'Terms and Turnovers'!$AD68</f>
        <v>0</v>
      </c>
      <c r="Q1087" s="728"/>
      <c r="R1087" s="132">
        <f t="shared" si="104"/>
        <v>0</v>
      </c>
      <c r="S1087" s="728"/>
      <c r="T1087" s="70">
        <f>T372/'Terms and Turnovers'!$AI68</f>
        <v>0</v>
      </c>
      <c r="U1087" s="728"/>
      <c r="V1087" s="70">
        <f>V372/'Terms and Turnovers'!$AI68</f>
        <v>0</v>
      </c>
      <c r="W1087" s="728"/>
      <c r="X1087" s="70">
        <f>X372/'Terms and Turnovers'!$AI68</f>
        <v>0</v>
      </c>
      <c r="Y1087" s="728"/>
      <c r="Z1087" s="70">
        <f>Z372/'Terms and Turnovers'!$AI68</f>
        <v>0</v>
      </c>
      <c r="AA1087" s="728"/>
      <c r="AB1087" s="70">
        <f>AB372/'Terms and Turnovers'!$AI68</f>
        <v>0</v>
      </c>
      <c r="AC1087" s="728"/>
      <c r="AD1087" s="70">
        <f>AD372/'Terms and Turnovers'!$AI68</f>
        <v>0</v>
      </c>
      <c r="AE1087" s="728"/>
      <c r="AF1087" s="132">
        <f t="shared" si="105"/>
        <v>0</v>
      </c>
      <c r="AG1087" s="728"/>
      <c r="AH1087" s="133">
        <f t="shared" si="106"/>
        <v>0</v>
      </c>
      <c r="AI1087" s="728"/>
      <c r="AJ1087" s="65"/>
    </row>
    <row r="1088" spans="2:36" ht="12.75" customHeight="1" outlineLevel="1">
      <c r="B1088" s="82"/>
      <c r="C1088" s="1234"/>
      <c r="D1088" s="1234"/>
      <c r="E1088" s="84">
        <f>'Terms and Turnovers'!$AN$12</f>
        <v>0</v>
      </c>
      <c r="F1088" s="70">
        <f>F373/'Terms and Turnovers'!$AN68</f>
        <v>0</v>
      </c>
      <c r="G1088" s="728"/>
      <c r="H1088" s="70">
        <f>H373/'Terms and Turnovers'!$AN68</f>
        <v>0</v>
      </c>
      <c r="I1088" s="728"/>
      <c r="J1088" s="70">
        <f>J373/'Terms and Turnovers'!$AN68</f>
        <v>0</v>
      </c>
      <c r="K1088" s="728"/>
      <c r="L1088" s="70">
        <f>L373/'Terms and Turnovers'!$AN68</f>
        <v>0</v>
      </c>
      <c r="M1088" s="728"/>
      <c r="N1088" s="70">
        <f>N373/'Terms and Turnovers'!$AN68</f>
        <v>0</v>
      </c>
      <c r="O1088" s="728"/>
      <c r="P1088" s="70">
        <f>P373/'Terms and Turnovers'!$AN68</f>
        <v>0</v>
      </c>
      <c r="Q1088" s="728"/>
      <c r="R1088" s="132">
        <f t="shared" si="104"/>
        <v>0</v>
      </c>
      <c r="S1088" s="728"/>
      <c r="T1088" s="70">
        <f>T373/'Terms and Turnovers'!$AS68</f>
        <v>0</v>
      </c>
      <c r="U1088" s="728"/>
      <c r="V1088" s="70">
        <f>V373/'Terms and Turnovers'!$AS68</f>
        <v>0</v>
      </c>
      <c r="W1088" s="728"/>
      <c r="X1088" s="70">
        <f>X373/'Terms and Turnovers'!$AS68</f>
        <v>0</v>
      </c>
      <c r="Y1088" s="728"/>
      <c r="Z1088" s="70">
        <f>Z373/'Terms and Turnovers'!$AS68</f>
        <v>0</v>
      </c>
      <c r="AA1088" s="728"/>
      <c r="AB1088" s="70">
        <f>AB373/'Terms and Turnovers'!$AS68</f>
        <v>0</v>
      </c>
      <c r="AC1088" s="728"/>
      <c r="AD1088" s="70">
        <f>AD373/'Terms and Turnovers'!$AS68</f>
        <v>0</v>
      </c>
      <c r="AE1088" s="728"/>
      <c r="AF1088" s="132">
        <f t="shared" si="105"/>
        <v>0</v>
      </c>
      <c r="AG1088" s="728"/>
      <c r="AH1088" s="133">
        <f t="shared" si="106"/>
        <v>0</v>
      </c>
      <c r="AI1088" s="728"/>
      <c r="AJ1088" s="65"/>
    </row>
    <row r="1089" spans="2:36" ht="13.5" customHeight="1" outlineLevel="1" thickBot="1">
      <c r="B1089" s="82"/>
      <c r="C1089" s="1235"/>
      <c r="D1089" s="1235"/>
      <c r="E1089" s="85">
        <f>'Terms and Turnovers'!$AX$12</f>
        <v>0</v>
      </c>
      <c r="F1089" s="70">
        <f>F374/'Terms and Turnovers'!$AX68</f>
        <v>0</v>
      </c>
      <c r="G1089" s="107"/>
      <c r="H1089" s="70">
        <f>H374/'Terms and Turnovers'!$AX68</f>
        <v>0</v>
      </c>
      <c r="I1089" s="107"/>
      <c r="J1089" s="70">
        <f>J374/'Terms and Turnovers'!$AX68</f>
        <v>0</v>
      </c>
      <c r="K1089" s="107"/>
      <c r="L1089" s="70">
        <f>L374/'Terms and Turnovers'!$AX68</f>
        <v>0</v>
      </c>
      <c r="M1089" s="107"/>
      <c r="N1089" s="70">
        <f>N374/'Terms and Turnovers'!$AX68</f>
        <v>0</v>
      </c>
      <c r="O1089" s="107"/>
      <c r="P1089" s="70">
        <f>P374/'Terms and Turnovers'!$AX68</f>
        <v>0</v>
      </c>
      <c r="Q1089" s="107"/>
      <c r="R1089" s="135">
        <f t="shared" si="104"/>
        <v>0</v>
      </c>
      <c r="S1089" s="107"/>
      <c r="T1089" s="70">
        <f>T374/'Terms and Turnovers'!$AX$68</f>
        <v>0</v>
      </c>
      <c r="U1089" s="107"/>
      <c r="V1089" s="70">
        <f>V374/'Terms and Turnovers'!$AX$68</f>
        <v>0</v>
      </c>
      <c r="W1089" s="107"/>
      <c r="X1089" s="70">
        <f>X374/'Terms and Turnovers'!$AX$68</f>
        <v>0</v>
      </c>
      <c r="Y1089" s="107"/>
      <c r="Z1089" s="70">
        <f>Z374/'Terms and Turnovers'!$AX$68</f>
        <v>0</v>
      </c>
      <c r="AA1089" s="107"/>
      <c r="AB1089" s="70">
        <f>AB374/'Terms and Turnovers'!$AX$68</f>
        <v>0</v>
      </c>
      <c r="AC1089" s="107"/>
      <c r="AD1089" s="70">
        <f>AD374/'Terms and Turnovers'!$AX$68</f>
        <v>0</v>
      </c>
      <c r="AE1089" s="107"/>
      <c r="AF1089" s="135">
        <f t="shared" si="105"/>
        <v>0</v>
      </c>
      <c r="AG1089" s="107"/>
      <c r="AH1089" s="136">
        <f t="shared" si="106"/>
        <v>0</v>
      </c>
      <c r="AI1089" s="107"/>
      <c r="AJ1089" s="65"/>
    </row>
    <row r="1090" spans="2:36" ht="13.5" customHeight="1" outlineLevel="1">
      <c r="B1090" s="82"/>
      <c r="C1090" s="425"/>
      <c r="D1090" s="425"/>
      <c r="E1090" s="634"/>
      <c r="F1090" s="635"/>
      <c r="G1090" s="428"/>
      <c r="H1090" s="635"/>
      <c r="I1090" s="428"/>
      <c r="J1090" s="635"/>
      <c r="K1090" s="636"/>
      <c r="L1090" s="635"/>
      <c r="M1090" s="636"/>
      <c r="N1090" s="635"/>
      <c r="O1090" s="636"/>
      <c r="P1090" s="635"/>
      <c r="Q1090" s="636"/>
      <c r="R1090" s="637"/>
      <c r="S1090" s="698">
        <f>SUM(R370:R374)/1.18-(SUM(R1085:R1089)*'Mark Up Validation'!$M$175)</f>
        <v>0</v>
      </c>
      <c r="T1090" s="635"/>
      <c r="U1090" s="636"/>
      <c r="V1090" s="635"/>
      <c r="W1090" s="636"/>
      <c r="X1090" s="635"/>
      <c r="Y1090" s="636"/>
      <c r="Z1090" s="635"/>
      <c r="AA1090" s="636"/>
      <c r="AB1090" s="635"/>
      <c r="AC1090" s="636"/>
      <c r="AD1090" s="635"/>
      <c r="AE1090" s="636"/>
      <c r="AF1090" s="637"/>
      <c r="AG1090" s="698">
        <f>SUM(AF370:AF374)/1.18-SUM(AF1085:AF1089)*'Mark Up Validation'!$M$175</f>
        <v>0</v>
      </c>
      <c r="AH1090" s="638"/>
      <c r="AI1090" s="698">
        <f>SUM(AH370:AH374)/1.18-SUM(AH1085:AH1089)*'Mark Up Validation'!$M$175</f>
        <v>0</v>
      </c>
      <c r="AJ1090" s="65"/>
    </row>
    <row r="1091" spans="2:36" ht="13.5" customHeight="1" outlineLevel="1" thickBot="1">
      <c r="B1091" s="82"/>
      <c r="C1091" s="1228" t="s">
        <v>487</v>
      </c>
      <c r="D1091" s="1229"/>
      <c r="E1091" s="699"/>
      <c r="F1091" s="700"/>
      <c r="G1091" s="701"/>
      <c r="H1091" s="700"/>
      <c r="I1091" s="701"/>
      <c r="J1091" s="700"/>
      <c r="K1091" s="702"/>
      <c r="L1091" s="700"/>
      <c r="M1091" s="702"/>
      <c r="N1091" s="700"/>
      <c r="O1091" s="702"/>
      <c r="P1091" s="700"/>
      <c r="Q1091" s="702"/>
      <c r="R1091" s="703"/>
      <c r="S1091" s="729">
        <f>IF(S1090&gt;0,S1090/(SUM(R370:R374)/1.18),0)</f>
        <v>0</v>
      </c>
      <c r="T1091" s="704"/>
      <c r="U1091" s="702"/>
      <c r="V1091" s="700"/>
      <c r="W1091" s="702"/>
      <c r="X1091" s="700"/>
      <c r="Y1091" s="702"/>
      <c r="Z1091" s="700"/>
      <c r="AA1091" s="702"/>
      <c r="AB1091" s="700"/>
      <c r="AC1091" s="702"/>
      <c r="AD1091" s="700"/>
      <c r="AE1091" s="702"/>
      <c r="AF1091" s="705"/>
      <c r="AG1091" s="729">
        <f>IF(AG1090&gt;0,AG1090/(SUM(AF370:AF374)/1.18),0)</f>
        <v>0</v>
      </c>
      <c r="AH1091" s="706"/>
      <c r="AI1091" s="729">
        <f>IF(AI1090&gt;0,AI1090/(SUM(AH370:AH374)/1.18),0)</f>
        <v>0</v>
      </c>
      <c r="AJ1091" s="65"/>
    </row>
    <row r="1092" spans="2:36" ht="12.75" customHeight="1" outlineLevel="1">
      <c r="B1092" s="82">
        <f>B1085+1</f>
        <v>54</v>
      </c>
      <c r="C1092" s="1233">
        <f>C377</f>
        <v>0</v>
      </c>
      <c r="D1092" s="1233">
        <f>D377</f>
        <v>0</v>
      </c>
      <c r="E1092" s="83" t="str">
        <f>'Terms and Turnovers'!$J$12</f>
        <v>FLIP-FLOPS</v>
      </c>
      <c r="F1092" s="68">
        <f>F377/'Terms and Turnovers'!$J69</f>
        <v>0</v>
      </c>
      <c r="G1092" s="106"/>
      <c r="H1092" s="68">
        <f>H377/'Terms and Turnovers'!$J69</f>
        <v>0</v>
      </c>
      <c r="I1092" s="106"/>
      <c r="J1092" s="68">
        <f>J377/'Terms and Turnovers'!$J69</f>
        <v>0</v>
      </c>
      <c r="K1092" s="106"/>
      <c r="L1092" s="68">
        <f>L377/'Terms and Turnovers'!$J69</f>
        <v>0</v>
      </c>
      <c r="M1092" s="106"/>
      <c r="N1092" s="68">
        <f>N377/'Terms and Turnovers'!$J69</f>
        <v>0</v>
      </c>
      <c r="O1092" s="106"/>
      <c r="P1092" s="68">
        <f>P377/'Terms and Turnovers'!$J69</f>
        <v>0</v>
      </c>
      <c r="Q1092" s="106"/>
      <c r="R1092" s="129">
        <f t="shared" si="104"/>
        <v>0</v>
      </c>
      <c r="S1092" s="106"/>
      <c r="T1092" s="68">
        <f>T377/'Terms and Turnovers'!$O69</f>
        <v>0</v>
      </c>
      <c r="U1092" s="106"/>
      <c r="V1092" s="68">
        <f>V377/'Terms and Turnovers'!$O69</f>
        <v>0</v>
      </c>
      <c r="W1092" s="106"/>
      <c r="X1092" s="68">
        <f>X377/'Terms and Turnovers'!$O69</f>
        <v>0</v>
      </c>
      <c r="Y1092" s="106"/>
      <c r="Z1092" s="68">
        <f>Z377/'Terms and Turnovers'!$O69</f>
        <v>0</v>
      </c>
      <c r="AA1092" s="106"/>
      <c r="AB1092" s="68">
        <f>AB377/'Terms and Turnovers'!$O69</f>
        <v>0</v>
      </c>
      <c r="AC1092" s="106"/>
      <c r="AD1092" s="68">
        <f>AD377/'Terms and Turnovers'!$O69</f>
        <v>0</v>
      </c>
      <c r="AE1092" s="106"/>
      <c r="AF1092" s="129">
        <f t="shared" si="105"/>
        <v>0</v>
      </c>
      <c r="AG1092" s="106"/>
      <c r="AH1092" s="130">
        <f t="shared" si="106"/>
        <v>0</v>
      </c>
      <c r="AI1092" s="106"/>
      <c r="AJ1092" s="65"/>
    </row>
    <row r="1093" spans="2:36" ht="12.75" customHeight="1" outlineLevel="1">
      <c r="B1093" s="82"/>
      <c r="C1093" s="1234"/>
      <c r="D1093" s="1234"/>
      <c r="E1093" s="84" t="str">
        <f>'Terms and Turnovers'!$T$12</f>
        <v>ORIGINALS</v>
      </c>
      <c r="F1093" s="70">
        <f>F378/'Terms and Turnovers'!$T69</f>
        <v>0</v>
      </c>
      <c r="G1093" s="728"/>
      <c r="H1093" s="70">
        <f>H378/'Terms and Turnovers'!$T69</f>
        <v>0</v>
      </c>
      <c r="I1093" s="728"/>
      <c r="J1093" s="70">
        <f>J378/'Terms and Turnovers'!$T69</f>
        <v>0</v>
      </c>
      <c r="K1093" s="728"/>
      <c r="L1093" s="70">
        <f>L378/'Terms and Turnovers'!$T69</f>
        <v>0</v>
      </c>
      <c r="M1093" s="728"/>
      <c r="N1093" s="70">
        <f>N378/'Terms and Turnovers'!$T69</f>
        <v>0</v>
      </c>
      <c r="O1093" s="728"/>
      <c r="P1093" s="70">
        <f>P378/'Terms and Turnovers'!$T69</f>
        <v>0</v>
      </c>
      <c r="Q1093" s="728"/>
      <c r="R1093" s="132">
        <f t="shared" si="104"/>
        <v>0</v>
      </c>
      <c r="S1093" s="728"/>
      <c r="T1093" s="70">
        <f>T378/'Terms and Turnovers'!$Y69</f>
        <v>0</v>
      </c>
      <c r="U1093" s="728"/>
      <c r="V1093" s="70">
        <f>V378/'Terms and Turnovers'!$Y69</f>
        <v>0</v>
      </c>
      <c r="W1093" s="728"/>
      <c r="X1093" s="70">
        <f>X378/'Terms and Turnovers'!$Y69</f>
        <v>0</v>
      </c>
      <c r="Y1093" s="728"/>
      <c r="Z1093" s="70">
        <f>Z378/'Terms and Turnovers'!$Y69</f>
        <v>0</v>
      </c>
      <c r="AA1093" s="728"/>
      <c r="AB1093" s="70">
        <f>AB378/'Terms and Turnovers'!$Y69</f>
        <v>0</v>
      </c>
      <c r="AC1093" s="728"/>
      <c r="AD1093" s="70">
        <f>AD378/'Terms and Turnovers'!$Y69</f>
        <v>0</v>
      </c>
      <c r="AE1093" s="728"/>
      <c r="AF1093" s="132">
        <f t="shared" si="105"/>
        <v>0</v>
      </c>
      <c r="AG1093" s="728"/>
      <c r="AH1093" s="133">
        <f t="shared" si="106"/>
        <v>0</v>
      </c>
      <c r="AI1093" s="728"/>
      <c r="AJ1093" s="65"/>
    </row>
    <row r="1094" spans="2:36" ht="12.75" customHeight="1" outlineLevel="1">
      <c r="B1094" s="82"/>
      <c r="C1094" s="1234"/>
      <c r="D1094" s="1234"/>
      <c r="E1094" s="84" t="str">
        <f>'Terms and Turnovers'!$AD$12</f>
        <v>ACCESSORIES</v>
      </c>
      <c r="F1094" s="70">
        <f>F379/'Terms and Turnovers'!$AD69</f>
        <v>0</v>
      </c>
      <c r="G1094" s="728"/>
      <c r="H1094" s="70">
        <f>H379/'Terms and Turnovers'!$AD69</f>
        <v>0</v>
      </c>
      <c r="I1094" s="728"/>
      <c r="J1094" s="70">
        <f>J379/'Terms and Turnovers'!$AD69</f>
        <v>0</v>
      </c>
      <c r="K1094" s="728"/>
      <c r="L1094" s="70">
        <f>L379/'Terms and Turnovers'!$AD69</f>
        <v>0</v>
      </c>
      <c r="M1094" s="728"/>
      <c r="N1094" s="70">
        <f>N379/'Terms and Turnovers'!$AD69</f>
        <v>0</v>
      </c>
      <c r="O1094" s="728"/>
      <c r="P1094" s="70">
        <f>P379/'Terms and Turnovers'!$AD69</f>
        <v>0</v>
      </c>
      <c r="Q1094" s="728"/>
      <c r="R1094" s="132">
        <f t="shared" si="104"/>
        <v>0</v>
      </c>
      <c r="S1094" s="728"/>
      <c r="T1094" s="70">
        <f>T379/'Terms and Turnovers'!$AI69</f>
        <v>0</v>
      </c>
      <c r="U1094" s="728"/>
      <c r="V1094" s="70">
        <f>V379/'Terms and Turnovers'!$AI69</f>
        <v>0</v>
      </c>
      <c r="W1094" s="728"/>
      <c r="X1094" s="70">
        <f>X379/'Terms and Turnovers'!$AI69</f>
        <v>0</v>
      </c>
      <c r="Y1094" s="728"/>
      <c r="Z1094" s="70">
        <f>Z379/'Terms and Turnovers'!$AI69</f>
        <v>0</v>
      </c>
      <c r="AA1094" s="728"/>
      <c r="AB1094" s="70">
        <f>AB379/'Terms and Turnovers'!$AI69</f>
        <v>0</v>
      </c>
      <c r="AC1094" s="728"/>
      <c r="AD1094" s="70">
        <f>AD379/'Terms and Turnovers'!$AI69</f>
        <v>0</v>
      </c>
      <c r="AE1094" s="728"/>
      <c r="AF1094" s="132">
        <f t="shared" si="105"/>
        <v>0</v>
      </c>
      <c r="AG1094" s="728"/>
      <c r="AH1094" s="133">
        <f t="shared" si="106"/>
        <v>0</v>
      </c>
      <c r="AI1094" s="728"/>
      <c r="AJ1094" s="65"/>
    </row>
    <row r="1095" spans="2:36" ht="12.75" customHeight="1" outlineLevel="1">
      <c r="B1095" s="82"/>
      <c r="C1095" s="1234"/>
      <c r="D1095" s="1234"/>
      <c r="E1095" s="84">
        <f>'Terms and Turnovers'!$AN$12</f>
        <v>0</v>
      </c>
      <c r="F1095" s="70">
        <f>F380/'Terms and Turnovers'!$AN69</f>
        <v>0</v>
      </c>
      <c r="G1095" s="728"/>
      <c r="H1095" s="70">
        <f>H380/'Terms and Turnovers'!$AN69</f>
        <v>0</v>
      </c>
      <c r="I1095" s="728"/>
      <c r="J1095" s="70">
        <f>J380/'Terms and Turnovers'!$AN69</f>
        <v>0</v>
      </c>
      <c r="K1095" s="728"/>
      <c r="L1095" s="70">
        <f>L380/'Terms and Turnovers'!$AN69</f>
        <v>0</v>
      </c>
      <c r="M1095" s="728"/>
      <c r="N1095" s="70">
        <f>N380/'Terms and Turnovers'!$AN69</f>
        <v>0</v>
      </c>
      <c r="O1095" s="728"/>
      <c r="P1095" s="70">
        <f>P380/'Terms and Turnovers'!$AN69</f>
        <v>0</v>
      </c>
      <c r="Q1095" s="728"/>
      <c r="R1095" s="132">
        <f t="shared" si="104"/>
        <v>0</v>
      </c>
      <c r="S1095" s="728"/>
      <c r="T1095" s="70">
        <f>T380/'Terms and Turnovers'!$AS69</f>
        <v>0</v>
      </c>
      <c r="U1095" s="728"/>
      <c r="V1095" s="70">
        <f>V380/'Terms and Turnovers'!$AS69</f>
        <v>0</v>
      </c>
      <c r="W1095" s="728"/>
      <c r="X1095" s="70">
        <f>X380/'Terms and Turnovers'!$AS69</f>
        <v>0</v>
      </c>
      <c r="Y1095" s="728"/>
      <c r="Z1095" s="70">
        <f>Z380/'Terms and Turnovers'!$AS69</f>
        <v>0</v>
      </c>
      <c r="AA1095" s="728"/>
      <c r="AB1095" s="70">
        <f>AB380/'Terms and Turnovers'!$AS69</f>
        <v>0</v>
      </c>
      <c r="AC1095" s="728"/>
      <c r="AD1095" s="70">
        <f>AD380/'Terms and Turnovers'!$AS69</f>
        <v>0</v>
      </c>
      <c r="AE1095" s="728"/>
      <c r="AF1095" s="132">
        <f t="shared" si="105"/>
        <v>0</v>
      </c>
      <c r="AG1095" s="728"/>
      <c r="AH1095" s="133">
        <f t="shared" si="106"/>
        <v>0</v>
      </c>
      <c r="AI1095" s="728"/>
      <c r="AJ1095" s="65"/>
    </row>
    <row r="1096" spans="2:36" ht="13.5" customHeight="1" outlineLevel="1" thickBot="1">
      <c r="B1096" s="82"/>
      <c r="C1096" s="1235"/>
      <c r="D1096" s="1235"/>
      <c r="E1096" s="85">
        <f>'Terms and Turnovers'!$AX$12</f>
        <v>0</v>
      </c>
      <c r="F1096" s="70">
        <f>F381/'Terms and Turnovers'!$AX69</f>
        <v>0</v>
      </c>
      <c r="G1096" s="107"/>
      <c r="H1096" s="70">
        <f>H381/'Terms and Turnovers'!$AX69</f>
        <v>0</v>
      </c>
      <c r="I1096" s="107"/>
      <c r="J1096" s="70">
        <f>J381/'Terms and Turnovers'!$AX69</f>
        <v>0</v>
      </c>
      <c r="K1096" s="107"/>
      <c r="L1096" s="70">
        <f>L381/'Terms and Turnovers'!$AX69</f>
        <v>0</v>
      </c>
      <c r="M1096" s="107"/>
      <c r="N1096" s="70">
        <f>N381/'Terms and Turnovers'!$AX69</f>
        <v>0</v>
      </c>
      <c r="O1096" s="107"/>
      <c r="P1096" s="70">
        <f>P381/'Terms and Turnovers'!$AX69</f>
        <v>0</v>
      </c>
      <c r="Q1096" s="107"/>
      <c r="R1096" s="135">
        <f t="shared" si="104"/>
        <v>0</v>
      </c>
      <c r="S1096" s="107"/>
      <c r="T1096" s="70">
        <f>T381/'Terms and Turnovers'!$AX$69</f>
        <v>0</v>
      </c>
      <c r="U1096" s="107"/>
      <c r="V1096" s="70">
        <f>V381/'Terms and Turnovers'!$AX$69</f>
        <v>0</v>
      </c>
      <c r="W1096" s="107"/>
      <c r="X1096" s="70">
        <f>X381/'Terms and Turnovers'!$AX$69</f>
        <v>0</v>
      </c>
      <c r="Y1096" s="107"/>
      <c r="Z1096" s="70">
        <f>Z381/'Terms and Turnovers'!$AX$69</f>
        <v>0</v>
      </c>
      <c r="AA1096" s="107"/>
      <c r="AB1096" s="70">
        <f>AB381/'Terms and Turnovers'!$AX$69</f>
        <v>0</v>
      </c>
      <c r="AC1096" s="107"/>
      <c r="AD1096" s="70">
        <f>AD381/'Terms and Turnovers'!$AX$69</f>
        <v>0</v>
      </c>
      <c r="AE1096" s="107"/>
      <c r="AF1096" s="135">
        <f t="shared" si="105"/>
        <v>0</v>
      </c>
      <c r="AG1096" s="107"/>
      <c r="AH1096" s="136">
        <f t="shared" si="106"/>
        <v>0</v>
      </c>
      <c r="AI1096" s="107"/>
      <c r="AJ1096" s="65"/>
    </row>
    <row r="1097" spans="2:36" ht="13.5" customHeight="1" outlineLevel="1">
      <c r="B1097" s="82"/>
      <c r="C1097" s="425"/>
      <c r="D1097" s="425"/>
      <c r="E1097" s="634"/>
      <c r="F1097" s="635"/>
      <c r="G1097" s="428"/>
      <c r="H1097" s="635"/>
      <c r="I1097" s="428"/>
      <c r="J1097" s="635"/>
      <c r="K1097" s="636"/>
      <c r="L1097" s="635"/>
      <c r="M1097" s="636"/>
      <c r="N1097" s="635"/>
      <c r="O1097" s="636"/>
      <c r="P1097" s="635"/>
      <c r="Q1097" s="636"/>
      <c r="R1097" s="637"/>
      <c r="S1097" s="698">
        <f>SUM(R377:R381)/1.18-(SUM(R1092:R1096)*'Mark Up Validation'!$M$175)</f>
        <v>0</v>
      </c>
      <c r="T1097" s="635"/>
      <c r="U1097" s="636"/>
      <c r="V1097" s="635"/>
      <c r="W1097" s="636"/>
      <c r="X1097" s="635"/>
      <c r="Y1097" s="636"/>
      <c r="Z1097" s="635"/>
      <c r="AA1097" s="636"/>
      <c r="AB1097" s="635"/>
      <c r="AC1097" s="636"/>
      <c r="AD1097" s="635"/>
      <c r="AE1097" s="636"/>
      <c r="AF1097" s="637"/>
      <c r="AG1097" s="698">
        <f>SUM(AF377:AF381)/1.18-SUM(AF1092:AF1096)*'Mark Up Validation'!$M$175</f>
        <v>0</v>
      </c>
      <c r="AH1097" s="638"/>
      <c r="AI1097" s="698">
        <f>SUM(AH377:AH381)/1.18-SUM(AH1092:AH1096)*'Mark Up Validation'!$M$175</f>
        <v>0</v>
      </c>
      <c r="AJ1097" s="65"/>
    </row>
    <row r="1098" spans="2:36" ht="13.5" customHeight="1" outlineLevel="1" thickBot="1">
      <c r="B1098" s="82"/>
      <c r="C1098" s="1228" t="s">
        <v>487</v>
      </c>
      <c r="D1098" s="1229"/>
      <c r="E1098" s="699"/>
      <c r="F1098" s="700"/>
      <c r="G1098" s="701"/>
      <c r="H1098" s="700"/>
      <c r="I1098" s="701"/>
      <c r="J1098" s="700"/>
      <c r="K1098" s="702"/>
      <c r="L1098" s="700"/>
      <c r="M1098" s="702"/>
      <c r="N1098" s="700"/>
      <c r="O1098" s="702"/>
      <c r="P1098" s="700"/>
      <c r="Q1098" s="702"/>
      <c r="R1098" s="703"/>
      <c r="S1098" s="729">
        <f>IF(S1097&gt;0,S1097/(SUM(R377:R381)/1.18),0)</f>
        <v>0</v>
      </c>
      <c r="T1098" s="704"/>
      <c r="U1098" s="702"/>
      <c r="V1098" s="700"/>
      <c r="W1098" s="702"/>
      <c r="X1098" s="700"/>
      <c r="Y1098" s="702"/>
      <c r="Z1098" s="700"/>
      <c r="AA1098" s="702"/>
      <c r="AB1098" s="700"/>
      <c r="AC1098" s="702"/>
      <c r="AD1098" s="700"/>
      <c r="AE1098" s="702"/>
      <c r="AF1098" s="705"/>
      <c r="AG1098" s="729">
        <f>IF(AG1097&gt;0,AG1097/(SUM(AF377:AF381)/1.18),0)</f>
        <v>0</v>
      </c>
      <c r="AH1098" s="706"/>
      <c r="AI1098" s="729">
        <f>IF(AI1097&gt;0,AI1097/(SUM(AH377:AH381)/1.18),0)</f>
        <v>0</v>
      </c>
      <c r="AJ1098" s="65"/>
    </row>
    <row r="1099" spans="2:36" ht="12.75" customHeight="1" outlineLevel="1">
      <c r="B1099" s="82">
        <f>B1092+1</f>
        <v>55</v>
      </c>
      <c r="C1099" s="1233">
        <f>C384</f>
        <v>0</v>
      </c>
      <c r="D1099" s="1233">
        <f>D384</f>
        <v>0</v>
      </c>
      <c r="E1099" s="83" t="str">
        <f>'Terms and Turnovers'!$J$12</f>
        <v>FLIP-FLOPS</v>
      </c>
      <c r="F1099" s="68">
        <f>F384/'Terms and Turnovers'!$J70</f>
        <v>0</v>
      </c>
      <c r="G1099" s="106"/>
      <c r="H1099" s="68">
        <f>H384/'Terms and Turnovers'!$J70</f>
        <v>0</v>
      </c>
      <c r="I1099" s="106"/>
      <c r="J1099" s="68">
        <f>J384/'Terms and Turnovers'!$J70</f>
        <v>0</v>
      </c>
      <c r="K1099" s="106"/>
      <c r="L1099" s="68">
        <f>L384/'Terms and Turnovers'!$J70</f>
        <v>0</v>
      </c>
      <c r="M1099" s="106"/>
      <c r="N1099" s="68">
        <f>N384/'Terms and Turnovers'!$J70</f>
        <v>0</v>
      </c>
      <c r="O1099" s="106"/>
      <c r="P1099" s="68">
        <f>P384/'Terms and Turnovers'!$J70</f>
        <v>0</v>
      </c>
      <c r="Q1099" s="106"/>
      <c r="R1099" s="129">
        <f t="shared" si="104"/>
        <v>0</v>
      </c>
      <c r="S1099" s="106"/>
      <c r="T1099" s="68">
        <f>T384/'Terms and Turnovers'!$O70</f>
        <v>0</v>
      </c>
      <c r="U1099" s="106"/>
      <c r="V1099" s="68">
        <f>V384/'Terms and Turnovers'!$O70</f>
        <v>0</v>
      </c>
      <c r="W1099" s="106"/>
      <c r="X1099" s="68">
        <f>X384/'Terms and Turnovers'!$O70</f>
        <v>0</v>
      </c>
      <c r="Y1099" s="106"/>
      <c r="Z1099" s="68">
        <f>Z384/'Terms and Turnovers'!$O70</f>
        <v>0</v>
      </c>
      <c r="AA1099" s="106"/>
      <c r="AB1099" s="68">
        <f>AB384/'Terms and Turnovers'!$O70</f>
        <v>0</v>
      </c>
      <c r="AC1099" s="106"/>
      <c r="AD1099" s="68">
        <f>AD384/'Terms and Turnovers'!$O70</f>
        <v>0</v>
      </c>
      <c r="AE1099" s="106"/>
      <c r="AF1099" s="129">
        <f t="shared" si="105"/>
        <v>0</v>
      </c>
      <c r="AG1099" s="106"/>
      <c r="AH1099" s="130">
        <f t="shared" si="106"/>
        <v>0</v>
      </c>
      <c r="AI1099" s="106"/>
      <c r="AJ1099" s="65"/>
    </row>
    <row r="1100" spans="2:36" ht="12.75" customHeight="1" outlineLevel="1">
      <c r="B1100" s="82"/>
      <c r="C1100" s="1234"/>
      <c r="D1100" s="1234"/>
      <c r="E1100" s="84" t="str">
        <f>'Terms and Turnovers'!$T$12</f>
        <v>ORIGINALS</v>
      </c>
      <c r="F1100" s="70">
        <f>F385/'Terms and Turnovers'!$T70</f>
        <v>0</v>
      </c>
      <c r="G1100" s="728"/>
      <c r="H1100" s="70">
        <f>H385/'Terms and Turnovers'!$T70</f>
        <v>0</v>
      </c>
      <c r="I1100" s="728"/>
      <c r="J1100" s="70">
        <f>J385/'Terms and Turnovers'!$T70</f>
        <v>0</v>
      </c>
      <c r="K1100" s="728"/>
      <c r="L1100" s="70">
        <f>L385/'Terms and Turnovers'!$T70</f>
        <v>0</v>
      </c>
      <c r="M1100" s="728"/>
      <c r="N1100" s="70">
        <f>N385/'Terms and Turnovers'!$T70</f>
        <v>0</v>
      </c>
      <c r="O1100" s="728"/>
      <c r="P1100" s="70">
        <f>P385/'Terms and Turnovers'!$T70</f>
        <v>0</v>
      </c>
      <c r="Q1100" s="728"/>
      <c r="R1100" s="132">
        <f t="shared" si="104"/>
        <v>0</v>
      </c>
      <c r="S1100" s="728"/>
      <c r="T1100" s="70">
        <f>T385/'Terms and Turnovers'!$Y70</f>
        <v>0</v>
      </c>
      <c r="U1100" s="728"/>
      <c r="V1100" s="70">
        <f>V385/'Terms and Turnovers'!$Y70</f>
        <v>0</v>
      </c>
      <c r="W1100" s="728"/>
      <c r="X1100" s="70">
        <f>X385/'Terms and Turnovers'!$Y70</f>
        <v>0</v>
      </c>
      <c r="Y1100" s="728"/>
      <c r="Z1100" s="70">
        <f>Z385/'Terms and Turnovers'!$Y70</f>
        <v>0</v>
      </c>
      <c r="AA1100" s="728"/>
      <c r="AB1100" s="70">
        <f>AB385/'Terms and Turnovers'!$Y70</f>
        <v>0</v>
      </c>
      <c r="AC1100" s="728"/>
      <c r="AD1100" s="70">
        <f>AD385/'Terms and Turnovers'!$Y70</f>
        <v>0</v>
      </c>
      <c r="AE1100" s="728"/>
      <c r="AF1100" s="132">
        <f t="shared" si="105"/>
        <v>0</v>
      </c>
      <c r="AG1100" s="728"/>
      <c r="AH1100" s="133">
        <f t="shared" si="106"/>
        <v>0</v>
      </c>
      <c r="AI1100" s="728"/>
      <c r="AJ1100" s="65"/>
    </row>
    <row r="1101" spans="2:36" ht="12.75" customHeight="1" outlineLevel="1">
      <c r="B1101" s="82"/>
      <c r="C1101" s="1234"/>
      <c r="D1101" s="1234"/>
      <c r="E1101" s="84" t="str">
        <f>'Terms and Turnovers'!$AD$12</f>
        <v>ACCESSORIES</v>
      </c>
      <c r="F1101" s="70">
        <f>F386/'Terms and Turnovers'!$AD70</f>
        <v>0</v>
      </c>
      <c r="G1101" s="728"/>
      <c r="H1101" s="70">
        <f>H386/'Terms and Turnovers'!$AD70</f>
        <v>0</v>
      </c>
      <c r="I1101" s="728"/>
      <c r="J1101" s="70">
        <f>J386/'Terms and Turnovers'!$AD70</f>
        <v>0</v>
      </c>
      <c r="K1101" s="728"/>
      <c r="L1101" s="70">
        <f>L386/'Terms and Turnovers'!$AD70</f>
        <v>0</v>
      </c>
      <c r="M1101" s="728"/>
      <c r="N1101" s="70">
        <f>N386/'Terms and Turnovers'!$AD70</f>
        <v>0</v>
      </c>
      <c r="O1101" s="728"/>
      <c r="P1101" s="70">
        <f>P386/'Terms and Turnovers'!$AD70</f>
        <v>0</v>
      </c>
      <c r="Q1101" s="728"/>
      <c r="R1101" s="132">
        <f t="shared" si="104"/>
        <v>0</v>
      </c>
      <c r="S1101" s="728"/>
      <c r="T1101" s="70">
        <f>T386/'Terms and Turnovers'!$AI70</f>
        <v>0</v>
      </c>
      <c r="U1101" s="728"/>
      <c r="V1101" s="70">
        <f>V386/'Terms and Turnovers'!$AI70</f>
        <v>0</v>
      </c>
      <c r="W1101" s="728"/>
      <c r="X1101" s="70">
        <f>X386/'Terms and Turnovers'!$AI70</f>
        <v>0</v>
      </c>
      <c r="Y1101" s="728"/>
      <c r="Z1101" s="70">
        <f>Z386/'Terms and Turnovers'!$AI70</f>
        <v>0</v>
      </c>
      <c r="AA1101" s="728"/>
      <c r="AB1101" s="70">
        <f>AB386/'Terms and Turnovers'!$AI70</f>
        <v>0</v>
      </c>
      <c r="AC1101" s="728"/>
      <c r="AD1101" s="70">
        <f>AD386/'Terms and Turnovers'!$AI70</f>
        <v>0</v>
      </c>
      <c r="AE1101" s="728"/>
      <c r="AF1101" s="132">
        <f t="shared" si="105"/>
        <v>0</v>
      </c>
      <c r="AG1101" s="728"/>
      <c r="AH1101" s="133">
        <f t="shared" si="106"/>
        <v>0</v>
      </c>
      <c r="AI1101" s="728"/>
      <c r="AJ1101" s="65"/>
    </row>
    <row r="1102" spans="2:36" ht="12.75" customHeight="1" outlineLevel="1">
      <c r="B1102" s="82"/>
      <c r="C1102" s="1234"/>
      <c r="D1102" s="1234"/>
      <c r="E1102" s="84">
        <f>'Terms and Turnovers'!$AN$12</f>
        <v>0</v>
      </c>
      <c r="F1102" s="70">
        <f>F387/'Terms and Turnovers'!$AN70</f>
        <v>0</v>
      </c>
      <c r="G1102" s="728"/>
      <c r="H1102" s="70">
        <f>H387/'Terms and Turnovers'!$AN70</f>
        <v>0</v>
      </c>
      <c r="I1102" s="728"/>
      <c r="J1102" s="70">
        <f>J387/'Terms and Turnovers'!$AN70</f>
        <v>0</v>
      </c>
      <c r="K1102" s="728"/>
      <c r="L1102" s="70">
        <f>L387/'Terms and Turnovers'!$AN70</f>
        <v>0</v>
      </c>
      <c r="M1102" s="728"/>
      <c r="N1102" s="70">
        <f>N387/'Terms and Turnovers'!$AN70</f>
        <v>0</v>
      </c>
      <c r="O1102" s="728"/>
      <c r="P1102" s="70">
        <f>P387/'Terms and Turnovers'!$AN70</f>
        <v>0</v>
      </c>
      <c r="Q1102" s="728"/>
      <c r="R1102" s="132">
        <f t="shared" si="104"/>
        <v>0</v>
      </c>
      <c r="S1102" s="728"/>
      <c r="T1102" s="70">
        <f>T387/'Terms and Turnovers'!$AS70</f>
        <v>0</v>
      </c>
      <c r="U1102" s="728"/>
      <c r="V1102" s="70">
        <f>V387/'Terms and Turnovers'!$AS70</f>
        <v>0</v>
      </c>
      <c r="W1102" s="728"/>
      <c r="X1102" s="70">
        <f>X387/'Terms and Turnovers'!$AS70</f>
        <v>0</v>
      </c>
      <c r="Y1102" s="728"/>
      <c r="Z1102" s="70">
        <f>Z387/'Terms and Turnovers'!$AS70</f>
        <v>0</v>
      </c>
      <c r="AA1102" s="728"/>
      <c r="AB1102" s="70">
        <f>AB387/'Terms and Turnovers'!$AS70</f>
        <v>0</v>
      </c>
      <c r="AC1102" s="728"/>
      <c r="AD1102" s="70">
        <f>AD387/'Terms and Turnovers'!$AS70</f>
        <v>0</v>
      </c>
      <c r="AE1102" s="728"/>
      <c r="AF1102" s="132">
        <f t="shared" si="105"/>
        <v>0</v>
      </c>
      <c r="AG1102" s="728"/>
      <c r="AH1102" s="133">
        <f t="shared" si="106"/>
        <v>0</v>
      </c>
      <c r="AI1102" s="728"/>
      <c r="AJ1102" s="65"/>
    </row>
    <row r="1103" spans="2:36" ht="13.5" customHeight="1" outlineLevel="1" thickBot="1">
      <c r="B1103" s="82"/>
      <c r="C1103" s="1235"/>
      <c r="D1103" s="1235"/>
      <c r="E1103" s="85">
        <f>'Terms and Turnovers'!$AX$12</f>
        <v>0</v>
      </c>
      <c r="F1103" s="70">
        <f>F388/'Terms and Turnovers'!$AX70</f>
        <v>0</v>
      </c>
      <c r="G1103" s="107"/>
      <c r="H1103" s="70">
        <f>H388/'Terms and Turnovers'!$AX70</f>
        <v>0</v>
      </c>
      <c r="I1103" s="107"/>
      <c r="J1103" s="70">
        <f>J388/'Terms and Turnovers'!$AX70</f>
        <v>0</v>
      </c>
      <c r="K1103" s="107"/>
      <c r="L1103" s="70">
        <f>L388/'Terms and Turnovers'!$AX70</f>
        <v>0</v>
      </c>
      <c r="M1103" s="107"/>
      <c r="N1103" s="70">
        <f>N388/'Terms and Turnovers'!$AX70</f>
        <v>0</v>
      </c>
      <c r="O1103" s="107"/>
      <c r="P1103" s="70">
        <f>P388/'Terms and Turnovers'!$AX70</f>
        <v>0</v>
      </c>
      <c r="Q1103" s="107"/>
      <c r="R1103" s="135">
        <f t="shared" si="104"/>
        <v>0</v>
      </c>
      <c r="S1103" s="107"/>
      <c r="T1103" s="70">
        <f>T388/'Terms and Turnovers'!$AX$70</f>
        <v>0</v>
      </c>
      <c r="U1103" s="107"/>
      <c r="V1103" s="70">
        <f>V388/'Terms and Turnovers'!$AX$70</f>
        <v>0</v>
      </c>
      <c r="W1103" s="107"/>
      <c r="X1103" s="70">
        <f>X388/'Terms and Turnovers'!$AX$70</f>
        <v>0</v>
      </c>
      <c r="Y1103" s="107"/>
      <c r="Z1103" s="70">
        <f>Z388/'Terms and Turnovers'!$AX$70</f>
        <v>0</v>
      </c>
      <c r="AA1103" s="107"/>
      <c r="AB1103" s="70">
        <f>AB388/'Terms and Turnovers'!$AX$70</f>
        <v>0</v>
      </c>
      <c r="AC1103" s="107"/>
      <c r="AD1103" s="70">
        <f>AD388/'Terms and Turnovers'!$AX$70</f>
        <v>0</v>
      </c>
      <c r="AE1103" s="107"/>
      <c r="AF1103" s="135">
        <f t="shared" si="105"/>
        <v>0</v>
      </c>
      <c r="AG1103" s="107"/>
      <c r="AH1103" s="136">
        <f t="shared" si="106"/>
        <v>0</v>
      </c>
      <c r="AI1103" s="107"/>
      <c r="AJ1103" s="65"/>
    </row>
    <row r="1104" spans="2:36" ht="13.5" customHeight="1" outlineLevel="1">
      <c r="B1104" s="82"/>
      <c r="C1104" s="425"/>
      <c r="D1104" s="425"/>
      <c r="E1104" s="634"/>
      <c r="F1104" s="635"/>
      <c r="G1104" s="428"/>
      <c r="H1104" s="635"/>
      <c r="I1104" s="428"/>
      <c r="J1104" s="635"/>
      <c r="K1104" s="636"/>
      <c r="L1104" s="635"/>
      <c r="M1104" s="636"/>
      <c r="N1104" s="635"/>
      <c r="O1104" s="636"/>
      <c r="P1104" s="635"/>
      <c r="Q1104" s="636"/>
      <c r="R1104" s="637"/>
      <c r="S1104" s="698">
        <f>SUM(R384:R388)/1.18-(SUM(R1099:R1103)*'Mark Up Validation'!$M$175)</f>
        <v>0</v>
      </c>
      <c r="T1104" s="635"/>
      <c r="U1104" s="636"/>
      <c r="V1104" s="635"/>
      <c r="W1104" s="636"/>
      <c r="X1104" s="635"/>
      <c r="Y1104" s="636"/>
      <c r="Z1104" s="635"/>
      <c r="AA1104" s="636"/>
      <c r="AB1104" s="635"/>
      <c r="AC1104" s="636"/>
      <c r="AD1104" s="635"/>
      <c r="AE1104" s="636"/>
      <c r="AF1104" s="637"/>
      <c r="AG1104" s="698">
        <f>SUM(AF384:AF388)/1.18-SUM(AF1099:AF1103)*'Mark Up Validation'!$M$175</f>
        <v>0</v>
      </c>
      <c r="AH1104" s="638"/>
      <c r="AI1104" s="698">
        <f>SUM(AH384:AH388)/1.18-SUM(AH1099:AH1103)*'Mark Up Validation'!$M$175</f>
        <v>0</v>
      </c>
      <c r="AJ1104" s="65"/>
    </row>
    <row r="1105" spans="2:36" ht="13.5" customHeight="1" outlineLevel="1" thickBot="1">
      <c r="B1105" s="82"/>
      <c r="C1105" s="1228" t="s">
        <v>487</v>
      </c>
      <c r="D1105" s="1229"/>
      <c r="E1105" s="699"/>
      <c r="F1105" s="700"/>
      <c r="G1105" s="701"/>
      <c r="H1105" s="700"/>
      <c r="I1105" s="701"/>
      <c r="J1105" s="700"/>
      <c r="K1105" s="702"/>
      <c r="L1105" s="700"/>
      <c r="M1105" s="702"/>
      <c r="N1105" s="700"/>
      <c r="O1105" s="702"/>
      <c r="P1105" s="700"/>
      <c r="Q1105" s="702"/>
      <c r="R1105" s="703"/>
      <c r="S1105" s="729">
        <f>IF(S1104&gt;0,S1104/(SUM(R384:R388)/1.18),0)</f>
        <v>0</v>
      </c>
      <c r="T1105" s="704"/>
      <c r="U1105" s="702"/>
      <c r="V1105" s="700"/>
      <c r="W1105" s="702"/>
      <c r="X1105" s="700"/>
      <c r="Y1105" s="702"/>
      <c r="Z1105" s="700"/>
      <c r="AA1105" s="702"/>
      <c r="AB1105" s="700"/>
      <c r="AC1105" s="702"/>
      <c r="AD1105" s="700"/>
      <c r="AE1105" s="702"/>
      <c r="AF1105" s="705"/>
      <c r="AG1105" s="729">
        <f>IF(AG1104&gt;0,AG1104/(SUM(AF384:AF388)/1.18),0)</f>
        <v>0</v>
      </c>
      <c r="AH1105" s="706"/>
      <c r="AI1105" s="729">
        <f>IF(AI1104&gt;0,AI1104/(SUM(AH384:AH388)/1.18),0)</f>
        <v>0</v>
      </c>
      <c r="AJ1105" s="65"/>
    </row>
    <row r="1106" spans="2:36" ht="12.75" customHeight="1" outlineLevel="1">
      <c r="B1106" s="82">
        <f>B1099+1</f>
        <v>56</v>
      </c>
      <c r="C1106" s="1233">
        <f>C391</f>
        <v>0</v>
      </c>
      <c r="D1106" s="1233">
        <f>D391</f>
        <v>0</v>
      </c>
      <c r="E1106" s="83" t="str">
        <f>'Terms and Turnovers'!$J$12</f>
        <v>FLIP-FLOPS</v>
      </c>
      <c r="F1106" s="68">
        <f>F391/'Terms and Turnovers'!$J71</f>
        <v>0</v>
      </c>
      <c r="G1106" s="106"/>
      <c r="H1106" s="68">
        <f>H391/'Terms and Turnovers'!$J71</f>
        <v>0</v>
      </c>
      <c r="I1106" s="106"/>
      <c r="J1106" s="68">
        <f>J391/'Terms and Turnovers'!$J71</f>
        <v>0</v>
      </c>
      <c r="K1106" s="106"/>
      <c r="L1106" s="68">
        <f>L391/'Terms and Turnovers'!$J71</f>
        <v>0</v>
      </c>
      <c r="M1106" s="106"/>
      <c r="N1106" s="68">
        <f>N391/'Terms and Turnovers'!$J71</f>
        <v>0</v>
      </c>
      <c r="O1106" s="106"/>
      <c r="P1106" s="68">
        <f>P391/'Terms and Turnovers'!$J71</f>
        <v>0</v>
      </c>
      <c r="Q1106" s="106"/>
      <c r="R1106" s="129">
        <f t="shared" si="104"/>
        <v>0</v>
      </c>
      <c r="S1106" s="106"/>
      <c r="T1106" s="68">
        <f>T391/'Terms and Turnovers'!$O71</f>
        <v>0</v>
      </c>
      <c r="U1106" s="106"/>
      <c r="V1106" s="68">
        <f>V391/'Terms and Turnovers'!$O71</f>
        <v>0</v>
      </c>
      <c r="W1106" s="106"/>
      <c r="X1106" s="68">
        <f>X391/'Terms and Turnovers'!$O71</f>
        <v>0</v>
      </c>
      <c r="Y1106" s="106"/>
      <c r="Z1106" s="68">
        <f>Z391/'Terms and Turnovers'!$O71</f>
        <v>0</v>
      </c>
      <c r="AA1106" s="106"/>
      <c r="AB1106" s="68">
        <f>AB391/'Terms and Turnovers'!$O71</f>
        <v>0</v>
      </c>
      <c r="AC1106" s="106"/>
      <c r="AD1106" s="68">
        <f>AD391/'Terms and Turnovers'!$O71</f>
        <v>0</v>
      </c>
      <c r="AE1106" s="106"/>
      <c r="AF1106" s="129">
        <f t="shared" si="105"/>
        <v>0</v>
      </c>
      <c r="AG1106" s="106"/>
      <c r="AH1106" s="130">
        <f t="shared" si="106"/>
        <v>0</v>
      </c>
      <c r="AI1106" s="106"/>
      <c r="AJ1106" s="65"/>
    </row>
    <row r="1107" spans="2:36" ht="12.75" customHeight="1" outlineLevel="1">
      <c r="B1107" s="82"/>
      <c r="C1107" s="1234"/>
      <c r="D1107" s="1234"/>
      <c r="E1107" s="84" t="str">
        <f>'Terms and Turnovers'!$T$12</f>
        <v>ORIGINALS</v>
      </c>
      <c r="F1107" s="70">
        <f>F392/'Terms and Turnovers'!$T71</f>
        <v>0</v>
      </c>
      <c r="G1107" s="728"/>
      <c r="H1107" s="70">
        <f>H392/'Terms and Turnovers'!$T71</f>
        <v>0</v>
      </c>
      <c r="I1107" s="728"/>
      <c r="J1107" s="70">
        <f>J392/'Terms and Turnovers'!$T71</f>
        <v>0</v>
      </c>
      <c r="K1107" s="728"/>
      <c r="L1107" s="70">
        <f>L392/'Terms and Turnovers'!$T71</f>
        <v>0</v>
      </c>
      <c r="M1107" s="728"/>
      <c r="N1107" s="70">
        <f>N392/'Terms and Turnovers'!$T71</f>
        <v>0</v>
      </c>
      <c r="O1107" s="728"/>
      <c r="P1107" s="70">
        <f>P392/'Terms and Turnovers'!$T71</f>
        <v>0</v>
      </c>
      <c r="Q1107" s="728"/>
      <c r="R1107" s="132">
        <f t="shared" si="104"/>
        <v>0</v>
      </c>
      <c r="S1107" s="728"/>
      <c r="T1107" s="70">
        <f>T392/'Terms and Turnovers'!$Y71</f>
        <v>0</v>
      </c>
      <c r="U1107" s="728"/>
      <c r="V1107" s="70">
        <f>V392/'Terms and Turnovers'!$Y71</f>
        <v>0</v>
      </c>
      <c r="W1107" s="728"/>
      <c r="X1107" s="70">
        <f>X392/'Terms and Turnovers'!$Y71</f>
        <v>0</v>
      </c>
      <c r="Y1107" s="728"/>
      <c r="Z1107" s="70">
        <f>Z392/'Terms and Turnovers'!$Y71</f>
        <v>0</v>
      </c>
      <c r="AA1107" s="728"/>
      <c r="AB1107" s="70">
        <f>AB392/'Terms and Turnovers'!$Y71</f>
        <v>0</v>
      </c>
      <c r="AC1107" s="728"/>
      <c r="AD1107" s="70">
        <f>AD392/'Terms and Turnovers'!$Y71</f>
        <v>0</v>
      </c>
      <c r="AE1107" s="728"/>
      <c r="AF1107" s="132">
        <f t="shared" si="105"/>
        <v>0</v>
      </c>
      <c r="AG1107" s="728"/>
      <c r="AH1107" s="133">
        <f t="shared" si="106"/>
        <v>0</v>
      </c>
      <c r="AI1107" s="728"/>
      <c r="AJ1107" s="65"/>
    </row>
    <row r="1108" spans="2:36" ht="12.75" customHeight="1" outlineLevel="1">
      <c r="B1108" s="82"/>
      <c r="C1108" s="1234"/>
      <c r="D1108" s="1234"/>
      <c r="E1108" s="84" t="str">
        <f>'Terms and Turnovers'!$AD$12</f>
        <v>ACCESSORIES</v>
      </c>
      <c r="F1108" s="70">
        <f>F393/'Terms and Turnovers'!$AD71</f>
        <v>0</v>
      </c>
      <c r="G1108" s="728"/>
      <c r="H1108" s="70">
        <f>H393/'Terms and Turnovers'!$AD71</f>
        <v>0</v>
      </c>
      <c r="I1108" s="728"/>
      <c r="J1108" s="70">
        <f>J393/'Terms and Turnovers'!$AD71</f>
        <v>0</v>
      </c>
      <c r="K1108" s="728"/>
      <c r="L1108" s="70">
        <f>L393/'Terms and Turnovers'!$AD71</f>
        <v>0</v>
      </c>
      <c r="M1108" s="728"/>
      <c r="N1108" s="70">
        <f>N393/'Terms and Turnovers'!$AD71</f>
        <v>0</v>
      </c>
      <c r="O1108" s="728"/>
      <c r="P1108" s="70">
        <f>P393/'Terms and Turnovers'!$AD71</f>
        <v>0</v>
      </c>
      <c r="Q1108" s="728"/>
      <c r="R1108" s="132">
        <f t="shared" si="104"/>
        <v>0</v>
      </c>
      <c r="S1108" s="728"/>
      <c r="T1108" s="70">
        <f>T393/'Terms and Turnovers'!$AI71</f>
        <v>0</v>
      </c>
      <c r="U1108" s="728"/>
      <c r="V1108" s="70">
        <f>V393/'Terms and Turnovers'!$AI71</f>
        <v>0</v>
      </c>
      <c r="W1108" s="728"/>
      <c r="X1108" s="70">
        <f>X393/'Terms and Turnovers'!$AI71</f>
        <v>0</v>
      </c>
      <c r="Y1108" s="728"/>
      <c r="Z1108" s="70">
        <f>Z393/'Terms and Turnovers'!$AI71</f>
        <v>0</v>
      </c>
      <c r="AA1108" s="728"/>
      <c r="AB1108" s="70">
        <f>AB393/'Terms and Turnovers'!$AI71</f>
        <v>0</v>
      </c>
      <c r="AC1108" s="728"/>
      <c r="AD1108" s="70">
        <f>AD393/'Terms and Turnovers'!$AI71</f>
        <v>0</v>
      </c>
      <c r="AE1108" s="728"/>
      <c r="AF1108" s="132">
        <f t="shared" si="105"/>
        <v>0</v>
      </c>
      <c r="AG1108" s="728"/>
      <c r="AH1108" s="133">
        <f t="shared" si="106"/>
        <v>0</v>
      </c>
      <c r="AI1108" s="728"/>
      <c r="AJ1108" s="65"/>
    </row>
    <row r="1109" spans="2:36" ht="12.75" customHeight="1" outlineLevel="1">
      <c r="B1109" s="82"/>
      <c r="C1109" s="1234"/>
      <c r="D1109" s="1234"/>
      <c r="E1109" s="84">
        <f>'Terms and Turnovers'!$AN$12</f>
        <v>0</v>
      </c>
      <c r="F1109" s="70">
        <f>F394/'Terms and Turnovers'!$AN71</f>
        <v>0</v>
      </c>
      <c r="G1109" s="728"/>
      <c r="H1109" s="70">
        <f>H394/'Terms and Turnovers'!$AN71</f>
        <v>0</v>
      </c>
      <c r="I1109" s="728"/>
      <c r="J1109" s="70">
        <f>J394/'Terms and Turnovers'!$AN71</f>
        <v>0</v>
      </c>
      <c r="K1109" s="728"/>
      <c r="L1109" s="70">
        <f>L394/'Terms and Turnovers'!$AN71</f>
        <v>0</v>
      </c>
      <c r="M1109" s="728"/>
      <c r="N1109" s="70">
        <f>N394/'Terms and Turnovers'!$AN71</f>
        <v>0</v>
      </c>
      <c r="O1109" s="728"/>
      <c r="P1109" s="70">
        <f>P394/'Terms and Turnovers'!$AN71</f>
        <v>0</v>
      </c>
      <c r="Q1109" s="728"/>
      <c r="R1109" s="132">
        <f t="shared" si="104"/>
        <v>0</v>
      </c>
      <c r="S1109" s="728"/>
      <c r="T1109" s="70">
        <f>T394/'Terms and Turnovers'!$AS71</f>
        <v>0</v>
      </c>
      <c r="U1109" s="728"/>
      <c r="V1109" s="70">
        <f>V394/'Terms and Turnovers'!$AS71</f>
        <v>0</v>
      </c>
      <c r="W1109" s="728"/>
      <c r="X1109" s="70">
        <f>X394/'Terms and Turnovers'!$AS71</f>
        <v>0</v>
      </c>
      <c r="Y1109" s="728"/>
      <c r="Z1109" s="70">
        <f>Z394/'Terms and Turnovers'!$AS71</f>
        <v>0</v>
      </c>
      <c r="AA1109" s="728"/>
      <c r="AB1109" s="70">
        <f>AB394/'Terms and Turnovers'!$AS71</f>
        <v>0</v>
      </c>
      <c r="AC1109" s="728"/>
      <c r="AD1109" s="70">
        <f>AD394/'Terms and Turnovers'!$AS71</f>
        <v>0</v>
      </c>
      <c r="AE1109" s="728"/>
      <c r="AF1109" s="132">
        <f t="shared" si="105"/>
        <v>0</v>
      </c>
      <c r="AG1109" s="728"/>
      <c r="AH1109" s="133">
        <f t="shared" si="106"/>
        <v>0</v>
      </c>
      <c r="AI1109" s="728"/>
      <c r="AJ1109" s="65"/>
    </row>
    <row r="1110" spans="2:36" ht="13.5" customHeight="1" outlineLevel="1" thickBot="1">
      <c r="B1110" s="82"/>
      <c r="C1110" s="1235"/>
      <c r="D1110" s="1235"/>
      <c r="E1110" s="85">
        <f>'Terms and Turnovers'!$AX$12</f>
        <v>0</v>
      </c>
      <c r="F1110" s="70">
        <f>F395/'Terms and Turnovers'!$AX71</f>
        <v>0</v>
      </c>
      <c r="G1110" s="107"/>
      <c r="H1110" s="70">
        <f>H395/'Terms and Turnovers'!$AX71</f>
        <v>0</v>
      </c>
      <c r="I1110" s="107"/>
      <c r="J1110" s="70">
        <f>J395/'Terms and Turnovers'!$AX71</f>
        <v>0</v>
      </c>
      <c r="K1110" s="107"/>
      <c r="L1110" s="70">
        <f>L395/'Terms and Turnovers'!$AX71</f>
        <v>0</v>
      </c>
      <c r="M1110" s="107"/>
      <c r="N1110" s="70">
        <f>N395/'Terms and Turnovers'!$AX71</f>
        <v>0</v>
      </c>
      <c r="O1110" s="107"/>
      <c r="P1110" s="70">
        <f>P395/'Terms and Turnovers'!$AX71</f>
        <v>0</v>
      </c>
      <c r="Q1110" s="107"/>
      <c r="R1110" s="135">
        <f t="shared" si="104"/>
        <v>0</v>
      </c>
      <c r="S1110" s="107"/>
      <c r="T1110" s="70">
        <f>T395/'Terms and Turnovers'!$AX$71</f>
        <v>0</v>
      </c>
      <c r="U1110" s="107"/>
      <c r="V1110" s="70">
        <f>V395/'Terms and Turnovers'!$AX$71</f>
        <v>0</v>
      </c>
      <c r="W1110" s="107"/>
      <c r="X1110" s="70">
        <f>X395/'Terms and Turnovers'!$AX$71</f>
        <v>0</v>
      </c>
      <c r="Y1110" s="107"/>
      <c r="Z1110" s="70">
        <f>Z395/'Terms and Turnovers'!$AX$71</f>
        <v>0</v>
      </c>
      <c r="AA1110" s="107"/>
      <c r="AB1110" s="70">
        <f>AB395/'Terms and Turnovers'!$AX$71</f>
        <v>0</v>
      </c>
      <c r="AC1110" s="107"/>
      <c r="AD1110" s="70">
        <f>AD395/'Terms and Turnovers'!$AX$71</f>
        <v>0</v>
      </c>
      <c r="AE1110" s="107"/>
      <c r="AF1110" s="135">
        <f t="shared" si="105"/>
        <v>0</v>
      </c>
      <c r="AG1110" s="107"/>
      <c r="AH1110" s="136">
        <f t="shared" si="106"/>
        <v>0</v>
      </c>
      <c r="AI1110" s="107"/>
      <c r="AJ1110" s="65"/>
    </row>
    <row r="1111" spans="2:36" ht="13.5" customHeight="1" outlineLevel="1">
      <c r="B1111" s="82"/>
      <c r="C1111" s="425"/>
      <c r="D1111" s="425"/>
      <c r="E1111" s="634"/>
      <c r="F1111" s="635"/>
      <c r="G1111" s="428"/>
      <c r="H1111" s="635"/>
      <c r="I1111" s="428"/>
      <c r="J1111" s="635"/>
      <c r="K1111" s="636"/>
      <c r="L1111" s="635"/>
      <c r="M1111" s="636"/>
      <c r="N1111" s="635"/>
      <c r="O1111" s="636"/>
      <c r="P1111" s="635"/>
      <c r="Q1111" s="636"/>
      <c r="R1111" s="637"/>
      <c r="S1111" s="698">
        <f>SUM(R391:R395)/1.18-(SUM(R1106:R1110)*'Mark Up Validation'!$M$175)</f>
        <v>0</v>
      </c>
      <c r="T1111" s="635"/>
      <c r="U1111" s="636"/>
      <c r="V1111" s="635"/>
      <c r="W1111" s="636"/>
      <c r="X1111" s="635"/>
      <c r="Y1111" s="636"/>
      <c r="Z1111" s="635"/>
      <c r="AA1111" s="636"/>
      <c r="AB1111" s="635"/>
      <c r="AC1111" s="636"/>
      <c r="AD1111" s="635"/>
      <c r="AE1111" s="636"/>
      <c r="AF1111" s="637"/>
      <c r="AG1111" s="698">
        <f>SUM(AF391:AF395)/1.18-SUM(AF1106:AF1110)*'Mark Up Validation'!$M$175</f>
        <v>0</v>
      </c>
      <c r="AH1111" s="638"/>
      <c r="AI1111" s="698">
        <f>SUM(AH391:AH395)/1.18-SUM(AH1106:AH1110)*'Mark Up Validation'!$M$175</f>
        <v>0</v>
      </c>
      <c r="AJ1111" s="65"/>
    </row>
    <row r="1112" spans="2:36" ht="13.5" customHeight="1" outlineLevel="1" thickBot="1">
      <c r="B1112" s="82"/>
      <c r="C1112" s="1228" t="s">
        <v>487</v>
      </c>
      <c r="D1112" s="1229"/>
      <c r="E1112" s="699"/>
      <c r="F1112" s="700"/>
      <c r="G1112" s="701"/>
      <c r="H1112" s="700"/>
      <c r="I1112" s="701"/>
      <c r="J1112" s="700"/>
      <c r="K1112" s="702"/>
      <c r="L1112" s="700"/>
      <c r="M1112" s="702"/>
      <c r="N1112" s="700"/>
      <c r="O1112" s="702"/>
      <c r="P1112" s="700"/>
      <c r="Q1112" s="702"/>
      <c r="R1112" s="703"/>
      <c r="S1112" s="729">
        <f>IF(S1111&gt;0,S1111/(SUM(R391:R395)/1.18),0)</f>
        <v>0</v>
      </c>
      <c r="T1112" s="704"/>
      <c r="U1112" s="702"/>
      <c r="V1112" s="700"/>
      <c r="W1112" s="702"/>
      <c r="X1112" s="700"/>
      <c r="Y1112" s="702"/>
      <c r="Z1112" s="700"/>
      <c r="AA1112" s="702"/>
      <c r="AB1112" s="700"/>
      <c r="AC1112" s="702"/>
      <c r="AD1112" s="700"/>
      <c r="AE1112" s="702"/>
      <c r="AF1112" s="705"/>
      <c r="AG1112" s="729">
        <f>IF(AG1111&gt;0,AG1111/(SUM(AF391:AF395)/1.18),0)</f>
        <v>0</v>
      </c>
      <c r="AH1112" s="706"/>
      <c r="AI1112" s="729">
        <f>IF(AI1111&gt;0,AI1111/(SUM(AH391:AH395)/1.18),0)</f>
        <v>0</v>
      </c>
      <c r="AJ1112" s="65"/>
    </row>
    <row r="1113" spans="2:36" ht="12.75" customHeight="1" outlineLevel="1">
      <c r="B1113" s="82">
        <f>B1106+1</f>
        <v>57</v>
      </c>
      <c r="C1113" s="1233">
        <f>C398</f>
        <v>0</v>
      </c>
      <c r="D1113" s="1233">
        <f>D398</f>
        <v>0</v>
      </c>
      <c r="E1113" s="83" t="str">
        <f>'Terms and Turnovers'!$J$12</f>
        <v>FLIP-FLOPS</v>
      </c>
      <c r="F1113" s="68">
        <f>F398/'Terms and Turnovers'!$J72</f>
        <v>0</v>
      </c>
      <c r="G1113" s="106"/>
      <c r="H1113" s="68">
        <f>H398/'Terms and Turnovers'!$J72</f>
        <v>0</v>
      </c>
      <c r="I1113" s="106"/>
      <c r="J1113" s="68">
        <f>J398/'Terms and Turnovers'!$J72</f>
        <v>0</v>
      </c>
      <c r="K1113" s="106"/>
      <c r="L1113" s="68">
        <f>L398/'Terms and Turnovers'!$J72</f>
        <v>0</v>
      </c>
      <c r="M1113" s="106"/>
      <c r="N1113" s="68">
        <f>N398/'Terms and Turnovers'!$J72</f>
        <v>0</v>
      </c>
      <c r="O1113" s="106"/>
      <c r="P1113" s="68">
        <f>P398/'Terms and Turnovers'!$J72</f>
        <v>0</v>
      </c>
      <c r="Q1113" s="106"/>
      <c r="R1113" s="129">
        <f t="shared" si="104"/>
        <v>0</v>
      </c>
      <c r="S1113" s="106"/>
      <c r="T1113" s="68">
        <f>T398/'Terms and Turnovers'!$O72</f>
        <v>0</v>
      </c>
      <c r="U1113" s="106"/>
      <c r="V1113" s="68">
        <f>V398/'Terms and Turnovers'!$O72</f>
        <v>0</v>
      </c>
      <c r="W1113" s="106"/>
      <c r="X1113" s="68">
        <f>X398/'Terms and Turnovers'!$O72</f>
        <v>0</v>
      </c>
      <c r="Y1113" s="106"/>
      <c r="Z1113" s="68">
        <f>Z398/'Terms and Turnovers'!$O72</f>
        <v>0</v>
      </c>
      <c r="AA1113" s="106"/>
      <c r="AB1113" s="68">
        <f>AB398/'Terms and Turnovers'!$O72</f>
        <v>0</v>
      </c>
      <c r="AC1113" s="106"/>
      <c r="AD1113" s="68">
        <f>AD398/'Terms and Turnovers'!$O72</f>
        <v>0</v>
      </c>
      <c r="AE1113" s="106"/>
      <c r="AF1113" s="129">
        <f t="shared" si="105"/>
        <v>0</v>
      </c>
      <c r="AG1113" s="106"/>
      <c r="AH1113" s="130">
        <f t="shared" si="106"/>
        <v>0</v>
      </c>
      <c r="AI1113" s="106"/>
      <c r="AJ1113" s="65"/>
    </row>
    <row r="1114" spans="2:36" ht="12.75" customHeight="1" outlineLevel="1">
      <c r="B1114" s="82"/>
      <c r="C1114" s="1234"/>
      <c r="D1114" s="1234"/>
      <c r="E1114" s="84" t="str">
        <f>'Terms and Turnovers'!$T$12</f>
        <v>ORIGINALS</v>
      </c>
      <c r="F1114" s="70">
        <f>F399/'Terms and Turnovers'!$T72</f>
        <v>0</v>
      </c>
      <c r="G1114" s="728"/>
      <c r="H1114" s="70">
        <f>H399/'Terms and Turnovers'!$T72</f>
        <v>0</v>
      </c>
      <c r="I1114" s="728"/>
      <c r="J1114" s="70">
        <f>J399/'Terms and Turnovers'!$T72</f>
        <v>0</v>
      </c>
      <c r="K1114" s="728"/>
      <c r="L1114" s="70">
        <f>L399/'Terms and Turnovers'!$T72</f>
        <v>0</v>
      </c>
      <c r="M1114" s="728"/>
      <c r="N1114" s="70">
        <f>N399/'Terms and Turnovers'!$T72</f>
        <v>0</v>
      </c>
      <c r="O1114" s="728"/>
      <c r="P1114" s="70">
        <f>P399/'Terms and Turnovers'!$T72</f>
        <v>0</v>
      </c>
      <c r="Q1114" s="728"/>
      <c r="R1114" s="132">
        <f t="shared" si="104"/>
        <v>0</v>
      </c>
      <c r="S1114" s="728"/>
      <c r="T1114" s="70">
        <f>T399/'Terms and Turnovers'!$Y72</f>
        <v>0</v>
      </c>
      <c r="U1114" s="728"/>
      <c r="V1114" s="70">
        <f>V399/'Terms and Turnovers'!$Y72</f>
        <v>0</v>
      </c>
      <c r="W1114" s="728"/>
      <c r="X1114" s="70">
        <f>X399/'Terms and Turnovers'!$Y72</f>
        <v>0</v>
      </c>
      <c r="Y1114" s="728"/>
      <c r="Z1114" s="70">
        <f>Z399/'Terms and Turnovers'!$Y72</f>
        <v>0</v>
      </c>
      <c r="AA1114" s="728"/>
      <c r="AB1114" s="70">
        <f>AB399/'Terms and Turnovers'!$Y72</f>
        <v>0</v>
      </c>
      <c r="AC1114" s="728"/>
      <c r="AD1114" s="70">
        <f>AD399/'Terms and Turnovers'!$Y72</f>
        <v>0</v>
      </c>
      <c r="AE1114" s="728"/>
      <c r="AF1114" s="132">
        <f t="shared" si="105"/>
        <v>0</v>
      </c>
      <c r="AG1114" s="728"/>
      <c r="AH1114" s="133">
        <f t="shared" si="106"/>
        <v>0</v>
      </c>
      <c r="AI1114" s="728"/>
      <c r="AJ1114" s="65"/>
    </row>
    <row r="1115" spans="2:36" ht="12.75" customHeight="1" outlineLevel="1">
      <c r="B1115" s="82"/>
      <c r="C1115" s="1234"/>
      <c r="D1115" s="1234"/>
      <c r="E1115" s="84" t="str">
        <f>'Terms and Turnovers'!$AD$12</f>
        <v>ACCESSORIES</v>
      </c>
      <c r="F1115" s="70">
        <f>F400/'Terms and Turnovers'!$AD72</f>
        <v>0</v>
      </c>
      <c r="G1115" s="728"/>
      <c r="H1115" s="70">
        <f>H400/'Terms and Turnovers'!$AD72</f>
        <v>0</v>
      </c>
      <c r="I1115" s="728"/>
      <c r="J1115" s="70">
        <f>J400/'Terms and Turnovers'!$AD72</f>
        <v>0</v>
      </c>
      <c r="K1115" s="728"/>
      <c r="L1115" s="70">
        <f>L400/'Terms and Turnovers'!$AD72</f>
        <v>0</v>
      </c>
      <c r="M1115" s="728"/>
      <c r="N1115" s="70">
        <f>N400/'Terms and Turnovers'!$AD72</f>
        <v>0</v>
      </c>
      <c r="O1115" s="728"/>
      <c r="P1115" s="70">
        <f>P400/'Terms and Turnovers'!$AD72</f>
        <v>0</v>
      </c>
      <c r="Q1115" s="728"/>
      <c r="R1115" s="132">
        <f t="shared" si="104"/>
        <v>0</v>
      </c>
      <c r="S1115" s="728"/>
      <c r="T1115" s="70">
        <f>T400/'Terms and Turnovers'!$AI72</f>
        <v>0</v>
      </c>
      <c r="U1115" s="728"/>
      <c r="V1115" s="70">
        <f>V400/'Terms and Turnovers'!$AI72</f>
        <v>0</v>
      </c>
      <c r="W1115" s="728"/>
      <c r="X1115" s="70">
        <f>X400/'Terms and Turnovers'!$AI72</f>
        <v>0</v>
      </c>
      <c r="Y1115" s="728"/>
      <c r="Z1115" s="70">
        <f>Z400/'Terms and Turnovers'!$AI72</f>
        <v>0</v>
      </c>
      <c r="AA1115" s="728"/>
      <c r="AB1115" s="70">
        <f>AB400/'Terms and Turnovers'!$AI72</f>
        <v>0</v>
      </c>
      <c r="AC1115" s="728"/>
      <c r="AD1115" s="70">
        <f>AD400/'Terms and Turnovers'!$AI72</f>
        <v>0</v>
      </c>
      <c r="AE1115" s="728"/>
      <c r="AF1115" s="132">
        <f t="shared" si="105"/>
        <v>0</v>
      </c>
      <c r="AG1115" s="728"/>
      <c r="AH1115" s="133">
        <f t="shared" si="106"/>
        <v>0</v>
      </c>
      <c r="AI1115" s="728"/>
      <c r="AJ1115" s="65"/>
    </row>
    <row r="1116" spans="2:36" ht="12.75" customHeight="1" outlineLevel="1">
      <c r="B1116" s="82"/>
      <c r="C1116" s="1234"/>
      <c r="D1116" s="1234"/>
      <c r="E1116" s="84">
        <f>'Terms and Turnovers'!$AN$12</f>
        <v>0</v>
      </c>
      <c r="F1116" s="70">
        <f>F401/'Terms and Turnovers'!$AN72</f>
        <v>0</v>
      </c>
      <c r="G1116" s="728"/>
      <c r="H1116" s="70">
        <f>H401/'Terms and Turnovers'!$AN72</f>
        <v>0</v>
      </c>
      <c r="I1116" s="728"/>
      <c r="J1116" s="70">
        <f>J401/'Terms and Turnovers'!$AN72</f>
        <v>0</v>
      </c>
      <c r="K1116" s="728"/>
      <c r="L1116" s="70">
        <f>L401/'Terms and Turnovers'!$AN72</f>
        <v>0</v>
      </c>
      <c r="M1116" s="728"/>
      <c r="N1116" s="70">
        <f>N401/'Terms and Turnovers'!$AN72</f>
        <v>0</v>
      </c>
      <c r="O1116" s="728"/>
      <c r="P1116" s="70">
        <f>P401/'Terms and Turnovers'!$AN72</f>
        <v>0</v>
      </c>
      <c r="Q1116" s="728"/>
      <c r="R1116" s="132">
        <f t="shared" si="104"/>
        <v>0</v>
      </c>
      <c r="S1116" s="728"/>
      <c r="T1116" s="70">
        <f>T401/'Terms and Turnovers'!$AI73</f>
        <v>0</v>
      </c>
      <c r="U1116" s="728"/>
      <c r="V1116" s="70">
        <f>V401/'Terms and Turnovers'!$AI73</f>
        <v>0</v>
      </c>
      <c r="W1116" s="728"/>
      <c r="X1116" s="70">
        <f>X401/'Terms and Turnovers'!$AI73</f>
        <v>0</v>
      </c>
      <c r="Y1116" s="728"/>
      <c r="Z1116" s="70">
        <f>Z401/'Terms and Turnovers'!$AI73</f>
        <v>0</v>
      </c>
      <c r="AA1116" s="728"/>
      <c r="AB1116" s="70">
        <f>AB401/'Terms and Turnovers'!$AI73</f>
        <v>0</v>
      </c>
      <c r="AC1116" s="728"/>
      <c r="AD1116" s="70">
        <f>AD401/'Terms and Turnovers'!$AI73</f>
        <v>0</v>
      </c>
      <c r="AE1116" s="728"/>
      <c r="AF1116" s="132">
        <f t="shared" si="105"/>
        <v>0</v>
      </c>
      <c r="AG1116" s="728"/>
      <c r="AH1116" s="133">
        <f t="shared" si="106"/>
        <v>0</v>
      </c>
      <c r="AI1116" s="728"/>
      <c r="AJ1116" s="65"/>
    </row>
    <row r="1117" spans="2:36" ht="13.5" customHeight="1" outlineLevel="1" thickBot="1">
      <c r="B1117" s="82"/>
      <c r="C1117" s="1235"/>
      <c r="D1117" s="1235"/>
      <c r="E1117" s="85">
        <f>'Terms and Turnovers'!$AX$12</f>
        <v>0</v>
      </c>
      <c r="F1117" s="70">
        <f>F402/'Terms and Turnovers'!$AX72</f>
        <v>0</v>
      </c>
      <c r="G1117" s="107"/>
      <c r="H1117" s="70">
        <f>H402/'Terms and Turnovers'!$AX72</f>
        <v>0</v>
      </c>
      <c r="I1117" s="107"/>
      <c r="J1117" s="70">
        <f>J402/'Terms and Turnovers'!$AX72</f>
        <v>0</v>
      </c>
      <c r="K1117" s="107"/>
      <c r="L1117" s="70">
        <f>L402/'Terms and Turnovers'!$AX72</f>
        <v>0</v>
      </c>
      <c r="M1117" s="107"/>
      <c r="N1117" s="70">
        <f>N402/'Terms and Turnovers'!$AX72</f>
        <v>0</v>
      </c>
      <c r="O1117" s="107"/>
      <c r="P1117" s="70">
        <f>P402/'Terms and Turnovers'!$AX72</f>
        <v>0</v>
      </c>
      <c r="Q1117" s="107"/>
      <c r="R1117" s="135">
        <f t="shared" si="104"/>
        <v>0</v>
      </c>
      <c r="S1117" s="107"/>
      <c r="T1117" s="70">
        <f>T402/'Terms and Turnovers'!$AX$72</f>
        <v>0</v>
      </c>
      <c r="U1117" s="107"/>
      <c r="V1117" s="70">
        <f>V402/'Terms and Turnovers'!$AX$72</f>
        <v>0</v>
      </c>
      <c r="W1117" s="107"/>
      <c r="X1117" s="70">
        <f>X402/'Terms and Turnovers'!$AX$72</f>
        <v>0</v>
      </c>
      <c r="Y1117" s="107"/>
      <c r="Z1117" s="70">
        <f>Z402/'Terms and Turnovers'!$AX$72</f>
        <v>0</v>
      </c>
      <c r="AA1117" s="107"/>
      <c r="AB1117" s="70">
        <f>AB402/'Terms and Turnovers'!$AX$72</f>
        <v>0</v>
      </c>
      <c r="AC1117" s="107"/>
      <c r="AD1117" s="70">
        <f>AD402/'Terms and Turnovers'!$AX$72</f>
        <v>0</v>
      </c>
      <c r="AE1117" s="107"/>
      <c r="AF1117" s="135">
        <f t="shared" si="105"/>
        <v>0</v>
      </c>
      <c r="AG1117" s="107"/>
      <c r="AH1117" s="136">
        <f t="shared" si="106"/>
        <v>0</v>
      </c>
      <c r="AI1117" s="107"/>
      <c r="AJ1117" s="65"/>
    </row>
    <row r="1118" spans="2:36" ht="13.5" customHeight="1" outlineLevel="1">
      <c r="B1118" s="82"/>
      <c r="C1118" s="425"/>
      <c r="D1118" s="425"/>
      <c r="E1118" s="634"/>
      <c r="F1118" s="635"/>
      <c r="G1118" s="428"/>
      <c r="H1118" s="635"/>
      <c r="I1118" s="428"/>
      <c r="J1118" s="635"/>
      <c r="K1118" s="636"/>
      <c r="L1118" s="635"/>
      <c r="M1118" s="636"/>
      <c r="N1118" s="635"/>
      <c r="O1118" s="636"/>
      <c r="P1118" s="635"/>
      <c r="Q1118" s="636"/>
      <c r="R1118" s="637"/>
      <c r="S1118" s="698">
        <f>SUM(R398:R402)/1.18-(SUM(R1113:R1117)*'Mark Up Validation'!$M$175)</f>
        <v>0</v>
      </c>
      <c r="T1118" s="635"/>
      <c r="U1118" s="636"/>
      <c r="V1118" s="635"/>
      <c r="W1118" s="636"/>
      <c r="X1118" s="635"/>
      <c r="Y1118" s="636"/>
      <c r="Z1118" s="635"/>
      <c r="AA1118" s="636"/>
      <c r="AB1118" s="635"/>
      <c r="AC1118" s="636"/>
      <c r="AD1118" s="635"/>
      <c r="AE1118" s="636"/>
      <c r="AF1118" s="637"/>
      <c r="AG1118" s="698">
        <f>SUM(AF398:AF402)/1.18-SUM(AF1113:AF1117)*'Mark Up Validation'!$M$175</f>
        <v>0</v>
      </c>
      <c r="AH1118" s="638"/>
      <c r="AI1118" s="698">
        <f>SUM(AH398:AH402)/1.18-SUM(AH1113:AH1117)*'Mark Up Validation'!$M$175</f>
        <v>0</v>
      </c>
      <c r="AJ1118" s="65"/>
    </row>
    <row r="1119" spans="2:36" ht="13.5" customHeight="1" outlineLevel="1" thickBot="1">
      <c r="B1119" s="82"/>
      <c r="C1119" s="1228" t="s">
        <v>487</v>
      </c>
      <c r="D1119" s="1229"/>
      <c r="E1119" s="699"/>
      <c r="F1119" s="700"/>
      <c r="G1119" s="701"/>
      <c r="H1119" s="700"/>
      <c r="I1119" s="701"/>
      <c r="J1119" s="700"/>
      <c r="K1119" s="702"/>
      <c r="L1119" s="700"/>
      <c r="M1119" s="702"/>
      <c r="N1119" s="700"/>
      <c r="O1119" s="702"/>
      <c r="P1119" s="700"/>
      <c r="Q1119" s="702"/>
      <c r="R1119" s="703"/>
      <c r="S1119" s="729">
        <f>IF(S1118&gt;0,S1118/(SUM(R398:R402)/1.18),0)</f>
        <v>0</v>
      </c>
      <c r="T1119" s="704"/>
      <c r="U1119" s="702"/>
      <c r="V1119" s="700"/>
      <c r="W1119" s="702"/>
      <c r="X1119" s="700"/>
      <c r="Y1119" s="702"/>
      <c r="Z1119" s="700"/>
      <c r="AA1119" s="702"/>
      <c r="AB1119" s="700"/>
      <c r="AC1119" s="702"/>
      <c r="AD1119" s="700"/>
      <c r="AE1119" s="702"/>
      <c r="AF1119" s="705"/>
      <c r="AG1119" s="729">
        <f>IF(AG1118&gt;0,AG1118/(SUM(AF398:AF402)/1.18),0)</f>
        <v>0</v>
      </c>
      <c r="AH1119" s="706"/>
      <c r="AI1119" s="729">
        <f>IF(AI1118&gt;0,AI1118/(SUM(AH398:AH402)/1.18),0)</f>
        <v>0</v>
      </c>
      <c r="AJ1119" s="65"/>
    </row>
    <row r="1120" spans="2:36" ht="12.75" customHeight="1" outlineLevel="1">
      <c r="B1120" s="82">
        <f>B1113+1</f>
        <v>58</v>
      </c>
      <c r="C1120" s="1233">
        <f>C405</f>
        <v>0</v>
      </c>
      <c r="D1120" s="1233">
        <f>D405</f>
        <v>0</v>
      </c>
      <c r="E1120" s="83" t="str">
        <f>'Terms and Turnovers'!$J$12</f>
        <v>FLIP-FLOPS</v>
      </c>
      <c r="F1120" s="68">
        <f>F405/'Terms and Turnovers'!$J73</f>
        <v>0</v>
      </c>
      <c r="G1120" s="106"/>
      <c r="H1120" s="68">
        <f>H405/'Terms and Turnovers'!$J73</f>
        <v>0</v>
      </c>
      <c r="I1120" s="106"/>
      <c r="J1120" s="68">
        <f>J405/'Terms and Turnovers'!$J73</f>
        <v>0</v>
      </c>
      <c r="K1120" s="106"/>
      <c r="L1120" s="68">
        <f>L405/'Terms and Turnovers'!$J73</f>
        <v>0</v>
      </c>
      <c r="M1120" s="106"/>
      <c r="N1120" s="68">
        <f>N405/'Terms and Turnovers'!$J73</f>
        <v>0</v>
      </c>
      <c r="O1120" s="106"/>
      <c r="P1120" s="68">
        <f>P405/'Terms and Turnovers'!$J73</f>
        <v>0</v>
      </c>
      <c r="Q1120" s="106"/>
      <c r="R1120" s="129">
        <f t="shared" si="104"/>
        <v>0</v>
      </c>
      <c r="S1120" s="106"/>
      <c r="T1120" s="68">
        <f>T405/'Terms and Turnovers'!$O73</f>
        <v>0</v>
      </c>
      <c r="U1120" s="106"/>
      <c r="V1120" s="68">
        <f>V405/'Terms and Turnovers'!$O73</f>
        <v>0</v>
      </c>
      <c r="W1120" s="106"/>
      <c r="X1120" s="68">
        <f>X405/'Terms and Turnovers'!$O73</f>
        <v>0</v>
      </c>
      <c r="Y1120" s="106"/>
      <c r="Z1120" s="68">
        <f>Z405/'Terms and Turnovers'!$O73</f>
        <v>0</v>
      </c>
      <c r="AA1120" s="106"/>
      <c r="AB1120" s="68">
        <f>AB405/'Terms and Turnovers'!$O73</f>
        <v>0</v>
      </c>
      <c r="AC1120" s="106"/>
      <c r="AD1120" s="68">
        <f>AD405/'Terms and Turnovers'!$O73</f>
        <v>0</v>
      </c>
      <c r="AE1120" s="106"/>
      <c r="AF1120" s="129">
        <f t="shared" si="105"/>
        <v>0</v>
      </c>
      <c r="AG1120" s="106"/>
      <c r="AH1120" s="130">
        <f t="shared" si="106"/>
        <v>0</v>
      </c>
      <c r="AI1120" s="106"/>
      <c r="AJ1120" s="65"/>
    </row>
    <row r="1121" spans="2:36" ht="12.75" customHeight="1" outlineLevel="1">
      <c r="B1121" s="82"/>
      <c r="C1121" s="1234"/>
      <c r="D1121" s="1234"/>
      <c r="E1121" s="84" t="str">
        <f>'Terms and Turnovers'!$T$12</f>
        <v>ORIGINALS</v>
      </c>
      <c r="F1121" s="70">
        <f>F406/'Terms and Turnovers'!$T73</f>
        <v>0</v>
      </c>
      <c r="G1121" s="728"/>
      <c r="H1121" s="70">
        <f>H406/'Terms and Turnovers'!$T73</f>
        <v>0</v>
      </c>
      <c r="I1121" s="728"/>
      <c r="J1121" s="70">
        <f>J406/'Terms and Turnovers'!$T73</f>
        <v>0</v>
      </c>
      <c r="K1121" s="728"/>
      <c r="L1121" s="70">
        <f>L406/'Terms and Turnovers'!$T73</f>
        <v>0</v>
      </c>
      <c r="M1121" s="728"/>
      <c r="N1121" s="70">
        <f>N406/'Terms and Turnovers'!$T73</f>
        <v>0</v>
      </c>
      <c r="O1121" s="728"/>
      <c r="P1121" s="70">
        <f>P406/'Terms and Turnovers'!$T73</f>
        <v>0</v>
      </c>
      <c r="Q1121" s="728"/>
      <c r="R1121" s="132">
        <f t="shared" si="104"/>
        <v>0</v>
      </c>
      <c r="S1121" s="728"/>
      <c r="T1121" s="70">
        <f>T406/'Terms and Turnovers'!$Y73</f>
        <v>0</v>
      </c>
      <c r="U1121" s="728"/>
      <c r="V1121" s="70">
        <f>V406/'Terms and Turnovers'!$Y73</f>
        <v>0</v>
      </c>
      <c r="W1121" s="728"/>
      <c r="X1121" s="70">
        <f>X406/'Terms and Turnovers'!$Y73</f>
        <v>0</v>
      </c>
      <c r="Y1121" s="728"/>
      <c r="Z1121" s="70">
        <f>Z406/'Terms and Turnovers'!$Y73</f>
        <v>0</v>
      </c>
      <c r="AA1121" s="728"/>
      <c r="AB1121" s="70">
        <f>AB406/'Terms and Turnovers'!$Y73</f>
        <v>0</v>
      </c>
      <c r="AC1121" s="728"/>
      <c r="AD1121" s="70">
        <f>AD406/'Terms and Turnovers'!$Y73</f>
        <v>0</v>
      </c>
      <c r="AE1121" s="728"/>
      <c r="AF1121" s="132">
        <f t="shared" si="105"/>
        <v>0</v>
      </c>
      <c r="AG1121" s="728"/>
      <c r="AH1121" s="133">
        <f t="shared" si="106"/>
        <v>0</v>
      </c>
      <c r="AI1121" s="728"/>
      <c r="AJ1121" s="65"/>
    </row>
    <row r="1122" spans="2:36" ht="12.75" customHeight="1" outlineLevel="1">
      <c r="B1122" s="82"/>
      <c r="C1122" s="1234"/>
      <c r="D1122" s="1234"/>
      <c r="E1122" s="84" t="str">
        <f>'Terms and Turnovers'!$AD$12</f>
        <v>ACCESSORIES</v>
      </c>
      <c r="F1122" s="70">
        <f>F407/'Terms and Turnovers'!$AD73</f>
        <v>0</v>
      </c>
      <c r="G1122" s="728"/>
      <c r="H1122" s="70">
        <f>H407/'Terms and Turnovers'!$AD73</f>
        <v>0</v>
      </c>
      <c r="I1122" s="728"/>
      <c r="J1122" s="70">
        <f>J407/'Terms and Turnovers'!$AD73</f>
        <v>0</v>
      </c>
      <c r="K1122" s="728"/>
      <c r="L1122" s="70">
        <f>L407/'Terms and Turnovers'!$AD73</f>
        <v>0</v>
      </c>
      <c r="M1122" s="728"/>
      <c r="N1122" s="70">
        <f>N407/'Terms and Turnovers'!$AD73</f>
        <v>0</v>
      </c>
      <c r="O1122" s="728"/>
      <c r="P1122" s="70">
        <f>P407/'Terms and Turnovers'!$AD73</f>
        <v>0</v>
      </c>
      <c r="Q1122" s="728"/>
      <c r="R1122" s="132">
        <f t="shared" si="104"/>
        <v>0</v>
      </c>
      <c r="S1122" s="728"/>
      <c r="T1122" s="70">
        <f>T407/'Terms and Turnovers'!$AI73</f>
        <v>0</v>
      </c>
      <c r="U1122" s="728"/>
      <c r="V1122" s="70">
        <f>V407/'Terms and Turnovers'!$AI73</f>
        <v>0</v>
      </c>
      <c r="W1122" s="728"/>
      <c r="X1122" s="70">
        <f>X407/'Terms and Turnovers'!$AI73</f>
        <v>0</v>
      </c>
      <c r="Y1122" s="728"/>
      <c r="Z1122" s="70">
        <f>Z407/'Terms and Turnovers'!$AI73</f>
        <v>0</v>
      </c>
      <c r="AA1122" s="728"/>
      <c r="AB1122" s="70">
        <f>AB407/'Terms and Turnovers'!$AI73</f>
        <v>0</v>
      </c>
      <c r="AC1122" s="728"/>
      <c r="AD1122" s="70">
        <f>AD407/'Terms and Turnovers'!$AI73</f>
        <v>0</v>
      </c>
      <c r="AE1122" s="728"/>
      <c r="AF1122" s="132">
        <f t="shared" si="105"/>
        <v>0</v>
      </c>
      <c r="AG1122" s="728"/>
      <c r="AH1122" s="133">
        <f t="shared" si="106"/>
        <v>0</v>
      </c>
      <c r="AI1122" s="728"/>
      <c r="AJ1122" s="65"/>
    </row>
    <row r="1123" spans="2:36" ht="12.75" customHeight="1" outlineLevel="1">
      <c r="B1123" s="82"/>
      <c r="C1123" s="1234"/>
      <c r="D1123" s="1234"/>
      <c r="E1123" s="84">
        <f>'Terms and Turnovers'!$AN$12</f>
        <v>0</v>
      </c>
      <c r="F1123" s="70">
        <f>F408/'Terms and Turnovers'!$AN73</f>
        <v>0</v>
      </c>
      <c r="G1123" s="728"/>
      <c r="H1123" s="70">
        <f>H408/'Terms and Turnovers'!$AN73</f>
        <v>0</v>
      </c>
      <c r="I1123" s="728"/>
      <c r="J1123" s="70">
        <f>J408/'Terms and Turnovers'!$AN73</f>
        <v>0</v>
      </c>
      <c r="K1123" s="728"/>
      <c r="L1123" s="70">
        <f>L408/'Terms and Turnovers'!$AN73</f>
        <v>0</v>
      </c>
      <c r="M1123" s="728"/>
      <c r="N1123" s="70">
        <f>N408/'Terms and Turnovers'!$AN73</f>
        <v>0</v>
      </c>
      <c r="O1123" s="728"/>
      <c r="P1123" s="70">
        <f>P408/'Terms and Turnovers'!$AN73</f>
        <v>0</v>
      </c>
      <c r="Q1123" s="728"/>
      <c r="R1123" s="132">
        <f t="shared" si="104"/>
        <v>0</v>
      </c>
      <c r="S1123" s="728"/>
      <c r="T1123" s="70">
        <f>T408/'Terms and Turnovers'!$AS73</f>
        <v>0</v>
      </c>
      <c r="U1123" s="728"/>
      <c r="V1123" s="70">
        <f>V408/'Terms and Turnovers'!$AS73</f>
        <v>0</v>
      </c>
      <c r="W1123" s="728"/>
      <c r="X1123" s="70">
        <f>X408/'Terms and Turnovers'!$AS73</f>
        <v>0</v>
      </c>
      <c r="Y1123" s="728"/>
      <c r="Z1123" s="70">
        <f>Z408/'Terms and Turnovers'!$AS73</f>
        <v>0</v>
      </c>
      <c r="AA1123" s="728"/>
      <c r="AB1123" s="70">
        <f>AB408/'Terms and Turnovers'!$AS73</f>
        <v>0</v>
      </c>
      <c r="AC1123" s="728"/>
      <c r="AD1123" s="70">
        <f>AD408/'Terms and Turnovers'!$AS73</f>
        <v>0</v>
      </c>
      <c r="AE1123" s="728"/>
      <c r="AF1123" s="132">
        <f t="shared" si="105"/>
        <v>0</v>
      </c>
      <c r="AG1123" s="728"/>
      <c r="AH1123" s="133">
        <f t="shared" si="106"/>
        <v>0</v>
      </c>
      <c r="AI1123" s="728"/>
      <c r="AJ1123" s="65"/>
    </row>
    <row r="1124" spans="2:36" ht="13.5" customHeight="1" outlineLevel="1" thickBot="1">
      <c r="B1124" s="82"/>
      <c r="C1124" s="1235"/>
      <c r="D1124" s="1235"/>
      <c r="E1124" s="85">
        <f>'Terms and Turnovers'!$AX$12</f>
        <v>0</v>
      </c>
      <c r="F1124" s="70">
        <f>F409/'Terms and Turnovers'!$AX73</f>
        <v>0</v>
      </c>
      <c r="G1124" s="111"/>
      <c r="H1124" s="70">
        <f>H409/'Terms and Turnovers'!$AX73</f>
        <v>0</v>
      </c>
      <c r="I1124" s="107"/>
      <c r="J1124" s="70">
        <f>J409/'Terms and Turnovers'!$AX73</f>
        <v>0</v>
      </c>
      <c r="K1124" s="107"/>
      <c r="L1124" s="70">
        <f>L409/'Terms and Turnovers'!$AX73</f>
        <v>0</v>
      </c>
      <c r="M1124" s="107"/>
      <c r="N1124" s="70">
        <f>N409/'Terms and Turnovers'!$AX73</f>
        <v>0</v>
      </c>
      <c r="O1124" s="107"/>
      <c r="P1124" s="70">
        <f>P409/'Terms and Turnovers'!$AX73</f>
        <v>0</v>
      </c>
      <c r="Q1124" s="107"/>
      <c r="R1124" s="135">
        <f t="shared" si="104"/>
        <v>0</v>
      </c>
      <c r="S1124" s="107"/>
      <c r="T1124" s="70">
        <f>T409/'Terms and Turnovers'!$AX$73</f>
        <v>0</v>
      </c>
      <c r="U1124" s="111"/>
      <c r="V1124" s="70">
        <f>V409/'Terms and Turnovers'!$AX$73</f>
        <v>0</v>
      </c>
      <c r="W1124" s="107"/>
      <c r="X1124" s="70">
        <f>X409/'Terms and Turnovers'!$AX$73</f>
        <v>0</v>
      </c>
      <c r="Y1124" s="107"/>
      <c r="Z1124" s="70">
        <f>Z409/'Terms and Turnovers'!$AX$73</f>
        <v>0</v>
      </c>
      <c r="AA1124" s="107"/>
      <c r="AB1124" s="70">
        <f>AB409/'Terms and Turnovers'!$AX$73</f>
        <v>0</v>
      </c>
      <c r="AC1124" s="107"/>
      <c r="AD1124" s="70">
        <f>AD409/'Terms and Turnovers'!$AX$73</f>
        <v>0</v>
      </c>
      <c r="AE1124" s="107"/>
      <c r="AF1124" s="135">
        <f t="shared" si="105"/>
        <v>0</v>
      </c>
      <c r="AG1124" s="107"/>
      <c r="AH1124" s="136">
        <f t="shared" si="106"/>
        <v>0</v>
      </c>
      <c r="AI1124" s="107"/>
      <c r="AJ1124" s="65"/>
    </row>
    <row r="1125" spans="2:36" ht="13.5" customHeight="1" outlineLevel="1">
      <c r="B1125" s="82"/>
      <c r="C1125" s="425"/>
      <c r="D1125" s="425"/>
      <c r="E1125" s="634"/>
      <c r="F1125" s="635"/>
      <c r="G1125" s="428"/>
      <c r="H1125" s="635"/>
      <c r="I1125" s="428"/>
      <c r="J1125" s="635"/>
      <c r="K1125" s="636"/>
      <c r="L1125" s="635"/>
      <c r="M1125" s="636"/>
      <c r="N1125" s="635"/>
      <c r="O1125" s="636"/>
      <c r="P1125" s="635"/>
      <c r="Q1125" s="636"/>
      <c r="R1125" s="637"/>
      <c r="S1125" s="698">
        <f>SUM(R405:R409)/1.18-(SUM(R1120:R1124)*'Mark Up Validation'!$M$175)</f>
        <v>0</v>
      </c>
      <c r="T1125" s="635"/>
      <c r="U1125" s="636"/>
      <c r="V1125" s="635"/>
      <c r="W1125" s="636"/>
      <c r="X1125" s="635"/>
      <c r="Y1125" s="636"/>
      <c r="Z1125" s="635"/>
      <c r="AA1125" s="636"/>
      <c r="AB1125" s="635"/>
      <c r="AC1125" s="636"/>
      <c r="AD1125" s="635"/>
      <c r="AE1125" s="636"/>
      <c r="AF1125" s="637"/>
      <c r="AG1125" s="698">
        <f>SUM(AF405:AF409)/1.18-SUM(AF1120:AF1124)*'Mark Up Validation'!$M$175</f>
        <v>0</v>
      </c>
      <c r="AH1125" s="638"/>
      <c r="AI1125" s="698">
        <f>SUM(AH405:AH409)/1.18-SUM(AH1120:AH1124)*'Mark Up Validation'!$M$175</f>
        <v>0</v>
      </c>
      <c r="AJ1125" s="65"/>
    </row>
    <row r="1126" spans="2:36" ht="13.5" customHeight="1" outlineLevel="1" thickBot="1">
      <c r="B1126" s="82"/>
      <c r="C1126" s="1228" t="s">
        <v>487</v>
      </c>
      <c r="D1126" s="1229"/>
      <c r="E1126" s="699"/>
      <c r="F1126" s="700"/>
      <c r="G1126" s="701"/>
      <c r="H1126" s="700"/>
      <c r="I1126" s="701"/>
      <c r="J1126" s="700"/>
      <c r="K1126" s="702"/>
      <c r="L1126" s="700"/>
      <c r="M1126" s="702"/>
      <c r="N1126" s="700"/>
      <c r="O1126" s="702"/>
      <c r="P1126" s="700"/>
      <c r="Q1126" s="702"/>
      <c r="R1126" s="703"/>
      <c r="S1126" s="729">
        <f>IF(S1125&gt;0,S1125/(SUM(R405:R409)/1.18),0)</f>
        <v>0</v>
      </c>
      <c r="T1126" s="704"/>
      <c r="U1126" s="702"/>
      <c r="V1126" s="700"/>
      <c r="W1126" s="702"/>
      <c r="X1126" s="700"/>
      <c r="Y1126" s="702"/>
      <c r="Z1126" s="700"/>
      <c r="AA1126" s="702"/>
      <c r="AB1126" s="700"/>
      <c r="AC1126" s="702"/>
      <c r="AD1126" s="700"/>
      <c r="AE1126" s="702"/>
      <c r="AF1126" s="705"/>
      <c r="AG1126" s="729">
        <f>IF(AG1125&gt;0,AG1125/(SUM(AF405:AF409)/1.18),0)</f>
        <v>0</v>
      </c>
      <c r="AH1126" s="706"/>
      <c r="AI1126" s="729">
        <f>IF(AI1125&gt;0,AI1125/(SUM(AH405:AH409)/1.18),0)</f>
        <v>0</v>
      </c>
      <c r="AJ1126" s="65"/>
    </row>
    <row r="1127" spans="2:36" ht="12.75" customHeight="1" outlineLevel="1">
      <c r="B1127" s="82">
        <f>B1120+1</f>
        <v>59</v>
      </c>
      <c r="C1127" s="1233">
        <f>C412</f>
        <v>0</v>
      </c>
      <c r="D1127" s="1233">
        <f>D412</f>
        <v>0</v>
      </c>
      <c r="E1127" s="83" t="str">
        <f>'Terms and Turnovers'!$J$12</f>
        <v>FLIP-FLOPS</v>
      </c>
      <c r="F1127" s="68">
        <f>F412/'Terms and Turnovers'!$J74</f>
        <v>0</v>
      </c>
      <c r="G1127" s="106"/>
      <c r="H1127" s="68">
        <f>H412/'Terms and Turnovers'!$J74</f>
        <v>0</v>
      </c>
      <c r="I1127" s="106"/>
      <c r="J1127" s="68">
        <f>J412/'Terms and Turnovers'!$J74</f>
        <v>0</v>
      </c>
      <c r="K1127" s="106"/>
      <c r="L1127" s="68">
        <f>L412/'Terms and Turnovers'!$J74</f>
        <v>0</v>
      </c>
      <c r="M1127" s="106"/>
      <c r="N1127" s="68">
        <f>N412/'Terms and Turnovers'!$J74</f>
        <v>0</v>
      </c>
      <c r="O1127" s="106"/>
      <c r="P1127" s="68">
        <f>P412/'Terms and Turnovers'!$J74</f>
        <v>0</v>
      </c>
      <c r="Q1127" s="106"/>
      <c r="R1127" s="129">
        <f t="shared" si="104"/>
        <v>0</v>
      </c>
      <c r="S1127" s="106"/>
      <c r="T1127" s="68">
        <f>T412/'Terms and Turnovers'!$O74</f>
        <v>0</v>
      </c>
      <c r="U1127" s="106"/>
      <c r="V1127" s="68">
        <f>V412/'Terms and Turnovers'!$O74</f>
        <v>0</v>
      </c>
      <c r="W1127" s="106"/>
      <c r="X1127" s="68">
        <f>X412/'Terms and Turnovers'!$O74</f>
        <v>0</v>
      </c>
      <c r="Y1127" s="106"/>
      <c r="Z1127" s="68">
        <f>Z412/'Terms and Turnovers'!$O74</f>
        <v>0</v>
      </c>
      <c r="AA1127" s="106"/>
      <c r="AB1127" s="68">
        <f>AB412/'Terms and Turnovers'!$O74</f>
        <v>0</v>
      </c>
      <c r="AC1127" s="106"/>
      <c r="AD1127" s="68">
        <f>AD412/'Terms and Turnovers'!$O74</f>
        <v>0</v>
      </c>
      <c r="AE1127" s="106"/>
      <c r="AF1127" s="129">
        <f t="shared" si="105"/>
        <v>0</v>
      </c>
      <c r="AG1127" s="106"/>
      <c r="AH1127" s="130">
        <f t="shared" si="106"/>
        <v>0</v>
      </c>
      <c r="AI1127" s="106"/>
      <c r="AJ1127" s="65"/>
    </row>
    <row r="1128" spans="2:36" ht="12.75" customHeight="1" outlineLevel="1">
      <c r="B1128" s="82"/>
      <c r="C1128" s="1234"/>
      <c r="D1128" s="1234"/>
      <c r="E1128" s="84" t="str">
        <f>'Terms and Turnovers'!$T$12</f>
        <v>ORIGINALS</v>
      </c>
      <c r="F1128" s="70">
        <f>F413/'Terms and Turnovers'!$T74</f>
        <v>0</v>
      </c>
      <c r="G1128" s="728"/>
      <c r="H1128" s="70">
        <f>H413/'Terms and Turnovers'!$T74</f>
        <v>0</v>
      </c>
      <c r="I1128" s="728"/>
      <c r="J1128" s="70">
        <f>J413/'Terms and Turnovers'!$T74</f>
        <v>0</v>
      </c>
      <c r="K1128" s="728"/>
      <c r="L1128" s="70">
        <f>L413/'Terms and Turnovers'!$T74</f>
        <v>0</v>
      </c>
      <c r="M1128" s="728"/>
      <c r="N1128" s="70">
        <f>N413/'Terms and Turnovers'!$T74</f>
        <v>0</v>
      </c>
      <c r="O1128" s="728"/>
      <c r="P1128" s="70">
        <f>P413/'Terms and Turnovers'!$T74</f>
        <v>0</v>
      </c>
      <c r="Q1128" s="728"/>
      <c r="R1128" s="132">
        <f t="shared" si="104"/>
        <v>0</v>
      </c>
      <c r="S1128" s="728"/>
      <c r="T1128" s="70">
        <f>T413/'Terms and Turnovers'!$Y74</f>
        <v>0</v>
      </c>
      <c r="U1128" s="728"/>
      <c r="V1128" s="70">
        <f>V413/'Terms and Turnovers'!$Y74</f>
        <v>0</v>
      </c>
      <c r="W1128" s="728"/>
      <c r="X1128" s="70">
        <f>X413/'Terms and Turnovers'!$Y74</f>
        <v>0</v>
      </c>
      <c r="Y1128" s="728"/>
      <c r="Z1128" s="70">
        <f>Z413/'Terms and Turnovers'!$Y74</f>
        <v>0</v>
      </c>
      <c r="AA1128" s="728"/>
      <c r="AB1128" s="70">
        <f>AB413/'Terms and Turnovers'!$Y74</f>
        <v>0</v>
      </c>
      <c r="AC1128" s="728"/>
      <c r="AD1128" s="70">
        <f>AD413/'Terms and Turnovers'!$Y74</f>
        <v>0</v>
      </c>
      <c r="AE1128" s="728"/>
      <c r="AF1128" s="132">
        <f t="shared" si="105"/>
        <v>0</v>
      </c>
      <c r="AG1128" s="728"/>
      <c r="AH1128" s="133">
        <f t="shared" si="106"/>
        <v>0</v>
      </c>
      <c r="AI1128" s="728"/>
      <c r="AJ1128" s="65"/>
    </row>
    <row r="1129" spans="2:36" ht="12.75" customHeight="1" outlineLevel="1">
      <c r="B1129" s="82"/>
      <c r="C1129" s="1234"/>
      <c r="D1129" s="1234"/>
      <c r="E1129" s="84" t="str">
        <f>'Terms and Turnovers'!$AD$12</f>
        <v>ACCESSORIES</v>
      </c>
      <c r="F1129" s="70">
        <f>F414/'Terms and Turnovers'!$AD74</f>
        <v>0</v>
      </c>
      <c r="G1129" s="728"/>
      <c r="H1129" s="70">
        <f>H414/'Terms and Turnovers'!$AD74</f>
        <v>0</v>
      </c>
      <c r="I1129" s="728"/>
      <c r="J1129" s="70">
        <f>J414/'Terms and Turnovers'!$AD74</f>
        <v>0</v>
      </c>
      <c r="K1129" s="728"/>
      <c r="L1129" s="70">
        <f>L414/'Terms and Turnovers'!$AD74</f>
        <v>0</v>
      </c>
      <c r="M1129" s="728"/>
      <c r="N1129" s="70">
        <f>N414/'Terms and Turnovers'!$AD74</f>
        <v>0</v>
      </c>
      <c r="O1129" s="728"/>
      <c r="P1129" s="70">
        <f>P414/'Terms and Turnovers'!$AD74</f>
        <v>0</v>
      </c>
      <c r="Q1129" s="728"/>
      <c r="R1129" s="132">
        <f t="shared" si="104"/>
        <v>0</v>
      </c>
      <c r="S1129" s="728"/>
      <c r="T1129" s="70">
        <f>T414/'Terms and Turnovers'!$AI74</f>
        <v>0</v>
      </c>
      <c r="U1129" s="728"/>
      <c r="V1129" s="70">
        <f>V414/'Terms and Turnovers'!$AI74</f>
        <v>0</v>
      </c>
      <c r="W1129" s="728"/>
      <c r="X1129" s="70">
        <f>X414/'Terms and Turnovers'!$AI74</f>
        <v>0</v>
      </c>
      <c r="Y1129" s="728"/>
      <c r="Z1129" s="70">
        <f>Z414/'Terms and Turnovers'!$AI74</f>
        <v>0</v>
      </c>
      <c r="AA1129" s="728"/>
      <c r="AB1129" s="70">
        <f>AB414/'Terms and Turnovers'!$AI74</f>
        <v>0</v>
      </c>
      <c r="AC1129" s="728"/>
      <c r="AD1129" s="70">
        <f>AD414/'Terms and Turnovers'!$AI74</f>
        <v>0</v>
      </c>
      <c r="AE1129" s="728"/>
      <c r="AF1129" s="132">
        <f t="shared" si="105"/>
        <v>0</v>
      </c>
      <c r="AG1129" s="728"/>
      <c r="AH1129" s="133">
        <f t="shared" si="106"/>
        <v>0</v>
      </c>
      <c r="AI1129" s="728"/>
      <c r="AJ1129" s="65"/>
    </row>
    <row r="1130" spans="2:36" ht="12.75" customHeight="1" outlineLevel="1">
      <c r="B1130" s="82"/>
      <c r="C1130" s="1234"/>
      <c r="D1130" s="1234"/>
      <c r="E1130" s="84">
        <f>'Terms and Turnovers'!$AN$12</f>
        <v>0</v>
      </c>
      <c r="F1130" s="70">
        <f>F415/'Terms and Turnovers'!$AN74</f>
        <v>0</v>
      </c>
      <c r="G1130" s="728"/>
      <c r="H1130" s="70">
        <f>H415/'Terms and Turnovers'!$AN74</f>
        <v>0</v>
      </c>
      <c r="I1130" s="728"/>
      <c r="J1130" s="70">
        <f>J415/'Terms and Turnovers'!$AN74</f>
        <v>0</v>
      </c>
      <c r="K1130" s="728"/>
      <c r="L1130" s="70">
        <f>L415/'Terms and Turnovers'!$AN74</f>
        <v>0</v>
      </c>
      <c r="M1130" s="728"/>
      <c r="N1130" s="70">
        <f>N415/'Terms and Turnovers'!$AN74</f>
        <v>0</v>
      </c>
      <c r="O1130" s="728"/>
      <c r="P1130" s="70">
        <f>P415/'Terms and Turnovers'!$AN74</f>
        <v>0</v>
      </c>
      <c r="Q1130" s="728"/>
      <c r="R1130" s="132">
        <f t="shared" si="104"/>
        <v>0</v>
      </c>
      <c r="S1130" s="728"/>
      <c r="T1130" s="70">
        <f>T415/'Terms and Turnovers'!$AS74</f>
        <v>0</v>
      </c>
      <c r="U1130" s="728"/>
      <c r="V1130" s="70">
        <f>V415/'Terms and Turnovers'!$AS74</f>
        <v>0</v>
      </c>
      <c r="W1130" s="728"/>
      <c r="X1130" s="70">
        <f>X415/'Terms and Turnovers'!$AS74</f>
        <v>0</v>
      </c>
      <c r="Y1130" s="728"/>
      <c r="Z1130" s="70">
        <f>Z415/'Terms and Turnovers'!$AS74</f>
        <v>0</v>
      </c>
      <c r="AA1130" s="728"/>
      <c r="AB1130" s="70">
        <f>AB415/'Terms and Turnovers'!$AS74</f>
        <v>0</v>
      </c>
      <c r="AC1130" s="728"/>
      <c r="AD1130" s="70">
        <f>AD415/'Terms and Turnovers'!$AS74</f>
        <v>0</v>
      </c>
      <c r="AE1130" s="728"/>
      <c r="AF1130" s="132">
        <f t="shared" si="105"/>
        <v>0</v>
      </c>
      <c r="AG1130" s="728"/>
      <c r="AH1130" s="133">
        <f t="shared" si="106"/>
        <v>0</v>
      </c>
      <c r="AI1130" s="728"/>
      <c r="AJ1130" s="65"/>
    </row>
    <row r="1131" spans="2:36" ht="13.5" customHeight="1" outlineLevel="1" thickBot="1">
      <c r="B1131" s="82"/>
      <c r="C1131" s="1235"/>
      <c r="D1131" s="1235"/>
      <c r="E1131" s="85">
        <f>'Terms and Turnovers'!$AX$12</f>
        <v>0</v>
      </c>
      <c r="F1131" s="70">
        <f>F416/'Terms and Turnovers'!$AX74</f>
        <v>0</v>
      </c>
      <c r="G1131" s="111"/>
      <c r="H1131" s="70">
        <f>H416/'Terms and Turnovers'!$AX74</f>
        <v>0</v>
      </c>
      <c r="I1131" s="107"/>
      <c r="J1131" s="70">
        <f>J416/'Terms and Turnovers'!$AX74</f>
        <v>0</v>
      </c>
      <c r="K1131" s="107"/>
      <c r="L1131" s="70">
        <f>L416/'Terms and Turnovers'!$AX74</f>
        <v>0</v>
      </c>
      <c r="M1131" s="107"/>
      <c r="N1131" s="70">
        <f>N416/'Terms and Turnovers'!$AX74</f>
        <v>0</v>
      </c>
      <c r="O1131" s="107"/>
      <c r="P1131" s="70">
        <f>P416/'Terms and Turnovers'!$AX74</f>
        <v>0</v>
      </c>
      <c r="Q1131" s="107"/>
      <c r="R1131" s="135">
        <f t="shared" si="104"/>
        <v>0</v>
      </c>
      <c r="S1131" s="107"/>
      <c r="T1131" s="70">
        <f>T416/'Terms and Turnovers'!$AX$74</f>
        <v>0</v>
      </c>
      <c r="U1131" s="111"/>
      <c r="V1131" s="70">
        <f>V416/'Terms and Turnovers'!$AX$74</f>
        <v>0</v>
      </c>
      <c r="W1131" s="107"/>
      <c r="X1131" s="70">
        <f>X416/'Terms and Turnovers'!$AX$74</f>
        <v>0</v>
      </c>
      <c r="Y1131" s="107"/>
      <c r="Z1131" s="70">
        <f>Z416/'Terms and Turnovers'!$AX$74</f>
        <v>0</v>
      </c>
      <c r="AA1131" s="107"/>
      <c r="AB1131" s="70">
        <f>AB416/'Terms and Turnovers'!$AX$74</f>
        <v>0</v>
      </c>
      <c r="AC1131" s="107"/>
      <c r="AD1131" s="70">
        <f>AD416/'Terms and Turnovers'!$AX$74</f>
        <v>0</v>
      </c>
      <c r="AE1131" s="107"/>
      <c r="AF1131" s="135">
        <f t="shared" si="105"/>
        <v>0</v>
      </c>
      <c r="AG1131" s="107"/>
      <c r="AH1131" s="136">
        <f t="shared" si="106"/>
        <v>0</v>
      </c>
      <c r="AI1131" s="107"/>
      <c r="AJ1131" s="65"/>
    </row>
    <row r="1132" spans="2:36" ht="13.5" customHeight="1" outlineLevel="1">
      <c r="B1132" s="82"/>
      <c r="C1132" s="425"/>
      <c r="D1132" s="425"/>
      <c r="E1132" s="634"/>
      <c r="F1132" s="635"/>
      <c r="G1132" s="428"/>
      <c r="H1132" s="635"/>
      <c r="I1132" s="428"/>
      <c r="J1132" s="635"/>
      <c r="K1132" s="636"/>
      <c r="L1132" s="635"/>
      <c r="M1132" s="636"/>
      <c r="N1132" s="635"/>
      <c r="O1132" s="636"/>
      <c r="P1132" s="635"/>
      <c r="Q1132" s="636"/>
      <c r="R1132" s="637"/>
      <c r="S1132" s="698">
        <f>SUM(R412:R416)/1.18-(SUM(R1127:R1131)*'Mark Up Validation'!$M$175)</f>
        <v>0</v>
      </c>
      <c r="T1132" s="635"/>
      <c r="U1132" s="636"/>
      <c r="V1132" s="635"/>
      <c r="W1132" s="636"/>
      <c r="X1132" s="635"/>
      <c r="Y1132" s="636"/>
      <c r="Z1132" s="635"/>
      <c r="AA1132" s="636"/>
      <c r="AB1132" s="635"/>
      <c r="AC1132" s="636"/>
      <c r="AD1132" s="635"/>
      <c r="AE1132" s="636"/>
      <c r="AF1132" s="637"/>
      <c r="AG1132" s="698">
        <f>SUM(AF412:AF416)/1.18-SUM(AF1127:AF1131)*'Mark Up Validation'!$M$175</f>
        <v>0</v>
      </c>
      <c r="AH1132" s="638"/>
      <c r="AI1132" s="698">
        <f>SUM(AH412:AH416)/1.18-SUM(AH1127:AH1131)*'Mark Up Validation'!$M$175</f>
        <v>0</v>
      </c>
      <c r="AJ1132" s="65"/>
    </row>
    <row r="1133" spans="2:36" ht="13.5" customHeight="1" outlineLevel="1" thickBot="1">
      <c r="B1133" s="82"/>
      <c r="C1133" s="1228" t="s">
        <v>487</v>
      </c>
      <c r="D1133" s="1229"/>
      <c r="E1133" s="699"/>
      <c r="F1133" s="700"/>
      <c r="G1133" s="701"/>
      <c r="H1133" s="700"/>
      <c r="I1133" s="701"/>
      <c r="J1133" s="700"/>
      <c r="K1133" s="702"/>
      <c r="L1133" s="700"/>
      <c r="M1133" s="702"/>
      <c r="N1133" s="700"/>
      <c r="O1133" s="702"/>
      <c r="P1133" s="700"/>
      <c r="Q1133" s="702"/>
      <c r="R1133" s="703"/>
      <c r="S1133" s="729">
        <f>IF(S1132&gt;0,S1132/(SUM(R412:R416)/1.18),0)</f>
        <v>0</v>
      </c>
      <c r="T1133" s="704"/>
      <c r="U1133" s="702"/>
      <c r="V1133" s="700"/>
      <c r="W1133" s="702"/>
      <c r="X1133" s="700"/>
      <c r="Y1133" s="702"/>
      <c r="Z1133" s="700"/>
      <c r="AA1133" s="702"/>
      <c r="AB1133" s="700"/>
      <c r="AC1133" s="702"/>
      <c r="AD1133" s="700"/>
      <c r="AE1133" s="702"/>
      <c r="AF1133" s="705"/>
      <c r="AG1133" s="729">
        <f>IF(AG1132&gt;0,AG1132/(SUM(AF412:AF416)/1.18),0)</f>
        <v>0</v>
      </c>
      <c r="AH1133" s="706"/>
      <c r="AI1133" s="729">
        <f>IF(AI1132&gt;0,AI1132/(SUM(AH412:AH416)/1.18),0)</f>
        <v>0</v>
      </c>
      <c r="AJ1133" s="65"/>
    </row>
    <row r="1134" spans="2:36" ht="12.75" customHeight="1" outlineLevel="1">
      <c r="B1134" s="82">
        <f>B1127+1</f>
        <v>60</v>
      </c>
      <c r="C1134" s="1233">
        <f>C419</f>
        <v>0</v>
      </c>
      <c r="D1134" s="1233">
        <f>D419</f>
        <v>0</v>
      </c>
      <c r="E1134" s="83" t="str">
        <f>'Terms and Turnovers'!$J$12</f>
        <v>FLIP-FLOPS</v>
      </c>
      <c r="F1134" s="68">
        <f>F419/'Terms and Turnovers'!$J75</f>
        <v>0</v>
      </c>
      <c r="G1134" s="106"/>
      <c r="H1134" s="68">
        <f>H419/'Terms and Turnovers'!$J75</f>
        <v>0</v>
      </c>
      <c r="I1134" s="106"/>
      <c r="J1134" s="68">
        <f>J419/'Terms and Turnovers'!$J75</f>
        <v>0</v>
      </c>
      <c r="K1134" s="106"/>
      <c r="L1134" s="68">
        <f>L419/'Terms and Turnovers'!$J75</f>
        <v>0</v>
      </c>
      <c r="M1134" s="106"/>
      <c r="N1134" s="68">
        <f>N419/'Terms and Turnovers'!$J75</f>
        <v>0</v>
      </c>
      <c r="O1134" s="106"/>
      <c r="P1134" s="68">
        <f>P419/'Terms and Turnovers'!$J75</f>
        <v>0</v>
      </c>
      <c r="Q1134" s="106"/>
      <c r="R1134" s="129">
        <f t="shared" si="104"/>
        <v>0</v>
      </c>
      <c r="S1134" s="106"/>
      <c r="T1134" s="68">
        <f>T419/'Terms and Turnovers'!$O75</f>
        <v>0</v>
      </c>
      <c r="U1134" s="106"/>
      <c r="V1134" s="68">
        <f>V419/'Terms and Turnovers'!$O75</f>
        <v>0</v>
      </c>
      <c r="W1134" s="106"/>
      <c r="X1134" s="68">
        <f>X419/'Terms and Turnovers'!$O75</f>
        <v>0</v>
      </c>
      <c r="Y1134" s="106"/>
      <c r="Z1134" s="68">
        <f>Z419/'Terms and Turnovers'!$O75</f>
        <v>0</v>
      </c>
      <c r="AA1134" s="106"/>
      <c r="AB1134" s="68">
        <f>AB419/'Terms and Turnovers'!$O75</f>
        <v>0</v>
      </c>
      <c r="AC1134" s="106"/>
      <c r="AD1134" s="68">
        <f>AD419/'Terms and Turnovers'!$O75</f>
        <v>0</v>
      </c>
      <c r="AE1134" s="106"/>
      <c r="AF1134" s="129">
        <f t="shared" si="105"/>
        <v>0</v>
      </c>
      <c r="AG1134" s="106"/>
      <c r="AH1134" s="130">
        <f t="shared" si="106"/>
        <v>0</v>
      </c>
      <c r="AI1134" s="106"/>
      <c r="AJ1134" s="65"/>
    </row>
    <row r="1135" spans="2:36" ht="12.75" customHeight="1" outlineLevel="1">
      <c r="B1135" s="82"/>
      <c r="C1135" s="1234"/>
      <c r="D1135" s="1234"/>
      <c r="E1135" s="84" t="str">
        <f>'Terms and Turnovers'!$T$12</f>
        <v>ORIGINALS</v>
      </c>
      <c r="F1135" s="70">
        <f>F420/'Terms and Turnovers'!$T75</f>
        <v>0</v>
      </c>
      <c r="G1135" s="728"/>
      <c r="H1135" s="70">
        <f>H420/'Terms and Turnovers'!$T75</f>
        <v>0</v>
      </c>
      <c r="I1135" s="728"/>
      <c r="J1135" s="70">
        <f>J420/'Terms and Turnovers'!$T75</f>
        <v>0</v>
      </c>
      <c r="K1135" s="728"/>
      <c r="L1135" s="70">
        <f>L420/'Terms and Turnovers'!$T75</f>
        <v>0</v>
      </c>
      <c r="M1135" s="728"/>
      <c r="N1135" s="70">
        <f>N420/'Terms and Turnovers'!$T75</f>
        <v>0</v>
      </c>
      <c r="O1135" s="728"/>
      <c r="P1135" s="70">
        <f>P420/'Terms and Turnovers'!$T75</f>
        <v>0</v>
      </c>
      <c r="Q1135" s="728"/>
      <c r="R1135" s="132">
        <f t="shared" si="104"/>
        <v>0</v>
      </c>
      <c r="S1135" s="728"/>
      <c r="T1135" s="70">
        <f>T420/'Terms and Turnovers'!$Y75</f>
        <v>0</v>
      </c>
      <c r="U1135" s="728"/>
      <c r="V1135" s="70">
        <f>V420/'Terms and Turnovers'!$Y75</f>
        <v>0</v>
      </c>
      <c r="W1135" s="728"/>
      <c r="X1135" s="70">
        <f>X420/'Terms and Turnovers'!$Y75</f>
        <v>0</v>
      </c>
      <c r="Y1135" s="728"/>
      <c r="Z1135" s="70">
        <f>Z420/'Terms and Turnovers'!$Y75</f>
        <v>0</v>
      </c>
      <c r="AA1135" s="728"/>
      <c r="AB1135" s="70">
        <f>AB420/'Terms and Turnovers'!$Y75</f>
        <v>0</v>
      </c>
      <c r="AC1135" s="728"/>
      <c r="AD1135" s="70">
        <f>AD420/'Terms and Turnovers'!$Y75</f>
        <v>0</v>
      </c>
      <c r="AE1135" s="728"/>
      <c r="AF1135" s="132">
        <f t="shared" si="105"/>
        <v>0</v>
      </c>
      <c r="AG1135" s="728"/>
      <c r="AH1135" s="133">
        <f t="shared" si="106"/>
        <v>0</v>
      </c>
      <c r="AI1135" s="728"/>
      <c r="AJ1135" s="65"/>
    </row>
    <row r="1136" spans="2:36" ht="12.75" customHeight="1" outlineLevel="1">
      <c r="B1136" s="82"/>
      <c r="C1136" s="1234"/>
      <c r="D1136" s="1234"/>
      <c r="E1136" s="84" t="str">
        <f>'Terms and Turnovers'!$AD$12</f>
        <v>ACCESSORIES</v>
      </c>
      <c r="F1136" s="70">
        <f>F421/'Terms and Turnovers'!$AD75</f>
        <v>0</v>
      </c>
      <c r="G1136" s="728"/>
      <c r="H1136" s="70">
        <f>H421/'Terms and Turnovers'!$AD75</f>
        <v>0</v>
      </c>
      <c r="I1136" s="728"/>
      <c r="J1136" s="70">
        <f>J421/'Terms and Turnovers'!$AD75</f>
        <v>0</v>
      </c>
      <c r="K1136" s="728"/>
      <c r="L1136" s="70">
        <f>L421/'Terms and Turnovers'!$AD75</f>
        <v>0</v>
      </c>
      <c r="M1136" s="728"/>
      <c r="N1136" s="70">
        <f>N421/'Terms and Turnovers'!$AD75</f>
        <v>0</v>
      </c>
      <c r="O1136" s="728"/>
      <c r="P1136" s="70">
        <f>P421/'Terms and Turnovers'!$AD75</f>
        <v>0</v>
      </c>
      <c r="Q1136" s="728"/>
      <c r="R1136" s="132">
        <f t="shared" si="104"/>
        <v>0</v>
      </c>
      <c r="S1136" s="728"/>
      <c r="T1136" s="70">
        <f>T421/'Terms and Turnovers'!$AI75</f>
        <v>0</v>
      </c>
      <c r="U1136" s="728"/>
      <c r="V1136" s="70">
        <f>V421/'Terms and Turnovers'!$AI75</f>
        <v>0</v>
      </c>
      <c r="W1136" s="728"/>
      <c r="X1136" s="70">
        <f>X421/'Terms and Turnovers'!$AI75</f>
        <v>0</v>
      </c>
      <c r="Y1136" s="728"/>
      <c r="Z1136" s="70">
        <f>Z421/'Terms and Turnovers'!$AI75</f>
        <v>0</v>
      </c>
      <c r="AA1136" s="728"/>
      <c r="AB1136" s="70">
        <f>AB421/'Terms and Turnovers'!$AI75</f>
        <v>0</v>
      </c>
      <c r="AC1136" s="728"/>
      <c r="AD1136" s="70">
        <f>AD421/'Terms and Turnovers'!$AI75</f>
        <v>0</v>
      </c>
      <c r="AE1136" s="728"/>
      <c r="AF1136" s="132">
        <f t="shared" si="105"/>
        <v>0</v>
      </c>
      <c r="AG1136" s="728"/>
      <c r="AH1136" s="133">
        <f t="shared" si="106"/>
        <v>0</v>
      </c>
      <c r="AI1136" s="728"/>
      <c r="AJ1136" s="65"/>
    </row>
    <row r="1137" spans="2:36" ht="12.75" customHeight="1" outlineLevel="1">
      <c r="B1137" s="82"/>
      <c r="C1137" s="1234"/>
      <c r="D1137" s="1234"/>
      <c r="E1137" s="84">
        <f>'Terms and Turnovers'!$AN$12</f>
        <v>0</v>
      </c>
      <c r="F1137" s="70">
        <f>F422/'Terms and Turnovers'!$AN75</f>
        <v>0</v>
      </c>
      <c r="G1137" s="728"/>
      <c r="H1137" s="70">
        <f>H422/'Terms and Turnovers'!$AN75</f>
        <v>0</v>
      </c>
      <c r="I1137" s="728"/>
      <c r="J1137" s="70">
        <f>J422/'Terms and Turnovers'!$AN75</f>
        <v>0</v>
      </c>
      <c r="K1137" s="728"/>
      <c r="L1137" s="70">
        <f>L422/'Terms and Turnovers'!$AN75</f>
        <v>0</v>
      </c>
      <c r="M1137" s="728"/>
      <c r="N1137" s="70">
        <f>N422/'Terms and Turnovers'!$AN75</f>
        <v>0</v>
      </c>
      <c r="O1137" s="728"/>
      <c r="P1137" s="70">
        <f>P422/'Terms and Turnovers'!$AN75</f>
        <v>0</v>
      </c>
      <c r="Q1137" s="728"/>
      <c r="R1137" s="132">
        <f t="shared" si="104"/>
        <v>0</v>
      </c>
      <c r="S1137" s="728"/>
      <c r="T1137" s="70">
        <f>T422/'Terms and Turnovers'!$AS75</f>
        <v>0</v>
      </c>
      <c r="U1137" s="728"/>
      <c r="V1137" s="70">
        <f>V422/'Terms and Turnovers'!$AS75</f>
        <v>0</v>
      </c>
      <c r="W1137" s="728"/>
      <c r="X1137" s="70">
        <f>X422/'Terms and Turnovers'!$AS75</f>
        <v>0</v>
      </c>
      <c r="Y1137" s="728"/>
      <c r="Z1137" s="70">
        <f>Z422/'Terms and Turnovers'!$AS75</f>
        <v>0</v>
      </c>
      <c r="AA1137" s="728"/>
      <c r="AB1137" s="70">
        <f>AB422/'Terms and Turnovers'!$AS75</f>
        <v>0</v>
      </c>
      <c r="AC1137" s="728"/>
      <c r="AD1137" s="70">
        <f>AD422/'Terms and Turnovers'!$AS75</f>
        <v>0</v>
      </c>
      <c r="AE1137" s="728"/>
      <c r="AF1137" s="132">
        <f t="shared" si="105"/>
        <v>0</v>
      </c>
      <c r="AG1137" s="728"/>
      <c r="AH1137" s="133">
        <f t="shared" si="106"/>
        <v>0</v>
      </c>
      <c r="AI1137" s="728"/>
      <c r="AJ1137" s="65"/>
    </row>
    <row r="1138" spans="2:36" ht="13.5" customHeight="1" outlineLevel="1" thickBot="1">
      <c r="B1138" s="82"/>
      <c r="C1138" s="1235"/>
      <c r="D1138" s="1235"/>
      <c r="E1138" s="85">
        <f>'Terms and Turnovers'!$AX$12</f>
        <v>0</v>
      </c>
      <c r="F1138" s="70">
        <f>F423/'Terms and Turnovers'!$AX75</f>
        <v>0</v>
      </c>
      <c r="G1138" s="111"/>
      <c r="H1138" s="70">
        <f>H423/'Terms and Turnovers'!$AX75</f>
        <v>0</v>
      </c>
      <c r="I1138" s="107"/>
      <c r="J1138" s="70">
        <f>J423/'Terms and Turnovers'!$AX75</f>
        <v>0</v>
      </c>
      <c r="K1138" s="107"/>
      <c r="L1138" s="70">
        <f>L423/'Terms and Turnovers'!$AX75</f>
        <v>0</v>
      </c>
      <c r="M1138" s="107"/>
      <c r="N1138" s="70">
        <f>N423/'Terms and Turnovers'!$AX75</f>
        <v>0</v>
      </c>
      <c r="O1138" s="107"/>
      <c r="P1138" s="70">
        <f>P423/'Terms and Turnovers'!$AX75</f>
        <v>0</v>
      </c>
      <c r="Q1138" s="107"/>
      <c r="R1138" s="135">
        <f t="shared" si="104"/>
        <v>0</v>
      </c>
      <c r="S1138" s="107"/>
      <c r="T1138" s="70">
        <f>T423/'Terms and Turnovers'!$AX$75</f>
        <v>0</v>
      </c>
      <c r="U1138" s="111"/>
      <c r="V1138" s="70">
        <f>V423/'Terms and Turnovers'!$AX$75</f>
        <v>0</v>
      </c>
      <c r="W1138" s="107"/>
      <c r="X1138" s="70">
        <f>X423/'Terms and Turnovers'!$AX$75</f>
        <v>0</v>
      </c>
      <c r="Y1138" s="107"/>
      <c r="Z1138" s="70">
        <f>Z423/'Terms and Turnovers'!$AX$75</f>
        <v>0</v>
      </c>
      <c r="AA1138" s="107"/>
      <c r="AB1138" s="70">
        <f>AB423/'Terms and Turnovers'!$AX$75</f>
        <v>0</v>
      </c>
      <c r="AC1138" s="107"/>
      <c r="AD1138" s="70">
        <f>AD423/'Terms and Turnovers'!$AX$75</f>
        <v>0</v>
      </c>
      <c r="AE1138" s="107"/>
      <c r="AF1138" s="135">
        <f t="shared" si="105"/>
        <v>0</v>
      </c>
      <c r="AG1138" s="107"/>
      <c r="AH1138" s="136">
        <f t="shared" si="106"/>
        <v>0</v>
      </c>
      <c r="AI1138" s="107"/>
      <c r="AJ1138" s="65"/>
    </row>
    <row r="1139" spans="2:36" ht="13.5" customHeight="1" outlineLevel="1">
      <c r="B1139" s="82"/>
      <c r="C1139" s="425"/>
      <c r="D1139" s="425"/>
      <c r="E1139" s="634"/>
      <c r="F1139" s="635"/>
      <c r="G1139" s="428"/>
      <c r="H1139" s="635"/>
      <c r="I1139" s="428"/>
      <c r="J1139" s="635"/>
      <c r="K1139" s="636"/>
      <c r="L1139" s="635"/>
      <c r="M1139" s="636"/>
      <c r="N1139" s="635"/>
      <c r="O1139" s="636"/>
      <c r="P1139" s="635"/>
      <c r="Q1139" s="636"/>
      <c r="R1139" s="637"/>
      <c r="S1139" s="698">
        <f>SUM(R419:R423)/1.18-(SUM(R1134:R1138)*'Mark Up Validation'!$M$175)</f>
        <v>0</v>
      </c>
      <c r="T1139" s="635"/>
      <c r="U1139" s="636"/>
      <c r="V1139" s="635"/>
      <c r="W1139" s="636"/>
      <c r="X1139" s="635"/>
      <c r="Y1139" s="636"/>
      <c r="Z1139" s="635"/>
      <c r="AA1139" s="636"/>
      <c r="AB1139" s="635"/>
      <c r="AC1139" s="636"/>
      <c r="AD1139" s="635"/>
      <c r="AE1139" s="636"/>
      <c r="AF1139" s="637"/>
      <c r="AG1139" s="698">
        <f>SUM(AF419:AF423)/1.18-SUM(AF1134:AF1138)*'Mark Up Validation'!$M$175</f>
        <v>0</v>
      </c>
      <c r="AH1139" s="638"/>
      <c r="AI1139" s="698">
        <f>SUM(AH419:AH423)/1.18-SUM(AH1134:AH1138)*'Mark Up Validation'!$M$175</f>
        <v>0</v>
      </c>
      <c r="AJ1139" s="65"/>
    </row>
    <row r="1140" spans="2:36" ht="13.5" customHeight="1" outlineLevel="1" thickBot="1">
      <c r="B1140" s="82"/>
      <c r="C1140" s="1228" t="s">
        <v>487</v>
      </c>
      <c r="D1140" s="1229"/>
      <c r="E1140" s="699"/>
      <c r="F1140" s="700"/>
      <c r="G1140" s="701"/>
      <c r="H1140" s="700"/>
      <c r="I1140" s="701"/>
      <c r="J1140" s="700"/>
      <c r="K1140" s="702"/>
      <c r="L1140" s="700"/>
      <c r="M1140" s="702"/>
      <c r="N1140" s="700"/>
      <c r="O1140" s="702"/>
      <c r="P1140" s="700"/>
      <c r="Q1140" s="702"/>
      <c r="R1140" s="703"/>
      <c r="S1140" s="729">
        <f>IF(S1139&gt;0,S1139/(SUM(R419:R423)/1.18),0)</f>
        <v>0</v>
      </c>
      <c r="T1140" s="704"/>
      <c r="U1140" s="702"/>
      <c r="V1140" s="700"/>
      <c r="W1140" s="702"/>
      <c r="X1140" s="700"/>
      <c r="Y1140" s="702"/>
      <c r="Z1140" s="700"/>
      <c r="AA1140" s="702"/>
      <c r="AB1140" s="700"/>
      <c r="AC1140" s="702"/>
      <c r="AD1140" s="700"/>
      <c r="AE1140" s="702"/>
      <c r="AF1140" s="705"/>
      <c r="AG1140" s="729">
        <f>IF(AG1139&gt;0,AG1139/(SUM(AF419:AF423)/1.18),0)</f>
        <v>0</v>
      </c>
      <c r="AH1140" s="706"/>
      <c r="AI1140" s="729">
        <f>IF(AI1139&gt;0,AI1139/(SUM(AH419:AH423)/1.18),0)</f>
        <v>0</v>
      </c>
      <c r="AJ1140" s="65"/>
    </row>
    <row r="1141" spans="2:36" ht="12.75" customHeight="1" outlineLevel="1">
      <c r="B1141" s="82">
        <f>B1134+1</f>
        <v>61</v>
      </c>
      <c r="C1141" s="1233">
        <f>C426</f>
        <v>0</v>
      </c>
      <c r="D1141" s="1233">
        <f>D426</f>
        <v>0</v>
      </c>
      <c r="E1141" s="83" t="str">
        <f>'Terms and Turnovers'!$J$12</f>
        <v>FLIP-FLOPS</v>
      </c>
      <c r="F1141" s="68">
        <f>F426/'Terms and Turnovers'!$J76</f>
        <v>0</v>
      </c>
      <c r="G1141" s="106"/>
      <c r="H1141" s="68">
        <f>H426/'Terms and Turnovers'!$J76</f>
        <v>0</v>
      </c>
      <c r="I1141" s="106"/>
      <c r="J1141" s="68">
        <f>J426/'Terms and Turnovers'!$J76</f>
        <v>0</v>
      </c>
      <c r="K1141" s="106"/>
      <c r="L1141" s="68">
        <f>L426/'Terms and Turnovers'!$J76</f>
        <v>0</v>
      </c>
      <c r="M1141" s="106"/>
      <c r="N1141" s="68">
        <f>N426/'Terms and Turnovers'!$J76</f>
        <v>0</v>
      </c>
      <c r="O1141" s="106"/>
      <c r="P1141" s="68">
        <f>P426/'Terms and Turnovers'!$J76</f>
        <v>0</v>
      </c>
      <c r="Q1141" s="106"/>
      <c r="R1141" s="129">
        <f t="shared" si="104"/>
        <v>0</v>
      </c>
      <c r="S1141" s="106"/>
      <c r="T1141" s="68">
        <f>T426/'Terms and Turnovers'!$O76</f>
        <v>0</v>
      </c>
      <c r="U1141" s="106"/>
      <c r="V1141" s="68">
        <f>V426/'Terms and Turnovers'!$O76</f>
        <v>0</v>
      </c>
      <c r="W1141" s="106"/>
      <c r="X1141" s="68">
        <f>X426/'Terms and Turnovers'!$O76</f>
        <v>0</v>
      </c>
      <c r="Y1141" s="106"/>
      <c r="Z1141" s="68">
        <f>Z426/'Terms and Turnovers'!$O76</f>
        <v>0</v>
      </c>
      <c r="AA1141" s="106"/>
      <c r="AB1141" s="68">
        <f>AB426/'Terms and Turnovers'!$O76</f>
        <v>0</v>
      </c>
      <c r="AC1141" s="106"/>
      <c r="AD1141" s="68">
        <f>AD426/'Terms and Turnovers'!$O76</f>
        <v>0</v>
      </c>
      <c r="AE1141" s="106"/>
      <c r="AF1141" s="129">
        <f t="shared" si="105"/>
        <v>0</v>
      </c>
      <c r="AG1141" s="106"/>
      <c r="AH1141" s="130">
        <f t="shared" si="106"/>
        <v>0</v>
      </c>
      <c r="AI1141" s="106"/>
      <c r="AJ1141" s="65"/>
    </row>
    <row r="1142" spans="2:36" ht="12.75" customHeight="1" outlineLevel="1">
      <c r="B1142" s="82"/>
      <c r="C1142" s="1234"/>
      <c r="D1142" s="1234"/>
      <c r="E1142" s="84" t="str">
        <f>'Terms and Turnovers'!$T$12</f>
        <v>ORIGINALS</v>
      </c>
      <c r="F1142" s="70">
        <f>F427/'Terms and Turnovers'!$T76</f>
        <v>0</v>
      </c>
      <c r="G1142" s="728"/>
      <c r="H1142" s="70">
        <f>H427/'Terms and Turnovers'!$T76</f>
        <v>0</v>
      </c>
      <c r="I1142" s="728"/>
      <c r="J1142" s="70">
        <f>J427/'Terms and Turnovers'!$T76</f>
        <v>0</v>
      </c>
      <c r="K1142" s="728"/>
      <c r="L1142" s="70">
        <f>L427/'Terms and Turnovers'!$T76</f>
        <v>0</v>
      </c>
      <c r="M1142" s="728"/>
      <c r="N1142" s="70">
        <f>N427/'Terms and Turnovers'!$T76</f>
        <v>0</v>
      </c>
      <c r="O1142" s="728"/>
      <c r="P1142" s="70">
        <f>P427/'Terms and Turnovers'!$T76</f>
        <v>0</v>
      </c>
      <c r="Q1142" s="728"/>
      <c r="R1142" s="132">
        <f t="shared" si="104"/>
        <v>0</v>
      </c>
      <c r="S1142" s="728"/>
      <c r="T1142" s="70">
        <f>T427/'Terms and Turnovers'!$Y76</f>
        <v>0</v>
      </c>
      <c r="U1142" s="728"/>
      <c r="V1142" s="70">
        <f>V427/'Terms and Turnovers'!$Y76</f>
        <v>0</v>
      </c>
      <c r="W1142" s="728"/>
      <c r="X1142" s="70">
        <f>X427/'Terms and Turnovers'!$Y76</f>
        <v>0</v>
      </c>
      <c r="Y1142" s="728"/>
      <c r="Z1142" s="70">
        <f>Z427/'Terms and Turnovers'!$Y76</f>
        <v>0</v>
      </c>
      <c r="AA1142" s="728"/>
      <c r="AB1142" s="70">
        <f>AB427/'Terms and Turnovers'!$Y76</f>
        <v>0</v>
      </c>
      <c r="AC1142" s="728"/>
      <c r="AD1142" s="70">
        <f>AD427/'Terms and Turnovers'!$Y76</f>
        <v>0</v>
      </c>
      <c r="AE1142" s="728"/>
      <c r="AF1142" s="132">
        <f t="shared" si="105"/>
        <v>0</v>
      </c>
      <c r="AG1142" s="728"/>
      <c r="AH1142" s="133">
        <f t="shared" si="106"/>
        <v>0</v>
      </c>
      <c r="AI1142" s="728"/>
      <c r="AJ1142" s="65"/>
    </row>
    <row r="1143" spans="2:36" ht="12.75" customHeight="1" outlineLevel="1">
      <c r="B1143" s="82"/>
      <c r="C1143" s="1234"/>
      <c r="D1143" s="1234"/>
      <c r="E1143" s="84" t="str">
        <f>'Terms and Turnovers'!$AD$12</f>
        <v>ACCESSORIES</v>
      </c>
      <c r="F1143" s="70">
        <f>F428/'Terms and Turnovers'!$AD76</f>
        <v>0</v>
      </c>
      <c r="G1143" s="728"/>
      <c r="H1143" s="70">
        <f>H428/'Terms and Turnovers'!$AD76</f>
        <v>0</v>
      </c>
      <c r="I1143" s="728"/>
      <c r="J1143" s="70">
        <f>J428/'Terms and Turnovers'!$AD76</f>
        <v>0</v>
      </c>
      <c r="K1143" s="728"/>
      <c r="L1143" s="70">
        <f>L428/'Terms and Turnovers'!$AD76</f>
        <v>0</v>
      </c>
      <c r="M1143" s="728"/>
      <c r="N1143" s="70">
        <f>N428/'Terms and Turnovers'!$AD76</f>
        <v>0</v>
      </c>
      <c r="O1143" s="728"/>
      <c r="P1143" s="70">
        <f>P428/'Terms and Turnovers'!$AD76</f>
        <v>0</v>
      </c>
      <c r="Q1143" s="728"/>
      <c r="R1143" s="132">
        <f t="shared" si="104"/>
        <v>0</v>
      </c>
      <c r="S1143" s="728"/>
      <c r="T1143" s="70">
        <f>T428/'Terms and Turnovers'!$AI76</f>
        <v>0</v>
      </c>
      <c r="U1143" s="728"/>
      <c r="V1143" s="70">
        <f>V428/'Terms and Turnovers'!$AI76</f>
        <v>0</v>
      </c>
      <c r="W1143" s="728"/>
      <c r="X1143" s="70">
        <f>X428/'Terms and Turnovers'!$AI76</f>
        <v>0</v>
      </c>
      <c r="Y1143" s="728"/>
      <c r="Z1143" s="70">
        <f>Z428/'Terms and Turnovers'!$AI76</f>
        <v>0</v>
      </c>
      <c r="AA1143" s="728"/>
      <c r="AB1143" s="70">
        <f>AB428/'Terms and Turnovers'!$AI76</f>
        <v>0</v>
      </c>
      <c r="AC1143" s="728"/>
      <c r="AD1143" s="70">
        <f>AD428/'Terms and Turnovers'!$AI76</f>
        <v>0</v>
      </c>
      <c r="AE1143" s="728"/>
      <c r="AF1143" s="132">
        <f t="shared" si="105"/>
        <v>0</v>
      </c>
      <c r="AG1143" s="728"/>
      <c r="AH1143" s="133">
        <f t="shared" si="106"/>
        <v>0</v>
      </c>
      <c r="AI1143" s="728"/>
      <c r="AJ1143" s="65"/>
    </row>
    <row r="1144" spans="2:36" ht="12.75" customHeight="1" outlineLevel="1">
      <c r="B1144" s="82"/>
      <c r="C1144" s="1234"/>
      <c r="D1144" s="1234"/>
      <c r="E1144" s="84">
        <f>'Terms and Turnovers'!$AN$12</f>
        <v>0</v>
      </c>
      <c r="F1144" s="70">
        <f>F429/'Terms and Turnovers'!$AN76</f>
        <v>0</v>
      </c>
      <c r="G1144" s="728"/>
      <c r="H1144" s="70">
        <f>H429/'Terms and Turnovers'!$AN76</f>
        <v>0</v>
      </c>
      <c r="I1144" s="728"/>
      <c r="J1144" s="70">
        <f>J429/'Terms and Turnovers'!$AN76</f>
        <v>0</v>
      </c>
      <c r="K1144" s="728"/>
      <c r="L1144" s="70">
        <f>L429/'Terms and Turnovers'!$AN76</f>
        <v>0</v>
      </c>
      <c r="M1144" s="728"/>
      <c r="N1144" s="70">
        <f>N429/'Terms and Turnovers'!$AN76</f>
        <v>0</v>
      </c>
      <c r="O1144" s="728"/>
      <c r="P1144" s="70">
        <f>P429/'Terms and Turnovers'!$AN76</f>
        <v>0</v>
      </c>
      <c r="Q1144" s="728"/>
      <c r="R1144" s="132">
        <f t="shared" si="104"/>
        <v>0</v>
      </c>
      <c r="S1144" s="728"/>
      <c r="T1144" s="70">
        <f>T429/'Terms and Turnovers'!$AS76</f>
        <v>0</v>
      </c>
      <c r="U1144" s="728"/>
      <c r="V1144" s="70">
        <f>V429/'Terms and Turnovers'!$AS76</f>
        <v>0</v>
      </c>
      <c r="W1144" s="728"/>
      <c r="X1144" s="70">
        <f>X429/'Terms and Turnovers'!$AS76</f>
        <v>0</v>
      </c>
      <c r="Y1144" s="728"/>
      <c r="Z1144" s="70">
        <f>Z429/'Terms and Turnovers'!$AS76</f>
        <v>0</v>
      </c>
      <c r="AA1144" s="728"/>
      <c r="AB1144" s="70">
        <f>AB429/'Terms and Turnovers'!$AS76</f>
        <v>0</v>
      </c>
      <c r="AC1144" s="728"/>
      <c r="AD1144" s="70">
        <f>AD429/'Terms and Turnovers'!$AS76</f>
        <v>0</v>
      </c>
      <c r="AE1144" s="728"/>
      <c r="AF1144" s="132">
        <f t="shared" si="105"/>
        <v>0</v>
      </c>
      <c r="AG1144" s="728"/>
      <c r="AH1144" s="133">
        <f t="shared" si="106"/>
        <v>0</v>
      </c>
      <c r="AI1144" s="728"/>
      <c r="AJ1144" s="65"/>
    </row>
    <row r="1145" spans="2:36" ht="13.5" customHeight="1" outlineLevel="1" thickBot="1">
      <c r="B1145" s="82"/>
      <c r="C1145" s="1235"/>
      <c r="D1145" s="1235"/>
      <c r="E1145" s="85">
        <f>'Terms and Turnovers'!$AX$12</f>
        <v>0</v>
      </c>
      <c r="F1145" s="70">
        <f>F430/'Terms and Turnovers'!$AX76</f>
        <v>0</v>
      </c>
      <c r="G1145" s="111"/>
      <c r="H1145" s="70">
        <f>H430/'Terms and Turnovers'!$AX76</f>
        <v>0</v>
      </c>
      <c r="I1145" s="107"/>
      <c r="J1145" s="70">
        <f>J430/'Terms and Turnovers'!$AX76</f>
        <v>0</v>
      </c>
      <c r="K1145" s="107"/>
      <c r="L1145" s="70">
        <f>L430/'Terms and Turnovers'!$AX76</f>
        <v>0</v>
      </c>
      <c r="M1145" s="107"/>
      <c r="N1145" s="70">
        <f>N430/'Terms and Turnovers'!$AX76</f>
        <v>0</v>
      </c>
      <c r="O1145" s="107"/>
      <c r="P1145" s="70">
        <f>P430/'Terms and Turnovers'!$AX76</f>
        <v>0</v>
      </c>
      <c r="Q1145" s="107"/>
      <c r="R1145" s="135">
        <f t="shared" si="104"/>
        <v>0</v>
      </c>
      <c r="S1145" s="107"/>
      <c r="T1145" s="70">
        <f>T430/'Terms and Turnovers'!$AX$76</f>
        <v>0</v>
      </c>
      <c r="U1145" s="111"/>
      <c r="V1145" s="70">
        <f>V430/'Terms and Turnovers'!$AX$76</f>
        <v>0</v>
      </c>
      <c r="W1145" s="107"/>
      <c r="X1145" s="70">
        <f>X430/'Terms and Turnovers'!$AX$76</f>
        <v>0</v>
      </c>
      <c r="Y1145" s="107"/>
      <c r="Z1145" s="70">
        <f>Z430/'Terms and Turnovers'!$AX$76</f>
        <v>0</v>
      </c>
      <c r="AA1145" s="107"/>
      <c r="AB1145" s="70">
        <f>AB430/'Terms and Turnovers'!$AX$76</f>
        <v>0</v>
      </c>
      <c r="AC1145" s="107"/>
      <c r="AD1145" s="70">
        <f>AD430/'Terms and Turnovers'!$AX$76</f>
        <v>0</v>
      </c>
      <c r="AE1145" s="107"/>
      <c r="AF1145" s="135">
        <f t="shared" si="105"/>
        <v>0</v>
      </c>
      <c r="AG1145" s="107"/>
      <c r="AH1145" s="136">
        <f t="shared" si="106"/>
        <v>0</v>
      </c>
      <c r="AI1145" s="107"/>
      <c r="AJ1145" s="65"/>
    </row>
    <row r="1146" spans="2:36" ht="13.5" customHeight="1" outlineLevel="1">
      <c r="B1146" s="82"/>
      <c r="C1146" s="425"/>
      <c r="D1146" s="425"/>
      <c r="E1146" s="634"/>
      <c r="F1146" s="635"/>
      <c r="G1146" s="428"/>
      <c r="H1146" s="635"/>
      <c r="I1146" s="428"/>
      <c r="J1146" s="635"/>
      <c r="K1146" s="636"/>
      <c r="L1146" s="635"/>
      <c r="M1146" s="636"/>
      <c r="N1146" s="635"/>
      <c r="O1146" s="636"/>
      <c r="P1146" s="635"/>
      <c r="Q1146" s="636"/>
      <c r="R1146" s="637"/>
      <c r="S1146" s="698">
        <f>SUM(R426:R430)/1.18-(SUM(R1141:R1145)*'Mark Up Validation'!$M$175)</f>
        <v>0</v>
      </c>
      <c r="T1146" s="635"/>
      <c r="U1146" s="636"/>
      <c r="V1146" s="635"/>
      <c r="W1146" s="636"/>
      <c r="X1146" s="635"/>
      <c r="Y1146" s="636"/>
      <c r="Z1146" s="635"/>
      <c r="AA1146" s="636"/>
      <c r="AB1146" s="635"/>
      <c r="AC1146" s="636"/>
      <c r="AD1146" s="635"/>
      <c r="AE1146" s="636"/>
      <c r="AF1146" s="637"/>
      <c r="AG1146" s="698">
        <f>SUM(AF426:AF430)/1.18-SUM(AF1141:AF1145)*'Mark Up Validation'!$M$175</f>
        <v>0</v>
      </c>
      <c r="AH1146" s="638"/>
      <c r="AI1146" s="698">
        <f>SUM(AH426:AH430)/1.18-SUM(AH1141:AH1145)*'Mark Up Validation'!$M$175</f>
        <v>0</v>
      </c>
      <c r="AJ1146" s="65"/>
    </row>
    <row r="1147" spans="2:36" ht="13.5" customHeight="1" outlineLevel="1" thickBot="1">
      <c r="B1147" s="82"/>
      <c r="C1147" s="1228" t="s">
        <v>487</v>
      </c>
      <c r="D1147" s="1229"/>
      <c r="E1147" s="699"/>
      <c r="F1147" s="700"/>
      <c r="G1147" s="701"/>
      <c r="H1147" s="700"/>
      <c r="I1147" s="701"/>
      <c r="J1147" s="700"/>
      <c r="K1147" s="702"/>
      <c r="L1147" s="700"/>
      <c r="M1147" s="702"/>
      <c r="N1147" s="700"/>
      <c r="O1147" s="702"/>
      <c r="P1147" s="700"/>
      <c r="Q1147" s="702"/>
      <c r="R1147" s="703"/>
      <c r="S1147" s="729">
        <f>IF(S1146&gt;0,S1146/(SUM(R426:R430)/1.18),0)</f>
        <v>0</v>
      </c>
      <c r="T1147" s="704"/>
      <c r="U1147" s="702"/>
      <c r="V1147" s="700"/>
      <c r="W1147" s="702"/>
      <c r="X1147" s="700"/>
      <c r="Y1147" s="702"/>
      <c r="Z1147" s="700"/>
      <c r="AA1147" s="702"/>
      <c r="AB1147" s="700"/>
      <c r="AC1147" s="702"/>
      <c r="AD1147" s="700"/>
      <c r="AE1147" s="702"/>
      <c r="AF1147" s="705"/>
      <c r="AG1147" s="729">
        <f>IF(AG1146&gt;0,AG1146/(SUM(AF426:AF430)/1.18),0)</f>
        <v>0</v>
      </c>
      <c r="AH1147" s="706"/>
      <c r="AI1147" s="729">
        <f>IF(AI1146&gt;0,AI1146/(SUM(AH426:AH430)/1.18),0)</f>
        <v>0</v>
      </c>
      <c r="AJ1147" s="65"/>
    </row>
    <row r="1148" spans="2:36" ht="12.75" customHeight="1" outlineLevel="1">
      <c r="B1148" s="82">
        <f>B1141+1</f>
        <v>62</v>
      </c>
      <c r="C1148" s="1233">
        <f>C433</f>
        <v>0</v>
      </c>
      <c r="D1148" s="1233">
        <f>D433</f>
        <v>0</v>
      </c>
      <c r="E1148" s="83" t="str">
        <f>'Terms and Turnovers'!$J$12</f>
        <v>FLIP-FLOPS</v>
      </c>
      <c r="F1148" s="68">
        <f>F433/'Terms and Turnovers'!$J77</f>
        <v>0</v>
      </c>
      <c r="G1148" s="106"/>
      <c r="H1148" s="68">
        <f>H433/'Terms and Turnovers'!$J77</f>
        <v>0</v>
      </c>
      <c r="I1148" s="106"/>
      <c r="J1148" s="68">
        <f>J433/'Terms and Turnovers'!$J77</f>
        <v>0</v>
      </c>
      <c r="K1148" s="106"/>
      <c r="L1148" s="68">
        <f>L433/'Terms and Turnovers'!$J77</f>
        <v>0</v>
      </c>
      <c r="M1148" s="106"/>
      <c r="N1148" s="68">
        <f>N433/'Terms and Turnovers'!$J77</f>
        <v>0</v>
      </c>
      <c r="O1148" s="106"/>
      <c r="P1148" s="68">
        <f>P433/'Terms and Turnovers'!$J77</f>
        <v>0</v>
      </c>
      <c r="Q1148" s="106"/>
      <c r="R1148" s="129">
        <f t="shared" si="104"/>
        <v>0</v>
      </c>
      <c r="S1148" s="106"/>
      <c r="T1148" s="68">
        <f>T433/'Terms and Turnovers'!$O77</f>
        <v>0</v>
      </c>
      <c r="U1148" s="106"/>
      <c r="V1148" s="68">
        <f>V433/'Terms and Turnovers'!$O77</f>
        <v>0</v>
      </c>
      <c r="W1148" s="106"/>
      <c r="X1148" s="68">
        <f>X433/'Terms and Turnovers'!$O77</f>
        <v>0</v>
      </c>
      <c r="Y1148" s="106"/>
      <c r="Z1148" s="68">
        <f>Z433/'Terms and Turnovers'!$O77</f>
        <v>0</v>
      </c>
      <c r="AA1148" s="106"/>
      <c r="AB1148" s="68">
        <f>AB433/'Terms and Turnovers'!$O77</f>
        <v>0</v>
      </c>
      <c r="AC1148" s="106"/>
      <c r="AD1148" s="68">
        <f>AD433/'Terms and Turnovers'!$O77</f>
        <v>0</v>
      </c>
      <c r="AE1148" s="106"/>
      <c r="AF1148" s="129">
        <f t="shared" si="105"/>
        <v>0</v>
      </c>
      <c r="AG1148" s="106"/>
      <c r="AH1148" s="130">
        <f t="shared" si="106"/>
        <v>0</v>
      </c>
      <c r="AI1148" s="106"/>
      <c r="AJ1148" s="65"/>
    </row>
    <row r="1149" spans="2:36" ht="12.75" customHeight="1" outlineLevel="1">
      <c r="B1149" s="82"/>
      <c r="C1149" s="1234"/>
      <c r="D1149" s="1234"/>
      <c r="E1149" s="84" t="str">
        <f>'Terms and Turnovers'!$T$12</f>
        <v>ORIGINALS</v>
      </c>
      <c r="F1149" s="70">
        <f>F434/'Terms and Turnovers'!$T77</f>
        <v>0</v>
      </c>
      <c r="G1149" s="728"/>
      <c r="H1149" s="70">
        <f>H434/'Terms and Turnovers'!$T77</f>
        <v>0</v>
      </c>
      <c r="I1149" s="728"/>
      <c r="J1149" s="70">
        <f>J434/'Terms and Turnovers'!$T77</f>
        <v>0</v>
      </c>
      <c r="K1149" s="728"/>
      <c r="L1149" s="70">
        <f>L434/'Terms and Turnovers'!$T77</f>
        <v>0</v>
      </c>
      <c r="M1149" s="728"/>
      <c r="N1149" s="70">
        <f>N434/'Terms and Turnovers'!$T77</f>
        <v>0</v>
      </c>
      <c r="O1149" s="728"/>
      <c r="P1149" s="70">
        <f>P434/'Terms and Turnovers'!$T77</f>
        <v>0</v>
      </c>
      <c r="Q1149" s="728"/>
      <c r="R1149" s="132">
        <f t="shared" si="104"/>
        <v>0</v>
      </c>
      <c r="S1149" s="730"/>
      <c r="T1149" s="70">
        <f>T434/'Terms and Turnovers'!$Y77</f>
        <v>0</v>
      </c>
      <c r="U1149" s="728"/>
      <c r="V1149" s="70">
        <f>V434/'Terms and Turnovers'!$Y77</f>
        <v>0</v>
      </c>
      <c r="W1149" s="728"/>
      <c r="X1149" s="70">
        <f>X434/'Terms and Turnovers'!$Y77</f>
        <v>0</v>
      </c>
      <c r="Y1149" s="728"/>
      <c r="Z1149" s="70">
        <f>Z434/'Terms and Turnovers'!$Y77</f>
        <v>0</v>
      </c>
      <c r="AA1149" s="728"/>
      <c r="AB1149" s="70">
        <f>AB434/'Terms and Turnovers'!$Y77</f>
        <v>0</v>
      </c>
      <c r="AC1149" s="728"/>
      <c r="AD1149" s="70">
        <f>AD434/'Terms and Turnovers'!$Y77</f>
        <v>0</v>
      </c>
      <c r="AE1149" s="728"/>
      <c r="AF1149" s="132">
        <f t="shared" si="105"/>
        <v>0</v>
      </c>
      <c r="AG1149" s="728"/>
      <c r="AH1149" s="133">
        <f t="shared" si="106"/>
        <v>0</v>
      </c>
      <c r="AI1149" s="728"/>
      <c r="AJ1149" s="65"/>
    </row>
    <row r="1150" spans="2:36" ht="12.75" customHeight="1" outlineLevel="1">
      <c r="B1150" s="82"/>
      <c r="C1150" s="1234"/>
      <c r="D1150" s="1234"/>
      <c r="E1150" s="84" t="str">
        <f>'Terms and Turnovers'!$AD$12</f>
        <v>ACCESSORIES</v>
      </c>
      <c r="F1150" s="70">
        <f>F435/'Terms and Turnovers'!$AD77</f>
        <v>0</v>
      </c>
      <c r="G1150" s="728"/>
      <c r="H1150" s="70">
        <f>H435/'Terms and Turnovers'!$AD77</f>
        <v>0</v>
      </c>
      <c r="I1150" s="728"/>
      <c r="J1150" s="70">
        <f>J435/'Terms and Turnovers'!$AD77</f>
        <v>0</v>
      </c>
      <c r="K1150" s="728"/>
      <c r="L1150" s="70">
        <f>L435/'Terms and Turnovers'!$AD77</f>
        <v>0</v>
      </c>
      <c r="M1150" s="728"/>
      <c r="N1150" s="70">
        <f>N435/'Terms and Turnovers'!$AD77</f>
        <v>0</v>
      </c>
      <c r="O1150" s="728"/>
      <c r="P1150" s="70">
        <f>P435/'Terms and Turnovers'!$AD77</f>
        <v>0</v>
      </c>
      <c r="Q1150" s="728"/>
      <c r="R1150" s="132">
        <f t="shared" si="104"/>
        <v>0</v>
      </c>
      <c r="S1150" s="728"/>
      <c r="T1150" s="70">
        <f>T435/'Terms and Turnovers'!$AI77</f>
        <v>0</v>
      </c>
      <c r="U1150" s="728"/>
      <c r="V1150" s="70">
        <f>V435/'Terms and Turnovers'!$AI77</f>
        <v>0</v>
      </c>
      <c r="W1150" s="728"/>
      <c r="X1150" s="70">
        <f>X435/'Terms and Turnovers'!$AI77</f>
        <v>0</v>
      </c>
      <c r="Y1150" s="728"/>
      <c r="Z1150" s="70">
        <f>Z435/'Terms and Turnovers'!$AI77</f>
        <v>0</v>
      </c>
      <c r="AA1150" s="728"/>
      <c r="AB1150" s="70">
        <f>AB435/'Terms and Turnovers'!$AI77</f>
        <v>0</v>
      </c>
      <c r="AC1150" s="728"/>
      <c r="AD1150" s="70">
        <f>AD435/'Terms and Turnovers'!$AI77</f>
        <v>0</v>
      </c>
      <c r="AE1150" s="728"/>
      <c r="AF1150" s="132">
        <f t="shared" si="105"/>
        <v>0</v>
      </c>
      <c r="AG1150" s="728"/>
      <c r="AH1150" s="133">
        <f t="shared" si="106"/>
        <v>0</v>
      </c>
      <c r="AI1150" s="728"/>
      <c r="AJ1150" s="65"/>
    </row>
    <row r="1151" spans="2:36" ht="12.75" customHeight="1" outlineLevel="1">
      <c r="B1151" s="82"/>
      <c r="C1151" s="1234"/>
      <c r="D1151" s="1234"/>
      <c r="E1151" s="84">
        <f>'Terms and Turnovers'!$AN$12</f>
        <v>0</v>
      </c>
      <c r="F1151" s="70">
        <f>F436/'Terms and Turnovers'!$AN77</f>
        <v>0</v>
      </c>
      <c r="G1151" s="728"/>
      <c r="H1151" s="70">
        <f>H436/'Terms and Turnovers'!$AN77</f>
        <v>0</v>
      </c>
      <c r="I1151" s="728"/>
      <c r="J1151" s="70">
        <f>J436/'Terms and Turnovers'!$AN77</f>
        <v>0</v>
      </c>
      <c r="K1151" s="728"/>
      <c r="L1151" s="70">
        <f>L436/'Terms and Turnovers'!$AN77</f>
        <v>0</v>
      </c>
      <c r="M1151" s="728"/>
      <c r="N1151" s="70">
        <f>N436/'Terms and Turnovers'!$AN77</f>
        <v>0</v>
      </c>
      <c r="O1151" s="728"/>
      <c r="P1151" s="70">
        <f>P436/'Terms and Turnovers'!$AN77</f>
        <v>0</v>
      </c>
      <c r="Q1151" s="728"/>
      <c r="R1151" s="132">
        <f t="shared" si="104"/>
        <v>0</v>
      </c>
      <c r="S1151" s="728"/>
      <c r="T1151" s="70">
        <f>T436/'Terms and Turnovers'!$AS77</f>
        <v>0</v>
      </c>
      <c r="U1151" s="728"/>
      <c r="V1151" s="70">
        <f>V436/'Terms and Turnovers'!$AS77</f>
        <v>0</v>
      </c>
      <c r="W1151" s="728"/>
      <c r="X1151" s="70">
        <f>X436/'Terms and Turnovers'!$AS77</f>
        <v>0</v>
      </c>
      <c r="Y1151" s="728"/>
      <c r="Z1151" s="70">
        <f>Z436/'Terms and Turnovers'!$AS77</f>
        <v>0</v>
      </c>
      <c r="AA1151" s="728"/>
      <c r="AB1151" s="70">
        <f>AB436/'Terms and Turnovers'!$AS77</f>
        <v>0</v>
      </c>
      <c r="AC1151" s="728"/>
      <c r="AD1151" s="70">
        <f>AD436/'Terms and Turnovers'!$AS77</f>
        <v>0</v>
      </c>
      <c r="AE1151" s="728"/>
      <c r="AF1151" s="132">
        <f t="shared" si="105"/>
        <v>0</v>
      </c>
      <c r="AG1151" s="728"/>
      <c r="AH1151" s="133">
        <f t="shared" si="106"/>
        <v>0</v>
      </c>
      <c r="AI1151" s="728"/>
      <c r="AJ1151" s="65"/>
    </row>
    <row r="1152" spans="2:36" ht="13.5" customHeight="1" outlineLevel="1" thickBot="1">
      <c r="B1152" s="82"/>
      <c r="C1152" s="1235"/>
      <c r="D1152" s="1235"/>
      <c r="E1152" s="85">
        <f>'Terms and Turnovers'!$AX$12</f>
        <v>0</v>
      </c>
      <c r="F1152" s="70">
        <f>F437/'Terms and Turnovers'!$AX77</f>
        <v>0</v>
      </c>
      <c r="G1152" s="111"/>
      <c r="H1152" s="70">
        <f>H437/'Terms and Turnovers'!$AX77</f>
        <v>0</v>
      </c>
      <c r="I1152" s="107"/>
      <c r="J1152" s="70">
        <f>J437/'Terms and Turnovers'!$AX77</f>
        <v>0</v>
      </c>
      <c r="K1152" s="107"/>
      <c r="L1152" s="70">
        <f>L437/'Terms and Turnovers'!$AX77</f>
        <v>0</v>
      </c>
      <c r="M1152" s="107"/>
      <c r="N1152" s="70">
        <f>N437/'Terms and Turnovers'!$AX77</f>
        <v>0</v>
      </c>
      <c r="O1152" s="107"/>
      <c r="P1152" s="70">
        <f>P437/'Terms and Turnovers'!$AX77</f>
        <v>0</v>
      </c>
      <c r="Q1152" s="107"/>
      <c r="R1152" s="135">
        <f t="shared" si="104"/>
        <v>0</v>
      </c>
      <c r="S1152" s="107"/>
      <c r="T1152" s="70">
        <f>T437/'Terms and Turnovers'!$AX$77</f>
        <v>0</v>
      </c>
      <c r="U1152" s="111"/>
      <c r="V1152" s="70">
        <f>V437/'Terms and Turnovers'!$AX$77</f>
        <v>0</v>
      </c>
      <c r="W1152" s="107"/>
      <c r="X1152" s="70">
        <f>X437/'Terms and Turnovers'!$AX$77</f>
        <v>0</v>
      </c>
      <c r="Y1152" s="107"/>
      <c r="Z1152" s="70">
        <f>Z437/'Terms and Turnovers'!$AX$77</f>
        <v>0</v>
      </c>
      <c r="AA1152" s="107"/>
      <c r="AB1152" s="70">
        <f>AB437/'Terms and Turnovers'!$AX$77</f>
        <v>0</v>
      </c>
      <c r="AC1152" s="107"/>
      <c r="AD1152" s="70">
        <f>AD437/'Terms and Turnovers'!$AX$77</f>
        <v>0</v>
      </c>
      <c r="AE1152" s="107"/>
      <c r="AF1152" s="135">
        <f t="shared" si="105"/>
        <v>0</v>
      </c>
      <c r="AG1152" s="107"/>
      <c r="AH1152" s="136">
        <f t="shared" si="106"/>
        <v>0</v>
      </c>
      <c r="AI1152" s="107"/>
      <c r="AJ1152" s="65"/>
    </row>
    <row r="1153" spans="2:36" ht="13.5" customHeight="1" outlineLevel="1">
      <c r="B1153" s="82"/>
      <c r="C1153" s="425"/>
      <c r="D1153" s="425"/>
      <c r="E1153" s="634"/>
      <c r="F1153" s="635"/>
      <c r="G1153" s="428"/>
      <c r="H1153" s="635"/>
      <c r="I1153" s="428"/>
      <c r="J1153" s="635"/>
      <c r="K1153" s="636"/>
      <c r="L1153" s="635"/>
      <c r="M1153" s="636"/>
      <c r="N1153" s="635"/>
      <c r="O1153" s="636"/>
      <c r="P1153" s="635"/>
      <c r="Q1153" s="636"/>
      <c r="R1153" s="637"/>
      <c r="S1153" s="698">
        <f>SUM(R433:R437)/1.18-(SUM(R1148:R1152)*'Mark Up Validation'!$M$175)</f>
        <v>0</v>
      </c>
      <c r="T1153" s="635"/>
      <c r="U1153" s="636"/>
      <c r="V1153" s="635"/>
      <c r="W1153" s="636"/>
      <c r="X1153" s="635"/>
      <c r="Y1153" s="636"/>
      <c r="Z1153" s="635"/>
      <c r="AA1153" s="636"/>
      <c r="AB1153" s="635"/>
      <c r="AC1153" s="636"/>
      <c r="AD1153" s="635"/>
      <c r="AE1153" s="636"/>
      <c r="AF1153" s="637"/>
      <c r="AG1153" s="698">
        <f>SUM(AF433:AF437)/1.18-SUM(AF1148:AF1152)*'Mark Up Validation'!$M$175</f>
        <v>0</v>
      </c>
      <c r="AH1153" s="638"/>
      <c r="AI1153" s="698">
        <f>SUM(AH433:AH437)/1.18-SUM(AH1148:AH1152)*'Mark Up Validation'!$M$175</f>
        <v>0</v>
      </c>
      <c r="AJ1153" s="65"/>
    </row>
    <row r="1154" spans="2:36" ht="13.5" customHeight="1" outlineLevel="1" thickBot="1">
      <c r="B1154" s="82"/>
      <c r="C1154" s="1228" t="s">
        <v>487</v>
      </c>
      <c r="D1154" s="1229"/>
      <c r="E1154" s="699"/>
      <c r="F1154" s="700"/>
      <c r="G1154" s="701"/>
      <c r="H1154" s="700"/>
      <c r="I1154" s="701"/>
      <c r="J1154" s="700"/>
      <c r="K1154" s="702"/>
      <c r="L1154" s="700"/>
      <c r="M1154" s="702"/>
      <c r="N1154" s="700"/>
      <c r="O1154" s="702"/>
      <c r="P1154" s="700"/>
      <c r="Q1154" s="702"/>
      <c r="R1154" s="703"/>
      <c r="S1154" s="729">
        <f>IF(S1153&gt;0,S1153/(SUM(R433:R437)/1.18),0)</f>
        <v>0</v>
      </c>
      <c r="T1154" s="704"/>
      <c r="U1154" s="702"/>
      <c r="V1154" s="700"/>
      <c r="W1154" s="702"/>
      <c r="X1154" s="700"/>
      <c r="Y1154" s="702"/>
      <c r="Z1154" s="700"/>
      <c r="AA1154" s="702"/>
      <c r="AB1154" s="700"/>
      <c r="AC1154" s="702"/>
      <c r="AD1154" s="700"/>
      <c r="AE1154" s="702"/>
      <c r="AF1154" s="705"/>
      <c r="AG1154" s="729">
        <f>IF(AG1153&gt;0,AG1153/(SUM(AF433:AF437)/1.18),0)</f>
        <v>0</v>
      </c>
      <c r="AH1154" s="706"/>
      <c r="AI1154" s="729">
        <f>IF(AI1153&gt;0,AI1153/(SUM(AH433:AH437)/1.18),0)</f>
        <v>0</v>
      </c>
      <c r="AJ1154" s="65"/>
    </row>
    <row r="1155" spans="2:36" ht="12.75" customHeight="1" outlineLevel="1">
      <c r="B1155" s="82">
        <f>B1148+1</f>
        <v>63</v>
      </c>
      <c r="C1155" s="1233">
        <f>C440</f>
        <v>0</v>
      </c>
      <c r="D1155" s="1233">
        <f>D440</f>
        <v>0</v>
      </c>
      <c r="E1155" s="83" t="str">
        <f>'Terms and Turnovers'!$J$12</f>
        <v>FLIP-FLOPS</v>
      </c>
      <c r="F1155" s="68">
        <f>F440/'Terms and Turnovers'!$J78</f>
        <v>0</v>
      </c>
      <c r="G1155" s="106"/>
      <c r="H1155" s="68">
        <f>H440/'Terms and Turnovers'!$J78</f>
        <v>0</v>
      </c>
      <c r="I1155" s="106"/>
      <c r="J1155" s="68">
        <f>J440/'Terms and Turnovers'!$J78</f>
        <v>0</v>
      </c>
      <c r="K1155" s="106"/>
      <c r="L1155" s="68">
        <f>L440/'Terms and Turnovers'!$J78</f>
        <v>0</v>
      </c>
      <c r="M1155" s="106"/>
      <c r="N1155" s="68">
        <f>N440/'Terms and Turnovers'!$J78</f>
        <v>0</v>
      </c>
      <c r="O1155" s="106"/>
      <c r="P1155" s="68">
        <f>P440/'Terms and Turnovers'!$J78</f>
        <v>0</v>
      </c>
      <c r="Q1155" s="106"/>
      <c r="R1155" s="129">
        <f t="shared" si="104"/>
        <v>0</v>
      </c>
      <c r="S1155" s="106"/>
      <c r="T1155" s="68">
        <f>T440/'Terms and Turnovers'!$O78</f>
        <v>0</v>
      </c>
      <c r="U1155" s="106"/>
      <c r="V1155" s="68">
        <f>V440/'Terms and Turnovers'!$O78</f>
        <v>0</v>
      </c>
      <c r="W1155" s="106"/>
      <c r="X1155" s="68">
        <f>X440/'Terms and Turnovers'!$O78</f>
        <v>0</v>
      </c>
      <c r="Y1155" s="106"/>
      <c r="Z1155" s="68">
        <f>Z440/'Terms and Turnovers'!$O78</f>
        <v>0</v>
      </c>
      <c r="AA1155" s="106"/>
      <c r="AB1155" s="68">
        <f>AB440/'Terms and Turnovers'!$O78</f>
        <v>0</v>
      </c>
      <c r="AC1155" s="106"/>
      <c r="AD1155" s="68">
        <f>AD440/'Terms and Turnovers'!$O78</f>
        <v>0</v>
      </c>
      <c r="AE1155" s="106"/>
      <c r="AF1155" s="129">
        <f t="shared" si="105"/>
        <v>0</v>
      </c>
      <c r="AG1155" s="106"/>
      <c r="AH1155" s="130">
        <f t="shared" si="106"/>
        <v>0</v>
      </c>
      <c r="AI1155" s="106"/>
      <c r="AJ1155" s="65"/>
    </row>
    <row r="1156" spans="2:36" ht="12.75" customHeight="1" outlineLevel="1">
      <c r="B1156" s="82"/>
      <c r="C1156" s="1234"/>
      <c r="D1156" s="1234"/>
      <c r="E1156" s="84" t="str">
        <f>'Terms and Turnovers'!$T$12</f>
        <v>ORIGINALS</v>
      </c>
      <c r="F1156" s="70">
        <f>F441/'Terms and Turnovers'!$T78</f>
        <v>0</v>
      </c>
      <c r="G1156" s="728"/>
      <c r="H1156" s="70">
        <f>H441/'Terms and Turnovers'!$T78</f>
        <v>0</v>
      </c>
      <c r="I1156" s="728"/>
      <c r="J1156" s="70">
        <f>J441/'Terms and Turnovers'!$T78</f>
        <v>0</v>
      </c>
      <c r="K1156" s="728"/>
      <c r="L1156" s="70">
        <f>L441/'Terms and Turnovers'!$T78</f>
        <v>0</v>
      </c>
      <c r="M1156" s="728"/>
      <c r="N1156" s="70">
        <f>N441/'Terms and Turnovers'!$T78</f>
        <v>0</v>
      </c>
      <c r="O1156" s="728"/>
      <c r="P1156" s="70">
        <f>P441/'Terms and Turnovers'!$T78</f>
        <v>0</v>
      </c>
      <c r="Q1156" s="728"/>
      <c r="R1156" s="132">
        <f t="shared" si="104"/>
        <v>0</v>
      </c>
      <c r="S1156" s="728"/>
      <c r="T1156" s="70">
        <f>T441/'Terms and Turnovers'!$Y78</f>
        <v>0</v>
      </c>
      <c r="U1156" s="728"/>
      <c r="V1156" s="70">
        <f>V441/'Terms and Turnovers'!$Y78</f>
        <v>0</v>
      </c>
      <c r="W1156" s="728"/>
      <c r="X1156" s="70">
        <f>X441/'Terms and Turnovers'!$Y78</f>
        <v>0</v>
      </c>
      <c r="Y1156" s="728"/>
      <c r="Z1156" s="70">
        <f>Z441/'Terms and Turnovers'!$Y78</f>
        <v>0</v>
      </c>
      <c r="AA1156" s="728"/>
      <c r="AB1156" s="70">
        <f>AB441/'Terms and Turnovers'!$Y78</f>
        <v>0</v>
      </c>
      <c r="AC1156" s="728"/>
      <c r="AD1156" s="70">
        <f>AD441/'Terms and Turnovers'!$Y78</f>
        <v>0</v>
      </c>
      <c r="AE1156" s="728"/>
      <c r="AF1156" s="132">
        <f t="shared" si="105"/>
        <v>0</v>
      </c>
      <c r="AG1156" s="728"/>
      <c r="AH1156" s="133">
        <f t="shared" si="106"/>
        <v>0</v>
      </c>
      <c r="AI1156" s="728"/>
      <c r="AJ1156" s="65"/>
    </row>
    <row r="1157" spans="2:36" ht="12.75" customHeight="1" outlineLevel="1">
      <c r="B1157" s="82"/>
      <c r="C1157" s="1234"/>
      <c r="D1157" s="1234"/>
      <c r="E1157" s="84" t="str">
        <f>'Terms and Turnovers'!$AD$12</f>
        <v>ACCESSORIES</v>
      </c>
      <c r="F1157" s="70">
        <f>F442/'Terms and Turnovers'!$AD78</f>
        <v>0</v>
      </c>
      <c r="G1157" s="728"/>
      <c r="H1157" s="70">
        <f>H442/'Terms and Turnovers'!$AD78</f>
        <v>0</v>
      </c>
      <c r="I1157" s="728"/>
      <c r="J1157" s="70">
        <f>J442/'Terms and Turnovers'!$AD78</f>
        <v>0</v>
      </c>
      <c r="K1157" s="728"/>
      <c r="L1157" s="70">
        <f>L442/'Terms and Turnovers'!$AD78</f>
        <v>0</v>
      </c>
      <c r="M1157" s="728"/>
      <c r="N1157" s="70">
        <f>N442/'Terms and Turnovers'!$AD78</f>
        <v>0</v>
      </c>
      <c r="O1157" s="728"/>
      <c r="P1157" s="70">
        <f>P442/'Terms and Turnovers'!$AD78</f>
        <v>0</v>
      </c>
      <c r="Q1157" s="728"/>
      <c r="R1157" s="132">
        <f t="shared" si="104"/>
        <v>0</v>
      </c>
      <c r="S1157" s="728"/>
      <c r="T1157" s="70">
        <f>T442/'Terms and Turnovers'!$AI78</f>
        <v>0</v>
      </c>
      <c r="U1157" s="728"/>
      <c r="V1157" s="70">
        <f>V442/'Terms and Turnovers'!$AI78</f>
        <v>0</v>
      </c>
      <c r="W1157" s="728"/>
      <c r="X1157" s="70">
        <f>X442/'Terms and Turnovers'!$AI78</f>
        <v>0</v>
      </c>
      <c r="Y1157" s="728"/>
      <c r="Z1157" s="70">
        <f>Z442/'Terms and Turnovers'!$AI78</f>
        <v>0</v>
      </c>
      <c r="AA1157" s="728"/>
      <c r="AB1157" s="70">
        <f>AB442/'Terms and Turnovers'!$AI78</f>
        <v>0</v>
      </c>
      <c r="AC1157" s="728"/>
      <c r="AD1157" s="70">
        <f>AD442/'Terms and Turnovers'!$AI78</f>
        <v>0</v>
      </c>
      <c r="AE1157" s="728"/>
      <c r="AF1157" s="132">
        <f t="shared" si="105"/>
        <v>0</v>
      </c>
      <c r="AG1157" s="728"/>
      <c r="AH1157" s="133">
        <f t="shared" si="106"/>
        <v>0</v>
      </c>
      <c r="AI1157" s="728"/>
      <c r="AJ1157" s="65"/>
    </row>
    <row r="1158" spans="2:36" ht="12.75" customHeight="1" outlineLevel="1">
      <c r="B1158" s="82"/>
      <c r="C1158" s="1234"/>
      <c r="D1158" s="1234"/>
      <c r="E1158" s="84">
        <f>'Terms and Turnovers'!$AN$12</f>
        <v>0</v>
      </c>
      <c r="F1158" s="70">
        <f>F443/'Terms and Turnovers'!$AN78</f>
        <v>0</v>
      </c>
      <c r="G1158" s="728"/>
      <c r="H1158" s="70">
        <f>H443/'Terms and Turnovers'!$AN78</f>
        <v>0</v>
      </c>
      <c r="I1158" s="728"/>
      <c r="J1158" s="70">
        <f>J443/'Terms and Turnovers'!$AN78</f>
        <v>0</v>
      </c>
      <c r="K1158" s="728"/>
      <c r="L1158" s="70">
        <f>L443/'Terms and Turnovers'!$AN78</f>
        <v>0</v>
      </c>
      <c r="M1158" s="728"/>
      <c r="N1158" s="70">
        <f>N443/'Terms and Turnovers'!$AN78</f>
        <v>0</v>
      </c>
      <c r="O1158" s="728"/>
      <c r="P1158" s="70">
        <f>P443/'Terms and Turnovers'!$AN78</f>
        <v>0</v>
      </c>
      <c r="Q1158" s="728"/>
      <c r="R1158" s="132">
        <f t="shared" si="104"/>
        <v>0</v>
      </c>
      <c r="S1158" s="728"/>
      <c r="T1158" s="70">
        <f>T443/'Terms and Turnovers'!$AS78</f>
        <v>0</v>
      </c>
      <c r="U1158" s="728"/>
      <c r="V1158" s="70">
        <f>V443/'Terms and Turnovers'!$AS78</f>
        <v>0</v>
      </c>
      <c r="W1158" s="728"/>
      <c r="X1158" s="70">
        <f>X443/'Terms and Turnovers'!$AS78</f>
        <v>0</v>
      </c>
      <c r="Y1158" s="728"/>
      <c r="Z1158" s="70">
        <f>Z443/'Terms and Turnovers'!$AS78</f>
        <v>0</v>
      </c>
      <c r="AA1158" s="728"/>
      <c r="AB1158" s="70">
        <f>AB443/'Terms and Turnovers'!$AS78</f>
        <v>0</v>
      </c>
      <c r="AC1158" s="728"/>
      <c r="AD1158" s="70">
        <f>AD443/'Terms and Turnovers'!$AS78</f>
        <v>0</v>
      </c>
      <c r="AE1158" s="728"/>
      <c r="AF1158" s="132">
        <f t="shared" si="105"/>
        <v>0</v>
      </c>
      <c r="AG1158" s="728"/>
      <c r="AH1158" s="133">
        <f t="shared" si="106"/>
        <v>0</v>
      </c>
      <c r="AI1158" s="728"/>
      <c r="AJ1158" s="65"/>
    </row>
    <row r="1159" spans="2:36" ht="13.5" customHeight="1" outlineLevel="1" thickBot="1">
      <c r="B1159" s="82"/>
      <c r="C1159" s="1235"/>
      <c r="D1159" s="1235"/>
      <c r="E1159" s="85">
        <f>'Terms and Turnovers'!$AX$12</f>
        <v>0</v>
      </c>
      <c r="F1159" s="70">
        <f>F444/'Terms and Turnovers'!$AX78</f>
        <v>0</v>
      </c>
      <c r="G1159" s="111"/>
      <c r="H1159" s="70">
        <f>H444/'Terms and Turnovers'!$AX78</f>
        <v>0</v>
      </c>
      <c r="I1159" s="107"/>
      <c r="J1159" s="70">
        <f>J444/'Terms and Turnovers'!$AX78</f>
        <v>0</v>
      </c>
      <c r="K1159" s="107"/>
      <c r="L1159" s="70">
        <f>L444/'Terms and Turnovers'!$AX78</f>
        <v>0</v>
      </c>
      <c r="M1159" s="107"/>
      <c r="N1159" s="70">
        <f>N444/'Terms and Turnovers'!$AX78</f>
        <v>0</v>
      </c>
      <c r="O1159" s="107"/>
      <c r="P1159" s="70">
        <f>P444/'Terms and Turnovers'!$AX78</f>
        <v>0</v>
      </c>
      <c r="Q1159" s="107"/>
      <c r="R1159" s="135">
        <f t="shared" si="104"/>
        <v>0</v>
      </c>
      <c r="S1159" s="107"/>
      <c r="T1159" s="70">
        <f>T444/'Terms and Turnovers'!$AX$78</f>
        <v>0</v>
      </c>
      <c r="U1159" s="111"/>
      <c r="V1159" s="70">
        <f>V444/'Terms and Turnovers'!$AX$78</f>
        <v>0</v>
      </c>
      <c r="W1159" s="107"/>
      <c r="X1159" s="70">
        <f>X444/'Terms and Turnovers'!$AX$78</f>
        <v>0</v>
      </c>
      <c r="Y1159" s="107"/>
      <c r="Z1159" s="70">
        <f>Z444/'Terms and Turnovers'!$AX$78</f>
        <v>0</v>
      </c>
      <c r="AA1159" s="107"/>
      <c r="AB1159" s="70">
        <f>AB444/'Terms and Turnovers'!$AX$78</f>
        <v>0</v>
      </c>
      <c r="AC1159" s="107"/>
      <c r="AD1159" s="70">
        <f>AD444/'Terms and Turnovers'!$AX$78</f>
        <v>0</v>
      </c>
      <c r="AE1159" s="107"/>
      <c r="AF1159" s="135">
        <f t="shared" si="105"/>
        <v>0</v>
      </c>
      <c r="AG1159" s="107"/>
      <c r="AH1159" s="136">
        <f t="shared" si="106"/>
        <v>0</v>
      </c>
      <c r="AI1159" s="107"/>
      <c r="AJ1159" s="65"/>
    </row>
    <row r="1160" spans="2:36" ht="13.5" customHeight="1" outlineLevel="1">
      <c r="B1160" s="82"/>
      <c r="C1160" s="425"/>
      <c r="D1160" s="425"/>
      <c r="E1160" s="634"/>
      <c r="F1160" s="635"/>
      <c r="G1160" s="428"/>
      <c r="H1160" s="635"/>
      <c r="I1160" s="428"/>
      <c r="J1160" s="635"/>
      <c r="K1160" s="636"/>
      <c r="L1160" s="635"/>
      <c r="M1160" s="636"/>
      <c r="N1160" s="635"/>
      <c r="O1160" s="636"/>
      <c r="P1160" s="635"/>
      <c r="Q1160" s="636"/>
      <c r="R1160" s="637"/>
      <c r="S1160" s="698">
        <f>SUM(R440:R444)/1.18-(SUM(R1155:R1159)*'Mark Up Validation'!$M$175)</f>
        <v>0</v>
      </c>
      <c r="T1160" s="635"/>
      <c r="U1160" s="636"/>
      <c r="V1160" s="635"/>
      <c r="W1160" s="636"/>
      <c r="X1160" s="635"/>
      <c r="Y1160" s="636"/>
      <c r="Z1160" s="635"/>
      <c r="AA1160" s="636"/>
      <c r="AB1160" s="635"/>
      <c r="AC1160" s="636"/>
      <c r="AD1160" s="635"/>
      <c r="AE1160" s="636"/>
      <c r="AF1160" s="637"/>
      <c r="AG1160" s="698">
        <f>SUM(AF440:AF444)/1.18-SUM(AF1155:AF1159)*'Mark Up Validation'!$M$175</f>
        <v>0</v>
      </c>
      <c r="AH1160" s="638"/>
      <c r="AI1160" s="698">
        <f>SUM(AH440:AH444)/1.18-SUM(AH1155:AH1159)*'Mark Up Validation'!$M$175</f>
        <v>0</v>
      </c>
      <c r="AJ1160" s="65"/>
    </row>
    <row r="1161" spans="2:36" ht="13.5" customHeight="1" outlineLevel="1" thickBot="1">
      <c r="B1161" s="82"/>
      <c r="C1161" s="1228" t="s">
        <v>487</v>
      </c>
      <c r="D1161" s="1229"/>
      <c r="E1161" s="699"/>
      <c r="F1161" s="700"/>
      <c r="G1161" s="701"/>
      <c r="H1161" s="700"/>
      <c r="I1161" s="701"/>
      <c r="J1161" s="700"/>
      <c r="K1161" s="702"/>
      <c r="L1161" s="700"/>
      <c r="M1161" s="702"/>
      <c r="N1161" s="700"/>
      <c r="O1161" s="702"/>
      <c r="P1161" s="700"/>
      <c r="Q1161" s="702"/>
      <c r="R1161" s="703"/>
      <c r="S1161" s="729">
        <f>IF(S1160&gt;0,S1160/(SUM(R440:R444)/1.18),0)</f>
        <v>0</v>
      </c>
      <c r="T1161" s="704"/>
      <c r="U1161" s="702"/>
      <c r="V1161" s="700"/>
      <c r="W1161" s="702"/>
      <c r="X1161" s="700"/>
      <c r="Y1161" s="702"/>
      <c r="Z1161" s="700"/>
      <c r="AA1161" s="702"/>
      <c r="AB1161" s="700"/>
      <c r="AC1161" s="702"/>
      <c r="AD1161" s="700"/>
      <c r="AE1161" s="702"/>
      <c r="AF1161" s="705"/>
      <c r="AG1161" s="729">
        <f>IF(AG1160&gt;0,AG1160/(SUM(AF440:AF444)/1.18),0)</f>
        <v>0</v>
      </c>
      <c r="AH1161" s="706"/>
      <c r="AI1161" s="729">
        <f>IF(AI1160&gt;0,AI1160/(SUM(AH440:AH444)/1.18),0)</f>
        <v>0</v>
      </c>
      <c r="AJ1161" s="65"/>
    </row>
    <row r="1162" spans="2:36" ht="12.75" customHeight="1" outlineLevel="1">
      <c r="B1162" s="82">
        <f>B1155+1</f>
        <v>64</v>
      </c>
      <c r="C1162" s="1233">
        <f>C447</f>
        <v>0</v>
      </c>
      <c r="D1162" s="1233">
        <f>D447</f>
        <v>0</v>
      </c>
      <c r="E1162" s="83" t="str">
        <f>'Terms and Turnovers'!$J$12</f>
        <v>FLIP-FLOPS</v>
      </c>
      <c r="F1162" s="68">
        <f>F447/'Terms and Turnovers'!$J79</f>
        <v>0</v>
      </c>
      <c r="G1162" s="106"/>
      <c r="H1162" s="68">
        <f>H447/'Terms and Turnovers'!$J79</f>
        <v>0</v>
      </c>
      <c r="I1162" s="106"/>
      <c r="J1162" s="68">
        <f>J447/'Terms and Turnovers'!$J79</f>
        <v>0</v>
      </c>
      <c r="K1162" s="106"/>
      <c r="L1162" s="68">
        <f>L447/'Terms and Turnovers'!$J79</f>
        <v>0</v>
      </c>
      <c r="M1162" s="106"/>
      <c r="N1162" s="68">
        <f>N447/'Terms and Turnovers'!$J79</f>
        <v>0</v>
      </c>
      <c r="O1162" s="106"/>
      <c r="P1162" s="68">
        <f>P447/'Terms and Turnovers'!$J79</f>
        <v>0</v>
      </c>
      <c r="Q1162" s="106"/>
      <c r="R1162" s="129">
        <f t="shared" si="104"/>
        <v>0</v>
      </c>
      <c r="S1162" s="106"/>
      <c r="T1162" s="68">
        <f>T447/'Terms and Turnovers'!$O79</f>
        <v>0</v>
      </c>
      <c r="U1162" s="106"/>
      <c r="V1162" s="68">
        <f>V447/'Terms and Turnovers'!$O79</f>
        <v>0</v>
      </c>
      <c r="W1162" s="106"/>
      <c r="X1162" s="68">
        <f>X447/'Terms and Turnovers'!$O79</f>
        <v>0</v>
      </c>
      <c r="Y1162" s="106"/>
      <c r="Z1162" s="68">
        <f>Z447/'Terms and Turnovers'!$O79</f>
        <v>0</v>
      </c>
      <c r="AA1162" s="106"/>
      <c r="AB1162" s="68">
        <f>AB447/'Terms and Turnovers'!$O79</f>
        <v>0</v>
      </c>
      <c r="AC1162" s="106"/>
      <c r="AD1162" s="68">
        <f>AD447/'Terms and Turnovers'!$O79</f>
        <v>0</v>
      </c>
      <c r="AE1162" s="106"/>
      <c r="AF1162" s="129">
        <f t="shared" si="105"/>
        <v>0</v>
      </c>
      <c r="AG1162" s="106"/>
      <c r="AH1162" s="130">
        <f t="shared" si="106"/>
        <v>0</v>
      </c>
      <c r="AI1162" s="106"/>
      <c r="AJ1162" s="65"/>
    </row>
    <row r="1163" spans="2:36" ht="12.75" customHeight="1" outlineLevel="1">
      <c r="B1163" s="82"/>
      <c r="C1163" s="1234"/>
      <c r="D1163" s="1234"/>
      <c r="E1163" s="84" t="str">
        <f>'Terms and Turnovers'!$T$12</f>
        <v>ORIGINALS</v>
      </c>
      <c r="F1163" s="70">
        <f>F448/'Terms and Turnovers'!$T79</f>
        <v>0</v>
      </c>
      <c r="G1163" s="728"/>
      <c r="H1163" s="70">
        <f>H448/'Terms and Turnovers'!$T79</f>
        <v>0</v>
      </c>
      <c r="I1163" s="728"/>
      <c r="J1163" s="70">
        <f>J448/'Terms and Turnovers'!$T79</f>
        <v>0</v>
      </c>
      <c r="K1163" s="728"/>
      <c r="L1163" s="70">
        <f>L448/'Terms and Turnovers'!$T79</f>
        <v>0</v>
      </c>
      <c r="M1163" s="728"/>
      <c r="N1163" s="70">
        <f>N448/'Terms and Turnovers'!$T79</f>
        <v>0</v>
      </c>
      <c r="O1163" s="728"/>
      <c r="P1163" s="70">
        <f>P448/'Terms and Turnovers'!$T79</f>
        <v>0</v>
      </c>
      <c r="Q1163" s="728"/>
      <c r="R1163" s="132">
        <f t="shared" si="104"/>
        <v>0</v>
      </c>
      <c r="S1163" s="728"/>
      <c r="T1163" s="70">
        <f>T448/'Terms and Turnovers'!$Y79</f>
        <v>0</v>
      </c>
      <c r="U1163" s="728"/>
      <c r="V1163" s="70">
        <f>V448/'Terms and Turnovers'!$Y79</f>
        <v>0</v>
      </c>
      <c r="W1163" s="728"/>
      <c r="X1163" s="70">
        <f>X448/'Terms and Turnovers'!$Y79</f>
        <v>0</v>
      </c>
      <c r="Y1163" s="728"/>
      <c r="Z1163" s="70">
        <f>Z448/'Terms and Turnovers'!$Y79</f>
        <v>0</v>
      </c>
      <c r="AA1163" s="728"/>
      <c r="AB1163" s="70">
        <f>AB448/'Terms and Turnovers'!$Y79</f>
        <v>0</v>
      </c>
      <c r="AC1163" s="728"/>
      <c r="AD1163" s="70">
        <f>AD448/'Terms and Turnovers'!$Y79</f>
        <v>0</v>
      </c>
      <c r="AE1163" s="728"/>
      <c r="AF1163" s="132">
        <f t="shared" si="105"/>
        <v>0</v>
      </c>
      <c r="AG1163" s="728"/>
      <c r="AH1163" s="133">
        <f t="shared" si="106"/>
        <v>0</v>
      </c>
      <c r="AI1163" s="728"/>
      <c r="AJ1163" s="65"/>
    </row>
    <row r="1164" spans="2:36" ht="12.75" customHeight="1" outlineLevel="1">
      <c r="B1164" s="82"/>
      <c r="C1164" s="1234"/>
      <c r="D1164" s="1234"/>
      <c r="E1164" s="84" t="str">
        <f>'Terms and Turnovers'!$AD$12</f>
        <v>ACCESSORIES</v>
      </c>
      <c r="F1164" s="70">
        <f>F449/'Terms and Turnovers'!$AD79</f>
        <v>0</v>
      </c>
      <c r="G1164" s="728"/>
      <c r="H1164" s="70">
        <f>H449/'Terms and Turnovers'!$AD79</f>
        <v>0</v>
      </c>
      <c r="I1164" s="728"/>
      <c r="J1164" s="70">
        <f>J449/'Terms and Turnovers'!$AD79</f>
        <v>0</v>
      </c>
      <c r="K1164" s="728"/>
      <c r="L1164" s="70">
        <f>L449/'Terms and Turnovers'!$AD79</f>
        <v>0</v>
      </c>
      <c r="M1164" s="728"/>
      <c r="N1164" s="70">
        <f>N449/'Terms and Turnovers'!$AD79</f>
        <v>0</v>
      </c>
      <c r="O1164" s="728"/>
      <c r="P1164" s="70">
        <f>P449/'Terms and Turnovers'!$AD79</f>
        <v>0</v>
      </c>
      <c r="Q1164" s="728"/>
      <c r="R1164" s="132">
        <f t="shared" si="104"/>
        <v>0</v>
      </c>
      <c r="S1164" s="728"/>
      <c r="T1164" s="70">
        <f>T449/'Terms and Turnovers'!$AI79</f>
        <v>0</v>
      </c>
      <c r="U1164" s="728"/>
      <c r="V1164" s="70">
        <f>V449/'Terms and Turnovers'!$AI79</f>
        <v>0</v>
      </c>
      <c r="W1164" s="728"/>
      <c r="X1164" s="70">
        <f>X449/'Terms and Turnovers'!$AI79</f>
        <v>0</v>
      </c>
      <c r="Y1164" s="728"/>
      <c r="Z1164" s="70">
        <f>Z449/'Terms and Turnovers'!$AI79</f>
        <v>0</v>
      </c>
      <c r="AA1164" s="728"/>
      <c r="AB1164" s="70">
        <f>AB449/'Terms and Turnovers'!$AI79</f>
        <v>0</v>
      </c>
      <c r="AC1164" s="728"/>
      <c r="AD1164" s="70">
        <f>AD449/'Terms and Turnovers'!$AI79</f>
        <v>0</v>
      </c>
      <c r="AE1164" s="728"/>
      <c r="AF1164" s="132">
        <f t="shared" si="105"/>
        <v>0</v>
      </c>
      <c r="AG1164" s="728"/>
      <c r="AH1164" s="133">
        <f t="shared" si="106"/>
        <v>0</v>
      </c>
      <c r="AI1164" s="728"/>
      <c r="AJ1164" s="65"/>
    </row>
    <row r="1165" spans="2:36" ht="12.75" customHeight="1" outlineLevel="1">
      <c r="B1165" s="82"/>
      <c r="C1165" s="1234"/>
      <c r="D1165" s="1234"/>
      <c r="E1165" s="84">
        <f>'Terms and Turnovers'!$AN$12</f>
        <v>0</v>
      </c>
      <c r="F1165" s="70">
        <f>F450/'Terms and Turnovers'!$AN79</f>
        <v>0</v>
      </c>
      <c r="G1165" s="728"/>
      <c r="H1165" s="70">
        <f>H450/'Terms and Turnovers'!$AN79</f>
        <v>0</v>
      </c>
      <c r="I1165" s="728"/>
      <c r="J1165" s="70">
        <f>J450/'Terms and Turnovers'!$AN79</f>
        <v>0</v>
      </c>
      <c r="K1165" s="728"/>
      <c r="L1165" s="70">
        <f>L450/'Terms and Turnovers'!$AN79</f>
        <v>0</v>
      </c>
      <c r="M1165" s="728"/>
      <c r="N1165" s="70">
        <f>N450/'Terms and Turnovers'!$AN79</f>
        <v>0</v>
      </c>
      <c r="O1165" s="728"/>
      <c r="P1165" s="70">
        <f>P450/'Terms and Turnovers'!$AN79</f>
        <v>0</v>
      </c>
      <c r="Q1165" s="728"/>
      <c r="R1165" s="132">
        <f t="shared" si="104"/>
        <v>0</v>
      </c>
      <c r="S1165" s="728"/>
      <c r="T1165" s="70">
        <f>T450/'Terms and Turnovers'!$AS79</f>
        <v>0</v>
      </c>
      <c r="U1165" s="728"/>
      <c r="V1165" s="70">
        <f>V450/'Terms and Turnovers'!$AS79</f>
        <v>0</v>
      </c>
      <c r="W1165" s="728"/>
      <c r="X1165" s="70">
        <f>X450/'Terms and Turnovers'!$AS79</f>
        <v>0</v>
      </c>
      <c r="Y1165" s="728"/>
      <c r="Z1165" s="70">
        <f>Z450/'Terms and Turnovers'!$AS79</f>
        <v>0</v>
      </c>
      <c r="AA1165" s="728"/>
      <c r="AB1165" s="70">
        <f>AB450/'Terms and Turnovers'!$AS79</f>
        <v>0</v>
      </c>
      <c r="AC1165" s="728"/>
      <c r="AD1165" s="70">
        <f>AD450/'Terms and Turnovers'!$AS79</f>
        <v>0</v>
      </c>
      <c r="AE1165" s="728"/>
      <c r="AF1165" s="132">
        <f t="shared" si="105"/>
        <v>0</v>
      </c>
      <c r="AG1165" s="728"/>
      <c r="AH1165" s="133">
        <f t="shared" si="106"/>
        <v>0</v>
      </c>
      <c r="AI1165" s="728"/>
      <c r="AJ1165" s="65"/>
    </row>
    <row r="1166" spans="2:36" ht="13.5" customHeight="1" outlineLevel="1" thickBot="1">
      <c r="B1166" s="82"/>
      <c r="C1166" s="1235"/>
      <c r="D1166" s="1235"/>
      <c r="E1166" s="85">
        <f>'Terms and Turnovers'!$AX$12</f>
        <v>0</v>
      </c>
      <c r="F1166" s="70">
        <f>F451/'Terms and Turnovers'!$AX79</f>
        <v>0</v>
      </c>
      <c r="G1166" s="111"/>
      <c r="H1166" s="70">
        <f>H451/'Terms and Turnovers'!$AX79</f>
        <v>0</v>
      </c>
      <c r="I1166" s="107"/>
      <c r="J1166" s="70">
        <f>J451/'Terms and Turnovers'!$AX79</f>
        <v>0</v>
      </c>
      <c r="K1166" s="107"/>
      <c r="L1166" s="70">
        <f>L451/'Terms and Turnovers'!$AX79</f>
        <v>0</v>
      </c>
      <c r="M1166" s="107"/>
      <c r="N1166" s="70">
        <f>N451/'Terms and Turnovers'!$AX79</f>
        <v>0</v>
      </c>
      <c r="O1166" s="107"/>
      <c r="P1166" s="70">
        <f>P451/'Terms and Turnovers'!$AX79</f>
        <v>0</v>
      </c>
      <c r="Q1166" s="107"/>
      <c r="R1166" s="135">
        <f t="shared" si="104"/>
        <v>0</v>
      </c>
      <c r="S1166" s="107"/>
      <c r="T1166" s="70">
        <f>T451/'Terms and Turnovers'!$AX$79</f>
        <v>0</v>
      </c>
      <c r="U1166" s="111"/>
      <c r="V1166" s="70">
        <f>V451/'Terms and Turnovers'!$AX$79</f>
        <v>0</v>
      </c>
      <c r="W1166" s="107"/>
      <c r="X1166" s="70">
        <f>X451/'Terms and Turnovers'!$AX$79</f>
        <v>0</v>
      </c>
      <c r="Y1166" s="107"/>
      <c r="Z1166" s="70">
        <f>Z451/'Terms and Turnovers'!$AX$79</f>
        <v>0</v>
      </c>
      <c r="AA1166" s="107"/>
      <c r="AB1166" s="70">
        <f>AB451/'Terms and Turnovers'!$AX$79</f>
        <v>0</v>
      </c>
      <c r="AC1166" s="107"/>
      <c r="AD1166" s="70">
        <f>AD451/'Terms and Turnovers'!$AX$79</f>
        <v>0</v>
      </c>
      <c r="AE1166" s="107"/>
      <c r="AF1166" s="135">
        <f t="shared" si="105"/>
        <v>0</v>
      </c>
      <c r="AG1166" s="107"/>
      <c r="AH1166" s="136">
        <f t="shared" si="106"/>
        <v>0</v>
      </c>
      <c r="AI1166" s="107"/>
      <c r="AJ1166" s="65"/>
    </row>
    <row r="1167" spans="2:36" ht="13.5" customHeight="1" outlineLevel="1">
      <c r="B1167" s="82"/>
      <c r="C1167" s="425"/>
      <c r="D1167" s="425"/>
      <c r="E1167" s="634"/>
      <c r="F1167" s="635"/>
      <c r="G1167" s="428"/>
      <c r="H1167" s="635"/>
      <c r="I1167" s="428"/>
      <c r="J1167" s="635"/>
      <c r="K1167" s="636"/>
      <c r="L1167" s="635"/>
      <c r="M1167" s="636"/>
      <c r="N1167" s="635"/>
      <c r="O1167" s="636"/>
      <c r="P1167" s="635"/>
      <c r="Q1167" s="636"/>
      <c r="R1167" s="637"/>
      <c r="S1167" s="698">
        <f>SUM(R447:R451)/1.18-(SUM(R1162:R1166)*'Mark Up Validation'!$M$175)</f>
        <v>0</v>
      </c>
      <c r="T1167" s="635"/>
      <c r="U1167" s="636"/>
      <c r="V1167" s="635"/>
      <c r="W1167" s="636"/>
      <c r="X1167" s="635"/>
      <c r="Y1167" s="636"/>
      <c r="Z1167" s="635"/>
      <c r="AA1167" s="636"/>
      <c r="AB1167" s="635"/>
      <c r="AC1167" s="636"/>
      <c r="AD1167" s="635"/>
      <c r="AE1167" s="636"/>
      <c r="AF1167" s="637"/>
      <c r="AG1167" s="698">
        <f>SUM(AF447:AF451)/1.18-SUM(AF1162:AF1166)*'Mark Up Validation'!$M$175</f>
        <v>0</v>
      </c>
      <c r="AH1167" s="638"/>
      <c r="AI1167" s="698">
        <f>SUM(AH447:AH451)/1.18-SUM(AH1162:AH1166)*'Mark Up Validation'!$M$175</f>
        <v>0</v>
      </c>
      <c r="AJ1167" s="65"/>
    </row>
    <row r="1168" spans="2:36" ht="13.5" customHeight="1" outlineLevel="1" thickBot="1">
      <c r="B1168" s="82"/>
      <c r="C1168" s="1228" t="s">
        <v>487</v>
      </c>
      <c r="D1168" s="1229"/>
      <c r="E1168" s="699"/>
      <c r="F1168" s="700"/>
      <c r="G1168" s="701"/>
      <c r="H1168" s="700"/>
      <c r="I1168" s="701"/>
      <c r="J1168" s="700"/>
      <c r="K1168" s="702"/>
      <c r="L1168" s="700"/>
      <c r="M1168" s="702"/>
      <c r="N1168" s="700"/>
      <c r="O1168" s="702"/>
      <c r="P1168" s="700"/>
      <c r="Q1168" s="702"/>
      <c r="R1168" s="703"/>
      <c r="S1168" s="729">
        <f>IF(S1167&gt;0,S1167/(SUM(R447:R451)/1.18),0)</f>
        <v>0</v>
      </c>
      <c r="T1168" s="704"/>
      <c r="U1168" s="702"/>
      <c r="V1168" s="700"/>
      <c r="W1168" s="702"/>
      <c r="X1168" s="700"/>
      <c r="Y1168" s="702"/>
      <c r="Z1168" s="700"/>
      <c r="AA1168" s="702"/>
      <c r="AB1168" s="700"/>
      <c r="AC1168" s="702"/>
      <c r="AD1168" s="700"/>
      <c r="AE1168" s="702"/>
      <c r="AF1168" s="705"/>
      <c r="AG1168" s="729">
        <f>IF(AG1167&gt;0,AG1167/(SUM(AF447:AF451)/1.18),0)</f>
        <v>0</v>
      </c>
      <c r="AH1168" s="706"/>
      <c r="AI1168" s="729">
        <f>IF(AI1167&gt;0,AI1167/(SUM(AH447:AH451)/1.18),0)</f>
        <v>0</v>
      </c>
      <c r="AJ1168" s="65"/>
    </row>
    <row r="1169" spans="2:36" ht="12.75" customHeight="1" outlineLevel="1">
      <c r="B1169" s="82">
        <f>B1162+1</f>
        <v>65</v>
      </c>
      <c r="C1169" s="1233">
        <f>C454</f>
        <v>0</v>
      </c>
      <c r="D1169" s="1233">
        <f>D454</f>
        <v>0</v>
      </c>
      <c r="E1169" s="83" t="str">
        <f>'Terms and Turnovers'!$J$12</f>
        <v>FLIP-FLOPS</v>
      </c>
      <c r="F1169" s="68">
        <f>F454/'Terms and Turnovers'!$J80</f>
        <v>0</v>
      </c>
      <c r="G1169" s="106"/>
      <c r="H1169" s="68">
        <f>H454/'Terms and Turnovers'!$J80</f>
        <v>0</v>
      </c>
      <c r="I1169" s="106"/>
      <c r="J1169" s="68">
        <f>J454/'Terms and Turnovers'!$J80</f>
        <v>0</v>
      </c>
      <c r="K1169" s="106"/>
      <c r="L1169" s="68">
        <f>L454/'Terms and Turnovers'!$J80</f>
        <v>0</v>
      </c>
      <c r="M1169" s="106"/>
      <c r="N1169" s="68">
        <f>N454/'Terms and Turnovers'!$J80</f>
        <v>0</v>
      </c>
      <c r="O1169" s="106"/>
      <c r="P1169" s="68">
        <f>P454/'Terms and Turnovers'!$J80</f>
        <v>0</v>
      </c>
      <c r="Q1169" s="106"/>
      <c r="R1169" s="129">
        <f t="shared" ref="R1169:R1256" si="107">SUM(F1169,H1169,J1169,L1169,N1169,P1169)</f>
        <v>0</v>
      </c>
      <c r="S1169" s="106"/>
      <c r="T1169" s="68">
        <f>T454/'Terms and Turnovers'!$O80</f>
        <v>0</v>
      </c>
      <c r="U1169" s="106"/>
      <c r="V1169" s="68">
        <f>V454/'Terms and Turnovers'!$O80</f>
        <v>0</v>
      </c>
      <c r="W1169" s="106"/>
      <c r="X1169" s="68">
        <f>X454/'Terms and Turnovers'!$O80</f>
        <v>0</v>
      </c>
      <c r="Y1169" s="106"/>
      <c r="Z1169" s="68">
        <f>Z454/'Terms and Turnovers'!$O80</f>
        <v>0</v>
      </c>
      <c r="AA1169" s="106"/>
      <c r="AB1169" s="68">
        <f>AB454/'Terms and Turnovers'!$O80</f>
        <v>0</v>
      </c>
      <c r="AC1169" s="106"/>
      <c r="AD1169" s="68">
        <f>AD454/'Terms and Turnovers'!$O80</f>
        <v>0</v>
      </c>
      <c r="AE1169" s="106"/>
      <c r="AF1169" s="129">
        <f t="shared" ref="AF1169:AF1256" si="108">SUM(T1169,V1169,X1169,Z1169,AB1169,AD1169)</f>
        <v>0</v>
      </c>
      <c r="AG1169" s="106"/>
      <c r="AH1169" s="130">
        <f t="shared" si="106"/>
        <v>0</v>
      </c>
      <c r="AI1169" s="106"/>
      <c r="AJ1169" s="65"/>
    </row>
    <row r="1170" spans="2:36" ht="12.75" customHeight="1" outlineLevel="1">
      <c r="B1170" s="82"/>
      <c r="C1170" s="1234"/>
      <c r="D1170" s="1234"/>
      <c r="E1170" s="84" t="str">
        <f>'Terms and Turnovers'!$T$12</f>
        <v>ORIGINALS</v>
      </c>
      <c r="F1170" s="70">
        <f>F455/'Terms and Turnovers'!$T80</f>
        <v>0</v>
      </c>
      <c r="G1170" s="728"/>
      <c r="H1170" s="70">
        <f>H455/'Terms and Turnovers'!$T80</f>
        <v>0</v>
      </c>
      <c r="I1170" s="728"/>
      <c r="J1170" s="70">
        <f>J455/'Terms and Turnovers'!$T80</f>
        <v>0</v>
      </c>
      <c r="K1170" s="728"/>
      <c r="L1170" s="70">
        <f>L455/'Terms and Turnovers'!$T80</f>
        <v>0</v>
      </c>
      <c r="M1170" s="728"/>
      <c r="N1170" s="70">
        <f>N455/'Terms and Turnovers'!$T80</f>
        <v>0</v>
      </c>
      <c r="O1170" s="728"/>
      <c r="P1170" s="70">
        <f>P455/'Terms and Turnovers'!$T80</f>
        <v>0</v>
      </c>
      <c r="Q1170" s="728"/>
      <c r="R1170" s="132">
        <f t="shared" si="107"/>
        <v>0</v>
      </c>
      <c r="S1170" s="728"/>
      <c r="T1170" s="70">
        <f>T455/'Terms and Turnovers'!$Y80</f>
        <v>0</v>
      </c>
      <c r="U1170" s="728"/>
      <c r="V1170" s="70">
        <f>V455/'Terms and Turnovers'!$Y80</f>
        <v>0</v>
      </c>
      <c r="W1170" s="728"/>
      <c r="X1170" s="70">
        <f>X455/'Terms and Turnovers'!$Y80</f>
        <v>0</v>
      </c>
      <c r="Y1170" s="728"/>
      <c r="Z1170" s="70">
        <f>Z455/'Terms and Turnovers'!$Y80</f>
        <v>0</v>
      </c>
      <c r="AA1170" s="728"/>
      <c r="AB1170" s="70">
        <f>AB455/'Terms and Turnovers'!$Y80</f>
        <v>0</v>
      </c>
      <c r="AC1170" s="728"/>
      <c r="AD1170" s="70">
        <f>AD455/'Terms and Turnovers'!$Y80</f>
        <v>0</v>
      </c>
      <c r="AE1170" s="728"/>
      <c r="AF1170" s="132">
        <f t="shared" si="108"/>
        <v>0</v>
      </c>
      <c r="AG1170" s="728"/>
      <c r="AH1170" s="133">
        <f t="shared" ref="AH1170:AH1257" si="109">SUM(AF1170,R1170)</f>
        <v>0</v>
      </c>
      <c r="AI1170" s="728"/>
      <c r="AJ1170" s="65"/>
    </row>
    <row r="1171" spans="2:36" ht="12.75" customHeight="1" outlineLevel="1">
      <c r="B1171" s="82"/>
      <c r="C1171" s="1234"/>
      <c r="D1171" s="1234"/>
      <c r="E1171" s="84" t="str">
        <f>'Terms and Turnovers'!$AD$12</f>
        <v>ACCESSORIES</v>
      </c>
      <c r="F1171" s="70">
        <f>F456/'Terms and Turnovers'!$AD80</f>
        <v>0</v>
      </c>
      <c r="G1171" s="728"/>
      <c r="H1171" s="70">
        <f>H456/'Terms and Turnovers'!$AD80</f>
        <v>0</v>
      </c>
      <c r="I1171" s="728"/>
      <c r="J1171" s="70">
        <f>J456/'Terms and Turnovers'!$AD80</f>
        <v>0</v>
      </c>
      <c r="K1171" s="728"/>
      <c r="L1171" s="70">
        <f>L456/'Terms and Turnovers'!$AD80</f>
        <v>0</v>
      </c>
      <c r="M1171" s="728"/>
      <c r="N1171" s="70">
        <f>N456/'Terms and Turnovers'!$AD80</f>
        <v>0</v>
      </c>
      <c r="O1171" s="728"/>
      <c r="P1171" s="70">
        <f>P456/'Terms and Turnovers'!$AD80</f>
        <v>0</v>
      </c>
      <c r="Q1171" s="728"/>
      <c r="R1171" s="132">
        <f t="shared" si="107"/>
        <v>0</v>
      </c>
      <c r="S1171" s="728"/>
      <c r="T1171" s="70">
        <f>T456/'Terms and Turnovers'!$AI80</f>
        <v>0</v>
      </c>
      <c r="U1171" s="728"/>
      <c r="V1171" s="70">
        <f>V456/'Terms and Turnovers'!$AI80</f>
        <v>0</v>
      </c>
      <c r="W1171" s="728"/>
      <c r="X1171" s="70">
        <f>X456/'Terms and Turnovers'!$AI80</f>
        <v>0</v>
      </c>
      <c r="Y1171" s="728"/>
      <c r="Z1171" s="70">
        <f>Z456/'Terms and Turnovers'!$AI80</f>
        <v>0</v>
      </c>
      <c r="AA1171" s="728"/>
      <c r="AB1171" s="70">
        <f>AB456/'Terms and Turnovers'!$AI80</f>
        <v>0</v>
      </c>
      <c r="AC1171" s="728"/>
      <c r="AD1171" s="70">
        <f>AD456/'Terms and Turnovers'!$AI80</f>
        <v>0</v>
      </c>
      <c r="AE1171" s="728"/>
      <c r="AF1171" s="132">
        <f t="shared" si="108"/>
        <v>0</v>
      </c>
      <c r="AG1171" s="728"/>
      <c r="AH1171" s="133">
        <f t="shared" si="109"/>
        <v>0</v>
      </c>
      <c r="AI1171" s="728"/>
      <c r="AJ1171" s="65"/>
    </row>
    <row r="1172" spans="2:36" ht="12.75" customHeight="1" outlineLevel="1">
      <c r="B1172" s="82"/>
      <c r="C1172" s="1234"/>
      <c r="D1172" s="1234"/>
      <c r="E1172" s="84">
        <f>'Terms and Turnovers'!$AN$12</f>
        <v>0</v>
      </c>
      <c r="F1172" s="70">
        <f>F457/'Terms and Turnovers'!$AN80</f>
        <v>0</v>
      </c>
      <c r="G1172" s="728"/>
      <c r="H1172" s="70">
        <f>H457/'Terms and Turnovers'!$AN80</f>
        <v>0</v>
      </c>
      <c r="I1172" s="728"/>
      <c r="J1172" s="70">
        <f>J457/'Terms and Turnovers'!$AN80</f>
        <v>0</v>
      </c>
      <c r="K1172" s="728"/>
      <c r="L1172" s="70">
        <f>L457/'Terms and Turnovers'!$AN80</f>
        <v>0</v>
      </c>
      <c r="M1172" s="728"/>
      <c r="N1172" s="70">
        <f>N457/'Terms and Turnovers'!$AN80</f>
        <v>0</v>
      </c>
      <c r="O1172" s="728"/>
      <c r="P1172" s="70">
        <f>P457/'Terms and Turnovers'!$AN80</f>
        <v>0</v>
      </c>
      <c r="Q1172" s="728"/>
      <c r="R1172" s="132">
        <f t="shared" si="107"/>
        <v>0</v>
      </c>
      <c r="S1172" s="728"/>
      <c r="T1172" s="70">
        <f>T457/'Terms and Turnovers'!$AS80</f>
        <v>0</v>
      </c>
      <c r="U1172" s="728"/>
      <c r="V1172" s="70">
        <f>V457/'Terms and Turnovers'!$AS80</f>
        <v>0</v>
      </c>
      <c r="W1172" s="728"/>
      <c r="X1172" s="70">
        <f>X457/'Terms and Turnovers'!$AS80</f>
        <v>0</v>
      </c>
      <c r="Y1172" s="728"/>
      <c r="Z1172" s="70">
        <f>Z457/'Terms and Turnovers'!$AS80</f>
        <v>0</v>
      </c>
      <c r="AA1172" s="728"/>
      <c r="AB1172" s="70">
        <f>AB457/'Terms and Turnovers'!$AS80</f>
        <v>0</v>
      </c>
      <c r="AC1172" s="728"/>
      <c r="AD1172" s="70">
        <f>AD457/'Terms and Turnovers'!$AS80</f>
        <v>0</v>
      </c>
      <c r="AE1172" s="728"/>
      <c r="AF1172" s="132">
        <f t="shared" si="108"/>
        <v>0</v>
      </c>
      <c r="AG1172" s="728"/>
      <c r="AH1172" s="133">
        <f t="shared" si="109"/>
        <v>0</v>
      </c>
      <c r="AI1172" s="728"/>
      <c r="AJ1172" s="65"/>
    </row>
    <row r="1173" spans="2:36" ht="13.5" customHeight="1" outlineLevel="1" thickBot="1">
      <c r="B1173" s="82"/>
      <c r="C1173" s="1235"/>
      <c r="D1173" s="1235"/>
      <c r="E1173" s="85">
        <f>'Terms and Turnovers'!$AX$12</f>
        <v>0</v>
      </c>
      <c r="F1173" s="70">
        <f>F458/'Terms and Turnovers'!$AX80</f>
        <v>0</v>
      </c>
      <c r="G1173" s="111"/>
      <c r="H1173" s="70">
        <f>H458/'Terms and Turnovers'!$AX80</f>
        <v>0</v>
      </c>
      <c r="I1173" s="107"/>
      <c r="J1173" s="70">
        <f>J458/'Terms and Turnovers'!$AX80</f>
        <v>0</v>
      </c>
      <c r="K1173" s="107"/>
      <c r="L1173" s="70">
        <f>L458/'Terms and Turnovers'!$AX80</f>
        <v>0</v>
      </c>
      <c r="M1173" s="107"/>
      <c r="N1173" s="70">
        <f>N458/'Terms and Turnovers'!$AX80</f>
        <v>0</v>
      </c>
      <c r="O1173" s="107"/>
      <c r="P1173" s="70">
        <f>P458/'Terms and Turnovers'!$AX80</f>
        <v>0</v>
      </c>
      <c r="Q1173" s="107"/>
      <c r="R1173" s="135">
        <f t="shared" si="107"/>
        <v>0</v>
      </c>
      <c r="S1173" s="107"/>
      <c r="T1173" s="70">
        <f>T458/'Terms and Turnovers'!$AX$80</f>
        <v>0</v>
      </c>
      <c r="U1173" s="111"/>
      <c r="V1173" s="70">
        <f>V458/'Terms and Turnovers'!$AX$80</f>
        <v>0</v>
      </c>
      <c r="W1173" s="107"/>
      <c r="X1173" s="70">
        <f>X458/'Terms and Turnovers'!$AX$80</f>
        <v>0</v>
      </c>
      <c r="Y1173" s="107"/>
      <c r="Z1173" s="70">
        <f>Z458/'Terms and Turnovers'!$AX$80</f>
        <v>0</v>
      </c>
      <c r="AA1173" s="107"/>
      <c r="AB1173" s="70">
        <f>AB458/'Terms and Turnovers'!$AX$80</f>
        <v>0</v>
      </c>
      <c r="AC1173" s="107"/>
      <c r="AD1173" s="70">
        <f>AD458/'Terms and Turnovers'!$AX$80</f>
        <v>0</v>
      </c>
      <c r="AE1173" s="107"/>
      <c r="AF1173" s="135">
        <f t="shared" si="108"/>
        <v>0</v>
      </c>
      <c r="AG1173" s="107"/>
      <c r="AH1173" s="136">
        <f t="shared" si="109"/>
        <v>0</v>
      </c>
      <c r="AI1173" s="107"/>
      <c r="AJ1173" s="65"/>
    </row>
    <row r="1174" spans="2:36" ht="13.5" customHeight="1" outlineLevel="1">
      <c r="B1174" s="82"/>
      <c r="C1174" s="425"/>
      <c r="D1174" s="425"/>
      <c r="E1174" s="634"/>
      <c r="F1174" s="635"/>
      <c r="G1174" s="428"/>
      <c r="H1174" s="635"/>
      <c r="I1174" s="428"/>
      <c r="J1174" s="635"/>
      <c r="K1174" s="636"/>
      <c r="L1174" s="635"/>
      <c r="M1174" s="636"/>
      <c r="N1174" s="635"/>
      <c r="O1174" s="636"/>
      <c r="P1174" s="635"/>
      <c r="Q1174" s="636"/>
      <c r="R1174" s="637"/>
      <c r="S1174" s="698">
        <f>SUM(R454:R458)/1.18-(SUM(R1169:R1173)*'Mark Up Validation'!$M$175)</f>
        <v>0</v>
      </c>
      <c r="T1174" s="635"/>
      <c r="U1174" s="636"/>
      <c r="V1174" s="635"/>
      <c r="W1174" s="636"/>
      <c r="X1174" s="635"/>
      <c r="Y1174" s="636"/>
      <c r="Z1174" s="635"/>
      <c r="AA1174" s="636"/>
      <c r="AB1174" s="635"/>
      <c r="AC1174" s="636"/>
      <c r="AD1174" s="635"/>
      <c r="AE1174" s="636"/>
      <c r="AF1174" s="637"/>
      <c r="AG1174" s="698">
        <f>SUM(AF454:AF458)/1.18-SUM(AF1169:AF1173)*'Mark Up Validation'!$M$175</f>
        <v>0</v>
      </c>
      <c r="AH1174" s="638"/>
      <c r="AI1174" s="698">
        <f>SUM(AH454:AH458)/1.18-SUM(AH1169:AH1173)*'Mark Up Validation'!$M$175</f>
        <v>0</v>
      </c>
      <c r="AJ1174" s="65"/>
    </row>
    <row r="1175" spans="2:36" ht="13.5" customHeight="1" outlineLevel="1" thickBot="1">
      <c r="B1175" s="82"/>
      <c r="C1175" s="1228" t="s">
        <v>487</v>
      </c>
      <c r="D1175" s="1229"/>
      <c r="E1175" s="699"/>
      <c r="F1175" s="700"/>
      <c r="G1175" s="701"/>
      <c r="H1175" s="700"/>
      <c r="I1175" s="701"/>
      <c r="J1175" s="700"/>
      <c r="K1175" s="702"/>
      <c r="L1175" s="700"/>
      <c r="M1175" s="702"/>
      <c r="N1175" s="700"/>
      <c r="O1175" s="702"/>
      <c r="P1175" s="700"/>
      <c r="Q1175" s="702"/>
      <c r="R1175" s="703"/>
      <c r="S1175" s="729">
        <f>IF(S1174&gt;0,S1174/(SUM(R454:R458)/1.18),0)</f>
        <v>0</v>
      </c>
      <c r="T1175" s="704"/>
      <c r="U1175" s="702"/>
      <c r="V1175" s="700"/>
      <c r="W1175" s="702"/>
      <c r="X1175" s="700"/>
      <c r="Y1175" s="702"/>
      <c r="Z1175" s="700"/>
      <c r="AA1175" s="702"/>
      <c r="AB1175" s="700"/>
      <c r="AC1175" s="702"/>
      <c r="AD1175" s="700"/>
      <c r="AE1175" s="702"/>
      <c r="AF1175" s="705"/>
      <c r="AG1175" s="729">
        <f>IF(AG1174&gt;0,AG1174/(SUM(AF454:AF458)/1.18),0)</f>
        <v>0</v>
      </c>
      <c r="AH1175" s="706"/>
      <c r="AI1175" s="729">
        <f>IF(AI1174&gt;0,AI1174/(SUM(AH454:AH458)/1.18),0)</f>
        <v>0</v>
      </c>
      <c r="AJ1175" s="65"/>
    </row>
    <row r="1176" spans="2:36" ht="12.75" customHeight="1" outlineLevel="1">
      <c r="B1176" s="82">
        <f>B1169+1</f>
        <v>66</v>
      </c>
      <c r="C1176" s="1233">
        <f>C461</f>
        <v>0</v>
      </c>
      <c r="D1176" s="1233">
        <f>D461</f>
        <v>0</v>
      </c>
      <c r="E1176" s="83" t="str">
        <f>'Terms and Turnovers'!$J$12</f>
        <v>FLIP-FLOPS</v>
      </c>
      <c r="F1176" s="68">
        <f>F461/'Terms and Turnovers'!$J81</f>
        <v>0</v>
      </c>
      <c r="G1176" s="106"/>
      <c r="H1176" s="68">
        <f>H461/'Terms and Turnovers'!$J81</f>
        <v>0</v>
      </c>
      <c r="I1176" s="106"/>
      <c r="J1176" s="68">
        <f>J461/'Terms and Turnovers'!$J81</f>
        <v>0</v>
      </c>
      <c r="K1176" s="106"/>
      <c r="L1176" s="68">
        <f>L461/'Terms and Turnovers'!$J81</f>
        <v>0</v>
      </c>
      <c r="M1176" s="106"/>
      <c r="N1176" s="68">
        <f>N461/'Terms and Turnovers'!$J81</f>
        <v>0</v>
      </c>
      <c r="O1176" s="106"/>
      <c r="P1176" s="68">
        <f>P461/'Terms and Turnovers'!$J81</f>
        <v>0</v>
      </c>
      <c r="Q1176" s="106"/>
      <c r="R1176" s="129">
        <f t="shared" si="107"/>
        <v>0</v>
      </c>
      <c r="S1176" s="106"/>
      <c r="T1176" s="68">
        <f>T461/'Terms and Turnovers'!$O81</f>
        <v>0</v>
      </c>
      <c r="U1176" s="106"/>
      <c r="V1176" s="68">
        <f>V461/'Terms and Turnovers'!$O81</f>
        <v>0</v>
      </c>
      <c r="W1176" s="106"/>
      <c r="X1176" s="68">
        <f>X461/'Terms and Turnovers'!$O81</f>
        <v>0</v>
      </c>
      <c r="Y1176" s="106"/>
      <c r="Z1176" s="68">
        <f>Z461/'Terms and Turnovers'!$O81</f>
        <v>0</v>
      </c>
      <c r="AA1176" s="106"/>
      <c r="AB1176" s="68">
        <f>AB461/'Terms and Turnovers'!$O81</f>
        <v>0</v>
      </c>
      <c r="AC1176" s="106"/>
      <c r="AD1176" s="68">
        <f>AD461/'Terms and Turnovers'!$O81</f>
        <v>0</v>
      </c>
      <c r="AE1176" s="106"/>
      <c r="AF1176" s="129">
        <f t="shared" si="108"/>
        <v>0</v>
      </c>
      <c r="AG1176" s="106"/>
      <c r="AH1176" s="130">
        <f t="shared" si="109"/>
        <v>0</v>
      </c>
      <c r="AI1176" s="106"/>
      <c r="AJ1176" s="65"/>
    </row>
    <row r="1177" spans="2:36" ht="12.75" customHeight="1" outlineLevel="1">
      <c r="B1177" s="82"/>
      <c r="C1177" s="1234"/>
      <c r="D1177" s="1234"/>
      <c r="E1177" s="84" t="str">
        <f>'Terms and Turnovers'!$T$12</f>
        <v>ORIGINALS</v>
      </c>
      <c r="F1177" s="70">
        <f>F462/'Terms and Turnovers'!$T81</f>
        <v>0</v>
      </c>
      <c r="G1177" s="728"/>
      <c r="H1177" s="70">
        <f>H462/'Terms and Turnovers'!$T81</f>
        <v>0</v>
      </c>
      <c r="I1177" s="728"/>
      <c r="J1177" s="70">
        <f>J462/'Terms and Turnovers'!$T81</f>
        <v>0</v>
      </c>
      <c r="K1177" s="728"/>
      <c r="L1177" s="70">
        <f>L462/'Terms and Turnovers'!$T81</f>
        <v>0</v>
      </c>
      <c r="M1177" s="728"/>
      <c r="N1177" s="70">
        <f>N462/'Terms and Turnovers'!$T81</f>
        <v>0</v>
      </c>
      <c r="O1177" s="728"/>
      <c r="P1177" s="70">
        <f>P462/'Terms and Turnovers'!$T81</f>
        <v>0</v>
      </c>
      <c r="Q1177" s="728"/>
      <c r="R1177" s="132">
        <f t="shared" si="107"/>
        <v>0</v>
      </c>
      <c r="S1177" s="728"/>
      <c r="T1177" s="70">
        <f>T462/'Terms and Turnovers'!$Y81</f>
        <v>0</v>
      </c>
      <c r="U1177" s="728"/>
      <c r="V1177" s="70">
        <f>V462/'Terms and Turnovers'!$Y81</f>
        <v>0</v>
      </c>
      <c r="W1177" s="728"/>
      <c r="X1177" s="70">
        <f>X462/'Terms and Turnovers'!$Y81</f>
        <v>0</v>
      </c>
      <c r="Y1177" s="728"/>
      <c r="Z1177" s="70">
        <f>Z462/'Terms and Turnovers'!$Y81</f>
        <v>0</v>
      </c>
      <c r="AA1177" s="728"/>
      <c r="AB1177" s="70">
        <f>AB462/'Terms and Turnovers'!$Y81</f>
        <v>0</v>
      </c>
      <c r="AC1177" s="728"/>
      <c r="AD1177" s="70">
        <f>AD462/'Terms and Turnovers'!$Y81</f>
        <v>0</v>
      </c>
      <c r="AE1177" s="728"/>
      <c r="AF1177" s="132">
        <f t="shared" si="108"/>
        <v>0</v>
      </c>
      <c r="AG1177" s="728"/>
      <c r="AH1177" s="133">
        <f t="shared" si="109"/>
        <v>0</v>
      </c>
      <c r="AI1177" s="728"/>
      <c r="AJ1177" s="65"/>
    </row>
    <row r="1178" spans="2:36" ht="12.75" customHeight="1" outlineLevel="1">
      <c r="B1178" s="82"/>
      <c r="C1178" s="1234"/>
      <c r="D1178" s="1234"/>
      <c r="E1178" s="84" t="str">
        <f>'Terms and Turnovers'!$AD$12</f>
        <v>ACCESSORIES</v>
      </c>
      <c r="F1178" s="70">
        <f>F463/'Terms and Turnovers'!$AD81</f>
        <v>0</v>
      </c>
      <c r="G1178" s="728"/>
      <c r="H1178" s="70">
        <f>H463/'Terms and Turnovers'!$AD81</f>
        <v>0</v>
      </c>
      <c r="I1178" s="728"/>
      <c r="J1178" s="70">
        <f>J463/'Terms and Turnovers'!$AD81</f>
        <v>0</v>
      </c>
      <c r="K1178" s="728"/>
      <c r="L1178" s="70">
        <f>L463/'Terms and Turnovers'!$AD81</f>
        <v>0</v>
      </c>
      <c r="M1178" s="728"/>
      <c r="N1178" s="70">
        <f>N463/'Terms and Turnovers'!$AD81</f>
        <v>0</v>
      </c>
      <c r="O1178" s="728"/>
      <c r="P1178" s="70">
        <f>P463/'Terms and Turnovers'!$AD81</f>
        <v>0</v>
      </c>
      <c r="Q1178" s="728"/>
      <c r="R1178" s="132">
        <f t="shared" si="107"/>
        <v>0</v>
      </c>
      <c r="S1178" s="728"/>
      <c r="T1178" s="70">
        <f>T463/'Terms and Turnovers'!$AI81</f>
        <v>0</v>
      </c>
      <c r="U1178" s="728"/>
      <c r="V1178" s="70">
        <f>V463/'Terms and Turnovers'!$AI81</f>
        <v>0</v>
      </c>
      <c r="W1178" s="728"/>
      <c r="X1178" s="70">
        <f>X463/'Terms and Turnovers'!$AI81</f>
        <v>0</v>
      </c>
      <c r="Y1178" s="728"/>
      <c r="Z1178" s="70">
        <f>Z463/'Terms and Turnovers'!$AI81</f>
        <v>0</v>
      </c>
      <c r="AA1178" s="728"/>
      <c r="AB1178" s="70">
        <f>AB463/'Terms and Turnovers'!$AI81</f>
        <v>0</v>
      </c>
      <c r="AC1178" s="728"/>
      <c r="AD1178" s="70">
        <f>AD463/'Terms and Turnovers'!$AI81</f>
        <v>0</v>
      </c>
      <c r="AE1178" s="728"/>
      <c r="AF1178" s="132">
        <f t="shared" si="108"/>
        <v>0</v>
      </c>
      <c r="AG1178" s="728"/>
      <c r="AH1178" s="133">
        <f t="shared" si="109"/>
        <v>0</v>
      </c>
      <c r="AI1178" s="728"/>
      <c r="AJ1178" s="65"/>
    </row>
    <row r="1179" spans="2:36" ht="12.75" customHeight="1" outlineLevel="1">
      <c r="B1179" s="82"/>
      <c r="C1179" s="1234"/>
      <c r="D1179" s="1234"/>
      <c r="E1179" s="84">
        <f>'Terms and Turnovers'!$AN$12</f>
        <v>0</v>
      </c>
      <c r="F1179" s="70">
        <f>F464/'Terms and Turnovers'!$AN81</f>
        <v>0</v>
      </c>
      <c r="G1179" s="728"/>
      <c r="H1179" s="70">
        <f>H464/'Terms and Turnovers'!$AN81</f>
        <v>0</v>
      </c>
      <c r="I1179" s="728"/>
      <c r="J1179" s="70">
        <f>J464/'Terms and Turnovers'!$AN81</f>
        <v>0</v>
      </c>
      <c r="K1179" s="728"/>
      <c r="L1179" s="70">
        <f>L464/'Terms and Turnovers'!$AN81</f>
        <v>0</v>
      </c>
      <c r="M1179" s="728"/>
      <c r="N1179" s="70">
        <f>N464/'Terms and Turnovers'!$AN81</f>
        <v>0</v>
      </c>
      <c r="O1179" s="728"/>
      <c r="P1179" s="70">
        <f>P464/'Terms and Turnovers'!$AN81</f>
        <v>0</v>
      </c>
      <c r="Q1179" s="728"/>
      <c r="R1179" s="132">
        <f t="shared" si="107"/>
        <v>0</v>
      </c>
      <c r="S1179" s="728"/>
      <c r="T1179" s="70">
        <f>T464/'Terms and Turnovers'!$AS81</f>
        <v>0</v>
      </c>
      <c r="U1179" s="728"/>
      <c r="V1179" s="70">
        <f>V464/'Terms and Turnovers'!$AS81</f>
        <v>0</v>
      </c>
      <c r="W1179" s="728"/>
      <c r="X1179" s="70">
        <f>X464/'Terms and Turnovers'!$AS81</f>
        <v>0</v>
      </c>
      <c r="Y1179" s="728"/>
      <c r="Z1179" s="70">
        <f>Z464/'Terms and Turnovers'!$AS81</f>
        <v>0</v>
      </c>
      <c r="AA1179" s="728"/>
      <c r="AB1179" s="70">
        <f>AB464/'Terms and Turnovers'!$AS81</f>
        <v>0</v>
      </c>
      <c r="AC1179" s="728"/>
      <c r="AD1179" s="70">
        <f>AD464/'Terms and Turnovers'!$AS81</f>
        <v>0</v>
      </c>
      <c r="AE1179" s="728"/>
      <c r="AF1179" s="132">
        <f t="shared" si="108"/>
        <v>0</v>
      </c>
      <c r="AG1179" s="728"/>
      <c r="AH1179" s="133">
        <f t="shared" si="109"/>
        <v>0</v>
      </c>
      <c r="AI1179" s="728"/>
      <c r="AJ1179" s="65"/>
    </row>
    <row r="1180" spans="2:36" ht="13.5" customHeight="1" outlineLevel="1" thickBot="1">
      <c r="B1180" s="82"/>
      <c r="C1180" s="1235"/>
      <c r="D1180" s="1235"/>
      <c r="E1180" s="85">
        <f>'Terms and Turnovers'!$AX$12</f>
        <v>0</v>
      </c>
      <c r="F1180" s="70">
        <f>F465/'Terms and Turnovers'!$AX81</f>
        <v>0</v>
      </c>
      <c r="G1180" s="111"/>
      <c r="H1180" s="70">
        <f>H465/'Terms and Turnovers'!$AX81</f>
        <v>0</v>
      </c>
      <c r="I1180" s="107"/>
      <c r="J1180" s="70">
        <f>J465/'Terms and Turnovers'!$AX81</f>
        <v>0</v>
      </c>
      <c r="K1180" s="107"/>
      <c r="L1180" s="70">
        <f>L465/'Terms and Turnovers'!$AX81</f>
        <v>0</v>
      </c>
      <c r="M1180" s="107"/>
      <c r="N1180" s="70">
        <f>N465/'Terms and Turnovers'!$AX81</f>
        <v>0</v>
      </c>
      <c r="O1180" s="107"/>
      <c r="P1180" s="70">
        <f>P465/'Terms and Turnovers'!$AX81</f>
        <v>0</v>
      </c>
      <c r="Q1180" s="107"/>
      <c r="R1180" s="135">
        <f t="shared" si="107"/>
        <v>0</v>
      </c>
      <c r="S1180" s="107"/>
      <c r="T1180" s="70">
        <f>T465/'Terms and Turnovers'!$AX$81</f>
        <v>0</v>
      </c>
      <c r="U1180" s="111"/>
      <c r="V1180" s="70">
        <f>V465/'Terms and Turnovers'!$AX$81</f>
        <v>0</v>
      </c>
      <c r="W1180" s="107"/>
      <c r="X1180" s="70">
        <f>X465/'Terms and Turnovers'!$AX$81</f>
        <v>0</v>
      </c>
      <c r="Y1180" s="107"/>
      <c r="Z1180" s="70">
        <f>Z465/'Terms and Turnovers'!$AX$81</f>
        <v>0</v>
      </c>
      <c r="AA1180" s="107"/>
      <c r="AB1180" s="70">
        <f>AB465/'Terms and Turnovers'!$AX$81</f>
        <v>0</v>
      </c>
      <c r="AC1180" s="107"/>
      <c r="AD1180" s="70">
        <f>AD465/'Terms and Turnovers'!$AX$81</f>
        <v>0</v>
      </c>
      <c r="AE1180" s="107"/>
      <c r="AF1180" s="135">
        <f t="shared" si="108"/>
        <v>0</v>
      </c>
      <c r="AG1180" s="107"/>
      <c r="AH1180" s="136">
        <f t="shared" si="109"/>
        <v>0</v>
      </c>
      <c r="AI1180" s="107"/>
      <c r="AJ1180" s="65"/>
    </row>
    <row r="1181" spans="2:36" ht="13.5" customHeight="1" outlineLevel="1">
      <c r="B1181" s="82"/>
      <c r="C1181" s="425"/>
      <c r="D1181" s="425"/>
      <c r="E1181" s="634"/>
      <c r="F1181" s="635"/>
      <c r="G1181" s="428"/>
      <c r="H1181" s="635"/>
      <c r="I1181" s="428"/>
      <c r="J1181" s="635"/>
      <c r="K1181" s="636"/>
      <c r="L1181" s="635"/>
      <c r="M1181" s="636"/>
      <c r="N1181" s="635"/>
      <c r="O1181" s="636"/>
      <c r="P1181" s="635"/>
      <c r="Q1181" s="636"/>
      <c r="R1181" s="637"/>
      <c r="S1181" s="698">
        <f>SUM(R461:R465)/1.18-(SUM(R1176:R1180)*'Mark Up Validation'!$M$175)</f>
        <v>0</v>
      </c>
      <c r="T1181" s="635"/>
      <c r="U1181" s="636"/>
      <c r="V1181" s="635"/>
      <c r="W1181" s="636"/>
      <c r="X1181" s="635"/>
      <c r="Y1181" s="636"/>
      <c r="Z1181" s="635"/>
      <c r="AA1181" s="636"/>
      <c r="AB1181" s="635"/>
      <c r="AC1181" s="636"/>
      <c r="AD1181" s="635"/>
      <c r="AE1181" s="636"/>
      <c r="AF1181" s="637"/>
      <c r="AG1181" s="698">
        <f>SUM(AF461:AF465)/1.18-SUM(AF1176:AF1180)*'Mark Up Validation'!$M$175</f>
        <v>0</v>
      </c>
      <c r="AH1181" s="638"/>
      <c r="AI1181" s="698">
        <f>SUM(AH461:AH465)/1.18-SUM(AH1176:AH1180)*'Mark Up Validation'!$M$175</f>
        <v>0</v>
      </c>
      <c r="AJ1181" s="65"/>
    </row>
    <row r="1182" spans="2:36" ht="13.5" customHeight="1" outlineLevel="1" thickBot="1">
      <c r="B1182" s="82"/>
      <c r="C1182" s="1228" t="s">
        <v>487</v>
      </c>
      <c r="D1182" s="1229"/>
      <c r="E1182" s="699"/>
      <c r="F1182" s="700"/>
      <c r="G1182" s="701"/>
      <c r="H1182" s="700"/>
      <c r="I1182" s="701"/>
      <c r="J1182" s="700"/>
      <c r="K1182" s="702"/>
      <c r="L1182" s="700"/>
      <c r="M1182" s="702"/>
      <c r="N1182" s="700"/>
      <c r="O1182" s="702"/>
      <c r="P1182" s="700"/>
      <c r="Q1182" s="702"/>
      <c r="R1182" s="703"/>
      <c r="S1182" s="824">
        <f>IF(S1181&gt;0,S1181/(SUM(R461:R465)/1.18),0)</f>
        <v>0</v>
      </c>
      <c r="T1182" s="827"/>
      <c r="U1182" s="828"/>
      <c r="V1182" s="827"/>
      <c r="W1182" s="828"/>
      <c r="X1182" s="827"/>
      <c r="Y1182" s="828"/>
      <c r="Z1182" s="827"/>
      <c r="AA1182" s="828"/>
      <c r="AB1182" s="827"/>
      <c r="AC1182" s="828"/>
      <c r="AD1182" s="827"/>
      <c r="AE1182" s="702"/>
      <c r="AF1182" s="705"/>
      <c r="AG1182" s="729">
        <f>IF(AG1181&gt;0,AG1181/(SUM(AF461:AF465)/1.18),0)</f>
        <v>0</v>
      </c>
      <c r="AH1182" s="706"/>
      <c r="AI1182" s="729">
        <f>IF(AI1181&gt;0,AI1181/(SUM(AH461:AH465)/1.18),0)</f>
        <v>0</v>
      </c>
      <c r="AJ1182" s="65"/>
    </row>
    <row r="1183" spans="2:36" ht="12.75" customHeight="1" outlineLevel="1">
      <c r="B1183" s="82">
        <f>B1176+1</f>
        <v>67</v>
      </c>
      <c r="C1183" s="1230">
        <f>C468</f>
        <v>0</v>
      </c>
      <c r="D1183" s="1230">
        <f>D468</f>
        <v>0</v>
      </c>
      <c r="E1183" s="83" t="str">
        <f>'Terms and Turnovers'!$J$12</f>
        <v>FLIP-FLOPS</v>
      </c>
      <c r="F1183" s="68">
        <f>F468/'Terms and Turnovers'!$J82</f>
        <v>0</v>
      </c>
      <c r="G1183" s="106"/>
      <c r="H1183" s="68">
        <f>H468/'Terms and Turnovers'!$J82</f>
        <v>0</v>
      </c>
      <c r="I1183" s="106"/>
      <c r="J1183" s="818">
        <f>(J468/1.18/1.09)*0.9</f>
        <v>0</v>
      </c>
      <c r="K1183" s="819"/>
      <c r="L1183" s="818">
        <f>(L468/1.18/1.09)*0.9</f>
        <v>0</v>
      </c>
      <c r="M1183" s="819"/>
      <c r="N1183" s="818">
        <f>(N468/1.18/1.09)*0.9</f>
        <v>0</v>
      </c>
      <c r="O1183" s="819"/>
      <c r="P1183" s="818">
        <f>(P468/1.18/1.09)*0.9</f>
        <v>0</v>
      </c>
      <c r="Q1183" s="106"/>
      <c r="R1183" s="129">
        <f t="shared" si="107"/>
        <v>0</v>
      </c>
      <c r="S1183" s="106"/>
      <c r="T1183" s="818">
        <f>(T468/1.18/1.09)*0.9</f>
        <v>0</v>
      </c>
      <c r="U1183" s="830"/>
      <c r="V1183" s="818">
        <f>(V468/1.18/1.09)*0.9</f>
        <v>0</v>
      </c>
      <c r="W1183" s="830"/>
      <c r="X1183" s="818">
        <f>(X468/1.18/1.09)*0.9</f>
        <v>0</v>
      </c>
      <c r="Y1183" s="830"/>
      <c r="Z1183" s="829">
        <f>Z468/'Terms and Turnovers'!$O82</f>
        <v>0</v>
      </c>
      <c r="AA1183" s="830"/>
      <c r="AB1183" s="829">
        <f>AB468/'Terms and Turnovers'!$O82</f>
        <v>0</v>
      </c>
      <c r="AC1183" s="830"/>
      <c r="AD1183" s="829">
        <f>AD468/'Terms and Turnovers'!$O82</f>
        <v>0</v>
      </c>
      <c r="AE1183" s="106"/>
      <c r="AF1183" s="129">
        <f t="shared" si="108"/>
        <v>0</v>
      </c>
      <c r="AG1183" s="106"/>
      <c r="AH1183" s="832">
        <f t="shared" si="109"/>
        <v>0</v>
      </c>
      <c r="AI1183" s="106"/>
      <c r="AJ1183" s="65"/>
    </row>
    <row r="1184" spans="2:36" ht="12.75" customHeight="1" outlineLevel="1">
      <c r="B1184" s="82"/>
      <c r="C1184" s="1231"/>
      <c r="D1184" s="1231"/>
      <c r="E1184" s="84" t="str">
        <f>'Terms and Turnovers'!$T$12</f>
        <v>ORIGINALS</v>
      </c>
      <c r="F1184" s="70">
        <f>F469/'Terms and Turnovers'!$T82</f>
        <v>0</v>
      </c>
      <c r="G1184" s="728"/>
      <c r="H1184" s="70">
        <f>H469/'Terms and Turnovers'!$T82</f>
        <v>0</v>
      </c>
      <c r="I1184" s="728"/>
      <c r="J1184" s="818">
        <f t="shared" ref="J1184:L1187" si="110">(J469/1.18/1.09)*0.9</f>
        <v>0</v>
      </c>
      <c r="K1184" s="819"/>
      <c r="L1184" s="818">
        <f t="shared" si="110"/>
        <v>0</v>
      </c>
      <c r="M1184" s="819"/>
      <c r="N1184" s="818">
        <f>(N469/1.18/1.09)*0.9</f>
        <v>0</v>
      </c>
      <c r="O1184" s="819"/>
      <c r="P1184" s="818">
        <f>(P469/1.18/1.09)*0.9</f>
        <v>0</v>
      </c>
      <c r="Q1184" s="728"/>
      <c r="R1184" s="132">
        <f t="shared" si="107"/>
        <v>0</v>
      </c>
      <c r="S1184" s="825"/>
      <c r="T1184" s="818">
        <f>(T469/1.18/1.09)*0.9</f>
        <v>0</v>
      </c>
      <c r="U1184" s="830"/>
      <c r="V1184" s="818">
        <f>(V469/1.18/1.09)*0.9</f>
        <v>0</v>
      </c>
      <c r="W1184" s="830"/>
      <c r="X1184" s="818">
        <f>(X469/1.18/1.09)*0.9</f>
        <v>0</v>
      </c>
      <c r="Y1184" s="830"/>
      <c r="Z1184" s="829">
        <f>Z469/'Terms and Turnovers'!$Y82</f>
        <v>0</v>
      </c>
      <c r="AA1184" s="830"/>
      <c r="AB1184" s="829">
        <f>AB469/'Terms and Turnovers'!$Y82</f>
        <v>0</v>
      </c>
      <c r="AC1184" s="830"/>
      <c r="AD1184" s="829">
        <f>AD469/'Terms and Turnovers'!$Y82</f>
        <v>0</v>
      </c>
      <c r="AE1184" s="728"/>
      <c r="AF1184" s="132">
        <f t="shared" si="108"/>
        <v>0</v>
      </c>
      <c r="AG1184" s="728"/>
      <c r="AH1184" s="833">
        <f t="shared" si="109"/>
        <v>0</v>
      </c>
      <c r="AI1184" s="728"/>
      <c r="AJ1184" s="65"/>
    </row>
    <row r="1185" spans="2:36" ht="12.75" customHeight="1" outlineLevel="1">
      <c r="B1185" s="82"/>
      <c r="C1185" s="1231"/>
      <c r="D1185" s="1231"/>
      <c r="E1185" s="84" t="str">
        <f>'Terms and Turnovers'!$AD$12</f>
        <v>ACCESSORIES</v>
      </c>
      <c r="F1185" s="70">
        <f>F470/'Terms and Turnovers'!$AD82</f>
        <v>0</v>
      </c>
      <c r="G1185" s="728"/>
      <c r="H1185" s="70">
        <f>H470/'Terms and Turnovers'!$AD82</f>
        <v>0</v>
      </c>
      <c r="I1185" s="728"/>
      <c r="J1185" s="818">
        <f t="shared" si="110"/>
        <v>0</v>
      </c>
      <c r="K1185" s="819"/>
      <c r="L1185" s="818">
        <f t="shared" si="110"/>
        <v>0</v>
      </c>
      <c r="M1185" s="819"/>
      <c r="N1185" s="818">
        <f>(N470/1.18/1.09)*0.9</f>
        <v>0</v>
      </c>
      <c r="O1185" s="819"/>
      <c r="P1185" s="818">
        <f>(P470/1.18/1.09)*0.9</f>
        <v>0</v>
      </c>
      <c r="Q1185" s="728"/>
      <c r="R1185" s="132">
        <f t="shared" si="107"/>
        <v>0</v>
      </c>
      <c r="S1185" s="825"/>
      <c r="T1185" s="818">
        <f>(T470/1.18/1.09)*0.9</f>
        <v>0</v>
      </c>
      <c r="U1185" s="830"/>
      <c r="V1185" s="818">
        <f>(V470/1.18/1.09)*0.9</f>
        <v>0</v>
      </c>
      <c r="W1185" s="830"/>
      <c r="X1185" s="818">
        <f>(X470/1.18/1.09)*0.9</f>
        <v>0</v>
      </c>
      <c r="Y1185" s="830"/>
      <c r="Z1185" s="829">
        <f>Z470/'Terms and Turnovers'!$AI82</f>
        <v>0</v>
      </c>
      <c r="AA1185" s="830"/>
      <c r="AB1185" s="829">
        <f>AB470/'Terms and Turnovers'!$AI82</f>
        <v>0</v>
      </c>
      <c r="AC1185" s="830"/>
      <c r="AD1185" s="829">
        <f>AD470/'Terms and Turnovers'!$AI82</f>
        <v>0</v>
      </c>
      <c r="AE1185" s="728"/>
      <c r="AF1185" s="132">
        <f t="shared" si="108"/>
        <v>0</v>
      </c>
      <c r="AG1185" s="728"/>
      <c r="AH1185" s="833">
        <f t="shared" si="109"/>
        <v>0</v>
      </c>
      <c r="AI1185" s="728"/>
      <c r="AJ1185" s="65"/>
    </row>
    <row r="1186" spans="2:36" ht="12.75" customHeight="1" outlineLevel="1">
      <c r="B1186" s="82"/>
      <c r="C1186" s="1231"/>
      <c r="D1186" s="1231"/>
      <c r="E1186" s="84">
        <f>'Terms and Turnovers'!$AN$12</f>
        <v>0</v>
      </c>
      <c r="F1186" s="70">
        <f>F471/'Terms and Turnovers'!$AN82</f>
        <v>0</v>
      </c>
      <c r="G1186" s="728"/>
      <c r="H1186" s="70">
        <f>H471/'Terms and Turnovers'!$AN82</f>
        <v>0</v>
      </c>
      <c r="I1186" s="728"/>
      <c r="J1186" s="818">
        <f t="shared" si="110"/>
        <v>0</v>
      </c>
      <c r="K1186" s="819"/>
      <c r="L1186" s="818">
        <f t="shared" si="110"/>
        <v>0</v>
      </c>
      <c r="M1186" s="819"/>
      <c r="N1186" s="818">
        <f>(N471/1.18/1.09)*0.9</f>
        <v>0</v>
      </c>
      <c r="O1186" s="819"/>
      <c r="P1186" s="818">
        <f>(P471/1.18/1.09)*0.9</f>
        <v>0</v>
      </c>
      <c r="Q1186" s="728"/>
      <c r="R1186" s="132">
        <f t="shared" si="107"/>
        <v>0</v>
      </c>
      <c r="S1186" s="825"/>
      <c r="T1186" s="818">
        <f>(T471/1.18/1.09)*0.9</f>
        <v>0</v>
      </c>
      <c r="U1186" s="830"/>
      <c r="V1186" s="818">
        <f>(V471/1.18/1.09)*0.9</f>
        <v>0</v>
      </c>
      <c r="W1186" s="830"/>
      <c r="X1186" s="818">
        <f>(X471/1.18/1.09)*0.9</f>
        <v>0</v>
      </c>
      <c r="Y1186" s="830"/>
      <c r="Z1186" s="829">
        <f>Z471/'Terms and Turnovers'!$AS82</f>
        <v>0</v>
      </c>
      <c r="AA1186" s="830"/>
      <c r="AB1186" s="829">
        <f>AB471/'Terms and Turnovers'!$AS82</f>
        <v>0</v>
      </c>
      <c r="AC1186" s="830"/>
      <c r="AD1186" s="829">
        <f>AD471/'Terms and Turnovers'!$AS82</f>
        <v>0</v>
      </c>
      <c r="AE1186" s="728"/>
      <c r="AF1186" s="132">
        <f t="shared" si="108"/>
        <v>0</v>
      </c>
      <c r="AG1186" s="728"/>
      <c r="AH1186" s="833">
        <f t="shared" si="109"/>
        <v>0</v>
      </c>
      <c r="AI1186" s="728"/>
      <c r="AJ1186" s="65"/>
    </row>
    <row r="1187" spans="2:36" ht="13.5" customHeight="1" outlineLevel="1" thickBot="1">
      <c r="B1187" s="82"/>
      <c r="C1187" s="1232"/>
      <c r="D1187" s="1232"/>
      <c r="E1187" s="85">
        <f>'Terms and Turnovers'!$AX$12</f>
        <v>0</v>
      </c>
      <c r="F1187" s="70">
        <f>F472/'Terms and Turnovers'!$AX82</f>
        <v>0</v>
      </c>
      <c r="G1187" s="111"/>
      <c r="H1187" s="70">
        <f>H472/'Terms and Turnovers'!$AX82</f>
        <v>0</v>
      </c>
      <c r="I1187" s="107"/>
      <c r="J1187" s="818">
        <f t="shared" si="110"/>
        <v>0</v>
      </c>
      <c r="K1187" s="819"/>
      <c r="L1187" s="818">
        <f t="shared" si="110"/>
        <v>0</v>
      </c>
      <c r="M1187" s="819"/>
      <c r="N1187" s="818">
        <f>(N472/1.18/1.09)*0.9</f>
        <v>0</v>
      </c>
      <c r="O1187" s="819"/>
      <c r="P1187" s="818">
        <f>(P472/1.18/1.09)*0.9</f>
        <v>0</v>
      </c>
      <c r="Q1187" s="107"/>
      <c r="R1187" s="135">
        <f t="shared" si="107"/>
        <v>0</v>
      </c>
      <c r="S1187" s="107"/>
      <c r="T1187" s="818">
        <f>(T472/1.18/1.09)*0.9</f>
        <v>0</v>
      </c>
      <c r="U1187" s="830"/>
      <c r="V1187" s="818">
        <f>(V472/1.18/1.09)*0.9</f>
        <v>0</v>
      </c>
      <c r="W1187" s="830"/>
      <c r="X1187" s="818">
        <f>(X472/1.18/1.09)*0.9</f>
        <v>0</v>
      </c>
      <c r="Y1187" s="830"/>
      <c r="Z1187" s="829">
        <f>Z472/'Terms and Turnovers'!$AX$82</f>
        <v>0</v>
      </c>
      <c r="AA1187" s="830"/>
      <c r="AB1187" s="829">
        <f>AB472/'Terms and Turnovers'!$AX$82</f>
        <v>0</v>
      </c>
      <c r="AC1187" s="830"/>
      <c r="AD1187" s="829">
        <f>AD472/'Terms and Turnovers'!$AX$82</f>
        <v>0</v>
      </c>
      <c r="AE1187" s="107"/>
      <c r="AF1187" s="135">
        <f t="shared" si="108"/>
        <v>0</v>
      </c>
      <c r="AG1187" s="107"/>
      <c r="AH1187" s="834">
        <f t="shared" si="109"/>
        <v>0</v>
      </c>
      <c r="AI1187" s="107"/>
      <c r="AJ1187" s="65"/>
    </row>
    <row r="1188" spans="2:36" ht="13.5" customHeight="1" outlineLevel="1">
      <c r="B1188" s="82"/>
      <c r="C1188" s="425"/>
      <c r="D1188" s="425"/>
      <c r="E1188" s="634"/>
      <c r="F1188" s="635"/>
      <c r="G1188" s="428"/>
      <c r="H1188" s="635"/>
      <c r="I1188" s="428"/>
      <c r="J1188" s="818"/>
      <c r="K1188" s="819"/>
      <c r="L1188" s="818"/>
      <c r="M1188" s="819"/>
      <c r="N1188" s="818"/>
      <c r="O1188" s="819"/>
      <c r="P1188" s="818"/>
      <c r="Q1188" s="636"/>
      <c r="R1188" s="637"/>
      <c r="S1188" s="826">
        <f>SUM(R468:R472)/1.18-(SUM(R1183:R1187)*'Mark Up Validation'!$M$175)</f>
        <v>0</v>
      </c>
      <c r="T1188" s="829"/>
      <c r="U1188" s="830"/>
      <c r="V1188" s="829"/>
      <c r="W1188" s="830"/>
      <c r="X1188" s="829"/>
      <c r="Y1188" s="830"/>
      <c r="Z1188" s="829"/>
      <c r="AA1188" s="830"/>
      <c r="AB1188" s="829"/>
      <c r="AC1188" s="830"/>
      <c r="AD1188" s="829"/>
      <c r="AE1188" s="636"/>
      <c r="AF1188" s="637"/>
      <c r="AG1188" s="698">
        <f>SUM(AF468:AF472)/1.18-SUM(AF1183:AF1187)*'Mark Up Validation'!$M$175</f>
        <v>0</v>
      </c>
      <c r="AH1188" s="835"/>
      <c r="AI1188" s="698">
        <f>SUM(AH468:AH472)/1.18-SUM(AH1183:AH1187)*'Mark Up Validation'!$M$175</f>
        <v>0</v>
      </c>
      <c r="AJ1188" s="65"/>
    </row>
    <row r="1189" spans="2:36" ht="13.5" customHeight="1" outlineLevel="1" thickBot="1">
      <c r="B1189" s="82"/>
      <c r="C1189" s="1228" t="s">
        <v>487</v>
      </c>
      <c r="D1189" s="1229"/>
      <c r="E1189" s="699"/>
      <c r="F1189" s="700"/>
      <c r="G1189" s="701"/>
      <c r="H1189" s="700"/>
      <c r="I1189" s="701"/>
      <c r="J1189" s="820"/>
      <c r="K1189" s="821"/>
      <c r="L1189" s="820"/>
      <c r="M1189" s="821"/>
      <c r="N1189" s="820"/>
      <c r="O1189" s="821"/>
      <c r="P1189" s="820"/>
      <c r="Q1189" s="702"/>
      <c r="R1189" s="703"/>
      <c r="S1189" s="824">
        <f>IF(S1188&gt;0,S1188/(SUM(R468:R472)/1.18),0)</f>
        <v>0</v>
      </c>
      <c r="T1189" s="827"/>
      <c r="U1189" s="828"/>
      <c r="V1189" s="827"/>
      <c r="W1189" s="828"/>
      <c r="X1189" s="827"/>
      <c r="Y1189" s="828"/>
      <c r="Z1189" s="827"/>
      <c r="AA1189" s="828"/>
      <c r="AB1189" s="827"/>
      <c r="AC1189" s="828"/>
      <c r="AD1189" s="827"/>
      <c r="AE1189" s="702"/>
      <c r="AF1189" s="705"/>
      <c r="AG1189" s="729">
        <f>IF(AG1188&gt;0,AG1188/(SUM(AF468:AF472)/1.18),0)</f>
        <v>0</v>
      </c>
      <c r="AH1189" s="836"/>
      <c r="AI1189" s="729">
        <f>IF(AI1188&gt;0,AI1188/(SUM(AH468:AH472)/1.18),0)</f>
        <v>0</v>
      </c>
      <c r="AJ1189" s="65"/>
    </row>
    <row r="1190" spans="2:36" ht="12.75" customHeight="1" outlineLevel="1">
      <c r="B1190" s="82">
        <f>B1183+1</f>
        <v>68</v>
      </c>
      <c r="C1190" s="1233">
        <f>C475</f>
        <v>0</v>
      </c>
      <c r="D1190" s="1233">
        <f>D475</f>
        <v>0</v>
      </c>
      <c r="E1190" s="83" t="str">
        <f>'Terms and Turnovers'!$J$12</f>
        <v>FLIP-FLOPS</v>
      </c>
      <c r="F1190" s="68">
        <f>F475/'Terms and Turnovers'!$J83</f>
        <v>0</v>
      </c>
      <c r="G1190" s="106"/>
      <c r="H1190" s="68">
        <f>H475/'Terms and Turnovers'!$J83</f>
        <v>0</v>
      </c>
      <c r="I1190" s="106"/>
      <c r="J1190" s="818">
        <f>(J475/1.18/1.09)*0.9</f>
        <v>0</v>
      </c>
      <c r="K1190" s="819"/>
      <c r="L1190" s="818">
        <f>(L475/1.18/1.09)*0.9</f>
        <v>0</v>
      </c>
      <c r="M1190" s="819"/>
      <c r="N1190" s="818">
        <f>(N475/1.18/1.09)*0.9</f>
        <v>0</v>
      </c>
      <c r="O1190" s="819"/>
      <c r="P1190" s="818">
        <f>(P475/1.18/1.09)*0.9</f>
        <v>0</v>
      </c>
      <c r="Q1190" s="106"/>
      <c r="R1190" s="129">
        <f t="shared" si="107"/>
        <v>0</v>
      </c>
      <c r="S1190" s="106"/>
      <c r="T1190" s="818">
        <f>(T475/1.18/1.09)*0.9</f>
        <v>0</v>
      </c>
      <c r="U1190" s="831"/>
      <c r="V1190" s="818">
        <f>(V475/1.18/1.09)*0.9</f>
        <v>0</v>
      </c>
      <c r="W1190" s="831"/>
      <c r="X1190" s="818">
        <f>(X475/1.18/1.09)*0.9</f>
        <v>0</v>
      </c>
      <c r="Y1190" s="830"/>
      <c r="Z1190" s="829">
        <f>Z475/'Terms and Turnovers'!$O83</f>
        <v>0</v>
      </c>
      <c r="AA1190" s="830"/>
      <c r="AB1190" s="829">
        <f>AB475/'Terms and Turnovers'!$O83</f>
        <v>0</v>
      </c>
      <c r="AC1190" s="830"/>
      <c r="AD1190" s="829">
        <f>AD475/'Terms and Turnovers'!$O83</f>
        <v>0</v>
      </c>
      <c r="AE1190" s="106"/>
      <c r="AF1190" s="129">
        <f t="shared" si="108"/>
        <v>0</v>
      </c>
      <c r="AG1190" s="106"/>
      <c r="AH1190" s="832">
        <f t="shared" si="109"/>
        <v>0</v>
      </c>
      <c r="AI1190" s="106"/>
      <c r="AJ1190" s="65"/>
    </row>
    <row r="1191" spans="2:36" ht="12.75" customHeight="1" outlineLevel="1">
      <c r="B1191" s="82"/>
      <c r="C1191" s="1234"/>
      <c r="D1191" s="1234"/>
      <c r="E1191" s="84" t="str">
        <f>'Terms and Turnovers'!$T$12</f>
        <v>ORIGINALS</v>
      </c>
      <c r="F1191" s="70">
        <f>F476/'Terms and Turnovers'!$T83</f>
        <v>0</v>
      </c>
      <c r="G1191" s="728"/>
      <c r="H1191" s="70">
        <f>H476/'Terms and Turnovers'!$T83</f>
        <v>0</v>
      </c>
      <c r="I1191" s="728"/>
      <c r="J1191" s="818">
        <f>(J476/1.18/1.09)*0.9</f>
        <v>0</v>
      </c>
      <c r="K1191" s="819"/>
      <c r="L1191" s="818">
        <f>(L476/1.18/1.09)*0.9</f>
        <v>0</v>
      </c>
      <c r="M1191" s="819"/>
      <c r="N1191" s="818">
        <f>(N476/1.18/1.09)*0.9</f>
        <v>0</v>
      </c>
      <c r="O1191" s="819"/>
      <c r="P1191" s="818">
        <f>(P476/1.18/1.09)*0.9</f>
        <v>0</v>
      </c>
      <c r="Q1191" s="728"/>
      <c r="R1191" s="132">
        <f t="shared" si="107"/>
        <v>0</v>
      </c>
      <c r="S1191" s="825"/>
      <c r="T1191" s="818">
        <f>(T476/1.18/1.09)*0.9</f>
        <v>0</v>
      </c>
      <c r="U1191" s="831"/>
      <c r="V1191" s="818">
        <f>(V476/1.18/1.09)*0.9</f>
        <v>0</v>
      </c>
      <c r="W1191" s="831"/>
      <c r="X1191" s="818">
        <f>(X476/1.18/1.09)*0.9</f>
        <v>0</v>
      </c>
      <c r="Y1191" s="830"/>
      <c r="Z1191" s="829">
        <f>Z476/'Terms and Turnovers'!$Y83</f>
        <v>0</v>
      </c>
      <c r="AA1191" s="830"/>
      <c r="AB1191" s="829">
        <f>AB476/'Terms and Turnovers'!$Y83</f>
        <v>0</v>
      </c>
      <c r="AC1191" s="830"/>
      <c r="AD1191" s="829">
        <f>AD476/'Terms and Turnovers'!$Y83</f>
        <v>0</v>
      </c>
      <c r="AE1191" s="728"/>
      <c r="AF1191" s="132">
        <f t="shared" si="108"/>
        <v>0</v>
      </c>
      <c r="AG1191" s="728"/>
      <c r="AH1191" s="833">
        <f t="shared" si="109"/>
        <v>0</v>
      </c>
      <c r="AI1191" s="728"/>
      <c r="AJ1191" s="65"/>
    </row>
    <row r="1192" spans="2:36" ht="12.75" customHeight="1" outlineLevel="1">
      <c r="B1192" s="82"/>
      <c r="C1192" s="1234"/>
      <c r="D1192" s="1234"/>
      <c r="E1192" s="84" t="str">
        <f>'Terms and Turnovers'!$AD$12</f>
        <v>ACCESSORIES</v>
      </c>
      <c r="F1192" s="70">
        <f>F477/'Terms and Turnovers'!$AD83</f>
        <v>0</v>
      </c>
      <c r="G1192" s="728"/>
      <c r="H1192" s="70">
        <f>H477/'Terms and Turnovers'!$AD83</f>
        <v>0</v>
      </c>
      <c r="I1192" s="728"/>
      <c r="J1192" s="818">
        <f>(J477/1.18/1.09)*0.9</f>
        <v>0</v>
      </c>
      <c r="K1192" s="819"/>
      <c r="L1192" s="818">
        <f>(L477/1.18/1.09)*0.9</f>
        <v>0</v>
      </c>
      <c r="M1192" s="819"/>
      <c r="N1192" s="818">
        <f>(N477/1.18/1.09)*0.9</f>
        <v>0</v>
      </c>
      <c r="O1192" s="819"/>
      <c r="P1192" s="818">
        <f>(P477/1.18/1.09)*0.9</f>
        <v>0</v>
      </c>
      <c r="Q1192" s="728"/>
      <c r="R1192" s="132">
        <f t="shared" si="107"/>
        <v>0</v>
      </c>
      <c r="S1192" s="825"/>
      <c r="T1192" s="818">
        <f>(T477/1.18/1.09)*0.9</f>
        <v>0</v>
      </c>
      <c r="U1192" s="831"/>
      <c r="V1192" s="818">
        <f>(V477/1.18/1.09)*0.9</f>
        <v>0</v>
      </c>
      <c r="W1192" s="831"/>
      <c r="X1192" s="818">
        <f>(X477/1.18/1.09)*0.9</f>
        <v>0</v>
      </c>
      <c r="Y1192" s="830"/>
      <c r="Z1192" s="829">
        <f>Z477/'Terms and Turnovers'!$AI83</f>
        <v>0</v>
      </c>
      <c r="AA1192" s="830"/>
      <c r="AB1192" s="829">
        <f>AB477/'Terms and Turnovers'!$AI83</f>
        <v>0</v>
      </c>
      <c r="AC1192" s="830"/>
      <c r="AD1192" s="829">
        <f>AD477/'Terms and Turnovers'!$AI83</f>
        <v>0</v>
      </c>
      <c r="AE1192" s="728"/>
      <c r="AF1192" s="132">
        <f t="shared" si="108"/>
        <v>0</v>
      </c>
      <c r="AG1192" s="728"/>
      <c r="AH1192" s="833">
        <f t="shared" si="109"/>
        <v>0</v>
      </c>
      <c r="AI1192" s="728"/>
      <c r="AJ1192" s="65"/>
    </row>
    <row r="1193" spans="2:36" ht="12.75" customHeight="1" outlineLevel="1">
      <c r="B1193" s="82"/>
      <c r="C1193" s="1234"/>
      <c r="D1193" s="1234"/>
      <c r="E1193" s="84">
        <f>'Terms and Turnovers'!$AN$12</f>
        <v>0</v>
      </c>
      <c r="F1193" s="70">
        <f>F478/'Terms and Turnovers'!$AN83</f>
        <v>0</v>
      </c>
      <c r="G1193" s="728"/>
      <c r="H1193" s="70">
        <f>H478/'Terms and Turnovers'!$AN83</f>
        <v>0</v>
      </c>
      <c r="I1193" s="728"/>
      <c r="J1193" s="818">
        <f>(J478/1.18/1.09)*0.9</f>
        <v>0</v>
      </c>
      <c r="K1193" s="819"/>
      <c r="L1193" s="818">
        <f>(L478/1.18/1.09)*0.9</f>
        <v>0</v>
      </c>
      <c r="M1193" s="819"/>
      <c r="N1193" s="818">
        <f>(N478/1.18/1.09)*0.9</f>
        <v>0</v>
      </c>
      <c r="O1193" s="819"/>
      <c r="P1193" s="818">
        <f>(P478/1.18/1.09)*0.9</f>
        <v>0</v>
      </c>
      <c r="Q1193" s="728"/>
      <c r="R1193" s="132">
        <f t="shared" si="107"/>
        <v>0</v>
      </c>
      <c r="S1193" s="825"/>
      <c r="T1193" s="818">
        <f>(T478/1.18/1.09)*0.9</f>
        <v>0</v>
      </c>
      <c r="U1193" s="831"/>
      <c r="V1193" s="818">
        <f>(V478/1.18/1.09)*0.9</f>
        <v>0</v>
      </c>
      <c r="W1193" s="831"/>
      <c r="X1193" s="818">
        <f>(X478/1.18/1.09)*0.9</f>
        <v>0</v>
      </c>
      <c r="Y1193" s="830"/>
      <c r="Z1193" s="829">
        <f>Z478/'Terms and Turnovers'!$AS83</f>
        <v>0</v>
      </c>
      <c r="AA1193" s="830"/>
      <c r="AB1193" s="829">
        <f>AB478/'Terms and Turnovers'!$AS83</f>
        <v>0</v>
      </c>
      <c r="AC1193" s="830"/>
      <c r="AD1193" s="829">
        <f>AD478/'Terms and Turnovers'!$AS83</f>
        <v>0</v>
      </c>
      <c r="AE1193" s="728"/>
      <c r="AF1193" s="132">
        <f t="shared" si="108"/>
        <v>0</v>
      </c>
      <c r="AG1193" s="728"/>
      <c r="AH1193" s="833">
        <f t="shared" si="109"/>
        <v>0</v>
      </c>
      <c r="AI1193" s="728"/>
      <c r="AJ1193" s="65"/>
    </row>
    <row r="1194" spans="2:36" ht="13.5" customHeight="1" outlineLevel="1" thickBot="1">
      <c r="B1194" s="82"/>
      <c r="C1194" s="1235"/>
      <c r="D1194" s="1235"/>
      <c r="E1194" s="85">
        <f>'Terms and Turnovers'!$AX$12</f>
        <v>0</v>
      </c>
      <c r="F1194" s="70">
        <f>F479/'Terms and Turnovers'!$AX83</f>
        <v>0</v>
      </c>
      <c r="G1194" s="111"/>
      <c r="H1194" s="70">
        <f>H479/'Terms and Turnovers'!$AX83</f>
        <v>0</v>
      </c>
      <c r="I1194" s="107"/>
      <c r="J1194" s="818">
        <f>(J479/1.18/1.09)*0.9</f>
        <v>0</v>
      </c>
      <c r="K1194" s="819"/>
      <c r="L1194" s="818">
        <f>(L479/1.18/1.09)*0.9</f>
        <v>0</v>
      </c>
      <c r="M1194" s="819"/>
      <c r="N1194" s="818">
        <f>(N479/1.18/1.09)*0.9</f>
        <v>0</v>
      </c>
      <c r="O1194" s="819"/>
      <c r="P1194" s="818">
        <f>(P479/1.18/1.09)*0.9</f>
        <v>0</v>
      </c>
      <c r="Q1194" s="107"/>
      <c r="R1194" s="135">
        <f t="shared" si="107"/>
        <v>0</v>
      </c>
      <c r="S1194" s="107"/>
      <c r="T1194" s="818">
        <f>(T479/1.18/1.09)*0.9</f>
        <v>0</v>
      </c>
      <c r="U1194" s="831"/>
      <c r="V1194" s="818">
        <f>(V479/1.18/1.09)*0.9</f>
        <v>0</v>
      </c>
      <c r="W1194" s="831"/>
      <c r="X1194" s="818">
        <f>(X479/1.18/1.09)*0.9</f>
        <v>0</v>
      </c>
      <c r="Y1194" s="830"/>
      <c r="Z1194" s="829">
        <f>Z479/'Terms and Turnovers'!$AX$83</f>
        <v>0</v>
      </c>
      <c r="AA1194" s="830"/>
      <c r="AB1194" s="829">
        <f>AB479/'Terms and Turnovers'!$AX$83</f>
        <v>0</v>
      </c>
      <c r="AC1194" s="830"/>
      <c r="AD1194" s="829">
        <f>AD479/'Terms and Turnovers'!$AX$83</f>
        <v>0</v>
      </c>
      <c r="AE1194" s="107"/>
      <c r="AF1194" s="135">
        <f t="shared" si="108"/>
        <v>0</v>
      </c>
      <c r="AG1194" s="107"/>
      <c r="AH1194" s="834">
        <f t="shared" si="109"/>
        <v>0</v>
      </c>
      <c r="AI1194" s="107"/>
      <c r="AJ1194" s="65"/>
    </row>
    <row r="1195" spans="2:36" ht="13.5" customHeight="1" outlineLevel="1">
      <c r="B1195" s="82"/>
      <c r="C1195" s="425"/>
      <c r="D1195" s="425"/>
      <c r="E1195" s="634"/>
      <c r="F1195" s="635"/>
      <c r="G1195" s="428"/>
      <c r="H1195" s="635"/>
      <c r="I1195" s="428"/>
      <c r="J1195" s="818"/>
      <c r="K1195" s="819"/>
      <c r="L1195" s="818"/>
      <c r="M1195" s="819"/>
      <c r="N1195" s="818"/>
      <c r="O1195" s="819"/>
      <c r="P1195" s="818"/>
      <c r="Q1195" s="636"/>
      <c r="R1195" s="637"/>
      <c r="S1195" s="826">
        <f>SUM(R475:R479)/1.18-(SUM(R1190:R1194)*'Mark Up Validation'!$M$175)</f>
        <v>0</v>
      </c>
      <c r="T1195" s="829"/>
      <c r="U1195" s="830"/>
      <c r="V1195" s="829"/>
      <c r="W1195" s="830"/>
      <c r="X1195" s="829"/>
      <c r="Y1195" s="830"/>
      <c r="Z1195" s="829"/>
      <c r="AA1195" s="830"/>
      <c r="AB1195" s="829"/>
      <c r="AC1195" s="830"/>
      <c r="AD1195" s="829"/>
      <c r="AE1195" s="636"/>
      <c r="AF1195" s="637"/>
      <c r="AG1195" s="698">
        <f>SUM(AF475:AF479)/1.18-SUM(AF1190:AF1194)*'Mark Up Validation'!$M$175</f>
        <v>0</v>
      </c>
      <c r="AH1195" s="835"/>
      <c r="AI1195" s="698">
        <f>SUM(AH475:AH479)/1.18-SUM(AH1190:AH1194)*'Mark Up Validation'!$M$175</f>
        <v>0</v>
      </c>
      <c r="AJ1195" s="65"/>
    </row>
    <row r="1196" spans="2:36" ht="13.5" customHeight="1" outlineLevel="1" thickBot="1">
      <c r="B1196" s="82"/>
      <c r="C1196" s="1228" t="s">
        <v>487</v>
      </c>
      <c r="D1196" s="1229"/>
      <c r="E1196" s="699"/>
      <c r="F1196" s="700"/>
      <c r="G1196" s="701"/>
      <c r="H1196" s="700"/>
      <c r="I1196" s="701"/>
      <c r="J1196" s="820"/>
      <c r="K1196" s="821"/>
      <c r="L1196" s="820"/>
      <c r="M1196" s="821"/>
      <c r="N1196" s="820"/>
      <c r="O1196" s="821"/>
      <c r="P1196" s="820"/>
      <c r="Q1196" s="702"/>
      <c r="R1196" s="703"/>
      <c r="S1196" s="824">
        <f>IF(S1195&gt;0,S1195/(SUM(R475:R479)/1.18),0)</f>
        <v>0</v>
      </c>
      <c r="T1196" s="827"/>
      <c r="U1196" s="828"/>
      <c r="V1196" s="827"/>
      <c r="W1196" s="828"/>
      <c r="X1196" s="827"/>
      <c r="Y1196" s="828"/>
      <c r="Z1196" s="827"/>
      <c r="AA1196" s="828"/>
      <c r="AB1196" s="827"/>
      <c r="AC1196" s="828"/>
      <c r="AD1196" s="827"/>
      <c r="AE1196" s="702"/>
      <c r="AF1196" s="705"/>
      <c r="AG1196" s="729">
        <f>IF(AG1195&gt;0,AG1195/(SUM(AF475:AF479)/1.18),0)</f>
        <v>0</v>
      </c>
      <c r="AH1196" s="836"/>
      <c r="AI1196" s="729">
        <f>IF(AI1195&gt;0,AI1195/(SUM(AH475:AH479)/1.18),0)</f>
        <v>0</v>
      </c>
      <c r="AJ1196" s="65"/>
    </row>
    <row r="1197" spans="2:36" ht="12.75" customHeight="1" outlineLevel="1">
      <c r="B1197" s="82">
        <f>B1190+1</f>
        <v>69</v>
      </c>
      <c r="C1197" s="1230">
        <f>C482</f>
        <v>0</v>
      </c>
      <c r="D1197" s="1230">
        <f>D482</f>
        <v>0</v>
      </c>
      <c r="E1197" s="83" t="str">
        <f>'Terms and Turnovers'!$J$12</f>
        <v>FLIP-FLOPS</v>
      </c>
      <c r="F1197" s="68">
        <f>F482/'Terms and Turnovers'!$J84</f>
        <v>0</v>
      </c>
      <c r="G1197" s="106"/>
      <c r="H1197" s="68">
        <f>H482/'Terms and Turnovers'!$J84</f>
        <v>0</v>
      </c>
      <c r="I1197" s="106"/>
      <c r="J1197" s="818">
        <f>(J482/1.18/1.09)*0.9</f>
        <v>0</v>
      </c>
      <c r="K1197" s="819"/>
      <c r="L1197" s="818">
        <f>(L482/1.18/1.09)*0.9</f>
        <v>0</v>
      </c>
      <c r="M1197" s="819"/>
      <c r="N1197" s="818">
        <f>(N482/1.18/1.09)*0.9</f>
        <v>0</v>
      </c>
      <c r="O1197" s="819"/>
      <c r="P1197" s="818">
        <f>(P482/1.18/1.09)*0.9</f>
        <v>0</v>
      </c>
      <c r="Q1197" s="106"/>
      <c r="R1197" s="129">
        <f t="shared" si="107"/>
        <v>0</v>
      </c>
      <c r="S1197" s="106"/>
      <c r="T1197" s="818">
        <f>(T482/1.18/1.09)*0.9</f>
        <v>0</v>
      </c>
      <c r="U1197" s="830"/>
      <c r="V1197" s="818">
        <f>(V482/1.18/1.09)*0.9</f>
        <v>0</v>
      </c>
      <c r="W1197" s="830"/>
      <c r="X1197" s="818">
        <f>(X482/1.18/1.09)*0.9</f>
        <v>0</v>
      </c>
      <c r="Y1197" s="830"/>
      <c r="Z1197" s="829">
        <f>Z482/'Terms and Turnovers'!$O84</f>
        <v>0</v>
      </c>
      <c r="AA1197" s="830"/>
      <c r="AB1197" s="829">
        <f>AB482/'Terms and Turnovers'!$O84</f>
        <v>0</v>
      </c>
      <c r="AC1197" s="830"/>
      <c r="AD1197" s="829">
        <f>AD482/'Terms and Turnovers'!$O84</f>
        <v>0</v>
      </c>
      <c r="AE1197" s="106"/>
      <c r="AF1197" s="129">
        <f t="shared" si="108"/>
        <v>0</v>
      </c>
      <c r="AG1197" s="106"/>
      <c r="AH1197" s="832">
        <f t="shared" si="109"/>
        <v>0</v>
      </c>
      <c r="AI1197" s="106"/>
      <c r="AJ1197" s="65"/>
    </row>
    <row r="1198" spans="2:36" ht="12.75" customHeight="1" outlineLevel="1">
      <c r="B1198" s="82"/>
      <c r="C1198" s="1231"/>
      <c r="D1198" s="1231"/>
      <c r="E1198" s="84" t="str">
        <f>'Terms and Turnovers'!$T$12</f>
        <v>ORIGINALS</v>
      </c>
      <c r="F1198" s="70">
        <f>F483/'Terms and Turnovers'!$T84</f>
        <v>0</v>
      </c>
      <c r="G1198" s="728"/>
      <c r="H1198" s="70">
        <f>H483/'Terms and Turnovers'!$T84</f>
        <v>0</v>
      </c>
      <c r="I1198" s="728"/>
      <c r="J1198" s="818">
        <f>(J483/1.18/1.09)*0.9</f>
        <v>0</v>
      </c>
      <c r="K1198" s="819"/>
      <c r="L1198" s="818">
        <f>(L483/1.18/1.09)*0.9</f>
        <v>0</v>
      </c>
      <c r="M1198" s="819"/>
      <c r="N1198" s="818">
        <f>(N483/1.18/1.09)*0.9</f>
        <v>0</v>
      </c>
      <c r="O1198" s="819"/>
      <c r="P1198" s="818">
        <f>(P483/1.18/1.09)*0.9</f>
        <v>0</v>
      </c>
      <c r="Q1198" s="728"/>
      <c r="R1198" s="132">
        <f t="shared" si="107"/>
        <v>0</v>
      </c>
      <c r="S1198" s="825"/>
      <c r="T1198" s="818">
        <f>(T483/1.18/1.09)*0.9</f>
        <v>0</v>
      </c>
      <c r="U1198" s="830"/>
      <c r="V1198" s="818">
        <f>(V483/1.18/1.09)*0.9</f>
        <v>0</v>
      </c>
      <c r="W1198" s="830"/>
      <c r="X1198" s="818">
        <f>(X483/1.18/1.09)*0.9</f>
        <v>0</v>
      </c>
      <c r="Y1198" s="830"/>
      <c r="Z1198" s="829">
        <f>Z483/'Terms and Turnovers'!$Y84</f>
        <v>0</v>
      </c>
      <c r="AA1198" s="830"/>
      <c r="AB1198" s="829">
        <f>AB483/'Terms and Turnovers'!$Y84</f>
        <v>0</v>
      </c>
      <c r="AC1198" s="830"/>
      <c r="AD1198" s="829">
        <f>AD483/'Terms and Turnovers'!$Y84</f>
        <v>0</v>
      </c>
      <c r="AE1198" s="728"/>
      <c r="AF1198" s="132">
        <f t="shared" si="108"/>
        <v>0</v>
      </c>
      <c r="AG1198" s="728"/>
      <c r="AH1198" s="833">
        <f t="shared" si="109"/>
        <v>0</v>
      </c>
      <c r="AI1198" s="728"/>
      <c r="AJ1198" s="65"/>
    </row>
    <row r="1199" spans="2:36" ht="12.75" customHeight="1" outlineLevel="1">
      <c r="B1199" s="82"/>
      <c r="C1199" s="1231"/>
      <c r="D1199" s="1231"/>
      <c r="E1199" s="84" t="str">
        <f>'Terms and Turnovers'!$AD$12</f>
        <v>ACCESSORIES</v>
      </c>
      <c r="F1199" s="70">
        <f>F484/'Terms and Turnovers'!$AD84</f>
        <v>0</v>
      </c>
      <c r="G1199" s="728"/>
      <c r="H1199" s="70">
        <f>H484/'Terms and Turnovers'!$AD84</f>
        <v>0</v>
      </c>
      <c r="I1199" s="728"/>
      <c r="J1199" s="818">
        <f>(J484/1.18/1.09)*0.9</f>
        <v>0</v>
      </c>
      <c r="K1199" s="819"/>
      <c r="L1199" s="818">
        <f>(L484/1.18/1.09)*0.9</f>
        <v>0</v>
      </c>
      <c r="M1199" s="819"/>
      <c r="N1199" s="818">
        <f>(N484/1.18/1.09)*0.9</f>
        <v>0</v>
      </c>
      <c r="O1199" s="819"/>
      <c r="P1199" s="818">
        <f>(P484/1.18/1.09)*0.9</f>
        <v>0</v>
      </c>
      <c r="Q1199" s="728"/>
      <c r="R1199" s="132">
        <f t="shared" si="107"/>
        <v>0</v>
      </c>
      <c r="S1199" s="825"/>
      <c r="T1199" s="818">
        <f>(T484/1.18/1.09)*0.9</f>
        <v>0</v>
      </c>
      <c r="U1199" s="830"/>
      <c r="V1199" s="818">
        <f>(V484/1.18/1.09)*0.9</f>
        <v>0</v>
      </c>
      <c r="W1199" s="830"/>
      <c r="X1199" s="818">
        <f>(X484/1.18/1.09)*0.9</f>
        <v>0</v>
      </c>
      <c r="Y1199" s="830"/>
      <c r="Z1199" s="829">
        <f>Z484/'Terms and Turnovers'!$AI84</f>
        <v>0</v>
      </c>
      <c r="AA1199" s="830"/>
      <c r="AB1199" s="829">
        <f>AB484/'Terms and Turnovers'!$AI84</f>
        <v>0</v>
      </c>
      <c r="AC1199" s="830"/>
      <c r="AD1199" s="829">
        <f>AD484/'Terms and Turnovers'!$AI84</f>
        <v>0</v>
      </c>
      <c r="AE1199" s="728"/>
      <c r="AF1199" s="132">
        <f t="shared" si="108"/>
        <v>0</v>
      </c>
      <c r="AG1199" s="728"/>
      <c r="AH1199" s="833">
        <f t="shared" si="109"/>
        <v>0</v>
      </c>
      <c r="AI1199" s="728"/>
      <c r="AJ1199" s="65"/>
    </row>
    <row r="1200" spans="2:36" ht="12.75" customHeight="1" outlineLevel="1">
      <c r="B1200" s="82"/>
      <c r="C1200" s="1231"/>
      <c r="D1200" s="1231"/>
      <c r="E1200" s="84">
        <f>'Terms and Turnovers'!$AN$12</f>
        <v>0</v>
      </c>
      <c r="F1200" s="70">
        <f>F485/'Terms and Turnovers'!$AN84</f>
        <v>0</v>
      </c>
      <c r="G1200" s="728"/>
      <c r="H1200" s="70">
        <f>H485/'Terms and Turnovers'!$AN84</f>
        <v>0</v>
      </c>
      <c r="I1200" s="728"/>
      <c r="J1200" s="818">
        <f>(J485/1.18/1.09)*0.9</f>
        <v>0</v>
      </c>
      <c r="K1200" s="819"/>
      <c r="L1200" s="818">
        <f>(L485/1.18/1.09)*0.9</f>
        <v>0</v>
      </c>
      <c r="M1200" s="819"/>
      <c r="N1200" s="818">
        <f>(N485/1.18/1.09)*0.9</f>
        <v>0</v>
      </c>
      <c r="O1200" s="819"/>
      <c r="P1200" s="818">
        <f>(P485/1.18/1.09)*0.9</f>
        <v>0</v>
      </c>
      <c r="Q1200" s="728"/>
      <c r="R1200" s="132">
        <f t="shared" si="107"/>
        <v>0</v>
      </c>
      <c r="S1200" s="825"/>
      <c r="T1200" s="818">
        <f>(T485/1.18/1.09)*0.9</f>
        <v>0</v>
      </c>
      <c r="U1200" s="830"/>
      <c r="V1200" s="818">
        <f>(V485/1.18/1.09)*0.9</f>
        <v>0</v>
      </c>
      <c r="W1200" s="830"/>
      <c r="X1200" s="818">
        <f>(X485/1.18/1.09)*0.9</f>
        <v>0</v>
      </c>
      <c r="Y1200" s="830"/>
      <c r="Z1200" s="829">
        <f>Z485/'Terms and Turnovers'!$AS84</f>
        <v>0</v>
      </c>
      <c r="AA1200" s="830"/>
      <c r="AB1200" s="829">
        <f>AB485/'Terms and Turnovers'!$AS84</f>
        <v>0</v>
      </c>
      <c r="AC1200" s="830"/>
      <c r="AD1200" s="829">
        <f>AD485/'Terms and Turnovers'!$AS84</f>
        <v>0</v>
      </c>
      <c r="AE1200" s="728"/>
      <c r="AF1200" s="132">
        <f t="shared" si="108"/>
        <v>0</v>
      </c>
      <c r="AG1200" s="728"/>
      <c r="AH1200" s="833">
        <f t="shared" si="109"/>
        <v>0</v>
      </c>
      <c r="AI1200" s="728"/>
      <c r="AJ1200" s="65"/>
    </row>
    <row r="1201" spans="2:38" ht="13.5" customHeight="1" outlineLevel="1" thickBot="1">
      <c r="B1201" s="82"/>
      <c r="C1201" s="1232"/>
      <c r="D1201" s="1232"/>
      <c r="E1201" s="85">
        <f>'Terms and Turnovers'!$AX$12</f>
        <v>0</v>
      </c>
      <c r="F1201" s="70">
        <f>F486/'Terms and Turnovers'!$AX84</f>
        <v>0</v>
      </c>
      <c r="G1201" s="111"/>
      <c r="H1201" s="70">
        <f>H486/'Terms and Turnovers'!$AX84</f>
        <v>0</v>
      </c>
      <c r="I1201" s="107"/>
      <c r="J1201" s="818">
        <f>(J486/1.18/1.09)*0.9</f>
        <v>0</v>
      </c>
      <c r="K1201" s="819"/>
      <c r="L1201" s="818">
        <f>(L486/1.18/1.09)*0.9</f>
        <v>0</v>
      </c>
      <c r="M1201" s="819"/>
      <c r="N1201" s="818">
        <f>(N486/1.18/1.09)*0.9</f>
        <v>0</v>
      </c>
      <c r="O1201" s="819"/>
      <c r="P1201" s="818">
        <f>(P486/1.18/1.09)*0.9</f>
        <v>0</v>
      </c>
      <c r="Q1201" s="107"/>
      <c r="R1201" s="135">
        <f t="shared" si="107"/>
        <v>0</v>
      </c>
      <c r="S1201" s="107"/>
      <c r="T1201" s="818">
        <f>(T486/1.18/1.09)*0.9</f>
        <v>0</v>
      </c>
      <c r="U1201" s="830"/>
      <c r="V1201" s="818">
        <f>(V486/1.18/1.09)*0.9</f>
        <v>0</v>
      </c>
      <c r="W1201" s="830"/>
      <c r="X1201" s="818">
        <f>(X486/1.18/1.09)*0.9</f>
        <v>0</v>
      </c>
      <c r="Y1201" s="830"/>
      <c r="Z1201" s="829">
        <f>Z486/'Terms and Turnovers'!$AX$84</f>
        <v>0</v>
      </c>
      <c r="AA1201" s="830"/>
      <c r="AB1201" s="829">
        <f>AB486/'Terms and Turnovers'!$AX$84</f>
        <v>0</v>
      </c>
      <c r="AC1201" s="830"/>
      <c r="AD1201" s="829">
        <f>AD486/'Terms and Turnovers'!$AX$84</f>
        <v>0</v>
      </c>
      <c r="AE1201" s="107"/>
      <c r="AF1201" s="135">
        <f t="shared" si="108"/>
        <v>0</v>
      </c>
      <c r="AG1201" s="107"/>
      <c r="AH1201" s="834">
        <f t="shared" si="109"/>
        <v>0</v>
      </c>
      <c r="AI1201" s="107"/>
      <c r="AJ1201" s="65"/>
    </row>
    <row r="1202" spans="2:38" ht="13.5" customHeight="1" outlineLevel="1">
      <c r="B1202" s="82"/>
      <c r="C1202" s="425"/>
      <c r="D1202" s="425"/>
      <c r="E1202" s="634"/>
      <c r="F1202" s="635"/>
      <c r="G1202" s="428"/>
      <c r="H1202" s="635"/>
      <c r="I1202" s="428"/>
      <c r="J1202" s="822"/>
      <c r="K1202" s="823"/>
      <c r="L1202" s="822"/>
      <c r="M1202" s="823"/>
      <c r="N1202" s="822"/>
      <c r="O1202" s="823"/>
      <c r="P1202" s="822"/>
      <c r="Q1202" s="636"/>
      <c r="R1202" s="637"/>
      <c r="S1202" s="826">
        <f>SUM(R482:R486)/1.18-(SUM(R1197:R1201)*'Mark Up Validation'!$M$175)</f>
        <v>0</v>
      </c>
      <c r="T1202" s="829"/>
      <c r="U1202" s="830"/>
      <c r="V1202" s="829"/>
      <c r="W1202" s="830"/>
      <c r="X1202" s="829"/>
      <c r="Y1202" s="830"/>
      <c r="Z1202" s="829"/>
      <c r="AA1202" s="830"/>
      <c r="AB1202" s="829"/>
      <c r="AC1202" s="830"/>
      <c r="AD1202" s="829"/>
      <c r="AE1202" s="636"/>
      <c r="AF1202" s="637"/>
      <c r="AG1202" s="698">
        <f>SUM(AF482:AF486)/1.18-SUM(AF1197:AF1201)*'Mark Up Validation'!$M$175</f>
        <v>0</v>
      </c>
      <c r="AH1202" s="638"/>
      <c r="AI1202" s="698">
        <f>SUM(AH482:AH486)/1.18-SUM(AH1197:AH1201)*'Mark Up Validation'!$M$175</f>
        <v>0</v>
      </c>
      <c r="AJ1202" s="65"/>
      <c r="AL1202" s="817"/>
    </row>
    <row r="1203" spans="2:38" ht="13.5" customHeight="1" outlineLevel="1" thickBot="1">
      <c r="B1203" s="82"/>
      <c r="C1203" s="1228" t="s">
        <v>487</v>
      </c>
      <c r="D1203" s="1229"/>
      <c r="E1203" s="699"/>
      <c r="F1203" s="700"/>
      <c r="G1203" s="701"/>
      <c r="H1203" s="700"/>
      <c r="I1203" s="701"/>
      <c r="J1203" s="700"/>
      <c r="K1203" s="702"/>
      <c r="L1203" s="700"/>
      <c r="M1203" s="702"/>
      <c r="N1203" s="700"/>
      <c r="O1203" s="702"/>
      <c r="P1203" s="700"/>
      <c r="Q1203" s="702"/>
      <c r="R1203" s="703"/>
      <c r="S1203" s="729">
        <f>IF(S1202&gt;0,S1202/(SUM(R482:R486)/1.18),0)</f>
        <v>0</v>
      </c>
      <c r="T1203" s="704"/>
      <c r="U1203" s="702"/>
      <c r="V1203" s="700"/>
      <c r="W1203" s="702"/>
      <c r="X1203" s="700"/>
      <c r="Y1203" s="702"/>
      <c r="Z1203" s="700"/>
      <c r="AA1203" s="702"/>
      <c r="AB1203" s="700"/>
      <c r="AC1203" s="702"/>
      <c r="AD1203" s="700"/>
      <c r="AE1203" s="702"/>
      <c r="AF1203" s="705"/>
      <c r="AG1203" s="729">
        <f>IF(AG1202&gt;0,AG1202/(SUM(AF482:AF486)/1.18),0)</f>
        <v>0</v>
      </c>
      <c r="AH1203" s="706"/>
      <c r="AI1203" s="729">
        <f>IF(AI1202&gt;0,AI1202/(SUM(AH482:AH486)/1.18),0)</f>
        <v>0</v>
      </c>
      <c r="AJ1203" s="65"/>
      <c r="AL1203" s="817"/>
    </row>
    <row r="1204" spans="2:38" ht="12.75" customHeight="1" outlineLevel="1">
      <c r="B1204" s="82">
        <f>B1197+1</f>
        <v>70</v>
      </c>
      <c r="C1204" s="1233">
        <f>C489</f>
        <v>0</v>
      </c>
      <c r="D1204" s="1233">
        <f>D489</f>
        <v>0</v>
      </c>
      <c r="E1204" s="83" t="str">
        <f>'Terms and Turnovers'!$J$12</f>
        <v>FLIP-FLOPS</v>
      </c>
      <c r="F1204" s="68">
        <f>F489/'Terms and Turnovers'!$J85</f>
        <v>0</v>
      </c>
      <c r="G1204" s="106"/>
      <c r="H1204" s="68">
        <f>H489/'Terms and Turnovers'!$J85</f>
        <v>0</v>
      </c>
      <c r="I1204" s="106"/>
      <c r="J1204" s="68">
        <f>J489/'Terms and Turnovers'!$J85</f>
        <v>0</v>
      </c>
      <c r="K1204" s="106"/>
      <c r="L1204" s="68">
        <f>L489/'Terms and Turnovers'!$J85</f>
        <v>0</v>
      </c>
      <c r="M1204" s="106"/>
      <c r="N1204" s="68">
        <f>N489/'Terms and Turnovers'!$J85</f>
        <v>0</v>
      </c>
      <c r="O1204" s="106"/>
      <c r="P1204" s="68">
        <f>P489/'Terms and Turnovers'!$J85</f>
        <v>0</v>
      </c>
      <c r="Q1204" s="106"/>
      <c r="R1204" s="129">
        <f t="shared" si="107"/>
        <v>0</v>
      </c>
      <c r="S1204" s="106"/>
      <c r="T1204" s="68">
        <f>T489/'Terms and Turnovers'!$O85</f>
        <v>0</v>
      </c>
      <c r="U1204" s="106"/>
      <c r="V1204" s="68">
        <f>V489/'Terms and Turnovers'!$O85</f>
        <v>0</v>
      </c>
      <c r="W1204" s="106"/>
      <c r="X1204" s="68">
        <f>X489/'Terms and Turnovers'!$O85</f>
        <v>0</v>
      </c>
      <c r="Y1204" s="106"/>
      <c r="Z1204" s="68">
        <f>Z489/'Terms and Turnovers'!$O85</f>
        <v>0</v>
      </c>
      <c r="AA1204" s="106"/>
      <c r="AB1204" s="68">
        <f>AB489/'Terms and Turnovers'!$O85</f>
        <v>0</v>
      </c>
      <c r="AC1204" s="106"/>
      <c r="AD1204" s="68">
        <f>AD489/'Terms and Turnovers'!$O85</f>
        <v>0</v>
      </c>
      <c r="AE1204" s="106"/>
      <c r="AF1204" s="129">
        <f t="shared" si="108"/>
        <v>0</v>
      </c>
      <c r="AG1204" s="106"/>
      <c r="AH1204" s="130">
        <f t="shared" si="109"/>
        <v>0</v>
      </c>
      <c r="AI1204" s="106"/>
      <c r="AJ1204" s="65"/>
      <c r="AL1204" s="817"/>
    </row>
    <row r="1205" spans="2:38" ht="12.75" customHeight="1" outlineLevel="1">
      <c r="B1205" s="82"/>
      <c r="C1205" s="1234"/>
      <c r="D1205" s="1234"/>
      <c r="E1205" s="84" t="str">
        <f>'Terms and Turnovers'!$T$12</f>
        <v>ORIGINALS</v>
      </c>
      <c r="F1205" s="70">
        <f>F490/'Terms and Turnovers'!$T85</f>
        <v>0</v>
      </c>
      <c r="G1205" s="728"/>
      <c r="H1205" s="70">
        <f>H490/'Terms and Turnovers'!$T85</f>
        <v>0</v>
      </c>
      <c r="I1205" s="728"/>
      <c r="J1205" s="70">
        <f>J490/'Terms and Turnovers'!$T85</f>
        <v>0</v>
      </c>
      <c r="K1205" s="728"/>
      <c r="L1205" s="70">
        <f>L490/'Terms and Turnovers'!$T85</f>
        <v>0</v>
      </c>
      <c r="M1205" s="728"/>
      <c r="N1205" s="70">
        <f>N490/'Terms and Turnovers'!$T85</f>
        <v>0</v>
      </c>
      <c r="O1205" s="728"/>
      <c r="P1205" s="70">
        <f>P490/'Terms and Turnovers'!$T85</f>
        <v>0</v>
      </c>
      <c r="Q1205" s="728"/>
      <c r="R1205" s="132">
        <f t="shared" si="107"/>
        <v>0</v>
      </c>
      <c r="S1205" s="728"/>
      <c r="T1205" s="70">
        <f>T490/'Terms and Turnovers'!$Y85</f>
        <v>0</v>
      </c>
      <c r="U1205" s="728"/>
      <c r="V1205" s="70">
        <f>V490/'Terms and Turnovers'!$Y85</f>
        <v>0</v>
      </c>
      <c r="W1205" s="728"/>
      <c r="X1205" s="70">
        <f>X490/'Terms and Turnovers'!$Y85</f>
        <v>0</v>
      </c>
      <c r="Y1205" s="728"/>
      <c r="Z1205" s="70">
        <f>Z490/'Terms and Turnovers'!$Y85</f>
        <v>0</v>
      </c>
      <c r="AA1205" s="728"/>
      <c r="AB1205" s="70">
        <f>AB490/'Terms and Turnovers'!$Y85</f>
        <v>0</v>
      </c>
      <c r="AC1205" s="728"/>
      <c r="AD1205" s="70">
        <f>AD490/'Terms and Turnovers'!$Y85</f>
        <v>0</v>
      </c>
      <c r="AE1205" s="728"/>
      <c r="AF1205" s="132">
        <f t="shared" si="108"/>
        <v>0</v>
      </c>
      <c r="AG1205" s="728"/>
      <c r="AH1205" s="133">
        <f t="shared" si="109"/>
        <v>0</v>
      </c>
      <c r="AI1205" s="728"/>
      <c r="AJ1205" s="65"/>
      <c r="AL1205" s="817"/>
    </row>
    <row r="1206" spans="2:38" ht="12.75" customHeight="1" outlineLevel="1">
      <c r="B1206" s="82"/>
      <c r="C1206" s="1234"/>
      <c r="D1206" s="1234"/>
      <c r="E1206" s="84" t="str">
        <f>'Terms and Turnovers'!$AD$12</f>
        <v>ACCESSORIES</v>
      </c>
      <c r="F1206" s="70">
        <f>F491/'Terms and Turnovers'!$AD85</f>
        <v>0</v>
      </c>
      <c r="G1206" s="728"/>
      <c r="H1206" s="70">
        <f>H491/'Terms and Turnovers'!$AD85</f>
        <v>0</v>
      </c>
      <c r="I1206" s="728"/>
      <c r="J1206" s="70">
        <f>J491/'Terms and Turnovers'!$AD85</f>
        <v>0</v>
      </c>
      <c r="K1206" s="728"/>
      <c r="L1206" s="70">
        <f>L491/'Terms and Turnovers'!$AD85</f>
        <v>0</v>
      </c>
      <c r="M1206" s="728"/>
      <c r="N1206" s="70">
        <f>N491/'Terms and Turnovers'!$AD85</f>
        <v>0</v>
      </c>
      <c r="O1206" s="728"/>
      <c r="P1206" s="70">
        <f>P491/'Terms and Turnovers'!$AD85</f>
        <v>0</v>
      </c>
      <c r="Q1206" s="728"/>
      <c r="R1206" s="132">
        <f t="shared" si="107"/>
        <v>0</v>
      </c>
      <c r="S1206" s="728"/>
      <c r="T1206" s="70">
        <f>T491/'Terms and Turnovers'!$AI85</f>
        <v>0</v>
      </c>
      <c r="U1206" s="728"/>
      <c r="V1206" s="70">
        <f>V491/'Terms and Turnovers'!$AI85</f>
        <v>0</v>
      </c>
      <c r="W1206" s="728"/>
      <c r="X1206" s="70">
        <f>X491/'Terms and Turnovers'!$AI85</f>
        <v>0</v>
      </c>
      <c r="Y1206" s="728"/>
      <c r="Z1206" s="70">
        <f>Z491/'Terms and Turnovers'!$AI85</f>
        <v>0</v>
      </c>
      <c r="AA1206" s="728"/>
      <c r="AB1206" s="70">
        <f>AB491/'Terms and Turnovers'!$AI85</f>
        <v>0</v>
      </c>
      <c r="AC1206" s="728"/>
      <c r="AD1206" s="70">
        <f>AD491/'Terms and Turnovers'!$AI85</f>
        <v>0</v>
      </c>
      <c r="AE1206" s="728"/>
      <c r="AF1206" s="132">
        <f t="shared" si="108"/>
        <v>0</v>
      </c>
      <c r="AG1206" s="728"/>
      <c r="AH1206" s="133">
        <f t="shared" si="109"/>
        <v>0</v>
      </c>
      <c r="AI1206" s="728"/>
      <c r="AJ1206" s="65"/>
    </row>
    <row r="1207" spans="2:38" ht="12.75" customHeight="1" outlineLevel="1">
      <c r="B1207" s="82"/>
      <c r="C1207" s="1234"/>
      <c r="D1207" s="1234"/>
      <c r="E1207" s="84">
        <f>'Terms and Turnovers'!$AN$12</f>
        <v>0</v>
      </c>
      <c r="F1207" s="70">
        <f>F492/'Terms and Turnovers'!$AN85</f>
        <v>0</v>
      </c>
      <c r="G1207" s="728"/>
      <c r="H1207" s="70">
        <f>H492/'Terms and Turnovers'!$AN85</f>
        <v>0</v>
      </c>
      <c r="I1207" s="728"/>
      <c r="J1207" s="70">
        <f>J492/'Terms and Turnovers'!$AN85</f>
        <v>0</v>
      </c>
      <c r="K1207" s="728"/>
      <c r="L1207" s="70">
        <f>L492/'Terms and Turnovers'!$AN85</f>
        <v>0</v>
      </c>
      <c r="M1207" s="728"/>
      <c r="N1207" s="70">
        <f>N492/'Terms and Turnovers'!$AN85</f>
        <v>0</v>
      </c>
      <c r="O1207" s="728"/>
      <c r="P1207" s="70">
        <f>P492/'Terms and Turnovers'!$AN85</f>
        <v>0</v>
      </c>
      <c r="Q1207" s="728"/>
      <c r="R1207" s="132">
        <f t="shared" si="107"/>
        <v>0</v>
      </c>
      <c r="S1207" s="728"/>
      <c r="T1207" s="70">
        <f>T492/'Terms and Turnovers'!$AS85</f>
        <v>0</v>
      </c>
      <c r="U1207" s="728"/>
      <c r="V1207" s="70">
        <f>V492/'Terms and Turnovers'!$AS85</f>
        <v>0</v>
      </c>
      <c r="W1207" s="728"/>
      <c r="X1207" s="70">
        <f>X492/'Terms and Turnovers'!$AS85</f>
        <v>0</v>
      </c>
      <c r="Y1207" s="728"/>
      <c r="Z1207" s="70">
        <f>Z492/'Terms and Turnovers'!$AS85</f>
        <v>0</v>
      </c>
      <c r="AA1207" s="728"/>
      <c r="AB1207" s="70">
        <f>AB492/'Terms and Turnovers'!$AS85</f>
        <v>0</v>
      </c>
      <c r="AC1207" s="728"/>
      <c r="AD1207" s="70">
        <f>AD492/'Terms and Turnovers'!$AS85</f>
        <v>0</v>
      </c>
      <c r="AE1207" s="728"/>
      <c r="AF1207" s="132">
        <f t="shared" si="108"/>
        <v>0</v>
      </c>
      <c r="AG1207" s="728"/>
      <c r="AH1207" s="133">
        <f t="shared" si="109"/>
        <v>0</v>
      </c>
      <c r="AI1207" s="728"/>
      <c r="AJ1207" s="65"/>
    </row>
    <row r="1208" spans="2:38" ht="13.5" customHeight="1" outlineLevel="1" thickBot="1">
      <c r="B1208" s="82"/>
      <c r="C1208" s="1235"/>
      <c r="D1208" s="1235"/>
      <c r="E1208" s="85">
        <f>'Terms and Turnovers'!$AX$12</f>
        <v>0</v>
      </c>
      <c r="F1208" s="70">
        <f>F493/'Terms and Turnovers'!$AX85</f>
        <v>0</v>
      </c>
      <c r="G1208" s="111"/>
      <c r="H1208" s="70">
        <f>H493/'Terms and Turnovers'!$AX85</f>
        <v>0</v>
      </c>
      <c r="I1208" s="107"/>
      <c r="J1208" s="70">
        <f>J493/'Terms and Turnovers'!$AX85</f>
        <v>0</v>
      </c>
      <c r="K1208" s="107"/>
      <c r="L1208" s="70">
        <f>L493/'Terms and Turnovers'!$AX85</f>
        <v>0</v>
      </c>
      <c r="M1208" s="107"/>
      <c r="N1208" s="70">
        <f>N493/'Terms and Turnovers'!$AX85</f>
        <v>0</v>
      </c>
      <c r="O1208" s="107"/>
      <c r="P1208" s="70">
        <f>P493/'Terms and Turnovers'!$AX85</f>
        <v>0</v>
      </c>
      <c r="Q1208" s="107"/>
      <c r="R1208" s="135">
        <f t="shared" si="107"/>
        <v>0</v>
      </c>
      <c r="S1208" s="107"/>
      <c r="T1208" s="70">
        <f>T493/'Terms and Turnovers'!$AX$85</f>
        <v>0</v>
      </c>
      <c r="U1208" s="111"/>
      <c r="V1208" s="70">
        <f>V493/'Terms and Turnovers'!$AX$85</f>
        <v>0</v>
      </c>
      <c r="W1208" s="107"/>
      <c r="X1208" s="70">
        <f>X493/'Terms and Turnovers'!$AX$85</f>
        <v>0</v>
      </c>
      <c r="Y1208" s="107"/>
      <c r="Z1208" s="70">
        <f>Z493/'Terms and Turnovers'!$AX$85</f>
        <v>0</v>
      </c>
      <c r="AA1208" s="107"/>
      <c r="AB1208" s="70">
        <f>AB493/'Terms and Turnovers'!$AX$85</f>
        <v>0</v>
      </c>
      <c r="AC1208" s="107"/>
      <c r="AD1208" s="70">
        <f>AD493/'Terms and Turnovers'!$AX$85</f>
        <v>0</v>
      </c>
      <c r="AE1208" s="107"/>
      <c r="AF1208" s="135">
        <f t="shared" si="108"/>
        <v>0</v>
      </c>
      <c r="AG1208" s="107"/>
      <c r="AH1208" s="136">
        <f t="shared" si="109"/>
        <v>0</v>
      </c>
      <c r="AI1208" s="107"/>
      <c r="AJ1208" s="65"/>
    </row>
    <row r="1209" spans="2:38" ht="13.5" customHeight="1" outlineLevel="1">
      <c r="B1209" s="82"/>
      <c r="C1209" s="425"/>
      <c r="D1209" s="425"/>
      <c r="E1209" s="634"/>
      <c r="F1209" s="635"/>
      <c r="G1209" s="428"/>
      <c r="H1209" s="635"/>
      <c r="I1209" s="428"/>
      <c r="J1209" s="635"/>
      <c r="K1209" s="636"/>
      <c r="L1209" s="635"/>
      <c r="M1209" s="636"/>
      <c r="N1209" s="635"/>
      <c r="O1209" s="636"/>
      <c r="P1209" s="635"/>
      <c r="Q1209" s="636"/>
      <c r="R1209" s="637"/>
      <c r="S1209" s="698">
        <f>SUM(R489:R493)/1.18-(SUM(R1204:R1208)*'Mark Up Validation'!$M$175)</f>
        <v>0</v>
      </c>
      <c r="T1209" s="635"/>
      <c r="U1209" s="636"/>
      <c r="V1209" s="635"/>
      <c r="W1209" s="636"/>
      <c r="X1209" s="635"/>
      <c r="Y1209" s="636"/>
      <c r="Z1209" s="635"/>
      <c r="AA1209" s="636"/>
      <c r="AB1209" s="635"/>
      <c r="AC1209" s="636"/>
      <c r="AD1209" s="635"/>
      <c r="AE1209" s="636"/>
      <c r="AF1209" s="637"/>
      <c r="AG1209" s="698">
        <f>SUM(AF489:AF493)/1.18-SUM(AF1204:AF1208)*'Mark Up Validation'!$M$175</f>
        <v>0</v>
      </c>
      <c r="AH1209" s="638"/>
      <c r="AI1209" s="698">
        <f>SUM(AH489:AH493)/1.18-SUM(AH1204:AH1208)*'Mark Up Validation'!$M$175</f>
        <v>0</v>
      </c>
      <c r="AJ1209" s="65"/>
    </row>
    <row r="1210" spans="2:38" ht="13.5" customHeight="1" outlineLevel="1" thickBot="1">
      <c r="B1210" s="82"/>
      <c r="C1210" s="1228" t="s">
        <v>487</v>
      </c>
      <c r="D1210" s="1229"/>
      <c r="E1210" s="699"/>
      <c r="F1210" s="700"/>
      <c r="G1210" s="701"/>
      <c r="H1210" s="700"/>
      <c r="I1210" s="701"/>
      <c r="J1210" s="700"/>
      <c r="K1210" s="702"/>
      <c r="L1210" s="700"/>
      <c r="M1210" s="702"/>
      <c r="N1210" s="700"/>
      <c r="O1210" s="702"/>
      <c r="P1210" s="700"/>
      <c r="Q1210" s="702"/>
      <c r="R1210" s="703"/>
      <c r="S1210" s="729">
        <f>IF(S1209&gt;0,S1209/(SUM(R489:R493)/1.18),0)</f>
        <v>0</v>
      </c>
      <c r="T1210" s="704"/>
      <c r="U1210" s="702"/>
      <c r="V1210" s="700"/>
      <c r="W1210" s="702"/>
      <c r="X1210" s="700"/>
      <c r="Y1210" s="702"/>
      <c r="Z1210" s="700"/>
      <c r="AA1210" s="702"/>
      <c r="AB1210" s="700"/>
      <c r="AC1210" s="702"/>
      <c r="AD1210" s="700"/>
      <c r="AE1210" s="702"/>
      <c r="AF1210" s="705"/>
      <c r="AG1210" s="729">
        <f>IF(AG1209&gt;0,AG1209/(SUM(AF489:AF493)/1.18),0)</f>
        <v>0</v>
      </c>
      <c r="AH1210" s="706"/>
      <c r="AI1210" s="729">
        <f>IF(AI1209&gt;0,AI1209/(SUM(AH489:AH493)/1.18),0)</f>
        <v>0</v>
      </c>
      <c r="AJ1210" s="65"/>
    </row>
    <row r="1211" spans="2:38" ht="12.75" customHeight="1" outlineLevel="1">
      <c r="B1211" s="82">
        <f>B1204+1</f>
        <v>71</v>
      </c>
      <c r="C1211" s="1230">
        <f>C496</f>
        <v>0</v>
      </c>
      <c r="D1211" s="1230">
        <f>D496</f>
        <v>0</v>
      </c>
      <c r="E1211" s="83" t="str">
        <f>'Terms and Turnovers'!$J$12</f>
        <v>FLIP-FLOPS</v>
      </c>
      <c r="F1211" s="68">
        <f>F496/'Terms and Turnovers'!$J86</f>
        <v>0</v>
      </c>
      <c r="G1211" s="106"/>
      <c r="H1211" s="68">
        <f>H496/'Terms and Turnovers'!$J86</f>
        <v>0</v>
      </c>
      <c r="I1211" s="106"/>
      <c r="J1211" s="68">
        <f>J496/'Terms and Turnovers'!$J86</f>
        <v>0</v>
      </c>
      <c r="K1211" s="106"/>
      <c r="L1211" s="68">
        <f>L496/'Terms and Turnovers'!$J86</f>
        <v>0</v>
      </c>
      <c r="M1211" s="106"/>
      <c r="N1211" s="68">
        <f>N496/'Terms and Turnovers'!$J86</f>
        <v>0</v>
      </c>
      <c r="O1211" s="106"/>
      <c r="P1211" s="68">
        <f>P496/'Terms and Turnovers'!$J86</f>
        <v>0</v>
      </c>
      <c r="Q1211" s="106"/>
      <c r="R1211" s="129">
        <f t="shared" si="107"/>
        <v>0</v>
      </c>
      <c r="S1211" s="106"/>
      <c r="T1211" s="68">
        <f>T496/'Terms and Turnovers'!$O86</f>
        <v>0</v>
      </c>
      <c r="U1211" s="106"/>
      <c r="V1211" s="68">
        <f>V496/'Terms and Turnovers'!$O86</f>
        <v>0</v>
      </c>
      <c r="W1211" s="106"/>
      <c r="X1211" s="68">
        <f>X496/'Terms and Turnovers'!$O86</f>
        <v>0</v>
      </c>
      <c r="Y1211" s="106"/>
      <c r="Z1211" s="68">
        <f>Z496/'Terms and Turnovers'!$O86</f>
        <v>0</v>
      </c>
      <c r="AA1211" s="106"/>
      <c r="AB1211" s="68">
        <f>AB496/'Terms and Turnovers'!$O86</f>
        <v>0</v>
      </c>
      <c r="AC1211" s="106"/>
      <c r="AD1211" s="68">
        <f>AD496/'Terms and Turnovers'!$O86</f>
        <v>0</v>
      </c>
      <c r="AE1211" s="106"/>
      <c r="AF1211" s="129">
        <f t="shared" si="108"/>
        <v>0</v>
      </c>
      <c r="AG1211" s="106"/>
      <c r="AH1211" s="130">
        <f t="shared" si="109"/>
        <v>0</v>
      </c>
      <c r="AI1211" s="106"/>
      <c r="AJ1211" s="65"/>
    </row>
    <row r="1212" spans="2:38" ht="12.75" customHeight="1" outlineLevel="1">
      <c r="B1212" s="82"/>
      <c r="C1212" s="1231"/>
      <c r="D1212" s="1231"/>
      <c r="E1212" s="84" t="str">
        <f>'Terms and Turnovers'!$T$12</f>
        <v>ORIGINALS</v>
      </c>
      <c r="F1212" s="70">
        <f>F497/'Terms and Turnovers'!$T86</f>
        <v>0</v>
      </c>
      <c r="G1212" s="728"/>
      <c r="H1212" s="70">
        <f>H497/'Terms and Turnovers'!$T86</f>
        <v>0</v>
      </c>
      <c r="I1212" s="728"/>
      <c r="J1212" s="70">
        <f>J497/'Terms and Turnovers'!$T86</f>
        <v>0</v>
      </c>
      <c r="K1212" s="728"/>
      <c r="L1212" s="70">
        <f>L497/'Terms and Turnovers'!$T86</f>
        <v>0</v>
      </c>
      <c r="M1212" s="728"/>
      <c r="N1212" s="70">
        <f>N497/'Terms and Turnovers'!$T86</f>
        <v>0</v>
      </c>
      <c r="O1212" s="728"/>
      <c r="P1212" s="70">
        <f>P497/'Terms and Turnovers'!$T86</f>
        <v>0</v>
      </c>
      <c r="Q1212" s="728"/>
      <c r="R1212" s="132">
        <f t="shared" si="107"/>
        <v>0</v>
      </c>
      <c r="S1212" s="728"/>
      <c r="T1212" s="70">
        <f>T497/'Terms and Turnovers'!$Y86</f>
        <v>0</v>
      </c>
      <c r="U1212" s="728"/>
      <c r="V1212" s="70">
        <f>V497/'Terms and Turnovers'!$Y86</f>
        <v>0</v>
      </c>
      <c r="W1212" s="728"/>
      <c r="X1212" s="70">
        <f>X497/'Terms and Turnovers'!$Y86</f>
        <v>0</v>
      </c>
      <c r="Y1212" s="728"/>
      <c r="Z1212" s="70">
        <f>Z497/'Terms and Turnovers'!$Y86</f>
        <v>0</v>
      </c>
      <c r="AA1212" s="728"/>
      <c r="AB1212" s="70">
        <f>AB497/'Terms and Turnovers'!$Y86</f>
        <v>0</v>
      </c>
      <c r="AC1212" s="728"/>
      <c r="AD1212" s="70">
        <f>AD497/'Terms and Turnovers'!$Y86</f>
        <v>0</v>
      </c>
      <c r="AE1212" s="728"/>
      <c r="AF1212" s="132">
        <f t="shared" si="108"/>
        <v>0</v>
      </c>
      <c r="AG1212" s="728"/>
      <c r="AH1212" s="133">
        <f t="shared" si="109"/>
        <v>0</v>
      </c>
      <c r="AI1212" s="728"/>
      <c r="AJ1212" s="65"/>
    </row>
    <row r="1213" spans="2:38" ht="12.75" customHeight="1" outlineLevel="1">
      <c r="B1213" s="82"/>
      <c r="C1213" s="1231"/>
      <c r="D1213" s="1231"/>
      <c r="E1213" s="84" t="str">
        <f>'Terms and Turnovers'!$AD$12</f>
        <v>ACCESSORIES</v>
      </c>
      <c r="F1213" s="70">
        <f>F498/'Terms and Turnovers'!$AD86</f>
        <v>0</v>
      </c>
      <c r="G1213" s="728"/>
      <c r="H1213" s="70">
        <f>H498/'Terms and Turnovers'!$AD86</f>
        <v>0</v>
      </c>
      <c r="I1213" s="728"/>
      <c r="J1213" s="70">
        <f>J498/'Terms and Turnovers'!$AD86</f>
        <v>0</v>
      </c>
      <c r="K1213" s="728"/>
      <c r="L1213" s="70">
        <f>L498/'Terms and Turnovers'!$AD86</f>
        <v>0</v>
      </c>
      <c r="M1213" s="728"/>
      <c r="N1213" s="70">
        <f>N498/'Terms and Turnovers'!$AD86</f>
        <v>0</v>
      </c>
      <c r="O1213" s="728"/>
      <c r="P1213" s="70">
        <f>P498/'Terms and Turnovers'!$AD86</f>
        <v>0</v>
      </c>
      <c r="Q1213" s="728"/>
      <c r="R1213" s="132">
        <f t="shared" si="107"/>
        <v>0</v>
      </c>
      <c r="S1213" s="728"/>
      <c r="T1213" s="70">
        <f>T498/'Terms and Turnovers'!$AI86</f>
        <v>0</v>
      </c>
      <c r="U1213" s="728"/>
      <c r="V1213" s="70">
        <f>V498/'Terms and Turnovers'!$AI86</f>
        <v>0</v>
      </c>
      <c r="W1213" s="728"/>
      <c r="X1213" s="70">
        <f>X498/'Terms and Turnovers'!$AI86</f>
        <v>0</v>
      </c>
      <c r="Y1213" s="728"/>
      <c r="Z1213" s="70">
        <f>Z498/'Terms and Turnovers'!$AI86</f>
        <v>0</v>
      </c>
      <c r="AA1213" s="728"/>
      <c r="AB1213" s="70">
        <f>AB498/'Terms and Turnovers'!$AI86</f>
        <v>0</v>
      </c>
      <c r="AC1213" s="728"/>
      <c r="AD1213" s="70">
        <f>AD498/'Terms and Turnovers'!$AI86</f>
        <v>0</v>
      </c>
      <c r="AE1213" s="728"/>
      <c r="AF1213" s="132">
        <f t="shared" si="108"/>
        <v>0</v>
      </c>
      <c r="AG1213" s="728"/>
      <c r="AH1213" s="133">
        <f t="shared" si="109"/>
        <v>0</v>
      </c>
      <c r="AI1213" s="728"/>
      <c r="AJ1213" s="65"/>
    </row>
    <row r="1214" spans="2:38" ht="12.75" customHeight="1" outlineLevel="1">
      <c r="B1214" s="82"/>
      <c r="C1214" s="1231"/>
      <c r="D1214" s="1231"/>
      <c r="E1214" s="84">
        <f>'Terms and Turnovers'!$AN$12</f>
        <v>0</v>
      </c>
      <c r="F1214" s="70">
        <f>F499/'Terms and Turnovers'!$AN86</f>
        <v>0</v>
      </c>
      <c r="G1214" s="728"/>
      <c r="H1214" s="70">
        <f>H499/'Terms and Turnovers'!$AN86</f>
        <v>0</v>
      </c>
      <c r="I1214" s="728"/>
      <c r="J1214" s="70">
        <f>J499/'Terms and Turnovers'!$AN86</f>
        <v>0</v>
      </c>
      <c r="K1214" s="728"/>
      <c r="L1214" s="70">
        <f>L499/'Terms and Turnovers'!$AN86</f>
        <v>0</v>
      </c>
      <c r="M1214" s="728"/>
      <c r="N1214" s="70">
        <f>N499/'Terms and Turnovers'!$AN86</f>
        <v>0</v>
      </c>
      <c r="O1214" s="728"/>
      <c r="P1214" s="70">
        <f>P499/'Terms and Turnovers'!$AN86</f>
        <v>0</v>
      </c>
      <c r="Q1214" s="728"/>
      <c r="R1214" s="132">
        <f t="shared" si="107"/>
        <v>0</v>
      </c>
      <c r="S1214" s="728"/>
      <c r="T1214" s="70">
        <f>T499/'Terms and Turnovers'!$AS86</f>
        <v>0</v>
      </c>
      <c r="U1214" s="728"/>
      <c r="V1214" s="70">
        <f>V499/'Terms and Turnovers'!$AS86</f>
        <v>0</v>
      </c>
      <c r="W1214" s="728"/>
      <c r="X1214" s="70">
        <f>X499/'Terms and Turnovers'!$AS86</f>
        <v>0</v>
      </c>
      <c r="Y1214" s="728"/>
      <c r="Z1214" s="70">
        <f>Z499/'Terms and Turnovers'!$AS86</f>
        <v>0</v>
      </c>
      <c r="AA1214" s="728"/>
      <c r="AB1214" s="70">
        <f>AB499/'Terms and Turnovers'!$AS86</f>
        <v>0</v>
      </c>
      <c r="AC1214" s="728"/>
      <c r="AD1214" s="70">
        <f>AD499/'Terms and Turnovers'!$AS86</f>
        <v>0</v>
      </c>
      <c r="AE1214" s="728"/>
      <c r="AF1214" s="132">
        <f t="shared" si="108"/>
        <v>0</v>
      </c>
      <c r="AG1214" s="728"/>
      <c r="AH1214" s="133">
        <f t="shared" si="109"/>
        <v>0</v>
      </c>
      <c r="AI1214" s="728"/>
      <c r="AJ1214" s="65"/>
    </row>
    <row r="1215" spans="2:38" ht="13.5" customHeight="1" outlineLevel="1" thickBot="1">
      <c r="B1215" s="82"/>
      <c r="C1215" s="1232"/>
      <c r="D1215" s="1232"/>
      <c r="E1215" s="85">
        <f>'Terms and Turnovers'!$AX$12</f>
        <v>0</v>
      </c>
      <c r="F1215" s="70">
        <f>F500/'Terms and Turnovers'!$AX86</f>
        <v>0</v>
      </c>
      <c r="G1215" s="111"/>
      <c r="H1215" s="70">
        <f>H500/'Terms and Turnovers'!$AX86</f>
        <v>0</v>
      </c>
      <c r="I1215" s="107"/>
      <c r="J1215" s="70">
        <f>J500/'Terms and Turnovers'!$AX86</f>
        <v>0</v>
      </c>
      <c r="K1215" s="107"/>
      <c r="L1215" s="70">
        <f>L500/'Terms and Turnovers'!$AX86</f>
        <v>0</v>
      </c>
      <c r="M1215" s="107"/>
      <c r="N1215" s="70">
        <f>N500/'Terms and Turnovers'!$AX86</f>
        <v>0</v>
      </c>
      <c r="O1215" s="107"/>
      <c r="P1215" s="70">
        <f>P500/'Terms and Turnovers'!$AX86</f>
        <v>0</v>
      </c>
      <c r="Q1215" s="107"/>
      <c r="R1215" s="135">
        <f t="shared" si="107"/>
        <v>0</v>
      </c>
      <c r="S1215" s="107"/>
      <c r="T1215" s="70">
        <f>T500/'Terms and Turnovers'!$AX$86</f>
        <v>0</v>
      </c>
      <c r="U1215" s="111"/>
      <c r="V1215" s="70">
        <f>V500/'Terms and Turnovers'!$AX$86</f>
        <v>0</v>
      </c>
      <c r="W1215" s="107"/>
      <c r="X1215" s="70">
        <f>X500/'Terms and Turnovers'!$AX$86</f>
        <v>0</v>
      </c>
      <c r="Y1215" s="107"/>
      <c r="Z1215" s="70">
        <f>Z500/'Terms and Turnovers'!$AX$86</f>
        <v>0</v>
      </c>
      <c r="AA1215" s="107"/>
      <c r="AB1215" s="70">
        <f>AB500/'Terms and Turnovers'!$AX$86</f>
        <v>0</v>
      </c>
      <c r="AC1215" s="107"/>
      <c r="AD1215" s="70">
        <f>AD500/'Terms and Turnovers'!$AX$86</f>
        <v>0</v>
      </c>
      <c r="AE1215" s="107"/>
      <c r="AF1215" s="135">
        <f t="shared" si="108"/>
        <v>0</v>
      </c>
      <c r="AG1215" s="107"/>
      <c r="AH1215" s="136">
        <f t="shared" si="109"/>
        <v>0</v>
      </c>
      <c r="AI1215" s="107"/>
      <c r="AJ1215" s="65"/>
    </row>
    <row r="1216" spans="2:38" ht="13.5" customHeight="1" outlineLevel="1">
      <c r="B1216" s="82"/>
      <c r="C1216" s="425"/>
      <c r="D1216" s="425"/>
      <c r="E1216" s="634"/>
      <c r="F1216" s="635"/>
      <c r="G1216" s="428"/>
      <c r="H1216" s="635"/>
      <c r="I1216" s="428"/>
      <c r="J1216" s="635"/>
      <c r="K1216" s="636"/>
      <c r="L1216" s="635"/>
      <c r="M1216" s="636"/>
      <c r="N1216" s="635"/>
      <c r="O1216" s="636"/>
      <c r="P1216" s="635"/>
      <c r="Q1216" s="636"/>
      <c r="R1216" s="637"/>
      <c r="S1216" s="698">
        <f>SUM(R496:R500)/1.18-(SUM(R1211:R1215)*'Mark Up Validation'!$M$175)</f>
        <v>0</v>
      </c>
      <c r="T1216" s="635"/>
      <c r="U1216" s="636"/>
      <c r="V1216" s="635"/>
      <c r="W1216" s="636"/>
      <c r="X1216" s="635"/>
      <c r="Y1216" s="636"/>
      <c r="Z1216" s="635"/>
      <c r="AA1216" s="636"/>
      <c r="AB1216" s="635"/>
      <c r="AC1216" s="636"/>
      <c r="AD1216" s="635"/>
      <c r="AE1216" s="636"/>
      <c r="AF1216" s="637"/>
      <c r="AG1216" s="698">
        <f>SUM(AF496:AF500)/1.18-SUM(AF1211:AF1215)*'Mark Up Validation'!$M$175</f>
        <v>0</v>
      </c>
      <c r="AH1216" s="638"/>
      <c r="AI1216" s="698">
        <f>SUM(AH496:AH500)/1.18-SUM(AH1211:AH1215)*'Mark Up Validation'!$M$175</f>
        <v>0</v>
      </c>
      <c r="AJ1216" s="65"/>
    </row>
    <row r="1217" spans="2:36" ht="13.5" customHeight="1" outlineLevel="1" thickBot="1">
      <c r="B1217" s="82"/>
      <c r="C1217" s="1228" t="s">
        <v>487</v>
      </c>
      <c r="D1217" s="1229"/>
      <c r="E1217" s="699"/>
      <c r="F1217" s="700"/>
      <c r="G1217" s="701"/>
      <c r="H1217" s="700"/>
      <c r="I1217" s="701"/>
      <c r="J1217" s="700"/>
      <c r="K1217" s="702"/>
      <c r="L1217" s="700"/>
      <c r="M1217" s="702"/>
      <c r="N1217" s="700"/>
      <c r="O1217" s="702"/>
      <c r="P1217" s="700"/>
      <c r="Q1217" s="702"/>
      <c r="R1217" s="703"/>
      <c r="S1217" s="729">
        <f>IF(S1216&gt;0,S1216/(SUM(R496:R500)/1.18),0)</f>
        <v>0</v>
      </c>
      <c r="T1217" s="704"/>
      <c r="U1217" s="702"/>
      <c r="V1217" s="700"/>
      <c r="W1217" s="702"/>
      <c r="X1217" s="700"/>
      <c r="Y1217" s="702"/>
      <c r="Z1217" s="700"/>
      <c r="AA1217" s="702"/>
      <c r="AB1217" s="700"/>
      <c r="AC1217" s="702"/>
      <c r="AD1217" s="700"/>
      <c r="AE1217" s="702"/>
      <c r="AF1217" s="705"/>
      <c r="AG1217" s="729">
        <f>IF(AG1216&gt;0,AG1216/(SUM(AF496:AF500)/1.18),0)</f>
        <v>0</v>
      </c>
      <c r="AH1217" s="706"/>
      <c r="AI1217" s="729">
        <f>IF(AI1216&gt;0,AI1216/(SUM(AH496:AH500)/1.18),0)</f>
        <v>0</v>
      </c>
      <c r="AJ1217" s="65"/>
    </row>
    <row r="1218" spans="2:36" ht="12.75" customHeight="1" outlineLevel="1">
      <c r="B1218" s="82">
        <f>B1211+1</f>
        <v>72</v>
      </c>
      <c r="C1218" s="1233">
        <f>C503</f>
        <v>0</v>
      </c>
      <c r="D1218" s="1233">
        <f>D503</f>
        <v>0</v>
      </c>
      <c r="E1218" s="83" t="str">
        <f>'Terms and Turnovers'!$J$12</f>
        <v>FLIP-FLOPS</v>
      </c>
      <c r="F1218" s="68">
        <f>F503/'Terms and Turnovers'!$J87</f>
        <v>0</v>
      </c>
      <c r="G1218" s="106"/>
      <c r="H1218" s="68">
        <f>H503/'Terms and Turnovers'!$J87</f>
        <v>0</v>
      </c>
      <c r="I1218" s="106"/>
      <c r="J1218" s="68">
        <f>J503/'Terms and Turnovers'!$J87</f>
        <v>0</v>
      </c>
      <c r="K1218" s="106"/>
      <c r="L1218" s="68">
        <f>L503/'Terms and Turnovers'!$J87</f>
        <v>0</v>
      </c>
      <c r="M1218" s="106"/>
      <c r="N1218" s="68">
        <f>N503/'Terms and Turnovers'!$J87</f>
        <v>0</v>
      </c>
      <c r="O1218" s="106"/>
      <c r="P1218" s="68">
        <f>P503/'Terms and Turnovers'!$J87</f>
        <v>0</v>
      </c>
      <c r="Q1218" s="106"/>
      <c r="R1218" s="129">
        <f t="shared" si="107"/>
        <v>0</v>
      </c>
      <c r="S1218" s="106"/>
      <c r="T1218" s="68">
        <f>T503/'Terms and Turnovers'!$O87</f>
        <v>0</v>
      </c>
      <c r="U1218" s="106"/>
      <c r="V1218" s="68">
        <f>V503/'Terms and Turnovers'!$O87</f>
        <v>0</v>
      </c>
      <c r="W1218" s="106"/>
      <c r="X1218" s="68">
        <f>X503/'Terms and Turnovers'!$O87</f>
        <v>0</v>
      </c>
      <c r="Y1218" s="106"/>
      <c r="Z1218" s="68">
        <f>Z503/'Terms and Turnovers'!$O87</f>
        <v>0</v>
      </c>
      <c r="AA1218" s="106"/>
      <c r="AB1218" s="68">
        <f>AB503/'Terms and Turnovers'!$O87</f>
        <v>0</v>
      </c>
      <c r="AC1218" s="106"/>
      <c r="AD1218" s="68">
        <f>AD503/'Terms and Turnovers'!$O87</f>
        <v>0</v>
      </c>
      <c r="AE1218" s="106"/>
      <c r="AF1218" s="129">
        <f t="shared" si="108"/>
        <v>0</v>
      </c>
      <c r="AG1218" s="106"/>
      <c r="AH1218" s="130">
        <f t="shared" si="109"/>
        <v>0</v>
      </c>
      <c r="AI1218" s="106"/>
      <c r="AJ1218" s="65"/>
    </row>
    <row r="1219" spans="2:36" ht="12.75" customHeight="1" outlineLevel="1">
      <c r="B1219" s="82"/>
      <c r="C1219" s="1234"/>
      <c r="D1219" s="1234"/>
      <c r="E1219" s="84" t="str">
        <f>'Terms and Turnovers'!$T$12</f>
        <v>ORIGINALS</v>
      </c>
      <c r="F1219" s="70">
        <f>F504/'Terms and Turnovers'!$T87</f>
        <v>0</v>
      </c>
      <c r="G1219" s="728"/>
      <c r="H1219" s="70">
        <f>H504/'Terms and Turnovers'!$T87</f>
        <v>0</v>
      </c>
      <c r="I1219" s="728"/>
      <c r="J1219" s="70">
        <f>J504/'Terms and Turnovers'!$T87</f>
        <v>0</v>
      </c>
      <c r="K1219" s="728"/>
      <c r="L1219" s="70">
        <f>L504/'Terms and Turnovers'!$T87</f>
        <v>0</v>
      </c>
      <c r="M1219" s="728"/>
      <c r="N1219" s="70">
        <f>N504/'Terms and Turnovers'!$T87</f>
        <v>0</v>
      </c>
      <c r="O1219" s="728"/>
      <c r="P1219" s="70">
        <f>P504/'Terms and Turnovers'!$T87</f>
        <v>0</v>
      </c>
      <c r="Q1219" s="728"/>
      <c r="R1219" s="132">
        <f t="shared" si="107"/>
        <v>0</v>
      </c>
      <c r="S1219" s="728"/>
      <c r="T1219" s="70">
        <f>T504/'Terms and Turnovers'!$Y87</f>
        <v>0</v>
      </c>
      <c r="U1219" s="728"/>
      <c r="V1219" s="70">
        <f>V504/'Terms and Turnovers'!$Y87</f>
        <v>0</v>
      </c>
      <c r="W1219" s="728"/>
      <c r="X1219" s="70">
        <f>X504/'Terms and Turnovers'!$Y87</f>
        <v>0</v>
      </c>
      <c r="Y1219" s="728"/>
      <c r="Z1219" s="70">
        <f>Z504/'Terms and Turnovers'!$Y87</f>
        <v>0</v>
      </c>
      <c r="AA1219" s="728"/>
      <c r="AB1219" s="70">
        <f>AB504/'Terms and Turnovers'!$Y87</f>
        <v>0</v>
      </c>
      <c r="AC1219" s="728"/>
      <c r="AD1219" s="70">
        <f>AD504/'Terms and Turnovers'!$Y87</f>
        <v>0</v>
      </c>
      <c r="AE1219" s="728"/>
      <c r="AF1219" s="132">
        <f t="shared" si="108"/>
        <v>0</v>
      </c>
      <c r="AG1219" s="728"/>
      <c r="AH1219" s="133">
        <f t="shared" si="109"/>
        <v>0</v>
      </c>
      <c r="AI1219" s="728"/>
      <c r="AJ1219" s="65"/>
    </row>
    <row r="1220" spans="2:36" ht="12.75" customHeight="1" outlineLevel="1">
      <c r="B1220" s="82"/>
      <c r="C1220" s="1234"/>
      <c r="D1220" s="1234"/>
      <c r="E1220" s="84" t="str">
        <f>'Terms and Turnovers'!$AD$12</f>
        <v>ACCESSORIES</v>
      </c>
      <c r="F1220" s="70">
        <f>F505/'Terms and Turnovers'!$AD87</f>
        <v>0</v>
      </c>
      <c r="G1220" s="728"/>
      <c r="H1220" s="70">
        <f>H505/'Terms and Turnovers'!$AD87</f>
        <v>0</v>
      </c>
      <c r="I1220" s="728"/>
      <c r="J1220" s="70">
        <f>J505/'Terms and Turnovers'!$AD87</f>
        <v>0</v>
      </c>
      <c r="K1220" s="728"/>
      <c r="L1220" s="70">
        <f>L505/'Terms and Turnovers'!$AD87</f>
        <v>0</v>
      </c>
      <c r="M1220" s="728"/>
      <c r="N1220" s="70">
        <f>N505/'Terms and Turnovers'!$AD87</f>
        <v>0</v>
      </c>
      <c r="O1220" s="728"/>
      <c r="P1220" s="70">
        <f>P505/'Terms and Turnovers'!$AD87</f>
        <v>0</v>
      </c>
      <c r="Q1220" s="728"/>
      <c r="R1220" s="132">
        <f t="shared" si="107"/>
        <v>0</v>
      </c>
      <c r="S1220" s="728"/>
      <c r="T1220" s="70">
        <f>T505/'Terms and Turnovers'!$AI87</f>
        <v>0</v>
      </c>
      <c r="U1220" s="728"/>
      <c r="V1220" s="70">
        <f>V505/'Terms and Turnovers'!$AI87</f>
        <v>0</v>
      </c>
      <c r="W1220" s="728"/>
      <c r="X1220" s="70">
        <f>X505/'Terms and Turnovers'!$AI87</f>
        <v>0</v>
      </c>
      <c r="Y1220" s="728"/>
      <c r="Z1220" s="70">
        <f>Z505/'Terms and Turnovers'!$AI87</f>
        <v>0</v>
      </c>
      <c r="AA1220" s="728"/>
      <c r="AB1220" s="70">
        <f>AB505/'Terms and Turnovers'!$AI87</f>
        <v>0</v>
      </c>
      <c r="AC1220" s="728"/>
      <c r="AD1220" s="70">
        <f>AD505/'Terms and Turnovers'!$AI87</f>
        <v>0</v>
      </c>
      <c r="AE1220" s="728"/>
      <c r="AF1220" s="132">
        <f t="shared" si="108"/>
        <v>0</v>
      </c>
      <c r="AG1220" s="728"/>
      <c r="AH1220" s="133">
        <f t="shared" si="109"/>
        <v>0</v>
      </c>
      <c r="AI1220" s="728"/>
      <c r="AJ1220" s="65"/>
    </row>
    <row r="1221" spans="2:36" ht="12.75" customHeight="1" outlineLevel="1">
      <c r="B1221" s="82"/>
      <c r="C1221" s="1234"/>
      <c r="D1221" s="1234"/>
      <c r="E1221" s="84">
        <f>'Terms and Turnovers'!$AN$12</f>
        <v>0</v>
      </c>
      <c r="F1221" s="70">
        <f>F506/'Terms and Turnovers'!$AN87</f>
        <v>0</v>
      </c>
      <c r="G1221" s="728"/>
      <c r="H1221" s="70">
        <f>H506/'Terms and Turnovers'!$AN87</f>
        <v>0</v>
      </c>
      <c r="I1221" s="728"/>
      <c r="J1221" s="70">
        <f>J506/'Terms and Turnovers'!$AN87</f>
        <v>0</v>
      </c>
      <c r="K1221" s="728"/>
      <c r="L1221" s="70">
        <f>L506/'Terms and Turnovers'!$AN87</f>
        <v>0</v>
      </c>
      <c r="M1221" s="728"/>
      <c r="N1221" s="70">
        <f>N506/'Terms and Turnovers'!$AN87</f>
        <v>0</v>
      </c>
      <c r="O1221" s="728"/>
      <c r="P1221" s="70">
        <f>P506/'Terms and Turnovers'!$AN87</f>
        <v>0</v>
      </c>
      <c r="Q1221" s="728"/>
      <c r="R1221" s="132">
        <f t="shared" si="107"/>
        <v>0</v>
      </c>
      <c r="S1221" s="728"/>
      <c r="T1221" s="70">
        <f>T506/'Terms and Turnovers'!$AS87</f>
        <v>0</v>
      </c>
      <c r="U1221" s="728"/>
      <c r="V1221" s="70">
        <f>V506/'Terms and Turnovers'!$AS87</f>
        <v>0</v>
      </c>
      <c r="W1221" s="728"/>
      <c r="X1221" s="70">
        <f>X506/'Terms and Turnovers'!$AS87</f>
        <v>0</v>
      </c>
      <c r="Y1221" s="728"/>
      <c r="Z1221" s="70">
        <f>Z506/'Terms and Turnovers'!$AS87</f>
        <v>0</v>
      </c>
      <c r="AA1221" s="728"/>
      <c r="AB1221" s="70">
        <f>AB506/'Terms and Turnovers'!$AS87</f>
        <v>0</v>
      </c>
      <c r="AC1221" s="728"/>
      <c r="AD1221" s="70">
        <f>AD506/'Terms and Turnovers'!$AS87</f>
        <v>0</v>
      </c>
      <c r="AE1221" s="728"/>
      <c r="AF1221" s="132">
        <f t="shared" si="108"/>
        <v>0</v>
      </c>
      <c r="AG1221" s="728"/>
      <c r="AH1221" s="133">
        <f t="shared" si="109"/>
        <v>0</v>
      </c>
      <c r="AI1221" s="728"/>
      <c r="AJ1221" s="65"/>
    </row>
    <row r="1222" spans="2:36" ht="13.5" customHeight="1" outlineLevel="1" thickBot="1">
      <c r="B1222" s="82"/>
      <c r="C1222" s="1235"/>
      <c r="D1222" s="1235"/>
      <c r="E1222" s="85">
        <f>'Terms and Turnovers'!$AX$12</f>
        <v>0</v>
      </c>
      <c r="F1222" s="70">
        <f>F507/'Terms and Turnovers'!$AX87</f>
        <v>0</v>
      </c>
      <c r="G1222" s="111"/>
      <c r="H1222" s="70">
        <f>H507/'Terms and Turnovers'!$AX87</f>
        <v>0</v>
      </c>
      <c r="I1222" s="107"/>
      <c r="J1222" s="70">
        <f>J507/'Terms and Turnovers'!$AX87</f>
        <v>0</v>
      </c>
      <c r="K1222" s="107"/>
      <c r="L1222" s="70">
        <f>L507/'Terms and Turnovers'!$AX87</f>
        <v>0</v>
      </c>
      <c r="M1222" s="107"/>
      <c r="N1222" s="70">
        <f>N507/'Terms and Turnovers'!$AX87</f>
        <v>0</v>
      </c>
      <c r="O1222" s="107"/>
      <c r="P1222" s="70">
        <f>P507/'Terms and Turnovers'!$AX87</f>
        <v>0</v>
      </c>
      <c r="Q1222" s="107"/>
      <c r="R1222" s="135">
        <f t="shared" si="107"/>
        <v>0</v>
      </c>
      <c r="S1222" s="107"/>
      <c r="T1222" s="70">
        <f>T507/'Terms and Turnovers'!$AX$87</f>
        <v>0</v>
      </c>
      <c r="U1222" s="111"/>
      <c r="V1222" s="70">
        <f>V507/'Terms and Turnovers'!$AX$87</f>
        <v>0</v>
      </c>
      <c r="W1222" s="107"/>
      <c r="X1222" s="70">
        <f>X507/'Terms and Turnovers'!$AX$87</f>
        <v>0</v>
      </c>
      <c r="Y1222" s="107"/>
      <c r="Z1222" s="70">
        <f>Z507/'Terms and Turnovers'!$AX$87</f>
        <v>0</v>
      </c>
      <c r="AA1222" s="107"/>
      <c r="AB1222" s="70">
        <f>AB507/'Terms and Turnovers'!$AX$87</f>
        <v>0</v>
      </c>
      <c r="AC1222" s="107"/>
      <c r="AD1222" s="70">
        <f>AD507/'Terms and Turnovers'!$AX$87</f>
        <v>0</v>
      </c>
      <c r="AE1222" s="107"/>
      <c r="AF1222" s="135">
        <f t="shared" si="108"/>
        <v>0</v>
      </c>
      <c r="AG1222" s="107"/>
      <c r="AH1222" s="136">
        <f t="shared" si="109"/>
        <v>0</v>
      </c>
      <c r="AI1222" s="107"/>
      <c r="AJ1222" s="65"/>
    </row>
    <row r="1223" spans="2:36" ht="13.5" customHeight="1" outlineLevel="1">
      <c r="B1223" s="82"/>
      <c r="C1223" s="425"/>
      <c r="D1223" s="425"/>
      <c r="E1223" s="634"/>
      <c r="F1223" s="635"/>
      <c r="G1223" s="428"/>
      <c r="H1223" s="635"/>
      <c r="I1223" s="428"/>
      <c r="J1223" s="635"/>
      <c r="K1223" s="636"/>
      <c r="L1223" s="635"/>
      <c r="M1223" s="636"/>
      <c r="N1223" s="635"/>
      <c r="O1223" s="636"/>
      <c r="P1223" s="635"/>
      <c r="Q1223" s="636"/>
      <c r="R1223" s="637"/>
      <c r="S1223" s="698">
        <f>SUM(R503:R507)/1.18-(SUM(R1218:R1222)*'Mark Up Validation'!$M$175)</f>
        <v>0</v>
      </c>
      <c r="T1223" s="635"/>
      <c r="U1223" s="636"/>
      <c r="V1223" s="635"/>
      <c r="W1223" s="636"/>
      <c r="X1223" s="635"/>
      <c r="Y1223" s="636"/>
      <c r="Z1223" s="635"/>
      <c r="AA1223" s="636"/>
      <c r="AB1223" s="635"/>
      <c r="AC1223" s="636"/>
      <c r="AD1223" s="635"/>
      <c r="AE1223" s="636"/>
      <c r="AF1223" s="637"/>
      <c r="AG1223" s="698">
        <f>SUM(AF503:AF507)/1.18-SUM(AF1218:AF1222)*'Mark Up Validation'!$M$175</f>
        <v>0</v>
      </c>
      <c r="AH1223" s="638"/>
      <c r="AI1223" s="698">
        <f>SUM(AH503:AH507)/1.18-SUM(AH1218:AH1222)*'Mark Up Validation'!$M$175</f>
        <v>0</v>
      </c>
      <c r="AJ1223" s="65"/>
    </row>
    <row r="1224" spans="2:36" ht="13.5" customHeight="1" outlineLevel="1" thickBot="1">
      <c r="B1224" s="82"/>
      <c r="C1224" s="1228" t="s">
        <v>487</v>
      </c>
      <c r="D1224" s="1229"/>
      <c r="E1224" s="699"/>
      <c r="F1224" s="700"/>
      <c r="G1224" s="701"/>
      <c r="H1224" s="700"/>
      <c r="I1224" s="701"/>
      <c r="J1224" s="700"/>
      <c r="K1224" s="702"/>
      <c r="L1224" s="700"/>
      <c r="M1224" s="702"/>
      <c r="N1224" s="700"/>
      <c r="O1224" s="702"/>
      <c r="P1224" s="700"/>
      <c r="Q1224" s="702"/>
      <c r="R1224" s="703"/>
      <c r="S1224" s="729">
        <f>IF(S1223&gt;0,S1223/(SUM(R503:R507)/1.18),0)</f>
        <v>0</v>
      </c>
      <c r="T1224" s="704"/>
      <c r="U1224" s="702"/>
      <c r="V1224" s="700"/>
      <c r="W1224" s="702"/>
      <c r="X1224" s="700"/>
      <c r="Y1224" s="702"/>
      <c r="Z1224" s="700"/>
      <c r="AA1224" s="702"/>
      <c r="AB1224" s="700"/>
      <c r="AC1224" s="702"/>
      <c r="AD1224" s="700"/>
      <c r="AE1224" s="702"/>
      <c r="AF1224" s="705"/>
      <c r="AG1224" s="729">
        <f>IF(AG1223&gt;0,AG1223/(SUM(AF503:AF507)/1.18),0)</f>
        <v>0</v>
      </c>
      <c r="AH1224" s="706"/>
      <c r="AI1224" s="729">
        <f>IF(AI1223&gt;0,AI1223/(SUM(AH503:AH507)/1.18),0)</f>
        <v>0</v>
      </c>
      <c r="AJ1224" s="65"/>
    </row>
    <row r="1225" spans="2:36" ht="12.75" customHeight="1" outlineLevel="1">
      <c r="B1225" s="82">
        <f>B1218+1</f>
        <v>73</v>
      </c>
      <c r="C1225" s="1230">
        <f>C510</f>
        <v>0</v>
      </c>
      <c r="D1225" s="1230">
        <f>D510</f>
        <v>0</v>
      </c>
      <c r="E1225" s="83" t="str">
        <f>'Terms and Turnovers'!$J$12</f>
        <v>FLIP-FLOPS</v>
      </c>
      <c r="F1225" s="68">
        <f>F510/'Terms and Turnovers'!$J88</f>
        <v>0</v>
      </c>
      <c r="G1225" s="106"/>
      <c r="H1225" s="68">
        <f>H510/'Terms and Turnovers'!$J88</f>
        <v>0</v>
      </c>
      <c r="I1225" s="106"/>
      <c r="J1225" s="68">
        <f>J510/'Terms and Turnovers'!$J88</f>
        <v>0</v>
      </c>
      <c r="K1225" s="106"/>
      <c r="L1225" s="68">
        <f>L510/'Terms and Turnovers'!$J88</f>
        <v>0</v>
      </c>
      <c r="M1225" s="106"/>
      <c r="N1225" s="68">
        <f>N510/'Terms and Turnovers'!$J88</f>
        <v>0</v>
      </c>
      <c r="O1225" s="106"/>
      <c r="P1225" s="68">
        <f>P510/'Terms and Turnovers'!$J88</f>
        <v>0</v>
      </c>
      <c r="Q1225" s="106"/>
      <c r="R1225" s="129">
        <f t="shared" si="107"/>
        <v>0</v>
      </c>
      <c r="S1225" s="106"/>
      <c r="T1225" s="68">
        <f>T510/'Terms and Turnovers'!$O88</f>
        <v>0</v>
      </c>
      <c r="U1225" s="106"/>
      <c r="V1225" s="68">
        <f>V510/'Terms and Turnovers'!$O88</f>
        <v>0</v>
      </c>
      <c r="W1225" s="106"/>
      <c r="X1225" s="68">
        <f>X510/'Terms and Turnovers'!$O88</f>
        <v>0</v>
      </c>
      <c r="Y1225" s="106"/>
      <c r="Z1225" s="68">
        <f>Z510/'Terms and Turnovers'!$O88</f>
        <v>0</v>
      </c>
      <c r="AA1225" s="106"/>
      <c r="AB1225" s="68">
        <f>AB510/'Terms and Turnovers'!$O88</f>
        <v>0</v>
      </c>
      <c r="AC1225" s="106"/>
      <c r="AD1225" s="68">
        <f>AD510/'Terms and Turnovers'!$O88</f>
        <v>0</v>
      </c>
      <c r="AE1225" s="106"/>
      <c r="AF1225" s="129">
        <f t="shared" si="108"/>
        <v>0</v>
      </c>
      <c r="AG1225" s="106"/>
      <c r="AH1225" s="130">
        <f t="shared" si="109"/>
        <v>0</v>
      </c>
      <c r="AI1225" s="106"/>
      <c r="AJ1225" s="65"/>
    </row>
    <row r="1226" spans="2:36" ht="12.75" customHeight="1" outlineLevel="1">
      <c r="B1226" s="82"/>
      <c r="C1226" s="1231"/>
      <c r="D1226" s="1231"/>
      <c r="E1226" s="84" t="str">
        <f>'Terms and Turnovers'!$T$12</f>
        <v>ORIGINALS</v>
      </c>
      <c r="F1226" s="70">
        <f>F511/'Terms and Turnovers'!$T88</f>
        <v>0</v>
      </c>
      <c r="G1226" s="728"/>
      <c r="H1226" s="70">
        <f>H511/'Terms and Turnovers'!$T88</f>
        <v>0</v>
      </c>
      <c r="I1226" s="728"/>
      <c r="J1226" s="70">
        <f>J511/'Terms and Turnovers'!$T88</f>
        <v>0</v>
      </c>
      <c r="K1226" s="728"/>
      <c r="L1226" s="70">
        <f>L511/'Terms and Turnovers'!$T88</f>
        <v>0</v>
      </c>
      <c r="M1226" s="728"/>
      <c r="N1226" s="70">
        <f>N511/'Terms and Turnovers'!$T88</f>
        <v>0</v>
      </c>
      <c r="O1226" s="728"/>
      <c r="P1226" s="70">
        <f>P511/'Terms and Turnovers'!$T88</f>
        <v>0</v>
      </c>
      <c r="Q1226" s="728"/>
      <c r="R1226" s="132">
        <f t="shared" si="107"/>
        <v>0</v>
      </c>
      <c r="S1226" s="728"/>
      <c r="T1226" s="70">
        <f>T511/'Terms and Turnovers'!$Y88</f>
        <v>0</v>
      </c>
      <c r="U1226" s="728"/>
      <c r="V1226" s="70">
        <f>V511/'Terms and Turnovers'!$Y88</f>
        <v>0</v>
      </c>
      <c r="W1226" s="728"/>
      <c r="X1226" s="70">
        <f>X511/'Terms and Turnovers'!$Y88</f>
        <v>0</v>
      </c>
      <c r="Y1226" s="728"/>
      <c r="Z1226" s="70">
        <f>Z511/'Terms and Turnovers'!$Y88</f>
        <v>0</v>
      </c>
      <c r="AA1226" s="728"/>
      <c r="AB1226" s="70">
        <f>AB511/'Terms and Turnovers'!$Y88</f>
        <v>0</v>
      </c>
      <c r="AC1226" s="728"/>
      <c r="AD1226" s="70">
        <f>AD511/'Terms and Turnovers'!$Y88</f>
        <v>0</v>
      </c>
      <c r="AE1226" s="728"/>
      <c r="AF1226" s="132">
        <f t="shared" si="108"/>
        <v>0</v>
      </c>
      <c r="AG1226" s="728"/>
      <c r="AH1226" s="133">
        <f t="shared" si="109"/>
        <v>0</v>
      </c>
      <c r="AI1226" s="728"/>
      <c r="AJ1226" s="65"/>
    </row>
    <row r="1227" spans="2:36" ht="12.75" customHeight="1" outlineLevel="1">
      <c r="B1227" s="82"/>
      <c r="C1227" s="1231"/>
      <c r="D1227" s="1231"/>
      <c r="E1227" s="84" t="str">
        <f>'Terms and Turnovers'!$AD$12</f>
        <v>ACCESSORIES</v>
      </c>
      <c r="F1227" s="70">
        <f>F512/'Terms and Turnovers'!$AD88</f>
        <v>0</v>
      </c>
      <c r="G1227" s="728"/>
      <c r="H1227" s="70">
        <f>H512/'Terms and Turnovers'!$AD88</f>
        <v>0</v>
      </c>
      <c r="I1227" s="728"/>
      <c r="J1227" s="70">
        <f>J512/'Terms and Turnovers'!$AD88</f>
        <v>0</v>
      </c>
      <c r="K1227" s="728"/>
      <c r="L1227" s="70">
        <f>L512/'Terms and Turnovers'!$AD88</f>
        <v>0</v>
      </c>
      <c r="M1227" s="728"/>
      <c r="N1227" s="70">
        <f>N512/'Terms and Turnovers'!$AD88</f>
        <v>0</v>
      </c>
      <c r="O1227" s="728"/>
      <c r="P1227" s="70">
        <f>P512/'Terms and Turnovers'!$AD88</f>
        <v>0</v>
      </c>
      <c r="Q1227" s="728"/>
      <c r="R1227" s="132">
        <f t="shared" si="107"/>
        <v>0</v>
      </c>
      <c r="S1227" s="728"/>
      <c r="T1227" s="70">
        <f>T512/'Terms and Turnovers'!$AI88</f>
        <v>0</v>
      </c>
      <c r="U1227" s="728"/>
      <c r="V1227" s="70">
        <f>V512/'Terms and Turnovers'!$AI88</f>
        <v>0</v>
      </c>
      <c r="W1227" s="728"/>
      <c r="X1227" s="70">
        <f>X512/'Terms and Turnovers'!$AI88</f>
        <v>0</v>
      </c>
      <c r="Y1227" s="728"/>
      <c r="Z1227" s="70">
        <f>Z512/'Terms and Turnovers'!$AI88</f>
        <v>0</v>
      </c>
      <c r="AA1227" s="728"/>
      <c r="AB1227" s="70">
        <f>AB512/'Terms and Turnovers'!$AI88</f>
        <v>0</v>
      </c>
      <c r="AC1227" s="728"/>
      <c r="AD1227" s="70">
        <f>AD512/'Terms and Turnovers'!$AI88</f>
        <v>0</v>
      </c>
      <c r="AE1227" s="728"/>
      <c r="AF1227" s="132">
        <f t="shared" si="108"/>
        <v>0</v>
      </c>
      <c r="AG1227" s="728"/>
      <c r="AH1227" s="133">
        <f t="shared" si="109"/>
        <v>0</v>
      </c>
      <c r="AI1227" s="728"/>
      <c r="AJ1227" s="65"/>
    </row>
    <row r="1228" spans="2:36" ht="12.75" customHeight="1" outlineLevel="1">
      <c r="B1228" s="82"/>
      <c r="C1228" s="1231"/>
      <c r="D1228" s="1231"/>
      <c r="E1228" s="84">
        <f>'Terms and Turnovers'!$AN$12</f>
        <v>0</v>
      </c>
      <c r="F1228" s="70">
        <f>F513/'Terms and Turnovers'!$AN88</f>
        <v>0</v>
      </c>
      <c r="G1228" s="728"/>
      <c r="H1228" s="70">
        <f>H513/'Terms and Turnovers'!$AN88</f>
        <v>0</v>
      </c>
      <c r="I1228" s="728"/>
      <c r="J1228" s="70">
        <f>J513/'Terms and Turnovers'!$AN88</f>
        <v>0</v>
      </c>
      <c r="K1228" s="728"/>
      <c r="L1228" s="70">
        <f>L513/'Terms and Turnovers'!$AN88</f>
        <v>0</v>
      </c>
      <c r="M1228" s="728"/>
      <c r="N1228" s="70">
        <f>N513/'Terms and Turnovers'!$AN88</f>
        <v>0</v>
      </c>
      <c r="O1228" s="728"/>
      <c r="P1228" s="70">
        <f>P513/'Terms and Turnovers'!$AN88</f>
        <v>0</v>
      </c>
      <c r="Q1228" s="728"/>
      <c r="R1228" s="132">
        <f t="shared" si="107"/>
        <v>0</v>
      </c>
      <c r="S1228" s="728"/>
      <c r="T1228" s="70">
        <f>T513/'Terms and Turnovers'!$AS88</f>
        <v>0</v>
      </c>
      <c r="U1228" s="728"/>
      <c r="V1228" s="70">
        <f>V513/'Terms and Turnovers'!$AS88</f>
        <v>0</v>
      </c>
      <c r="W1228" s="728"/>
      <c r="X1228" s="70">
        <f>X513/'Terms and Turnovers'!$AS88</f>
        <v>0</v>
      </c>
      <c r="Y1228" s="728"/>
      <c r="Z1228" s="70">
        <f>Z513/'Terms and Turnovers'!$AS88</f>
        <v>0</v>
      </c>
      <c r="AA1228" s="728"/>
      <c r="AB1228" s="70">
        <f>AB513/'Terms and Turnovers'!$AS88</f>
        <v>0</v>
      </c>
      <c r="AC1228" s="728"/>
      <c r="AD1228" s="70">
        <f>AD513/'Terms and Turnovers'!$AS88</f>
        <v>0</v>
      </c>
      <c r="AE1228" s="728"/>
      <c r="AF1228" s="132">
        <f t="shared" si="108"/>
        <v>0</v>
      </c>
      <c r="AG1228" s="728"/>
      <c r="AH1228" s="133">
        <f t="shared" si="109"/>
        <v>0</v>
      </c>
      <c r="AI1228" s="728"/>
      <c r="AJ1228" s="65"/>
    </row>
    <row r="1229" spans="2:36" ht="13.5" customHeight="1" outlineLevel="1" thickBot="1">
      <c r="B1229" s="82"/>
      <c r="C1229" s="1232"/>
      <c r="D1229" s="1232"/>
      <c r="E1229" s="85">
        <f>'Terms and Turnovers'!$AX$12</f>
        <v>0</v>
      </c>
      <c r="F1229" s="70">
        <f>F514/'Terms and Turnovers'!$AX88</f>
        <v>0</v>
      </c>
      <c r="G1229" s="111"/>
      <c r="H1229" s="70">
        <f>H514/'Terms and Turnovers'!$AX88</f>
        <v>0</v>
      </c>
      <c r="I1229" s="107"/>
      <c r="J1229" s="70">
        <f>J514/'Terms and Turnovers'!$AX88</f>
        <v>0</v>
      </c>
      <c r="K1229" s="107"/>
      <c r="L1229" s="70">
        <f>L514/'Terms and Turnovers'!$AX88</f>
        <v>0</v>
      </c>
      <c r="M1229" s="107"/>
      <c r="N1229" s="70">
        <f>N514/'Terms and Turnovers'!$AX88</f>
        <v>0</v>
      </c>
      <c r="O1229" s="107"/>
      <c r="P1229" s="70">
        <f>P514/'Terms and Turnovers'!$AX88</f>
        <v>0</v>
      </c>
      <c r="Q1229" s="107"/>
      <c r="R1229" s="135">
        <f t="shared" si="107"/>
        <v>0</v>
      </c>
      <c r="S1229" s="107"/>
      <c r="T1229" s="70">
        <f>T514/'Terms and Turnovers'!$AX$88</f>
        <v>0</v>
      </c>
      <c r="U1229" s="111"/>
      <c r="V1229" s="70">
        <f>V514/'Terms and Turnovers'!$AX$88</f>
        <v>0</v>
      </c>
      <c r="W1229" s="107"/>
      <c r="X1229" s="70">
        <f>X514/'Terms and Turnovers'!$AX$88</f>
        <v>0</v>
      </c>
      <c r="Y1229" s="107"/>
      <c r="Z1229" s="70">
        <f>Z514/'Terms and Turnovers'!$AX$88</f>
        <v>0</v>
      </c>
      <c r="AA1229" s="107"/>
      <c r="AB1229" s="70">
        <f>AB514/'Terms and Turnovers'!$AX$88</f>
        <v>0</v>
      </c>
      <c r="AC1229" s="107"/>
      <c r="AD1229" s="70">
        <f>AD514/'Terms and Turnovers'!$AX$88</f>
        <v>0</v>
      </c>
      <c r="AE1229" s="107"/>
      <c r="AF1229" s="135">
        <f t="shared" si="108"/>
        <v>0</v>
      </c>
      <c r="AG1229" s="107"/>
      <c r="AH1229" s="136">
        <f t="shared" si="109"/>
        <v>0</v>
      </c>
      <c r="AI1229" s="107"/>
      <c r="AJ1229" s="65"/>
    </row>
    <row r="1230" spans="2:36" ht="13.5" customHeight="1" outlineLevel="1">
      <c r="B1230" s="82"/>
      <c r="C1230" s="425"/>
      <c r="D1230" s="425"/>
      <c r="E1230" s="634"/>
      <c r="F1230" s="635"/>
      <c r="G1230" s="428"/>
      <c r="H1230" s="635"/>
      <c r="I1230" s="428"/>
      <c r="J1230" s="635"/>
      <c r="K1230" s="636"/>
      <c r="L1230" s="635"/>
      <c r="M1230" s="636"/>
      <c r="N1230" s="635"/>
      <c r="O1230" s="636"/>
      <c r="P1230" s="635"/>
      <c r="Q1230" s="636"/>
      <c r="R1230" s="637"/>
      <c r="S1230" s="698">
        <f>SUM(R510:R514)/1.18-(SUM(R1225:R1229)*'Mark Up Validation'!$M$175)</f>
        <v>0</v>
      </c>
      <c r="T1230" s="635"/>
      <c r="U1230" s="636"/>
      <c r="V1230" s="635"/>
      <c r="W1230" s="636"/>
      <c r="X1230" s="635"/>
      <c r="Y1230" s="636"/>
      <c r="Z1230" s="635"/>
      <c r="AA1230" s="636"/>
      <c r="AB1230" s="635"/>
      <c r="AC1230" s="636"/>
      <c r="AD1230" s="635"/>
      <c r="AE1230" s="636"/>
      <c r="AF1230" s="637"/>
      <c r="AG1230" s="698">
        <f>SUM(AF510:AF514)/1.18-SUM(AF1225:AF1229)*'Mark Up Validation'!$M$175</f>
        <v>0</v>
      </c>
      <c r="AH1230" s="638"/>
      <c r="AI1230" s="698">
        <f>SUM(AH510:AH514)/1.18-SUM(AH1225:AH1229)*'Mark Up Validation'!$M$175</f>
        <v>0</v>
      </c>
      <c r="AJ1230" s="65"/>
    </row>
    <row r="1231" spans="2:36" ht="13.5" customHeight="1" outlineLevel="1" thickBot="1">
      <c r="B1231" s="82"/>
      <c r="C1231" s="1228" t="s">
        <v>487</v>
      </c>
      <c r="D1231" s="1229"/>
      <c r="E1231" s="699"/>
      <c r="F1231" s="700"/>
      <c r="G1231" s="701"/>
      <c r="H1231" s="700"/>
      <c r="I1231" s="701"/>
      <c r="J1231" s="700"/>
      <c r="K1231" s="702"/>
      <c r="L1231" s="700"/>
      <c r="M1231" s="702"/>
      <c r="N1231" s="700"/>
      <c r="O1231" s="702"/>
      <c r="P1231" s="700"/>
      <c r="Q1231" s="702"/>
      <c r="R1231" s="703"/>
      <c r="S1231" s="729">
        <f>IF(S1230&gt;0,S1230/(SUM(R510:R514)/1.18),0)</f>
        <v>0</v>
      </c>
      <c r="T1231" s="704"/>
      <c r="U1231" s="702"/>
      <c r="V1231" s="700"/>
      <c r="W1231" s="702"/>
      <c r="X1231" s="700"/>
      <c r="Y1231" s="702"/>
      <c r="Z1231" s="700"/>
      <c r="AA1231" s="702"/>
      <c r="AB1231" s="700"/>
      <c r="AC1231" s="702"/>
      <c r="AD1231" s="700"/>
      <c r="AE1231" s="702"/>
      <c r="AF1231" s="705"/>
      <c r="AG1231" s="729">
        <f>IF(AG1230&gt;0,AG1230/(SUM(AF510:AF514)/1.18),0)</f>
        <v>0</v>
      </c>
      <c r="AH1231" s="706"/>
      <c r="AI1231" s="729">
        <f>IF(AI1230&gt;0,AI1230/(SUM(AH510:AH514)/1.18),0)</f>
        <v>0</v>
      </c>
      <c r="AJ1231" s="65"/>
    </row>
    <row r="1232" spans="2:36" ht="12.75" customHeight="1" outlineLevel="1">
      <c r="B1232" s="82">
        <f>B1225+1</f>
        <v>74</v>
      </c>
      <c r="C1232" s="1233">
        <f>C517</f>
        <v>0</v>
      </c>
      <c r="D1232" s="1233">
        <f>D517</f>
        <v>0</v>
      </c>
      <c r="E1232" s="83" t="str">
        <f>'Terms and Turnovers'!$J$12</f>
        <v>FLIP-FLOPS</v>
      </c>
      <c r="F1232" s="68">
        <f>F517/'Terms and Turnovers'!$J89</f>
        <v>0</v>
      </c>
      <c r="G1232" s="106"/>
      <c r="H1232" s="68">
        <f>H517/'Terms and Turnovers'!$J89</f>
        <v>0</v>
      </c>
      <c r="I1232" s="106"/>
      <c r="J1232" s="68">
        <f>J517/'Terms and Turnovers'!$J89</f>
        <v>0</v>
      </c>
      <c r="K1232" s="106"/>
      <c r="L1232" s="68">
        <f>L517/'Terms and Turnovers'!$J89</f>
        <v>0</v>
      </c>
      <c r="M1232" s="106"/>
      <c r="N1232" s="68">
        <f>N517/'Terms and Turnovers'!$J89</f>
        <v>0</v>
      </c>
      <c r="O1232" s="106"/>
      <c r="P1232" s="68">
        <f>P517/'Terms and Turnovers'!$J89</f>
        <v>0</v>
      </c>
      <c r="Q1232" s="106"/>
      <c r="R1232" s="129">
        <f t="shared" si="107"/>
        <v>0</v>
      </c>
      <c r="S1232" s="106"/>
      <c r="T1232" s="68">
        <f>T517/'Terms and Turnovers'!$O89</f>
        <v>0</v>
      </c>
      <c r="U1232" s="106"/>
      <c r="V1232" s="68">
        <f>V517/'Terms and Turnovers'!$O89</f>
        <v>0</v>
      </c>
      <c r="W1232" s="106"/>
      <c r="X1232" s="68">
        <f>X517/'Terms and Turnovers'!$O89</f>
        <v>0</v>
      </c>
      <c r="Y1232" s="106"/>
      <c r="Z1232" s="68">
        <f>Z517/'Terms and Turnovers'!$O89</f>
        <v>0</v>
      </c>
      <c r="AA1232" s="106"/>
      <c r="AB1232" s="68">
        <f>AB517/'Terms and Turnovers'!$O89</f>
        <v>0</v>
      </c>
      <c r="AC1232" s="106"/>
      <c r="AD1232" s="68">
        <f>AD517/'Terms and Turnovers'!$O89</f>
        <v>0</v>
      </c>
      <c r="AE1232" s="106"/>
      <c r="AF1232" s="129">
        <f t="shared" si="108"/>
        <v>0</v>
      </c>
      <c r="AG1232" s="106"/>
      <c r="AH1232" s="130">
        <f t="shared" si="109"/>
        <v>0</v>
      </c>
      <c r="AI1232" s="106"/>
      <c r="AJ1232" s="65"/>
    </row>
    <row r="1233" spans="2:36" ht="12.75" customHeight="1" outlineLevel="1">
      <c r="B1233" s="82"/>
      <c r="C1233" s="1234"/>
      <c r="D1233" s="1234"/>
      <c r="E1233" s="84" t="str">
        <f>'Terms and Turnovers'!$T$12</f>
        <v>ORIGINALS</v>
      </c>
      <c r="F1233" s="70">
        <f>F518/'Terms and Turnovers'!$T89</f>
        <v>0</v>
      </c>
      <c r="G1233" s="728"/>
      <c r="H1233" s="70">
        <f>H518/'Terms and Turnovers'!$T89</f>
        <v>0</v>
      </c>
      <c r="I1233" s="728"/>
      <c r="J1233" s="70">
        <f>J518/'Terms and Turnovers'!$T89</f>
        <v>0</v>
      </c>
      <c r="K1233" s="728"/>
      <c r="L1233" s="70">
        <f>L518/'Terms and Turnovers'!$T89</f>
        <v>0</v>
      </c>
      <c r="M1233" s="728"/>
      <c r="N1233" s="70">
        <f>N518/'Terms and Turnovers'!$T89</f>
        <v>0</v>
      </c>
      <c r="O1233" s="728"/>
      <c r="P1233" s="70">
        <f>P518/'Terms and Turnovers'!$T89</f>
        <v>0</v>
      </c>
      <c r="Q1233" s="728"/>
      <c r="R1233" s="132">
        <f t="shared" si="107"/>
        <v>0</v>
      </c>
      <c r="S1233" s="728"/>
      <c r="T1233" s="70">
        <f>T518/'Terms and Turnovers'!$Y89</f>
        <v>0</v>
      </c>
      <c r="U1233" s="728"/>
      <c r="V1233" s="70">
        <f>V518/'Terms and Turnovers'!$Y89</f>
        <v>0</v>
      </c>
      <c r="W1233" s="728"/>
      <c r="X1233" s="70">
        <f>X518/'Terms and Turnovers'!$Y89</f>
        <v>0</v>
      </c>
      <c r="Y1233" s="728"/>
      <c r="Z1233" s="70">
        <f>Z518/'Terms and Turnovers'!$Y89</f>
        <v>0</v>
      </c>
      <c r="AA1233" s="728"/>
      <c r="AB1233" s="70">
        <f>AB518/'Terms and Turnovers'!$Y89</f>
        <v>0</v>
      </c>
      <c r="AC1233" s="728"/>
      <c r="AD1233" s="70">
        <f>AD518/'Terms and Turnovers'!$Y89</f>
        <v>0</v>
      </c>
      <c r="AE1233" s="728"/>
      <c r="AF1233" s="132">
        <f t="shared" si="108"/>
        <v>0</v>
      </c>
      <c r="AG1233" s="728"/>
      <c r="AH1233" s="133">
        <f t="shared" si="109"/>
        <v>0</v>
      </c>
      <c r="AI1233" s="728"/>
      <c r="AJ1233" s="65"/>
    </row>
    <row r="1234" spans="2:36" ht="12.75" customHeight="1" outlineLevel="1">
      <c r="B1234" s="82"/>
      <c r="C1234" s="1234"/>
      <c r="D1234" s="1234"/>
      <c r="E1234" s="84" t="str">
        <f>'Terms and Turnovers'!$AD$12</f>
        <v>ACCESSORIES</v>
      </c>
      <c r="F1234" s="70">
        <f>F519/'Terms and Turnovers'!$AD89</f>
        <v>0</v>
      </c>
      <c r="G1234" s="728"/>
      <c r="H1234" s="70">
        <f>H519/'Terms and Turnovers'!$AD89</f>
        <v>0</v>
      </c>
      <c r="I1234" s="728"/>
      <c r="J1234" s="70">
        <f>J519/'Terms and Turnovers'!$AD89</f>
        <v>0</v>
      </c>
      <c r="K1234" s="728"/>
      <c r="L1234" s="70">
        <f>L519/'Terms and Turnovers'!$AD89</f>
        <v>0</v>
      </c>
      <c r="M1234" s="728"/>
      <c r="N1234" s="70">
        <f>N519/'Terms and Turnovers'!$AD89</f>
        <v>0</v>
      </c>
      <c r="O1234" s="728"/>
      <c r="P1234" s="70">
        <f>P519/'Terms and Turnovers'!$AD89</f>
        <v>0</v>
      </c>
      <c r="Q1234" s="728"/>
      <c r="R1234" s="132">
        <f t="shared" si="107"/>
        <v>0</v>
      </c>
      <c r="S1234" s="728"/>
      <c r="T1234" s="70">
        <f>T519/'Terms and Turnovers'!$AI89</f>
        <v>0</v>
      </c>
      <c r="U1234" s="728"/>
      <c r="V1234" s="70">
        <f>V519/'Terms and Turnovers'!$AI89</f>
        <v>0</v>
      </c>
      <c r="W1234" s="728"/>
      <c r="X1234" s="70">
        <f>X519/'Terms and Turnovers'!$AI89</f>
        <v>0</v>
      </c>
      <c r="Y1234" s="728"/>
      <c r="Z1234" s="70">
        <f>Z519/'Terms and Turnovers'!$AI89</f>
        <v>0</v>
      </c>
      <c r="AA1234" s="728"/>
      <c r="AB1234" s="70">
        <f>AB519/'Terms and Turnovers'!$AI89</f>
        <v>0</v>
      </c>
      <c r="AC1234" s="728"/>
      <c r="AD1234" s="70">
        <f>AD519/'Terms and Turnovers'!$AI89</f>
        <v>0</v>
      </c>
      <c r="AE1234" s="728"/>
      <c r="AF1234" s="132">
        <f t="shared" si="108"/>
        <v>0</v>
      </c>
      <c r="AG1234" s="728"/>
      <c r="AH1234" s="133">
        <f t="shared" si="109"/>
        <v>0</v>
      </c>
      <c r="AI1234" s="728"/>
      <c r="AJ1234" s="65"/>
    </row>
    <row r="1235" spans="2:36" ht="12.75" customHeight="1" outlineLevel="1">
      <c r="B1235" s="82"/>
      <c r="C1235" s="1234"/>
      <c r="D1235" s="1234"/>
      <c r="E1235" s="84">
        <f>'Terms and Turnovers'!$AN$12</f>
        <v>0</v>
      </c>
      <c r="F1235" s="70">
        <f>F520/'Terms and Turnovers'!$AN89</f>
        <v>0</v>
      </c>
      <c r="G1235" s="728"/>
      <c r="H1235" s="70">
        <f>H520/'Terms and Turnovers'!$AN89</f>
        <v>0</v>
      </c>
      <c r="I1235" s="728"/>
      <c r="J1235" s="70">
        <f>J520/'Terms and Turnovers'!$AN89</f>
        <v>0</v>
      </c>
      <c r="K1235" s="728"/>
      <c r="L1235" s="70">
        <f>L520/'Terms and Turnovers'!$AN89</f>
        <v>0</v>
      </c>
      <c r="M1235" s="728"/>
      <c r="N1235" s="70">
        <f>N520/'Terms and Turnovers'!$AN89</f>
        <v>0</v>
      </c>
      <c r="O1235" s="728"/>
      <c r="P1235" s="70">
        <f>P520/'Terms and Turnovers'!$AN89</f>
        <v>0</v>
      </c>
      <c r="Q1235" s="728"/>
      <c r="R1235" s="132">
        <f t="shared" si="107"/>
        <v>0</v>
      </c>
      <c r="S1235" s="728"/>
      <c r="T1235" s="70">
        <f>T520/'Terms and Turnovers'!$AS89</f>
        <v>0</v>
      </c>
      <c r="U1235" s="728"/>
      <c r="V1235" s="70">
        <f>V520/'Terms and Turnovers'!$AS89</f>
        <v>0</v>
      </c>
      <c r="W1235" s="728"/>
      <c r="X1235" s="70">
        <f>X520/'Terms and Turnovers'!$AS89</f>
        <v>0</v>
      </c>
      <c r="Y1235" s="728"/>
      <c r="Z1235" s="70">
        <f>Z520/'Terms and Turnovers'!$AS89</f>
        <v>0</v>
      </c>
      <c r="AA1235" s="728"/>
      <c r="AB1235" s="70">
        <f>AB520/'Terms and Turnovers'!$AS89</f>
        <v>0</v>
      </c>
      <c r="AC1235" s="728"/>
      <c r="AD1235" s="70">
        <f>AD520/'Terms and Turnovers'!$AS89</f>
        <v>0</v>
      </c>
      <c r="AE1235" s="728"/>
      <c r="AF1235" s="132">
        <f t="shared" si="108"/>
        <v>0</v>
      </c>
      <c r="AG1235" s="728"/>
      <c r="AH1235" s="133">
        <f t="shared" si="109"/>
        <v>0</v>
      </c>
      <c r="AI1235" s="728"/>
      <c r="AJ1235" s="65"/>
    </row>
    <row r="1236" spans="2:36" ht="13.5" customHeight="1" outlineLevel="1" thickBot="1">
      <c r="B1236" s="82"/>
      <c r="C1236" s="1235"/>
      <c r="D1236" s="1235"/>
      <c r="E1236" s="85">
        <f>'Terms and Turnovers'!$AX$12</f>
        <v>0</v>
      </c>
      <c r="F1236" s="70">
        <f>F521/'Terms and Turnovers'!$AX89</f>
        <v>0</v>
      </c>
      <c r="G1236" s="111"/>
      <c r="H1236" s="70">
        <f>H521/'Terms and Turnovers'!$AX89</f>
        <v>0</v>
      </c>
      <c r="I1236" s="107"/>
      <c r="J1236" s="70">
        <f>J521/'Terms and Turnovers'!$AX89</f>
        <v>0</v>
      </c>
      <c r="K1236" s="107"/>
      <c r="L1236" s="70">
        <f>L521/'Terms and Turnovers'!$AX89</f>
        <v>0</v>
      </c>
      <c r="M1236" s="107"/>
      <c r="N1236" s="70">
        <f>N521/'Terms and Turnovers'!$AX89</f>
        <v>0</v>
      </c>
      <c r="O1236" s="107"/>
      <c r="P1236" s="70">
        <f>P521/'Terms and Turnovers'!$AX89</f>
        <v>0</v>
      </c>
      <c r="Q1236" s="107"/>
      <c r="R1236" s="135">
        <f t="shared" si="107"/>
        <v>0</v>
      </c>
      <c r="S1236" s="107"/>
      <c r="T1236" s="70">
        <f>T521/'Terms and Turnovers'!$AX$89</f>
        <v>0</v>
      </c>
      <c r="U1236" s="111"/>
      <c r="V1236" s="70">
        <f>V521/'Terms and Turnovers'!$AX$89</f>
        <v>0</v>
      </c>
      <c r="W1236" s="107"/>
      <c r="X1236" s="70">
        <f>X521/'Terms and Turnovers'!$AX$89</f>
        <v>0</v>
      </c>
      <c r="Y1236" s="107"/>
      <c r="Z1236" s="70">
        <f>Z521/'Terms and Turnovers'!$AX$89</f>
        <v>0</v>
      </c>
      <c r="AA1236" s="107"/>
      <c r="AB1236" s="70">
        <f>AB521/'Terms and Turnovers'!$AX$89</f>
        <v>0</v>
      </c>
      <c r="AC1236" s="107"/>
      <c r="AD1236" s="70">
        <f>AD521/'Terms and Turnovers'!$AX$89</f>
        <v>0</v>
      </c>
      <c r="AE1236" s="107"/>
      <c r="AF1236" s="135">
        <f t="shared" si="108"/>
        <v>0</v>
      </c>
      <c r="AG1236" s="107"/>
      <c r="AH1236" s="136">
        <f t="shared" si="109"/>
        <v>0</v>
      </c>
      <c r="AI1236" s="107"/>
      <c r="AJ1236" s="65"/>
    </row>
    <row r="1237" spans="2:36" ht="13.5" customHeight="1" outlineLevel="1">
      <c r="B1237" s="82"/>
      <c r="C1237" s="425"/>
      <c r="D1237" s="425"/>
      <c r="E1237" s="634"/>
      <c r="F1237" s="635"/>
      <c r="G1237" s="428"/>
      <c r="H1237" s="635"/>
      <c r="I1237" s="428"/>
      <c r="J1237" s="635"/>
      <c r="K1237" s="636"/>
      <c r="L1237" s="635"/>
      <c r="M1237" s="636"/>
      <c r="N1237" s="635"/>
      <c r="O1237" s="636"/>
      <c r="P1237" s="635"/>
      <c r="Q1237" s="636"/>
      <c r="R1237" s="637"/>
      <c r="S1237" s="698">
        <f>SUM(R517:R521)/1.18-(SUM(R1232:R1236)*'Mark Up Validation'!$M$175)</f>
        <v>0</v>
      </c>
      <c r="T1237" s="635"/>
      <c r="U1237" s="636"/>
      <c r="V1237" s="635"/>
      <c r="W1237" s="636"/>
      <c r="X1237" s="635"/>
      <c r="Y1237" s="636"/>
      <c r="Z1237" s="635"/>
      <c r="AA1237" s="636"/>
      <c r="AB1237" s="635"/>
      <c r="AC1237" s="636"/>
      <c r="AD1237" s="635"/>
      <c r="AE1237" s="636"/>
      <c r="AF1237" s="637"/>
      <c r="AG1237" s="698">
        <f>SUM(AF517:AF521)/1.18-SUM(AF1232:AF1236)*'Mark Up Validation'!$M$175</f>
        <v>0</v>
      </c>
      <c r="AH1237" s="638"/>
      <c r="AI1237" s="698">
        <f>SUM(AH517:AH521)/1.18-SUM(AH1232:AH1236)*'Mark Up Validation'!$M$175</f>
        <v>0</v>
      </c>
      <c r="AJ1237" s="65"/>
    </row>
    <row r="1238" spans="2:36" ht="13.5" customHeight="1" outlineLevel="1" thickBot="1">
      <c r="B1238" s="82"/>
      <c r="C1238" s="1228" t="s">
        <v>487</v>
      </c>
      <c r="D1238" s="1229"/>
      <c r="E1238" s="699"/>
      <c r="F1238" s="700"/>
      <c r="G1238" s="701"/>
      <c r="H1238" s="700"/>
      <c r="I1238" s="701"/>
      <c r="J1238" s="700"/>
      <c r="K1238" s="702"/>
      <c r="L1238" s="700"/>
      <c r="M1238" s="702"/>
      <c r="N1238" s="700"/>
      <c r="O1238" s="702"/>
      <c r="P1238" s="700"/>
      <c r="Q1238" s="702"/>
      <c r="R1238" s="703"/>
      <c r="S1238" s="729">
        <f>IF(S1237&gt;0,S1237/(SUM(R517:R521)/1.18),0)</f>
        <v>0</v>
      </c>
      <c r="T1238" s="704"/>
      <c r="U1238" s="702"/>
      <c r="V1238" s="700"/>
      <c r="W1238" s="702"/>
      <c r="X1238" s="700"/>
      <c r="Y1238" s="702"/>
      <c r="Z1238" s="700"/>
      <c r="AA1238" s="702"/>
      <c r="AB1238" s="700"/>
      <c r="AC1238" s="702"/>
      <c r="AD1238" s="700"/>
      <c r="AE1238" s="702"/>
      <c r="AF1238" s="705"/>
      <c r="AG1238" s="729">
        <f>IF(AG1237&gt;0,AG1237/(SUM(AF517:AF521)/1.18),0)</f>
        <v>0</v>
      </c>
      <c r="AH1238" s="706"/>
      <c r="AI1238" s="729">
        <f>IF(AI1237&gt;0,AI1237/(SUM(AH517:AH521)/1.18),0)</f>
        <v>0</v>
      </c>
      <c r="AJ1238" s="65"/>
    </row>
    <row r="1239" spans="2:36" ht="12.75" customHeight="1" outlineLevel="1">
      <c r="B1239" s="82">
        <f>B1232+1</f>
        <v>75</v>
      </c>
      <c r="C1239" s="1230">
        <f>C524</f>
        <v>0</v>
      </c>
      <c r="D1239" s="1230">
        <f>D524</f>
        <v>0</v>
      </c>
      <c r="E1239" s="83" t="str">
        <f>'Terms and Turnovers'!$J$12</f>
        <v>FLIP-FLOPS</v>
      </c>
      <c r="F1239" s="68">
        <f>F524/'Terms and Turnovers'!$J90</f>
        <v>0</v>
      </c>
      <c r="G1239" s="106"/>
      <c r="H1239" s="68">
        <f>H524/'Terms and Turnovers'!$J90</f>
        <v>0</v>
      </c>
      <c r="I1239" s="106"/>
      <c r="J1239" s="68">
        <f>J524/'Terms and Turnovers'!$J90</f>
        <v>0</v>
      </c>
      <c r="K1239" s="106"/>
      <c r="L1239" s="68">
        <f>L524/'Terms and Turnovers'!$J90</f>
        <v>0</v>
      </c>
      <c r="M1239" s="106"/>
      <c r="N1239" s="68">
        <f>N524/'Terms and Turnovers'!$J90</f>
        <v>0</v>
      </c>
      <c r="O1239" s="106"/>
      <c r="P1239" s="68">
        <f>P524/'Terms and Turnovers'!$J90</f>
        <v>0</v>
      </c>
      <c r="Q1239" s="106"/>
      <c r="R1239" s="129">
        <f t="shared" si="107"/>
        <v>0</v>
      </c>
      <c r="S1239" s="106"/>
      <c r="T1239" s="68">
        <f>T524/'Terms and Turnovers'!$O90</f>
        <v>0</v>
      </c>
      <c r="U1239" s="106"/>
      <c r="V1239" s="68">
        <f>V524/'Terms and Turnovers'!$O90</f>
        <v>0</v>
      </c>
      <c r="W1239" s="106"/>
      <c r="X1239" s="68">
        <f>X524/'Terms and Turnovers'!$O90</f>
        <v>0</v>
      </c>
      <c r="Y1239" s="106"/>
      <c r="Z1239" s="68">
        <f>Z524/'Terms and Turnovers'!$O90</f>
        <v>0</v>
      </c>
      <c r="AA1239" s="106"/>
      <c r="AB1239" s="68">
        <f>AB524/'Terms and Turnovers'!$O90</f>
        <v>0</v>
      </c>
      <c r="AC1239" s="106"/>
      <c r="AD1239" s="68">
        <f>AD524/'Terms and Turnovers'!$O90</f>
        <v>0</v>
      </c>
      <c r="AE1239" s="106"/>
      <c r="AF1239" s="129">
        <f t="shared" si="108"/>
        <v>0</v>
      </c>
      <c r="AG1239" s="106"/>
      <c r="AH1239" s="130">
        <f t="shared" si="109"/>
        <v>0</v>
      </c>
      <c r="AI1239" s="106"/>
      <c r="AJ1239" s="65"/>
    </row>
    <row r="1240" spans="2:36" ht="12.75" customHeight="1" outlineLevel="1">
      <c r="B1240" s="82"/>
      <c r="C1240" s="1231"/>
      <c r="D1240" s="1231"/>
      <c r="E1240" s="84" t="str">
        <f>'Terms and Turnovers'!$T$12</f>
        <v>ORIGINALS</v>
      </c>
      <c r="F1240" s="70">
        <f>F525/'Terms and Turnovers'!$T90</f>
        <v>0</v>
      </c>
      <c r="G1240" s="728"/>
      <c r="H1240" s="70">
        <f>H525/'Terms and Turnovers'!$T90</f>
        <v>0</v>
      </c>
      <c r="I1240" s="728"/>
      <c r="J1240" s="70">
        <f>J525/'Terms and Turnovers'!$T90</f>
        <v>0</v>
      </c>
      <c r="K1240" s="728"/>
      <c r="L1240" s="70">
        <f>L525/'Terms and Turnovers'!$T90</f>
        <v>0</v>
      </c>
      <c r="M1240" s="728"/>
      <c r="N1240" s="70">
        <f>N525/'Terms and Turnovers'!$T90</f>
        <v>0</v>
      </c>
      <c r="O1240" s="728"/>
      <c r="P1240" s="70">
        <f>P525/'Terms and Turnovers'!$T90</f>
        <v>0</v>
      </c>
      <c r="Q1240" s="728"/>
      <c r="R1240" s="132">
        <f t="shared" si="107"/>
        <v>0</v>
      </c>
      <c r="S1240" s="728"/>
      <c r="T1240" s="70">
        <f>T525/'Terms and Turnovers'!$Y90</f>
        <v>0</v>
      </c>
      <c r="U1240" s="728"/>
      <c r="V1240" s="70">
        <f>V525/'Terms and Turnovers'!$Y90</f>
        <v>0</v>
      </c>
      <c r="W1240" s="728"/>
      <c r="X1240" s="70">
        <f>X525/'Terms and Turnovers'!$Y90</f>
        <v>0</v>
      </c>
      <c r="Y1240" s="728"/>
      <c r="Z1240" s="70">
        <f>Z525/'Terms and Turnovers'!$Y90</f>
        <v>0</v>
      </c>
      <c r="AA1240" s="728"/>
      <c r="AB1240" s="70">
        <f>AB525/'Terms and Turnovers'!$Y90</f>
        <v>0</v>
      </c>
      <c r="AC1240" s="728"/>
      <c r="AD1240" s="70">
        <f>AD525/'Terms and Turnovers'!$Y90</f>
        <v>0</v>
      </c>
      <c r="AE1240" s="728"/>
      <c r="AF1240" s="132">
        <f t="shared" si="108"/>
        <v>0</v>
      </c>
      <c r="AG1240" s="728"/>
      <c r="AH1240" s="133">
        <f t="shared" si="109"/>
        <v>0</v>
      </c>
      <c r="AI1240" s="728"/>
      <c r="AJ1240" s="65"/>
    </row>
    <row r="1241" spans="2:36" ht="12.75" customHeight="1" outlineLevel="1">
      <c r="B1241" s="82"/>
      <c r="C1241" s="1231"/>
      <c r="D1241" s="1231"/>
      <c r="E1241" s="84" t="str">
        <f>'Terms and Turnovers'!$AD$12</f>
        <v>ACCESSORIES</v>
      </c>
      <c r="F1241" s="70">
        <f>F526/'Terms and Turnovers'!$AD90</f>
        <v>0</v>
      </c>
      <c r="G1241" s="728"/>
      <c r="H1241" s="70">
        <f>H526/'Terms and Turnovers'!$AD90</f>
        <v>0</v>
      </c>
      <c r="I1241" s="728"/>
      <c r="J1241" s="70">
        <f>J526/'Terms and Turnovers'!$AD90</f>
        <v>0</v>
      </c>
      <c r="K1241" s="728"/>
      <c r="L1241" s="70">
        <f>L526/'Terms and Turnovers'!$AD90</f>
        <v>0</v>
      </c>
      <c r="M1241" s="728"/>
      <c r="N1241" s="70">
        <f>N526/'Terms and Turnovers'!$AD90</f>
        <v>0</v>
      </c>
      <c r="O1241" s="728"/>
      <c r="P1241" s="70">
        <f>P526/'Terms and Turnovers'!$AD90</f>
        <v>0</v>
      </c>
      <c r="Q1241" s="728"/>
      <c r="R1241" s="132">
        <f t="shared" si="107"/>
        <v>0</v>
      </c>
      <c r="S1241" s="728"/>
      <c r="T1241" s="70">
        <f>T526/'Terms and Turnovers'!$AI90</f>
        <v>0</v>
      </c>
      <c r="U1241" s="728"/>
      <c r="V1241" s="70">
        <f>V526/'Terms and Turnovers'!$AI90</f>
        <v>0</v>
      </c>
      <c r="W1241" s="728"/>
      <c r="X1241" s="70">
        <f>X526/'Terms and Turnovers'!$AI90</f>
        <v>0</v>
      </c>
      <c r="Y1241" s="728"/>
      <c r="Z1241" s="70">
        <f>Z526/'Terms and Turnovers'!$AI90</f>
        <v>0</v>
      </c>
      <c r="AA1241" s="728"/>
      <c r="AB1241" s="70">
        <f>AB526/'Terms and Turnovers'!$AI90</f>
        <v>0</v>
      </c>
      <c r="AC1241" s="728"/>
      <c r="AD1241" s="70">
        <f>AD526/'Terms and Turnovers'!$AI90</f>
        <v>0</v>
      </c>
      <c r="AE1241" s="728"/>
      <c r="AF1241" s="132">
        <f t="shared" si="108"/>
        <v>0</v>
      </c>
      <c r="AG1241" s="728"/>
      <c r="AH1241" s="133">
        <f t="shared" si="109"/>
        <v>0</v>
      </c>
      <c r="AI1241" s="728"/>
      <c r="AJ1241" s="65"/>
    </row>
    <row r="1242" spans="2:36" ht="12.75" customHeight="1" outlineLevel="1">
      <c r="B1242" s="82"/>
      <c r="C1242" s="1231"/>
      <c r="D1242" s="1231"/>
      <c r="E1242" s="84">
        <f>'Terms and Turnovers'!$AN$12</f>
        <v>0</v>
      </c>
      <c r="F1242" s="70">
        <f>F527/'Terms and Turnovers'!$AN90</f>
        <v>0</v>
      </c>
      <c r="G1242" s="728"/>
      <c r="H1242" s="70">
        <f>H527/'Terms and Turnovers'!$AN90</f>
        <v>0</v>
      </c>
      <c r="I1242" s="728"/>
      <c r="J1242" s="70">
        <f>J527/'Terms and Turnovers'!$AN90</f>
        <v>0</v>
      </c>
      <c r="K1242" s="728"/>
      <c r="L1242" s="70">
        <f>L527/'Terms and Turnovers'!$AN90</f>
        <v>0</v>
      </c>
      <c r="M1242" s="728"/>
      <c r="N1242" s="70">
        <f>N527/'Terms and Turnovers'!$AN90</f>
        <v>0</v>
      </c>
      <c r="O1242" s="728"/>
      <c r="P1242" s="70">
        <f>P527/'Terms and Turnovers'!$AN90</f>
        <v>0</v>
      </c>
      <c r="Q1242" s="728"/>
      <c r="R1242" s="132">
        <f t="shared" si="107"/>
        <v>0</v>
      </c>
      <c r="S1242" s="728"/>
      <c r="T1242" s="70">
        <f>T527/'Terms and Turnovers'!$AS90</f>
        <v>0</v>
      </c>
      <c r="U1242" s="728"/>
      <c r="V1242" s="70">
        <f>V527/'Terms and Turnovers'!$AS90</f>
        <v>0</v>
      </c>
      <c r="W1242" s="728"/>
      <c r="X1242" s="70">
        <f>X527/'Terms and Turnovers'!$AS90</f>
        <v>0</v>
      </c>
      <c r="Y1242" s="728"/>
      <c r="Z1242" s="70">
        <f>Z527/'Terms and Turnovers'!$AS90</f>
        <v>0</v>
      </c>
      <c r="AA1242" s="728"/>
      <c r="AB1242" s="70">
        <f>AB527/'Terms and Turnovers'!$AS90</f>
        <v>0</v>
      </c>
      <c r="AC1242" s="728"/>
      <c r="AD1242" s="70">
        <f>AD527/'Terms and Turnovers'!$AS90</f>
        <v>0</v>
      </c>
      <c r="AE1242" s="728"/>
      <c r="AF1242" s="132">
        <f t="shared" si="108"/>
        <v>0</v>
      </c>
      <c r="AG1242" s="728"/>
      <c r="AH1242" s="133">
        <f t="shared" si="109"/>
        <v>0</v>
      </c>
      <c r="AI1242" s="728"/>
      <c r="AJ1242" s="65"/>
    </row>
    <row r="1243" spans="2:36" ht="13.5" customHeight="1" outlineLevel="1" thickBot="1">
      <c r="B1243" s="82"/>
      <c r="C1243" s="1232"/>
      <c r="D1243" s="1232"/>
      <c r="E1243" s="85">
        <f>'Terms and Turnovers'!$AX$12</f>
        <v>0</v>
      </c>
      <c r="F1243" s="70">
        <f>F528/'Terms and Turnovers'!$AX90</f>
        <v>0</v>
      </c>
      <c r="G1243" s="111"/>
      <c r="H1243" s="70">
        <f>H528/'Terms and Turnovers'!$AX90</f>
        <v>0</v>
      </c>
      <c r="I1243" s="107"/>
      <c r="J1243" s="70">
        <f>J528/'Terms and Turnovers'!$AX90</f>
        <v>0</v>
      </c>
      <c r="K1243" s="107"/>
      <c r="L1243" s="70">
        <f>L528/'Terms and Turnovers'!$AX90</f>
        <v>0</v>
      </c>
      <c r="M1243" s="107"/>
      <c r="N1243" s="70">
        <f>N528/'Terms and Turnovers'!$AX90</f>
        <v>0</v>
      </c>
      <c r="O1243" s="107"/>
      <c r="P1243" s="70">
        <f>P528/'Terms and Turnovers'!$AX90</f>
        <v>0</v>
      </c>
      <c r="Q1243" s="107"/>
      <c r="R1243" s="135">
        <f t="shared" si="107"/>
        <v>0</v>
      </c>
      <c r="S1243" s="107"/>
      <c r="T1243" s="70">
        <f>T528/'Terms and Turnovers'!$AX$90</f>
        <v>0</v>
      </c>
      <c r="U1243" s="111"/>
      <c r="V1243" s="70">
        <f>V528/'Terms and Turnovers'!$AX$90</f>
        <v>0</v>
      </c>
      <c r="W1243" s="107"/>
      <c r="X1243" s="70">
        <f>X528/'Terms and Turnovers'!$AX$90</f>
        <v>0</v>
      </c>
      <c r="Y1243" s="107"/>
      <c r="Z1243" s="70">
        <f>Z528/'Terms and Turnovers'!$AX$90</f>
        <v>0</v>
      </c>
      <c r="AA1243" s="107"/>
      <c r="AB1243" s="70">
        <f>AB528/'Terms and Turnovers'!$AX$90</f>
        <v>0</v>
      </c>
      <c r="AC1243" s="107"/>
      <c r="AD1243" s="70">
        <f>AD528/'Terms and Turnovers'!$AX$90</f>
        <v>0</v>
      </c>
      <c r="AE1243" s="107"/>
      <c r="AF1243" s="135">
        <f t="shared" si="108"/>
        <v>0</v>
      </c>
      <c r="AG1243" s="107"/>
      <c r="AH1243" s="136">
        <f t="shared" si="109"/>
        <v>0</v>
      </c>
      <c r="AI1243" s="107"/>
      <c r="AJ1243" s="65"/>
    </row>
    <row r="1244" spans="2:36" ht="13.5" customHeight="1" outlineLevel="1">
      <c r="B1244" s="82"/>
      <c r="C1244" s="425"/>
      <c r="D1244" s="425"/>
      <c r="E1244" s="634"/>
      <c r="F1244" s="635"/>
      <c r="G1244" s="428"/>
      <c r="H1244" s="635"/>
      <c r="I1244" s="428"/>
      <c r="J1244" s="635"/>
      <c r="K1244" s="636"/>
      <c r="L1244" s="635"/>
      <c r="M1244" s="636"/>
      <c r="N1244" s="635"/>
      <c r="O1244" s="636"/>
      <c r="P1244" s="635"/>
      <c r="Q1244" s="636"/>
      <c r="R1244" s="637"/>
      <c r="S1244" s="698">
        <f>SUM(R524:R528)/1.18-(SUM(R1239:R1243)*'Mark Up Validation'!$M$175)</f>
        <v>0</v>
      </c>
      <c r="T1244" s="635"/>
      <c r="U1244" s="636"/>
      <c r="V1244" s="635"/>
      <c r="W1244" s="636"/>
      <c r="X1244" s="635"/>
      <c r="Y1244" s="636"/>
      <c r="Z1244" s="635"/>
      <c r="AA1244" s="636"/>
      <c r="AB1244" s="635"/>
      <c r="AC1244" s="636"/>
      <c r="AD1244" s="635"/>
      <c r="AE1244" s="636"/>
      <c r="AF1244" s="637"/>
      <c r="AG1244" s="698">
        <f>SUM(AF524:AF528)/1.18-SUM(AF1239:AF1243)*'Mark Up Validation'!$M$175</f>
        <v>0</v>
      </c>
      <c r="AH1244" s="638"/>
      <c r="AI1244" s="698">
        <f>SUM(AH524:AH528)/1.18-SUM(AH1239:AH1243)*'Mark Up Validation'!$M$175</f>
        <v>0</v>
      </c>
      <c r="AJ1244" s="65"/>
    </row>
    <row r="1245" spans="2:36" ht="13.5" customHeight="1" outlineLevel="1" thickBot="1">
      <c r="B1245" s="82"/>
      <c r="C1245" s="1228" t="s">
        <v>487</v>
      </c>
      <c r="D1245" s="1229"/>
      <c r="E1245" s="699"/>
      <c r="F1245" s="700"/>
      <c r="G1245" s="701"/>
      <c r="H1245" s="700"/>
      <c r="I1245" s="701"/>
      <c r="J1245" s="700"/>
      <c r="K1245" s="702"/>
      <c r="L1245" s="700"/>
      <c r="M1245" s="702"/>
      <c r="N1245" s="700"/>
      <c r="O1245" s="702"/>
      <c r="P1245" s="700"/>
      <c r="Q1245" s="702"/>
      <c r="R1245" s="703"/>
      <c r="S1245" s="729">
        <f>IF(S1244&gt;0,S1244/(SUM(R524:R528)/1.18),0)</f>
        <v>0</v>
      </c>
      <c r="T1245" s="704"/>
      <c r="U1245" s="702"/>
      <c r="V1245" s="700"/>
      <c r="W1245" s="702"/>
      <c r="X1245" s="700"/>
      <c r="Y1245" s="702"/>
      <c r="Z1245" s="700"/>
      <c r="AA1245" s="702"/>
      <c r="AB1245" s="700"/>
      <c r="AC1245" s="702"/>
      <c r="AD1245" s="700"/>
      <c r="AE1245" s="702"/>
      <c r="AF1245" s="705"/>
      <c r="AG1245" s="729">
        <f>IF(AG1244&gt;0,AG1244/(SUM(AF524:AF528)/1.18),0)</f>
        <v>0</v>
      </c>
      <c r="AH1245" s="706"/>
      <c r="AI1245" s="729">
        <f>IF(AI1244&gt;0,AI1244/(SUM(AH524:AH528)/1.18),0)</f>
        <v>0</v>
      </c>
      <c r="AJ1245" s="65"/>
    </row>
    <row r="1246" spans="2:36" ht="12.75" customHeight="1" outlineLevel="1">
      <c r="B1246" s="82">
        <f>B1239+1</f>
        <v>76</v>
      </c>
      <c r="C1246" s="1233">
        <f>C531</f>
        <v>0</v>
      </c>
      <c r="D1246" s="1233">
        <f>D531</f>
        <v>0</v>
      </c>
      <c r="E1246" s="83" t="str">
        <f>'Terms and Turnovers'!$J$12</f>
        <v>FLIP-FLOPS</v>
      </c>
      <c r="F1246" s="68">
        <f>F531/'Terms and Turnovers'!$J91</f>
        <v>0</v>
      </c>
      <c r="G1246" s="106"/>
      <c r="H1246" s="68">
        <f>H531/'Terms and Turnovers'!$J91</f>
        <v>0</v>
      </c>
      <c r="I1246" s="106"/>
      <c r="J1246" s="68">
        <f>J531/'Terms and Turnovers'!$J91</f>
        <v>0</v>
      </c>
      <c r="K1246" s="106"/>
      <c r="L1246" s="68">
        <f>L531/'Terms and Turnovers'!$J91</f>
        <v>0</v>
      </c>
      <c r="M1246" s="106"/>
      <c r="N1246" s="68">
        <f>N531/'Terms and Turnovers'!$J91</f>
        <v>0</v>
      </c>
      <c r="O1246" s="106"/>
      <c r="P1246" s="68">
        <f>P531/'Terms and Turnovers'!$J91</f>
        <v>0</v>
      </c>
      <c r="Q1246" s="106"/>
      <c r="R1246" s="129">
        <f t="shared" si="107"/>
        <v>0</v>
      </c>
      <c r="S1246" s="106"/>
      <c r="T1246" s="68">
        <f>T531/'Terms and Turnovers'!$O91</f>
        <v>0</v>
      </c>
      <c r="U1246" s="106"/>
      <c r="V1246" s="68">
        <f>V531/'Terms and Turnovers'!$O91</f>
        <v>0</v>
      </c>
      <c r="W1246" s="106"/>
      <c r="X1246" s="68">
        <f>X531/'Terms and Turnovers'!$O91</f>
        <v>0</v>
      </c>
      <c r="Y1246" s="106"/>
      <c r="Z1246" s="68">
        <f>Z531/'Terms and Turnovers'!$O91</f>
        <v>0</v>
      </c>
      <c r="AA1246" s="106"/>
      <c r="AB1246" s="68">
        <f>AB531/'Terms and Turnovers'!$O91</f>
        <v>0</v>
      </c>
      <c r="AC1246" s="106"/>
      <c r="AD1246" s="68">
        <f>AD531/'Terms and Turnovers'!$O91</f>
        <v>0</v>
      </c>
      <c r="AE1246" s="106"/>
      <c r="AF1246" s="129">
        <f t="shared" si="108"/>
        <v>0</v>
      </c>
      <c r="AG1246" s="106"/>
      <c r="AH1246" s="130">
        <f t="shared" si="109"/>
        <v>0</v>
      </c>
      <c r="AI1246" s="106"/>
      <c r="AJ1246" s="65"/>
    </row>
    <row r="1247" spans="2:36" ht="12.75" customHeight="1" outlineLevel="1">
      <c r="B1247" s="82"/>
      <c r="C1247" s="1234"/>
      <c r="D1247" s="1234"/>
      <c r="E1247" s="84" t="str">
        <f>'Terms and Turnovers'!$T$12</f>
        <v>ORIGINALS</v>
      </c>
      <c r="F1247" s="70">
        <f>F532/'Terms and Turnovers'!$T91</f>
        <v>0</v>
      </c>
      <c r="G1247" s="728"/>
      <c r="H1247" s="70">
        <f>H532/'Terms and Turnovers'!$T91</f>
        <v>0</v>
      </c>
      <c r="I1247" s="728"/>
      <c r="J1247" s="70">
        <f>J532/'Terms and Turnovers'!$T91</f>
        <v>0</v>
      </c>
      <c r="K1247" s="728"/>
      <c r="L1247" s="70">
        <f>L532/'Terms and Turnovers'!$T91</f>
        <v>0</v>
      </c>
      <c r="M1247" s="728"/>
      <c r="N1247" s="70">
        <f>N532/'Terms and Turnovers'!$T91</f>
        <v>0</v>
      </c>
      <c r="O1247" s="728"/>
      <c r="P1247" s="70">
        <f>P532/'Terms and Turnovers'!$T91</f>
        <v>0</v>
      </c>
      <c r="Q1247" s="728"/>
      <c r="R1247" s="132">
        <f t="shared" si="107"/>
        <v>0</v>
      </c>
      <c r="S1247" s="728"/>
      <c r="T1247" s="70">
        <f>T532/'Terms and Turnovers'!$Y91</f>
        <v>0</v>
      </c>
      <c r="U1247" s="728"/>
      <c r="V1247" s="70">
        <f>V532/'Terms and Turnovers'!$Y91</f>
        <v>0</v>
      </c>
      <c r="W1247" s="728"/>
      <c r="X1247" s="70">
        <f>X532/'Terms and Turnovers'!$Y91</f>
        <v>0</v>
      </c>
      <c r="Y1247" s="728"/>
      <c r="Z1247" s="70">
        <f>Z532/'Terms and Turnovers'!$Y91</f>
        <v>0</v>
      </c>
      <c r="AA1247" s="728"/>
      <c r="AB1247" s="70">
        <f>AB532/'Terms and Turnovers'!$Y91</f>
        <v>0</v>
      </c>
      <c r="AC1247" s="728"/>
      <c r="AD1247" s="70">
        <f>AD532/'Terms and Turnovers'!$Y91</f>
        <v>0</v>
      </c>
      <c r="AE1247" s="728"/>
      <c r="AF1247" s="132">
        <f t="shared" si="108"/>
        <v>0</v>
      </c>
      <c r="AG1247" s="728"/>
      <c r="AH1247" s="133">
        <f t="shared" si="109"/>
        <v>0</v>
      </c>
      <c r="AI1247" s="728"/>
      <c r="AJ1247" s="65"/>
    </row>
    <row r="1248" spans="2:36" ht="12.75" customHeight="1" outlineLevel="1">
      <c r="B1248" s="82"/>
      <c r="C1248" s="1234"/>
      <c r="D1248" s="1234"/>
      <c r="E1248" s="84" t="str">
        <f>'Terms and Turnovers'!$AD$12</f>
        <v>ACCESSORIES</v>
      </c>
      <c r="F1248" s="70">
        <f>F533/'Terms and Turnovers'!$AD91</f>
        <v>0</v>
      </c>
      <c r="G1248" s="728"/>
      <c r="H1248" s="70">
        <f>H533/'Terms and Turnovers'!$AD91</f>
        <v>0</v>
      </c>
      <c r="I1248" s="728"/>
      <c r="J1248" s="70">
        <f>J533/'Terms and Turnovers'!$AD91</f>
        <v>0</v>
      </c>
      <c r="K1248" s="728"/>
      <c r="L1248" s="70">
        <f>L533/'Terms and Turnovers'!$AD91</f>
        <v>0</v>
      </c>
      <c r="M1248" s="728"/>
      <c r="N1248" s="70">
        <f>N533/'Terms and Turnovers'!$AD91</f>
        <v>0</v>
      </c>
      <c r="O1248" s="728"/>
      <c r="P1248" s="70">
        <f>P533/'Terms and Turnovers'!$AD91</f>
        <v>0</v>
      </c>
      <c r="Q1248" s="728"/>
      <c r="R1248" s="132">
        <f t="shared" si="107"/>
        <v>0</v>
      </c>
      <c r="S1248" s="728"/>
      <c r="T1248" s="70">
        <f>T533/'Terms and Turnovers'!$AI91</f>
        <v>0</v>
      </c>
      <c r="U1248" s="728"/>
      <c r="V1248" s="70">
        <f>V533/'Terms and Turnovers'!$AI91</f>
        <v>0</v>
      </c>
      <c r="W1248" s="728"/>
      <c r="X1248" s="70">
        <f>X533/'Terms and Turnovers'!$AI91</f>
        <v>0</v>
      </c>
      <c r="Y1248" s="728"/>
      <c r="Z1248" s="70">
        <f>Z533/'Terms and Turnovers'!$AI91</f>
        <v>0</v>
      </c>
      <c r="AA1248" s="728"/>
      <c r="AB1248" s="70">
        <f>AB533/'Terms and Turnovers'!$AI91</f>
        <v>0</v>
      </c>
      <c r="AC1248" s="728"/>
      <c r="AD1248" s="70">
        <f>AD533/'Terms and Turnovers'!$AI91</f>
        <v>0</v>
      </c>
      <c r="AE1248" s="728"/>
      <c r="AF1248" s="132">
        <f t="shared" si="108"/>
        <v>0</v>
      </c>
      <c r="AG1248" s="728"/>
      <c r="AH1248" s="133">
        <f t="shared" si="109"/>
        <v>0</v>
      </c>
      <c r="AI1248" s="728"/>
      <c r="AJ1248" s="65"/>
    </row>
    <row r="1249" spans="2:36" ht="12.75" customHeight="1" outlineLevel="1">
      <c r="B1249" s="82"/>
      <c r="C1249" s="1234"/>
      <c r="D1249" s="1234"/>
      <c r="E1249" s="84">
        <f>'Terms and Turnovers'!$AN$12</f>
        <v>0</v>
      </c>
      <c r="F1249" s="70">
        <f>F534/'Terms and Turnovers'!$AN91</f>
        <v>0</v>
      </c>
      <c r="G1249" s="728"/>
      <c r="H1249" s="70">
        <f>H534/'Terms and Turnovers'!$AN91</f>
        <v>0</v>
      </c>
      <c r="I1249" s="728"/>
      <c r="J1249" s="70">
        <f>J534/'Terms and Turnovers'!$AN91</f>
        <v>0</v>
      </c>
      <c r="K1249" s="728"/>
      <c r="L1249" s="70">
        <f>L534/'Terms and Turnovers'!$AN91</f>
        <v>0</v>
      </c>
      <c r="M1249" s="728"/>
      <c r="N1249" s="70">
        <f>N534/'Terms and Turnovers'!$AN91</f>
        <v>0</v>
      </c>
      <c r="O1249" s="728"/>
      <c r="P1249" s="70">
        <f>P534/'Terms and Turnovers'!$AN91</f>
        <v>0</v>
      </c>
      <c r="Q1249" s="728"/>
      <c r="R1249" s="132">
        <f t="shared" si="107"/>
        <v>0</v>
      </c>
      <c r="S1249" s="728"/>
      <c r="T1249" s="70">
        <f>T534/'Terms and Turnovers'!$AS91</f>
        <v>0</v>
      </c>
      <c r="U1249" s="728"/>
      <c r="V1249" s="70">
        <f>V534/'Terms and Turnovers'!$AS91</f>
        <v>0</v>
      </c>
      <c r="W1249" s="728"/>
      <c r="X1249" s="70">
        <f>X534/'Terms and Turnovers'!$AS91</f>
        <v>0</v>
      </c>
      <c r="Y1249" s="728"/>
      <c r="Z1249" s="70">
        <f>Z534/'Terms and Turnovers'!$AS91</f>
        <v>0</v>
      </c>
      <c r="AA1249" s="728"/>
      <c r="AB1249" s="70">
        <f>AB534/'Terms and Turnovers'!$AS91</f>
        <v>0</v>
      </c>
      <c r="AC1249" s="728"/>
      <c r="AD1249" s="70">
        <f>AD534/'Terms and Turnovers'!$AS91</f>
        <v>0</v>
      </c>
      <c r="AE1249" s="728"/>
      <c r="AF1249" s="132">
        <f t="shared" si="108"/>
        <v>0</v>
      </c>
      <c r="AG1249" s="728"/>
      <c r="AH1249" s="133">
        <f t="shared" si="109"/>
        <v>0</v>
      </c>
      <c r="AI1249" s="728"/>
      <c r="AJ1249" s="65"/>
    </row>
    <row r="1250" spans="2:36" ht="13.5" customHeight="1" outlineLevel="1" thickBot="1">
      <c r="B1250" s="82"/>
      <c r="C1250" s="1235"/>
      <c r="D1250" s="1235"/>
      <c r="E1250" s="85">
        <f>'Terms and Turnovers'!$AX$12</f>
        <v>0</v>
      </c>
      <c r="F1250" s="70">
        <f>F535/'Terms and Turnovers'!$AX91</f>
        <v>0</v>
      </c>
      <c r="G1250" s="111"/>
      <c r="H1250" s="70">
        <f>H535/'Terms and Turnovers'!$AX91</f>
        <v>0</v>
      </c>
      <c r="I1250" s="107"/>
      <c r="J1250" s="70">
        <f>J535/'Terms and Turnovers'!$AX91</f>
        <v>0</v>
      </c>
      <c r="K1250" s="107"/>
      <c r="L1250" s="70">
        <f>L535/'Terms and Turnovers'!$AX91</f>
        <v>0</v>
      </c>
      <c r="M1250" s="107"/>
      <c r="N1250" s="70">
        <f>N535/'Terms and Turnovers'!$AX91</f>
        <v>0</v>
      </c>
      <c r="O1250" s="107"/>
      <c r="P1250" s="70">
        <f>P535/'Terms and Turnovers'!$AX91</f>
        <v>0</v>
      </c>
      <c r="Q1250" s="107"/>
      <c r="R1250" s="135">
        <f t="shared" si="107"/>
        <v>0</v>
      </c>
      <c r="S1250" s="107"/>
      <c r="T1250" s="70">
        <f>T535/'Terms and Turnovers'!$AX$91</f>
        <v>0</v>
      </c>
      <c r="U1250" s="111"/>
      <c r="V1250" s="70">
        <f>V535/'Terms and Turnovers'!$AX$91</f>
        <v>0</v>
      </c>
      <c r="W1250" s="107"/>
      <c r="X1250" s="70">
        <f>X535/'Terms and Turnovers'!$AX$91</f>
        <v>0</v>
      </c>
      <c r="Y1250" s="107"/>
      <c r="Z1250" s="70">
        <f>Z535/'Terms and Turnovers'!$AX$91</f>
        <v>0</v>
      </c>
      <c r="AA1250" s="107"/>
      <c r="AB1250" s="70">
        <f>AB535/'Terms and Turnovers'!$AX$91</f>
        <v>0</v>
      </c>
      <c r="AC1250" s="107"/>
      <c r="AD1250" s="70">
        <f>AD535/'Terms and Turnovers'!$AX$91</f>
        <v>0</v>
      </c>
      <c r="AE1250" s="107"/>
      <c r="AF1250" s="135">
        <f t="shared" si="108"/>
        <v>0</v>
      </c>
      <c r="AG1250" s="107"/>
      <c r="AH1250" s="136">
        <f t="shared" si="109"/>
        <v>0</v>
      </c>
      <c r="AI1250" s="107"/>
      <c r="AJ1250" s="65"/>
    </row>
    <row r="1251" spans="2:36" ht="13.5" customHeight="1" outlineLevel="1">
      <c r="B1251" s="82"/>
      <c r="C1251" s="425"/>
      <c r="D1251" s="425"/>
      <c r="E1251" s="634"/>
      <c r="F1251" s="635"/>
      <c r="G1251" s="428"/>
      <c r="H1251" s="635"/>
      <c r="I1251" s="428"/>
      <c r="J1251" s="635"/>
      <c r="K1251" s="636"/>
      <c r="L1251" s="635"/>
      <c r="M1251" s="636"/>
      <c r="N1251" s="635"/>
      <c r="O1251" s="636"/>
      <c r="P1251" s="635"/>
      <c r="Q1251" s="636"/>
      <c r="R1251" s="637"/>
      <c r="S1251" s="698">
        <f>SUM(R531:R535)/1.18-(SUM(R1246:R1250)*'Mark Up Validation'!$M$175)</f>
        <v>0</v>
      </c>
      <c r="T1251" s="635"/>
      <c r="U1251" s="636"/>
      <c r="V1251" s="635"/>
      <c r="W1251" s="636"/>
      <c r="X1251" s="635"/>
      <c r="Y1251" s="636"/>
      <c r="Z1251" s="635"/>
      <c r="AA1251" s="636"/>
      <c r="AB1251" s="635"/>
      <c r="AC1251" s="636"/>
      <c r="AD1251" s="635"/>
      <c r="AE1251" s="636"/>
      <c r="AF1251" s="637"/>
      <c r="AG1251" s="698">
        <f>SUM(AF531:AF535)/1.18-SUM(AF1246:AF1250)*'Mark Up Validation'!$M$175</f>
        <v>0</v>
      </c>
      <c r="AH1251" s="638"/>
      <c r="AI1251" s="698">
        <f>SUM(AH531:AH535)/1.18-SUM(AH1246:AH1250)*'Mark Up Validation'!$M$175</f>
        <v>0</v>
      </c>
      <c r="AJ1251" s="65"/>
    </row>
    <row r="1252" spans="2:36" ht="13.5" customHeight="1" outlineLevel="1" thickBot="1">
      <c r="B1252" s="82"/>
      <c r="C1252" s="1228" t="s">
        <v>487</v>
      </c>
      <c r="D1252" s="1229"/>
      <c r="E1252" s="699"/>
      <c r="F1252" s="700"/>
      <c r="G1252" s="701"/>
      <c r="H1252" s="700"/>
      <c r="I1252" s="701"/>
      <c r="J1252" s="700"/>
      <c r="K1252" s="702"/>
      <c r="L1252" s="700"/>
      <c r="M1252" s="702"/>
      <c r="N1252" s="700"/>
      <c r="O1252" s="702"/>
      <c r="P1252" s="700"/>
      <c r="Q1252" s="702"/>
      <c r="R1252" s="703"/>
      <c r="S1252" s="729">
        <f>IF(S1251&gt;0,S1251/(SUM(R531:R535)/1.18),0)</f>
        <v>0</v>
      </c>
      <c r="T1252" s="704"/>
      <c r="U1252" s="702"/>
      <c r="V1252" s="700"/>
      <c r="W1252" s="702"/>
      <c r="X1252" s="700"/>
      <c r="Y1252" s="702"/>
      <c r="Z1252" s="700"/>
      <c r="AA1252" s="702"/>
      <c r="AB1252" s="700"/>
      <c r="AC1252" s="702"/>
      <c r="AD1252" s="700"/>
      <c r="AE1252" s="702"/>
      <c r="AF1252" s="705"/>
      <c r="AG1252" s="729">
        <f>IF(AG1251&gt;0,AG1251/(SUM(AF531:AF535)/1.18),0)</f>
        <v>0</v>
      </c>
      <c r="AH1252" s="706"/>
      <c r="AI1252" s="729">
        <f>IF(AI1251&gt;0,AI1251/(SUM(AH531:AH535)/1.18),0)</f>
        <v>0</v>
      </c>
      <c r="AJ1252" s="65"/>
    </row>
    <row r="1253" spans="2:36" ht="12.75" customHeight="1" outlineLevel="1">
      <c r="B1253" s="82">
        <f>B1246+1</f>
        <v>77</v>
      </c>
      <c r="C1253" s="1230">
        <f>C538</f>
        <v>0</v>
      </c>
      <c r="D1253" s="1230">
        <f>D538</f>
        <v>0</v>
      </c>
      <c r="E1253" s="83" t="str">
        <f>'Terms and Turnovers'!$J$12</f>
        <v>FLIP-FLOPS</v>
      </c>
      <c r="F1253" s="68">
        <f>F538/'Terms and Turnovers'!$J92</f>
        <v>0</v>
      </c>
      <c r="G1253" s="106"/>
      <c r="H1253" s="68">
        <f>H538/'Terms and Turnovers'!$J92</f>
        <v>0</v>
      </c>
      <c r="I1253" s="106"/>
      <c r="J1253" s="68">
        <f>J538/'Terms and Turnovers'!$J92</f>
        <v>0</v>
      </c>
      <c r="K1253" s="106"/>
      <c r="L1253" s="68">
        <f>L538/'Terms and Turnovers'!$J92</f>
        <v>0</v>
      </c>
      <c r="M1253" s="106"/>
      <c r="N1253" s="68">
        <f>N538/'Terms and Turnovers'!$J92</f>
        <v>0</v>
      </c>
      <c r="O1253" s="106"/>
      <c r="P1253" s="68">
        <f>P538/'Terms and Turnovers'!$J92</f>
        <v>0</v>
      </c>
      <c r="Q1253" s="106"/>
      <c r="R1253" s="129">
        <f t="shared" si="107"/>
        <v>0</v>
      </c>
      <c r="S1253" s="106"/>
      <c r="T1253" s="68">
        <f>T538/'Terms and Turnovers'!$O92</f>
        <v>0</v>
      </c>
      <c r="U1253" s="106"/>
      <c r="V1253" s="68">
        <f>V538/'Terms and Turnovers'!$O92</f>
        <v>0</v>
      </c>
      <c r="W1253" s="106"/>
      <c r="X1253" s="68">
        <f>X538/'Terms and Turnovers'!$O92</f>
        <v>0</v>
      </c>
      <c r="Y1253" s="106"/>
      <c r="Z1253" s="68">
        <f>Z538/'Terms and Turnovers'!$O92</f>
        <v>0</v>
      </c>
      <c r="AA1253" s="106"/>
      <c r="AB1253" s="68">
        <f>AB538/'Terms and Turnovers'!$O92</f>
        <v>0</v>
      </c>
      <c r="AC1253" s="106"/>
      <c r="AD1253" s="68">
        <f>AD538/'Terms and Turnovers'!$O92</f>
        <v>0</v>
      </c>
      <c r="AE1253" s="106"/>
      <c r="AF1253" s="129">
        <f t="shared" si="108"/>
        <v>0</v>
      </c>
      <c r="AG1253" s="106"/>
      <c r="AH1253" s="130">
        <f t="shared" si="109"/>
        <v>0</v>
      </c>
      <c r="AI1253" s="106"/>
      <c r="AJ1253" s="65"/>
    </row>
    <row r="1254" spans="2:36" ht="12.75" customHeight="1" outlineLevel="1">
      <c r="B1254" s="82"/>
      <c r="C1254" s="1231"/>
      <c r="D1254" s="1231"/>
      <c r="E1254" s="84" t="str">
        <f>'Terms and Turnovers'!$T$12</f>
        <v>ORIGINALS</v>
      </c>
      <c r="F1254" s="70">
        <f>F539/'Terms and Turnovers'!$T92</f>
        <v>0</v>
      </c>
      <c r="G1254" s="728"/>
      <c r="H1254" s="70">
        <f>H539/'Terms and Turnovers'!$T92</f>
        <v>0</v>
      </c>
      <c r="I1254" s="728"/>
      <c r="J1254" s="70">
        <f>J539/'Terms and Turnovers'!$T92</f>
        <v>0</v>
      </c>
      <c r="K1254" s="728"/>
      <c r="L1254" s="70">
        <f>L539/'Terms and Turnovers'!$T92</f>
        <v>0</v>
      </c>
      <c r="M1254" s="728"/>
      <c r="N1254" s="70">
        <f>N539/'Terms and Turnovers'!$T92</f>
        <v>0</v>
      </c>
      <c r="O1254" s="728"/>
      <c r="P1254" s="70">
        <f>P539/'Terms and Turnovers'!$T92</f>
        <v>0</v>
      </c>
      <c r="Q1254" s="728"/>
      <c r="R1254" s="132">
        <f t="shared" si="107"/>
        <v>0</v>
      </c>
      <c r="S1254" s="728"/>
      <c r="T1254" s="70">
        <f>T539/'Terms and Turnovers'!$Y92</f>
        <v>0</v>
      </c>
      <c r="U1254" s="728"/>
      <c r="V1254" s="70">
        <f>V539/'Terms and Turnovers'!$Y92</f>
        <v>0</v>
      </c>
      <c r="W1254" s="728"/>
      <c r="X1254" s="70">
        <f>X539/'Terms and Turnovers'!$Y92</f>
        <v>0</v>
      </c>
      <c r="Y1254" s="728"/>
      <c r="Z1254" s="70">
        <f>Z539/'Terms and Turnovers'!$Y92</f>
        <v>0</v>
      </c>
      <c r="AA1254" s="728"/>
      <c r="AB1254" s="70">
        <f>AB539/'Terms and Turnovers'!$Y92</f>
        <v>0</v>
      </c>
      <c r="AC1254" s="728"/>
      <c r="AD1254" s="70">
        <f>AD539/'Terms and Turnovers'!$Y92</f>
        <v>0</v>
      </c>
      <c r="AE1254" s="728"/>
      <c r="AF1254" s="132">
        <f t="shared" si="108"/>
        <v>0</v>
      </c>
      <c r="AG1254" s="728"/>
      <c r="AH1254" s="133">
        <f t="shared" si="109"/>
        <v>0</v>
      </c>
      <c r="AI1254" s="728"/>
      <c r="AJ1254" s="65"/>
    </row>
    <row r="1255" spans="2:36" ht="12.75" customHeight="1" outlineLevel="1">
      <c r="B1255" s="82"/>
      <c r="C1255" s="1231"/>
      <c r="D1255" s="1231"/>
      <c r="E1255" s="84" t="str">
        <f>'Terms and Turnovers'!$AD$12</f>
        <v>ACCESSORIES</v>
      </c>
      <c r="F1255" s="70">
        <f>F540/'Terms and Turnovers'!$AD92</f>
        <v>0</v>
      </c>
      <c r="G1255" s="728"/>
      <c r="H1255" s="70">
        <f>H540/'Terms and Turnovers'!$AD92</f>
        <v>0</v>
      </c>
      <c r="I1255" s="728"/>
      <c r="J1255" s="70">
        <f>J540/'Terms and Turnovers'!$AD92</f>
        <v>0</v>
      </c>
      <c r="K1255" s="728"/>
      <c r="L1255" s="70">
        <f>L540/'Terms and Turnovers'!$AD92</f>
        <v>0</v>
      </c>
      <c r="M1255" s="728"/>
      <c r="N1255" s="70">
        <f>N540/'Terms and Turnovers'!$AD92</f>
        <v>0</v>
      </c>
      <c r="O1255" s="728"/>
      <c r="P1255" s="70">
        <f>P540/'Terms and Turnovers'!$AD92</f>
        <v>0</v>
      </c>
      <c r="Q1255" s="728"/>
      <c r="R1255" s="132">
        <f t="shared" si="107"/>
        <v>0</v>
      </c>
      <c r="S1255" s="728"/>
      <c r="T1255" s="70">
        <f>T540/'Terms and Turnovers'!$AI92</f>
        <v>0</v>
      </c>
      <c r="U1255" s="728"/>
      <c r="V1255" s="70">
        <f>V540/'Terms and Turnovers'!$AI92</f>
        <v>0</v>
      </c>
      <c r="W1255" s="728"/>
      <c r="X1255" s="70">
        <f>X540/'Terms and Turnovers'!$AI92</f>
        <v>0</v>
      </c>
      <c r="Y1255" s="728"/>
      <c r="Z1255" s="70">
        <f>Z540/'Terms and Turnovers'!$AI92</f>
        <v>0</v>
      </c>
      <c r="AA1255" s="728"/>
      <c r="AB1255" s="70">
        <f>AB540/'Terms and Turnovers'!$AI92</f>
        <v>0</v>
      </c>
      <c r="AC1255" s="728"/>
      <c r="AD1255" s="70">
        <f>AD540/'Terms and Turnovers'!$AI92</f>
        <v>0</v>
      </c>
      <c r="AE1255" s="728"/>
      <c r="AF1255" s="132">
        <f t="shared" si="108"/>
        <v>0</v>
      </c>
      <c r="AG1255" s="728"/>
      <c r="AH1255" s="133">
        <f t="shared" si="109"/>
        <v>0</v>
      </c>
      <c r="AI1255" s="728"/>
      <c r="AJ1255" s="65"/>
    </row>
    <row r="1256" spans="2:36" ht="12.75" customHeight="1" outlineLevel="1">
      <c r="B1256" s="82"/>
      <c r="C1256" s="1231"/>
      <c r="D1256" s="1231"/>
      <c r="E1256" s="84">
        <f>'Terms and Turnovers'!$AN$12</f>
        <v>0</v>
      </c>
      <c r="F1256" s="70">
        <f>F541/'Terms and Turnovers'!$AN92</f>
        <v>0</v>
      </c>
      <c r="G1256" s="728"/>
      <c r="H1256" s="70">
        <f>H541/'Terms and Turnovers'!$AN92</f>
        <v>0</v>
      </c>
      <c r="I1256" s="728"/>
      <c r="J1256" s="70">
        <f>J541/'Terms and Turnovers'!$AN92</f>
        <v>0</v>
      </c>
      <c r="K1256" s="728"/>
      <c r="L1256" s="70">
        <f>L541/'Terms and Turnovers'!$AN92</f>
        <v>0</v>
      </c>
      <c r="M1256" s="728"/>
      <c r="N1256" s="70">
        <f>N541/'Terms and Turnovers'!$AN92</f>
        <v>0</v>
      </c>
      <c r="O1256" s="728"/>
      <c r="P1256" s="70">
        <f>P541/'Terms and Turnovers'!$AN92</f>
        <v>0</v>
      </c>
      <c r="Q1256" s="728"/>
      <c r="R1256" s="132">
        <f t="shared" si="107"/>
        <v>0</v>
      </c>
      <c r="S1256" s="728"/>
      <c r="T1256" s="70">
        <f>T541/'Terms and Turnovers'!$AS92</f>
        <v>0</v>
      </c>
      <c r="U1256" s="728"/>
      <c r="V1256" s="70">
        <f>V541/'Terms and Turnovers'!$AS92</f>
        <v>0</v>
      </c>
      <c r="W1256" s="728"/>
      <c r="X1256" s="70">
        <f>X541/'Terms and Turnovers'!$AS92</f>
        <v>0</v>
      </c>
      <c r="Y1256" s="728"/>
      <c r="Z1256" s="70">
        <f>Z541/'Terms and Turnovers'!$AS92</f>
        <v>0</v>
      </c>
      <c r="AA1256" s="728"/>
      <c r="AB1256" s="70">
        <f>AB541/'Terms and Turnovers'!$AS92</f>
        <v>0</v>
      </c>
      <c r="AC1256" s="728"/>
      <c r="AD1256" s="70">
        <f>AD541/'Terms and Turnovers'!$AS92</f>
        <v>0</v>
      </c>
      <c r="AE1256" s="728"/>
      <c r="AF1256" s="132">
        <f t="shared" si="108"/>
        <v>0</v>
      </c>
      <c r="AG1256" s="728"/>
      <c r="AH1256" s="133">
        <f t="shared" si="109"/>
        <v>0</v>
      </c>
      <c r="AI1256" s="728"/>
      <c r="AJ1256" s="65"/>
    </row>
    <row r="1257" spans="2:36" ht="13.5" customHeight="1" outlineLevel="1" thickBot="1">
      <c r="B1257" s="82"/>
      <c r="C1257" s="1232"/>
      <c r="D1257" s="1232"/>
      <c r="E1257" s="85">
        <f>'Terms and Turnovers'!$AX$12</f>
        <v>0</v>
      </c>
      <c r="F1257" s="70">
        <f>F542/'Terms and Turnovers'!$AX92</f>
        <v>0</v>
      </c>
      <c r="G1257" s="111"/>
      <c r="H1257" s="70">
        <f>H542/'Terms and Turnovers'!$AX92</f>
        <v>0</v>
      </c>
      <c r="I1257" s="107"/>
      <c r="J1257" s="70">
        <f>J542/'Terms and Turnovers'!$AX92</f>
        <v>0</v>
      </c>
      <c r="K1257" s="107"/>
      <c r="L1257" s="70">
        <f>L542/'Terms and Turnovers'!$AX92</f>
        <v>0</v>
      </c>
      <c r="M1257" s="107"/>
      <c r="N1257" s="70">
        <f>N542/'Terms and Turnovers'!$AX92</f>
        <v>0</v>
      </c>
      <c r="O1257" s="107"/>
      <c r="P1257" s="70">
        <f>P542/'Terms and Turnovers'!$AX92</f>
        <v>0</v>
      </c>
      <c r="Q1257" s="107"/>
      <c r="R1257" s="135">
        <f t="shared" ref="R1257:R1346" si="111">SUM(F1257,H1257,J1257,L1257,N1257,P1257)</f>
        <v>0</v>
      </c>
      <c r="S1257" s="107"/>
      <c r="T1257" s="70">
        <f>T542/'Terms and Turnovers'!$AX$92</f>
        <v>0</v>
      </c>
      <c r="U1257" s="111"/>
      <c r="V1257" s="70">
        <f>V542/'Terms and Turnovers'!$AX$92</f>
        <v>0</v>
      </c>
      <c r="W1257" s="107"/>
      <c r="X1257" s="70">
        <f>X542/'Terms and Turnovers'!$AX$92</f>
        <v>0</v>
      </c>
      <c r="Y1257" s="107"/>
      <c r="Z1257" s="70">
        <f>Z542/'Terms and Turnovers'!$AX$92</f>
        <v>0</v>
      </c>
      <c r="AA1257" s="107"/>
      <c r="AB1257" s="70">
        <f>AB542/'Terms and Turnovers'!$AX$92</f>
        <v>0</v>
      </c>
      <c r="AC1257" s="107"/>
      <c r="AD1257" s="70">
        <f>AD542/'Terms and Turnovers'!$AX$92</f>
        <v>0</v>
      </c>
      <c r="AE1257" s="107"/>
      <c r="AF1257" s="135">
        <f t="shared" ref="AF1257:AF1346" si="112">SUM(T1257,V1257,X1257,Z1257,AB1257,AD1257)</f>
        <v>0</v>
      </c>
      <c r="AG1257" s="107"/>
      <c r="AH1257" s="136">
        <f t="shared" si="109"/>
        <v>0</v>
      </c>
      <c r="AI1257" s="107"/>
      <c r="AJ1257" s="65"/>
    </row>
    <row r="1258" spans="2:36" ht="13.5" customHeight="1" outlineLevel="1">
      <c r="B1258" s="82"/>
      <c r="C1258" s="425"/>
      <c r="D1258" s="425"/>
      <c r="E1258" s="634"/>
      <c r="F1258" s="635"/>
      <c r="G1258" s="428"/>
      <c r="H1258" s="635"/>
      <c r="I1258" s="428"/>
      <c r="J1258" s="635"/>
      <c r="K1258" s="636"/>
      <c r="L1258" s="635"/>
      <c r="M1258" s="636"/>
      <c r="N1258" s="635"/>
      <c r="O1258" s="636"/>
      <c r="P1258" s="635"/>
      <c r="Q1258" s="636"/>
      <c r="R1258" s="637"/>
      <c r="S1258" s="698">
        <f>SUM(R538:R542)/1.18-(SUM(R1253:R1257)*'Mark Up Validation'!$M$175)</f>
        <v>0</v>
      </c>
      <c r="T1258" s="635"/>
      <c r="U1258" s="636"/>
      <c r="V1258" s="635"/>
      <c r="W1258" s="636"/>
      <c r="X1258" s="635"/>
      <c r="Y1258" s="636"/>
      <c r="Z1258" s="635"/>
      <c r="AA1258" s="636"/>
      <c r="AB1258" s="635"/>
      <c r="AC1258" s="636"/>
      <c r="AD1258" s="635"/>
      <c r="AE1258" s="636"/>
      <c r="AF1258" s="637"/>
      <c r="AG1258" s="698">
        <f>SUM(AF538:AF542)/1.18-SUM(AF1253:AF1257)*'Mark Up Validation'!$M$175</f>
        <v>0</v>
      </c>
      <c r="AH1258" s="638"/>
      <c r="AI1258" s="698">
        <f>SUM(AH538:AH542)/1.18-SUM(AH1253:AH1257)*'Mark Up Validation'!$M$175</f>
        <v>0</v>
      </c>
      <c r="AJ1258" s="65"/>
    </row>
    <row r="1259" spans="2:36" ht="13.5" customHeight="1" outlineLevel="1" thickBot="1">
      <c r="B1259" s="82"/>
      <c r="C1259" s="1228" t="s">
        <v>487</v>
      </c>
      <c r="D1259" s="1229"/>
      <c r="E1259" s="699"/>
      <c r="F1259" s="700"/>
      <c r="G1259" s="701"/>
      <c r="H1259" s="700"/>
      <c r="I1259" s="701"/>
      <c r="J1259" s="700"/>
      <c r="K1259" s="702"/>
      <c r="L1259" s="700"/>
      <c r="M1259" s="702"/>
      <c r="N1259" s="700"/>
      <c r="O1259" s="702"/>
      <c r="P1259" s="700"/>
      <c r="Q1259" s="702"/>
      <c r="R1259" s="703"/>
      <c r="S1259" s="729">
        <f>IF(S1258&gt;0,S1258/(SUM(R538:R542)/1.18),0)</f>
        <v>0</v>
      </c>
      <c r="T1259" s="704"/>
      <c r="U1259" s="702"/>
      <c r="V1259" s="700"/>
      <c r="W1259" s="702"/>
      <c r="X1259" s="700"/>
      <c r="Y1259" s="702"/>
      <c r="Z1259" s="700"/>
      <c r="AA1259" s="702"/>
      <c r="AB1259" s="700"/>
      <c r="AC1259" s="702"/>
      <c r="AD1259" s="700"/>
      <c r="AE1259" s="702"/>
      <c r="AF1259" s="705"/>
      <c r="AG1259" s="729">
        <f>IF(AG1258&gt;0,AG1258/(SUM(AF538:AF542)/1.18),0)</f>
        <v>0</v>
      </c>
      <c r="AH1259" s="706"/>
      <c r="AI1259" s="729">
        <f>IF(AI1258&gt;0,AI1258/(SUM(AH538:AH542)/1.18),0)</f>
        <v>0</v>
      </c>
      <c r="AJ1259" s="65"/>
    </row>
    <row r="1260" spans="2:36" ht="12.75" customHeight="1" outlineLevel="1">
      <c r="B1260" s="82">
        <f>B1253+1</f>
        <v>78</v>
      </c>
      <c r="C1260" s="1233">
        <f>C545</f>
        <v>0</v>
      </c>
      <c r="D1260" s="1233">
        <f>D545</f>
        <v>0</v>
      </c>
      <c r="E1260" s="83" t="str">
        <f>'Terms and Turnovers'!$J$12</f>
        <v>FLIP-FLOPS</v>
      </c>
      <c r="F1260" s="68">
        <f>F545/'Terms and Turnovers'!$J93</f>
        <v>0</v>
      </c>
      <c r="G1260" s="106"/>
      <c r="H1260" s="68">
        <f>H545/'Terms and Turnovers'!$J93</f>
        <v>0</v>
      </c>
      <c r="I1260" s="106"/>
      <c r="J1260" s="68">
        <f>J545/'Terms and Turnovers'!$J93</f>
        <v>0</v>
      </c>
      <c r="K1260" s="106"/>
      <c r="L1260" s="68">
        <f>L545/'Terms and Turnovers'!$J93</f>
        <v>0</v>
      </c>
      <c r="M1260" s="106"/>
      <c r="N1260" s="68">
        <f>N545/'Terms and Turnovers'!$J93</f>
        <v>0</v>
      </c>
      <c r="O1260" s="106"/>
      <c r="P1260" s="68">
        <f>P545/'Terms and Turnovers'!$J93</f>
        <v>0</v>
      </c>
      <c r="Q1260" s="106"/>
      <c r="R1260" s="129">
        <f t="shared" si="111"/>
        <v>0</v>
      </c>
      <c r="S1260" s="106"/>
      <c r="T1260" s="68">
        <f>T545/'Terms and Turnovers'!$O93</f>
        <v>0</v>
      </c>
      <c r="U1260" s="106"/>
      <c r="V1260" s="68">
        <f>V545/'Terms and Turnovers'!$O93</f>
        <v>0</v>
      </c>
      <c r="W1260" s="106"/>
      <c r="X1260" s="68">
        <f>X545/'Terms and Turnovers'!$O93</f>
        <v>0</v>
      </c>
      <c r="Y1260" s="106"/>
      <c r="Z1260" s="68">
        <f>Z545/'Terms and Turnovers'!$O93</f>
        <v>0</v>
      </c>
      <c r="AA1260" s="106"/>
      <c r="AB1260" s="68">
        <f>AB545/'Terms and Turnovers'!$O93</f>
        <v>0</v>
      </c>
      <c r="AC1260" s="106"/>
      <c r="AD1260" s="68">
        <f>AD545/'Terms and Turnovers'!$O93</f>
        <v>0</v>
      </c>
      <c r="AE1260" s="106"/>
      <c r="AF1260" s="129">
        <f t="shared" si="112"/>
        <v>0</v>
      </c>
      <c r="AG1260" s="106"/>
      <c r="AH1260" s="130">
        <f t="shared" ref="AH1260:AH1347" si="113">SUM(AF1260,R1260)</f>
        <v>0</v>
      </c>
      <c r="AI1260" s="106"/>
      <c r="AJ1260" s="65"/>
    </row>
    <row r="1261" spans="2:36" ht="12.75" customHeight="1" outlineLevel="1">
      <c r="B1261" s="82"/>
      <c r="C1261" s="1234"/>
      <c r="D1261" s="1234"/>
      <c r="E1261" s="84" t="str">
        <f>'Terms and Turnovers'!$T$12</f>
        <v>ORIGINALS</v>
      </c>
      <c r="F1261" s="70">
        <f>F546/'Terms and Turnovers'!$T93</f>
        <v>0</v>
      </c>
      <c r="G1261" s="728"/>
      <c r="H1261" s="70">
        <f>H546/'Terms and Turnovers'!$T93</f>
        <v>0</v>
      </c>
      <c r="I1261" s="728"/>
      <c r="J1261" s="70">
        <f>J546/'Terms and Turnovers'!$T93</f>
        <v>0</v>
      </c>
      <c r="K1261" s="728"/>
      <c r="L1261" s="70">
        <f>L546/'Terms and Turnovers'!$T93</f>
        <v>0</v>
      </c>
      <c r="M1261" s="728"/>
      <c r="N1261" s="70">
        <f>N546/'Terms and Turnovers'!$T93</f>
        <v>0</v>
      </c>
      <c r="O1261" s="728"/>
      <c r="P1261" s="70">
        <f>P546/'Terms and Turnovers'!$T93</f>
        <v>0</v>
      </c>
      <c r="Q1261" s="728"/>
      <c r="R1261" s="132">
        <f t="shared" si="111"/>
        <v>0</v>
      </c>
      <c r="S1261" s="728"/>
      <c r="T1261" s="70">
        <f>T546/'Terms and Turnovers'!$Y93</f>
        <v>0</v>
      </c>
      <c r="U1261" s="728"/>
      <c r="V1261" s="70">
        <f>V546/'Terms and Turnovers'!$Y93</f>
        <v>0</v>
      </c>
      <c r="W1261" s="728"/>
      <c r="X1261" s="70">
        <f>X546/'Terms and Turnovers'!$Y93</f>
        <v>0</v>
      </c>
      <c r="Y1261" s="728"/>
      <c r="Z1261" s="70">
        <f>Z546/'Terms and Turnovers'!$Y93</f>
        <v>0</v>
      </c>
      <c r="AA1261" s="728"/>
      <c r="AB1261" s="70">
        <f>AB546/'Terms and Turnovers'!$Y93</f>
        <v>0</v>
      </c>
      <c r="AC1261" s="728"/>
      <c r="AD1261" s="70">
        <f>AD546/'Terms and Turnovers'!$Y93</f>
        <v>0</v>
      </c>
      <c r="AE1261" s="728"/>
      <c r="AF1261" s="132">
        <f t="shared" si="112"/>
        <v>0</v>
      </c>
      <c r="AG1261" s="728"/>
      <c r="AH1261" s="133">
        <f t="shared" si="113"/>
        <v>0</v>
      </c>
      <c r="AI1261" s="728"/>
      <c r="AJ1261" s="65"/>
    </row>
    <row r="1262" spans="2:36" ht="12.75" customHeight="1" outlineLevel="1">
      <c r="B1262" s="82"/>
      <c r="C1262" s="1234"/>
      <c r="D1262" s="1234"/>
      <c r="E1262" s="84" t="str">
        <f>'Terms and Turnovers'!$AD$12</f>
        <v>ACCESSORIES</v>
      </c>
      <c r="F1262" s="70">
        <f>F547/'Terms and Turnovers'!$AD93</f>
        <v>0</v>
      </c>
      <c r="G1262" s="728"/>
      <c r="H1262" s="70">
        <f>H547/'Terms and Turnovers'!$AD93</f>
        <v>0</v>
      </c>
      <c r="I1262" s="728"/>
      <c r="J1262" s="70">
        <f>J547/'Terms and Turnovers'!$AD93</f>
        <v>0</v>
      </c>
      <c r="K1262" s="728"/>
      <c r="L1262" s="70">
        <f>L547/'Terms and Turnovers'!$AD93</f>
        <v>0</v>
      </c>
      <c r="M1262" s="728"/>
      <c r="N1262" s="70">
        <f>N547/'Terms and Turnovers'!$AD93</f>
        <v>0</v>
      </c>
      <c r="O1262" s="728"/>
      <c r="P1262" s="70">
        <f>P547/'Terms and Turnovers'!$AD93</f>
        <v>0</v>
      </c>
      <c r="Q1262" s="728"/>
      <c r="R1262" s="132">
        <f t="shared" si="111"/>
        <v>0</v>
      </c>
      <c r="S1262" s="728"/>
      <c r="T1262" s="70">
        <f>T547/'Terms and Turnovers'!$AI93</f>
        <v>0</v>
      </c>
      <c r="U1262" s="728"/>
      <c r="V1262" s="70">
        <f>V547/'Terms and Turnovers'!$AI93</f>
        <v>0</v>
      </c>
      <c r="W1262" s="728"/>
      <c r="X1262" s="70">
        <f>X547/'Terms and Turnovers'!$AI93</f>
        <v>0</v>
      </c>
      <c r="Y1262" s="728"/>
      <c r="Z1262" s="70">
        <f>Z547/'Terms and Turnovers'!$AI93</f>
        <v>0</v>
      </c>
      <c r="AA1262" s="728"/>
      <c r="AB1262" s="70">
        <f>AB547/'Terms and Turnovers'!$AI93</f>
        <v>0</v>
      </c>
      <c r="AC1262" s="728"/>
      <c r="AD1262" s="70">
        <f>AD547/'Terms and Turnovers'!$AI93</f>
        <v>0</v>
      </c>
      <c r="AE1262" s="728"/>
      <c r="AF1262" s="132">
        <f t="shared" si="112"/>
        <v>0</v>
      </c>
      <c r="AG1262" s="728"/>
      <c r="AH1262" s="133">
        <f t="shared" si="113"/>
        <v>0</v>
      </c>
      <c r="AI1262" s="728"/>
      <c r="AJ1262" s="65"/>
    </row>
    <row r="1263" spans="2:36" ht="12.75" customHeight="1" outlineLevel="1">
      <c r="B1263" s="82"/>
      <c r="C1263" s="1234"/>
      <c r="D1263" s="1234"/>
      <c r="E1263" s="84">
        <f>'Terms and Turnovers'!$AN$12</f>
        <v>0</v>
      </c>
      <c r="F1263" s="70">
        <f>F548/'Terms and Turnovers'!$AN93</f>
        <v>0</v>
      </c>
      <c r="G1263" s="728"/>
      <c r="H1263" s="70">
        <f>H548/'Terms and Turnovers'!$AN93</f>
        <v>0</v>
      </c>
      <c r="I1263" s="728"/>
      <c r="J1263" s="70">
        <f>J548/'Terms and Turnovers'!$AN93</f>
        <v>0</v>
      </c>
      <c r="K1263" s="728"/>
      <c r="L1263" s="70">
        <f>L548/'Terms and Turnovers'!$AN93</f>
        <v>0</v>
      </c>
      <c r="M1263" s="728"/>
      <c r="N1263" s="70">
        <f>N548/'Terms and Turnovers'!$AN93</f>
        <v>0</v>
      </c>
      <c r="O1263" s="728"/>
      <c r="P1263" s="70">
        <f>P548/'Terms and Turnovers'!$AN93</f>
        <v>0</v>
      </c>
      <c r="Q1263" s="728"/>
      <c r="R1263" s="132">
        <f t="shared" si="111"/>
        <v>0</v>
      </c>
      <c r="S1263" s="728"/>
      <c r="T1263" s="70">
        <f>T548/'Terms and Turnovers'!$AS93</f>
        <v>0</v>
      </c>
      <c r="U1263" s="728"/>
      <c r="V1263" s="70">
        <f>V548/'Terms and Turnovers'!$AS93</f>
        <v>0</v>
      </c>
      <c r="W1263" s="728"/>
      <c r="X1263" s="70">
        <f>X548/'Terms and Turnovers'!$AS93</f>
        <v>0</v>
      </c>
      <c r="Y1263" s="728"/>
      <c r="Z1263" s="70">
        <f>Z548/'Terms and Turnovers'!$AS93</f>
        <v>0</v>
      </c>
      <c r="AA1263" s="728"/>
      <c r="AB1263" s="70">
        <f>AB548/'Terms and Turnovers'!$AS93</f>
        <v>0</v>
      </c>
      <c r="AC1263" s="728"/>
      <c r="AD1263" s="70">
        <f>AD548/'Terms and Turnovers'!$AS93</f>
        <v>0</v>
      </c>
      <c r="AE1263" s="728"/>
      <c r="AF1263" s="132">
        <f t="shared" si="112"/>
        <v>0</v>
      </c>
      <c r="AG1263" s="728"/>
      <c r="AH1263" s="133">
        <f t="shared" si="113"/>
        <v>0</v>
      </c>
      <c r="AI1263" s="728"/>
      <c r="AJ1263" s="65"/>
    </row>
    <row r="1264" spans="2:36" ht="13.5" customHeight="1" outlineLevel="1" thickBot="1">
      <c r="B1264" s="82"/>
      <c r="C1264" s="1235"/>
      <c r="D1264" s="1235"/>
      <c r="E1264" s="85">
        <f>'Terms and Turnovers'!$AX$12</f>
        <v>0</v>
      </c>
      <c r="F1264" s="70">
        <f>F549/'Terms and Turnovers'!$AX93</f>
        <v>0</v>
      </c>
      <c r="G1264" s="111"/>
      <c r="H1264" s="70">
        <f>H549/'Terms and Turnovers'!$AX93</f>
        <v>0</v>
      </c>
      <c r="I1264" s="107"/>
      <c r="J1264" s="70">
        <f>J549/'Terms and Turnovers'!$AX93</f>
        <v>0</v>
      </c>
      <c r="K1264" s="107"/>
      <c r="L1264" s="70">
        <f>L549/'Terms and Turnovers'!$AX93</f>
        <v>0</v>
      </c>
      <c r="M1264" s="107"/>
      <c r="N1264" s="70">
        <f>N549/'Terms and Turnovers'!$AX93</f>
        <v>0</v>
      </c>
      <c r="O1264" s="107"/>
      <c r="P1264" s="70">
        <f>P549/'Terms and Turnovers'!$AX93</f>
        <v>0</v>
      </c>
      <c r="Q1264" s="107"/>
      <c r="R1264" s="135">
        <f t="shared" si="111"/>
        <v>0</v>
      </c>
      <c r="S1264" s="107"/>
      <c r="T1264" s="70">
        <f>T549/'Terms and Turnovers'!$AX$93</f>
        <v>0</v>
      </c>
      <c r="U1264" s="111"/>
      <c r="V1264" s="70">
        <f>V549/'Terms and Turnovers'!$AX$93</f>
        <v>0</v>
      </c>
      <c r="W1264" s="107"/>
      <c r="X1264" s="70">
        <f>X549/'Terms and Turnovers'!$AX$93</f>
        <v>0</v>
      </c>
      <c r="Y1264" s="107"/>
      <c r="Z1264" s="70">
        <f>Z549/'Terms and Turnovers'!$AX$93</f>
        <v>0</v>
      </c>
      <c r="AA1264" s="107"/>
      <c r="AB1264" s="70">
        <f>AB549/'Terms and Turnovers'!$AX$93</f>
        <v>0</v>
      </c>
      <c r="AC1264" s="107"/>
      <c r="AD1264" s="70">
        <f>AD549/'Terms and Turnovers'!$AX$93</f>
        <v>0</v>
      </c>
      <c r="AE1264" s="107"/>
      <c r="AF1264" s="135">
        <f t="shared" si="112"/>
        <v>0</v>
      </c>
      <c r="AG1264" s="107"/>
      <c r="AH1264" s="136">
        <f t="shared" si="113"/>
        <v>0</v>
      </c>
      <c r="AI1264" s="107"/>
      <c r="AJ1264" s="65"/>
    </row>
    <row r="1265" spans="2:36" ht="13.5" customHeight="1" outlineLevel="1">
      <c r="B1265" s="82"/>
      <c r="C1265" s="425"/>
      <c r="D1265" s="425"/>
      <c r="E1265" s="634"/>
      <c r="F1265" s="635"/>
      <c r="G1265" s="428"/>
      <c r="H1265" s="635"/>
      <c r="I1265" s="428"/>
      <c r="J1265" s="635"/>
      <c r="K1265" s="636"/>
      <c r="L1265" s="635"/>
      <c r="M1265" s="636"/>
      <c r="N1265" s="635"/>
      <c r="O1265" s="636"/>
      <c r="P1265" s="635"/>
      <c r="Q1265" s="636"/>
      <c r="R1265" s="637"/>
      <c r="S1265" s="698">
        <f>SUM(R545:R549)/1.18-(SUM(R1260:R1264)*'Mark Up Validation'!$M$175)</f>
        <v>0</v>
      </c>
      <c r="T1265" s="635"/>
      <c r="U1265" s="636"/>
      <c r="V1265" s="635"/>
      <c r="W1265" s="636"/>
      <c r="X1265" s="635"/>
      <c r="Y1265" s="636"/>
      <c r="Z1265" s="635"/>
      <c r="AA1265" s="636"/>
      <c r="AB1265" s="635"/>
      <c r="AC1265" s="636"/>
      <c r="AD1265" s="635"/>
      <c r="AE1265" s="636"/>
      <c r="AF1265" s="637"/>
      <c r="AG1265" s="698">
        <f>SUM(AF545:AF549)/1.18-SUM(AF1260:AF1264)*'Mark Up Validation'!$M$175</f>
        <v>0</v>
      </c>
      <c r="AH1265" s="638"/>
      <c r="AI1265" s="698">
        <f>SUM(AH545:AH549)/1.18-SUM(AH1260:AH1264)*'Mark Up Validation'!$M$175</f>
        <v>0</v>
      </c>
      <c r="AJ1265" s="65"/>
    </row>
    <row r="1266" spans="2:36" ht="13.5" customHeight="1" outlineLevel="1" thickBot="1">
      <c r="B1266" s="82"/>
      <c r="C1266" s="1228" t="s">
        <v>487</v>
      </c>
      <c r="D1266" s="1229"/>
      <c r="E1266" s="699"/>
      <c r="F1266" s="700"/>
      <c r="G1266" s="701"/>
      <c r="H1266" s="700"/>
      <c r="I1266" s="701"/>
      <c r="J1266" s="700"/>
      <c r="K1266" s="702"/>
      <c r="L1266" s="700"/>
      <c r="M1266" s="702"/>
      <c r="N1266" s="700"/>
      <c r="O1266" s="702"/>
      <c r="P1266" s="700"/>
      <c r="Q1266" s="702"/>
      <c r="R1266" s="703"/>
      <c r="S1266" s="729">
        <f>IF(S1265&gt;0,S1265/(SUM(R545:R549)/1.18),0)</f>
        <v>0</v>
      </c>
      <c r="T1266" s="704"/>
      <c r="U1266" s="702"/>
      <c r="V1266" s="700"/>
      <c r="W1266" s="702"/>
      <c r="X1266" s="700"/>
      <c r="Y1266" s="702"/>
      <c r="Z1266" s="700"/>
      <c r="AA1266" s="702"/>
      <c r="AB1266" s="700"/>
      <c r="AC1266" s="702"/>
      <c r="AD1266" s="700"/>
      <c r="AE1266" s="702"/>
      <c r="AF1266" s="705"/>
      <c r="AG1266" s="729">
        <f>IF(AG1265&gt;0,AG1265/(SUM(AF545:AF549)/1.18),0)</f>
        <v>0</v>
      </c>
      <c r="AH1266" s="706"/>
      <c r="AI1266" s="729">
        <f>IF(AI1265&gt;0,AI1265/(SUM(AH545:AH549)/1.18),0)</f>
        <v>0</v>
      </c>
      <c r="AJ1266" s="65"/>
    </row>
    <row r="1267" spans="2:36" ht="12.75" customHeight="1" outlineLevel="1">
      <c r="B1267" s="82">
        <f>B1260+1</f>
        <v>79</v>
      </c>
      <c r="C1267" s="1230">
        <f>C552</f>
        <v>0</v>
      </c>
      <c r="D1267" s="1230">
        <f>D552</f>
        <v>0</v>
      </c>
      <c r="E1267" s="83" t="str">
        <f>'Terms and Turnovers'!$J$12</f>
        <v>FLIP-FLOPS</v>
      </c>
      <c r="F1267" s="68">
        <f>F552/'Terms and Turnovers'!$J94</f>
        <v>0</v>
      </c>
      <c r="G1267" s="106"/>
      <c r="H1267" s="68">
        <f>H552/'Terms and Turnovers'!$J94</f>
        <v>0</v>
      </c>
      <c r="I1267" s="106"/>
      <c r="J1267" s="68">
        <f>J552/'Terms and Turnovers'!$J94</f>
        <v>0</v>
      </c>
      <c r="K1267" s="106"/>
      <c r="L1267" s="68">
        <f>L552/'Terms and Turnovers'!$J94</f>
        <v>0</v>
      </c>
      <c r="M1267" s="106"/>
      <c r="N1267" s="68">
        <f>N552/'Terms and Turnovers'!$J94</f>
        <v>0</v>
      </c>
      <c r="O1267" s="106"/>
      <c r="P1267" s="68">
        <f>P552/'Terms and Turnovers'!$J94</f>
        <v>0</v>
      </c>
      <c r="Q1267" s="106"/>
      <c r="R1267" s="129">
        <f t="shared" si="111"/>
        <v>0</v>
      </c>
      <c r="S1267" s="106"/>
      <c r="T1267" s="68">
        <f>T552/'Terms and Turnovers'!$O94</f>
        <v>0</v>
      </c>
      <c r="U1267" s="106"/>
      <c r="V1267" s="68">
        <f>V552/'Terms and Turnovers'!$O94</f>
        <v>0</v>
      </c>
      <c r="W1267" s="106"/>
      <c r="X1267" s="68">
        <f>X552/'Terms and Turnovers'!$O94</f>
        <v>0</v>
      </c>
      <c r="Y1267" s="106"/>
      <c r="Z1267" s="68">
        <f>Z552/'Terms and Turnovers'!$O94</f>
        <v>0</v>
      </c>
      <c r="AA1267" s="106"/>
      <c r="AB1267" s="68">
        <f>AB552/'Terms and Turnovers'!$O94</f>
        <v>0</v>
      </c>
      <c r="AC1267" s="106"/>
      <c r="AD1267" s="68">
        <f>AD552/'Terms and Turnovers'!$O94</f>
        <v>0</v>
      </c>
      <c r="AE1267" s="106"/>
      <c r="AF1267" s="129">
        <f t="shared" si="112"/>
        <v>0</v>
      </c>
      <c r="AG1267" s="106"/>
      <c r="AH1267" s="130">
        <f t="shared" si="113"/>
        <v>0</v>
      </c>
      <c r="AI1267" s="106"/>
      <c r="AJ1267" s="65"/>
    </row>
    <row r="1268" spans="2:36" ht="12.75" customHeight="1" outlineLevel="1">
      <c r="B1268" s="82"/>
      <c r="C1268" s="1231"/>
      <c r="D1268" s="1231"/>
      <c r="E1268" s="84" t="str">
        <f>'Terms and Turnovers'!$T$12</f>
        <v>ORIGINALS</v>
      </c>
      <c r="F1268" s="70">
        <f>F553/'Terms and Turnovers'!$T94</f>
        <v>0</v>
      </c>
      <c r="G1268" s="728"/>
      <c r="H1268" s="70">
        <f>H553/'Terms and Turnovers'!$T94</f>
        <v>0</v>
      </c>
      <c r="I1268" s="728"/>
      <c r="J1268" s="70">
        <f>J553/'Terms and Turnovers'!$T94</f>
        <v>0</v>
      </c>
      <c r="K1268" s="728"/>
      <c r="L1268" s="70">
        <f>L553/'Terms and Turnovers'!$T94</f>
        <v>0</v>
      </c>
      <c r="M1268" s="728"/>
      <c r="N1268" s="70">
        <f>N553/'Terms and Turnovers'!$T94</f>
        <v>0</v>
      </c>
      <c r="O1268" s="728"/>
      <c r="P1268" s="70">
        <f>P553/'Terms and Turnovers'!$T94</f>
        <v>0</v>
      </c>
      <c r="Q1268" s="728"/>
      <c r="R1268" s="132">
        <f t="shared" si="111"/>
        <v>0</v>
      </c>
      <c r="S1268" s="728"/>
      <c r="T1268" s="70">
        <f>T553/'Terms and Turnovers'!$Y94</f>
        <v>0</v>
      </c>
      <c r="U1268" s="728"/>
      <c r="V1268" s="70">
        <f>V553/'Terms and Turnovers'!$Y94</f>
        <v>0</v>
      </c>
      <c r="W1268" s="728"/>
      <c r="X1268" s="70">
        <f>X553/'Terms and Turnovers'!$Y94</f>
        <v>0</v>
      </c>
      <c r="Y1268" s="728"/>
      <c r="Z1268" s="70">
        <f>Z553/'Terms and Turnovers'!$Y94</f>
        <v>0</v>
      </c>
      <c r="AA1268" s="728"/>
      <c r="AB1268" s="70">
        <f>AB553/'Terms and Turnovers'!$Y94</f>
        <v>0</v>
      </c>
      <c r="AC1268" s="728"/>
      <c r="AD1268" s="70">
        <f>AD553/'Terms and Turnovers'!$Y94</f>
        <v>0</v>
      </c>
      <c r="AE1268" s="728"/>
      <c r="AF1268" s="132">
        <f t="shared" si="112"/>
        <v>0</v>
      </c>
      <c r="AG1268" s="728"/>
      <c r="AH1268" s="133">
        <f t="shared" si="113"/>
        <v>0</v>
      </c>
      <c r="AI1268" s="728"/>
      <c r="AJ1268" s="65"/>
    </row>
    <row r="1269" spans="2:36" ht="12.75" customHeight="1" outlineLevel="1">
      <c r="B1269" s="82"/>
      <c r="C1269" s="1231"/>
      <c r="D1269" s="1231"/>
      <c r="E1269" s="84" t="str">
        <f>'Terms and Turnovers'!$AD$12</f>
        <v>ACCESSORIES</v>
      </c>
      <c r="F1269" s="70">
        <f>F554/'Terms and Turnovers'!$AD94</f>
        <v>0</v>
      </c>
      <c r="G1269" s="728"/>
      <c r="H1269" s="70">
        <f>H554/'Terms and Turnovers'!$AD94</f>
        <v>0</v>
      </c>
      <c r="I1269" s="728"/>
      <c r="J1269" s="70">
        <f>J554/'Terms and Turnovers'!$AD94</f>
        <v>0</v>
      </c>
      <c r="K1269" s="728"/>
      <c r="L1269" s="70">
        <f>L554/'Terms and Turnovers'!$AD94</f>
        <v>0</v>
      </c>
      <c r="M1269" s="728"/>
      <c r="N1269" s="70">
        <f>N554/'Terms and Turnovers'!$AD94</f>
        <v>0</v>
      </c>
      <c r="O1269" s="728"/>
      <c r="P1269" s="70">
        <f>P554/'Terms and Turnovers'!$AD94</f>
        <v>0</v>
      </c>
      <c r="Q1269" s="728"/>
      <c r="R1269" s="132">
        <f t="shared" si="111"/>
        <v>0</v>
      </c>
      <c r="S1269" s="728"/>
      <c r="T1269" s="70">
        <f>T554/'Terms and Turnovers'!$AI94</f>
        <v>0</v>
      </c>
      <c r="U1269" s="728"/>
      <c r="V1269" s="70">
        <f>V554/'Terms and Turnovers'!$AI94</f>
        <v>0</v>
      </c>
      <c r="W1269" s="728"/>
      <c r="X1269" s="70">
        <f>X554/'Terms and Turnovers'!$AI94</f>
        <v>0</v>
      </c>
      <c r="Y1269" s="728"/>
      <c r="Z1269" s="70">
        <f>Z554/'Terms and Turnovers'!$AI94</f>
        <v>0</v>
      </c>
      <c r="AA1269" s="728"/>
      <c r="AB1269" s="70">
        <f>AB554/'Terms and Turnovers'!$AI94</f>
        <v>0</v>
      </c>
      <c r="AC1269" s="728"/>
      <c r="AD1269" s="70">
        <f>AD554/'Terms and Turnovers'!$AI94</f>
        <v>0</v>
      </c>
      <c r="AE1269" s="728"/>
      <c r="AF1269" s="132">
        <f t="shared" si="112"/>
        <v>0</v>
      </c>
      <c r="AG1269" s="728"/>
      <c r="AH1269" s="133">
        <f t="shared" si="113"/>
        <v>0</v>
      </c>
      <c r="AI1269" s="728"/>
      <c r="AJ1269" s="65"/>
    </row>
    <row r="1270" spans="2:36" ht="12.75" customHeight="1" outlineLevel="1">
      <c r="B1270" s="82"/>
      <c r="C1270" s="1231"/>
      <c r="D1270" s="1231"/>
      <c r="E1270" s="84">
        <f>'Terms and Turnovers'!$AN$12</f>
        <v>0</v>
      </c>
      <c r="F1270" s="70">
        <f>F555/'Terms and Turnovers'!$AN94</f>
        <v>0</v>
      </c>
      <c r="G1270" s="728"/>
      <c r="H1270" s="70">
        <f>H555/'Terms and Turnovers'!$AN94</f>
        <v>0</v>
      </c>
      <c r="I1270" s="728"/>
      <c r="J1270" s="70">
        <f>J555/'Terms and Turnovers'!$AN94</f>
        <v>0</v>
      </c>
      <c r="K1270" s="728"/>
      <c r="L1270" s="70">
        <f>L555/'Terms and Turnovers'!$AN94</f>
        <v>0</v>
      </c>
      <c r="M1270" s="728"/>
      <c r="N1270" s="70">
        <f>N555/'Terms and Turnovers'!$AN94</f>
        <v>0</v>
      </c>
      <c r="O1270" s="728"/>
      <c r="P1270" s="70">
        <f>P555/'Terms and Turnovers'!$AN94</f>
        <v>0</v>
      </c>
      <c r="Q1270" s="728"/>
      <c r="R1270" s="132">
        <f t="shared" si="111"/>
        <v>0</v>
      </c>
      <c r="S1270" s="728"/>
      <c r="T1270" s="70">
        <f>T555/'Terms and Turnovers'!$AS94</f>
        <v>0</v>
      </c>
      <c r="U1270" s="728"/>
      <c r="V1270" s="70">
        <f>V555/'Terms and Turnovers'!$AS94</f>
        <v>0</v>
      </c>
      <c r="W1270" s="728"/>
      <c r="X1270" s="70">
        <f>X555/'Terms and Turnovers'!$AS94</f>
        <v>0</v>
      </c>
      <c r="Y1270" s="728"/>
      <c r="Z1270" s="70">
        <f>Z555/'Terms and Turnovers'!$AS94</f>
        <v>0</v>
      </c>
      <c r="AA1270" s="728"/>
      <c r="AB1270" s="70">
        <f>AB555/'Terms and Turnovers'!$AS94</f>
        <v>0</v>
      </c>
      <c r="AC1270" s="728"/>
      <c r="AD1270" s="70">
        <f>AD555/'Terms and Turnovers'!$AS94</f>
        <v>0</v>
      </c>
      <c r="AE1270" s="728"/>
      <c r="AF1270" s="132">
        <f t="shared" si="112"/>
        <v>0</v>
      </c>
      <c r="AG1270" s="728"/>
      <c r="AH1270" s="133">
        <f t="shared" si="113"/>
        <v>0</v>
      </c>
      <c r="AI1270" s="728"/>
      <c r="AJ1270" s="65"/>
    </row>
    <row r="1271" spans="2:36" ht="13.5" customHeight="1" outlineLevel="1" thickBot="1">
      <c r="B1271" s="82"/>
      <c r="C1271" s="1232"/>
      <c r="D1271" s="1232"/>
      <c r="E1271" s="85">
        <f>'Terms and Turnovers'!$AX$12</f>
        <v>0</v>
      </c>
      <c r="F1271" s="70">
        <f>F556/'Terms and Turnovers'!$AX94</f>
        <v>0</v>
      </c>
      <c r="G1271" s="111"/>
      <c r="H1271" s="70">
        <f>H556/'Terms and Turnovers'!$AX94</f>
        <v>0</v>
      </c>
      <c r="I1271" s="107"/>
      <c r="J1271" s="70">
        <f>J556/'Terms and Turnovers'!$AX94</f>
        <v>0</v>
      </c>
      <c r="K1271" s="107"/>
      <c r="L1271" s="70">
        <f>L556/'Terms and Turnovers'!$AX94</f>
        <v>0</v>
      </c>
      <c r="M1271" s="107"/>
      <c r="N1271" s="70">
        <f>N556/'Terms and Turnovers'!$AX94</f>
        <v>0</v>
      </c>
      <c r="O1271" s="107"/>
      <c r="P1271" s="70">
        <f>P556/'Terms and Turnovers'!$AX94</f>
        <v>0</v>
      </c>
      <c r="Q1271" s="107"/>
      <c r="R1271" s="135">
        <f t="shared" si="111"/>
        <v>0</v>
      </c>
      <c r="S1271" s="107"/>
      <c r="T1271" s="70">
        <f>T556/'Terms and Turnovers'!$AX$94</f>
        <v>0</v>
      </c>
      <c r="U1271" s="111"/>
      <c r="V1271" s="70">
        <f>V556/'Terms and Turnovers'!$AX$94</f>
        <v>0</v>
      </c>
      <c r="W1271" s="107"/>
      <c r="X1271" s="70">
        <f>X556/'Terms and Turnovers'!$AX$94</f>
        <v>0</v>
      </c>
      <c r="Y1271" s="107"/>
      <c r="Z1271" s="70">
        <f>Z556/'Terms and Turnovers'!$AX$94</f>
        <v>0</v>
      </c>
      <c r="AA1271" s="107"/>
      <c r="AB1271" s="70">
        <f>AB556/'Terms and Turnovers'!$AX$94</f>
        <v>0</v>
      </c>
      <c r="AC1271" s="107"/>
      <c r="AD1271" s="70">
        <f>AD556/'Terms and Turnovers'!$AX$94</f>
        <v>0</v>
      </c>
      <c r="AE1271" s="107"/>
      <c r="AF1271" s="135">
        <f t="shared" si="112"/>
        <v>0</v>
      </c>
      <c r="AG1271" s="107"/>
      <c r="AH1271" s="136">
        <f t="shared" si="113"/>
        <v>0</v>
      </c>
      <c r="AI1271" s="107"/>
      <c r="AJ1271" s="65"/>
    </row>
    <row r="1272" spans="2:36" ht="13.5" customHeight="1" outlineLevel="1">
      <c r="B1272" s="82"/>
      <c r="C1272" s="425"/>
      <c r="D1272" s="425"/>
      <c r="E1272" s="634"/>
      <c r="F1272" s="635"/>
      <c r="G1272" s="428"/>
      <c r="H1272" s="635"/>
      <c r="I1272" s="428"/>
      <c r="J1272" s="635"/>
      <c r="K1272" s="636"/>
      <c r="L1272" s="635"/>
      <c r="M1272" s="636"/>
      <c r="N1272" s="635"/>
      <c r="O1272" s="636"/>
      <c r="P1272" s="635"/>
      <c r="Q1272" s="636"/>
      <c r="R1272" s="637"/>
      <c r="S1272" s="698">
        <f>SUM(R552:R556)/1.18-(SUM(R1267:R1271)*'Mark Up Validation'!$M$175)</f>
        <v>0</v>
      </c>
      <c r="T1272" s="635"/>
      <c r="U1272" s="636"/>
      <c r="V1272" s="635"/>
      <c r="W1272" s="636"/>
      <c r="X1272" s="635"/>
      <c r="Y1272" s="636"/>
      <c r="Z1272" s="635"/>
      <c r="AA1272" s="636"/>
      <c r="AB1272" s="635"/>
      <c r="AC1272" s="636"/>
      <c r="AD1272" s="635"/>
      <c r="AE1272" s="636"/>
      <c r="AF1272" s="637"/>
      <c r="AG1272" s="698">
        <f>SUM(AF552:AF556)/1.18-SUM(AF1267:AF1271)*'Mark Up Validation'!$M$175</f>
        <v>0</v>
      </c>
      <c r="AH1272" s="638"/>
      <c r="AI1272" s="698">
        <f>SUM(AH552:AH556)/1.18-SUM(AH1267:AH1271)*'Mark Up Validation'!$M$175</f>
        <v>0</v>
      </c>
      <c r="AJ1272" s="65"/>
    </row>
    <row r="1273" spans="2:36" ht="13.5" customHeight="1" outlineLevel="1" thickBot="1">
      <c r="B1273" s="82"/>
      <c r="C1273" s="1228" t="s">
        <v>487</v>
      </c>
      <c r="D1273" s="1229"/>
      <c r="E1273" s="699"/>
      <c r="F1273" s="700"/>
      <c r="G1273" s="701"/>
      <c r="H1273" s="700"/>
      <c r="I1273" s="701"/>
      <c r="J1273" s="700"/>
      <c r="K1273" s="702"/>
      <c r="L1273" s="700"/>
      <c r="M1273" s="702"/>
      <c r="N1273" s="700"/>
      <c r="O1273" s="702"/>
      <c r="P1273" s="700"/>
      <c r="Q1273" s="702"/>
      <c r="R1273" s="703"/>
      <c r="S1273" s="729">
        <f>IF(S1272&gt;0,S1272/(SUM(R552:R556)/1.18),0)</f>
        <v>0</v>
      </c>
      <c r="T1273" s="704"/>
      <c r="U1273" s="702"/>
      <c r="V1273" s="700"/>
      <c r="W1273" s="702"/>
      <c r="X1273" s="700"/>
      <c r="Y1273" s="702"/>
      <c r="Z1273" s="700"/>
      <c r="AA1273" s="702"/>
      <c r="AB1273" s="700"/>
      <c r="AC1273" s="702"/>
      <c r="AD1273" s="700"/>
      <c r="AE1273" s="702"/>
      <c r="AF1273" s="705"/>
      <c r="AG1273" s="729">
        <f>IF(AG1272&gt;0,AG1272/(SUM(AF552:AF556)/1.18),0)</f>
        <v>0</v>
      </c>
      <c r="AH1273" s="706"/>
      <c r="AI1273" s="729">
        <f>IF(AI1272&gt;0,AI1272/(SUM(AH552:AH556)/1.18),0)</f>
        <v>0</v>
      </c>
      <c r="AJ1273" s="65"/>
    </row>
    <row r="1274" spans="2:36" ht="12.75" customHeight="1" outlineLevel="1">
      <c r="B1274" s="82">
        <f>B1267+1</f>
        <v>80</v>
      </c>
      <c r="C1274" s="1233">
        <f>C559</f>
        <v>0</v>
      </c>
      <c r="D1274" s="1233">
        <f>D559</f>
        <v>0</v>
      </c>
      <c r="E1274" s="83" t="str">
        <f>'Terms and Turnovers'!$J$12</f>
        <v>FLIP-FLOPS</v>
      </c>
      <c r="F1274" s="68">
        <f>F559/'Terms and Turnovers'!$J95</f>
        <v>0</v>
      </c>
      <c r="G1274" s="106"/>
      <c r="H1274" s="68">
        <f>H559/'Terms and Turnovers'!$J95</f>
        <v>0</v>
      </c>
      <c r="I1274" s="106"/>
      <c r="J1274" s="68">
        <f>J559/'Terms and Turnovers'!$J95</f>
        <v>0</v>
      </c>
      <c r="K1274" s="106"/>
      <c r="L1274" s="68">
        <f>L559/'Terms and Turnovers'!$J95</f>
        <v>0</v>
      </c>
      <c r="M1274" s="106"/>
      <c r="N1274" s="68">
        <f>N559/'Terms and Turnovers'!$J95</f>
        <v>0</v>
      </c>
      <c r="O1274" s="106"/>
      <c r="P1274" s="68">
        <f>P559/'Terms and Turnovers'!$J95</f>
        <v>0</v>
      </c>
      <c r="Q1274" s="106"/>
      <c r="R1274" s="129">
        <f t="shared" si="111"/>
        <v>0</v>
      </c>
      <c r="S1274" s="106"/>
      <c r="T1274" s="68">
        <f>T559/'Terms and Turnovers'!$O95</f>
        <v>0</v>
      </c>
      <c r="U1274" s="106"/>
      <c r="V1274" s="68">
        <f>V559/'Terms and Turnovers'!$O95</f>
        <v>0</v>
      </c>
      <c r="W1274" s="106"/>
      <c r="X1274" s="68">
        <f>X559/'Terms and Turnovers'!$O95</f>
        <v>0</v>
      </c>
      <c r="Y1274" s="106"/>
      <c r="Z1274" s="68">
        <f>Z559/'Terms and Turnovers'!$O95</f>
        <v>0</v>
      </c>
      <c r="AA1274" s="106"/>
      <c r="AB1274" s="68">
        <f>AB559/'Terms and Turnovers'!$O95</f>
        <v>0</v>
      </c>
      <c r="AC1274" s="106"/>
      <c r="AD1274" s="68">
        <f>AD559/'Terms and Turnovers'!$O95</f>
        <v>0</v>
      </c>
      <c r="AE1274" s="106"/>
      <c r="AF1274" s="129">
        <f t="shared" si="112"/>
        <v>0</v>
      </c>
      <c r="AG1274" s="106"/>
      <c r="AH1274" s="130">
        <f t="shared" si="113"/>
        <v>0</v>
      </c>
      <c r="AI1274" s="106"/>
      <c r="AJ1274" s="65"/>
    </row>
    <row r="1275" spans="2:36" ht="12.75" customHeight="1" outlineLevel="1">
      <c r="B1275" s="82"/>
      <c r="C1275" s="1234"/>
      <c r="D1275" s="1234"/>
      <c r="E1275" s="84" t="str">
        <f>'Terms and Turnovers'!$T$12</f>
        <v>ORIGINALS</v>
      </c>
      <c r="F1275" s="70">
        <f>F560/'Terms and Turnovers'!$T95</f>
        <v>0</v>
      </c>
      <c r="G1275" s="728"/>
      <c r="H1275" s="70">
        <f>H560/'Terms and Turnovers'!$T95</f>
        <v>0</v>
      </c>
      <c r="I1275" s="728"/>
      <c r="J1275" s="70">
        <f>J560/'Terms and Turnovers'!$T95</f>
        <v>0</v>
      </c>
      <c r="K1275" s="728"/>
      <c r="L1275" s="70">
        <f>L560/'Terms and Turnovers'!$T95</f>
        <v>0</v>
      </c>
      <c r="M1275" s="728"/>
      <c r="N1275" s="70">
        <f>N560/'Terms and Turnovers'!$T95</f>
        <v>0</v>
      </c>
      <c r="O1275" s="728"/>
      <c r="P1275" s="70">
        <f>P560/'Terms and Turnovers'!$T95</f>
        <v>0</v>
      </c>
      <c r="Q1275" s="728"/>
      <c r="R1275" s="132">
        <f t="shared" si="111"/>
        <v>0</v>
      </c>
      <c r="S1275" s="728"/>
      <c r="T1275" s="70">
        <f>T560/'Terms and Turnovers'!$Y95</f>
        <v>0</v>
      </c>
      <c r="U1275" s="728"/>
      <c r="V1275" s="70">
        <f>V560/'Terms and Turnovers'!$Y95</f>
        <v>0</v>
      </c>
      <c r="W1275" s="728"/>
      <c r="X1275" s="70">
        <f>X560/'Terms and Turnovers'!$Y95</f>
        <v>0</v>
      </c>
      <c r="Y1275" s="728"/>
      <c r="Z1275" s="70">
        <f>Z560/'Terms and Turnovers'!$Y95</f>
        <v>0</v>
      </c>
      <c r="AA1275" s="728"/>
      <c r="AB1275" s="70">
        <f>AB560/'Terms and Turnovers'!$Y95</f>
        <v>0</v>
      </c>
      <c r="AC1275" s="728"/>
      <c r="AD1275" s="70">
        <f>AD560/'Terms and Turnovers'!$Y95</f>
        <v>0</v>
      </c>
      <c r="AE1275" s="728"/>
      <c r="AF1275" s="132">
        <f t="shared" si="112"/>
        <v>0</v>
      </c>
      <c r="AG1275" s="728"/>
      <c r="AH1275" s="133">
        <f t="shared" si="113"/>
        <v>0</v>
      </c>
      <c r="AI1275" s="728"/>
      <c r="AJ1275" s="65"/>
    </row>
    <row r="1276" spans="2:36" ht="12.75" customHeight="1" outlineLevel="1">
      <c r="B1276" s="82"/>
      <c r="C1276" s="1234"/>
      <c r="D1276" s="1234"/>
      <c r="E1276" s="84" t="str">
        <f>'Terms and Turnovers'!$AD$12</f>
        <v>ACCESSORIES</v>
      </c>
      <c r="F1276" s="70">
        <f>F561/'Terms and Turnovers'!$AD95</f>
        <v>0</v>
      </c>
      <c r="G1276" s="728"/>
      <c r="H1276" s="70">
        <f>H561/'Terms and Turnovers'!$AD95</f>
        <v>0</v>
      </c>
      <c r="I1276" s="728"/>
      <c r="J1276" s="70">
        <f>J561/'Terms and Turnovers'!$AD95</f>
        <v>0</v>
      </c>
      <c r="K1276" s="728"/>
      <c r="L1276" s="70">
        <f>L561/'Terms and Turnovers'!$AD95</f>
        <v>0</v>
      </c>
      <c r="M1276" s="728"/>
      <c r="N1276" s="70">
        <f>N561/'Terms and Turnovers'!$AD95</f>
        <v>0</v>
      </c>
      <c r="O1276" s="728"/>
      <c r="P1276" s="70">
        <f>P561/'Terms and Turnovers'!$AD95</f>
        <v>0</v>
      </c>
      <c r="Q1276" s="728"/>
      <c r="R1276" s="132">
        <f t="shared" si="111"/>
        <v>0</v>
      </c>
      <c r="S1276" s="728"/>
      <c r="T1276" s="70">
        <f>T561/'Terms and Turnovers'!$AI95</f>
        <v>0</v>
      </c>
      <c r="U1276" s="728"/>
      <c r="V1276" s="70">
        <f>V561/'Terms and Turnovers'!$AI95</f>
        <v>0</v>
      </c>
      <c r="W1276" s="728"/>
      <c r="X1276" s="70">
        <f>X561/'Terms and Turnovers'!$AI95</f>
        <v>0</v>
      </c>
      <c r="Y1276" s="728"/>
      <c r="Z1276" s="70">
        <f>Z561/'Terms and Turnovers'!$AI95</f>
        <v>0</v>
      </c>
      <c r="AA1276" s="728"/>
      <c r="AB1276" s="70">
        <f>AB561/'Terms and Turnovers'!$AI95</f>
        <v>0</v>
      </c>
      <c r="AC1276" s="728"/>
      <c r="AD1276" s="70">
        <f>AD561/'Terms and Turnovers'!$AI95</f>
        <v>0</v>
      </c>
      <c r="AE1276" s="728"/>
      <c r="AF1276" s="132">
        <f t="shared" si="112"/>
        <v>0</v>
      </c>
      <c r="AG1276" s="728"/>
      <c r="AH1276" s="133">
        <f t="shared" si="113"/>
        <v>0</v>
      </c>
      <c r="AI1276" s="728"/>
      <c r="AJ1276" s="65"/>
    </row>
    <row r="1277" spans="2:36" ht="12.75" customHeight="1" outlineLevel="1">
      <c r="B1277" s="82"/>
      <c r="C1277" s="1234"/>
      <c r="D1277" s="1234"/>
      <c r="E1277" s="84">
        <f>'Terms and Turnovers'!$AN$12</f>
        <v>0</v>
      </c>
      <c r="F1277" s="70">
        <f>F562/'Terms and Turnovers'!$AN95</f>
        <v>0</v>
      </c>
      <c r="G1277" s="728"/>
      <c r="H1277" s="70">
        <f>H562/'Terms and Turnovers'!$AN95</f>
        <v>0</v>
      </c>
      <c r="I1277" s="728"/>
      <c r="J1277" s="70">
        <f>J562/'Terms and Turnovers'!$AN95</f>
        <v>0</v>
      </c>
      <c r="K1277" s="728"/>
      <c r="L1277" s="70">
        <f>L562/'Terms and Turnovers'!$AN95</f>
        <v>0</v>
      </c>
      <c r="M1277" s="728"/>
      <c r="N1277" s="70">
        <f>N562/'Terms and Turnovers'!$AN95</f>
        <v>0</v>
      </c>
      <c r="O1277" s="728"/>
      <c r="P1277" s="70">
        <f>P562/'Terms and Turnovers'!$AN95</f>
        <v>0</v>
      </c>
      <c r="Q1277" s="728"/>
      <c r="R1277" s="132">
        <f t="shared" si="111"/>
        <v>0</v>
      </c>
      <c r="S1277" s="728"/>
      <c r="T1277" s="70">
        <f>T562/'Terms and Turnovers'!$AS95</f>
        <v>0</v>
      </c>
      <c r="U1277" s="728"/>
      <c r="V1277" s="70">
        <f>V562/'Terms and Turnovers'!$AS95</f>
        <v>0</v>
      </c>
      <c r="W1277" s="728"/>
      <c r="X1277" s="70">
        <f>X562/'Terms and Turnovers'!$AS95</f>
        <v>0</v>
      </c>
      <c r="Y1277" s="728"/>
      <c r="Z1277" s="70">
        <f>Z562/'Terms and Turnovers'!$AS95</f>
        <v>0</v>
      </c>
      <c r="AA1277" s="728"/>
      <c r="AB1277" s="70">
        <f>AB562/'Terms and Turnovers'!$AS95</f>
        <v>0</v>
      </c>
      <c r="AC1277" s="728"/>
      <c r="AD1277" s="70">
        <f>AD562/'Terms and Turnovers'!$AS95</f>
        <v>0</v>
      </c>
      <c r="AE1277" s="728"/>
      <c r="AF1277" s="132">
        <f t="shared" si="112"/>
        <v>0</v>
      </c>
      <c r="AG1277" s="728"/>
      <c r="AH1277" s="133">
        <f t="shared" si="113"/>
        <v>0</v>
      </c>
      <c r="AI1277" s="728"/>
      <c r="AJ1277" s="65"/>
    </row>
    <row r="1278" spans="2:36" ht="13.5" customHeight="1" outlineLevel="1" thickBot="1">
      <c r="B1278" s="82"/>
      <c r="C1278" s="1235"/>
      <c r="D1278" s="1235"/>
      <c r="E1278" s="85">
        <f>'Terms and Turnovers'!$AX$12</f>
        <v>0</v>
      </c>
      <c r="F1278" s="70">
        <f>F563/'Terms and Turnovers'!$AX95</f>
        <v>0</v>
      </c>
      <c r="G1278" s="111"/>
      <c r="H1278" s="70">
        <f>H563/'Terms and Turnovers'!$AX95</f>
        <v>0</v>
      </c>
      <c r="I1278" s="107"/>
      <c r="J1278" s="70">
        <f>J563/'Terms and Turnovers'!$AX95</f>
        <v>0</v>
      </c>
      <c r="K1278" s="107"/>
      <c r="L1278" s="70">
        <f>L563/'Terms and Turnovers'!$AX95</f>
        <v>0</v>
      </c>
      <c r="M1278" s="107"/>
      <c r="N1278" s="70">
        <f>N563/'Terms and Turnovers'!$AX95</f>
        <v>0</v>
      </c>
      <c r="O1278" s="107"/>
      <c r="P1278" s="70">
        <f>P563/'Terms and Turnovers'!$AX95</f>
        <v>0</v>
      </c>
      <c r="Q1278" s="107"/>
      <c r="R1278" s="135">
        <f t="shared" si="111"/>
        <v>0</v>
      </c>
      <c r="S1278" s="107"/>
      <c r="T1278" s="70">
        <f>T563/'Terms and Turnovers'!$AX$95</f>
        <v>0</v>
      </c>
      <c r="U1278" s="111"/>
      <c r="V1278" s="70">
        <f>V563/'Terms and Turnovers'!$AX$95</f>
        <v>0</v>
      </c>
      <c r="W1278" s="107"/>
      <c r="X1278" s="70">
        <f>X563/'Terms and Turnovers'!$AX$95</f>
        <v>0</v>
      </c>
      <c r="Y1278" s="107"/>
      <c r="Z1278" s="70">
        <f>Z563/'Terms and Turnovers'!$AX$95</f>
        <v>0</v>
      </c>
      <c r="AA1278" s="107"/>
      <c r="AB1278" s="70">
        <f>AB563/'Terms and Turnovers'!$AX$95</f>
        <v>0</v>
      </c>
      <c r="AC1278" s="107"/>
      <c r="AD1278" s="70">
        <f>AD563/'Terms and Turnovers'!$AX$95</f>
        <v>0</v>
      </c>
      <c r="AE1278" s="107"/>
      <c r="AF1278" s="135">
        <f t="shared" si="112"/>
        <v>0</v>
      </c>
      <c r="AG1278" s="107"/>
      <c r="AH1278" s="136">
        <f t="shared" si="113"/>
        <v>0</v>
      </c>
      <c r="AI1278" s="107"/>
      <c r="AJ1278" s="65"/>
    </row>
    <row r="1279" spans="2:36" ht="13.5" customHeight="1" outlineLevel="1">
      <c r="B1279" s="82"/>
      <c r="C1279" s="425"/>
      <c r="D1279" s="425"/>
      <c r="E1279" s="634"/>
      <c r="F1279" s="635"/>
      <c r="G1279" s="428"/>
      <c r="H1279" s="635"/>
      <c r="I1279" s="428"/>
      <c r="J1279" s="635"/>
      <c r="K1279" s="636"/>
      <c r="L1279" s="635"/>
      <c r="M1279" s="636"/>
      <c r="N1279" s="635"/>
      <c r="O1279" s="636"/>
      <c r="P1279" s="635"/>
      <c r="Q1279" s="636"/>
      <c r="R1279" s="637"/>
      <c r="S1279" s="698">
        <f>SUM(R559:R563)/1.18-(SUM(R1274:R1278)*'Mark Up Validation'!$M$175)</f>
        <v>0</v>
      </c>
      <c r="T1279" s="635"/>
      <c r="U1279" s="636"/>
      <c r="V1279" s="635"/>
      <c r="W1279" s="636"/>
      <c r="X1279" s="635"/>
      <c r="Y1279" s="636"/>
      <c r="Z1279" s="635"/>
      <c r="AA1279" s="636"/>
      <c r="AB1279" s="635"/>
      <c r="AC1279" s="636"/>
      <c r="AD1279" s="635"/>
      <c r="AE1279" s="636"/>
      <c r="AF1279" s="637"/>
      <c r="AG1279" s="698">
        <f>SUM(AF559:AF563)/1.18-SUM(AF1274:AF1278)*'Mark Up Validation'!$M$175</f>
        <v>0</v>
      </c>
      <c r="AH1279" s="638"/>
      <c r="AI1279" s="698">
        <f>SUM(AH559:AH563)/1.18-SUM(AH1274:AH1278)*'Mark Up Validation'!$M$175</f>
        <v>0</v>
      </c>
      <c r="AJ1279" s="65"/>
    </row>
    <row r="1280" spans="2:36" ht="13.5" customHeight="1" outlineLevel="1" thickBot="1">
      <c r="B1280" s="82"/>
      <c r="C1280" s="1228" t="s">
        <v>487</v>
      </c>
      <c r="D1280" s="1229"/>
      <c r="E1280" s="699"/>
      <c r="F1280" s="700"/>
      <c r="G1280" s="701"/>
      <c r="H1280" s="700"/>
      <c r="I1280" s="701"/>
      <c r="J1280" s="700"/>
      <c r="K1280" s="702"/>
      <c r="L1280" s="700"/>
      <c r="M1280" s="702"/>
      <c r="N1280" s="700"/>
      <c r="O1280" s="702"/>
      <c r="P1280" s="700"/>
      <c r="Q1280" s="702"/>
      <c r="R1280" s="703"/>
      <c r="S1280" s="729">
        <f>IF(S1279&gt;0,S1279/(SUM(R559:R563)/1.18),0)</f>
        <v>0</v>
      </c>
      <c r="T1280" s="704"/>
      <c r="U1280" s="702"/>
      <c r="V1280" s="700"/>
      <c r="W1280" s="702"/>
      <c r="X1280" s="700"/>
      <c r="Y1280" s="702"/>
      <c r="Z1280" s="700"/>
      <c r="AA1280" s="702"/>
      <c r="AB1280" s="700"/>
      <c r="AC1280" s="702"/>
      <c r="AD1280" s="700"/>
      <c r="AE1280" s="702"/>
      <c r="AF1280" s="705"/>
      <c r="AG1280" s="729">
        <f>IF(AG1279&gt;0,AG1279/(SUM(AF559:AF563)/1.18),0)</f>
        <v>0</v>
      </c>
      <c r="AH1280" s="706"/>
      <c r="AI1280" s="729">
        <f>IF(AI1279&gt;0,AI1279/(SUM(AH559:AH563)/1.18),0)</f>
        <v>0</v>
      </c>
      <c r="AJ1280" s="65"/>
    </row>
    <row r="1281" spans="2:36" ht="12.75" customHeight="1" outlineLevel="1">
      <c r="B1281" s="82">
        <f>B1274+1</f>
        <v>81</v>
      </c>
      <c r="C1281" s="1230">
        <f>C566</f>
        <v>0</v>
      </c>
      <c r="D1281" s="1230">
        <f>D566</f>
        <v>0</v>
      </c>
      <c r="E1281" s="83" t="str">
        <f>'Terms and Turnovers'!$J$12</f>
        <v>FLIP-FLOPS</v>
      </c>
      <c r="F1281" s="68">
        <f>F566/'Terms and Turnovers'!$J96</f>
        <v>0</v>
      </c>
      <c r="G1281" s="106"/>
      <c r="H1281" s="68">
        <f>H566/'Terms and Turnovers'!$J96</f>
        <v>0</v>
      </c>
      <c r="I1281" s="106"/>
      <c r="J1281" s="68">
        <f>J566/'Terms and Turnovers'!$J96</f>
        <v>0</v>
      </c>
      <c r="K1281" s="106"/>
      <c r="L1281" s="68">
        <f>L566/'Terms and Turnovers'!$J96</f>
        <v>0</v>
      </c>
      <c r="M1281" s="106"/>
      <c r="N1281" s="68">
        <f>N566/'Terms and Turnovers'!$J96</f>
        <v>0</v>
      </c>
      <c r="O1281" s="106"/>
      <c r="P1281" s="68">
        <f>P566/'Terms and Turnovers'!$J96</f>
        <v>0</v>
      </c>
      <c r="Q1281" s="106"/>
      <c r="R1281" s="129">
        <f t="shared" si="111"/>
        <v>0</v>
      </c>
      <c r="S1281" s="106"/>
      <c r="T1281" s="68">
        <f>T566/'Terms and Turnovers'!$O96</f>
        <v>0</v>
      </c>
      <c r="U1281" s="106"/>
      <c r="V1281" s="68">
        <f>V566/'Terms and Turnovers'!$O96</f>
        <v>0</v>
      </c>
      <c r="W1281" s="106"/>
      <c r="X1281" s="68">
        <f>X566/'Terms and Turnovers'!$O96</f>
        <v>0</v>
      </c>
      <c r="Y1281" s="106"/>
      <c r="Z1281" s="68">
        <f>Z566/'Terms and Turnovers'!$O96</f>
        <v>0</v>
      </c>
      <c r="AA1281" s="106"/>
      <c r="AB1281" s="68">
        <f>AB566/'Terms and Turnovers'!$O96</f>
        <v>0</v>
      </c>
      <c r="AC1281" s="106"/>
      <c r="AD1281" s="68">
        <f>AD566/'Terms and Turnovers'!$O96</f>
        <v>0</v>
      </c>
      <c r="AE1281" s="106"/>
      <c r="AF1281" s="129">
        <f t="shared" si="112"/>
        <v>0</v>
      </c>
      <c r="AG1281" s="106"/>
      <c r="AH1281" s="130">
        <f t="shared" si="113"/>
        <v>0</v>
      </c>
      <c r="AI1281" s="106"/>
      <c r="AJ1281" s="65"/>
    </row>
    <row r="1282" spans="2:36" ht="12.75" customHeight="1" outlineLevel="1">
      <c r="B1282" s="82"/>
      <c r="C1282" s="1231"/>
      <c r="D1282" s="1231"/>
      <c r="E1282" s="84" t="str">
        <f>'Terms and Turnovers'!$T$12</f>
        <v>ORIGINALS</v>
      </c>
      <c r="F1282" s="70">
        <f>F567/'Terms and Turnovers'!$T96</f>
        <v>0</v>
      </c>
      <c r="G1282" s="728"/>
      <c r="H1282" s="70">
        <f>H567/'Terms and Turnovers'!$T96</f>
        <v>0</v>
      </c>
      <c r="I1282" s="728"/>
      <c r="J1282" s="70">
        <f>J567/'Terms and Turnovers'!$T96</f>
        <v>0</v>
      </c>
      <c r="K1282" s="728"/>
      <c r="L1282" s="70">
        <f>L567/'Terms and Turnovers'!$T96</f>
        <v>0</v>
      </c>
      <c r="M1282" s="728"/>
      <c r="N1282" s="70">
        <f>N567/'Terms and Turnovers'!$T96</f>
        <v>0</v>
      </c>
      <c r="O1282" s="728"/>
      <c r="P1282" s="70">
        <f>P567/'Terms and Turnovers'!$T96</f>
        <v>0</v>
      </c>
      <c r="Q1282" s="728"/>
      <c r="R1282" s="132">
        <f t="shared" si="111"/>
        <v>0</v>
      </c>
      <c r="S1282" s="728"/>
      <c r="T1282" s="70">
        <f>T567/'Terms and Turnovers'!$Y96</f>
        <v>0</v>
      </c>
      <c r="U1282" s="728"/>
      <c r="V1282" s="70">
        <f>V567/'Terms and Turnovers'!$Y96</f>
        <v>0</v>
      </c>
      <c r="W1282" s="728"/>
      <c r="X1282" s="70">
        <f>X567/'Terms and Turnovers'!$Y96</f>
        <v>0</v>
      </c>
      <c r="Y1282" s="728"/>
      <c r="Z1282" s="70">
        <f>Z567/'Terms and Turnovers'!$Y96</f>
        <v>0</v>
      </c>
      <c r="AA1282" s="728"/>
      <c r="AB1282" s="70">
        <f>AB567/'Terms and Turnovers'!$Y96</f>
        <v>0</v>
      </c>
      <c r="AC1282" s="728"/>
      <c r="AD1282" s="70">
        <f>AD567/'Terms and Turnovers'!$Y96</f>
        <v>0</v>
      </c>
      <c r="AE1282" s="728"/>
      <c r="AF1282" s="132">
        <f t="shared" si="112"/>
        <v>0</v>
      </c>
      <c r="AG1282" s="728"/>
      <c r="AH1282" s="133">
        <f t="shared" si="113"/>
        <v>0</v>
      </c>
      <c r="AI1282" s="728"/>
      <c r="AJ1282" s="65"/>
    </row>
    <row r="1283" spans="2:36" ht="12.75" customHeight="1" outlineLevel="1">
      <c r="B1283" s="82"/>
      <c r="C1283" s="1231"/>
      <c r="D1283" s="1231"/>
      <c r="E1283" s="84" t="str">
        <f>'Terms and Turnovers'!$AD$12</f>
        <v>ACCESSORIES</v>
      </c>
      <c r="F1283" s="70">
        <f>F568/'Terms and Turnovers'!$AD96</f>
        <v>0</v>
      </c>
      <c r="G1283" s="728"/>
      <c r="H1283" s="70">
        <f>H568/'Terms and Turnovers'!$AD96</f>
        <v>0</v>
      </c>
      <c r="I1283" s="728"/>
      <c r="J1283" s="70">
        <f>J568/'Terms and Turnovers'!$AD96</f>
        <v>0</v>
      </c>
      <c r="K1283" s="728"/>
      <c r="L1283" s="70">
        <f>L568/'Terms and Turnovers'!$AD96</f>
        <v>0</v>
      </c>
      <c r="M1283" s="728"/>
      <c r="N1283" s="70">
        <f>N568/'Terms and Turnovers'!$AD96</f>
        <v>0</v>
      </c>
      <c r="O1283" s="728"/>
      <c r="P1283" s="70">
        <f>P568/'Terms and Turnovers'!$AD96</f>
        <v>0</v>
      </c>
      <c r="Q1283" s="728"/>
      <c r="R1283" s="132">
        <f t="shared" si="111"/>
        <v>0</v>
      </c>
      <c r="S1283" s="728"/>
      <c r="T1283" s="70">
        <f>T568/'Terms and Turnovers'!$AI96</f>
        <v>0</v>
      </c>
      <c r="U1283" s="728"/>
      <c r="V1283" s="70">
        <f>V568/'Terms and Turnovers'!$AI96</f>
        <v>0</v>
      </c>
      <c r="W1283" s="728"/>
      <c r="X1283" s="70">
        <f>X568/'Terms and Turnovers'!$AI96</f>
        <v>0</v>
      </c>
      <c r="Y1283" s="728"/>
      <c r="Z1283" s="70">
        <f>Z568/'Terms and Turnovers'!$AI96</f>
        <v>0</v>
      </c>
      <c r="AA1283" s="728"/>
      <c r="AB1283" s="70">
        <f>AB568/'Terms and Turnovers'!$AI96</f>
        <v>0</v>
      </c>
      <c r="AC1283" s="728"/>
      <c r="AD1283" s="70">
        <f>AD568/'Terms and Turnovers'!$AI96</f>
        <v>0</v>
      </c>
      <c r="AE1283" s="728"/>
      <c r="AF1283" s="132">
        <f t="shared" si="112"/>
        <v>0</v>
      </c>
      <c r="AG1283" s="728"/>
      <c r="AH1283" s="133">
        <f t="shared" si="113"/>
        <v>0</v>
      </c>
      <c r="AI1283" s="728"/>
      <c r="AJ1283" s="65"/>
    </row>
    <row r="1284" spans="2:36" ht="12.75" customHeight="1" outlineLevel="1">
      <c r="B1284" s="82"/>
      <c r="C1284" s="1231"/>
      <c r="D1284" s="1231"/>
      <c r="E1284" s="84">
        <f>'Terms and Turnovers'!$AN$12</f>
        <v>0</v>
      </c>
      <c r="F1284" s="70">
        <f>F569/'Terms and Turnovers'!$AN96</f>
        <v>0</v>
      </c>
      <c r="G1284" s="728"/>
      <c r="H1284" s="70">
        <f>H569/'Terms and Turnovers'!$AN96</f>
        <v>0</v>
      </c>
      <c r="I1284" s="728"/>
      <c r="J1284" s="70">
        <f>J569/'Terms and Turnovers'!$AN96</f>
        <v>0</v>
      </c>
      <c r="K1284" s="728"/>
      <c r="L1284" s="70">
        <f>L569/'Terms and Turnovers'!$AN96</f>
        <v>0</v>
      </c>
      <c r="M1284" s="728"/>
      <c r="N1284" s="70">
        <f>N569/'Terms and Turnovers'!$AN96</f>
        <v>0</v>
      </c>
      <c r="O1284" s="728"/>
      <c r="P1284" s="70">
        <f>P569/'Terms and Turnovers'!$AN96</f>
        <v>0</v>
      </c>
      <c r="Q1284" s="728"/>
      <c r="R1284" s="132">
        <f t="shared" si="111"/>
        <v>0</v>
      </c>
      <c r="S1284" s="728"/>
      <c r="T1284" s="70">
        <f>T569/'Terms and Turnovers'!$AS96</f>
        <v>0</v>
      </c>
      <c r="U1284" s="728"/>
      <c r="V1284" s="70">
        <f>V569/'Terms and Turnovers'!$AS96</f>
        <v>0</v>
      </c>
      <c r="W1284" s="728"/>
      <c r="X1284" s="70">
        <f>X569/'Terms and Turnovers'!$AS96</f>
        <v>0</v>
      </c>
      <c r="Y1284" s="728"/>
      <c r="Z1284" s="70">
        <f>Z569/'Terms and Turnovers'!$AS96</f>
        <v>0</v>
      </c>
      <c r="AA1284" s="728"/>
      <c r="AB1284" s="70">
        <f>AB569/'Terms and Turnovers'!$AS96</f>
        <v>0</v>
      </c>
      <c r="AC1284" s="728"/>
      <c r="AD1284" s="70">
        <f>AD569/'Terms and Turnovers'!$AS96</f>
        <v>0</v>
      </c>
      <c r="AE1284" s="728"/>
      <c r="AF1284" s="132">
        <f t="shared" si="112"/>
        <v>0</v>
      </c>
      <c r="AG1284" s="728"/>
      <c r="AH1284" s="133">
        <f t="shared" si="113"/>
        <v>0</v>
      </c>
      <c r="AI1284" s="728"/>
      <c r="AJ1284" s="65"/>
    </row>
    <row r="1285" spans="2:36" ht="13.5" customHeight="1" outlineLevel="1" thickBot="1">
      <c r="B1285" s="82"/>
      <c r="C1285" s="1232"/>
      <c r="D1285" s="1232"/>
      <c r="E1285" s="85">
        <f>'Terms and Turnovers'!$AX$12</f>
        <v>0</v>
      </c>
      <c r="F1285" s="70">
        <f>F570/'Terms and Turnovers'!$AX96</f>
        <v>0</v>
      </c>
      <c r="G1285" s="111"/>
      <c r="H1285" s="70">
        <f>H570/'Terms and Turnovers'!$AX96</f>
        <v>0</v>
      </c>
      <c r="I1285" s="107"/>
      <c r="J1285" s="70">
        <f>J570/'Terms and Turnovers'!$AX96</f>
        <v>0</v>
      </c>
      <c r="K1285" s="107"/>
      <c r="L1285" s="70">
        <f>L570/'Terms and Turnovers'!$AX96</f>
        <v>0</v>
      </c>
      <c r="M1285" s="107"/>
      <c r="N1285" s="70">
        <f>N570/'Terms and Turnovers'!$AX96</f>
        <v>0</v>
      </c>
      <c r="O1285" s="107"/>
      <c r="P1285" s="70">
        <f>P570/'Terms and Turnovers'!$AX96</f>
        <v>0</v>
      </c>
      <c r="Q1285" s="107"/>
      <c r="R1285" s="135">
        <f t="shared" si="111"/>
        <v>0</v>
      </c>
      <c r="S1285" s="107"/>
      <c r="T1285" s="70">
        <f>T570/'Terms and Turnovers'!$AX$96</f>
        <v>0</v>
      </c>
      <c r="U1285" s="111"/>
      <c r="V1285" s="70">
        <f>V570/'Terms and Turnovers'!$AX$96</f>
        <v>0</v>
      </c>
      <c r="W1285" s="107"/>
      <c r="X1285" s="70">
        <f>X570/'Terms and Turnovers'!$AX$96</f>
        <v>0</v>
      </c>
      <c r="Y1285" s="107"/>
      <c r="Z1285" s="70">
        <f>Z570/'Terms and Turnovers'!$AX$96</f>
        <v>0</v>
      </c>
      <c r="AA1285" s="107"/>
      <c r="AB1285" s="70">
        <f>AB570/'Terms and Turnovers'!$AX$96</f>
        <v>0</v>
      </c>
      <c r="AC1285" s="107"/>
      <c r="AD1285" s="70">
        <f>AD570/'Terms and Turnovers'!$AX$96</f>
        <v>0</v>
      </c>
      <c r="AE1285" s="107"/>
      <c r="AF1285" s="135">
        <f t="shared" si="112"/>
        <v>0</v>
      </c>
      <c r="AG1285" s="107"/>
      <c r="AH1285" s="136">
        <f t="shared" si="113"/>
        <v>0</v>
      </c>
      <c r="AI1285" s="107"/>
      <c r="AJ1285" s="65"/>
    </row>
    <row r="1286" spans="2:36" ht="13.5" customHeight="1" outlineLevel="1">
      <c r="B1286" s="82"/>
      <c r="C1286" s="425"/>
      <c r="D1286" s="425"/>
      <c r="E1286" s="634"/>
      <c r="F1286" s="635"/>
      <c r="G1286" s="428"/>
      <c r="H1286" s="635"/>
      <c r="I1286" s="428"/>
      <c r="J1286" s="635"/>
      <c r="K1286" s="636"/>
      <c r="L1286" s="635"/>
      <c r="M1286" s="636"/>
      <c r="N1286" s="635"/>
      <c r="O1286" s="636"/>
      <c r="P1286" s="635"/>
      <c r="Q1286" s="636"/>
      <c r="R1286" s="637"/>
      <c r="S1286" s="698">
        <f>SUM(R566:R570)/1.18-(SUM(R1281:R1285)*'Mark Up Validation'!$M$175)</f>
        <v>0</v>
      </c>
      <c r="T1286" s="635"/>
      <c r="U1286" s="636"/>
      <c r="V1286" s="635"/>
      <c r="W1286" s="636"/>
      <c r="X1286" s="635"/>
      <c r="Y1286" s="636"/>
      <c r="Z1286" s="635"/>
      <c r="AA1286" s="636"/>
      <c r="AB1286" s="635"/>
      <c r="AC1286" s="636"/>
      <c r="AD1286" s="635"/>
      <c r="AE1286" s="636"/>
      <c r="AF1286" s="637"/>
      <c r="AG1286" s="698">
        <f>SUM(AF566:AF570)/1.18-SUM(AF1281:AF1285)*'Mark Up Validation'!$M$175</f>
        <v>0</v>
      </c>
      <c r="AH1286" s="638"/>
      <c r="AI1286" s="698">
        <f>SUM(AH566:AH570)/1.18-SUM(AH1281:AH1285)*'Mark Up Validation'!$M$175</f>
        <v>0</v>
      </c>
      <c r="AJ1286" s="65"/>
    </row>
    <row r="1287" spans="2:36" ht="13.5" customHeight="1" outlineLevel="1" thickBot="1">
      <c r="B1287" s="82"/>
      <c r="C1287" s="1228" t="s">
        <v>487</v>
      </c>
      <c r="D1287" s="1229"/>
      <c r="E1287" s="699"/>
      <c r="F1287" s="700"/>
      <c r="G1287" s="701"/>
      <c r="H1287" s="700"/>
      <c r="I1287" s="701"/>
      <c r="J1287" s="700"/>
      <c r="K1287" s="702"/>
      <c r="L1287" s="700"/>
      <c r="M1287" s="702"/>
      <c r="N1287" s="700"/>
      <c r="O1287" s="702"/>
      <c r="P1287" s="700"/>
      <c r="Q1287" s="702"/>
      <c r="R1287" s="703"/>
      <c r="S1287" s="729">
        <f>IF(S1286&gt;0,S1286/(SUM(R566:R570)/1.18),0)</f>
        <v>0</v>
      </c>
      <c r="T1287" s="704"/>
      <c r="U1287" s="702"/>
      <c r="V1287" s="700"/>
      <c r="W1287" s="702"/>
      <c r="X1287" s="700"/>
      <c r="Y1287" s="702"/>
      <c r="Z1287" s="700"/>
      <c r="AA1287" s="702"/>
      <c r="AB1287" s="700"/>
      <c r="AC1287" s="702"/>
      <c r="AD1287" s="700"/>
      <c r="AE1287" s="702"/>
      <c r="AF1287" s="705"/>
      <c r="AG1287" s="729">
        <f>IF(AG1286&gt;0,AG1286/(SUM(AF566:AF570)/1.18),0)</f>
        <v>0</v>
      </c>
      <c r="AH1287" s="706"/>
      <c r="AI1287" s="729">
        <f>IF(AI1286&gt;0,AI1286/(SUM(AH566:AH570)/1.18),0)</f>
        <v>0</v>
      </c>
      <c r="AJ1287" s="65"/>
    </row>
    <row r="1288" spans="2:36" ht="12.75" customHeight="1" outlineLevel="1">
      <c r="B1288" s="82">
        <f>B1281+1</f>
        <v>82</v>
      </c>
      <c r="C1288" s="1233">
        <f>C573</f>
        <v>0</v>
      </c>
      <c r="D1288" s="1233">
        <f>D573</f>
        <v>0</v>
      </c>
      <c r="E1288" s="83" t="str">
        <f>'Terms and Turnovers'!$J$12</f>
        <v>FLIP-FLOPS</v>
      </c>
      <c r="F1288" s="68">
        <f>F573/'Terms and Turnovers'!$J97</f>
        <v>0</v>
      </c>
      <c r="G1288" s="106"/>
      <c r="H1288" s="68">
        <f>H573/'Terms and Turnovers'!$J97</f>
        <v>0</v>
      </c>
      <c r="I1288" s="106"/>
      <c r="J1288" s="68">
        <f>J573/'Terms and Turnovers'!$J97</f>
        <v>0</v>
      </c>
      <c r="K1288" s="106"/>
      <c r="L1288" s="68">
        <f>L573/'Terms and Turnovers'!$J97</f>
        <v>0</v>
      </c>
      <c r="M1288" s="106"/>
      <c r="N1288" s="68">
        <f>N573/'Terms and Turnovers'!$J97</f>
        <v>0</v>
      </c>
      <c r="O1288" s="106"/>
      <c r="P1288" s="68">
        <f>P573/'Terms and Turnovers'!$J97</f>
        <v>0</v>
      </c>
      <c r="Q1288" s="106"/>
      <c r="R1288" s="129">
        <f t="shared" si="111"/>
        <v>0</v>
      </c>
      <c r="S1288" s="106"/>
      <c r="T1288" s="68">
        <f>T573/'Terms and Turnovers'!$O97</f>
        <v>0</v>
      </c>
      <c r="U1288" s="106"/>
      <c r="V1288" s="68">
        <f>V573/'Terms and Turnovers'!$O97</f>
        <v>0</v>
      </c>
      <c r="W1288" s="106"/>
      <c r="X1288" s="68">
        <f>X573/'Terms and Turnovers'!$O97</f>
        <v>0</v>
      </c>
      <c r="Y1288" s="106"/>
      <c r="Z1288" s="68">
        <f>Z573/'Terms and Turnovers'!$O97</f>
        <v>0</v>
      </c>
      <c r="AA1288" s="106"/>
      <c r="AB1288" s="68">
        <f>AB573/'Terms and Turnovers'!$O97</f>
        <v>0</v>
      </c>
      <c r="AC1288" s="106"/>
      <c r="AD1288" s="68">
        <f>AD573/'Terms and Turnovers'!$O97</f>
        <v>0</v>
      </c>
      <c r="AE1288" s="106"/>
      <c r="AF1288" s="129">
        <f t="shared" si="112"/>
        <v>0</v>
      </c>
      <c r="AG1288" s="106"/>
      <c r="AH1288" s="130">
        <f t="shared" si="113"/>
        <v>0</v>
      </c>
      <c r="AI1288" s="106"/>
      <c r="AJ1288" s="65"/>
    </row>
    <row r="1289" spans="2:36" ht="12.75" customHeight="1" outlineLevel="1">
      <c r="B1289" s="82"/>
      <c r="C1289" s="1234"/>
      <c r="D1289" s="1234"/>
      <c r="E1289" s="84" t="str">
        <f>'Terms and Turnovers'!$T$12</f>
        <v>ORIGINALS</v>
      </c>
      <c r="F1289" s="70">
        <f>F574/'Terms and Turnovers'!$T97</f>
        <v>0</v>
      </c>
      <c r="G1289" s="728"/>
      <c r="H1289" s="70">
        <f>H574/'Terms and Turnovers'!$T97</f>
        <v>0</v>
      </c>
      <c r="I1289" s="728"/>
      <c r="J1289" s="70">
        <f>J574/'Terms and Turnovers'!$T97</f>
        <v>0</v>
      </c>
      <c r="K1289" s="728"/>
      <c r="L1289" s="70">
        <f>L574/'Terms and Turnovers'!$T97</f>
        <v>0</v>
      </c>
      <c r="M1289" s="728"/>
      <c r="N1289" s="70">
        <f>N574/'Terms and Turnovers'!$T97</f>
        <v>0</v>
      </c>
      <c r="O1289" s="728"/>
      <c r="P1289" s="70">
        <f>P574/'Terms and Turnovers'!$T97</f>
        <v>0</v>
      </c>
      <c r="Q1289" s="728"/>
      <c r="R1289" s="132">
        <f t="shared" si="111"/>
        <v>0</v>
      </c>
      <c r="S1289" s="728"/>
      <c r="T1289" s="70">
        <f>T574/'Terms and Turnovers'!$Y97</f>
        <v>0</v>
      </c>
      <c r="U1289" s="728"/>
      <c r="V1289" s="70">
        <f>V574/'Terms and Turnovers'!$Y97</f>
        <v>0</v>
      </c>
      <c r="W1289" s="728"/>
      <c r="X1289" s="70">
        <f>X574/'Terms and Turnovers'!$Y97</f>
        <v>0</v>
      </c>
      <c r="Y1289" s="728"/>
      <c r="Z1289" s="70">
        <f>Z574/'Terms and Turnovers'!$Y97</f>
        <v>0</v>
      </c>
      <c r="AA1289" s="728"/>
      <c r="AB1289" s="70">
        <f>AB574/'Terms and Turnovers'!$Y97</f>
        <v>0</v>
      </c>
      <c r="AC1289" s="728"/>
      <c r="AD1289" s="70">
        <f>AD574/'Terms and Turnovers'!$Y97</f>
        <v>0</v>
      </c>
      <c r="AE1289" s="728"/>
      <c r="AF1289" s="132">
        <f t="shared" si="112"/>
        <v>0</v>
      </c>
      <c r="AG1289" s="728"/>
      <c r="AH1289" s="133">
        <f t="shared" si="113"/>
        <v>0</v>
      </c>
      <c r="AI1289" s="728"/>
      <c r="AJ1289" s="65"/>
    </row>
    <row r="1290" spans="2:36" ht="12.75" customHeight="1" outlineLevel="1">
      <c r="B1290" s="82"/>
      <c r="C1290" s="1234"/>
      <c r="D1290" s="1234"/>
      <c r="E1290" s="84" t="str">
        <f>'Terms and Turnovers'!$AD$12</f>
        <v>ACCESSORIES</v>
      </c>
      <c r="F1290" s="70">
        <f>F575/'Terms and Turnovers'!$AD97</f>
        <v>0</v>
      </c>
      <c r="G1290" s="728"/>
      <c r="H1290" s="70">
        <f>H575/'Terms and Turnovers'!$AD97</f>
        <v>0</v>
      </c>
      <c r="I1290" s="728"/>
      <c r="J1290" s="70">
        <f>J575/'Terms and Turnovers'!$AD97</f>
        <v>0</v>
      </c>
      <c r="K1290" s="728"/>
      <c r="L1290" s="70">
        <f>L575/'Terms and Turnovers'!$AD97</f>
        <v>0</v>
      </c>
      <c r="M1290" s="728"/>
      <c r="N1290" s="70">
        <f>N575/'Terms and Turnovers'!$AD97</f>
        <v>0</v>
      </c>
      <c r="O1290" s="728"/>
      <c r="P1290" s="70">
        <f>P575/'Terms and Turnovers'!$AD97</f>
        <v>0</v>
      </c>
      <c r="Q1290" s="728"/>
      <c r="R1290" s="132">
        <f t="shared" si="111"/>
        <v>0</v>
      </c>
      <c r="S1290" s="728"/>
      <c r="T1290" s="70">
        <f>T575/'Terms and Turnovers'!$AI97</f>
        <v>0</v>
      </c>
      <c r="U1290" s="728"/>
      <c r="V1290" s="70">
        <f>V575/'Terms and Turnovers'!$AI97</f>
        <v>0</v>
      </c>
      <c r="W1290" s="728"/>
      <c r="X1290" s="70">
        <f>X575/'Terms and Turnovers'!$AI97</f>
        <v>0</v>
      </c>
      <c r="Y1290" s="728"/>
      <c r="Z1290" s="70">
        <f>Z575/'Terms and Turnovers'!$AI97</f>
        <v>0</v>
      </c>
      <c r="AA1290" s="728"/>
      <c r="AB1290" s="70">
        <f>AB575/'Terms and Turnovers'!$AI97</f>
        <v>0</v>
      </c>
      <c r="AC1290" s="728"/>
      <c r="AD1290" s="70">
        <f>AD575/'Terms and Turnovers'!$AI97</f>
        <v>0</v>
      </c>
      <c r="AE1290" s="728"/>
      <c r="AF1290" s="132">
        <f t="shared" si="112"/>
        <v>0</v>
      </c>
      <c r="AG1290" s="728"/>
      <c r="AH1290" s="133">
        <f t="shared" si="113"/>
        <v>0</v>
      </c>
      <c r="AI1290" s="728"/>
      <c r="AJ1290" s="65"/>
    </row>
    <row r="1291" spans="2:36" ht="12.75" customHeight="1" outlineLevel="1">
      <c r="B1291" s="82"/>
      <c r="C1291" s="1234"/>
      <c r="D1291" s="1234"/>
      <c r="E1291" s="84">
        <f>'Terms and Turnovers'!$AN$12</f>
        <v>0</v>
      </c>
      <c r="F1291" s="70">
        <f>F576/'Terms and Turnovers'!$AN97</f>
        <v>0</v>
      </c>
      <c r="G1291" s="728"/>
      <c r="H1291" s="70">
        <f>H576/'Terms and Turnovers'!$AN97</f>
        <v>0</v>
      </c>
      <c r="I1291" s="728"/>
      <c r="J1291" s="70">
        <f>J576/'Terms and Turnovers'!$AN97</f>
        <v>0</v>
      </c>
      <c r="K1291" s="728"/>
      <c r="L1291" s="70">
        <f>L576/'Terms and Turnovers'!$AN97</f>
        <v>0</v>
      </c>
      <c r="M1291" s="728"/>
      <c r="N1291" s="70">
        <f>N576/'Terms and Turnovers'!$AN97</f>
        <v>0</v>
      </c>
      <c r="O1291" s="728"/>
      <c r="P1291" s="70">
        <f>P576/'Terms and Turnovers'!$AN97</f>
        <v>0</v>
      </c>
      <c r="Q1291" s="728"/>
      <c r="R1291" s="132">
        <f t="shared" si="111"/>
        <v>0</v>
      </c>
      <c r="S1291" s="728"/>
      <c r="T1291" s="70">
        <f>T576/'Terms and Turnovers'!$AS97</f>
        <v>0</v>
      </c>
      <c r="U1291" s="728"/>
      <c r="V1291" s="70">
        <f>V576/'Terms and Turnovers'!$AS97</f>
        <v>0</v>
      </c>
      <c r="W1291" s="728"/>
      <c r="X1291" s="70">
        <f>X576/'Terms and Turnovers'!$AS97</f>
        <v>0</v>
      </c>
      <c r="Y1291" s="728"/>
      <c r="Z1291" s="70">
        <f>Z576/'Terms and Turnovers'!$AS97</f>
        <v>0</v>
      </c>
      <c r="AA1291" s="728"/>
      <c r="AB1291" s="70">
        <f>AB576/'Terms and Turnovers'!$AS97</f>
        <v>0</v>
      </c>
      <c r="AC1291" s="728"/>
      <c r="AD1291" s="70">
        <f>AD576/'Terms and Turnovers'!$AS97</f>
        <v>0</v>
      </c>
      <c r="AE1291" s="728"/>
      <c r="AF1291" s="132">
        <f t="shared" si="112"/>
        <v>0</v>
      </c>
      <c r="AG1291" s="728"/>
      <c r="AH1291" s="133">
        <f t="shared" si="113"/>
        <v>0</v>
      </c>
      <c r="AI1291" s="728"/>
      <c r="AJ1291" s="65"/>
    </row>
    <row r="1292" spans="2:36" ht="13.5" customHeight="1" outlineLevel="1" thickBot="1">
      <c r="B1292" s="82"/>
      <c r="C1292" s="1235"/>
      <c r="D1292" s="1235"/>
      <c r="E1292" s="85">
        <f>'Terms and Turnovers'!$AX$12</f>
        <v>0</v>
      </c>
      <c r="F1292" s="70">
        <f>F577/'Terms and Turnovers'!$AX97</f>
        <v>0</v>
      </c>
      <c r="G1292" s="111"/>
      <c r="H1292" s="70">
        <f>H577/'Terms and Turnovers'!$AX97</f>
        <v>0</v>
      </c>
      <c r="I1292" s="107"/>
      <c r="J1292" s="70">
        <f>J577/'Terms and Turnovers'!$AX97</f>
        <v>0</v>
      </c>
      <c r="K1292" s="107"/>
      <c r="L1292" s="70">
        <f>L577/'Terms and Turnovers'!$AX97</f>
        <v>0</v>
      </c>
      <c r="M1292" s="107"/>
      <c r="N1292" s="70">
        <f>N577/'Terms and Turnovers'!$AX97</f>
        <v>0</v>
      </c>
      <c r="O1292" s="107"/>
      <c r="P1292" s="70">
        <f>P577/'Terms and Turnovers'!$AX97</f>
        <v>0</v>
      </c>
      <c r="Q1292" s="107"/>
      <c r="R1292" s="135">
        <f t="shared" si="111"/>
        <v>0</v>
      </c>
      <c r="S1292" s="107"/>
      <c r="T1292" s="70">
        <f>T577/'Terms and Turnovers'!$AX$97</f>
        <v>0</v>
      </c>
      <c r="U1292" s="111"/>
      <c r="V1292" s="70">
        <f>V577/'Terms and Turnovers'!$AX$97</f>
        <v>0</v>
      </c>
      <c r="W1292" s="107"/>
      <c r="X1292" s="70">
        <f>X577/'Terms and Turnovers'!$AX$97</f>
        <v>0</v>
      </c>
      <c r="Y1292" s="107"/>
      <c r="Z1292" s="70">
        <f>Z577/'Terms and Turnovers'!$AX$97</f>
        <v>0</v>
      </c>
      <c r="AA1292" s="107"/>
      <c r="AB1292" s="70">
        <f>AB577/'Terms and Turnovers'!$AX$97</f>
        <v>0</v>
      </c>
      <c r="AC1292" s="107"/>
      <c r="AD1292" s="70">
        <f>AD577/'Terms and Turnovers'!$AX$97</f>
        <v>0</v>
      </c>
      <c r="AE1292" s="107"/>
      <c r="AF1292" s="135">
        <f t="shared" si="112"/>
        <v>0</v>
      </c>
      <c r="AG1292" s="107"/>
      <c r="AH1292" s="136">
        <f t="shared" si="113"/>
        <v>0</v>
      </c>
      <c r="AI1292" s="107"/>
      <c r="AJ1292" s="65"/>
    </row>
    <row r="1293" spans="2:36" ht="13.5" customHeight="1" outlineLevel="1">
      <c r="B1293" s="82"/>
      <c r="C1293" s="425"/>
      <c r="D1293" s="425"/>
      <c r="E1293" s="634"/>
      <c r="F1293" s="635"/>
      <c r="G1293" s="428"/>
      <c r="H1293" s="635"/>
      <c r="I1293" s="428"/>
      <c r="J1293" s="635"/>
      <c r="K1293" s="636"/>
      <c r="L1293" s="635"/>
      <c r="M1293" s="636"/>
      <c r="N1293" s="635"/>
      <c r="O1293" s="636"/>
      <c r="P1293" s="635"/>
      <c r="Q1293" s="636"/>
      <c r="R1293" s="637"/>
      <c r="S1293" s="698">
        <f>SUM(R573:R577)/1.18-(SUM(R1288:R1292)*'Mark Up Validation'!$M$175)</f>
        <v>0</v>
      </c>
      <c r="T1293" s="635"/>
      <c r="U1293" s="636"/>
      <c r="V1293" s="635"/>
      <c r="W1293" s="636"/>
      <c r="X1293" s="635"/>
      <c r="Y1293" s="636"/>
      <c r="Z1293" s="635"/>
      <c r="AA1293" s="636"/>
      <c r="AB1293" s="635"/>
      <c r="AC1293" s="636"/>
      <c r="AD1293" s="635"/>
      <c r="AE1293" s="636"/>
      <c r="AF1293" s="637"/>
      <c r="AG1293" s="698">
        <f>SUM(AF573:AF577)/1.18-SUM(AF1288:AF1292)*'Mark Up Validation'!$M$175</f>
        <v>0</v>
      </c>
      <c r="AH1293" s="638"/>
      <c r="AI1293" s="698">
        <f>SUM(AH573:AH577)/1.18-SUM(AH1288:AH1292)*'Mark Up Validation'!$M$175</f>
        <v>0</v>
      </c>
      <c r="AJ1293" s="65"/>
    </row>
    <row r="1294" spans="2:36" ht="13.5" customHeight="1" outlineLevel="1" thickBot="1">
      <c r="B1294" s="82"/>
      <c r="C1294" s="1228" t="s">
        <v>487</v>
      </c>
      <c r="D1294" s="1229"/>
      <c r="E1294" s="699"/>
      <c r="F1294" s="700"/>
      <c r="G1294" s="701"/>
      <c r="H1294" s="700"/>
      <c r="I1294" s="701"/>
      <c r="J1294" s="700"/>
      <c r="K1294" s="702"/>
      <c r="L1294" s="700"/>
      <c r="M1294" s="702"/>
      <c r="N1294" s="700"/>
      <c r="O1294" s="702"/>
      <c r="P1294" s="700"/>
      <c r="Q1294" s="702"/>
      <c r="R1294" s="703"/>
      <c r="S1294" s="729">
        <f>IF(S1293&gt;0,S1293/(SUM(R573:R577)/1.18),0)</f>
        <v>0</v>
      </c>
      <c r="T1294" s="704"/>
      <c r="U1294" s="702"/>
      <c r="V1294" s="700"/>
      <c r="W1294" s="702"/>
      <c r="X1294" s="700"/>
      <c r="Y1294" s="702"/>
      <c r="Z1294" s="700"/>
      <c r="AA1294" s="702"/>
      <c r="AB1294" s="700"/>
      <c r="AC1294" s="702"/>
      <c r="AD1294" s="700"/>
      <c r="AE1294" s="702"/>
      <c r="AF1294" s="705"/>
      <c r="AG1294" s="729">
        <f>IF(AG1293&gt;0,AG1293/(SUM(AF573:AF577)/1.18),0)</f>
        <v>0</v>
      </c>
      <c r="AH1294" s="706"/>
      <c r="AI1294" s="729">
        <f>IF(AI1293&gt;0,AI1293/(SUM(AH573:AH577)/1.18),0)</f>
        <v>0</v>
      </c>
      <c r="AJ1294" s="65"/>
    </row>
    <row r="1295" spans="2:36" ht="12.75" customHeight="1" outlineLevel="1">
      <c r="B1295" s="82">
        <f>B1288+1</f>
        <v>83</v>
      </c>
      <c r="C1295" s="1230">
        <f>C580</f>
        <v>0</v>
      </c>
      <c r="D1295" s="1230">
        <f>D580</f>
        <v>0</v>
      </c>
      <c r="E1295" s="83" t="str">
        <f>'Terms and Turnovers'!$J$12</f>
        <v>FLIP-FLOPS</v>
      </c>
      <c r="F1295" s="68">
        <f>F580/'Terms and Turnovers'!$J98</f>
        <v>0</v>
      </c>
      <c r="G1295" s="106"/>
      <c r="H1295" s="68">
        <f>H580/'Terms and Turnovers'!$J98</f>
        <v>0</v>
      </c>
      <c r="I1295" s="106"/>
      <c r="J1295" s="68">
        <f>J580/'Terms and Turnovers'!$J98</f>
        <v>0</v>
      </c>
      <c r="K1295" s="106"/>
      <c r="L1295" s="68">
        <f>L580/'Terms and Turnovers'!$J98</f>
        <v>0</v>
      </c>
      <c r="M1295" s="106"/>
      <c r="N1295" s="68">
        <f>N580/'Terms and Turnovers'!$J98</f>
        <v>0</v>
      </c>
      <c r="O1295" s="106"/>
      <c r="P1295" s="68">
        <f>P580/'Terms and Turnovers'!$J98</f>
        <v>0</v>
      </c>
      <c r="Q1295" s="106"/>
      <c r="R1295" s="129">
        <f t="shared" si="111"/>
        <v>0</v>
      </c>
      <c r="S1295" s="106"/>
      <c r="T1295" s="68">
        <f>T580/'Terms and Turnovers'!$O98</f>
        <v>0</v>
      </c>
      <c r="U1295" s="106"/>
      <c r="V1295" s="68">
        <f>V580/'Terms and Turnovers'!$O98</f>
        <v>0</v>
      </c>
      <c r="W1295" s="106"/>
      <c r="X1295" s="68">
        <f>X580/'Terms and Turnovers'!$O98</f>
        <v>0</v>
      </c>
      <c r="Y1295" s="106"/>
      <c r="Z1295" s="68">
        <f>Z580/'Terms and Turnovers'!$O98</f>
        <v>0</v>
      </c>
      <c r="AA1295" s="106"/>
      <c r="AB1295" s="68">
        <f>AB580/'Terms and Turnovers'!$O98</f>
        <v>0</v>
      </c>
      <c r="AC1295" s="106"/>
      <c r="AD1295" s="68">
        <f>AD580/'Terms and Turnovers'!$O98</f>
        <v>0</v>
      </c>
      <c r="AE1295" s="106"/>
      <c r="AF1295" s="129">
        <f t="shared" si="112"/>
        <v>0</v>
      </c>
      <c r="AG1295" s="106"/>
      <c r="AH1295" s="130">
        <f t="shared" si="113"/>
        <v>0</v>
      </c>
      <c r="AI1295" s="106"/>
      <c r="AJ1295" s="65"/>
    </row>
    <row r="1296" spans="2:36" ht="12.75" customHeight="1" outlineLevel="1">
      <c r="B1296" s="82"/>
      <c r="C1296" s="1231"/>
      <c r="D1296" s="1231"/>
      <c r="E1296" s="84" t="str">
        <f>'Terms and Turnovers'!$T$12</f>
        <v>ORIGINALS</v>
      </c>
      <c r="F1296" s="70">
        <f>F581/'Terms and Turnovers'!$T98</f>
        <v>0</v>
      </c>
      <c r="G1296" s="728"/>
      <c r="H1296" s="70">
        <f>H581/'Terms and Turnovers'!$T98</f>
        <v>0</v>
      </c>
      <c r="I1296" s="728"/>
      <c r="J1296" s="70">
        <f>J581/'Terms and Turnovers'!$T98</f>
        <v>0</v>
      </c>
      <c r="K1296" s="728"/>
      <c r="L1296" s="70">
        <f>L581/'Terms and Turnovers'!$T98</f>
        <v>0</v>
      </c>
      <c r="M1296" s="728"/>
      <c r="N1296" s="70">
        <f>N581/'Terms and Turnovers'!$T98</f>
        <v>0</v>
      </c>
      <c r="O1296" s="728"/>
      <c r="P1296" s="70">
        <f>P581/'Terms and Turnovers'!$T98</f>
        <v>0</v>
      </c>
      <c r="Q1296" s="728"/>
      <c r="R1296" s="132">
        <f t="shared" si="111"/>
        <v>0</v>
      </c>
      <c r="S1296" s="728"/>
      <c r="T1296" s="70">
        <f>T581/'Terms and Turnovers'!$Y98</f>
        <v>0</v>
      </c>
      <c r="U1296" s="728"/>
      <c r="V1296" s="70">
        <f>V581/'Terms and Turnovers'!$Y98</f>
        <v>0</v>
      </c>
      <c r="W1296" s="728"/>
      <c r="X1296" s="70">
        <f>X581/'Terms and Turnovers'!$Y98</f>
        <v>0</v>
      </c>
      <c r="Y1296" s="728"/>
      <c r="Z1296" s="70">
        <f>Z581/'Terms and Turnovers'!$Y98</f>
        <v>0</v>
      </c>
      <c r="AA1296" s="728"/>
      <c r="AB1296" s="70">
        <f>AB581/'Terms and Turnovers'!$Y98</f>
        <v>0</v>
      </c>
      <c r="AC1296" s="728"/>
      <c r="AD1296" s="70">
        <f>AD581/'Terms and Turnovers'!$Y98</f>
        <v>0</v>
      </c>
      <c r="AE1296" s="728"/>
      <c r="AF1296" s="132">
        <f t="shared" si="112"/>
        <v>0</v>
      </c>
      <c r="AG1296" s="728"/>
      <c r="AH1296" s="133">
        <f t="shared" si="113"/>
        <v>0</v>
      </c>
      <c r="AI1296" s="728"/>
      <c r="AJ1296" s="65"/>
    </row>
    <row r="1297" spans="2:36" ht="12.75" customHeight="1" outlineLevel="1">
      <c r="B1297" s="82"/>
      <c r="C1297" s="1231"/>
      <c r="D1297" s="1231"/>
      <c r="E1297" s="84" t="str">
        <f>'Terms and Turnovers'!$AD$12</f>
        <v>ACCESSORIES</v>
      </c>
      <c r="F1297" s="70">
        <f>F582/'Terms and Turnovers'!$AD98</f>
        <v>0</v>
      </c>
      <c r="G1297" s="728"/>
      <c r="H1297" s="70">
        <f>H582/'Terms and Turnovers'!$AD98</f>
        <v>0</v>
      </c>
      <c r="I1297" s="728"/>
      <c r="J1297" s="70">
        <f>J582/'Terms and Turnovers'!$AD98</f>
        <v>0</v>
      </c>
      <c r="K1297" s="728"/>
      <c r="L1297" s="70">
        <f>L582/'Terms and Turnovers'!$AD98</f>
        <v>0</v>
      </c>
      <c r="M1297" s="728"/>
      <c r="N1297" s="70">
        <f>N582/'Terms and Turnovers'!$AD98</f>
        <v>0</v>
      </c>
      <c r="O1297" s="728"/>
      <c r="P1297" s="70">
        <f>P582/'Terms and Turnovers'!$AD98</f>
        <v>0</v>
      </c>
      <c r="Q1297" s="728"/>
      <c r="R1297" s="132">
        <f t="shared" si="111"/>
        <v>0</v>
      </c>
      <c r="S1297" s="728"/>
      <c r="T1297" s="70">
        <f>T582/'Terms and Turnovers'!$AI98</f>
        <v>0</v>
      </c>
      <c r="U1297" s="728"/>
      <c r="V1297" s="70">
        <f>V582/'Terms and Turnovers'!$AI98</f>
        <v>0</v>
      </c>
      <c r="W1297" s="728"/>
      <c r="X1297" s="70">
        <f>X582/'Terms and Turnovers'!$AI98</f>
        <v>0</v>
      </c>
      <c r="Y1297" s="728"/>
      <c r="Z1297" s="70">
        <f>Z582/'Terms and Turnovers'!$AI98</f>
        <v>0</v>
      </c>
      <c r="AA1297" s="728"/>
      <c r="AB1297" s="70">
        <f>AB582/'Terms and Turnovers'!$AI98</f>
        <v>0</v>
      </c>
      <c r="AC1297" s="728"/>
      <c r="AD1297" s="70">
        <f>AD582/'Terms and Turnovers'!$AI98</f>
        <v>0</v>
      </c>
      <c r="AE1297" s="728"/>
      <c r="AF1297" s="132">
        <f t="shared" si="112"/>
        <v>0</v>
      </c>
      <c r="AG1297" s="728"/>
      <c r="AH1297" s="133">
        <f t="shared" si="113"/>
        <v>0</v>
      </c>
      <c r="AI1297" s="728"/>
      <c r="AJ1297" s="65"/>
    </row>
    <row r="1298" spans="2:36" ht="12.75" customHeight="1" outlineLevel="1">
      <c r="B1298" s="82"/>
      <c r="C1298" s="1231"/>
      <c r="D1298" s="1231"/>
      <c r="E1298" s="84">
        <f>'Terms and Turnovers'!$AN$12</f>
        <v>0</v>
      </c>
      <c r="F1298" s="70">
        <f>F583/'Terms and Turnovers'!$AN98</f>
        <v>0</v>
      </c>
      <c r="G1298" s="728"/>
      <c r="H1298" s="70">
        <f>H583/'Terms and Turnovers'!$AN98</f>
        <v>0</v>
      </c>
      <c r="I1298" s="728"/>
      <c r="J1298" s="70">
        <f>J583/'Terms and Turnovers'!$AN98</f>
        <v>0</v>
      </c>
      <c r="K1298" s="728"/>
      <c r="L1298" s="70">
        <f>L583/'Terms and Turnovers'!$AN98</f>
        <v>0</v>
      </c>
      <c r="M1298" s="728"/>
      <c r="N1298" s="70">
        <f>N583/'Terms and Turnovers'!$AN98</f>
        <v>0</v>
      </c>
      <c r="O1298" s="728"/>
      <c r="P1298" s="70">
        <f>P583/'Terms and Turnovers'!$AN98</f>
        <v>0</v>
      </c>
      <c r="Q1298" s="728"/>
      <c r="R1298" s="132">
        <f t="shared" si="111"/>
        <v>0</v>
      </c>
      <c r="S1298" s="728"/>
      <c r="T1298" s="70">
        <f>T583/'Terms and Turnovers'!$AS98</f>
        <v>0</v>
      </c>
      <c r="U1298" s="728"/>
      <c r="V1298" s="70">
        <f>V583/'Terms and Turnovers'!$AS98</f>
        <v>0</v>
      </c>
      <c r="W1298" s="728"/>
      <c r="X1298" s="70">
        <f>X583/'Terms and Turnovers'!$AS98</f>
        <v>0</v>
      </c>
      <c r="Y1298" s="728"/>
      <c r="Z1298" s="70">
        <f>Z583/'Terms and Turnovers'!$AS98</f>
        <v>0</v>
      </c>
      <c r="AA1298" s="728"/>
      <c r="AB1298" s="70">
        <f>AB583/'Terms and Turnovers'!$AS98</f>
        <v>0</v>
      </c>
      <c r="AC1298" s="728"/>
      <c r="AD1298" s="70">
        <f>AD583/'Terms and Turnovers'!$AS98</f>
        <v>0</v>
      </c>
      <c r="AE1298" s="728"/>
      <c r="AF1298" s="132">
        <f t="shared" si="112"/>
        <v>0</v>
      </c>
      <c r="AG1298" s="728"/>
      <c r="AH1298" s="133">
        <f t="shared" si="113"/>
        <v>0</v>
      </c>
      <c r="AI1298" s="728"/>
      <c r="AJ1298" s="65"/>
    </row>
    <row r="1299" spans="2:36" ht="13.5" customHeight="1" outlineLevel="1" thickBot="1">
      <c r="B1299" s="82"/>
      <c r="C1299" s="1232"/>
      <c r="D1299" s="1232"/>
      <c r="E1299" s="85">
        <f>'Terms and Turnovers'!$AX$12</f>
        <v>0</v>
      </c>
      <c r="F1299" s="70">
        <f>F584/'Terms and Turnovers'!$AX98</f>
        <v>0</v>
      </c>
      <c r="G1299" s="111"/>
      <c r="H1299" s="70">
        <f>H584/'Terms and Turnovers'!$AX98</f>
        <v>0</v>
      </c>
      <c r="I1299" s="107"/>
      <c r="J1299" s="70">
        <f>J584/'Terms and Turnovers'!$AX98</f>
        <v>0</v>
      </c>
      <c r="K1299" s="107"/>
      <c r="L1299" s="70">
        <f>L584/'Terms and Turnovers'!$AX98</f>
        <v>0</v>
      </c>
      <c r="M1299" s="107"/>
      <c r="N1299" s="70">
        <f>N584/'Terms and Turnovers'!$AX98</f>
        <v>0</v>
      </c>
      <c r="O1299" s="107"/>
      <c r="P1299" s="70">
        <f>P584/'Terms and Turnovers'!$AX98</f>
        <v>0</v>
      </c>
      <c r="Q1299" s="107"/>
      <c r="R1299" s="135">
        <f t="shared" si="111"/>
        <v>0</v>
      </c>
      <c r="S1299" s="107"/>
      <c r="T1299" s="70">
        <f>T584/'Terms and Turnovers'!$AX$98</f>
        <v>0</v>
      </c>
      <c r="U1299" s="111"/>
      <c r="V1299" s="70">
        <f>V584/'Terms and Turnovers'!$AX$98</f>
        <v>0</v>
      </c>
      <c r="W1299" s="107"/>
      <c r="X1299" s="70">
        <f>X584/'Terms and Turnovers'!$AX$98</f>
        <v>0</v>
      </c>
      <c r="Y1299" s="107"/>
      <c r="Z1299" s="70">
        <f>Z584/'Terms and Turnovers'!$AX$98</f>
        <v>0</v>
      </c>
      <c r="AA1299" s="107"/>
      <c r="AB1299" s="70">
        <f>AB584/'Terms and Turnovers'!$AX$98</f>
        <v>0</v>
      </c>
      <c r="AC1299" s="107"/>
      <c r="AD1299" s="70">
        <f>AD584/'Terms and Turnovers'!$AX$98</f>
        <v>0</v>
      </c>
      <c r="AE1299" s="107"/>
      <c r="AF1299" s="135">
        <f t="shared" si="112"/>
        <v>0</v>
      </c>
      <c r="AG1299" s="107"/>
      <c r="AH1299" s="136">
        <f t="shared" si="113"/>
        <v>0</v>
      </c>
      <c r="AI1299" s="107"/>
      <c r="AJ1299" s="65"/>
    </row>
    <row r="1300" spans="2:36" ht="13.5" customHeight="1" outlineLevel="1">
      <c r="B1300" s="82"/>
      <c r="C1300" s="425"/>
      <c r="D1300" s="425"/>
      <c r="E1300" s="634"/>
      <c r="F1300" s="635"/>
      <c r="G1300" s="428"/>
      <c r="H1300" s="635"/>
      <c r="I1300" s="428"/>
      <c r="J1300" s="635"/>
      <c r="K1300" s="636"/>
      <c r="L1300" s="635"/>
      <c r="M1300" s="636"/>
      <c r="N1300" s="635"/>
      <c r="O1300" s="636"/>
      <c r="P1300" s="635"/>
      <c r="Q1300" s="636"/>
      <c r="R1300" s="637"/>
      <c r="S1300" s="698">
        <f>SUM(R580:R584)/1.18-(SUM(R1295:R1299)*'Mark Up Validation'!$M$175)</f>
        <v>0</v>
      </c>
      <c r="T1300" s="635"/>
      <c r="U1300" s="636"/>
      <c r="V1300" s="635"/>
      <c r="W1300" s="636"/>
      <c r="X1300" s="635"/>
      <c r="Y1300" s="636"/>
      <c r="Z1300" s="635"/>
      <c r="AA1300" s="636"/>
      <c r="AB1300" s="635"/>
      <c r="AC1300" s="636"/>
      <c r="AD1300" s="635"/>
      <c r="AE1300" s="636"/>
      <c r="AF1300" s="637"/>
      <c r="AG1300" s="698">
        <f>SUM(AF580:AF584)/1.18-SUM(AF1295:AF1299)*'Mark Up Validation'!$M$175</f>
        <v>0</v>
      </c>
      <c r="AH1300" s="638"/>
      <c r="AI1300" s="698">
        <f>SUM(AH580:AH584)/1.18-SUM(AH1295:AH1299)*'Mark Up Validation'!$M$175</f>
        <v>0</v>
      </c>
      <c r="AJ1300" s="65"/>
    </row>
    <row r="1301" spans="2:36" ht="13.5" customHeight="1" outlineLevel="1" thickBot="1">
      <c r="B1301" s="82"/>
      <c r="C1301" s="1228" t="s">
        <v>487</v>
      </c>
      <c r="D1301" s="1229"/>
      <c r="E1301" s="699"/>
      <c r="F1301" s="700"/>
      <c r="G1301" s="701"/>
      <c r="H1301" s="700"/>
      <c r="I1301" s="701"/>
      <c r="J1301" s="700"/>
      <c r="K1301" s="702"/>
      <c r="L1301" s="700"/>
      <c r="M1301" s="702"/>
      <c r="N1301" s="700"/>
      <c r="O1301" s="702"/>
      <c r="P1301" s="700"/>
      <c r="Q1301" s="702"/>
      <c r="R1301" s="703"/>
      <c r="S1301" s="729">
        <f>IF(S1300&gt;0,S1300/(SUM(R580:R584)/1.18),0)</f>
        <v>0</v>
      </c>
      <c r="T1301" s="704"/>
      <c r="U1301" s="702"/>
      <c r="V1301" s="700"/>
      <c r="W1301" s="702"/>
      <c r="X1301" s="700"/>
      <c r="Y1301" s="702"/>
      <c r="Z1301" s="700"/>
      <c r="AA1301" s="702"/>
      <c r="AB1301" s="700"/>
      <c r="AC1301" s="702"/>
      <c r="AD1301" s="700"/>
      <c r="AE1301" s="702"/>
      <c r="AF1301" s="705"/>
      <c r="AG1301" s="729">
        <f>IF(AG1300&gt;0,AG1300/(SUM(AF580:AF584)/1.18),0)</f>
        <v>0</v>
      </c>
      <c r="AH1301" s="706"/>
      <c r="AI1301" s="729">
        <f>IF(AI1300&gt;0,AI1300/(SUM(AH580:AH584)/1.18),0)</f>
        <v>0</v>
      </c>
      <c r="AJ1301" s="65"/>
    </row>
    <row r="1302" spans="2:36" ht="12.75" customHeight="1" outlineLevel="1">
      <c r="B1302" s="82">
        <f>B1295+1</f>
        <v>84</v>
      </c>
      <c r="C1302" s="1233">
        <f>C587</f>
        <v>0</v>
      </c>
      <c r="D1302" s="1233">
        <f>D587</f>
        <v>0</v>
      </c>
      <c r="E1302" s="83" t="str">
        <f>'Terms and Turnovers'!$J$12</f>
        <v>FLIP-FLOPS</v>
      </c>
      <c r="F1302" s="68">
        <f>F587/'Terms and Turnovers'!$J99</f>
        <v>0</v>
      </c>
      <c r="G1302" s="106"/>
      <c r="H1302" s="68">
        <f>H587/'Terms and Turnovers'!$J99</f>
        <v>0</v>
      </c>
      <c r="I1302" s="106"/>
      <c r="J1302" s="68">
        <f>J587/'Terms and Turnovers'!$J99</f>
        <v>0</v>
      </c>
      <c r="K1302" s="106"/>
      <c r="L1302" s="68">
        <f>L587/'Terms and Turnovers'!$J99</f>
        <v>0</v>
      </c>
      <c r="M1302" s="106"/>
      <c r="N1302" s="68">
        <f>N587/'Terms and Turnovers'!$J99</f>
        <v>0</v>
      </c>
      <c r="O1302" s="106"/>
      <c r="P1302" s="68">
        <f>P587/'Terms and Turnovers'!$J99</f>
        <v>0</v>
      </c>
      <c r="Q1302" s="106"/>
      <c r="R1302" s="129">
        <f t="shared" si="111"/>
        <v>0</v>
      </c>
      <c r="S1302" s="106"/>
      <c r="T1302" s="68">
        <f>T587/'Terms and Turnovers'!$O99</f>
        <v>0</v>
      </c>
      <c r="U1302" s="106"/>
      <c r="V1302" s="68">
        <f>V587/'Terms and Turnovers'!$O99</f>
        <v>0</v>
      </c>
      <c r="W1302" s="106"/>
      <c r="X1302" s="68">
        <f>X587/'Terms and Turnovers'!$O99</f>
        <v>0</v>
      </c>
      <c r="Y1302" s="106"/>
      <c r="Z1302" s="68">
        <f>Z587/'Terms and Turnovers'!$O99</f>
        <v>0</v>
      </c>
      <c r="AA1302" s="106"/>
      <c r="AB1302" s="68">
        <f>AB587/'Terms and Turnovers'!$O99</f>
        <v>0</v>
      </c>
      <c r="AC1302" s="106"/>
      <c r="AD1302" s="68">
        <f>AD587/'Terms and Turnovers'!$O99</f>
        <v>0</v>
      </c>
      <c r="AE1302" s="106"/>
      <c r="AF1302" s="129">
        <f t="shared" si="112"/>
        <v>0</v>
      </c>
      <c r="AG1302" s="106"/>
      <c r="AH1302" s="130">
        <f t="shared" si="113"/>
        <v>0</v>
      </c>
      <c r="AI1302" s="106"/>
      <c r="AJ1302" s="65"/>
    </row>
    <row r="1303" spans="2:36" ht="12.75" customHeight="1" outlineLevel="1">
      <c r="B1303" s="82"/>
      <c r="C1303" s="1234"/>
      <c r="D1303" s="1234"/>
      <c r="E1303" s="84" t="str">
        <f>'Terms and Turnovers'!$T$12</f>
        <v>ORIGINALS</v>
      </c>
      <c r="F1303" s="70">
        <f>F588/'Terms and Turnovers'!$T99</f>
        <v>0</v>
      </c>
      <c r="G1303" s="728"/>
      <c r="H1303" s="70">
        <f>H588/'Terms and Turnovers'!$T99</f>
        <v>0</v>
      </c>
      <c r="I1303" s="728"/>
      <c r="J1303" s="70">
        <f>J588/'Terms and Turnovers'!$T99</f>
        <v>0</v>
      </c>
      <c r="K1303" s="728"/>
      <c r="L1303" s="70">
        <f>L588/'Terms and Turnovers'!$T99</f>
        <v>0</v>
      </c>
      <c r="M1303" s="728"/>
      <c r="N1303" s="70">
        <f>N588/'Terms and Turnovers'!$T99</f>
        <v>0</v>
      </c>
      <c r="O1303" s="728"/>
      <c r="P1303" s="70">
        <f>P588/'Terms and Turnovers'!$T99</f>
        <v>0</v>
      </c>
      <c r="Q1303" s="728"/>
      <c r="R1303" s="132">
        <f t="shared" si="111"/>
        <v>0</v>
      </c>
      <c r="S1303" s="728"/>
      <c r="T1303" s="70">
        <f>T588/'Terms and Turnovers'!$Y99</f>
        <v>0</v>
      </c>
      <c r="U1303" s="728"/>
      <c r="V1303" s="70">
        <f>V588/'Terms and Turnovers'!$Y99</f>
        <v>0</v>
      </c>
      <c r="W1303" s="728"/>
      <c r="X1303" s="70">
        <f>X588/'Terms and Turnovers'!$Y99</f>
        <v>0</v>
      </c>
      <c r="Y1303" s="728"/>
      <c r="Z1303" s="70">
        <f>Z588/'Terms and Turnovers'!$Y99</f>
        <v>0</v>
      </c>
      <c r="AA1303" s="728"/>
      <c r="AB1303" s="70">
        <f>AB588/'Terms and Turnovers'!$Y99</f>
        <v>0</v>
      </c>
      <c r="AC1303" s="728"/>
      <c r="AD1303" s="70">
        <f>AD588/'Terms and Turnovers'!$Y99</f>
        <v>0</v>
      </c>
      <c r="AE1303" s="728"/>
      <c r="AF1303" s="132">
        <f t="shared" si="112"/>
        <v>0</v>
      </c>
      <c r="AG1303" s="728"/>
      <c r="AH1303" s="133">
        <f t="shared" si="113"/>
        <v>0</v>
      </c>
      <c r="AI1303" s="728"/>
      <c r="AJ1303" s="65"/>
    </row>
    <row r="1304" spans="2:36" ht="12.75" customHeight="1" outlineLevel="1">
      <c r="B1304" s="82"/>
      <c r="C1304" s="1234"/>
      <c r="D1304" s="1234"/>
      <c r="E1304" s="84" t="str">
        <f>'Terms and Turnovers'!$AD$12</f>
        <v>ACCESSORIES</v>
      </c>
      <c r="F1304" s="70">
        <f>F589/'Terms and Turnovers'!$AD99</f>
        <v>0</v>
      </c>
      <c r="G1304" s="728"/>
      <c r="H1304" s="70">
        <f>H589/'Terms and Turnovers'!$AD99</f>
        <v>0</v>
      </c>
      <c r="I1304" s="728"/>
      <c r="J1304" s="70">
        <f>J589/'Terms and Turnovers'!$AD99</f>
        <v>0</v>
      </c>
      <c r="K1304" s="728"/>
      <c r="L1304" s="70">
        <f>L589/'Terms and Turnovers'!$AD99</f>
        <v>0</v>
      </c>
      <c r="M1304" s="728"/>
      <c r="N1304" s="70">
        <f>N589/'Terms and Turnovers'!$AD99</f>
        <v>0</v>
      </c>
      <c r="O1304" s="728"/>
      <c r="P1304" s="70">
        <f>P589/'Terms and Turnovers'!$AD99</f>
        <v>0</v>
      </c>
      <c r="Q1304" s="728"/>
      <c r="R1304" s="132">
        <f t="shared" si="111"/>
        <v>0</v>
      </c>
      <c r="S1304" s="728"/>
      <c r="T1304" s="70">
        <f>T589/'Terms and Turnovers'!$AI99</f>
        <v>0</v>
      </c>
      <c r="U1304" s="728"/>
      <c r="V1304" s="70">
        <f>V589/'Terms and Turnovers'!$AI99</f>
        <v>0</v>
      </c>
      <c r="W1304" s="728"/>
      <c r="X1304" s="70">
        <f>X589/'Terms and Turnovers'!$AI99</f>
        <v>0</v>
      </c>
      <c r="Y1304" s="728"/>
      <c r="Z1304" s="70">
        <f>Z589/'Terms and Turnovers'!$AI99</f>
        <v>0</v>
      </c>
      <c r="AA1304" s="728"/>
      <c r="AB1304" s="70">
        <f>AB589/'Terms and Turnovers'!$AI99</f>
        <v>0</v>
      </c>
      <c r="AC1304" s="728"/>
      <c r="AD1304" s="70">
        <f>AD589/'Terms and Turnovers'!$AI99</f>
        <v>0</v>
      </c>
      <c r="AE1304" s="728"/>
      <c r="AF1304" s="132">
        <f t="shared" si="112"/>
        <v>0</v>
      </c>
      <c r="AG1304" s="728"/>
      <c r="AH1304" s="133">
        <f t="shared" si="113"/>
        <v>0</v>
      </c>
      <c r="AI1304" s="728"/>
      <c r="AJ1304" s="65"/>
    </row>
    <row r="1305" spans="2:36" ht="12.75" customHeight="1" outlineLevel="1">
      <c r="B1305" s="82"/>
      <c r="C1305" s="1234"/>
      <c r="D1305" s="1234"/>
      <c r="E1305" s="84">
        <f>'Terms and Turnovers'!$AN$12</f>
        <v>0</v>
      </c>
      <c r="F1305" s="70">
        <f>F590/'Terms and Turnovers'!$AN99</f>
        <v>0</v>
      </c>
      <c r="G1305" s="728"/>
      <c r="H1305" s="70">
        <f>H590/'Terms and Turnovers'!$AN99</f>
        <v>0</v>
      </c>
      <c r="I1305" s="728"/>
      <c r="J1305" s="70">
        <f>J590/'Terms and Turnovers'!$AN99</f>
        <v>0</v>
      </c>
      <c r="K1305" s="728"/>
      <c r="L1305" s="70">
        <f>L590/'Terms and Turnovers'!$AN99</f>
        <v>0</v>
      </c>
      <c r="M1305" s="728"/>
      <c r="N1305" s="70">
        <f>N590/'Terms and Turnovers'!$AN99</f>
        <v>0</v>
      </c>
      <c r="O1305" s="728"/>
      <c r="P1305" s="70">
        <f>P590/'Terms and Turnovers'!$AN99</f>
        <v>0</v>
      </c>
      <c r="Q1305" s="728"/>
      <c r="R1305" s="132">
        <f t="shared" si="111"/>
        <v>0</v>
      </c>
      <c r="S1305" s="728"/>
      <c r="T1305" s="70">
        <f>T590/'Terms and Turnovers'!$AS99</f>
        <v>0</v>
      </c>
      <c r="U1305" s="728"/>
      <c r="V1305" s="70">
        <f>V590/'Terms and Turnovers'!$AS99</f>
        <v>0</v>
      </c>
      <c r="W1305" s="728"/>
      <c r="X1305" s="70">
        <f>X590/'Terms and Turnovers'!$AS99</f>
        <v>0</v>
      </c>
      <c r="Y1305" s="728"/>
      <c r="Z1305" s="70">
        <f>Z590/'Terms and Turnovers'!$AS99</f>
        <v>0</v>
      </c>
      <c r="AA1305" s="728"/>
      <c r="AB1305" s="70">
        <f>AB590/'Terms and Turnovers'!$AS99</f>
        <v>0</v>
      </c>
      <c r="AC1305" s="728"/>
      <c r="AD1305" s="70">
        <f>AD590/'Terms and Turnovers'!$AS99</f>
        <v>0</v>
      </c>
      <c r="AE1305" s="728"/>
      <c r="AF1305" s="132">
        <f t="shared" si="112"/>
        <v>0</v>
      </c>
      <c r="AG1305" s="728"/>
      <c r="AH1305" s="133">
        <f t="shared" si="113"/>
        <v>0</v>
      </c>
      <c r="AI1305" s="728"/>
      <c r="AJ1305" s="65"/>
    </row>
    <row r="1306" spans="2:36" ht="13.5" customHeight="1" outlineLevel="1" thickBot="1">
      <c r="B1306" s="82"/>
      <c r="C1306" s="1235"/>
      <c r="D1306" s="1235"/>
      <c r="E1306" s="85">
        <f>'Terms and Turnovers'!$AX$12</f>
        <v>0</v>
      </c>
      <c r="F1306" s="70">
        <f>F591/'Terms and Turnovers'!$AX99</f>
        <v>0</v>
      </c>
      <c r="G1306" s="111"/>
      <c r="H1306" s="70">
        <f>H591/'Terms and Turnovers'!$AX99</f>
        <v>0</v>
      </c>
      <c r="I1306" s="107"/>
      <c r="J1306" s="70">
        <f>J591/'Terms and Turnovers'!$AX99</f>
        <v>0</v>
      </c>
      <c r="K1306" s="107"/>
      <c r="L1306" s="70">
        <f>L591/'Terms and Turnovers'!$AX99</f>
        <v>0</v>
      </c>
      <c r="M1306" s="107"/>
      <c r="N1306" s="70">
        <f>N591/'Terms and Turnovers'!$AX99</f>
        <v>0</v>
      </c>
      <c r="O1306" s="107"/>
      <c r="P1306" s="70">
        <f>P591/'Terms and Turnovers'!$AX99</f>
        <v>0</v>
      </c>
      <c r="Q1306" s="107"/>
      <c r="R1306" s="135">
        <f t="shared" si="111"/>
        <v>0</v>
      </c>
      <c r="S1306" s="107"/>
      <c r="T1306" s="70">
        <f>T591/'Terms and Turnovers'!$AX$99</f>
        <v>0</v>
      </c>
      <c r="U1306" s="111"/>
      <c r="V1306" s="70">
        <f>V591/'Terms and Turnovers'!$AX$99</f>
        <v>0</v>
      </c>
      <c r="W1306" s="107"/>
      <c r="X1306" s="70">
        <f>X591/'Terms and Turnovers'!$AX$99</f>
        <v>0</v>
      </c>
      <c r="Y1306" s="107"/>
      <c r="Z1306" s="70">
        <f>Z591/'Terms and Turnovers'!$AX$99</f>
        <v>0</v>
      </c>
      <c r="AA1306" s="107"/>
      <c r="AB1306" s="70">
        <f>AB591/'Terms and Turnovers'!$AX$99</f>
        <v>0</v>
      </c>
      <c r="AC1306" s="107"/>
      <c r="AD1306" s="70">
        <f>AD591/'Terms and Turnovers'!$AX$99</f>
        <v>0</v>
      </c>
      <c r="AE1306" s="107"/>
      <c r="AF1306" s="135">
        <f t="shared" si="112"/>
        <v>0</v>
      </c>
      <c r="AG1306" s="107"/>
      <c r="AH1306" s="136">
        <f t="shared" si="113"/>
        <v>0</v>
      </c>
      <c r="AI1306" s="107"/>
      <c r="AJ1306" s="65"/>
    </row>
    <row r="1307" spans="2:36" ht="13.5" customHeight="1" outlineLevel="1">
      <c r="B1307" s="82"/>
      <c r="C1307" s="425"/>
      <c r="D1307" s="425"/>
      <c r="E1307" s="634"/>
      <c r="F1307" s="635"/>
      <c r="G1307" s="428"/>
      <c r="H1307" s="635"/>
      <c r="I1307" s="428"/>
      <c r="J1307" s="635"/>
      <c r="K1307" s="636"/>
      <c r="L1307" s="635"/>
      <c r="M1307" s="636"/>
      <c r="N1307" s="635"/>
      <c r="O1307" s="636"/>
      <c r="P1307" s="635"/>
      <c r="Q1307" s="636"/>
      <c r="R1307" s="637"/>
      <c r="S1307" s="698">
        <f>SUM(R587:R591)/1.18-(SUM(R1302:R1306)*'Mark Up Validation'!$M$175)</f>
        <v>0</v>
      </c>
      <c r="T1307" s="635"/>
      <c r="U1307" s="636"/>
      <c r="V1307" s="635"/>
      <c r="W1307" s="636"/>
      <c r="X1307" s="635"/>
      <c r="Y1307" s="636"/>
      <c r="Z1307" s="635"/>
      <c r="AA1307" s="636"/>
      <c r="AB1307" s="635"/>
      <c r="AC1307" s="636"/>
      <c r="AD1307" s="635"/>
      <c r="AE1307" s="636"/>
      <c r="AF1307" s="637"/>
      <c r="AG1307" s="698">
        <f>SUM(AF587:AF591)/1.18-SUM(AF1302:AF1306)*'Mark Up Validation'!$M$175</f>
        <v>0</v>
      </c>
      <c r="AH1307" s="638"/>
      <c r="AI1307" s="698">
        <f>SUM(AH587:AH591)/1.18-SUM(AH1302:AH1306)*'Mark Up Validation'!$M$175</f>
        <v>0</v>
      </c>
      <c r="AJ1307" s="65"/>
    </row>
    <row r="1308" spans="2:36" ht="13.5" customHeight="1" outlineLevel="1" thickBot="1">
      <c r="B1308" s="82"/>
      <c r="C1308" s="1228" t="s">
        <v>487</v>
      </c>
      <c r="D1308" s="1229"/>
      <c r="E1308" s="699"/>
      <c r="F1308" s="700"/>
      <c r="G1308" s="701"/>
      <c r="H1308" s="700"/>
      <c r="I1308" s="701"/>
      <c r="J1308" s="700"/>
      <c r="K1308" s="702"/>
      <c r="L1308" s="700"/>
      <c r="M1308" s="702"/>
      <c r="N1308" s="700"/>
      <c r="O1308" s="702"/>
      <c r="P1308" s="700"/>
      <c r="Q1308" s="702"/>
      <c r="R1308" s="703"/>
      <c r="S1308" s="729">
        <f>IF(S1307&gt;0,S1307/(SUM(R587:R591)/1.18),0)</f>
        <v>0</v>
      </c>
      <c r="T1308" s="704"/>
      <c r="U1308" s="702"/>
      <c r="V1308" s="700"/>
      <c r="W1308" s="702"/>
      <c r="X1308" s="700"/>
      <c r="Y1308" s="702"/>
      <c r="Z1308" s="700"/>
      <c r="AA1308" s="702"/>
      <c r="AB1308" s="700"/>
      <c r="AC1308" s="702"/>
      <c r="AD1308" s="700"/>
      <c r="AE1308" s="702"/>
      <c r="AF1308" s="705"/>
      <c r="AG1308" s="729">
        <f>IF(AG1307&gt;0,AG1307/(SUM(AF587:AF591)/1.18),0)</f>
        <v>0</v>
      </c>
      <c r="AH1308" s="706"/>
      <c r="AI1308" s="729">
        <f>IF(AI1307&gt;0,AI1307/(SUM(AH587:AH591)/1.18),0)</f>
        <v>0</v>
      </c>
      <c r="AJ1308" s="65"/>
    </row>
    <row r="1309" spans="2:36" ht="12.75" customHeight="1" outlineLevel="1">
      <c r="B1309" s="82">
        <f>B1302+1</f>
        <v>85</v>
      </c>
      <c r="C1309" s="1230">
        <f>C594</f>
        <v>0</v>
      </c>
      <c r="D1309" s="1230">
        <f>D594</f>
        <v>0</v>
      </c>
      <c r="E1309" s="83" t="str">
        <f>'Terms and Turnovers'!$J$12</f>
        <v>FLIP-FLOPS</v>
      </c>
      <c r="F1309" s="68">
        <f>F594/'Terms and Turnovers'!$J100</f>
        <v>0</v>
      </c>
      <c r="G1309" s="106"/>
      <c r="H1309" s="68">
        <f>H594/'Terms and Turnovers'!$J100</f>
        <v>0</v>
      </c>
      <c r="I1309" s="106"/>
      <c r="J1309" s="68">
        <f>J594/'Terms and Turnovers'!$J100</f>
        <v>0</v>
      </c>
      <c r="K1309" s="106"/>
      <c r="L1309" s="68">
        <f>L594/'Terms and Turnovers'!$J100</f>
        <v>0</v>
      </c>
      <c r="M1309" s="106"/>
      <c r="N1309" s="68">
        <f>N594/'Terms and Turnovers'!$J100</f>
        <v>0</v>
      </c>
      <c r="O1309" s="106"/>
      <c r="P1309" s="68">
        <f>P594/'Terms and Turnovers'!$J100</f>
        <v>0</v>
      </c>
      <c r="Q1309" s="106"/>
      <c r="R1309" s="129">
        <f t="shared" si="111"/>
        <v>0</v>
      </c>
      <c r="S1309" s="106"/>
      <c r="T1309" s="68">
        <f>T594/'Terms and Turnovers'!$O100</f>
        <v>0</v>
      </c>
      <c r="U1309" s="106"/>
      <c r="V1309" s="68">
        <f>V594/'Terms and Turnovers'!$O100</f>
        <v>0</v>
      </c>
      <c r="W1309" s="106"/>
      <c r="X1309" s="68">
        <f>X594/'Terms and Turnovers'!$O100</f>
        <v>0</v>
      </c>
      <c r="Y1309" s="106"/>
      <c r="Z1309" s="68">
        <f>Z594/'Terms and Turnovers'!$O100</f>
        <v>0</v>
      </c>
      <c r="AA1309" s="106"/>
      <c r="AB1309" s="68">
        <f>AB594/'Terms and Turnovers'!$O100</f>
        <v>0</v>
      </c>
      <c r="AC1309" s="106"/>
      <c r="AD1309" s="68">
        <f>AD594/'Terms and Turnovers'!$O100</f>
        <v>0</v>
      </c>
      <c r="AE1309" s="106"/>
      <c r="AF1309" s="129">
        <f t="shared" si="112"/>
        <v>0</v>
      </c>
      <c r="AG1309" s="106"/>
      <c r="AH1309" s="130">
        <f t="shared" si="113"/>
        <v>0</v>
      </c>
      <c r="AI1309" s="106"/>
      <c r="AJ1309" s="65"/>
    </row>
    <row r="1310" spans="2:36" ht="12.75" customHeight="1" outlineLevel="1">
      <c r="B1310" s="82"/>
      <c r="C1310" s="1231"/>
      <c r="D1310" s="1231"/>
      <c r="E1310" s="84" t="str">
        <f>'Terms and Turnovers'!$T$12</f>
        <v>ORIGINALS</v>
      </c>
      <c r="F1310" s="70">
        <f>F595/'Terms and Turnovers'!$T100</f>
        <v>0</v>
      </c>
      <c r="G1310" s="728"/>
      <c r="H1310" s="70">
        <f>H595/'Terms and Turnovers'!$T100</f>
        <v>0</v>
      </c>
      <c r="I1310" s="728"/>
      <c r="J1310" s="70">
        <f>J595/'Terms and Turnovers'!$T100</f>
        <v>0</v>
      </c>
      <c r="K1310" s="728"/>
      <c r="L1310" s="70">
        <f>L595/'Terms and Turnovers'!$T100</f>
        <v>0</v>
      </c>
      <c r="M1310" s="728"/>
      <c r="N1310" s="70">
        <f>N595/'Terms and Turnovers'!$T100</f>
        <v>0</v>
      </c>
      <c r="O1310" s="728"/>
      <c r="P1310" s="70">
        <f>P595/'Terms and Turnovers'!$T100</f>
        <v>0</v>
      </c>
      <c r="Q1310" s="728"/>
      <c r="R1310" s="132">
        <f t="shared" si="111"/>
        <v>0</v>
      </c>
      <c r="S1310" s="728"/>
      <c r="T1310" s="70">
        <f>T595/'Terms and Turnovers'!$Y100</f>
        <v>0</v>
      </c>
      <c r="U1310" s="728"/>
      <c r="V1310" s="70">
        <f>V595/'Terms and Turnovers'!$Y100</f>
        <v>0</v>
      </c>
      <c r="W1310" s="728"/>
      <c r="X1310" s="70">
        <f>X595/'Terms and Turnovers'!$Y100</f>
        <v>0</v>
      </c>
      <c r="Y1310" s="728"/>
      <c r="Z1310" s="70">
        <f>Z595/'Terms and Turnovers'!$Y100</f>
        <v>0</v>
      </c>
      <c r="AA1310" s="728"/>
      <c r="AB1310" s="70">
        <f>AB595/'Terms and Turnovers'!$Y100</f>
        <v>0</v>
      </c>
      <c r="AC1310" s="728"/>
      <c r="AD1310" s="70">
        <f>AD595/'Terms and Turnovers'!$Y100</f>
        <v>0</v>
      </c>
      <c r="AE1310" s="728"/>
      <c r="AF1310" s="132">
        <f t="shared" si="112"/>
        <v>0</v>
      </c>
      <c r="AG1310" s="728"/>
      <c r="AH1310" s="133">
        <f t="shared" si="113"/>
        <v>0</v>
      </c>
      <c r="AI1310" s="728"/>
      <c r="AJ1310" s="65"/>
    </row>
    <row r="1311" spans="2:36" ht="12.75" customHeight="1" outlineLevel="1">
      <c r="B1311" s="82"/>
      <c r="C1311" s="1231"/>
      <c r="D1311" s="1231"/>
      <c r="E1311" s="84" t="str">
        <f>'Terms and Turnovers'!$AD$12</f>
        <v>ACCESSORIES</v>
      </c>
      <c r="F1311" s="70">
        <f>F596/'Terms and Turnovers'!$AD100</f>
        <v>0</v>
      </c>
      <c r="G1311" s="728"/>
      <c r="H1311" s="70">
        <f>H596/'Terms and Turnovers'!$AD100</f>
        <v>0</v>
      </c>
      <c r="I1311" s="728"/>
      <c r="J1311" s="70">
        <f>J596/'Terms and Turnovers'!$AD100</f>
        <v>0</v>
      </c>
      <c r="K1311" s="728"/>
      <c r="L1311" s="70">
        <f>L596/'Terms and Turnovers'!$AD100</f>
        <v>0</v>
      </c>
      <c r="M1311" s="728"/>
      <c r="N1311" s="70">
        <f>N596/'Terms and Turnovers'!$AD100</f>
        <v>0</v>
      </c>
      <c r="O1311" s="728"/>
      <c r="P1311" s="70">
        <f>P596/'Terms and Turnovers'!$AD100</f>
        <v>0</v>
      </c>
      <c r="Q1311" s="728"/>
      <c r="R1311" s="132">
        <f t="shared" si="111"/>
        <v>0</v>
      </c>
      <c r="S1311" s="728"/>
      <c r="T1311" s="70">
        <f>T596/'Terms and Turnovers'!$AI100</f>
        <v>0</v>
      </c>
      <c r="U1311" s="728"/>
      <c r="V1311" s="70">
        <f>V596/'Terms and Turnovers'!$AI100</f>
        <v>0</v>
      </c>
      <c r="W1311" s="728"/>
      <c r="X1311" s="70">
        <f>X596/'Terms and Turnovers'!$AI100</f>
        <v>0</v>
      </c>
      <c r="Y1311" s="728"/>
      <c r="Z1311" s="70">
        <f>Z596/'Terms and Turnovers'!$AI100</f>
        <v>0</v>
      </c>
      <c r="AA1311" s="728"/>
      <c r="AB1311" s="70">
        <f>AB596/'Terms and Turnovers'!$AI100</f>
        <v>0</v>
      </c>
      <c r="AC1311" s="728"/>
      <c r="AD1311" s="70">
        <f>AD596/'Terms and Turnovers'!$AI100</f>
        <v>0</v>
      </c>
      <c r="AE1311" s="728"/>
      <c r="AF1311" s="132">
        <f t="shared" si="112"/>
        <v>0</v>
      </c>
      <c r="AG1311" s="728"/>
      <c r="AH1311" s="133">
        <f t="shared" si="113"/>
        <v>0</v>
      </c>
      <c r="AI1311" s="728"/>
      <c r="AJ1311" s="65"/>
    </row>
    <row r="1312" spans="2:36" ht="12.75" customHeight="1" outlineLevel="1">
      <c r="B1312" s="82"/>
      <c r="C1312" s="1231"/>
      <c r="D1312" s="1231"/>
      <c r="E1312" s="84">
        <f>'Terms and Turnovers'!$AN$12</f>
        <v>0</v>
      </c>
      <c r="F1312" s="70">
        <f>F597/'Terms and Turnovers'!$AN100</f>
        <v>0</v>
      </c>
      <c r="G1312" s="728"/>
      <c r="H1312" s="70">
        <f>H597/'Terms and Turnovers'!$AN100</f>
        <v>0</v>
      </c>
      <c r="I1312" s="728"/>
      <c r="J1312" s="70">
        <f>J597/'Terms and Turnovers'!$AN100</f>
        <v>0</v>
      </c>
      <c r="K1312" s="728"/>
      <c r="L1312" s="70">
        <f>L597/'Terms and Turnovers'!$AN100</f>
        <v>0</v>
      </c>
      <c r="M1312" s="728"/>
      <c r="N1312" s="70">
        <f>N597/'Terms and Turnovers'!$AN100</f>
        <v>0</v>
      </c>
      <c r="O1312" s="728"/>
      <c r="P1312" s="70">
        <f>P597/'Terms and Turnovers'!$AN100</f>
        <v>0</v>
      </c>
      <c r="Q1312" s="728"/>
      <c r="R1312" s="132">
        <f t="shared" si="111"/>
        <v>0</v>
      </c>
      <c r="S1312" s="728"/>
      <c r="T1312" s="70">
        <f>T597/'Terms and Turnovers'!$AS100</f>
        <v>0</v>
      </c>
      <c r="U1312" s="728"/>
      <c r="V1312" s="70">
        <f>V597/'Terms and Turnovers'!$AS100</f>
        <v>0</v>
      </c>
      <c r="W1312" s="728"/>
      <c r="X1312" s="70">
        <f>X597/'Terms and Turnovers'!$AS100</f>
        <v>0</v>
      </c>
      <c r="Y1312" s="728"/>
      <c r="Z1312" s="70">
        <f>Z597/'Terms and Turnovers'!$AS100</f>
        <v>0</v>
      </c>
      <c r="AA1312" s="728"/>
      <c r="AB1312" s="70">
        <f>AB597/'Terms and Turnovers'!$AS100</f>
        <v>0</v>
      </c>
      <c r="AC1312" s="728"/>
      <c r="AD1312" s="70">
        <f>AD597/'Terms and Turnovers'!$AS100</f>
        <v>0</v>
      </c>
      <c r="AE1312" s="728"/>
      <c r="AF1312" s="132">
        <f t="shared" si="112"/>
        <v>0</v>
      </c>
      <c r="AG1312" s="728"/>
      <c r="AH1312" s="133">
        <f t="shared" si="113"/>
        <v>0</v>
      </c>
      <c r="AI1312" s="728"/>
      <c r="AJ1312" s="65"/>
    </row>
    <row r="1313" spans="2:36" ht="13.5" customHeight="1" outlineLevel="1" thickBot="1">
      <c r="B1313" s="82"/>
      <c r="C1313" s="1232"/>
      <c r="D1313" s="1232"/>
      <c r="E1313" s="85">
        <f>'Terms and Turnovers'!$AX$12</f>
        <v>0</v>
      </c>
      <c r="F1313" s="70">
        <f>F598/'Terms and Turnovers'!$AX100</f>
        <v>0</v>
      </c>
      <c r="G1313" s="111"/>
      <c r="H1313" s="70">
        <f>H598/'Terms and Turnovers'!$AX100</f>
        <v>0</v>
      </c>
      <c r="I1313" s="107"/>
      <c r="J1313" s="70">
        <f>J598/'Terms and Turnovers'!$AX100</f>
        <v>0</v>
      </c>
      <c r="K1313" s="107"/>
      <c r="L1313" s="70">
        <f>L598/'Terms and Turnovers'!$AX100</f>
        <v>0</v>
      </c>
      <c r="M1313" s="107"/>
      <c r="N1313" s="70">
        <f>N598/'Terms and Turnovers'!$AX100</f>
        <v>0</v>
      </c>
      <c r="O1313" s="107"/>
      <c r="P1313" s="70">
        <f>P598/'Terms and Turnovers'!$AX100</f>
        <v>0</v>
      </c>
      <c r="Q1313" s="107"/>
      <c r="R1313" s="135">
        <f t="shared" si="111"/>
        <v>0</v>
      </c>
      <c r="S1313" s="107"/>
      <c r="T1313" s="70">
        <f>T598/'Terms and Turnovers'!$AX$100</f>
        <v>0</v>
      </c>
      <c r="U1313" s="111"/>
      <c r="V1313" s="70">
        <f>V598/'Terms and Turnovers'!$AX$100</f>
        <v>0</v>
      </c>
      <c r="W1313" s="107"/>
      <c r="X1313" s="70">
        <f>X598/'Terms and Turnovers'!$AX$100</f>
        <v>0</v>
      </c>
      <c r="Y1313" s="107"/>
      <c r="Z1313" s="70">
        <f>Z598/'Terms and Turnovers'!$AX$100</f>
        <v>0</v>
      </c>
      <c r="AA1313" s="107"/>
      <c r="AB1313" s="70">
        <f>AB598/'Terms and Turnovers'!$AX$100</f>
        <v>0</v>
      </c>
      <c r="AC1313" s="107"/>
      <c r="AD1313" s="70">
        <f>AD598/'Terms and Turnovers'!$AX$100</f>
        <v>0</v>
      </c>
      <c r="AE1313" s="107"/>
      <c r="AF1313" s="135">
        <f t="shared" si="112"/>
        <v>0</v>
      </c>
      <c r="AG1313" s="107"/>
      <c r="AH1313" s="136">
        <f t="shared" si="113"/>
        <v>0</v>
      </c>
      <c r="AI1313" s="107"/>
      <c r="AJ1313" s="65"/>
    </row>
    <row r="1314" spans="2:36" ht="13.5" customHeight="1" outlineLevel="1">
      <c r="B1314" s="82"/>
      <c r="C1314" s="425"/>
      <c r="D1314" s="425"/>
      <c r="E1314" s="634"/>
      <c r="F1314" s="635"/>
      <c r="G1314" s="428"/>
      <c r="H1314" s="635"/>
      <c r="I1314" s="428"/>
      <c r="J1314" s="635"/>
      <c r="K1314" s="636"/>
      <c r="L1314" s="635"/>
      <c r="M1314" s="636"/>
      <c r="N1314" s="635"/>
      <c r="O1314" s="636"/>
      <c r="P1314" s="635"/>
      <c r="Q1314" s="636"/>
      <c r="R1314" s="637"/>
      <c r="S1314" s="698">
        <f>SUM(R594:R598)/1.18-(SUM(R1309:R1313)*'Mark Up Validation'!$M$175)</f>
        <v>0</v>
      </c>
      <c r="T1314" s="635"/>
      <c r="U1314" s="636"/>
      <c r="V1314" s="635"/>
      <c r="W1314" s="636"/>
      <c r="X1314" s="635"/>
      <c r="Y1314" s="636"/>
      <c r="Z1314" s="635"/>
      <c r="AA1314" s="636"/>
      <c r="AB1314" s="635"/>
      <c r="AC1314" s="636"/>
      <c r="AD1314" s="635"/>
      <c r="AE1314" s="636"/>
      <c r="AF1314" s="637"/>
      <c r="AG1314" s="698">
        <f>SUM(AF594:AF598)/1.18-SUM(AF1309:AF1313)*'Mark Up Validation'!$M$175</f>
        <v>0</v>
      </c>
      <c r="AH1314" s="638"/>
      <c r="AI1314" s="698">
        <f>SUM(AH594:AH598)/1.18-SUM(AH1309:AH1313)*'Mark Up Validation'!$M$175</f>
        <v>0</v>
      </c>
      <c r="AJ1314" s="65"/>
    </row>
    <row r="1315" spans="2:36" ht="13.5" customHeight="1" outlineLevel="1" thickBot="1">
      <c r="B1315" s="82"/>
      <c r="C1315" s="1228" t="s">
        <v>487</v>
      </c>
      <c r="D1315" s="1229"/>
      <c r="E1315" s="699"/>
      <c r="F1315" s="700"/>
      <c r="G1315" s="701"/>
      <c r="H1315" s="700"/>
      <c r="I1315" s="701"/>
      <c r="J1315" s="700"/>
      <c r="K1315" s="702"/>
      <c r="L1315" s="700"/>
      <c r="M1315" s="702"/>
      <c r="N1315" s="700"/>
      <c r="O1315" s="702"/>
      <c r="P1315" s="700"/>
      <c r="Q1315" s="702"/>
      <c r="R1315" s="703"/>
      <c r="S1315" s="729">
        <f>IF(S1314&gt;0,S1314/(SUM(R594:R598)/1.18),0)</f>
        <v>0</v>
      </c>
      <c r="T1315" s="704"/>
      <c r="U1315" s="702"/>
      <c r="V1315" s="700"/>
      <c r="W1315" s="702"/>
      <c r="X1315" s="700"/>
      <c r="Y1315" s="702"/>
      <c r="Z1315" s="700"/>
      <c r="AA1315" s="702"/>
      <c r="AB1315" s="700"/>
      <c r="AC1315" s="702"/>
      <c r="AD1315" s="700"/>
      <c r="AE1315" s="702"/>
      <c r="AF1315" s="705"/>
      <c r="AG1315" s="729">
        <f>IF(AG1314&gt;0,AG1314/(SUM(AF594:AF598)/1.18),0)</f>
        <v>0</v>
      </c>
      <c r="AH1315" s="706"/>
      <c r="AI1315" s="729">
        <f>IF(AI1314&gt;0,AI1314/(SUM(AH594:AH598)/1.18),0)</f>
        <v>0</v>
      </c>
      <c r="AJ1315" s="65"/>
    </row>
    <row r="1316" spans="2:36" ht="12.75" customHeight="1" outlineLevel="1">
      <c r="B1316" s="82">
        <f>B1309+1</f>
        <v>86</v>
      </c>
      <c r="C1316" s="1233">
        <f>C601</f>
        <v>0</v>
      </c>
      <c r="D1316" s="1233">
        <f>D601</f>
        <v>0</v>
      </c>
      <c r="E1316" s="83" t="str">
        <f>'Terms and Turnovers'!$J$12</f>
        <v>FLIP-FLOPS</v>
      </c>
      <c r="F1316" s="68">
        <f>F601/'Terms and Turnovers'!$J101</f>
        <v>0</v>
      </c>
      <c r="G1316" s="106"/>
      <c r="H1316" s="68">
        <f>H601/'Terms and Turnovers'!$J101</f>
        <v>0</v>
      </c>
      <c r="I1316" s="106"/>
      <c r="J1316" s="68">
        <f>J601/'Terms and Turnovers'!$J101</f>
        <v>0</v>
      </c>
      <c r="K1316" s="106"/>
      <c r="L1316" s="68">
        <f>L601/'Terms and Turnovers'!$J101</f>
        <v>0</v>
      </c>
      <c r="M1316" s="106"/>
      <c r="N1316" s="68">
        <f>N601/'Terms and Turnovers'!$J101</f>
        <v>0</v>
      </c>
      <c r="O1316" s="106"/>
      <c r="P1316" s="68">
        <f>P601/'Terms and Turnovers'!$J101</f>
        <v>0</v>
      </c>
      <c r="Q1316" s="106"/>
      <c r="R1316" s="129">
        <f t="shared" si="111"/>
        <v>0</v>
      </c>
      <c r="S1316" s="106"/>
      <c r="T1316" s="68">
        <f>T601/'Terms and Turnovers'!$O101</f>
        <v>0</v>
      </c>
      <c r="U1316" s="106"/>
      <c r="V1316" s="68">
        <f>V601/'Terms and Turnovers'!$O101</f>
        <v>0</v>
      </c>
      <c r="W1316" s="106"/>
      <c r="X1316" s="68">
        <f>X601/'Terms and Turnovers'!$O101</f>
        <v>0</v>
      </c>
      <c r="Y1316" s="106"/>
      <c r="Z1316" s="68">
        <f>Z601/'Terms and Turnovers'!$O101</f>
        <v>0</v>
      </c>
      <c r="AA1316" s="106"/>
      <c r="AB1316" s="68">
        <f>AB601/'Terms and Turnovers'!$O101</f>
        <v>0</v>
      </c>
      <c r="AC1316" s="106"/>
      <c r="AD1316" s="68">
        <f>AD601/'Terms and Turnovers'!$O101</f>
        <v>0</v>
      </c>
      <c r="AE1316" s="106"/>
      <c r="AF1316" s="129">
        <f t="shared" si="112"/>
        <v>0</v>
      </c>
      <c r="AG1316" s="106"/>
      <c r="AH1316" s="130">
        <f t="shared" si="113"/>
        <v>0</v>
      </c>
      <c r="AI1316" s="106"/>
      <c r="AJ1316" s="65"/>
    </row>
    <row r="1317" spans="2:36" ht="12.75" customHeight="1" outlineLevel="1">
      <c r="B1317" s="82"/>
      <c r="C1317" s="1234"/>
      <c r="D1317" s="1234"/>
      <c r="E1317" s="84" t="str">
        <f>'Terms and Turnovers'!$T$12</f>
        <v>ORIGINALS</v>
      </c>
      <c r="F1317" s="70">
        <f>F602/'Terms and Turnovers'!$T101</f>
        <v>0</v>
      </c>
      <c r="G1317" s="728"/>
      <c r="H1317" s="70">
        <f>H602/'Terms and Turnovers'!$T101</f>
        <v>0</v>
      </c>
      <c r="I1317" s="728"/>
      <c r="J1317" s="70">
        <f>J602/'Terms and Turnovers'!$T101</f>
        <v>0</v>
      </c>
      <c r="K1317" s="728"/>
      <c r="L1317" s="70">
        <f>L602/'Terms and Turnovers'!$T101</f>
        <v>0</v>
      </c>
      <c r="M1317" s="728"/>
      <c r="N1317" s="70">
        <f>N602/'Terms and Turnovers'!$T101</f>
        <v>0</v>
      </c>
      <c r="O1317" s="728"/>
      <c r="P1317" s="70">
        <f>P602/'Terms and Turnovers'!$T101</f>
        <v>0</v>
      </c>
      <c r="Q1317" s="728"/>
      <c r="R1317" s="132">
        <f t="shared" si="111"/>
        <v>0</v>
      </c>
      <c r="S1317" s="728"/>
      <c r="T1317" s="70">
        <f>T602/'Terms and Turnovers'!$Y101</f>
        <v>0</v>
      </c>
      <c r="U1317" s="728"/>
      <c r="V1317" s="70">
        <f>V602/'Terms and Turnovers'!$Y101</f>
        <v>0</v>
      </c>
      <c r="W1317" s="728"/>
      <c r="X1317" s="70">
        <f>X602/'Terms and Turnovers'!$Y101</f>
        <v>0</v>
      </c>
      <c r="Y1317" s="728"/>
      <c r="Z1317" s="70">
        <f>Z602/'Terms and Turnovers'!$Y101</f>
        <v>0</v>
      </c>
      <c r="AA1317" s="728"/>
      <c r="AB1317" s="70">
        <f>AB602/'Terms and Turnovers'!$Y101</f>
        <v>0</v>
      </c>
      <c r="AC1317" s="728"/>
      <c r="AD1317" s="70">
        <f>AD602/'Terms and Turnovers'!$Y101</f>
        <v>0</v>
      </c>
      <c r="AE1317" s="728"/>
      <c r="AF1317" s="132">
        <f t="shared" si="112"/>
        <v>0</v>
      </c>
      <c r="AG1317" s="728"/>
      <c r="AH1317" s="133">
        <f t="shared" si="113"/>
        <v>0</v>
      </c>
      <c r="AI1317" s="728"/>
      <c r="AJ1317" s="65"/>
    </row>
    <row r="1318" spans="2:36" ht="12.75" customHeight="1" outlineLevel="1">
      <c r="B1318" s="82"/>
      <c r="C1318" s="1234"/>
      <c r="D1318" s="1234"/>
      <c r="E1318" s="84" t="str">
        <f>'Terms and Turnovers'!$AD$12</f>
        <v>ACCESSORIES</v>
      </c>
      <c r="F1318" s="70">
        <f>F603/'Terms and Turnovers'!$AD101</f>
        <v>0</v>
      </c>
      <c r="G1318" s="728"/>
      <c r="H1318" s="70">
        <f>H603/'Terms and Turnovers'!$AD101</f>
        <v>0</v>
      </c>
      <c r="I1318" s="728"/>
      <c r="J1318" s="70">
        <f>J603/'Terms and Turnovers'!$AD101</f>
        <v>0</v>
      </c>
      <c r="K1318" s="728"/>
      <c r="L1318" s="70">
        <f>L603/'Terms and Turnovers'!$AD101</f>
        <v>0</v>
      </c>
      <c r="M1318" s="728"/>
      <c r="N1318" s="70">
        <f>N603/'Terms and Turnovers'!$AD101</f>
        <v>0</v>
      </c>
      <c r="O1318" s="728"/>
      <c r="P1318" s="70">
        <f>P603/'Terms and Turnovers'!$AD101</f>
        <v>0</v>
      </c>
      <c r="Q1318" s="728"/>
      <c r="R1318" s="132">
        <f t="shared" si="111"/>
        <v>0</v>
      </c>
      <c r="S1318" s="728"/>
      <c r="T1318" s="70">
        <f>T603/'Terms and Turnovers'!$AI101</f>
        <v>0</v>
      </c>
      <c r="U1318" s="728"/>
      <c r="V1318" s="70">
        <f>V603/'Terms and Turnovers'!$AI101</f>
        <v>0</v>
      </c>
      <c r="W1318" s="728"/>
      <c r="X1318" s="70">
        <f>X603/'Terms and Turnovers'!$AI101</f>
        <v>0</v>
      </c>
      <c r="Y1318" s="728"/>
      <c r="Z1318" s="70">
        <f>Z603/'Terms and Turnovers'!$AI101</f>
        <v>0</v>
      </c>
      <c r="AA1318" s="728"/>
      <c r="AB1318" s="70">
        <f>AB603/'Terms and Turnovers'!$AI101</f>
        <v>0</v>
      </c>
      <c r="AC1318" s="728"/>
      <c r="AD1318" s="70">
        <f>AD603/'Terms and Turnovers'!$AI101</f>
        <v>0</v>
      </c>
      <c r="AE1318" s="728"/>
      <c r="AF1318" s="132">
        <f t="shared" si="112"/>
        <v>0</v>
      </c>
      <c r="AG1318" s="728"/>
      <c r="AH1318" s="133">
        <f t="shared" si="113"/>
        <v>0</v>
      </c>
      <c r="AI1318" s="728"/>
      <c r="AJ1318" s="65"/>
    </row>
    <row r="1319" spans="2:36" ht="12.75" customHeight="1" outlineLevel="1">
      <c r="B1319" s="82"/>
      <c r="C1319" s="1234"/>
      <c r="D1319" s="1234"/>
      <c r="E1319" s="84">
        <f>'Terms and Turnovers'!$AN$12</f>
        <v>0</v>
      </c>
      <c r="F1319" s="70">
        <f>F604/'Terms and Turnovers'!$AN101</f>
        <v>0</v>
      </c>
      <c r="G1319" s="728"/>
      <c r="H1319" s="70">
        <f>H604/'Terms and Turnovers'!$AN101</f>
        <v>0</v>
      </c>
      <c r="I1319" s="728"/>
      <c r="J1319" s="70">
        <f>J604/'Terms and Turnovers'!$AN101</f>
        <v>0</v>
      </c>
      <c r="K1319" s="728"/>
      <c r="L1319" s="70">
        <f>L604/'Terms and Turnovers'!$AN101</f>
        <v>0</v>
      </c>
      <c r="M1319" s="728"/>
      <c r="N1319" s="70">
        <f>N604/'Terms and Turnovers'!$AN101</f>
        <v>0</v>
      </c>
      <c r="O1319" s="728"/>
      <c r="P1319" s="70">
        <f>P604/'Terms and Turnovers'!$AN101</f>
        <v>0</v>
      </c>
      <c r="Q1319" s="728"/>
      <c r="R1319" s="132">
        <f t="shared" si="111"/>
        <v>0</v>
      </c>
      <c r="S1319" s="728"/>
      <c r="T1319" s="70">
        <f>T604/'Terms and Turnovers'!$AS101</f>
        <v>0</v>
      </c>
      <c r="U1319" s="728"/>
      <c r="V1319" s="70">
        <f>V604/'Terms and Turnovers'!$AS101</f>
        <v>0</v>
      </c>
      <c r="W1319" s="728"/>
      <c r="X1319" s="70">
        <f>X604/'Terms and Turnovers'!$AS101</f>
        <v>0</v>
      </c>
      <c r="Y1319" s="728"/>
      <c r="Z1319" s="70">
        <f>Z604/'Terms and Turnovers'!$AS101</f>
        <v>0</v>
      </c>
      <c r="AA1319" s="728"/>
      <c r="AB1319" s="70">
        <f>AB604/'Terms and Turnovers'!$AS101</f>
        <v>0</v>
      </c>
      <c r="AC1319" s="728"/>
      <c r="AD1319" s="70">
        <f>AD604/'Terms and Turnovers'!$AS101</f>
        <v>0</v>
      </c>
      <c r="AE1319" s="728"/>
      <c r="AF1319" s="132">
        <f t="shared" si="112"/>
        <v>0</v>
      </c>
      <c r="AG1319" s="728"/>
      <c r="AH1319" s="133">
        <f t="shared" si="113"/>
        <v>0</v>
      </c>
      <c r="AI1319" s="728"/>
      <c r="AJ1319" s="65"/>
    </row>
    <row r="1320" spans="2:36" ht="13.5" customHeight="1" outlineLevel="1" thickBot="1">
      <c r="B1320" s="82"/>
      <c r="C1320" s="1235"/>
      <c r="D1320" s="1235"/>
      <c r="E1320" s="85">
        <f>'Terms and Turnovers'!$AX$12</f>
        <v>0</v>
      </c>
      <c r="F1320" s="70">
        <f>F605/'Terms and Turnovers'!$AX101</f>
        <v>0</v>
      </c>
      <c r="G1320" s="111"/>
      <c r="H1320" s="70">
        <f>H605/'Terms and Turnovers'!$AX101</f>
        <v>0</v>
      </c>
      <c r="I1320" s="107"/>
      <c r="J1320" s="70">
        <f>J605/'Terms and Turnovers'!$AX101</f>
        <v>0</v>
      </c>
      <c r="K1320" s="107"/>
      <c r="L1320" s="70">
        <f>L605/'Terms and Turnovers'!$AX101</f>
        <v>0</v>
      </c>
      <c r="M1320" s="107"/>
      <c r="N1320" s="70">
        <f>N605/'Terms and Turnovers'!$AX101</f>
        <v>0</v>
      </c>
      <c r="O1320" s="107"/>
      <c r="P1320" s="70">
        <f>P605/'Terms and Turnovers'!$AX101</f>
        <v>0</v>
      </c>
      <c r="Q1320" s="107"/>
      <c r="R1320" s="135">
        <f t="shared" si="111"/>
        <v>0</v>
      </c>
      <c r="S1320" s="107"/>
      <c r="T1320" s="70">
        <f>T605/'Terms and Turnovers'!$AX$101</f>
        <v>0</v>
      </c>
      <c r="U1320" s="111"/>
      <c r="V1320" s="70">
        <f>V605/'Terms and Turnovers'!$AX$101</f>
        <v>0</v>
      </c>
      <c r="W1320" s="107"/>
      <c r="X1320" s="70">
        <f>X605/'Terms and Turnovers'!$AX$101</f>
        <v>0</v>
      </c>
      <c r="Y1320" s="107"/>
      <c r="Z1320" s="70">
        <f>Z605/'Terms and Turnovers'!$AX$101</f>
        <v>0</v>
      </c>
      <c r="AA1320" s="107"/>
      <c r="AB1320" s="70">
        <f>AB605/'Terms and Turnovers'!$AX$101</f>
        <v>0</v>
      </c>
      <c r="AC1320" s="107"/>
      <c r="AD1320" s="70">
        <f>AD605/'Terms and Turnovers'!$AX$101</f>
        <v>0</v>
      </c>
      <c r="AE1320" s="107"/>
      <c r="AF1320" s="135">
        <f t="shared" si="112"/>
        <v>0</v>
      </c>
      <c r="AG1320" s="107"/>
      <c r="AH1320" s="136">
        <f t="shared" si="113"/>
        <v>0</v>
      </c>
      <c r="AI1320" s="107"/>
      <c r="AJ1320" s="65"/>
    </row>
    <row r="1321" spans="2:36" ht="13.5" customHeight="1" outlineLevel="1">
      <c r="B1321" s="82"/>
      <c r="C1321" s="425"/>
      <c r="D1321" s="425"/>
      <c r="E1321" s="634"/>
      <c r="F1321" s="635"/>
      <c r="G1321" s="428"/>
      <c r="H1321" s="635"/>
      <c r="I1321" s="428"/>
      <c r="J1321" s="635"/>
      <c r="K1321" s="636"/>
      <c r="L1321" s="635"/>
      <c r="M1321" s="636"/>
      <c r="N1321" s="635"/>
      <c r="O1321" s="636"/>
      <c r="P1321" s="635"/>
      <c r="Q1321" s="636"/>
      <c r="R1321" s="637"/>
      <c r="S1321" s="698">
        <f>SUM(R601:R605)/1.18-(SUM(R1316:R1320)*'Mark Up Validation'!$M$175)</f>
        <v>0</v>
      </c>
      <c r="T1321" s="635"/>
      <c r="U1321" s="636"/>
      <c r="V1321" s="635"/>
      <c r="W1321" s="636"/>
      <c r="X1321" s="635"/>
      <c r="Y1321" s="636"/>
      <c r="Z1321" s="635"/>
      <c r="AA1321" s="636"/>
      <c r="AB1321" s="635"/>
      <c r="AC1321" s="636"/>
      <c r="AD1321" s="635"/>
      <c r="AE1321" s="636"/>
      <c r="AF1321" s="637"/>
      <c r="AG1321" s="698">
        <f>SUM(AF601:AF605)/1.18-SUM(AF1316:AF1320)*'Mark Up Validation'!$M$175</f>
        <v>0</v>
      </c>
      <c r="AH1321" s="638"/>
      <c r="AI1321" s="698">
        <f>SUM(AH601:AH605)/1.18-SUM(AH1316:AH1320)*'Mark Up Validation'!$M$175</f>
        <v>0</v>
      </c>
      <c r="AJ1321" s="65"/>
    </row>
    <row r="1322" spans="2:36" ht="13.5" customHeight="1" outlineLevel="1" thickBot="1">
      <c r="B1322" s="82"/>
      <c r="C1322" s="1228" t="s">
        <v>487</v>
      </c>
      <c r="D1322" s="1229"/>
      <c r="E1322" s="699"/>
      <c r="F1322" s="700"/>
      <c r="G1322" s="701"/>
      <c r="H1322" s="700"/>
      <c r="I1322" s="701"/>
      <c r="J1322" s="700"/>
      <c r="K1322" s="702"/>
      <c r="L1322" s="700"/>
      <c r="M1322" s="702"/>
      <c r="N1322" s="700"/>
      <c r="O1322" s="702"/>
      <c r="P1322" s="700"/>
      <c r="Q1322" s="702"/>
      <c r="R1322" s="703"/>
      <c r="S1322" s="729">
        <f>IF(S1321&gt;0,S1321/(SUM(R601:R605)/1.18),0)</f>
        <v>0</v>
      </c>
      <c r="T1322" s="704"/>
      <c r="U1322" s="702"/>
      <c r="V1322" s="700"/>
      <c r="W1322" s="702"/>
      <c r="X1322" s="700"/>
      <c r="Y1322" s="702"/>
      <c r="Z1322" s="700"/>
      <c r="AA1322" s="702"/>
      <c r="AB1322" s="700"/>
      <c r="AC1322" s="702"/>
      <c r="AD1322" s="700"/>
      <c r="AE1322" s="702"/>
      <c r="AF1322" s="705"/>
      <c r="AG1322" s="729">
        <f>IF(AG1321&gt;0,AG1321/(SUM(AF601:AF605)/1.18),0)</f>
        <v>0</v>
      </c>
      <c r="AH1322" s="706"/>
      <c r="AI1322" s="729">
        <f>IF(AI1321&gt;0,AI1321/(SUM(AH601:AH605)/1.18),0)</f>
        <v>0</v>
      </c>
      <c r="AJ1322" s="65"/>
    </row>
    <row r="1323" spans="2:36" ht="12.75" customHeight="1" outlineLevel="1">
      <c r="B1323" s="82">
        <f>B1316+1</f>
        <v>87</v>
      </c>
      <c r="C1323" s="1230">
        <f>C608</f>
        <v>0</v>
      </c>
      <c r="D1323" s="1230">
        <f>D608</f>
        <v>0</v>
      </c>
      <c r="E1323" s="83" t="str">
        <f>'Terms and Turnovers'!$J$12</f>
        <v>FLIP-FLOPS</v>
      </c>
      <c r="F1323" s="68">
        <f>F608/'Terms and Turnovers'!$J102</f>
        <v>0</v>
      </c>
      <c r="G1323" s="106"/>
      <c r="H1323" s="68">
        <f>H608/'Terms and Turnovers'!$J102</f>
        <v>0</v>
      </c>
      <c r="I1323" s="106"/>
      <c r="J1323" s="68">
        <f>J608/'Terms and Turnovers'!$J102</f>
        <v>0</v>
      </c>
      <c r="K1323" s="106"/>
      <c r="L1323" s="68">
        <f>L608/'Terms and Turnovers'!$J102</f>
        <v>0</v>
      </c>
      <c r="M1323" s="106"/>
      <c r="N1323" s="68">
        <f>N608/'Terms and Turnovers'!$J102</f>
        <v>0</v>
      </c>
      <c r="O1323" s="106"/>
      <c r="P1323" s="68">
        <f>P608/'Terms and Turnovers'!$J102</f>
        <v>0</v>
      </c>
      <c r="Q1323" s="106"/>
      <c r="R1323" s="129">
        <f t="shared" si="111"/>
        <v>0</v>
      </c>
      <c r="S1323" s="106"/>
      <c r="T1323" s="68">
        <f>T608/'Terms and Turnovers'!$O102</f>
        <v>0</v>
      </c>
      <c r="U1323" s="106"/>
      <c r="V1323" s="68">
        <f>V608/'Terms and Turnovers'!$O102</f>
        <v>0</v>
      </c>
      <c r="W1323" s="106"/>
      <c r="X1323" s="68">
        <f>X608/'Terms and Turnovers'!$O102</f>
        <v>0</v>
      </c>
      <c r="Y1323" s="106"/>
      <c r="Z1323" s="68">
        <f>Z608/'Terms and Turnovers'!$O102</f>
        <v>0</v>
      </c>
      <c r="AA1323" s="106"/>
      <c r="AB1323" s="68">
        <f>AB608/'Terms and Turnovers'!$O102</f>
        <v>0</v>
      </c>
      <c r="AC1323" s="106"/>
      <c r="AD1323" s="68">
        <f>AD608/'Terms and Turnovers'!$O102</f>
        <v>0</v>
      </c>
      <c r="AE1323" s="106"/>
      <c r="AF1323" s="129">
        <f t="shared" si="112"/>
        <v>0</v>
      </c>
      <c r="AG1323" s="106"/>
      <c r="AH1323" s="130">
        <f t="shared" si="113"/>
        <v>0</v>
      </c>
      <c r="AI1323" s="106"/>
      <c r="AJ1323" s="65"/>
    </row>
    <row r="1324" spans="2:36" ht="12.75" customHeight="1" outlineLevel="1">
      <c r="B1324" s="82"/>
      <c r="C1324" s="1231"/>
      <c r="D1324" s="1231"/>
      <c r="E1324" s="84" t="str">
        <f>'Terms and Turnovers'!$T$12</f>
        <v>ORIGINALS</v>
      </c>
      <c r="F1324" s="70">
        <f>F609/'Terms and Turnovers'!$T102</f>
        <v>0</v>
      </c>
      <c r="G1324" s="728"/>
      <c r="H1324" s="70">
        <f>H609/'Terms and Turnovers'!$T102</f>
        <v>0</v>
      </c>
      <c r="I1324" s="728"/>
      <c r="J1324" s="70">
        <f>J609/'Terms and Turnovers'!$T102</f>
        <v>0</v>
      </c>
      <c r="K1324" s="728"/>
      <c r="L1324" s="70">
        <f>L609/'Terms and Turnovers'!$T102</f>
        <v>0</v>
      </c>
      <c r="M1324" s="728"/>
      <c r="N1324" s="70">
        <f>N609/'Terms and Turnovers'!$T102</f>
        <v>0</v>
      </c>
      <c r="O1324" s="728"/>
      <c r="P1324" s="70">
        <f>P609/'Terms and Turnovers'!$T102</f>
        <v>0</v>
      </c>
      <c r="Q1324" s="728"/>
      <c r="R1324" s="132">
        <f t="shared" si="111"/>
        <v>0</v>
      </c>
      <c r="S1324" s="728"/>
      <c r="T1324" s="70">
        <f>T609/'Terms and Turnovers'!$Y102</f>
        <v>0</v>
      </c>
      <c r="U1324" s="728"/>
      <c r="V1324" s="70">
        <f>V609/'Terms and Turnovers'!$Y102</f>
        <v>0</v>
      </c>
      <c r="W1324" s="728"/>
      <c r="X1324" s="70">
        <f>X609/'Terms and Turnovers'!$Y102</f>
        <v>0</v>
      </c>
      <c r="Y1324" s="728"/>
      <c r="Z1324" s="70">
        <f>Z609/'Terms and Turnovers'!$Y102</f>
        <v>0</v>
      </c>
      <c r="AA1324" s="728"/>
      <c r="AB1324" s="70">
        <f>AB609/'Terms and Turnovers'!$Y102</f>
        <v>0</v>
      </c>
      <c r="AC1324" s="728"/>
      <c r="AD1324" s="70">
        <f>AD609/'Terms and Turnovers'!$Y102</f>
        <v>0</v>
      </c>
      <c r="AE1324" s="728"/>
      <c r="AF1324" s="132">
        <f t="shared" si="112"/>
        <v>0</v>
      </c>
      <c r="AG1324" s="728"/>
      <c r="AH1324" s="133">
        <f t="shared" si="113"/>
        <v>0</v>
      </c>
      <c r="AI1324" s="728"/>
      <c r="AJ1324" s="65"/>
    </row>
    <row r="1325" spans="2:36" ht="12.75" customHeight="1" outlineLevel="1">
      <c r="B1325" s="82"/>
      <c r="C1325" s="1231"/>
      <c r="D1325" s="1231"/>
      <c r="E1325" s="84" t="str">
        <f>'Terms and Turnovers'!$AD$12</f>
        <v>ACCESSORIES</v>
      </c>
      <c r="F1325" s="70">
        <f>F610/'Terms and Turnovers'!$AD102</f>
        <v>0</v>
      </c>
      <c r="G1325" s="728"/>
      <c r="H1325" s="70">
        <f>H610/'Terms and Turnovers'!$AD102</f>
        <v>0</v>
      </c>
      <c r="I1325" s="728"/>
      <c r="J1325" s="70">
        <f>J610/'Terms and Turnovers'!$AD102</f>
        <v>0</v>
      </c>
      <c r="K1325" s="728"/>
      <c r="L1325" s="70">
        <f>L610/'Terms and Turnovers'!$AD102</f>
        <v>0</v>
      </c>
      <c r="M1325" s="728"/>
      <c r="N1325" s="70">
        <f>N610/'Terms and Turnovers'!$AD102</f>
        <v>0</v>
      </c>
      <c r="O1325" s="728"/>
      <c r="P1325" s="70">
        <f>P610/'Terms and Turnovers'!$AD102</f>
        <v>0</v>
      </c>
      <c r="Q1325" s="728"/>
      <c r="R1325" s="132">
        <f t="shared" si="111"/>
        <v>0</v>
      </c>
      <c r="S1325" s="728"/>
      <c r="T1325" s="70">
        <f>T610/'Terms and Turnovers'!$AI102</f>
        <v>0</v>
      </c>
      <c r="U1325" s="728"/>
      <c r="V1325" s="70">
        <f>V610/'Terms and Turnovers'!$AI102</f>
        <v>0</v>
      </c>
      <c r="W1325" s="728"/>
      <c r="X1325" s="70">
        <f>X610/'Terms and Turnovers'!$AI102</f>
        <v>0</v>
      </c>
      <c r="Y1325" s="728"/>
      <c r="Z1325" s="70">
        <f>Z610/'Terms and Turnovers'!$AI102</f>
        <v>0</v>
      </c>
      <c r="AA1325" s="728"/>
      <c r="AB1325" s="70">
        <f>AB610/'Terms and Turnovers'!$AI102</f>
        <v>0</v>
      </c>
      <c r="AC1325" s="728"/>
      <c r="AD1325" s="70">
        <f>AD610/'Terms and Turnovers'!$AI102</f>
        <v>0</v>
      </c>
      <c r="AE1325" s="728"/>
      <c r="AF1325" s="132">
        <f t="shared" si="112"/>
        <v>0</v>
      </c>
      <c r="AG1325" s="728"/>
      <c r="AH1325" s="133">
        <f t="shared" si="113"/>
        <v>0</v>
      </c>
      <c r="AI1325" s="728"/>
      <c r="AJ1325" s="65"/>
    </row>
    <row r="1326" spans="2:36" ht="12.75" customHeight="1" outlineLevel="1">
      <c r="B1326" s="82"/>
      <c r="C1326" s="1231"/>
      <c r="D1326" s="1231"/>
      <c r="E1326" s="84">
        <f>'Terms and Turnovers'!$AN$12</f>
        <v>0</v>
      </c>
      <c r="F1326" s="70">
        <f>F611/'Terms and Turnovers'!$AN102</f>
        <v>0</v>
      </c>
      <c r="G1326" s="728"/>
      <c r="H1326" s="70">
        <f>H611/'Terms and Turnovers'!$AN102</f>
        <v>0</v>
      </c>
      <c r="I1326" s="728"/>
      <c r="J1326" s="70">
        <f>J611/'Terms and Turnovers'!$AN102</f>
        <v>0</v>
      </c>
      <c r="K1326" s="728"/>
      <c r="L1326" s="70">
        <f>L611/'Terms and Turnovers'!$AN102</f>
        <v>0</v>
      </c>
      <c r="M1326" s="728"/>
      <c r="N1326" s="70">
        <f>N611/'Terms and Turnovers'!$AN102</f>
        <v>0</v>
      </c>
      <c r="O1326" s="728"/>
      <c r="P1326" s="70">
        <f>P611/'Terms and Turnovers'!$AN102</f>
        <v>0</v>
      </c>
      <c r="Q1326" s="728"/>
      <c r="R1326" s="132">
        <f t="shared" si="111"/>
        <v>0</v>
      </c>
      <c r="S1326" s="728"/>
      <c r="T1326" s="70">
        <f>T611/'Terms and Turnovers'!$AS102</f>
        <v>0</v>
      </c>
      <c r="U1326" s="728"/>
      <c r="V1326" s="70">
        <f>V611/'Terms and Turnovers'!$AS102</f>
        <v>0</v>
      </c>
      <c r="W1326" s="728"/>
      <c r="X1326" s="70">
        <f>X611/'Terms and Turnovers'!$AS102</f>
        <v>0</v>
      </c>
      <c r="Y1326" s="728"/>
      <c r="Z1326" s="70">
        <f>Z611/'Terms and Turnovers'!$AS102</f>
        <v>0</v>
      </c>
      <c r="AA1326" s="728"/>
      <c r="AB1326" s="70">
        <f>AB611/'Terms and Turnovers'!$AS102</f>
        <v>0</v>
      </c>
      <c r="AC1326" s="728"/>
      <c r="AD1326" s="70">
        <f>AD611/'Terms and Turnovers'!$AS102</f>
        <v>0</v>
      </c>
      <c r="AE1326" s="728"/>
      <c r="AF1326" s="132">
        <f t="shared" si="112"/>
        <v>0</v>
      </c>
      <c r="AG1326" s="728"/>
      <c r="AH1326" s="133">
        <f t="shared" si="113"/>
        <v>0</v>
      </c>
      <c r="AI1326" s="728"/>
      <c r="AJ1326" s="65"/>
    </row>
    <row r="1327" spans="2:36" ht="13.5" customHeight="1" outlineLevel="1" thickBot="1">
      <c r="B1327" s="82"/>
      <c r="C1327" s="1232"/>
      <c r="D1327" s="1232"/>
      <c r="E1327" s="85">
        <f>'Terms and Turnovers'!$AX$12</f>
        <v>0</v>
      </c>
      <c r="F1327" s="70">
        <f>F612/'Terms and Turnovers'!$AX102</f>
        <v>0</v>
      </c>
      <c r="G1327" s="111"/>
      <c r="H1327" s="70">
        <f>H612/'Terms and Turnovers'!$AX102</f>
        <v>0</v>
      </c>
      <c r="I1327" s="107"/>
      <c r="J1327" s="70">
        <f>J612/'Terms and Turnovers'!$AX102</f>
        <v>0</v>
      </c>
      <c r="K1327" s="107"/>
      <c r="L1327" s="70">
        <f>L612/'Terms and Turnovers'!$AX102</f>
        <v>0</v>
      </c>
      <c r="M1327" s="107"/>
      <c r="N1327" s="70">
        <f>N612/'Terms and Turnovers'!$AX102</f>
        <v>0</v>
      </c>
      <c r="O1327" s="107"/>
      <c r="P1327" s="70">
        <f>P612/'Terms and Turnovers'!$AX102</f>
        <v>0</v>
      </c>
      <c r="Q1327" s="107"/>
      <c r="R1327" s="135">
        <f t="shared" si="111"/>
        <v>0</v>
      </c>
      <c r="S1327" s="107"/>
      <c r="T1327" s="70">
        <f>T612/'Terms and Turnovers'!$AX$102</f>
        <v>0</v>
      </c>
      <c r="U1327" s="111"/>
      <c r="V1327" s="70">
        <f>V612/'Terms and Turnovers'!$AX$102</f>
        <v>0</v>
      </c>
      <c r="W1327" s="107"/>
      <c r="X1327" s="70">
        <f>X612/'Terms and Turnovers'!$AX$102</f>
        <v>0</v>
      </c>
      <c r="Y1327" s="107"/>
      <c r="Z1327" s="70">
        <f>Z612/'Terms and Turnovers'!$AX$102</f>
        <v>0</v>
      </c>
      <c r="AA1327" s="107"/>
      <c r="AB1327" s="70">
        <f>AB612/'Terms and Turnovers'!$AX$102</f>
        <v>0</v>
      </c>
      <c r="AC1327" s="107"/>
      <c r="AD1327" s="70">
        <f>AD612/'Terms and Turnovers'!$AX$102</f>
        <v>0</v>
      </c>
      <c r="AE1327" s="107"/>
      <c r="AF1327" s="135">
        <f t="shared" si="112"/>
        <v>0</v>
      </c>
      <c r="AG1327" s="107"/>
      <c r="AH1327" s="136">
        <f t="shared" si="113"/>
        <v>0</v>
      </c>
      <c r="AI1327" s="107"/>
      <c r="AJ1327" s="65"/>
    </row>
    <row r="1328" spans="2:36" ht="13.5" customHeight="1" outlineLevel="1">
      <c r="B1328" s="82"/>
      <c r="C1328" s="425"/>
      <c r="D1328" s="425"/>
      <c r="E1328" s="634"/>
      <c r="F1328" s="635"/>
      <c r="G1328" s="428"/>
      <c r="H1328" s="635"/>
      <c r="I1328" s="428"/>
      <c r="J1328" s="635"/>
      <c r="K1328" s="636"/>
      <c r="L1328" s="635"/>
      <c r="M1328" s="636"/>
      <c r="N1328" s="635"/>
      <c r="O1328" s="636"/>
      <c r="P1328" s="635"/>
      <c r="Q1328" s="636"/>
      <c r="R1328" s="637"/>
      <c r="S1328" s="698">
        <f>SUM(R608:R612)/1.18-(SUM(R1323:R1327)*'Mark Up Validation'!$M$175)</f>
        <v>0</v>
      </c>
      <c r="T1328" s="635"/>
      <c r="U1328" s="636"/>
      <c r="V1328" s="635"/>
      <c r="W1328" s="636"/>
      <c r="X1328" s="635"/>
      <c r="Y1328" s="636"/>
      <c r="Z1328" s="635"/>
      <c r="AA1328" s="636"/>
      <c r="AB1328" s="635"/>
      <c r="AC1328" s="636"/>
      <c r="AD1328" s="635"/>
      <c r="AE1328" s="636"/>
      <c r="AF1328" s="637"/>
      <c r="AG1328" s="698">
        <f>SUM(AF608:AF612)/1.18-SUM(AF1323:AF1327)*'Mark Up Validation'!$M$175</f>
        <v>0</v>
      </c>
      <c r="AH1328" s="638"/>
      <c r="AI1328" s="698">
        <f>SUM(AH608:AH612)/1.18-SUM(AH1323:AH1327)*'Mark Up Validation'!$M$175</f>
        <v>0</v>
      </c>
      <c r="AJ1328" s="65"/>
    </row>
    <row r="1329" spans="2:36" ht="13.5" customHeight="1" outlineLevel="1" thickBot="1">
      <c r="B1329" s="82"/>
      <c r="C1329" s="1228" t="s">
        <v>487</v>
      </c>
      <c r="D1329" s="1229"/>
      <c r="E1329" s="699"/>
      <c r="F1329" s="700"/>
      <c r="G1329" s="701"/>
      <c r="H1329" s="700"/>
      <c r="I1329" s="701"/>
      <c r="J1329" s="700"/>
      <c r="K1329" s="702"/>
      <c r="L1329" s="700"/>
      <c r="M1329" s="702"/>
      <c r="N1329" s="700"/>
      <c r="O1329" s="702"/>
      <c r="P1329" s="700"/>
      <c r="Q1329" s="702"/>
      <c r="R1329" s="703"/>
      <c r="S1329" s="729">
        <f>IF(S1328&gt;0,S1328/(SUM(R608:R612)/1.18),0)</f>
        <v>0</v>
      </c>
      <c r="T1329" s="704"/>
      <c r="U1329" s="702"/>
      <c r="V1329" s="700"/>
      <c r="W1329" s="702"/>
      <c r="X1329" s="700"/>
      <c r="Y1329" s="702"/>
      <c r="Z1329" s="700"/>
      <c r="AA1329" s="702"/>
      <c r="AB1329" s="700"/>
      <c r="AC1329" s="702"/>
      <c r="AD1329" s="700"/>
      <c r="AE1329" s="702"/>
      <c r="AF1329" s="705"/>
      <c r="AG1329" s="729">
        <f>IF(AG1328&gt;0,AG1328/(SUM(AF608:AF612)/1.18),0)</f>
        <v>0</v>
      </c>
      <c r="AH1329" s="706"/>
      <c r="AI1329" s="729">
        <f>IF(AI1328&gt;0,AI1328/(SUM(AH608:AH612)/1.18),0)</f>
        <v>0</v>
      </c>
      <c r="AJ1329" s="65"/>
    </row>
    <row r="1330" spans="2:36" ht="12.75" customHeight="1" outlineLevel="1">
      <c r="B1330" s="82">
        <f>B1323+1</f>
        <v>88</v>
      </c>
      <c r="C1330" s="1233">
        <f>C615</f>
        <v>0</v>
      </c>
      <c r="D1330" s="1233">
        <f>D615</f>
        <v>0</v>
      </c>
      <c r="E1330" s="83" t="str">
        <f>'Terms and Turnovers'!$J$12</f>
        <v>FLIP-FLOPS</v>
      </c>
      <c r="F1330" s="68">
        <f>F615/'Terms and Turnovers'!$J103</f>
        <v>0</v>
      </c>
      <c r="G1330" s="106"/>
      <c r="H1330" s="68">
        <f>H615/'Terms and Turnovers'!$J103</f>
        <v>0</v>
      </c>
      <c r="I1330" s="106"/>
      <c r="J1330" s="68">
        <f>J615/'Terms and Turnovers'!$J103</f>
        <v>0</v>
      </c>
      <c r="K1330" s="106"/>
      <c r="L1330" s="68">
        <f>L615/'Terms and Turnovers'!$J103</f>
        <v>0</v>
      </c>
      <c r="M1330" s="106"/>
      <c r="N1330" s="68">
        <f>N615/'Terms and Turnovers'!$J103</f>
        <v>0</v>
      </c>
      <c r="O1330" s="106"/>
      <c r="P1330" s="68">
        <f>P615/'Terms and Turnovers'!$J103</f>
        <v>0</v>
      </c>
      <c r="Q1330" s="106"/>
      <c r="R1330" s="129">
        <f t="shared" si="111"/>
        <v>0</v>
      </c>
      <c r="S1330" s="106"/>
      <c r="T1330" s="68">
        <f>T615/'Terms and Turnovers'!$O103</f>
        <v>0</v>
      </c>
      <c r="U1330" s="106"/>
      <c r="V1330" s="68">
        <f>V615/'Terms and Turnovers'!$O103</f>
        <v>0</v>
      </c>
      <c r="W1330" s="106"/>
      <c r="X1330" s="68">
        <f>X615/'Terms and Turnovers'!$O103</f>
        <v>0</v>
      </c>
      <c r="Y1330" s="106"/>
      <c r="Z1330" s="68">
        <f>Z615/'Terms and Turnovers'!$O103</f>
        <v>0</v>
      </c>
      <c r="AA1330" s="106"/>
      <c r="AB1330" s="68">
        <f>AB615/'Terms and Turnovers'!$O103</f>
        <v>0</v>
      </c>
      <c r="AC1330" s="106"/>
      <c r="AD1330" s="68">
        <f>AD615/'Terms and Turnovers'!$O103</f>
        <v>0</v>
      </c>
      <c r="AE1330" s="106"/>
      <c r="AF1330" s="129">
        <f t="shared" si="112"/>
        <v>0</v>
      </c>
      <c r="AG1330" s="106"/>
      <c r="AH1330" s="130">
        <f t="shared" si="113"/>
        <v>0</v>
      </c>
      <c r="AI1330" s="106"/>
      <c r="AJ1330" s="65"/>
    </row>
    <row r="1331" spans="2:36" ht="12.75" customHeight="1" outlineLevel="1">
      <c r="B1331" s="82"/>
      <c r="C1331" s="1234"/>
      <c r="D1331" s="1234"/>
      <c r="E1331" s="84" t="str">
        <f>'Terms and Turnovers'!$T$12</f>
        <v>ORIGINALS</v>
      </c>
      <c r="F1331" s="70">
        <f>F616/'Terms and Turnovers'!$T103</f>
        <v>0</v>
      </c>
      <c r="G1331" s="728"/>
      <c r="H1331" s="70">
        <f>H616/'Terms and Turnovers'!$T103</f>
        <v>0</v>
      </c>
      <c r="I1331" s="728"/>
      <c r="J1331" s="70">
        <f>J616/'Terms and Turnovers'!$T103</f>
        <v>0</v>
      </c>
      <c r="K1331" s="728"/>
      <c r="L1331" s="70">
        <f>L616/'Terms and Turnovers'!$T103</f>
        <v>0</v>
      </c>
      <c r="M1331" s="728"/>
      <c r="N1331" s="70">
        <f>N616/'Terms and Turnovers'!$T103</f>
        <v>0</v>
      </c>
      <c r="O1331" s="728"/>
      <c r="P1331" s="70">
        <f>P616/'Terms and Turnovers'!$T103</f>
        <v>0</v>
      </c>
      <c r="Q1331" s="728"/>
      <c r="R1331" s="132">
        <f t="shared" si="111"/>
        <v>0</v>
      </c>
      <c r="S1331" s="728"/>
      <c r="T1331" s="70">
        <f>T616/'Terms and Turnovers'!$Y103</f>
        <v>0</v>
      </c>
      <c r="U1331" s="728"/>
      <c r="V1331" s="70">
        <f>V616/'Terms and Turnovers'!$Y103</f>
        <v>0</v>
      </c>
      <c r="W1331" s="728"/>
      <c r="X1331" s="70">
        <f>X616/'Terms and Turnovers'!$Y103</f>
        <v>0</v>
      </c>
      <c r="Y1331" s="728"/>
      <c r="Z1331" s="70">
        <f>Z616/'Terms and Turnovers'!$Y103</f>
        <v>0</v>
      </c>
      <c r="AA1331" s="728"/>
      <c r="AB1331" s="70">
        <f>AB616/'Terms and Turnovers'!$Y103</f>
        <v>0</v>
      </c>
      <c r="AC1331" s="728"/>
      <c r="AD1331" s="70">
        <f>AD616/'Terms and Turnovers'!$Y103</f>
        <v>0</v>
      </c>
      <c r="AE1331" s="728"/>
      <c r="AF1331" s="132">
        <f t="shared" si="112"/>
        <v>0</v>
      </c>
      <c r="AG1331" s="728"/>
      <c r="AH1331" s="133">
        <f t="shared" si="113"/>
        <v>0</v>
      </c>
      <c r="AI1331" s="728"/>
      <c r="AJ1331" s="65"/>
    </row>
    <row r="1332" spans="2:36" ht="12.75" customHeight="1" outlineLevel="1">
      <c r="B1332" s="82"/>
      <c r="C1332" s="1234"/>
      <c r="D1332" s="1234"/>
      <c r="E1332" s="84" t="str">
        <f>'Terms and Turnovers'!$AD$12</f>
        <v>ACCESSORIES</v>
      </c>
      <c r="F1332" s="70">
        <f>F617/'Terms and Turnovers'!$AD103</f>
        <v>0</v>
      </c>
      <c r="G1332" s="728"/>
      <c r="H1332" s="70">
        <f>H617/'Terms and Turnovers'!$AD103</f>
        <v>0</v>
      </c>
      <c r="I1332" s="728"/>
      <c r="J1332" s="70">
        <f>J617/'Terms and Turnovers'!$AD103</f>
        <v>0</v>
      </c>
      <c r="K1332" s="728"/>
      <c r="L1332" s="70">
        <f>L617/'Terms and Turnovers'!$AD103</f>
        <v>0</v>
      </c>
      <c r="M1332" s="728"/>
      <c r="N1332" s="70">
        <f>N617/'Terms and Turnovers'!$AD103</f>
        <v>0</v>
      </c>
      <c r="O1332" s="728"/>
      <c r="P1332" s="70">
        <f>P617/'Terms and Turnovers'!$AD103</f>
        <v>0</v>
      </c>
      <c r="Q1332" s="728"/>
      <c r="R1332" s="132">
        <f t="shared" si="111"/>
        <v>0</v>
      </c>
      <c r="S1332" s="728"/>
      <c r="T1332" s="70">
        <f>T617/'Terms and Turnovers'!$AI103</f>
        <v>0</v>
      </c>
      <c r="U1332" s="728"/>
      <c r="V1332" s="70">
        <f>V617/'Terms and Turnovers'!$AI103</f>
        <v>0</v>
      </c>
      <c r="W1332" s="728"/>
      <c r="X1332" s="70">
        <f>X617/'Terms and Turnovers'!$AI103</f>
        <v>0</v>
      </c>
      <c r="Y1332" s="728"/>
      <c r="Z1332" s="70">
        <f>Z617/'Terms and Turnovers'!$AI103</f>
        <v>0</v>
      </c>
      <c r="AA1332" s="728"/>
      <c r="AB1332" s="70">
        <f>AB617/'Terms and Turnovers'!$AI103</f>
        <v>0</v>
      </c>
      <c r="AC1332" s="728"/>
      <c r="AD1332" s="70">
        <f>AD617/'Terms and Turnovers'!$AI103</f>
        <v>0</v>
      </c>
      <c r="AE1332" s="728"/>
      <c r="AF1332" s="132">
        <f t="shared" si="112"/>
        <v>0</v>
      </c>
      <c r="AG1332" s="728"/>
      <c r="AH1332" s="133">
        <f t="shared" si="113"/>
        <v>0</v>
      </c>
      <c r="AI1332" s="728"/>
      <c r="AJ1332" s="65"/>
    </row>
    <row r="1333" spans="2:36" ht="12.75" customHeight="1" outlineLevel="1">
      <c r="B1333" s="82"/>
      <c r="C1333" s="1234"/>
      <c r="D1333" s="1234"/>
      <c r="E1333" s="84">
        <f>'Terms and Turnovers'!$AN$12</f>
        <v>0</v>
      </c>
      <c r="F1333" s="70">
        <f>F618/'Terms and Turnovers'!$AN103</f>
        <v>0</v>
      </c>
      <c r="G1333" s="728"/>
      <c r="H1333" s="70">
        <f>H618/'Terms and Turnovers'!$AN103</f>
        <v>0</v>
      </c>
      <c r="I1333" s="728"/>
      <c r="J1333" s="70">
        <f>J618/'Terms and Turnovers'!$AN103</f>
        <v>0</v>
      </c>
      <c r="K1333" s="728"/>
      <c r="L1333" s="70">
        <f>L618/'Terms and Turnovers'!$AN103</f>
        <v>0</v>
      </c>
      <c r="M1333" s="728"/>
      <c r="N1333" s="70">
        <f>N618/'Terms and Turnovers'!$AN103</f>
        <v>0</v>
      </c>
      <c r="O1333" s="728"/>
      <c r="P1333" s="70">
        <f>P618/'Terms and Turnovers'!$AN103</f>
        <v>0</v>
      </c>
      <c r="Q1333" s="728"/>
      <c r="R1333" s="132">
        <f t="shared" si="111"/>
        <v>0</v>
      </c>
      <c r="S1333" s="728"/>
      <c r="T1333" s="70">
        <f>T618/'Terms and Turnovers'!$AS103</f>
        <v>0</v>
      </c>
      <c r="U1333" s="728"/>
      <c r="V1333" s="70">
        <f>V618/'Terms and Turnovers'!$AS103</f>
        <v>0</v>
      </c>
      <c r="W1333" s="728"/>
      <c r="X1333" s="70">
        <f>X618/'Terms and Turnovers'!$AS103</f>
        <v>0</v>
      </c>
      <c r="Y1333" s="728"/>
      <c r="Z1333" s="70">
        <f>Z618/'Terms and Turnovers'!$AS103</f>
        <v>0</v>
      </c>
      <c r="AA1333" s="728"/>
      <c r="AB1333" s="70">
        <f>AB618/'Terms and Turnovers'!$AS103</f>
        <v>0</v>
      </c>
      <c r="AC1333" s="728"/>
      <c r="AD1333" s="70">
        <f>AD618/'Terms and Turnovers'!$AS103</f>
        <v>0</v>
      </c>
      <c r="AE1333" s="728"/>
      <c r="AF1333" s="132">
        <f t="shared" si="112"/>
        <v>0</v>
      </c>
      <c r="AG1333" s="728"/>
      <c r="AH1333" s="133">
        <f t="shared" si="113"/>
        <v>0</v>
      </c>
      <c r="AI1333" s="728"/>
      <c r="AJ1333" s="65"/>
    </row>
    <row r="1334" spans="2:36" ht="13.5" customHeight="1" outlineLevel="1" thickBot="1">
      <c r="B1334" s="82"/>
      <c r="C1334" s="1235"/>
      <c r="D1334" s="1235"/>
      <c r="E1334" s="85">
        <f>'Terms and Turnovers'!$AX$12</f>
        <v>0</v>
      </c>
      <c r="F1334" s="70">
        <f>F619/'Terms and Turnovers'!$AX103</f>
        <v>0</v>
      </c>
      <c r="G1334" s="111"/>
      <c r="H1334" s="70">
        <f>H619/'Terms and Turnovers'!$AX103</f>
        <v>0</v>
      </c>
      <c r="I1334" s="107"/>
      <c r="J1334" s="70">
        <f>J619/'Terms and Turnovers'!$AX103</f>
        <v>0</v>
      </c>
      <c r="K1334" s="107"/>
      <c r="L1334" s="70">
        <f>L619/'Terms and Turnovers'!$AX103</f>
        <v>0</v>
      </c>
      <c r="M1334" s="107"/>
      <c r="N1334" s="70">
        <f>N619/'Terms and Turnovers'!$AX103</f>
        <v>0</v>
      </c>
      <c r="O1334" s="107"/>
      <c r="P1334" s="70">
        <f>P619/'Terms and Turnovers'!$AX103</f>
        <v>0</v>
      </c>
      <c r="Q1334" s="107"/>
      <c r="R1334" s="135">
        <f t="shared" si="111"/>
        <v>0</v>
      </c>
      <c r="S1334" s="107"/>
      <c r="T1334" s="70">
        <f>T619/'Terms and Turnovers'!$AX$103</f>
        <v>0</v>
      </c>
      <c r="U1334" s="111"/>
      <c r="V1334" s="70">
        <f>V619/'Terms and Turnovers'!$AX$103</f>
        <v>0</v>
      </c>
      <c r="W1334" s="107"/>
      <c r="X1334" s="70">
        <f>X619/'Terms and Turnovers'!$AX$103</f>
        <v>0</v>
      </c>
      <c r="Y1334" s="107"/>
      <c r="Z1334" s="70">
        <f>Z619/'Terms and Turnovers'!$AX$103</f>
        <v>0</v>
      </c>
      <c r="AA1334" s="107"/>
      <c r="AB1334" s="70">
        <f>AB619/'Terms and Turnovers'!$AX$103</f>
        <v>0</v>
      </c>
      <c r="AC1334" s="107"/>
      <c r="AD1334" s="70">
        <f>AD619/'Terms and Turnovers'!$AX$103</f>
        <v>0</v>
      </c>
      <c r="AE1334" s="107"/>
      <c r="AF1334" s="135">
        <f t="shared" si="112"/>
        <v>0</v>
      </c>
      <c r="AG1334" s="107"/>
      <c r="AH1334" s="136">
        <f t="shared" si="113"/>
        <v>0</v>
      </c>
      <c r="AI1334" s="107"/>
      <c r="AJ1334" s="65"/>
    </row>
    <row r="1335" spans="2:36" ht="13.5" customHeight="1" outlineLevel="1">
      <c r="B1335" s="82"/>
      <c r="C1335" s="425"/>
      <c r="D1335" s="425"/>
      <c r="E1335" s="634"/>
      <c r="F1335" s="635"/>
      <c r="G1335" s="428"/>
      <c r="H1335" s="635"/>
      <c r="I1335" s="428"/>
      <c r="J1335" s="635"/>
      <c r="K1335" s="636"/>
      <c r="L1335" s="635"/>
      <c r="M1335" s="636"/>
      <c r="N1335" s="635"/>
      <c r="O1335" s="636"/>
      <c r="P1335" s="635"/>
      <c r="Q1335" s="636"/>
      <c r="R1335" s="637"/>
      <c r="S1335" s="698">
        <f>SUM(R615:R619)/1.18-(SUM(R1330:R1334)*'Mark Up Validation'!$M$175)</f>
        <v>0</v>
      </c>
      <c r="T1335" s="635"/>
      <c r="U1335" s="636"/>
      <c r="V1335" s="635"/>
      <c r="W1335" s="636"/>
      <c r="X1335" s="635"/>
      <c r="Y1335" s="636"/>
      <c r="Z1335" s="635"/>
      <c r="AA1335" s="636"/>
      <c r="AB1335" s="635"/>
      <c r="AC1335" s="636"/>
      <c r="AD1335" s="635"/>
      <c r="AE1335" s="636"/>
      <c r="AF1335" s="637"/>
      <c r="AG1335" s="698">
        <f>SUM(AF615:AF619)/1.18-SUM(AF1330:AF1334)*'Mark Up Validation'!$M$175</f>
        <v>0</v>
      </c>
      <c r="AH1335" s="638"/>
      <c r="AI1335" s="698">
        <f>SUM(AH615:AH619)/1.18-SUM(AH1330:AH1334)*'Mark Up Validation'!$M$175</f>
        <v>0</v>
      </c>
      <c r="AJ1335" s="65"/>
    </row>
    <row r="1336" spans="2:36" ht="13.5" customHeight="1" outlineLevel="1" thickBot="1">
      <c r="B1336" s="82"/>
      <c r="C1336" s="1228" t="s">
        <v>487</v>
      </c>
      <c r="D1336" s="1229"/>
      <c r="E1336" s="699"/>
      <c r="F1336" s="700"/>
      <c r="G1336" s="701"/>
      <c r="H1336" s="700"/>
      <c r="I1336" s="701"/>
      <c r="J1336" s="700"/>
      <c r="K1336" s="702"/>
      <c r="L1336" s="700"/>
      <c r="M1336" s="702"/>
      <c r="N1336" s="700"/>
      <c r="O1336" s="702"/>
      <c r="P1336" s="700"/>
      <c r="Q1336" s="702"/>
      <c r="R1336" s="703"/>
      <c r="S1336" s="729">
        <f>IF(S1335&gt;0,S1335/(SUM(R615:R619)/1.18),0)</f>
        <v>0</v>
      </c>
      <c r="T1336" s="704"/>
      <c r="U1336" s="702"/>
      <c r="V1336" s="700"/>
      <c r="W1336" s="702"/>
      <c r="X1336" s="700"/>
      <c r="Y1336" s="702"/>
      <c r="Z1336" s="700"/>
      <c r="AA1336" s="702"/>
      <c r="AB1336" s="700"/>
      <c r="AC1336" s="702"/>
      <c r="AD1336" s="700"/>
      <c r="AE1336" s="702"/>
      <c r="AF1336" s="705"/>
      <c r="AG1336" s="729">
        <f>IF(AG1335&gt;0,AG1335/(SUM(AF615:AF619)/1.18),0)</f>
        <v>0</v>
      </c>
      <c r="AH1336" s="706"/>
      <c r="AI1336" s="729">
        <f>IF(AI1335&gt;0,AI1335/(SUM(AH615:AH619)/1.18),0)</f>
        <v>0</v>
      </c>
      <c r="AJ1336" s="65"/>
    </row>
    <row r="1337" spans="2:36" ht="12.75" customHeight="1" outlineLevel="1">
      <c r="B1337" s="82">
        <f>B1330+1</f>
        <v>89</v>
      </c>
      <c r="C1337" s="1230">
        <f>C622</f>
        <v>0</v>
      </c>
      <c r="D1337" s="1230">
        <f>D622</f>
        <v>0</v>
      </c>
      <c r="E1337" s="83" t="str">
        <f>'Terms and Turnovers'!$J$12</f>
        <v>FLIP-FLOPS</v>
      </c>
      <c r="F1337" s="68">
        <f>F622/'Terms and Turnovers'!$J104</f>
        <v>0</v>
      </c>
      <c r="G1337" s="106"/>
      <c r="H1337" s="68">
        <f>H622/'Terms and Turnovers'!$J104</f>
        <v>0</v>
      </c>
      <c r="I1337" s="106"/>
      <c r="J1337" s="68">
        <f>J622/'Terms and Turnovers'!$J104</f>
        <v>0</v>
      </c>
      <c r="K1337" s="106"/>
      <c r="L1337" s="68">
        <f>L622/'Terms and Turnovers'!$J104</f>
        <v>0</v>
      </c>
      <c r="M1337" s="106"/>
      <c r="N1337" s="68">
        <f>N622/'Terms and Turnovers'!$J104</f>
        <v>0</v>
      </c>
      <c r="O1337" s="106"/>
      <c r="P1337" s="68">
        <f>P622/'Terms and Turnovers'!$J104</f>
        <v>0</v>
      </c>
      <c r="Q1337" s="106"/>
      <c r="R1337" s="129">
        <f t="shared" si="111"/>
        <v>0</v>
      </c>
      <c r="S1337" s="106"/>
      <c r="T1337" s="68">
        <f>T622/'Terms and Turnovers'!$O104</f>
        <v>0</v>
      </c>
      <c r="U1337" s="106"/>
      <c r="V1337" s="68">
        <f>V622/'Terms and Turnovers'!$O104</f>
        <v>0</v>
      </c>
      <c r="W1337" s="106"/>
      <c r="X1337" s="68">
        <f>X622/'Terms and Turnovers'!$O104</f>
        <v>0</v>
      </c>
      <c r="Y1337" s="106"/>
      <c r="Z1337" s="68">
        <f>Z622/'Terms and Turnovers'!$O104</f>
        <v>0</v>
      </c>
      <c r="AA1337" s="106"/>
      <c r="AB1337" s="68">
        <f>AB622/'Terms and Turnovers'!$O104</f>
        <v>0</v>
      </c>
      <c r="AC1337" s="106"/>
      <c r="AD1337" s="68">
        <f>AD622/'Terms and Turnovers'!$O104</f>
        <v>0</v>
      </c>
      <c r="AE1337" s="106"/>
      <c r="AF1337" s="129">
        <f t="shared" si="112"/>
        <v>0</v>
      </c>
      <c r="AG1337" s="106"/>
      <c r="AH1337" s="130">
        <f t="shared" si="113"/>
        <v>0</v>
      </c>
      <c r="AI1337" s="106"/>
      <c r="AJ1337" s="65"/>
    </row>
    <row r="1338" spans="2:36" ht="12.75" customHeight="1" outlineLevel="1">
      <c r="B1338" s="82"/>
      <c r="C1338" s="1231"/>
      <c r="D1338" s="1231"/>
      <c r="E1338" s="84" t="str">
        <f>'Terms and Turnovers'!$T$12</f>
        <v>ORIGINALS</v>
      </c>
      <c r="F1338" s="70">
        <f>F623/'Terms and Turnovers'!$T104</f>
        <v>0</v>
      </c>
      <c r="G1338" s="728"/>
      <c r="H1338" s="70">
        <f>H623/'Terms and Turnovers'!$T104</f>
        <v>0</v>
      </c>
      <c r="I1338" s="728"/>
      <c r="J1338" s="70">
        <f>J623/'Terms and Turnovers'!$T104</f>
        <v>0</v>
      </c>
      <c r="K1338" s="728"/>
      <c r="L1338" s="70">
        <f>L623/'Terms and Turnovers'!$T104</f>
        <v>0</v>
      </c>
      <c r="M1338" s="728"/>
      <c r="N1338" s="70">
        <f>N623/'Terms and Turnovers'!$T104</f>
        <v>0</v>
      </c>
      <c r="O1338" s="728"/>
      <c r="P1338" s="70">
        <f>P623/'Terms and Turnovers'!$T104</f>
        <v>0</v>
      </c>
      <c r="Q1338" s="728"/>
      <c r="R1338" s="132">
        <f t="shared" si="111"/>
        <v>0</v>
      </c>
      <c r="S1338" s="728"/>
      <c r="T1338" s="70">
        <f>T623/'Terms and Turnovers'!$Y104</f>
        <v>0</v>
      </c>
      <c r="U1338" s="728"/>
      <c r="V1338" s="70">
        <f>V623/'Terms and Turnovers'!$Y104</f>
        <v>0</v>
      </c>
      <c r="W1338" s="728"/>
      <c r="X1338" s="70">
        <f>X623/'Terms and Turnovers'!$Y104</f>
        <v>0</v>
      </c>
      <c r="Y1338" s="728"/>
      <c r="Z1338" s="70">
        <f>Z623/'Terms and Turnovers'!$Y104</f>
        <v>0</v>
      </c>
      <c r="AA1338" s="728"/>
      <c r="AB1338" s="70">
        <f>AB623/'Terms and Turnovers'!$Y104</f>
        <v>0</v>
      </c>
      <c r="AC1338" s="728"/>
      <c r="AD1338" s="70">
        <f>AD623/'Terms and Turnovers'!$Y104</f>
        <v>0</v>
      </c>
      <c r="AE1338" s="728"/>
      <c r="AF1338" s="132">
        <f t="shared" si="112"/>
        <v>0</v>
      </c>
      <c r="AG1338" s="728"/>
      <c r="AH1338" s="133">
        <f t="shared" si="113"/>
        <v>0</v>
      </c>
      <c r="AI1338" s="728"/>
      <c r="AJ1338" s="65"/>
    </row>
    <row r="1339" spans="2:36" ht="12.75" customHeight="1" outlineLevel="1">
      <c r="B1339" s="82"/>
      <c r="C1339" s="1231"/>
      <c r="D1339" s="1231"/>
      <c r="E1339" s="84" t="str">
        <f>'Terms and Turnovers'!$AD$12</f>
        <v>ACCESSORIES</v>
      </c>
      <c r="F1339" s="70">
        <f>F624/'Terms and Turnovers'!$AD104</f>
        <v>0</v>
      </c>
      <c r="G1339" s="728"/>
      <c r="H1339" s="70">
        <f>H624/'Terms and Turnovers'!$AD104</f>
        <v>0</v>
      </c>
      <c r="I1339" s="728"/>
      <c r="J1339" s="70">
        <f>J624/'Terms and Turnovers'!$AD104</f>
        <v>0</v>
      </c>
      <c r="K1339" s="728"/>
      <c r="L1339" s="70">
        <f>L624/'Terms and Turnovers'!$AD104</f>
        <v>0</v>
      </c>
      <c r="M1339" s="728"/>
      <c r="N1339" s="70">
        <f>N624/'Terms and Turnovers'!$AD104</f>
        <v>0</v>
      </c>
      <c r="O1339" s="728"/>
      <c r="P1339" s="70">
        <f>P624/'Terms and Turnovers'!$AD104</f>
        <v>0</v>
      </c>
      <c r="Q1339" s="728"/>
      <c r="R1339" s="132">
        <f t="shared" si="111"/>
        <v>0</v>
      </c>
      <c r="S1339" s="728"/>
      <c r="T1339" s="70">
        <f>T624/'Terms and Turnovers'!$AI104</f>
        <v>0</v>
      </c>
      <c r="U1339" s="728"/>
      <c r="V1339" s="70">
        <f>V624/'Terms and Turnovers'!$AI104</f>
        <v>0</v>
      </c>
      <c r="W1339" s="728"/>
      <c r="X1339" s="70">
        <f>X624/'Terms and Turnovers'!$AI104</f>
        <v>0</v>
      </c>
      <c r="Y1339" s="728"/>
      <c r="Z1339" s="70">
        <f>Z624/'Terms and Turnovers'!$AI104</f>
        <v>0</v>
      </c>
      <c r="AA1339" s="728"/>
      <c r="AB1339" s="70">
        <f>AB624/'Terms and Turnovers'!$AI104</f>
        <v>0</v>
      </c>
      <c r="AC1339" s="728"/>
      <c r="AD1339" s="70">
        <f>AD624/'Terms and Turnovers'!$AI104</f>
        <v>0</v>
      </c>
      <c r="AE1339" s="728"/>
      <c r="AF1339" s="132">
        <f t="shared" si="112"/>
        <v>0</v>
      </c>
      <c r="AG1339" s="728"/>
      <c r="AH1339" s="133">
        <f t="shared" si="113"/>
        <v>0</v>
      </c>
      <c r="AI1339" s="728"/>
      <c r="AJ1339" s="65"/>
    </row>
    <row r="1340" spans="2:36" ht="12.75" customHeight="1" outlineLevel="1">
      <c r="B1340" s="82"/>
      <c r="C1340" s="1231"/>
      <c r="D1340" s="1231"/>
      <c r="E1340" s="84">
        <f>'Terms and Turnovers'!$AN$12</f>
        <v>0</v>
      </c>
      <c r="F1340" s="70">
        <f>F625/'Terms and Turnovers'!$AN104</f>
        <v>0</v>
      </c>
      <c r="G1340" s="728"/>
      <c r="H1340" s="70">
        <f>H625/'Terms and Turnovers'!$AN104</f>
        <v>0</v>
      </c>
      <c r="I1340" s="728"/>
      <c r="J1340" s="70">
        <f>J625/'Terms and Turnovers'!$AN104</f>
        <v>0</v>
      </c>
      <c r="K1340" s="728"/>
      <c r="L1340" s="70">
        <f>L625/'Terms and Turnovers'!$AN104</f>
        <v>0</v>
      </c>
      <c r="M1340" s="728"/>
      <c r="N1340" s="70">
        <f>N625/'Terms and Turnovers'!$AN104</f>
        <v>0</v>
      </c>
      <c r="O1340" s="728"/>
      <c r="P1340" s="70">
        <f>P625/'Terms and Turnovers'!$AN104</f>
        <v>0</v>
      </c>
      <c r="Q1340" s="728"/>
      <c r="R1340" s="132">
        <f t="shared" si="111"/>
        <v>0</v>
      </c>
      <c r="S1340" s="728"/>
      <c r="T1340" s="70">
        <f>T625/'Terms and Turnovers'!$AS104</f>
        <v>0</v>
      </c>
      <c r="U1340" s="728"/>
      <c r="V1340" s="70">
        <f>V625/'Terms and Turnovers'!$AS104</f>
        <v>0</v>
      </c>
      <c r="W1340" s="728"/>
      <c r="X1340" s="70">
        <f>X625/'Terms and Turnovers'!$AS104</f>
        <v>0</v>
      </c>
      <c r="Y1340" s="728"/>
      <c r="Z1340" s="70">
        <f>Z625/'Terms and Turnovers'!$AS104</f>
        <v>0</v>
      </c>
      <c r="AA1340" s="728"/>
      <c r="AB1340" s="70">
        <f>AB625/'Terms and Turnovers'!$AS104</f>
        <v>0</v>
      </c>
      <c r="AC1340" s="728"/>
      <c r="AD1340" s="70">
        <f>AD625/'Terms and Turnovers'!$AS104</f>
        <v>0</v>
      </c>
      <c r="AE1340" s="728"/>
      <c r="AF1340" s="132">
        <f t="shared" si="112"/>
        <v>0</v>
      </c>
      <c r="AG1340" s="728"/>
      <c r="AH1340" s="133">
        <f t="shared" si="113"/>
        <v>0</v>
      </c>
      <c r="AI1340" s="728"/>
      <c r="AJ1340" s="65"/>
    </row>
    <row r="1341" spans="2:36" ht="13.5" customHeight="1" outlineLevel="1" thickBot="1">
      <c r="B1341" s="82"/>
      <c r="C1341" s="1232"/>
      <c r="D1341" s="1232"/>
      <c r="E1341" s="85">
        <f>'Terms and Turnovers'!$AX$12</f>
        <v>0</v>
      </c>
      <c r="F1341" s="70">
        <f>F626/'Terms and Turnovers'!$AX104</f>
        <v>0</v>
      </c>
      <c r="G1341" s="111"/>
      <c r="H1341" s="70">
        <f>H626/'Terms and Turnovers'!$AX104</f>
        <v>0</v>
      </c>
      <c r="I1341" s="107"/>
      <c r="J1341" s="70">
        <f>J626/'Terms and Turnovers'!$AX104</f>
        <v>0</v>
      </c>
      <c r="K1341" s="107"/>
      <c r="L1341" s="70">
        <f>L626/'Terms and Turnovers'!$AX104</f>
        <v>0</v>
      </c>
      <c r="M1341" s="107"/>
      <c r="N1341" s="70">
        <f>N626/'Terms and Turnovers'!$AX104</f>
        <v>0</v>
      </c>
      <c r="O1341" s="107"/>
      <c r="P1341" s="70">
        <f>P626/'Terms and Turnovers'!$AX104</f>
        <v>0</v>
      </c>
      <c r="Q1341" s="107"/>
      <c r="R1341" s="135">
        <f t="shared" si="111"/>
        <v>0</v>
      </c>
      <c r="S1341" s="107"/>
      <c r="T1341" s="70">
        <f>T626/'Terms and Turnovers'!$AX$104</f>
        <v>0</v>
      </c>
      <c r="U1341" s="111"/>
      <c r="V1341" s="70">
        <f>V626/'Terms and Turnovers'!$AX$104</f>
        <v>0</v>
      </c>
      <c r="W1341" s="107"/>
      <c r="X1341" s="70">
        <f>X626/'Terms and Turnovers'!$AX$104</f>
        <v>0</v>
      </c>
      <c r="Y1341" s="107"/>
      <c r="Z1341" s="70">
        <f>Z626/'Terms and Turnovers'!$AX$104</f>
        <v>0</v>
      </c>
      <c r="AA1341" s="107"/>
      <c r="AB1341" s="70">
        <f>AB626/'Terms and Turnovers'!$AX$104</f>
        <v>0</v>
      </c>
      <c r="AC1341" s="107"/>
      <c r="AD1341" s="70">
        <f>AD626/'Terms and Turnovers'!$AX$104</f>
        <v>0</v>
      </c>
      <c r="AE1341" s="107"/>
      <c r="AF1341" s="135">
        <f t="shared" si="112"/>
        <v>0</v>
      </c>
      <c r="AG1341" s="107"/>
      <c r="AH1341" s="136">
        <f t="shared" si="113"/>
        <v>0</v>
      </c>
      <c r="AI1341" s="107"/>
      <c r="AJ1341" s="65"/>
    </row>
    <row r="1342" spans="2:36" ht="13.5" customHeight="1" outlineLevel="1">
      <c r="B1342" s="82"/>
      <c r="C1342" s="425"/>
      <c r="D1342" s="425"/>
      <c r="E1342" s="634"/>
      <c r="F1342" s="635"/>
      <c r="G1342" s="428"/>
      <c r="H1342" s="635"/>
      <c r="I1342" s="428"/>
      <c r="J1342" s="635"/>
      <c r="K1342" s="636"/>
      <c r="L1342" s="635"/>
      <c r="M1342" s="636"/>
      <c r="N1342" s="635"/>
      <c r="O1342" s="636"/>
      <c r="P1342" s="635"/>
      <c r="Q1342" s="636"/>
      <c r="R1342" s="637"/>
      <c r="S1342" s="698">
        <f>SUM(R622:R626)/1.18-(SUM(R1337:R1341)*'Mark Up Validation'!$M$175)</f>
        <v>0</v>
      </c>
      <c r="T1342" s="635"/>
      <c r="U1342" s="636"/>
      <c r="V1342" s="635"/>
      <c r="W1342" s="636"/>
      <c r="X1342" s="635"/>
      <c r="Y1342" s="636"/>
      <c r="Z1342" s="635"/>
      <c r="AA1342" s="636"/>
      <c r="AB1342" s="635"/>
      <c r="AC1342" s="636"/>
      <c r="AD1342" s="635"/>
      <c r="AE1342" s="636"/>
      <c r="AF1342" s="637"/>
      <c r="AG1342" s="698">
        <f>SUM(AF622:AF626)/1.18-SUM(AF1337:AF1341)*'Mark Up Validation'!$M$175</f>
        <v>0</v>
      </c>
      <c r="AH1342" s="638"/>
      <c r="AI1342" s="698">
        <f>SUM(AH622:AH626)/1.18-SUM(AH1337:AH1341)*'Mark Up Validation'!$M$175</f>
        <v>0</v>
      </c>
      <c r="AJ1342" s="65"/>
    </row>
    <row r="1343" spans="2:36" ht="13.5" customHeight="1" outlineLevel="1" thickBot="1">
      <c r="B1343" s="82"/>
      <c r="C1343" s="1228" t="s">
        <v>487</v>
      </c>
      <c r="D1343" s="1229"/>
      <c r="E1343" s="699"/>
      <c r="F1343" s="700"/>
      <c r="G1343" s="701"/>
      <c r="H1343" s="700"/>
      <c r="I1343" s="701"/>
      <c r="J1343" s="700"/>
      <c r="K1343" s="702"/>
      <c r="L1343" s="700"/>
      <c r="M1343" s="702"/>
      <c r="N1343" s="700"/>
      <c r="O1343" s="702"/>
      <c r="P1343" s="700"/>
      <c r="Q1343" s="702"/>
      <c r="R1343" s="703"/>
      <c r="S1343" s="729">
        <f>IF(S1342&gt;0,S1342/(SUM(R622:R626)/1.18),0)</f>
        <v>0</v>
      </c>
      <c r="T1343" s="704"/>
      <c r="U1343" s="702"/>
      <c r="V1343" s="700"/>
      <c r="W1343" s="702"/>
      <c r="X1343" s="700"/>
      <c r="Y1343" s="702"/>
      <c r="Z1343" s="700"/>
      <c r="AA1343" s="702"/>
      <c r="AB1343" s="700"/>
      <c r="AC1343" s="702"/>
      <c r="AD1343" s="700"/>
      <c r="AE1343" s="702"/>
      <c r="AF1343" s="705"/>
      <c r="AG1343" s="729">
        <f>IF(AG1342&gt;0,AG1342/(SUM(AF622:AF626)/1.18),0)</f>
        <v>0</v>
      </c>
      <c r="AH1343" s="706"/>
      <c r="AI1343" s="729">
        <f>IF(AI1342&gt;0,AI1342/(SUM(AH622:AH626)/1.18),0)</f>
        <v>0</v>
      </c>
      <c r="AJ1343" s="65"/>
    </row>
    <row r="1344" spans="2:36" ht="12.75" customHeight="1" outlineLevel="1">
      <c r="B1344" s="82">
        <f>B1337+1</f>
        <v>90</v>
      </c>
      <c r="C1344" s="1233">
        <f>C629</f>
        <v>0</v>
      </c>
      <c r="D1344" s="1233">
        <f>D629</f>
        <v>0</v>
      </c>
      <c r="E1344" s="83" t="str">
        <f>'Terms and Turnovers'!$J$12</f>
        <v>FLIP-FLOPS</v>
      </c>
      <c r="F1344" s="68">
        <f>F629/'Terms and Turnovers'!$J105</f>
        <v>0</v>
      </c>
      <c r="G1344" s="106"/>
      <c r="H1344" s="68">
        <f>H629/'Terms and Turnovers'!$J105</f>
        <v>0</v>
      </c>
      <c r="I1344" s="106"/>
      <c r="J1344" s="68">
        <f>J629/'Terms and Turnovers'!$J105</f>
        <v>0</v>
      </c>
      <c r="K1344" s="106"/>
      <c r="L1344" s="68">
        <f>L629/'Terms and Turnovers'!$J105</f>
        <v>0</v>
      </c>
      <c r="M1344" s="106"/>
      <c r="N1344" s="68">
        <f>N629/'Terms and Turnovers'!$J105</f>
        <v>0</v>
      </c>
      <c r="O1344" s="106"/>
      <c r="P1344" s="68">
        <f>P629/'Terms and Turnovers'!$J105</f>
        <v>0</v>
      </c>
      <c r="Q1344" s="106"/>
      <c r="R1344" s="129">
        <f t="shared" si="111"/>
        <v>0</v>
      </c>
      <c r="S1344" s="106"/>
      <c r="T1344" s="68">
        <f>T629/'Terms and Turnovers'!$O105</f>
        <v>0</v>
      </c>
      <c r="U1344" s="106"/>
      <c r="V1344" s="68">
        <f>V629/'Terms and Turnovers'!$O105</f>
        <v>0</v>
      </c>
      <c r="W1344" s="106"/>
      <c r="X1344" s="68">
        <f>X629/'Terms and Turnovers'!$O105</f>
        <v>0</v>
      </c>
      <c r="Y1344" s="106"/>
      <c r="Z1344" s="68">
        <f>Z629/'Terms and Turnovers'!$O105</f>
        <v>0</v>
      </c>
      <c r="AA1344" s="106"/>
      <c r="AB1344" s="68">
        <f>AB629/'Terms and Turnovers'!$O105</f>
        <v>0</v>
      </c>
      <c r="AC1344" s="106"/>
      <c r="AD1344" s="68">
        <f>AD629/'Terms and Turnovers'!$O105</f>
        <v>0</v>
      </c>
      <c r="AE1344" s="106"/>
      <c r="AF1344" s="129">
        <f t="shared" si="112"/>
        <v>0</v>
      </c>
      <c r="AG1344" s="106"/>
      <c r="AH1344" s="130">
        <f t="shared" si="113"/>
        <v>0</v>
      </c>
      <c r="AI1344" s="106"/>
      <c r="AJ1344" s="65"/>
    </row>
    <row r="1345" spans="2:36" ht="12.75" customHeight="1" outlineLevel="1">
      <c r="B1345" s="82"/>
      <c r="C1345" s="1234"/>
      <c r="D1345" s="1234"/>
      <c r="E1345" s="84" t="str">
        <f>'Terms and Turnovers'!$T$12</f>
        <v>ORIGINALS</v>
      </c>
      <c r="F1345" s="70">
        <f>F630/'Terms and Turnovers'!$T105</f>
        <v>0</v>
      </c>
      <c r="G1345" s="728"/>
      <c r="H1345" s="70">
        <f>H630/'Terms and Turnovers'!$T105</f>
        <v>0</v>
      </c>
      <c r="I1345" s="728"/>
      <c r="J1345" s="70">
        <f>J630/'Terms and Turnovers'!$T105</f>
        <v>0</v>
      </c>
      <c r="K1345" s="728"/>
      <c r="L1345" s="70">
        <f>L630/'Terms and Turnovers'!$T105</f>
        <v>0</v>
      </c>
      <c r="M1345" s="728"/>
      <c r="N1345" s="70">
        <f>N630/'Terms and Turnovers'!$T105</f>
        <v>0</v>
      </c>
      <c r="O1345" s="728"/>
      <c r="P1345" s="70">
        <f>P630/'Terms and Turnovers'!$T105</f>
        <v>0</v>
      </c>
      <c r="Q1345" s="728"/>
      <c r="R1345" s="132">
        <f t="shared" si="111"/>
        <v>0</v>
      </c>
      <c r="S1345" s="728"/>
      <c r="T1345" s="70">
        <f>T630/'Terms and Turnovers'!$Y105</f>
        <v>0</v>
      </c>
      <c r="U1345" s="728"/>
      <c r="V1345" s="70">
        <f>V630/'Terms and Turnovers'!$Y105</f>
        <v>0</v>
      </c>
      <c r="W1345" s="728"/>
      <c r="X1345" s="70">
        <f>X630/'Terms and Turnovers'!$Y105</f>
        <v>0</v>
      </c>
      <c r="Y1345" s="728"/>
      <c r="Z1345" s="70">
        <f>Z630/'Terms and Turnovers'!$Y105</f>
        <v>0</v>
      </c>
      <c r="AA1345" s="728"/>
      <c r="AB1345" s="70">
        <f>AB630/'Terms and Turnovers'!$Y105</f>
        <v>0</v>
      </c>
      <c r="AC1345" s="728"/>
      <c r="AD1345" s="70">
        <f>AD630/'Terms and Turnovers'!$Y105</f>
        <v>0</v>
      </c>
      <c r="AE1345" s="728"/>
      <c r="AF1345" s="132">
        <f t="shared" si="112"/>
        <v>0</v>
      </c>
      <c r="AG1345" s="728"/>
      <c r="AH1345" s="133">
        <f t="shared" si="113"/>
        <v>0</v>
      </c>
      <c r="AI1345" s="728"/>
      <c r="AJ1345" s="65"/>
    </row>
    <row r="1346" spans="2:36" ht="12.75" customHeight="1" outlineLevel="1">
      <c r="B1346" s="82"/>
      <c r="C1346" s="1234"/>
      <c r="D1346" s="1234"/>
      <c r="E1346" s="84" t="str">
        <f>'Terms and Turnovers'!$AD$12</f>
        <v>ACCESSORIES</v>
      </c>
      <c r="F1346" s="70">
        <f>F631/'Terms and Turnovers'!$AD105</f>
        <v>0</v>
      </c>
      <c r="G1346" s="728"/>
      <c r="H1346" s="70">
        <f>H631/'Terms and Turnovers'!$AD105</f>
        <v>0</v>
      </c>
      <c r="I1346" s="728"/>
      <c r="J1346" s="70">
        <f>J631/'Terms and Turnovers'!$AD105</f>
        <v>0</v>
      </c>
      <c r="K1346" s="728"/>
      <c r="L1346" s="70">
        <f>L631/'Terms and Turnovers'!$AD105</f>
        <v>0</v>
      </c>
      <c r="M1346" s="728"/>
      <c r="N1346" s="70">
        <f>N631/'Terms and Turnovers'!$AD105</f>
        <v>0</v>
      </c>
      <c r="O1346" s="728"/>
      <c r="P1346" s="70">
        <f>P631/'Terms and Turnovers'!$AD105</f>
        <v>0</v>
      </c>
      <c r="Q1346" s="728"/>
      <c r="R1346" s="132">
        <f t="shared" si="111"/>
        <v>0</v>
      </c>
      <c r="S1346" s="728"/>
      <c r="T1346" s="70">
        <f>T631/'Terms and Turnovers'!$AI105</f>
        <v>0</v>
      </c>
      <c r="U1346" s="728"/>
      <c r="V1346" s="70">
        <f>V631/'Terms and Turnovers'!$AI105</f>
        <v>0</v>
      </c>
      <c r="W1346" s="728"/>
      <c r="X1346" s="70">
        <f>X631/'Terms and Turnovers'!$AI105</f>
        <v>0</v>
      </c>
      <c r="Y1346" s="728"/>
      <c r="Z1346" s="70">
        <f>Z631/'Terms and Turnovers'!$AI105</f>
        <v>0</v>
      </c>
      <c r="AA1346" s="728"/>
      <c r="AB1346" s="70">
        <f>AB631/'Terms and Turnovers'!$AI105</f>
        <v>0</v>
      </c>
      <c r="AC1346" s="728"/>
      <c r="AD1346" s="70">
        <f>AD631/'Terms and Turnovers'!$AI105</f>
        <v>0</v>
      </c>
      <c r="AE1346" s="728"/>
      <c r="AF1346" s="132">
        <f t="shared" si="112"/>
        <v>0</v>
      </c>
      <c r="AG1346" s="728"/>
      <c r="AH1346" s="133">
        <f t="shared" si="113"/>
        <v>0</v>
      </c>
      <c r="AI1346" s="728"/>
      <c r="AJ1346" s="65"/>
    </row>
    <row r="1347" spans="2:36" ht="12.75" customHeight="1" outlineLevel="1">
      <c r="B1347" s="82"/>
      <c r="C1347" s="1234"/>
      <c r="D1347" s="1234"/>
      <c r="E1347" s="84">
        <f>'Terms and Turnovers'!$AN$12</f>
        <v>0</v>
      </c>
      <c r="F1347" s="70">
        <f>F632/'Terms and Turnovers'!$AN105</f>
        <v>0</v>
      </c>
      <c r="G1347" s="728"/>
      <c r="H1347" s="70">
        <f>H632/'Terms and Turnovers'!$AN105</f>
        <v>0</v>
      </c>
      <c r="I1347" s="728"/>
      <c r="J1347" s="70">
        <f>J632/'Terms and Turnovers'!$AN105</f>
        <v>0</v>
      </c>
      <c r="K1347" s="728"/>
      <c r="L1347" s="70">
        <f>L632/'Terms and Turnovers'!$AN105</f>
        <v>0</v>
      </c>
      <c r="M1347" s="728"/>
      <c r="N1347" s="70">
        <f>N632/'Terms and Turnovers'!$AN105</f>
        <v>0</v>
      </c>
      <c r="O1347" s="728"/>
      <c r="P1347" s="70">
        <f>P632/'Terms and Turnovers'!$AN105</f>
        <v>0</v>
      </c>
      <c r="Q1347" s="728"/>
      <c r="R1347" s="132">
        <f t="shared" ref="R1347:R1422" si="114">SUM(F1347,H1347,J1347,L1347,N1347,P1347)</f>
        <v>0</v>
      </c>
      <c r="S1347" s="728"/>
      <c r="T1347" s="70">
        <f>T632/'Terms and Turnovers'!$AS105</f>
        <v>0</v>
      </c>
      <c r="U1347" s="728"/>
      <c r="V1347" s="70">
        <f>V632/'Terms and Turnovers'!$AS105</f>
        <v>0</v>
      </c>
      <c r="W1347" s="728"/>
      <c r="X1347" s="70">
        <f>X632/'Terms and Turnovers'!$AS105</f>
        <v>0</v>
      </c>
      <c r="Y1347" s="728"/>
      <c r="Z1347" s="70">
        <f>Z632/'Terms and Turnovers'!$AS105</f>
        <v>0</v>
      </c>
      <c r="AA1347" s="728"/>
      <c r="AB1347" s="70">
        <f>AB632/'Terms and Turnovers'!$AS105</f>
        <v>0</v>
      </c>
      <c r="AC1347" s="728"/>
      <c r="AD1347" s="70">
        <f>AD632/'Terms and Turnovers'!$AS105</f>
        <v>0</v>
      </c>
      <c r="AE1347" s="728"/>
      <c r="AF1347" s="132">
        <f t="shared" ref="AF1347:AF1425" si="115">SUM(T1347,V1347,X1347,Z1347,AB1347,AD1347)</f>
        <v>0</v>
      </c>
      <c r="AG1347" s="728"/>
      <c r="AH1347" s="133">
        <f t="shared" si="113"/>
        <v>0</v>
      </c>
      <c r="AI1347" s="728"/>
      <c r="AJ1347" s="65"/>
    </row>
    <row r="1348" spans="2:36" ht="13.5" customHeight="1" outlineLevel="1" thickBot="1">
      <c r="B1348" s="82"/>
      <c r="C1348" s="1235"/>
      <c r="D1348" s="1235"/>
      <c r="E1348" s="85">
        <f>'Terms and Turnovers'!$AX$12</f>
        <v>0</v>
      </c>
      <c r="F1348" s="70">
        <f>F633/'Terms and Turnovers'!$AX105</f>
        <v>0</v>
      </c>
      <c r="G1348" s="111"/>
      <c r="H1348" s="70">
        <f>H633/'Terms and Turnovers'!$AX105</f>
        <v>0</v>
      </c>
      <c r="I1348" s="107"/>
      <c r="J1348" s="70">
        <f>J633/'Terms and Turnovers'!$AX105</f>
        <v>0</v>
      </c>
      <c r="K1348" s="107"/>
      <c r="L1348" s="70">
        <f>L633/'Terms and Turnovers'!$AX105</f>
        <v>0</v>
      </c>
      <c r="M1348" s="107"/>
      <c r="N1348" s="70">
        <f>N633/'Terms and Turnovers'!$AX105</f>
        <v>0</v>
      </c>
      <c r="O1348" s="107"/>
      <c r="P1348" s="70">
        <f>P633/'Terms and Turnovers'!$AX105</f>
        <v>0</v>
      </c>
      <c r="Q1348" s="107"/>
      <c r="R1348" s="135">
        <f t="shared" si="114"/>
        <v>0</v>
      </c>
      <c r="S1348" s="107"/>
      <c r="T1348" s="70">
        <f>T633/'Terms and Turnovers'!$AX$105</f>
        <v>0</v>
      </c>
      <c r="U1348" s="111"/>
      <c r="V1348" s="70">
        <f>V633/'Terms and Turnovers'!$AX$105</f>
        <v>0</v>
      </c>
      <c r="W1348" s="107"/>
      <c r="X1348" s="70">
        <f>X633/'Terms and Turnovers'!$AX$105</f>
        <v>0</v>
      </c>
      <c r="Y1348" s="107"/>
      <c r="Z1348" s="70">
        <f>Z633/'Terms and Turnovers'!$AX$105</f>
        <v>0</v>
      </c>
      <c r="AA1348" s="107"/>
      <c r="AB1348" s="70">
        <f>AB633/'Terms and Turnovers'!$AX$105</f>
        <v>0</v>
      </c>
      <c r="AC1348" s="107"/>
      <c r="AD1348" s="70">
        <f>AD633/'Terms and Turnovers'!$AX$105</f>
        <v>0</v>
      </c>
      <c r="AE1348" s="107"/>
      <c r="AF1348" s="135">
        <f t="shared" si="115"/>
        <v>0</v>
      </c>
      <c r="AG1348" s="107"/>
      <c r="AH1348" s="136">
        <f t="shared" ref="AH1348:AH1425" si="116">SUM(AF1348,R1348)</f>
        <v>0</v>
      </c>
      <c r="AI1348" s="107"/>
      <c r="AJ1348" s="65"/>
    </row>
    <row r="1349" spans="2:36" ht="13.5" customHeight="1" outlineLevel="1">
      <c r="B1349" s="82"/>
      <c r="C1349" s="425"/>
      <c r="D1349" s="425"/>
      <c r="E1349" s="634"/>
      <c r="F1349" s="635"/>
      <c r="G1349" s="428"/>
      <c r="H1349" s="635"/>
      <c r="I1349" s="428"/>
      <c r="J1349" s="635"/>
      <c r="K1349" s="636"/>
      <c r="L1349" s="635"/>
      <c r="M1349" s="636"/>
      <c r="N1349" s="635"/>
      <c r="O1349" s="636"/>
      <c r="P1349" s="635"/>
      <c r="Q1349" s="636"/>
      <c r="R1349" s="637"/>
      <c r="S1349" s="698">
        <f>SUM(R629:R633)/1.18-(SUM(R1344:R1348)*'Mark Up Validation'!$M$175)</f>
        <v>0</v>
      </c>
      <c r="T1349" s="635"/>
      <c r="U1349" s="636"/>
      <c r="V1349" s="635"/>
      <c r="W1349" s="636"/>
      <c r="X1349" s="635"/>
      <c r="Y1349" s="636"/>
      <c r="Z1349" s="635"/>
      <c r="AA1349" s="636"/>
      <c r="AB1349" s="635"/>
      <c r="AC1349" s="636"/>
      <c r="AD1349" s="635"/>
      <c r="AE1349" s="636"/>
      <c r="AF1349" s="637"/>
      <c r="AG1349" s="698">
        <f>SUM(AF629:AF633)/1.18-SUM(AF1344:AF1348)*'Mark Up Validation'!$M$175</f>
        <v>0</v>
      </c>
      <c r="AH1349" s="638"/>
      <c r="AI1349" s="698">
        <f>SUM(AH629:AH633)/1.18-SUM(AH1344:AH1348)*'Mark Up Validation'!$M$175</f>
        <v>0</v>
      </c>
      <c r="AJ1349" s="65"/>
    </row>
    <row r="1350" spans="2:36" ht="13.5" customHeight="1" outlineLevel="1" thickBot="1">
      <c r="B1350" s="82"/>
      <c r="C1350" s="1228" t="s">
        <v>487</v>
      </c>
      <c r="D1350" s="1229"/>
      <c r="E1350" s="699"/>
      <c r="F1350" s="700"/>
      <c r="G1350" s="701"/>
      <c r="H1350" s="700"/>
      <c r="I1350" s="701"/>
      <c r="J1350" s="700"/>
      <c r="K1350" s="702"/>
      <c r="L1350" s="700"/>
      <c r="M1350" s="702"/>
      <c r="N1350" s="700"/>
      <c r="O1350" s="702"/>
      <c r="P1350" s="700"/>
      <c r="Q1350" s="702"/>
      <c r="R1350" s="703"/>
      <c r="S1350" s="729">
        <f>IF(S1349&gt;0,S1349/(SUM(R629:R633)/1.18),0)</f>
        <v>0</v>
      </c>
      <c r="T1350" s="704"/>
      <c r="U1350" s="702"/>
      <c r="V1350" s="700"/>
      <c r="W1350" s="702"/>
      <c r="X1350" s="700"/>
      <c r="Y1350" s="702"/>
      <c r="Z1350" s="700"/>
      <c r="AA1350" s="702"/>
      <c r="AB1350" s="700"/>
      <c r="AC1350" s="702"/>
      <c r="AD1350" s="700"/>
      <c r="AE1350" s="702"/>
      <c r="AF1350" s="705"/>
      <c r="AG1350" s="729">
        <f>IF(AG1349&gt;0,AG1349/(SUM(AF629:AF633)/1.18),0)</f>
        <v>0</v>
      </c>
      <c r="AH1350" s="706"/>
      <c r="AI1350" s="729">
        <f>IF(AI1349&gt;0,AI1349/(SUM(AH629:AH633)/1.18),0)</f>
        <v>0</v>
      </c>
      <c r="AJ1350" s="65"/>
    </row>
    <row r="1351" spans="2:36" ht="12.75" customHeight="1" outlineLevel="1">
      <c r="B1351" s="82">
        <f>B1344+1</f>
        <v>91</v>
      </c>
      <c r="C1351" s="1230">
        <f>C636</f>
        <v>0</v>
      </c>
      <c r="D1351" s="1230">
        <f>D636</f>
        <v>0</v>
      </c>
      <c r="E1351" s="83" t="str">
        <f>'Terms and Turnovers'!$J$12</f>
        <v>FLIP-FLOPS</v>
      </c>
      <c r="F1351" s="68">
        <f>F636/'Terms and Turnovers'!$J106</f>
        <v>0</v>
      </c>
      <c r="G1351" s="106"/>
      <c r="H1351" s="68">
        <f>H636/'Terms and Turnovers'!$J106</f>
        <v>0</v>
      </c>
      <c r="I1351" s="106"/>
      <c r="J1351" s="68">
        <f>J636/'Terms and Turnovers'!$J106</f>
        <v>0</v>
      </c>
      <c r="K1351" s="106"/>
      <c r="L1351" s="68">
        <f>L636/'Terms and Turnovers'!$J106</f>
        <v>0</v>
      </c>
      <c r="M1351" s="106"/>
      <c r="N1351" s="68">
        <f>N636/'Terms and Turnovers'!$J106</f>
        <v>0</v>
      </c>
      <c r="O1351" s="106"/>
      <c r="P1351" s="68">
        <f>P636/'Terms and Turnovers'!$J106</f>
        <v>0</v>
      </c>
      <c r="Q1351" s="106"/>
      <c r="R1351" s="129">
        <f t="shared" si="114"/>
        <v>0</v>
      </c>
      <c r="S1351" s="106"/>
      <c r="T1351" s="68">
        <f>T636/'Terms and Turnovers'!$O106</f>
        <v>0</v>
      </c>
      <c r="U1351" s="106"/>
      <c r="V1351" s="68">
        <f>V636/'Terms and Turnovers'!$O106</f>
        <v>0</v>
      </c>
      <c r="W1351" s="106"/>
      <c r="X1351" s="68">
        <f>X636/'Terms and Turnovers'!$O106</f>
        <v>0</v>
      </c>
      <c r="Y1351" s="106"/>
      <c r="Z1351" s="68">
        <f>Z636/'Terms and Turnovers'!$O106</f>
        <v>0</v>
      </c>
      <c r="AA1351" s="106"/>
      <c r="AB1351" s="68">
        <f>AB636/'Terms and Turnovers'!$O106</f>
        <v>0</v>
      </c>
      <c r="AC1351" s="106"/>
      <c r="AD1351" s="68">
        <f>AD636/'Terms and Turnovers'!$O106</f>
        <v>0</v>
      </c>
      <c r="AE1351" s="106"/>
      <c r="AF1351" s="129">
        <f t="shared" si="115"/>
        <v>0</v>
      </c>
      <c r="AG1351" s="106"/>
      <c r="AH1351" s="130">
        <f t="shared" si="116"/>
        <v>0</v>
      </c>
      <c r="AI1351" s="106"/>
      <c r="AJ1351" s="65"/>
    </row>
    <row r="1352" spans="2:36" ht="12.75" customHeight="1" outlineLevel="1">
      <c r="B1352" s="82"/>
      <c r="C1352" s="1231"/>
      <c r="D1352" s="1231"/>
      <c r="E1352" s="84" t="str">
        <f>'Terms and Turnovers'!$T$12</f>
        <v>ORIGINALS</v>
      </c>
      <c r="F1352" s="70">
        <f>F637/'Terms and Turnovers'!$T106</f>
        <v>0</v>
      </c>
      <c r="G1352" s="728"/>
      <c r="H1352" s="70">
        <f>H637/'Terms and Turnovers'!$T106</f>
        <v>0</v>
      </c>
      <c r="I1352" s="728"/>
      <c r="J1352" s="70">
        <f>J637/'Terms and Turnovers'!$T106</f>
        <v>0</v>
      </c>
      <c r="K1352" s="728"/>
      <c r="L1352" s="70">
        <f>L637/'Terms and Turnovers'!$T106</f>
        <v>0</v>
      </c>
      <c r="M1352" s="728"/>
      <c r="N1352" s="70">
        <f>N637/'Terms and Turnovers'!$T106</f>
        <v>0</v>
      </c>
      <c r="O1352" s="728"/>
      <c r="P1352" s="70">
        <f>P637/'Terms and Turnovers'!$T106</f>
        <v>0</v>
      </c>
      <c r="Q1352" s="728"/>
      <c r="R1352" s="132">
        <f t="shared" si="114"/>
        <v>0</v>
      </c>
      <c r="S1352" s="728"/>
      <c r="T1352" s="70">
        <f>T637/'Terms and Turnovers'!$Y106</f>
        <v>0</v>
      </c>
      <c r="U1352" s="728"/>
      <c r="V1352" s="70">
        <f>V637/'Terms and Turnovers'!$Y106</f>
        <v>0</v>
      </c>
      <c r="W1352" s="728"/>
      <c r="X1352" s="70">
        <f>X637/'Terms and Turnovers'!$Y106</f>
        <v>0</v>
      </c>
      <c r="Y1352" s="728"/>
      <c r="Z1352" s="70">
        <f>Z637/'Terms and Turnovers'!$Y106</f>
        <v>0</v>
      </c>
      <c r="AA1352" s="728"/>
      <c r="AB1352" s="70">
        <f>AB637/'Terms and Turnovers'!$Y106</f>
        <v>0</v>
      </c>
      <c r="AC1352" s="728"/>
      <c r="AD1352" s="70">
        <f>AD637/'Terms and Turnovers'!$Y106</f>
        <v>0</v>
      </c>
      <c r="AE1352" s="728"/>
      <c r="AF1352" s="132">
        <f t="shared" si="115"/>
        <v>0</v>
      </c>
      <c r="AG1352" s="728"/>
      <c r="AH1352" s="133">
        <f t="shared" si="116"/>
        <v>0</v>
      </c>
      <c r="AI1352" s="728"/>
      <c r="AJ1352" s="65"/>
    </row>
    <row r="1353" spans="2:36" ht="12.75" customHeight="1" outlineLevel="1">
      <c r="B1353" s="82"/>
      <c r="C1353" s="1231"/>
      <c r="D1353" s="1231"/>
      <c r="E1353" s="84" t="str">
        <f>'Terms and Turnovers'!$AD$12</f>
        <v>ACCESSORIES</v>
      </c>
      <c r="F1353" s="70">
        <f>F638/'Terms and Turnovers'!$AD106</f>
        <v>0</v>
      </c>
      <c r="G1353" s="728"/>
      <c r="H1353" s="70">
        <f>H638/'Terms and Turnovers'!$AD106</f>
        <v>0</v>
      </c>
      <c r="I1353" s="728"/>
      <c r="J1353" s="70">
        <f>J638/'Terms and Turnovers'!$AD106</f>
        <v>0</v>
      </c>
      <c r="K1353" s="728"/>
      <c r="L1353" s="70">
        <f>L638/'Terms and Turnovers'!$AD106</f>
        <v>0</v>
      </c>
      <c r="M1353" s="728"/>
      <c r="N1353" s="70">
        <f>N638/'Terms and Turnovers'!$AD106</f>
        <v>0</v>
      </c>
      <c r="O1353" s="728"/>
      <c r="P1353" s="70">
        <f>P638/'Terms and Turnovers'!$AD106</f>
        <v>0</v>
      </c>
      <c r="Q1353" s="728"/>
      <c r="R1353" s="132">
        <f t="shared" si="114"/>
        <v>0</v>
      </c>
      <c r="S1353" s="728"/>
      <c r="T1353" s="70">
        <f>T638/'Terms and Turnovers'!$AI106</f>
        <v>0</v>
      </c>
      <c r="U1353" s="728"/>
      <c r="V1353" s="70">
        <f>V638/'Terms and Turnovers'!$AI106</f>
        <v>0</v>
      </c>
      <c r="W1353" s="728"/>
      <c r="X1353" s="70">
        <f>X638/'Terms and Turnovers'!$AI106</f>
        <v>0</v>
      </c>
      <c r="Y1353" s="728"/>
      <c r="Z1353" s="70">
        <f>Z638/'Terms and Turnovers'!$AI106</f>
        <v>0</v>
      </c>
      <c r="AA1353" s="728"/>
      <c r="AB1353" s="70">
        <f>AB638/'Terms and Turnovers'!$AI106</f>
        <v>0</v>
      </c>
      <c r="AC1353" s="728"/>
      <c r="AD1353" s="70">
        <f>AD638/'Terms and Turnovers'!$AI106</f>
        <v>0</v>
      </c>
      <c r="AE1353" s="728"/>
      <c r="AF1353" s="132">
        <f t="shared" si="115"/>
        <v>0</v>
      </c>
      <c r="AG1353" s="728"/>
      <c r="AH1353" s="133">
        <f t="shared" si="116"/>
        <v>0</v>
      </c>
      <c r="AI1353" s="728"/>
      <c r="AJ1353" s="65"/>
    </row>
    <row r="1354" spans="2:36" ht="12.75" customHeight="1" outlineLevel="1">
      <c r="B1354" s="82"/>
      <c r="C1354" s="1231"/>
      <c r="D1354" s="1231"/>
      <c r="E1354" s="84">
        <f>'Terms and Turnovers'!$AN$12</f>
        <v>0</v>
      </c>
      <c r="F1354" s="70">
        <f>F639/'Terms and Turnovers'!$AN106</f>
        <v>0</v>
      </c>
      <c r="G1354" s="728"/>
      <c r="H1354" s="70">
        <f>H639/'Terms and Turnovers'!$AN106</f>
        <v>0</v>
      </c>
      <c r="I1354" s="728"/>
      <c r="J1354" s="70">
        <f>J639/'Terms and Turnovers'!$AN106</f>
        <v>0</v>
      </c>
      <c r="K1354" s="728"/>
      <c r="L1354" s="70">
        <f>L639/'Terms and Turnovers'!$AN106</f>
        <v>0</v>
      </c>
      <c r="M1354" s="728"/>
      <c r="N1354" s="70">
        <f>N639/'Terms and Turnovers'!$AN106</f>
        <v>0</v>
      </c>
      <c r="O1354" s="728"/>
      <c r="P1354" s="70">
        <f>P639/'Terms and Turnovers'!$AN106</f>
        <v>0</v>
      </c>
      <c r="Q1354" s="728"/>
      <c r="R1354" s="132">
        <f t="shared" si="114"/>
        <v>0</v>
      </c>
      <c r="S1354" s="728"/>
      <c r="T1354" s="70">
        <f>T639/'Terms and Turnovers'!$AS106</f>
        <v>0</v>
      </c>
      <c r="U1354" s="728"/>
      <c r="V1354" s="70">
        <f>V639/'Terms and Turnovers'!$AS106</f>
        <v>0</v>
      </c>
      <c r="W1354" s="728"/>
      <c r="X1354" s="70">
        <f>X639/'Terms and Turnovers'!$AS106</f>
        <v>0</v>
      </c>
      <c r="Y1354" s="728"/>
      <c r="Z1354" s="70">
        <f>Z639/'Terms and Turnovers'!$AS106</f>
        <v>0</v>
      </c>
      <c r="AA1354" s="728"/>
      <c r="AB1354" s="70">
        <f>AB639/'Terms and Turnovers'!$AS106</f>
        <v>0</v>
      </c>
      <c r="AC1354" s="728"/>
      <c r="AD1354" s="70">
        <f>AD639/'Terms and Turnovers'!$AS106</f>
        <v>0</v>
      </c>
      <c r="AE1354" s="728"/>
      <c r="AF1354" s="132">
        <f t="shared" si="115"/>
        <v>0</v>
      </c>
      <c r="AG1354" s="728"/>
      <c r="AH1354" s="133">
        <f t="shared" si="116"/>
        <v>0</v>
      </c>
      <c r="AI1354" s="728"/>
      <c r="AJ1354" s="65"/>
    </row>
    <row r="1355" spans="2:36" ht="13.5" customHeight="1" outlineLevel="1" thickBot="1">
      <c r="B1355" s="82"/>
      <c r="C1355" s="1232"/>
      <c r="D1355" s="1232"/>
      <c r="E1355" s="85">
        <f>'Terms and Turnovers'!$AX$12</f>
        <v>0</v>
      </c>
      <c r="F1355" s="70">
        <f>F640/'Terms and Turnovers'!$AX106</f>
        <v>0</v>
      </c>
      <c r="G1355" s="111"/>
      <c r="H1355" s="70">
        <f>H640/'Terms and Turnovers'!$AX106</f>
        <v>0</v>
      </c>
      <c r="I1355" s="107"/>
      <c r="J1355" s="70">
        <f>J640/'Terms and Turnovers'!$AX106</f>
        <v>0</v>
      </c>
      <c r="K1355" s="107"/>
      <c r="L1355" s="70">
        <f>L640/'Terms and Turnovers'!$AX106</f>
        <v>0</v>
      </c>
      <c r="M1355" s="107"/>
      <c r="N1355" s="70">
        <f>N640/'Terms and Turnovers'!$AX106</f>
        <v>0</v>
      </c>
      <c r="O1355" s="107"/>
      <c r="P1355" s="70">
        <f>P640/'Terms and Turnovers'!$AX106</f>
        <v>0</v>
      </c>
      <c r="Q1355" s="107"/>
      <c r="R1355" s="135">
        <f t="shared" si="114"/>
        <v>0</v>
      </c>
      <c r="S1355" s="107"/>
      <c r="T1355" s="70">
        <f>T640/'Terms and Turnovers'!$AX$106</f>
        <v>0</v>
      </c>
      <c r="U1355" s="111"/>
      <c r="V1355" s="70">
        <f>V640/'Terms and Turnovers'!$AX$106</f>
        <v>0</v>
      </c>
      <c r="W1355" s="107"/>
      <c r="X1355" s="70">
        <f>X640/'Terms and Turnovers'!$AX$106</f>
        <v>0</v>
      </c>
      <c r="Y1355" s="107"/>
      <c r="Z1355" s="70">
        <f>Z640/'Terms and Turnovers'!$AX$106</f>
        <v>0</v>
      </c>
      <c r="AA1355" s="107"/>
      <c r="AB1355" s="70">
        <f>AB640/'Terms and Turnovers'!$AX$106</f>
        <v>0</v>
      </c>
      <c r="AC1355" s="107"/>
      <c r="AD1355" s="70">
        <f>AD640/'Terms and Turnovers'!$AX$106</f>
        <v>0</v>
      </c>
      <c r="AE1355" s="107"/>
      <c r="AF1355" s="135">
        <f t="shared" si="115"/>
        <v>0</v>
      </c>
      <c r="AG1355" s="107"/>
      <c r="AH1355" s="136">
        <f t="shared" si="116"/>
        <v>0</v>
      </c>
      <c r="AI1355" s="107"/>
      <c r="AJ1355" s="65"/>
    </row>
    <row r="1356" spans="2:36" ht="13.5" customHeight="1" outlineLevel="1">
      <c r="B1356" s="82"/>
      <c r="C1356" s="425"/>
      <c r="D1356" s="425"/>
      <c r="E1356" s="634"/>
      <c r="F1356" s="635"/>
      <c r="G1356" s="428"/>
      <c r="H1356" s="635"/>
      <c r="I1356" s="428"/>
      <c r="J1356" s="635"/>
      <c r="K1356" s="636"/>
      <c r="L1356" s="635"/>
      <c r="M1356" s="636"/>
      <c r="N1356" s="635"/>
      <c r="O1356" s="636"/>
      <c r="P1356" s="635"/>
      <c r="Q1356" s="636"/>
      <c r="R1356" s="637"/>
      <c r="S1356" s="698">
        <f>SUM(R636:R640)/1.18-(SUM(R1351:R1355)*'Mark Up Validation'!$M$175)</f>
        <v>0</v>
      </c>
      <c r="T1356" s="635"/>
      <c r="U1356" s="636"/>
      <c r="V1356" s="635"/>
      <c r="W1356" s="636"/>
      <c r="X1356" s="635"/>
      <c r="Y1356" s="636"/>
      <c r="Z1356" s="635"/>
      <c r="AA1356" s="636"/>
      <c r="AB1356" s="635"/>
      <c r="AC1356" s="636"/>
      <c r="AD1356" s="635"/>
      <c r="AE1356" s="636"/>
      <c r="AF1356" s="637"/>
      <c r="AG1356" s="698">
        <f>SUM(AF636:AF640)/1.18-SUM(AF1351:AF1355)*'Mark Up Validation'!$M$175</f>
        <v>0</v>
      </c>
      <c r="AH1356" s="638"/>
      <c r="AI1356" s="698">
        <f>SUM(AH636:AH640)/1.18-SUM(AH1351:AH1355)*'Mark Up Validation'!$M$175</f>
        <v>0</v>
      </c>
      <c r="AJ1356" s="65"/>
    </row>
    <row r="1357" spans="2:36" ht="13.5" customHeight="1" outlineLevel="1" thickBot="1">
      <c r="B1357" s="82"/>
      <c r="C1357" s="1228" t="s">
        <v>487</v>
      </c>
      <c r="D1357" s="1229"/>
      <c r="E1357" s="699"/>
      <c r="F1357" s="700"/>
      <c r="G1357" s="701"/>
      <c r="H1357" s="700"/>
      <c r="I1357" s="701"/>
      <c r="J1357" s="700"/>
      <c r="K1357" s="702"/>
      <c r="L1357" s="700"/>
      <c r="M1357" s="702"/>
      <c r="N1357" s="700"/>
      <c r="O1357" s="702"/>
      <c r="P1357" s="700"/>
      <c r="Q1357" s="702"/>
      <c r="R1357" s="703"/>
      <c r="S1357" s="729">
        <f>IF(S1356&gt;0,S1356/(SUM(R636:R640)/1.18),0)</f>
        <v>0</v>
      </c>
      <c r="T1357" s="704"/>
      <c r="U1357" s="702"/>
      <c r="V1357" s="700"/>
      <c r="W1357" s="702"/>
      <c r="X1357" s="700"/>
      <c r="Y1357" s="702"/>
      <c r="Z1357" s="700"/>
      <c r="AA1357" s="702"/>
      <c r="AB1357" s="700"/>
      <c r="AC1357" s="702"/>
      <c r="AD1357" s="700"/>
      <c r="AE1357" s="702"/>
      <c r="AF1357" s="705"/>
      <c r="AG1357" s="729">
        <f>IF(AG1356&gt;0,AG1356/(SUM(AF636:AF640)/1.18),0)</f>
        <v>0</v>
      </c>
      <c r="AH1357" s="706"/>
      <c r="AI1357" s="729">
        <f>IF(AI1356&gt;0,AI1356/(SUM(AH636:AH640)/1.18),0)</f>
        <v>0</v>
      </c>
      <c r="AJ1357" s="65"/>
    </row>
    <row r="1358" spans="2:36" ht="12.75" customHeight="1" outlineLevel="1">
      <c r="B1358" s="82">
        <f>B1351+1</f>
        <v>92</v>
      </c>
      <c r="C1358" s="1233">
        <f>C643</f>
        <v>0</v>
      </c>
      <c r="D1358" s="1233">
        <f>D643</f>
        <v>0</v>
      </c>
      <c r="E1358" s="83" t="str">
        <f>'Terms and Turnovers'!$J$12</f>
        <v>FLIP-FLOPS</v>
      </c>
      <c r="F1358" s="68">
        <f>F643/'Terms and Turnovers'!$J107</f>
        <v>0</v>
      </c>
      <c r="G1358" s="106"/>
      <c r="H1358" s="68">
        <f>H643/'Terms and Turnovers'!$J107</f>
        <v>0</v>
      </c>
      <c r="I1358" s="106"/>
      <c r="J1358" s="68">
        <f>J643/'Terms and Turnovers'!$J107</f>
        <v>0</v>
      </c>
      <c r="K1358" s="106"/>
      <c r="L1358" s="68">
        <f>L643/'Terms and Turnovers'!$J107</f>
        <v>0</v>
      </c>
      <c r="M1358" s="106"/>
      <c r="N1358" s="68">
        <f>N643/'Terms and Turnovers'!$J107</f>
        <v>0</v>
      </c>
      <c r="O1358" s="106"/>
      <c r="P1358" s="68">
        <f>P643/'Terms and Turnovers'!$J107</f>
        <v>0</v>
      </c>
      <c r="Q1358" s="106"/>
      <c r="R1358" s="129">
        <f t="shared" si="114"/>
        <v>0</v>
      </c>
      <c r="S1358" s="106"/>
      <c r="T1358" s="68">
        <f>T643/'Terms and Turnovers'!$O107</f>
        <v>0</v>
      </c>
      <c r="U1358" s="106"/>
      <c r="V1358" s="68">
        <f>V643/'Terms and Turnovers'!$O107</f>
        <v>0</v>
      </c>
      <c r="W1358" s="106"/>
      <c r="X1358" s="68">
        <f>X643/'Terms and Turnovers'!$O107</f>
        <v>0</v>
      </c>
      <c r="Y1358" s="106"/>
      <c r="Z1358" s="68">
        <f>Z643/'Terms and Turnovers'!$O107</f>
        <v>0</v>
      </c>
      <c r="AA1358" s="106"/>
      <c r="AB1358" s="68">
        <f>AB643/'Terms and Turnovers'!$O107</f>
        <v>0</v>
      </c>
      <c r="AC1358" s="106"/>
      <c r="AD1358" s="68">
        <f>AD643/'Terms and Turnovers'!$O107</f>
        <v>0</v>
      </c>
      <c r="AE1358" s="106"/>
      <c r="AF1358" s="129">
        <f t="shared" si="115"/>
        <v>0</v>
      </c>
      <c r="AG1358" s="106"/>
      <c r="AH1358" s="130">
        <f t="shared" si="116"/>
        <v>0</v>
      </c>
      <c r="AI1358" s="106"/>
      <c r="AJ1358" s="65"/>
    </row>
    <row r="1359" spans="2:36" ht="12.75" customHeight="1" outlineLevel="1">
      <c r="B1359" s="82"/>
      <c r="C1359" s="1234"/>
      <c r="D1359" s="1234"/>
      <c r="E1359" s="84" t="str">
        <f>'Terms and Turnovers'!$T$12</f>
        <v>ORIGINALS</v>
      </c>
      <c r="F1359" s="70">
        <f>F644/'Terms and Turnovers'!$T107</f>
        <v>0</v>
      </c>
      <c r="G1359" s="728"/>
      <c r="H1359" s="70">
        <f>H644/'Terms and Turnovers'!$T107</f>
        <v>0</v>
      </c>
      <c r="I1359" s="728"/>
      <c r="J1359" s="70">
        <f>J644/'Terms and Turnovers'!$T107</f>
        <v>0</v>
      </c>
      <c r="K1359" s="728"/>
      <c r="L1359" s="70">
        <f>L644/'Terms and Turnovers'!$T107</f>
        <v>0</v>
      </c>
      <c r="M1359" s="728"/>
      <c r="N1359" s="70">
        <f>N644/'Terms and Turnovers'!$T107</f>
        <v>0</v>
      </c>
      <c r="O1359" s="728"/>
      <c r="P1359" s="70">
        <f>P644/'Terms and Turnovers'!$T107</f>
        <v>0</v>
      </c>
      <c r="Q1359" s="728"/>
      <c r="R1359" s="132">
        <f t="shared" si="114"/>
        <v>0</v>
      </c>
      <c r="S1359" s="728"/>
      <c r="T1359" s="70">
        <f>T644/'Terms and Turnovers'!$Y107</f>
        <v>0</v>
      </c>
      <c r="U1359" s="728"/>
      <c r="V1359" s="70">
        <f>V644/'Terms and Turnovers'!$Y107</f>
        <v>0</v>
      </c>
      <c r="W1359" s="728"/>
      <c r="X1359" s="70">
        <f>X644/'Terms and Turnovers'!$Y107</f>
        <v>0</v>
      </c>
      <c r="Y1359" s="728"/>
      <c r="Z1359" s="70">
        <f>Z644/'Terms and Turnovers'!$Y107</f>
        <v>0</v>
      </c>
      <c r="AA1359" s="728"/>
      <c r="AB1359" s="70">
        <f>AB644/'Terms and Turnovers'!$Y107</f>
        <v>0</v>
      </c>
      <c r="AC1359" s="728"/>
      <c r="AD1359" s="70">
        <f>AD644/'Terms and Turnovers'!$Y107</f>
        <v>0</v>
      </c>
      <c r="AE1359" s="728"/>
      <c r="AF1359" s="132">
        <f t="shared" si="115"/>
        <v>0</v>
      </c>
      <c r="AG1359" s="728"/>
      <c r="AH1359" s="133">
        <f t="shared" si="116"/>
        <v>0</v>
      </c>
      <c r="AI1359" s="728"/>
      <c r="AJ1359" s="65"/>
    </row>
    <row r="1360" spans="2:36" ht="12.75" customHeight="1" outlineLevel="1">
      <c r="B1360" s="82"/>
      <c r="C1360" s="1234"/>
      <c r="D1360" s="1234"/>
      <c r="E1360" s="84" t="str">
        <f>'Terms and Turnovers'!$AD$12</f>
        <v>ACCESSORIES</v>
      </c>
      <c r="F1360" s="70">
        <f>F645/'Terms and Turnovers'!$AD107</f>
        <v>0</v>
      </c>
      <c r="G1360" s="728"/>
      <c r="H1360" s="70">
        <f>H645/'Terms and Turnovers'!$AD107</f>
        <v>0</v>
      </c>
      <c r="I1360" s="728"/>
      <c r="J1360" s="70">
        <f>J645/'Terms and Turnovers'!$AD107</f>
        <v>0</v>
      </c>
      <c r="K1360" s="728"/>
      <c r="L1360" s="70">
        <f>L645/'Terms and Turnovers'!$AD107</f>
        <v>0</v>
      </c>
      <c r="M1360" s="728"/>
      <c r="N1360" s="70">
        <f>N645/'Terms and Turnovers'!$AD107</f>
        <v>0</v>
      </c>
      <c r="O1360" s="728"/>
      <c r="P1360" s="70">
        <f>P645/'Terms and Turnovers'!$AD107</f>
        <v>0</v>
      </c>
      <c r="Q1360" s="728"/>
      <c r="R1360" s="132">
        <f t="shared" si="114"/>
        <v>0</v>
      </c>
      <c r="S1360" s="728"/>
      <c r="T1360" s="70">
        <f>T645/'Terms and Turnovers'!$AI107</f>
        <v>0</v>
      </c>
      <c r="U1360" s="728"/>
      <c r="V1360" s="70">
        <f>V645/'Terms and Turnovers'!$AI107</f>
        <v>0</v>
      </c>
      <c r="W1360" s="728"/>
      <c r="X1360" s="70">
        <f>X645/'Terms and Turnovers'!$AI107</f>
        <v>0</v>
      </c>
      <c r="Y1360" s="728"/>
      <c r="Z1360" s="70">
        <f>Z645/'Terms and Turnovers'!$AI107</f>
        <v>0</v>
      </c>
      <c r="AA1360" s="728"/>
      <c r="AB1360" s="70">
        <f>AB645/'Terms and Turnovers'!$AI107</f>
        <v>0</v>
      </c>
      <c r="AC1360" s="728"/>
      <c r="AD1360" s="70">
        <f>AD645/'Terms and Turnovers'!$AI107</f>
        <v>0</v>
      </c>
      <c r="AE1360" s="728"/>
      <c r="AF1360" s="132">
        <f t="shared" si="115"/>
        <v>0</v>
      </c>
      <c r="AG1360" s="728"/>
      <c r="AH1360" s="133">
        <f t="shared" si="116"/>
        <v>0</v>
      </c>
      <c r="AI1360" s="728"/>
      <c r="AJ1360" s="65"/>
    </row>
    <row r="1361" spans="2:36" ht="12.75" customHeight="1" outlineLevel="1">
      <c r="B1361" s="82"/>
      <c r="C1361" s="1234"/>
      <c r="D1361" s="1234"/>
      <c r="E1361" s="84">
        <f>'Terms and Turnovers'!$AN$12</f>
        <v>0</v>
      </c>
      <c r="F1361" s="70">
        <f>F646/'Terms and Turnovers'!$AN107</f>
        <v>0</v>
      </c>
      <c r="G1361" s="728"/>
      <c r="H1361" s="70">
        <f>H646/'Terms and Turnovers'!$AN107</f>
        <v>0</v>
      </c>
      <c r="I1361" s="728"/>
      <c r="J1361" s="70">
        <f>J646/'Terms and Turnovers'!$AN107</f>
        <v>0</v>
      </c>
      <c r="K1361" s="728"/>
      <c r="L1361" s="70">
        <f>L646/'Terms and Turnovers'!$AN107</f>
        <v>0</v>
      </c>
      <c r="M1361" s="728"/>
      <c r="N1361" s="70">
        <f>N646/'Terms and Turnovers'!$AN107</f>
        <v>0</v>
      </c>
      <c r="O1361" s="728"/>
      <c r="P1361" s="70">
        <f>P646/'Terms and Turnovers'!$AN107</f>
        <v>0</v>
      </c>
      <c r="Q1361" s="728"/>
      <c r="R1361" s="132">
        <f t="shared" si="114"/>
        <v>0</v>
      </c>
      <c r="S1361" s="728"/>
      <c r="T1361" s="70">
        <f>T646/'Terms and Turnovers'!$AS107</f>
        <v>0</v>
      </c>
      <c r="U1361" s="728"/>
      <c r="V1361" s="70">
        <f>V646/'Terms and Turnovers'!$AS107</f>
        <v>0</v>
      </c>
      <c r="W1361" s="728"/>
      <c r="X1361" s="70">
        <f>X646/'Terms and Turnovers'!$AS107</f>
        <v>0</v>
      </c>
      <c r="Y1361" s="728"/>
      <c r="Z1361" s="70">
        <f>Z646/'Terms and Turnovers'!$AS107</f>
        <v>0</v>
      </c>
      <c r="AA1361" s="728"/>
      <c r="AB1361" s="70">
        <f>AB646/'Terms and Turnovers'!$AS107</f>
        <v>0</v>
      </c>
      <c r="AC1361" s="728"/>
      <c r="AD1361" s="70">
        <f>AD646/'Terms and Turnovers'!$AS107</f>
        <v>0</v>
      </c>
      <c r="AE1361" s="728"/>
      <c r="AF1361" s="132">
        <f t="shared" si="115"/>
        <v>0</v>
      </c>
      <c r="AG1361" s="728"/>
      <c r="AH1361" s="133">
        <f t="shared" si="116"/>
        <v>0</v>
      </c>
      <c r="AI1361" s="728"/>
      <c r="AJ1361" s="65"/>
    </row>
    <row r="1362" spans="2:36" ht="13.5" customHeight="1" outlineLevel="1" thickBot="1">
      <c r="B1362" s="82"/>
      <c r="C1362" s="1235"/>
      <c r="D1362" s="1235"/>
      <c r="E1362" s="85">
        <f>'Terms and Turnovers'!$AX$12</f>
        <v>0</v>
      </c>
      <c r="F1362" s="70">
        <f>F647/'Terms and Turnovers'!$AX107</f>
        <v>0</v>
      </c>
      <c r="G1362" s="111"/>
      <c r="H1362" s="70">
        <f>H647/'Terms and Turnovers'!$AX107</f>
        <v>0</v>
      </c>
      <c r="I1362" s="107"/>
      <c r="J1362" s="70">
        <f>J647/'Terms and Turnovers'!$AX107</f>
        <v>0</v>
      </c>
      <c r="K1362" s="107"/>
      <c r="L1362" s="70">
        <f>L647/'Terms and Turnovers'!$AX107</f>
        <v>0</v>
      </c>
      <c r="M1362" s="107"/>
      <c r="N1362" s="70">
        <f>N647/'Terms and Turnovers'!$AX107</f>
        <v>0</v>
      </c>
      <c r="O1362" s="107"/>
      <c r="P1362" s="70">
        <f>P647/'Terms and Turnovers'!$AX107</f>
        <v>0</v>
      </c>
      <c r="Q1362" s="107"/>
      <c r="R1362" s="135">
        <f t="shared" si="114"/>
        <v>0</v>
      </c>
      <c r="S1362" s="107"/>
      <c r="T1362" s="70">
        <f>T647/'Terms and Turnovers'!$AX$107</f>
        <v>0</v>
      </c>
      <c r="U1362" s="111"/>
      <c r="V1362" s="70">
        <f>V647/'Terms and Turnovers'!$AX$107</f>
        <v>0</v>
      </c>
      <c r="W1362" s="107"/>
      <c r="X1362" s="70">
        <f>X647/'Terms and Turnovers'!$AX$107</f>
        <v>0</v>
      </c>
      <c r="Y1362" s="107"/>
      <c r="Z1362" s="70">
        <f>Z647/'Terms and Turnovers'!$AX$107</f>
        <v>0</v>
      </c>
      <c r="AA1362" s="107"/>
      <c r="AB1362" s="70">
        <f>AB647/'Terms and Turnovers'!$AX$107</f>
        <v>0</v>
      </c>
      <c r="AC1362" s="107"/>
      <c r="AD1362" s="70">
        <f>AD647/'Terms and Turnovers'!$AX$107</f>
        <v>0</v>
      </c>
      <c r="AE1362" s="107"/>
      <c r="AF1362" s="135">
        <f t="shared" si="115"/>
        <v>0</v>
      </c>
      <c r="AG1362" s="107"/>
      <c r="AH1362" s="136">
        <f t="shared" si="116"/>
        <v>0</v>
      </c>
      <c r="AI1362" s="107"/>
      <c r="AJ1362" s="65"/>
    </row>
    <row r="1363" spans="2:36" ht="13.5" customHeight="1" outlineLevel="1">
      <c r="B1363" s="82"/>
      <c r="C1363" s="425"/>
      <c r="D1363" s="425"/>
      <c r="E1363" s="634"/>
      <c r="F1363" s="635"/>
      <c r="G1363" s="428"/>
      <c r="H1363" s="635"/>
      <c r="I1363" s="428"/>
      <c r="J1363" s="635"/>
      <c r="K1363" s="636"/>
      <c r="L1363" s="635"/>
      <c r="M1363" s="636"/>
      <c r="N1363" s="635"/>
      <c r="O1363" s="636"/>
      <c r="P1363" s="635"/>
      <c r="Q1363" s="636"/>
      <c r="R1363" s="637"/>
      <c r="S1363" s="698">
        <f>SUM(R643:R647)/1.18-(SUM(R1358:R1362)*'Mark Up Validation'!$M$175)</f>
        <v>0</v>
      </c>
      <c r="T1363" s="635"/>
      <c r="U1363" s="636"/>
      <c r="V1363" s="635"/>
      <c r="W1363" s="636"/>
      <c r="X1363" s="635"/>
      <c r="Y1363" s="636"/>
      <c r="Z1363" s="635"/>
      <c r="AA1363" s="636"/>
      <c r="AB1363" s="635"/>
      <c r="AC1363" s="636"/>
      <c r="AD1363" s="635"/>
      <c r="AE1363" s="636"/>
      <c r="AF1363" s="637"/>
      <c r="AG1363" s="698">
        <f>SUM(AF643:AF647)/1.18-SUM(AF1358:AF1362)*'Mark Up Validation'!$M$175</f>
        <v>0</v>
      </c>
      <c r="AH1363" s="638"/>
      <c r="AI1363" s="698">
        <f>SUM(AH643:AH647)/1.18-SUM(AH1358:AH1362)*'Mark Up Validation'!$M$175</f>
        <v>0</v>
      </c>
      <c r="AJ1363" s="65"/>
    </row>
    <row r="1364" spans="2:36" ht="13.5" customHeight="1" outlineLevel="1" thickBot="1">
      <c r="B1364" s="82"/>
      <c r="C1364" s="1228" t="s">
        <v>487</v>
      </c>
      <c r="D1364" s="1229"/>
      <c r="E1364" s="699"/>
      <c r="F1364" s="700"/>
      <c r="G1364" s="701"/>
      <c r="H1364" s="700"/>
      <c r="I1364" s="701"/>
      <c r="J1364" s="700"/>
      <c r="K1364" s="702"/>
      <c r="L1364" s="700"/>
      <c r="M1364" s="702"/>
      <c r="N1364" s="700"/>
      <c r="O1364" s="702"/>
      <c r="P1364" s="700"/>
      <c r="Q1364" s="702"/>
      <c r="R1364" s="703"/>
      <c r="S1364" s="729">
        <f>IF(S1363&gt;0,S1363/(SUM(R643:R647)/1.18),0)</f>
        <v>0</v>
      </c>
      <c r="T1364" s="704"/>
      <c r="U1364" s="702"/>
      <c r="V1364" s="700"/>
      <c r="W1364" s="702"/>
      <c r="X1364" s="700"/>
      <c r="Y1364" s="702"/>
      <c r="Z1364" s="700"/>
      <c r="AA1364" s="702"/>
      <c r="AB1364" s="700"/>
      <c r="AC1364" s="702"/>
      <c r="AD1364" s="700"/>
      <c r="AE1364" s="702"/>
      <c r="AF1364" s="705"/>
      <c r="AG1364" s="729">
        <f>IF(AG1363&gt;0,AG1363/(SUM(AF643:AF647)/1.18),0)</f>
        <v>0</v>
      </c>
      <c r="AH1364" s="706"/>
      <c r="AI1364" s="729">
        <f>IF(AI1363&gt;0,AI1363/(SUM(AH643:AH647)/1.18),0)</f>
        <v>0</v>
      </c>
      <c r="AJ1364" s="65"/>
    </row>
    <row r="1365" spans="2:36" ht="12.75" customHeight="1" outlineLevel="1">
      <c r="B1365" s="82">
        <f>B1358+1</f>
        <v>93</v>
      </c>
      <c r="C1365" s="1230">
        <f>C650</f>
        <v>0</v>
      </c>
      <c r="D1365" s="1230">
        <f>D650</f>
        <v>0</v>
      </c>
      <c r="E1365" s="83" t="str">
        <f>'Terms and Turnovers'!$J$12</f>
        <v>FLIP-FLOPS</v>
      </c>
      <c r="F1365" s="68">
        <f>F650/'Terms and Turnovers'!$J108</f>
        <v>0</v>
      </c>
      <c r="G1365" s="106"/>
      <c r="H1365" s="68">
        <f>H650/'Terms and Turnovers'!$J108</f>
        <v>0</v>
      </c>
      <c r="I1365" s="106"/>
      <c r="J1365" s="68">
        <f>J650/'Terms and Turnovers'!$J108</f>
        <v>0</v>
      </c>
      <c r="K1365" s="106"/>
      <c r="L1365" s="68">
        <f>L650/'Terms and Turnovers'!$J108</f>
        <v>0</v>
      </c>
      <c r="M1365" s="106"/>
      <c r="N1365" s="68">
        <f>N650/'Terms and Turnovers'!$J108</f>
        <v>0</v>
      </c>
      <c r="O1365" s="106"/>
      <c r="P1365" s="68">
        <f>P650/'Terms and Turnovers'!$J108</f>
        <v>0</v>
      </c>
      <c r="Q1365" s="106"/>
      <c r="R1365" s="129">
        <f t="shared" si="114"/>
        <v>0</v>
      </c>
      <c r="S1365" s="106"/>
      <c r="T1365" s="68">
        <f>T650/'Terms and Turnovers'!$O108</f>
        <v>0</v>
      </c>
      <c r="U1365" s="106"/>
      <c r="V1365" s="68">
        <f>V650/'Terms and Turnovers'!$O108</f>
        <v>0</v>
      </c>
      <c r="W1365" s="106"/>
      <c r="X1365" s="68">
        <f>X650/'Terms and Turnovers'!$O108</f>
        <v>0</v>
      </c>
      <c r="Y1365" s="106"/>
      <c r="Z1365" s="68">
        <f>Z650/'Terms and Turnovers'!$O108</f>
        <v>0</v>
      </c>
      <c r="AA1365" s="106"/>
      <c r="AB1365" s="68">
        <f>AB650/'Terms and Turnovers'!$O108</f>
        <v>0</v>
      </c>
      <c r="AC1365" s="106"/>
      <c r="AD1365" s="68">
        <f>AD650/'Terms and Turnovers'!$O108</f>
        <v>0</v>
      </c>
      <c r="AE1365" s="106"/>
      <c r="AF1365" s="129">
        <f t="shared" si="115"/>
        <v>0</v>
      </c>
      <c r="AG1365" s="106"/>
      <c r="AH1365" s="130">
        <f t="shared" si="116"/>
        <v>0</v>
      </c>
      <c r="AI1365" s="106"/>
      <c r="AJ1365" s="65"/>
    </row>
    <row r="1366" spans="2:36" ht="12.75" customHeight="1" outlineLevel="1">
      <c r="B1366" s="82"/>
      <c r="C1366" s="1231"/>
      <c r="D1366" s="1231"/>
      <c r="E1366" s="84" t="str">
        <f>'Terms and Turnovers'!$T$12</f>
        <v>ORIGINALS</v>
      </c>
      <c r="F1366" s="70">
        <f>F651/'Terms and Turnovers'!$T108</f>
        <v>0</v>
      </c>
      <c r="G1366" s="728"/>
      <c r="H1366" s="70">
        <f>H651/'Terms and Turnovers'!$T108</f>
        <v>0</v>
      </c>
      <c r="I1366" s="728"/>
      <c r="J1366" s="70">
        <f>J651/'Terms and Turnovers'!$T108</f>
        <v>0</v>
      </c>
      <c r="K1366" s="728"/>
      <c r="L1366" s="70">
        <f>L651/'Terms and Turnovers'!$T108</f>
        <v>0</v>
      </c>
      <c r="M1366" s="728"/>
      <c r="N1366" s="70">
        <f>N651/'Terms and Turnovers'!$T108</f>
        <v>0</v>
      </c>
      <c r="O1366" s="728"/>
      <c r="P1366" s="70">
        <f>P651/'Terms and Turnovers'!$T108</f>
        <v>0</v>
      </c>
      <c r="Q1366" s="728"/>
      <c r="R1366" s="132">
        <f t="shared" si="114"/>
        <v>0</v>
      </c>
      <c r="S1366" s="728"/>
      <c r="T1366" s="70">
        <f>T651/'Terms and Turnovers'!$Y108</f>
        <v>0</v>
      </c>
      <c r="U1366" s="728"/>
      <c r="V1366" s="70">
        <f>V651/'Terms and Turnovers'!$Y108</f>
        <v>0</v>
      </c>
      <c r="W1366" s="728"/>
      <c r="X1366" s="70">
        <f>X651/'Terms and Turnovers'!$Y108</f>
        <v>0</v>
      </c>
      <c r="Y1366" s="728"/>
      <c r="Z1366" s="70">
        <f>Z651/'Terms and Turnovers'!$Y108</f>
        <v>0</v>
      </c>
      <c r="AA1366" s="728"/>
      <c r="AB1366" s="70">
        <f>AB651/'Terms and Turnovers'!$Y108</f>
        <v>0</v>
      </c>
      <c r="AC1366" s="728"/>
      <c r="AD1366" s="70">
        <f>AD651/'Terms and Turnovers'!$Y108</f>
        <v>0</v>
      </c>
      <c r="AE1366" s="728"/>
      <c r="AF1366" s="132">
        <f t="shared" si="115"/>
        <v>0</v>
      </c>
      <c r="AG1366" s="728"/>
      <c r="AH1366" s="133">
        <f t="shared" si="116"/>
        <v>0</v>
      </c>
      <c r="AI1366" s="728"/>
      <c r="AJ1366" s="65"/>
    </row>
    <row r="1367" spans="2:36" ht="12.75" customHeight="1" outlineLevel="1">
      <c r="B1367" s="82"/>
      <c r="C1367" s="1231"/>
      <c r="D1367" s="1231"/>
      <c r="E1367" s="84" t="str">
        <f>'Terms and Turnovers'!$AD$12</f>
        <v>ACCESSORIES</v>
      </c>
      <c r="F1367" s="70">
        <f>F652/'Terms and Turnovers'!$AD108</f>
        <v>0</v>
      </c>
      <c r="G1367" s="728"/>
      <c r="H1367" s="70">
        <f>H652/'Terms and Turnovers'!$AD108</f>
        <v>0</v>
      </c>
      <c r="I1367" s="728"/>
      <c r="J1367" s="70">
        <f>J652/'Terms and Turnovers'!$AD108</f>
        <v>0</v>
      </c>
      <c r="K1367" s="728"/>
      <c r="L1367" s="70">
        <f>L652/'Terms and Turnovers'!$AD108</f>
        <v>0</v>
      </c>
      <c r="M1367" s="728"/>
      <c r="N1367" s="70">
        <f>N652/'Terms and Turnovers'!$AD108</f>
        <v>0</v>
      </c>
      <c r="O1367" s="728"/>
      <c r="P1367" s="70">
        <f>P652/'Terms and Turnovers'!$AD108</f>
        <v>0</v>
      </c>
      <c r="Q1367" s="728"/>
      <c r="R1367" s="132">
        <f t="shared" si="114"/>
        <v>0</v>
      </c>
      <c r="S1367" s="728"/>
      <c r="T1367" s="70">
        <f>T652/'Terms and Turnovers'!$AI108</f>
        <v>0</v>
      </c>
      <c r="U1367" s="728"/>
      <c r="V1367" s="70">
        <f>V652/'Terms and Turnovers'!$AI108</f>
        <v>0</v>
      </c>
      <c r="W1367" s="728"/>
      <c r="X1367" s="70">
        <f>X652/'Terms and Turnovers'!$AI108</f>
        <v>0</v>
      </c>
      <c r="Y1367" s="728"/>
      <c r="Z1367" s="70">
        <f>Z652/'Terms and Turnovers'!$AI108</f>
        <v>0</v>
      </c>
      <c r="AA1367" s="728"/>
      <c r="AB1367" s="70">
        <f>AB652/'Terms and Turnovers'!$AI108</f>
        <v>0</v>
      </c>
      <c r="AC1367" s="728"/>
      <c r="AD1367" s="70">
        <f>AD652/'Terms and Turnovers'!$AI108</f>
        <v>0</v>
      </c>
      <c r="AE1367" s="728"/>
      <c r="AF1367" s="132">
        <f t="shared" si="115"/>
        <v>0</v>
      </c>
      <c r="AG1367" s="728"/>
      <c r="AH1367" s="133">
        <f t="shared" si="116"/>
        <v>0</v>
      </c>
      <c r="AI1367" s="728"/>
      <c r="AJ1367" s="65"/>
    </row>
    <row r="1368" spans="2:36" ht="12.75" customHeight="1" outlineLevel="1">
      <c r="B1368" s="82"/>
      <c r="C1368" s="1231"/>
      <c r="D1368" s="1231"/>
      <c r="E1368" s="84">
        <f>'Terms and Turnovers'!$AN$12</f>
        <v>0</v>
      </c>
      <c r="F1368" s="70">
        <f>F653/'Terms and Turnovers'!$AN108</f>
        <v>0</v>
      </c>
      <c r="G1368" s="728"/>
      <c r="H1368" s="70">
        <f>H653/'Terms and Turnovers'!$AN108</f>
        <v>0</v>
      </c>
      <c r="I1368" s="728"/>
      <c r="J1368" s="70">
        <f>J653/'Terms and Turnovers'!$AN108</f>
        <v>0</v>
      </c>
      <c r="K1368" s="728"/>
      <c r="L1368" s="70">
        <f>L653/'Terms and Turnovers'!$AN108</f>
        <v>0</v>
      </c>
      <c r="M1368" s="728"/>
      <c r="N1368" s="70">
        <f>N653/'Terms and Turnovers'!$AN108</f>
        <v>0</v>
      </c>
      <c r="O1368" s="728"/>
      <c r="P1368" s="70">
        <f>P653/'Terms and Turnovers'!$AN108</f>
        <v>0</v>
      </c>
      <c r="Q1368" s="728"/>
      <c r="R1368" s="132">
        <f t="shared" si="114"/>
        <v>0</v>
      </c>
      <c r="S1368" s="728"/>
      <c r="T1368" s="70">
        <f>T653/'Terms and Turnovers'!$AS108</f>
        <v>0</v>
      </c>
      <c r="U1368" s="728"/>
      <c r="V1368" s="70">
        <f>V653/'Terms and Turnovers'!$AS108</f>
        <v>0</v>
      </c>
      <c r="W1368" s="728"/>
      <c r="X1368" s="70">
        <f>X653/'Terms and Turnovers'!$AS108</f>
        <v>0</v>
      </c>
      <c r="Y1368" s="728"/>
      <c r="Z1368" s="70">
        <f>Z653/'Terms and Turnovers'!$AS108</f>
        <v>0</v>
      </c>
      <c r="AA1368" s="728"/>
      <c r="AB1368" s="70">
        <f>AB653/'Terms and Turnovers'!$AS108</f>
        <v>0</v>
      </c>
      <c r="AC1368" s="728"/>
      <c r="AD1368" s="70">
        <f>AD653/'Terms and Turnovers'!$AS108</f>
        <v>0</v>
      </c>
      <c r="AE1368" s="728"/>
      <c r="AF1368" s="132">
        <f t="shared" si="115"/>
        <v>0</v>
      </c>
      <c r="AG1368" s="728"/>
      <c r="AH1368" s="133">
        <f t="shared" si="116"/>
        <v>0</v>
      </c>
      <c r="AI1368" s="728"/>
      <c r="AJ1368" s="65"/>
    </row>
    <row r="1369" spans="2:36" ht="13.5" customHeight="1" outlineLevel="1" thickBot="1">
      <c r="B1369" s="82"/>
      <c r="C1369" s="1232"/>
      <c r="D1369" s="1232"/>
      <c r="E1369" s="85">
        <f>'Terms and Turnovers'!$AX$12</f>
        <v>0</v>
      </c>
      <c r="F1369" s="70">
        <f>F654/'Terms and Turnovers'!$AX108</f>
        <v>0</v>
      </c>
      <c r="G1369" s="111"/>
      <c r="H1369" s="70">
        <f>H654/'Terms and Turnovers'!$AX108</f>
        <v>0</v>
      </c>
      <c r="I1369" s="107"/>
      <c r="J1369" s="70">
        <f>J654/'Terms and Turnovers'!$AX108</f>
        <v>0</v>
      </c>
      <c r="K1369" s="107"/>
      <c r="L1369" s="70">
        <f>L654/'Terms and Turnovers'!$AX108</f>
        <v>0</v>
      </c>
      <c r="M1369" s="107"/>
      <c r="N1369" s="70">
        <f>N654/'Terms and Turnovers'!$AX108</f>
        <v>0</v>
      </c>
      <c r="O1369" s="107"/>
      <c r="P1369" s="70">
        <f>P654/'Terms and Turnovers'!$AX108</f>
        <v>0</v>
      </c>
      <c r="Q1369" s="107"/>
      <c r="R1369" s="135">
        <f t="shared" si="114"/>
        <v>0</v>
      </c>
      <c r="S1369" s="107"/>
      <c r="T1369" s="70">
        <f>T654/'Terms and Turnovers'!$AX$108</f>
        <v>0</v>
      </c>
      <c r="U1369" s="111"/>
      <c r="V1369" s="70">
        <f>V654/'Terms and Turnovers'!$AX$108</f>
        <v>0</v>
      </c>
      <c r="W1369" s="107"/>
      <c r="X1369" s="70">
        <f>X654/'Terms and Turnovers'!$AX$108</f>
        <v>0</v>
      </c>
      <c r="Y1369" s="107"/>
      <c r="Z1369" s="70">
        <f>Z654/'Terms and Turnovers'!$AX$108</f>
        <v>0</v>
      </c>
      <c r="AA1369" s="107"/>
      <c r="AB1369" s="70">
        <f>AB654/'Terms and Turnovers'!$AX$108</f>
        <v>0</v>
      </c>
      <c r="AC1369" s="107"/>
      <c r="AD1369" s="70">
        <f>AD654/'Terms and Turnovers'!$AX$108</f>
        <v>0</v>
      </c>
      <c r="AE1369" s="107"/>
      <c r="AF1369" s="135">
        <f t="shared" si="115"/>
        <v>0</v>
      </c>
      <c r="AG1369" s="107"/>
      <c r="AH1369" s="136">
        <f t="shared" si="116"/>
        <v>0</v>
      </c>
      <c r="AI1369" s="107"/>
      <c r="AJ1369" s="65"/>
    </row>
    <row r="1370" spans="2:36" ht="13.5" customHeight="1" outlineLevel="1">
      <c r="B1370" s="82"/>
      <c r="C1370" s="425"/>
      <c r="D1370" s="425"/>
      <c r="E1370" s="634"/>
      <c r="F1370" s="635"/>
      <c r="G1370" s="428"/>
      <c r="H1370" s="635"/>
      <c r="I1370" s="428"/>
      <c r="J1370" s="635"/>
      <c r="K1370" s="636"/>
      <c r="L1370" s="635"/>
      <c r="M1370" s="636"/>
      <c r="N1370" s="635"/>
      <c r="O1370" s="636"/>
      <c r="P1370" s="635"/>
      <c r="Q1370" s="636"/>
      <c r="R1370" s="637"/>
      <c r="S1370" s="698">
        <f>SUM(R650:R654)/1.18-(SUM(R1365:R1369)*'Mark Up Validation'!$M$175)</f>
        <v>0</v>
      </c>
      <c r="T1370" s="635"/>
      <c r="U1370" s="636"/>
      <c r="V1370" s="635"/>
      <c r="W1370" s="636"/>
      <c r="X1370" s="635"/>
      <c r="Y1370" s="636"/>
      <c r="Z1370" s="635"/>
      <c r="AA1370" s="636"/>
      <c r="AB1370" s="635"/>
      <c r="AC1370" s="636"/>
      <c r="AD1370" s="635"/>
      <c r="AE1370" s="636"/>
      <c r="AF1370" s="637"/>
      <c r="AG1370" s="698">
        <f>SUM(AF650:AF654)/1.18-SUM(AF1365:AF1369)*'Mark Up Validation'!$M$175</f>
        <v>0</v>
      </c>
      <c r="AH1370" s="638"/>
      <c r="AI1370" s="698">
        <f>SUM(AH650:AH654)/1.18-SUM(AH1365:AH1369)*'Mark Up Validation'!$M$175</f>
        <v>0</v>
      </c>
      <c r="AJ1370" s="65"/>
    </row>
    <row r="1371" spans="2:36" ht="13.5" customHeight="1" outlineLevel="1" thickBot="1">
      <c r="B1371" s="82"/>
      <c r="C1371" s="1228" t="s">
        <v>487</v>
      </c>
      <c r="D1371" s="1229"/>
      <c r="E1371" s="699"/>
      <c r="F1371" s="700"/>
      <c r="G1371" s="701"/>
      <c r="H1371" s="700"/>
      <c r="I1371" s="701"/>
      <c r="J1371" s="700"/>
      <c r="K1371" s="702"/>
      <c r="L1371" s="700"/>
      <c r="M1371" s="702"/>
      <c r="N1371" s="700"/>
      <c r="O1371" s="702"/>
      <c r="P1371" s="700"/>
      <c r="Q1371" s="702"/>
      <c r="R1371" s="703"/>
      <c r="S1371" s="729">
        <f>IF(S1370&gt;0,S1370/(SUM(R650:R654)/1.18),0)</f>
        <v>0</v>
      </c>
      <c r="T1371" s="704"/>
      <c r="U1371" s="702"/>
      <c r="V1371" s="700"/>
      <c r="W1371" s="702"/>
      <c r="X1371" s="700"/>
      <c r="Y1371" s="702"/>
      <c r="Z1371" s="700"/>
      <c r="AA1371" s="702"/>
      <c r="AB1371" s="700"/>
      <c r="AC1371" s="702"/>
      <c r="AD1371" s="700"/>
      <c r="AE1371" s="702"/>
      <c r="AF1371" s="705"/>
      <c r="AG1371" s="729">
        <f>IF(AG1370&gt;0,AG1370/(SUM(AF650:AF654)/1.18),0)</f>
        <v>0</v>
      </c>
      <c r="AH1371" s="706"/>
      <c r="AI1371" s="729">
        <f>IF(AI1370&gt;0,AI1370/(SUM(AH650:AH654)/1.18),0)</f>
        <v>0</v>
      </c>
      <c r="AJ1371" s="65"/>
    </row>
    <row r="1372" spans="2:36" ht="12.75" customHeight="1" outlineLevel="1">
      <c r="B1372" s="82">
        <f>B1365+1</f>
        <v>94</v>
      </c>
      <c r="C1372" s="1233">
        <f>C657</f>
        <v>0</v>
      </c>
      <c r="D1372" s="1233">
        <f>D657</f>
        <v>0</v>
      </c>
      <c r="E1372" s="83" t="str">
        <f>'Terms and Turnovers'!$J$12</f>
        <v>FLIP-FLOPS</v>
      </c>
      <c r="F1372" s="68">
        <f>F657/'Terms and Turnovers'!$J109</f>
        <v>0</v>
      </c>
      <c r="G1372" s="106"/>
      <c r="H1372" s="68">
        <f>H657/'Terms and Turnovers'!$J109</f>
        <v>0</v>
      </c>
      <c r="I1372" s="106"/>
      <c r="J1372" s="68">
        <f>J657/'Terms and Turnovers'!$J109</f>
        <v>0</v>
      </c>
      <c r="K1372" s="106"/>
      <c r="L1372" s="68">
        <f>L657/'Terms and Turnovers'!$J109</f>
        <v>0</v>
      </c>
      <c r="M1372" s="106"/>
      <c r="N1372" s="68">
        <f>N657/'Terms and Turnovers'!$J109</f>
        <v>0</v>
      </c>
      <c r="O1372" s="106"/>
      <c r="P1372" s="68">
        <f>P657/'Terms and Turnovers'!$J109</f>
        <v>0</v>
      </c>
      <c r="Q1372" s="106"/>
      <c r="R1372" s="129">
        <f t="shared" si="114"/>
        <v>0</v>
      </c>
      <c r="S1372" s="106"/>
      <c r="T1372" s="68">
        <f>T657/'Terms and Turnovers'!$O109</f>
        <v>0</v>
      </c>
      <c r="U1372" s="106"/>
      <c r="V1372" s="68">
        <f>V657/'Terms and Turnovers'!$O109</f>
        <v>0</v>
      </c>
      <c r="W1372" s="106"/>
      <c r="X1372" s="68">
        <f>X657/'Terms and Turnovers'!$O109</f>
        <v>0</v>
      </c>
      <c r="Y1372" s="106"/>
      <c r="Z1372" s="68">
        <f>Z657/'Terms and Turnovers'!$O109</f>
        <v>0</v>
      </c>
      <c r="AA1372" s="106"/>
      <c r="AB1372" s="68">
        <f>AB657/'Terms and Turnovers'!$O109</f>
        <v>0</v>
      </c>
      <c r="AC1372" s="106"/>
      <c r="AD1372" s="68">
        <f>AD657/'Terms and Turnovers'!$O109</f>
        <v>0</v>
      </c>
      <c r="AE1372" s="106"/>
      <c r="AF1372" s="129">
        <f t="shared" si="115"/>
        <v>0</v>
      </c>
      <c r="AG1372" s="106"/>
      <c r="AH1372" s="130">
        <f t="shared" si="116"/>
        <v>0</v>
      </c>
      <c r="AI1372" s="106"/>
      <c r="AJ1372" s="65"/>
    </row>
    <row r="1373" spans="2:36" ht="12.75" customHeight="1" outlineLevel="1">
      <c r="B1373" s="82"/>
      <c r="C1373" s="1234"/>
      <c r="D1373" s="1234"/>
      <c r="E1373" s="84" t="str">
        <f>'Terms and Turnovers'!$T$12</f>
        <v>ORIGINALS</v>
      </c>
      <c r="F1373" s="70">
        <f>F658/'Terms and Turnovers'!$T109</f>
        <v>0</v>
      </c>
      <c r="G1373" s="728"/>
      <c r="H1373" s="70">
        <f>H658/'Terms and Turnovers'!$T109</f>
        <v>0</v>
      </c>
      <c r="I1373" s="728"/>
      <c r="J1373" s="70">
        <f>J658/'Terms and Turnovers'!$T109</f>
        <v>0</v>
      </c>
      <c r="K1373" s="728"/>
      <c r="L1373" s="70">
        <f>L658/'Terms and Turnovers'!$T109</f>
        <v>0</v>
      </c>
      <c r="M1373" s="728"/>
      <c r="N1373" s="70">
        <f>N658/'Terms and Turnovers'!$T109</f>
        <v>0</v>
      </c>
      <c r="O1373" s="728"/>
      <c r="P1373" s="70">
        <f>P658/'Terms and Turnovers'!$T109</f>
        <v>0</v>
      </c>
      <c r="Q1373" s="728"/>
      <c r="R1373" s="132">
        <f t="shared" si="114"/>
        <v>0</v>
      </c>
      <c r="S1373" s="728"/>
      <c r="T1373" s="70">
        <f>T658/'Terms and Turnovers'!$Y109</f>
        <v>0</v>
      </c>
      <c r="U1373" s="728"/>
      <c r="V1373" s="70">
        <f>V658/'Terms and Turnovers'!$Y109</f>
        <v>0</v>
      </c>
      <c r="W1373" s="728"/>
      <c r="X1373" s="70">
        <f>X658/'Terms and Turnovers'!$Y109</f>
        <v>0</v>
      </c>
      <c r="Y1373" s="728"/>
      <c r="Z1373" s="70">
        <f>Z658/'Terms and Turnovers'!$Y109</f>
        <v>0</v>
      </c>
      <c r="AA1373" s="728"/>
      <c r="AB1373" s="70">
        <f>AB658/'Terms and Turnovers'!$Y109</f>
        <v>0</v>
      </c>
      <c r="AC1373" s="728"/>
      <c r="AD1373" s="70">
        <f>AD658/'Terms and Turnovers'!$Y109</f>
        <v>0</v>
      </c>
      <c r="AE1373" s="728"/>
      <c r="AF1373" s="132">
        <f t="shared" si="115"/>
        <v>0</v>
      </c>
      <c r="AG1373" s="728"/>
      <c r="AH1373" s="133">
        <f t="shared" si="116"/>
        <v>0</v>
      </c>
      <c r="AI1373" s="728"/>
      <c r="AJ1373" s="65"/>
    </row>
    <row r="1374" spans="2:36" ht="12.75" customHeight="1" outlineLevel="1">
      <c r="B1374" s="82"/>
      <c r="C1374" s="1234"/>
      <c r="D1374" s="1234"/>
      <c r="E1374" s="84" t="str">
        <f>'Terms and Turnovers'!$AD$12</f>
        <v>ACCESSORIES</v>
      </c>
      <c r="F1374" s="70">
        <f>F659/'Terms and Turnovers'!$AD109</f>
        <v>0</v>
      </c>
      <c r="G1374" s="728"/>
      <c r="H1374" s="70">
        <f>H659/'Terms and Turnovers'!$AD109</f>
        <v>0</v>
      </c>
      <c r="I1374" s="728"/>
      <c r="J1374" s="70">
        <f>J659/'Terms and Turnovers'!$AD109</f>
        <v>0</v>
      </c>
      <c r="K1374" s="728"/>
      <c r="L1374" s="70">
        <f>L659/'Terms and Turnovers'!$AD109</f>
        <v>0</v>
      </c>
      <c r="M1374" s="728"/>
      <c r="N1374" s="70">
        <f>N659/'Terms and Turnovers'!$AD109</f>
        <v>0</v>
      </c>
      <c r="O1374" s="728"/>
      <c r="P1374" s="70">
        <f>P659/'Terms and Turnovers'!$AD109</f>
        <v>0</v>
      </c>
      <c r="Q1374" s="728"/>
      <c r="R1374" s="132">
        <f t="shared" si="114"/>
        <v>0</v>
      </c>
      <c r="S1374" s="728"/>
      <c r="T1374" s="70">
        <f>T659/'Terms and Turnovers'!$AI109</f>
        <v>0</v>
      </c>
      <c r="U1374" s="728"/>
      <c r="V1374" s="70">
        <f>V659/'Terms and Turnovers'!$AI109</f>
        <v>0</v>
      </c>
      <c r="W1374" s="728"/>
      <c r="X1374" s="70">
        <f>X659/'Terms and Turnovers'!$AI109</f>
        <v>0</v>
      </c>
      <c r="Y1374" s="728"/>
      <c r="Z1374" s="70">
        <f>Z659/'Terms and Turnovers'!$AI109</f>
        <v>0</v>
      </c>
      <c r="AA1374" s="728"/>
      <c r="AB1374" s="70">
        <f>AB659/'Terms and Turnovers'!$AI109</f>
        <v>0</v>
      </c>
      <c r="AC1374" s="728"/>
      <c r="AD1374" s="70">
        <f>AD659/'Terms and Turnovers'!$AI109</f>
        <v>0</v>
      </c>
      <c r="AE1374" s="728"/>
      <c r="AF1374" s="132">
        <f t="shared" si="115"/>
        <v>0</v>
      </c>
      <c r="AG1374" s="728"/>
      <c r="AH1374" s="133">
        <f t="shared" si="116"/>
        <v>0</v>
      </c>
      <c r="AI1374" s="728"/>
      <c r="AJ1374" s="65"/>
    </row>
    <row r="1375" spans="2:36" ht="12.75" customHeight="1" outlineLevel="1">
      <c r="B1375" s="82"/>
      <c r="C1375" s="1234"/>
      <c r="D1375" s="1234"/>
      <c r="E1375" s="84">
        <f>'Terms and Turnovers'!$AN$12</f>
        <v>0</v>
      </c>
      <c r="F1375" s="70">
        <f>F660/'Terms and Turnovers'!$AN109</f>
        <v>0</v>
      </c>
      <c r="G1375" s="728"/>
      <c r="H1375" s="70">
        <f>H660/'Terms and Turnovers'!$AN109</f>
        <v>0</v>
      </c>
      <c r="I1375" s="728"/>
      <c r="J1375" s="70">
        <f>J660/'Terms and Turnovers'!$AN109</f>
        <v>0</v>
      </c>
      <c r="K1375" s="728"/>
      <c r="L1375" s="70">
        <f>L660/'Terms and Turnovers'!$AN109</f>
        <v>0</v>
      </c>
      <c r="M1375" s="728"/>
      <c r="N1375" s="70">
        <f>N660/'Terms and Turnovers'!$AN109</f>
        <v>0</v>
      </c>
      <c r="O1375" s="728"/>
      <c r="P1375" s="70">
        <f>P660/'Terms and Turnovers'!$AN109</f>
        <v>0</v>
      </c>
      <c r="Q1375" s="728"/>
      <c r="R1375" s="132">
        <f t="shared" si="114"/>
        <v>0</v>
      </c>
      <c r="S1375" s="728"/>
      <c r="T1375" s="70">
        <f>T660/'Terms and Turnovers'!$AS109</f>
        <v>0</v>
      </c>
      <c r="U1375" s="728"/>
      <c r="V1375" s="70">
        <f>V660/'Terms and Turnovers'!$AS109</f>
        <v>0</v>
      </c>
      <c r="W1375" s="728"/>
      <c r="X1375" s="70">
        <f>X660/'Terms and Turnovers'!$AS109</f>
        <v>0</v>
      </c>
      <c r="Y1375" s="728"/>
      <c r="Z1375" s="70">
        <f>Z660/'Terms and Turnovers'!$AS109</f>
        <v>0</v>
      </c>
      <c r="AA1375" s="728"/>
      <c r="AB1375" s="70">
        <f>AB660/'Terms and Turnovers'!$AS109</f>
        <v>0</v>
      </c>
      <c r="AC1375" s="728"/>
      <c r="AD1375" s="70">
        <f>AD660/'Terms and Turnovers'!$AS109</f>
        <v>0</v>
      </c>
      <c r="AE1375" s="728"/>
      <c r="AF1375" s="132">
        <f t="shared" si="115"/>
        <v>0</v>
      </c>
      <c r="AG1375" s="728"/>
      <c r="AH1375" s="133">
        <f t="shared" si="116"/>
        <v>0</v>
      </c>
      <c r="AI1375" s="728"/>
      <c r="AJ1375" s="65"/>
    </row>
    <row r="1376" spans="2:36" ht="13.5" customHeight="1" outlineLevel="1" thickBot="1">
      <c r="B1376" s="82"/>
      <c r="C1376" s="1235"/>
      <c r="D1376" s="1235"/>
      <c r="E1376" s="85">
        <f>'Terms and Turnovers'!$AX$12</f>
        <v>0</v>
      </c>
      <c r="F1376" s="70">
        <f>F661/'Terms and Turnovers'!$AX109</f>
        <v>0</v>
      </c>
      <c r="G1376" s="111"/>
      <c r="H1376" s="70">
        <f>H661/'Terms and Turnovers'!$AX109</f>
        <v>0</v>
      </c>
      <c r="I1376" s="107"/>
      <c r="J1376" s="70">
        <f>J661/'Terms and Turnovers'!$AX109</f>
        <v>0</v>
      </c>
      <c r="K1376" s="107"/>
      <c r="L1376" s="70">
        <f>L661/'Terms and Turnovers'!$AX109</f>
        <v>0</v>
      </c>
      <c r="M1376" s="107"/>
      <c r="N1376" s="70">
        <f>N661/'Terms and Turnovers'!$AX109</f>
        <v>0</v>
      </c>
      <c r="O1376" s="107"/>
      <c r="P1376" s="70">
        <f>P661/'Terms and Turnovers'!$AX109</f>
        <v>0</v>
      </c>
      <c r="Q1376" s="107"/>
      <c r="R1376" s="135">
        <f t="shared" si="114"/>
        <v>0</v>
      </c>
      <c r="S1376" s="107"/>
      <c r="T1376" s="70">
        <f>T661/'Terms and Turnovers'!$AX$109</f>
        <v>0</v>
      </c>
      <c r="U1376" s="111"/>
      <c r="V1376" s="70">
        <f>V661/'Terms and Turnovers'!$AX$109</f>
        <v>0</v>
      </c>
      <c r="W1376" s="107"/>
      <c r="X1376" s="70">
        <f>X661/'Terms and Turnovers'!$AX$109</f>
        <v>0</v>
      </c>
      <c r="Y1376" s="107"/>
      <c r="Z1376" s="70">
        <f>Z661/'Terms and Turnovers'!$AX$109</f>
        <v>0</v>
      </c>
      <c r="AA1376" s="107"/>
      <c r="AB1376" s="70">
        <f>AB661/'Terms and Turnovers'!$AX$109</f>
        <v>0</v>
      </c>
      <c r="AC1376" s="107"/>
      <c r="AD1376" s="70">
        <f>AD661/'Terms and Turnovers'!$AX$109</f>
        <v>0</v>
      </c>
      <c r="AE1376" s="107"/>
      <c r="AF1376" s="135">
        <f t="shared" si="115"/>
        <v>0</v>
      </c>
      <c r="AG1376" s="107"/>
      <c r="AH1376" s="136">
        <f t="shared" si="116"/>
        <v>0</v>
      </c>
      <c r="AI1376" s="107"/>
      <c r="AJ1376" s="65"/>
    </row>
    <row r="1377" spans="2:36" ht="13.5" customHeight="1" outlineLevel="1">
      <c r="B1377" s="82"/>
      <c r="C1377" s="425"/>
      <c r="D1377" s="425"/>
      <c r="E1377" s="634"/>
      <c r="F1377" s="635"/>
      <c r="G1377" s="428"/>
      <c r="H1377" s="635"/>
      <c r="I1377" s="428"/>
      <c r="J1377" s="635"/>
      <c r="K1377" s="636"/>
      <c r="L1377" s="635"/>
      <c r="M1377" s="636"/>
      <c r="N1377" s="635"/>
      <c r="O1377" s="636"/>
      <c r="P1377" s="635"/>
      <c r="Q1377" s="636"/>
      <c r="R1377" s="637"/>
      <c r="S1377" s="698">
        <f>SUM(R657:R661)/1.18-(SUM(R1372:R1376)*'Mark Up Validation'!$M$175)</f>
        <v>0</v>
      </c>
      <c r="T1377" s="635"/>
      <c r="U1377" s="636"/>
      <c r="V1377" s="635"/>
      <c r="W1377" s="636"/>
      <c r="X1377" s="635"/>
      <c r="Y1377" s="636"/>
      <c r="Z1377" s="635"/>
      <c r="AA1377" s="636"/>
      <c r="AB1377" s="635"/>
      <c r="AC1377" s="636"/>
      <c r="AD1377" s="635"/>
      <c r="AE1377" s="636"/>
      <c r="AF1377" s="637"/>
      <c r="AG1377" s="698">
        <f>SUM(AF657:AF661)/1.18-SUM(AF1372:AF1376)*'Mark Up Validation'!$M$175</f>
        <v>0</v>
      </c>
      <c r="AH1377" s="638"/>
      <c r="AI1377" s="698">
        <f>SUM(AH657:AH661)/1.18-SUM(AH1372:AH1376)*'Mark Up Validation'!$M$175</f>
        <v>0</v>
      </c>
      <c r="AJ1377" s="65"/>
    </row>
    <row r="1378" spans="2:36" ht="13.5" customHeight="1" outlineLevel="1" thickBot="1">
      <c r="B1378" s="82"/>
      <c r="C1378" s="1228" t="s">
        <v>487</v>
      </c>
      <c r="D1378" s="1229"/>
      <c r="E1378" s="699"/>
      <c r="F1378" s="700"/>
      <c r="G1378" s="701"/>
      <c r="H1378" s="700"/>
      <c r="I1378" s="701"/>
      <c r="J1378" s="700"/>
      <c r="K1378" s="702"/>
      <c r="L1378" s="700"/>
      <c r="M1378" s="702"/>
      <c r="N1378" s="700"/>
      <c r="O1378" s="702"/>
      <c r="P1378" s="700"/>
      <c r="Q1378" s="702"/>
      <c r="R1378" s="703"/>
      <c r="S1378" s="729">
        <f>IF(S1377&gt;0,S1377/(SUM(R657:R661)/1.18),0)</f>
        <v>0</v>
      </c>
      <c r="T1378" s="704"/>
      <c r="U1378" s="702"/>
      <c r="V1378" s="700"/>
      <c r="W1378" s="702"/>
      <c r="X1378" s="700"/>
      <c r="Y1378" s="702"/>
      <c r="Z1378" s="700"/>
      <c r="AA1378" s="702"/>
      <c r="AB1378" s="700"/>
      <c r="AC1378" s="702"/>
      <c r="AD1378" s="700"/>
      <c r="AE1378" s="702"/>
      <c r="AF1378" s="705"/>
      <c r="AG1378" s="729">
        <f>IF(AG1377&gt;0,AG1377/(SUM(AF657:AF661)/1.18),0)</f>
        <v>0</v>
      </c>
      <c r="AH1378" s="706"/>
      <c r="AI1378" s="729">
        <f>IF(AI1377&gt;0,AI1377/(SUM(AH657:AH661)/1.18),0)</f>
        <v>0</v>
      </c>
      <c r="AJ1378" s="65"/>
    </row>
    <row r="1379" spans="2:36" ht="12.75" customHeight="1" outlineLevel="1">
      <c r="B1379" s="82">
        <f>B1372+1</f>
        <v>95</v>
      </c>
      <c r="C1379" s="1230">
        <f>C664</f>
        <v>0</v>
      </c>
      <c r="D1379" s="1230">
        <f>D664</f>
        <v>0</v>
      </c>
      <c r="E1379" s="83" t="str">
        <f>'Terms and Turnovers'!$J$12</f>
        <v>FLIP-FLOPS</v>
      </c>
      <c r="F1379" s="68">
        <f>F664/'Terms and Turnovers'!$J110</f>
        <v>0</v>
      </c>
      <c r="G1379" s="106"/>
      <c r="H1379" s="68">
        <f>H664/'Terms and Turnovers'!$J110</f>
        <v>0</v>
      </c>
      <c r="I1379" s="106"/>
      <c r="J1379" s="68">
        <f>J664/'Terms and Turnovers'!$J110</f>
        <v>0</v>
      </c>
      <c r="K1379" s="106"/>
      <c r="L1379" s="68">
        <f>L664/'Terms and Turnovers'!$J110</f>
        <v>0</v>
      </c>
      <c r="M1379" s="106"/>
      <c r="N1379" s="68">
        <f>N664/'Terms and Turnovers'!$J110</f>
        <v>0</v>
      </c>
      <c r="O1379" s="106"/>
      <c r="P1379" s="68">
        <f>P664/'Terms and Turnovers'!$J110</f>
        <v>0</v>
      </c>
      <c r="Q1379" s="106"/>
      <c r="R1379" s="129">
        <f t="shared" si="114"/>
        <v>0</v>
      </c>
      <c r="S1379" s="106"/>
      <c r="T1379" s="68">
        <f>T664/'Terms and Turnovers'!$O110</f>
        <v>0</v>
      </c>
      <c r="U1379" s="106"/>
      <c r="V1379" s="68">
        <f>V664/'Terms and Turnovers'!$O110</f>
        <v>0</v>
      </c>
      <c r="W1379" s="106"/>
      <c r="X1379" s="68">
        <f>X664/'Terms and Turnovers'!$O110</f>
        <v>0</v>
      </c>
      <c r="Y1379" s="106"/>
      <c r="Z1379" s="68">
        <f>Z664/'Terms and Turnovers'!$O110</f>
        <v>0</v>
      </c>
      <c r="AA1379" s="106"/>
      <c r="AB1379" s="68">
        <f>AB664/'Terms and Turnovers'!$O110</f>
        <v>0</v>
      </c>
      <c r="AC1379" s="106"/>
      <c r="AD1379" s="68">
        <f>AD664/'Terms and Turnovers'!$O110</f>
        <v>0</v>
      </c>
      <c r="AE1379" s="106"/>
      <c r="AF1379" s="129">
        <f t="shared" si="115"/>
        <v>0</v>
      </c>
      <c r="AG1379" s="106"/>
      <c r="AH1379" s="130">
        <f t="shared" si="116"/>
        <v>0</v>
      </c>
      <c r="AI1379" s="106"/>
      <c r="AJ1379" s="65"/>
    </row>
    <row r="1380" spans="2:36" ht="12.75" customHeight="1" outlineLevel="1">
      <c r="B1380" s="82"/>
      <c r="C1380" s="1231"/>
      <c r="D1380" s="1231"/>
      <c r="E1380" s="84" t="str">
        <f>'Terms and Turnovers'!$T$12</f>
        <v>ORIGINALS</v>
      </c>
      <c r="F1380" s="70">
        <f>F665/'Terms and Turnovers'!$T110</f>
        <v>0</v>
      </c>
      <c r="G1380" s="728"/>
      <c r="H1380" s="70">
        <f>H665/'Terms and Turnovers'!$T110</f>
        <v>0</v>
      </c>
      <c r="I1380" s="728"/>
      <c r="J1380" s="70">
        <f>J665/'Terms and Turnovers'!$T110</f>
        <v>0</v>
      </c>
      <c r="K1380" s="728"/>
      <c r="L1380" s="70">
        <f>L665/'Terms and Turnovers'!$T110</f>
        <v>0</v>
      </c>
      <c r="M1380" s="728"/>
      <c r="N1380" s="70">
        <f>N665/'Terms and Turnovers'!$T110</f>
        <v>0</v>
      </c>
      <c r="O1380" s="728"/>
      <c r="P1380" s="70">
        <f>P665/'Terms and Turnovers'!$T110</f>
        <v>0</v>
      </c>
      <c r="Q1380" s="728"/>
      <c r="R1380" s="132">
        <f t="shared" si="114"/>
        <v>0</v>
      </c>
      <c r="S1380" s="728"/>
      <c r="T1380" s="70">
        <f>T665/'Terms and Turnovers'!$Y110</f>
        <v>0</v>
      </c>
      <c r="U1380" s="728"/>
      <c r="V1380" s="70">
        <f>V665/'Terms and Turnovers'!$Y110</f>
        <v>0</v>
      </c>
      <c r="W1380" s="728"/>
      <c r="X1380" s="70">
        <f>X665/'Terms and Turnovers'!$Y110</f>
        <v>0</v>
      </c>
      <c r="Y1380" s="728"/>
      <c r="Z1380" s="70">
        <f>Z665/'Terms and Turnovers'!$Y110</f>
        <v>0</v>
      </c>
      <c r="AA1380" s="728"/>
      <c r="AB1380" s="70">
        <f>AB665/'Terms and Turnovers'!$Y110</f>
        <v>0</v>
      </c>
      <c r="AC1380" s="728"/>
      <c r="AD1380" s="70">
        <f>AD665/'Terms and Turnovers'!$Y110</f>
        <v>0</v>
      </c>
      <c r="AE1380" s="728"/>
      <c r="AF1380" s="132">
        <f t="shared" si="115"/>
        <v>0</v>
      </c>
      <c r="AG1380" s="728"/>
      <c r="AH1380" s="133">
        <f t="shared" si="116"/>
        <v>0</v>
      </c>
      <c r="AI1380" s="728"/>
      <c r="AJ1380" s="65"/>
    </row>
    <row r="1381" spans="2:36" ht="12.75" customHeight="1" outlineLevel="1">
      <c r="B1381" s="82"/>
      <c r="C1381" s="1231"/>
      <c r="D1381" s="1231"/>
      <c r="E1381" s="84" t="str">
        <f>'Terms and Turnovers'!$AD$12</f>
        <v>ACCESSORIES</v>
      </c>
      <c r="F1381" s="70">
        <f>F666/'Terms and Turnovers'!$AD110</f>
        <v>0</v>
      </c>
      <c r="G1381" s="728"/>
      <c r="H1381" s="70">
        <f>H666/'Terms and Turnovers'!$AD110</f>
        <v>0</v>
      </c>
      <c r="I1381" s="728"/>
      <c r="J1381" s="70">
        <f>J666/'Terms and Turnovers'!$AD110</f>
        <v>0</v>
      </c>
      <c r="K1381" s="728"/>
      <c r="L1381" s="70">
        <f>L666/'Terms and Turnovers'!$AD110</f>
        <v>0</v>
      </c>
      <c r="M1381" s="728"/>
      <c r="N1381" s="70">
        <f>N666/'Terms and Turnovers'!$AD110</f>
        <v>0</v>
      </c>
      <c r="O1381" s="728"/>
      <c r="P1381" s="70">
        <f>P666/'Terms and Turnovers'!$AD110</f>
        <v>0</v>
      </c>
      <c r="Q1381" s="728"/>
      <c r="R1381" s="132">
        <f t="shared" si="114"/>
        <v>0</v>
      </c>
      <c r="S1381" s="728"/>
      <c r="T1381" s="70">
        <f>T666/'Terms and Turnovers'!$AI110</f>
        <v>0</v>
      </c>
      <c r="U1381" s="728"/>
      <c r="V1381" s="70">
        <f>V666/'Terms and Turnovers'!$AI110</f>
        <v>0</v>
      </c>
      <c r="W1381" s="728"/>
      <c r="X1381" s="70">
        <f>X666/'Terms and Turnovers'!$AI110</f>
        <v>0</v>
      </c>
      <c r="Y1381" s="728"/>
      <c r="Z1381" s="70">
        <f>Z666/'Terms and Turnovers'!$AI110</f>
        <v>0</v>
      </c>
      <c r="AA1381" s="728"/>
      <c r="AB1381" s="70">
        <f>AB666/'Terms and Turnovers'!$AI110</f>
        <v>0</v>
      </c>
      <c r="AC1381" s="728"/>
      <c r="AD1381" s="70">
        <f>AD666/'Terms and Turnovers'!$AI110</f>
        <v>0</v>
      </c>
      <c r="AE1381" s="728"/>
      <c r="AF1381" s="132">
        <f t="shared" si="115"/>
        <v>0</v>
      </c>
      <c r="AG1381" s="728"/>
      <c r="AH1381" s="133">
        <f t="shared" si="116"/>
        <v>0</v>
      </c>
      <c r="AI1381" s="728"/>
      <c r="AJ1381" s="65"/>
    </row>
    <row r="1382" spans="2:36" ht="12.75" customHeight="1" outlineLevel="1">
      <c r="B1382" s="82"/>
      <c r="C1382" s="1231"/>
      <c r="D1382" s="1231"/>
      <c r="E1382" s="84">
        <f>'Terms and Turnovers'!$AN$12</f>
        <v>0</v>
      </c>
      <c r="F1382" s="70">
        <f>F667/'Terms and Turnovers'!$AN110</f>
        <v>0</v>
      </c>
      <c r="G1382" s="728"/>
      <c r="H1382" s="70">
        <f>H667/'Terms and Turnovers'!$AN110</f>
        <v>0</v>
      </c>
      <c r="I1382" s="728"/>
      <c r="J1382" s="70">
        <f>J667/'Terms and Turnovers'!$AN110</f>
        <v>0</v>
      </c>
      <c r="K1382" s="728"/>
      <c r="L1382" s="70">
        <f>L667/'Terms and Turnovers'!$AN110</f>
        <v>0</v>
      </c>
      <c r="M1382" s="728"/>
      <c r="N1382" s="70">
        <f>N667/'Terms and Turnovers'!$AN110</f>
        <v>0</v>
      </c>
      <c r="O1382" s="728"/>
      <c r="P1382" s="70">
        <f>P667/'Terms and Turnovers'!$AN110</f>
        <v>0</v>
      </c>
      <c r="Q1382" s="728"/>
      <c r="R1382" s="132">
        <f t="shared" si="114"/>
        <v>0</v>
      </c>
      <c r="S1382" s="728"/>
      <c r="T1382" s="70">
        <f>T667/'Terms and Turnovers'!$AS110</f>
        <v>0</v>
      </c>
      <c r="U1382" s="728"/>
      <c r="V1382" s="70">
        <f>V667/'Terms and Turnovers'!$AS110</f>
        <v>0</v>
      </c>
      <c r="W1382" s="728"/>
      <c r="X1382" s="70">
        <f>X667/'Terms and Turnovers'!$AS110</f>
        <v>0</v>
      </c>
      <c r="Y1382" s="728"/>
      <c r="Z1382" s="70">
        <f>Z667/'Terms and Turnovers'!$AS110</f>
        <v>0</v>
      </c>
      <c r="AA1382" s="728"/>
      <c r="AB1382" s="70">
        <f>AB667/'Terms and Turnovers'!$AS110</f>
        <v>0</v>
      </c>
      <c r="AC1382" s="728"/>
      <c r="AD1382" s="70">
        <f>AD667/'Terms and Turnovers'!$AS110</f>
        <v>0</v>
      </c>
      <c r="AE1382" s="728"/>
      <c r="AF1382" s="132">
        <f t="shared" si="115"/>
        <v>0</v>
      </c>
      <c r="AG1382" s="728"/>
      <c r="AH1382" s="133">
        <f t="shared" si="116"/>
        <v>0</v>
      </c>
      <c r="AI1382" s="728"/>
      <c r="AJ1382" s="65"/>
    </row>
    <row r="1383" spans="2:36" ht="13.5" customHeight="1" outlineLevel="1" thickBot="1">
      <c r="B1383" s="82"/>
      <c r="C1383" s="1232"/>
      <c r="D1383" s="1232"/>
      <c r="E1383" s="85">
        <f>'Terms and Turnovers'!$AX$12</f>
        <v>0</v>
      </c>
      <c r="F1383" s="70">
        <f>F668/'Terms and Turnovers'!$AX110</f>
        <v>0</v>
      </c>
      <c r="G1383" s="111"/>
      <c r="H1383" s="70">
        <f>H668/'Terms and Turnovers'!$AX110</f>
        <v>0</v>
      </c>
      <c r="I1383" s="107"/>
      <c r="J1383" s="70">
        <f>J668/'Terms and Turnovers'!$AX110</f>
        <v>0</v>
      </c>
      <c r="K1383" s="107"/>
      <c r="L1383" s="70">
        <f>L668/'Terms and Turnovers'!$AX110</f>
        <v>0</v>
      </c>
      <c r="M1383" s="107"/>
      <c r="N1383" s="70">
        <f>N668/'Terms and Turnovers'!$AX110</f>
        <v>0</v>
      </c>
      <c r="O1383" s="107"/>
      <c r="P1383" s="70">
        <f>P668/'Terms and Turnovers'!$AX110</f>
        <v>0</v>
      </c>
      <c r="Q1383" s="107"/>
      <c r="R1383" s="135">
        <f t="shared" si="114"/>
        <v>0</v>
      </c>
      <c r="S1383" s="107"/>
      <c r="T1383" s="70">
        <f>T668/'Terms and Turnovers'!$AX$110</f>
        <v>0</v>
      </c>
      <c r="U1383" s="111"/>
      <c r="V1383" s="70">
        <f>V668/'Terms and Turnovers'!$AX$110</f>
        <v>0</v>
      </c>
      <c r="W1383" s="107"/>
      <c r="X1383" s="70">
        <f>X668/'Terms and Turnovers'!$AX$110</f>
        <v>0</v>
      </c>
      <c r="Y1383" s="107"/>
      <c r="Z1383" s="70">
        <f>Z668/'Terms and Turnovers'!$AX$110</f>
        <v>0</v>
      </c>
      <c r="AA1383" s="107"/>
      <c r="AB1383" s="70">
        <f>AB668/'Terms and Turnovers'!$AX$110</f>
        <v>0</v>
      </c>
      <c r="AC1383" s="107"/>
      <c r="AD1383" s="70">
        <f>AD668/'Terms and Turnovers'!$AX$110</f>
        <v>0</v>
      </c>
      <c r="AE1383" s="107"/>
      <c r="AF1383" s="135">
        <f t="shared" si="115"/>
        <v>0</v>
      </c>
      <c r="AG1383" s="107"/>
      <c r="AH1383" s="136">
        <f t="shared" si="116"/>
        <v>0</v>
      </c>
      <c r="AI1383" s="107"/>
      <c r="AJ1383" s="65"/>
    </row>
    <row r="1384" spans="2:36" ht="13.5" customHeight="1" outlineLevel="1">
      <c r="B1384" s="82"/>
      <c r="C1384" s="425"/>
      <c r="D1384" s="425"/>
      <c r="E1384" s="634"/>
      <c r="F1384" s="635"/>
      <c r="G1384" s="428"/>
      <c r="H1384" s="635"/>
      <c r="I1384" s="428"/>
      <c r="J1384" s="635"/>
      <c r="K1384" s="636"/>
      <c r="L1384" s="635"/>
      <c r="M1384" s="636"/>
      <c r="N1384" s="635"/>
      <c r="O1384" s="636"/>
      <c r="P1384" s="635"/>
      <c r="Q1384" s="636"/>
      <c r="R1384" s="637"/>
      <c r="S1384" s="698">
        <f>SUM(R664:R668)/1.18-(SUM(R1379:R1383)*'Mark Up Validation'!$M$175)</f>
        <v>0</v>
      </c>
      <c r="T1384" s="635"/>
      <c r="U1384" s="636"/>
      <c r="V1384" s="635"/>
      <c r="W1384" s="636"/>
      <c r="X1384" s="635"/>
      <c r="Y1384" s="636"/>
      <c r="Z1384" s="635"/>
      <c r="AA1384" s="636"/>
      <c r="AB1384" s="635"/>
      <c r="AC1384" s="636"/>
      <c r="AD1384" s="635"/>
      <c r="AE1384" s="636"/>
      <c r="AF1384" s="637"/>
      <c r="AG1384" s="698">
        <f>SUM(AF664:AF668)/1.18-SUM(AF1379:AF1383)*'Mark Up Validation'!$M$175</f>
        <v>0</v>
      </c>
      <c r="AH1384" s="638"/>
      <c r="AI1384" s="698">
        <f>SUM(AH664:AH668)/1.18-SUM(AH1379:AH1383)*'Mark Up Validation'!$M$175</f>
        <v>0</v>
      </c>
      <c r="AJ1384" s="65"/>
    </row>
    <row r="1385" spans="2:36" ht="13.5" customHeight="1" outlineLevel="1" thickBot="1">
      <c r="B1385" s="82"/>
      <c r="C1385" s="1228" t="s">
        <v>487</v>
      </c>
      <c r="D1385" s="1229"/>
      <c r="E1385" s="699"/>
      <c r="F1385" s="700"/>
      <c r="G1385" s="701"/>
      <c r="H1385" s="700"/>
      <c r="I1385" s="701"/>
      <c r="J1385" s="700"/>
      <c r="K1385" s="702"/>
      <c r="L1385" s="700"/>
      <c r="M1385" s="702"/>
      <c r="N1385" s="700"/>
      <c r="O1385" s="702"/>
      <c r="P1385" s="700"/>
      <c r="Q1385" s="702"/>
      <c r="R1385" s="703"/>
      <c r="S1385" s="729">
        <f>IF(S1384&gt;0,S1384/(SUM(R664:R668)/1.18),0)</f>
        <v>0</v>
      </c>
      <c r="T1385" s="704"/>
      <c r="U1385" s="702"/>
      <c r="V1385" s="700"/>
      <c r="W1385" s="702"/>
      <c r="X1385" s="700"/>
      <c r="Y1385" s="702"/>
      <c r="Z1385" s="700"/>
      <c r="AA1385" s="702"/>
      <c r="AB1385" s="700"/>
      <c r="AC1385" s="702"/>
      <c r="AD1385" s="700"/>
      <c r="AE1385" s="702"/>
      <c r="AF1385" s="705"/>
      <c r="AG1385" s="729">
        <f>IF(AG1384&gt;0,AG1384/(SUM(AF664:AF668)/1.18),0)</f>
        <v>0</v>
      </c>
      <c r="AH1385" s="706"/>
      <c r="AI1385" s="729">
        <f>IF(AI1384&gt;0,AI1384/(SUM(AH664:AH668)/1.18),0)</f>
        <v>0</v>
      </c>
      <c r="AJ1385" s="65"/>
    </row>
    <row r="1386" spans="2:36" ht="12.75" customHeight="1" outlineLevel="1">
      <c r="B1386" s="82">
        <f>B1379+1</f>
        <v>96</v>
      </c>
      <c r="C1386" s="1233">
        <f>C671</f>
        <v>0</v>
      </c>
      <c r="D1386" s="1233">
        <f>D671</f>
        <v>0</v>
      </c>
      <c r="E1386" s="83" t="str">
        <f>'Terms and Turnovers'!$J$12</f>
        <v>FLIP-FLOPS</v>
      </c>
      <c r="F1386" s="68">
        <f>F671/'Terms and Turnovers'!$J111</f>
        <v>0</v>
      </c>
      <c r="G1386" s="106"/>
      <c r="H1386" s="68">
        <f>H671/'Terms and Turnovers'!$J111</f>
        <v>0</v>
      </c>
      <c r="I1386" s="106"/>
      <c r="J1386" s="68">
        <f>J671/'Terms and Turnovers'!$J111</f>
        <v>0</v>
      </c>
      <c r="K1386" s="106"/>
      <c r="L1386" s="68">
        <f>L671/'Terms and Turnovers'!$J111</f>
        <v>0</v>
      </c>
      <c r="M1386" s="106"/>
      <c r="N1386" s="68">
        <f>N671/'Terms and Turnovers'!$J111</f>
        <v>0</v>
      </c>
      <c r="O1386" s="106"/>
      <c r="P1386" s="68">
        <f>P671/'Terms and Turnovers'!$J111</f>
        <v>0</v>
      </c>
      <c r="Q1386" s="106"/>
      <c r="R1386" s="129">
        <f t="shared" si="114"/>
        <v>0</v>
      </c>
      <c r="S1386" s="106"/>
      <c r="T1386" s="68">
        <f>T671/'Terms and Turnovers'!$O111</f>
        <v>0</v>
      </c>
      <c r="U1386" s="106"/>
      <c r="V1386" s="68">
        <f>V671/'Terms and Turnovers'!$O111</f>
        <v>0</v>
      </c>
      <c r="W1386" s="106"/>
      <c r="X1386" s="68">
        <f>X671/'Terms and Turnovers'!$O111</f>
        <v>0</v>
      </c>
      <c r="Y1386" s="106"/>
      <c r="Z1386" s="68">
        <f>Z671/'Terms and Turnovers'!$O111</f>
        <v>0</v>
      </c>
      <c r="AA1386" s="106"/>
      <c r="AB1386" s="68">
        <f>AB671/'Terms and Turnovers'!$O111</f>
        <v>0</v>
      </c>
      <c r="AC1386" s="106"/>
      <c r="AD1386" s="68">
        <f>AD671/'Terms and Turnovers'!$O111</f>
        <v>0</v>
      </c>
      <c r="AE1386" s="106"/>
      <c r="AF1386" s="129">
        <f t="shared" si="115"/>
        <v>0</v>
      </c>
      <c r="AG1386" s="106"/>
      <c r="AH1386" s="130">
        <f t="shared" si="116"/>
        <v>0</v>
      </c>
      <c r="AI1386" s="106"/>
      <c r="AJ1386" s="65"/>
    </row>
    <row r="1387" spans="2:36" ht="12.75" customHeight="1" outlineLevel="1">
      <c r="B1387" s="82"/>
      <c r="C1387" s="1234"/>
      <c r="D1387" s="1234"/>
      <c r="E1387" s="84" t="str">
        <f>'Terms and Turnovers'!$T$12</f>
        <v>ORIGINALS</v>
      </c>
      <c r="F1387" s="70">
        <f>F672/'Terms and Turnovers'!$T111</f>
        <v>0</v>
      </c>
      <c r="G1387" s="728"/>
      <c r="H1387" s="70">
        <f>H672/'Terms and Turnovers'!$T111</f>
        <v>0</v>
      </c>
      <c r="I1387" s="728"/>
      <c r="J1387" s="70">
        <f>J672/'Terms and Turnovers'!$T111</f>
        <v>0</v>
      </c>
      <c r="K1387" s="728"/>
      <c r="L1387" s="70">
        <f>L672/'Terms and Turnovers'!$T111</f>
        <v>0</v>
      </c>
      <c r="M1387" s="728"/>
      <c r="N1387" s="70">
        <f>N672/'Terms and Turnovers'!$T111</f>
        <v>0</v>
      </c>
      <c r="O1387" s="728"/>
      <c r="P1387" s="70">
        <f>P672/'Terms and Turnovers'!$T111</f>
        <v>0</v>
      </c>
      <c r="Q1387" s="728"/>
      <c r="R1387" s="132">
        <f t="shared" si="114"/>
        <v>0</v>
      </c>
      <c r="S1387" s="728"/>
      <c r="T1387" s="70">
        <f>T672/'Terms and Turnovers'!$Y111</f>
        <v>0</v>
      </c>
      <c r="U1387" s="728"/>
      <c r="V1387" s="70">
        <f>V672/'Terms and Turnovers'!$Y111</f>
        <v>0</v>
      </c>
      <c r="W1387" s="728"/>
      <c r="X1387" s="70">
        <f>X672/'Terms and Turnovers'!$Y111</f>
        <v>0</v>
      </c>
      <c r="Y1387" s="728"/>
      <c r="Z1387" s="70">
        <f>Z672/'Terms and Turnovers'!$Y111</f>
        <v>0</v>
      </c>
      <c r="AA1387" s="728"/>
      <c r="AB1387" s="70">
        <f>AB672/'Terms and Turnovers'!$Y111</f>
        <v>0</v>
      </c>
      <c r="AC1387" s="728"/>
      <c r="AD1387" s="70">
        <f>AD672/'Terms and Turnovers'!$Y111</f>
        <v>0</v>
      </c>
      <c r="AE1387" s="728"/>
      <c r="AF1387" s="132">
        <f t="shared" si="115"/>
        <v>0</v>
      </c>
      <c r="AG1387" s="728"/>
      <c r="AH1387" s="133">
        <f t="shared" si="116"/>
        <v>0</v>
      </c>
      <c r="AI1387" s="728"/>
      <c r="AJ1387" s="65"/>
    </row>
    <row r="1388" spans="2:36" ht="12.75" customHeight="1" outlineLevel="1">
      <c r="B1388" s="82"/>
      <c r="C1388" s="1234"/>
      <c r="D1388" s="1234"/>
      <c r="E1388" s="84" t="str">
        <f>'Terms and Turnovers'!$AD$12</f>
        <v>ACCESSORIES</v>
      </c>
      <c r="F1388" s="70">
        <f>F673/'Terms and Turnovers'!$AD111</f>
        <v>0</v>
      </c>
      <c r="G1388" s="728"/>
      <c r="H1388" s="70">
        <f>H673/'Terms and Turnovers'!$AD111</f>
        <v>0</v>
      </c>
      <c r="I1388" s="728"/>
      <c r="J1388" s="70">
        <f>J673/'Terms and Turnovers'!$AD111</f>
        <v>0</v>
      </c>
      <c r="K1388" s="728"/>
      <c r="L1388" s="70">
        <f>L673/'Terms and Turnovers'!$AD111</f>
        <v>0</v>
      </c>
      <c r="M1388" s="728"/>
      <c r="N1388" s="70">
        <f>N673/'Terms and Turnovers'!$AD111</f>
        <v>0</v>
      </c>
      <c r="O1388" s="728"/>
      <c r="P1388" s="70">
        <f>P673/'Terms and Turnovers'!$AD111</f>
        <v>0</v>
      </c>
      <c r="Q1388" s="728"/>
      <c r="R1388" s="132">
        <f t="shared" si="114"/>
        <v>0</v>
      </c>
      <c r="S1388" s="728"/>
      <c r="T1388" s="70">
        <f>T673/'Terms and Turnovers'!$AI111</f>
        <v>0</v>
      </c>
      <c r="U1388" s="728"/>
      <c r="V1388" s="70">
        <f>V673/'Terms and Turnovers'!$AI111</f>
        <v>0</v>
      </c>
      <c r="W1388" s="728"/>
      <c r="X1388" s="70">
        <f>X673/'Terms and Turnovers'!$AI111</f>
        <v>0</v>
      </c>
      <c r="Y1388" s="728"/>
      <c r="Z1388" s="70">
        <f>Z673/'Terms and Turnovers'!$AI111</f>
        <v>0</v>
      </c>
      <c r="AA1388" s="728"/>
      <c r="AB1388" s="70">
        <f>AB673/'Terms and Turnovers'!$AI111</f>
        <v>0</v>
      </c>
      <c r="AC1388" s="728"/>
      <c r="AD1388" s="70">
        <f>AD673/'Terms and Turnovers'!$AI111</f>
        <v>0</v>
      </c>
      <c r="AE1388" s="728"/>
      <c r="AF1388" s="132">
        <f t="shared" si="115"/>
        <v>0</v>
      </c>
      <c r="AG1388" s="728"/>
      <c r="AH1388" s="133">
        <f t="shared" si="116"/>
        <v>0</v>
      </c>
      <c r="AI1388" s="728"/>
      <c r="AJ1388" s="65"/>
    </row>
    <row r="1389" spans="2:36" ht="12.75" customHeight="1" outlineLevel="1">
      <c r="B1389" s="82"/>
      <c r="C1389" s="1234"/>
      <c r="D1389" s="1234"/>
      <c r="E1389" s="84">
        <f>'Terms and Turnovers'!$AN$12</f>
        <v>0</v>
      </c>
      <c r="F1389" s="70">
        <f>F674/'Terms and Turnovers'!$AN111</f>
        <v>0</v>
      </c>
      <c r="G1389" s="728"/>
      <c r="H1389" s="70">
        <f>H674/'Terms and Turnovers'!$AN111</f>
        <v>0</v>
      </c>
      <c r="I1389" s="728"/>
      <c r="J1389" s="70">
        <f>J674/'Terms and Turnovers'!$AN111</f>
        <v>0</v>
      </c>
      <c r="K1389" s="728"/>
      <c r="L1389" s="70">
        <f>L674/'Terms and Turnovers'!$AN111</f>
        <v>0</v>
      </c>
      <c r="M1389" s="728"/>
      <c r="N1389" s="70">
        <f>N674/'Terms and Turnovers'!$AN111</f>
        <v>0</v>
      </c>
      <c r="O1389" s="728"/>
      <c r="P1389" s="70">
        <f>P674/'Terms and Turnovers'!$AN111</f>
        <v>0</v>
      </c>
      <c r="Q1389" s="728"/>
      <c r="R1389" s="132">
        <f t="shared" si="114"/>
        <v>0</v>
      </c>
      <c r="S1389" s="728"/>
      <c r="T1389" s="70">
        <f>T674/'Terms and Turnovers'!$AS111</f>
        <v>0</v>
      </c>
      <c r="U1389" s="728"/>
      <c r="V1389" s="70">
        <f>V674/'Terms and Turnovers'!$AS111</f>
        <v>0</v>
      </c>
      <c r="W1389" s="728"/>
      <c r="X1389" s="70">
        <f>X674/'Terms and Turnovers'!$AS111</f>
        <v>0</v>
      </c>
      <c r="Y1389" s="728"/>
      <c r="Z1389" s="70">
        <f>Z674/'Terms and Turnovers'!$AS111</f>
        <v>0</v>
      </c>
      <c r="AA1389" s="728"/>
      <c r="AB1389" s="70">
        <f>AB674/'Terms and Turnovers'!$AS111</f>
        <v>0</v>
      </c>
      <c r="AC1389" s="728"/>
      <c r="AD1389" s="70">
        <f>AD674/'Terms and Turnovers'!$AS111</f>
        <v>0</v>
      </c>
      <c r="AE1389" s="728"/>
      <c r="AF1389" s="132">
        <f t="shared" si="115"/>
        <v>0</v>
      </c>
      <c r="AG1389" s="728"/>
      <c r="AH1389" s="133">
        <f t="shared" si="116"/>
        <v>0</v>
      </c>
      <c r="AI1389" s="728"/>
      <c r="AJ1389" s="65"/>
    </row>
    <row r="1390" spans="2:36" ht="13.5" customHeight="1" outlineLevel="1" thickBot="1">
      <c r="B1390" s="82"/>
      <c r="C1390" s="1235"/>
      <c r="D1390" s="1235"/>
      <c r="E1390" s="85">
        <f>'Terms and Turnovers'!$AX$12</f>
        <v>0</v>
      </c>
      <c r="F1390" s="70">
        <f>F675/'Terms and Turnovers'!$AX111</f>
        <v>0</v>
      </c>
      <c r="G1390" s="111"/>
      <c r="H1390" s="70">
        <f>H675/'Terms and Turnovers'!$AX111</f>
        <v>0</v>
      </c>
      <c r="I1390" s="107"/>
      <c r="J1390" s="70">
        <f>J675/'Terms and Turnovers'!$AX111</f>
        <v>0</v>
      </c>
      <c r="K1390" s="107"/>
      <c r="L1390" s="70">
        <f>L675/'Terms and Turnovers'!$AX111</f>
        <v>0</v>
      </c>
      <c r="M1390" s="107"/>
      <c r="N1390" s="70">
        <f>N675/'Terms and Turnovers'!$AX111</f>
        <v>0</v>
      </c>
      <c r="O1390" s="107"/>
      <c r="P1390" s="70">
        <f>P675/'Terms and Turnovers'!$AX111</f>
        <v>0</v>
      </c>
      <c r="Q1390" s="107"/>
      <c r="R1390" s="135">
        <f t="shared" si="114"/>
        <v>0</v>
      </c>
      <c r="S1390" s="107"/>
      <c r="T1390" s="70">
        <f>T675/'Terms and Turnovers'!$AX$111</f>
        <v>0</v>
      </c>
      <c r="U1390" s="111"/>
      <c r="V1390" s="70">
        <f>V675/'Terms and Turnovers'!$AX$111</f>
        <v>0</v>
      </c>
      <c r="W1390" s="107"/>
      <c r="X1390" s="70">
        <f>X675/'Terms and Turnovers'!$AX$111</f>
        <v>0</v>
      </c>
      <c r="Y1390" s="107"/>
      <c r="Z1390" s="70">
        <f>Z675/'Terms and Turnovers'!$AX$111</f>
        <v>0</v>
      </c>
      <c r="AA1390" s="107"/>
      <c r="AB1390" s="70">
        <f>AB675/'Terms and Turnovers'!$AX$111</f>
        <v>0</v>
      </c>
      <c r="AC1390" s="107"/>
      <c r="AD1390" s="70">
        <f>AD675/'Terms and Turnovers'!$AX$111</f>
        <v>0</v>
      </c>
      <c r="AE1390" s="107"/>
      <c r="AF1390" s="135">
        <f t="shared" si="115"/>
        <v>0</v>
      </c>
      <c r="AG1390" s="107"/>
      <c r="AH1390" s="136">
        <f t="shared" si="116"/>
        <v>0</v>
      </c>
      <c r="AI1390" s="107"/>
      <c r="AJ1390" s="65"/>
    </row>
    <row r="1391" spans="2:36" ht="13.5" customHeight="1" outlineLevel="1">
      <c r="B1391" s="82"/>
      <c r="C1391" s="425"/>
      <c r="D1391" s="425"/>
      <c r="E1391" s="634"/>
      <c r="F1391" s="635"/>
      <c r="G1391" s="428"/>
      <c r="H1391" s="635"/>
      <c r="I1391" s="428"/>
      <c r="J1391" s="635"/>
      <c r="K1391" s="636"/>
      <c r="L1391" s="635"/>
      <c r="M1391" s="636"/>
      <c r="N1391" s="635"/>
      <c r="O1391" s="636"/>
      <c r="P1391" s="635"/>
      <c r="Q1391" s="636"/>
      <c r="R1391" s="637"/>
      <c r="S1391" s="698">
        <f>SUM(R671:R675)/1.18-(SUM(R1386:R1390)*'Mark Up Validation'!$M$175)</f>
        <v>0</v>
      </c>
      <c r="T1391" s="635"/>
      <c r="U1391" s="636"/>
      <c r="V1391" s="635"/>
      <c r="W1391" s="636"/>
      <c r="X1391" s="635"/>
      <c r="Y1391" s="636"/>
      <c r="Z1391" s="635"/>
      <c r="AA1391" s="636"/>
      <c r="AB1391" s="635"/>
      <c r="AC1391" s="636"/>
      <c r="AD1391" s="635"/>
      <c r="AE1391" s="636"/>
      <c r="AF1391" s="637"/>
      <c r="AG1391" s="698">
        <f>SUM(AF671:AF675)/1.18-SUM(AF1386:AF1390)*'Mark Up Validation'!$M$175</f>
        <v>0</v>
      </c>
      <c r="AH1391" s="638"/>
      <c r="AI1391" s="698">
        <f>SUM(AH671:AH675)/1.18-SUM(AH1386:AH1390)*'Mark Up Validation'!$M$175</f>
        <v>0</v>
      </c>
      <c r="AJ1391" s="65"/>
    </row>
    <row r="1392" spans="2:36" ht="13.5" customHeight="1" outlineLevel="1" thickBot="1">
      <c r="B1392" s="82"/>
      <c r="C1392" s="1228" t="s">
        <v>487</v>
      </c>
      <c r="D1392" s="1229"/>
      <c r="E1392" s="699"/>
      <c r="F1392" s="700"/>
      <c r="G1392" s="701"/>
      <c r="H1392" s="700"/>
      <c r="I1392" s="701"/>
      <c r="J1392" s="700"/>
      <c r="K1392" s="702"/>
      <c r="L1392" s="700"/>
      <c r="M1392" s="702"/>
      <c r="N1392" s="700"/>
      <c r="O1392" s="702"/>
      <c r="P1392" s="700"/>
      <c r="Q1392" s="702"/>
      <c r="R1392" s="703"/>
      <c r="S1392" s="729">
        <f>IF(S1391&gt;0,S1391/(SUM(R671:R675)/1.18),0)</f>
        <v>0</v>
      </c>
      <c r="T1392" s="704"/>
      <c r="U1392" s="702"/>
      <c r="V1392" s="700"/>
      <c r="W1392" s="702"/>
      <c r="X1392" s="700"/>
      <c r="Y1392" s="702"/>
      <c r="Z1392" s="700"/>
      <c r="AA1392" s="702"/>
      <c r="AB1392" s="700"/>
      <c r="AC1392" s="702"/>
      <c r="AD1392" s="700"/>
      <c r="AE1392" s="702"/>
      <c r="AF1392" s="705"/>
      <c r="AG1392" s="729">
        <f>IF(AG1391&gt;0,AG1391/(SUM(AF671:AF675)/1.18),0)</f>
        <v>0</v>
      </c>
      <c r="AH1392" s="706"/>
      <c r="AI1392" s="729">
        <f>IF(AI1391&gt;0,AI1391/(SUM(AH671:AH675)/1.18),0)</f>
        <v>0</v>
      </c>
      <c r="AJ1392" s="65"/>
    </row>
    <row r="1393" spans="2:36" ht="12.75" customHeight="1" outlineLevel="1">
      <c r="B1393" s="82">
        <f>B1386+1</f>
        <v>97</v>
      </c>
      <c r="C1393" s="1230">
        <f>C678</f>
        <v>0</v>
      </c>
      <c r="D1393" s="1230">
        <f>D678</f>
        <v>0</v>
      </c>
      <c r="E1393" s="83" t="str">
        <f>'Terms and Turnovers'!$J$12</f>
        <v>FLIP-FLOPS</v>
      </c>
      <c r="F1393" s="68">
        <f>F678/'Terms and Turnovers'!$J112</f>
        <v>0</v>
      </c>
      <c r="G1393" s="106"/>
      <c r="H1393" s="68">
        <f>H678/'Terms and Turnovers'!$J112</f>
        <v>0</v>
      </c>
      <c r="I1393" s="106"/>
      <c r="J1393" s="68">
        <f>J678/'Terms and Turnovers'!$J112</f>
        <v>0</v>
      </c>
      <c r="K1393" s="106"/>
      <c r="L1393" s="68">
        <f>L678/'Terms and Turnovers'!$J112</f>
        <v>0</v>
      </c>
      <c r="M1393" s="106"/>
      <c r="N1393" s="68">
        <f>N678/'Terms and Turnovers'!$J112</f>
        <v>0</v>
      </c>
      <c r="O1393" s="106"/>
      <c r="P1393" s="68">
        <f>P678/'Terms and Turnovers'!$J112</f>
        <v>0</v>
      </c>
      <c r="Q1393" s="106"/>
      <c r="R1393" s="129">
        <f t="shared" si="114"/>
        <v>0</v>
      </c>
      <c r="S1393" s="106"/>
      <c r="T1393" s="68">
        <f>T678/'Terms and Turnovers'!$O112</f>
        <v>0</v>
      </c>
      <c r="U1393" s="106"/>
      <c r="V1393" s="68">
        <f>V678/'Terms and Turnovers'!$O112</f>
        <v>0</v>
      </c>
      <c r="W1393" s="106"/>
      <c r="X1393" s="68">
        <f>X678/'Terms and Turnovers'!$O112</f>
        <v>0</v>
      </c>
      <c r="Y1393" s="106"/>
      <c r="Z1393" s="68">
        <f>Z678/'Terms and Turnovers'!$O112</f>
        <v>0</v>
      </c>
      <c r="AA1393" s="106"/>
      <c r="AB1393" s="68">
        <f>AB678/'Terms and Turnovers'!$O112</f>
        <v>0</v>
      </c>
      <c r="AC1393" s="106"/>
      <c r="AD1393" s="68">
        <f>AD678/'Terms and Turnovers'!$O112</f>
        <v>0</v>
      </c>
      <c r="AE1393" s="106"/>
      <c r="AF1393" s="129">
        <f t="shared" si="115"/>
        <v>0</v>
      </c>
      <c r="AG1393" s="106"/>
      <c r="AH1393" s="130">
        <f t="shared" si="116"/>
        <v>0</v>
      </c>
      <c r="AI1393" s="106"/>
      <c r="AJ1393" s="65"/>
    </row>
    <row r="1394" spans="2:36" ht="12.75" customHeight="1" outlineLevel="1">
      <c r="B1394" s="82"/>
      <c r="C1394" s="1231"/>
      <c r="D1394" s="1231"/>
      <c r="E1394" s="84" t="str">
        <f>'Terms and Turnovers'!$T$12</f>
        <v>ORIGINALS</v>
      </c>
      <c r="F1394" s="70">
        <f>F679/'Terms and Turnovers'!$T112</f>
        <v>0</v>
      </c>
      <c r="G1394" s="728"/>
      <c r="H1394" s="70">
        <f>H679/'Terms and Turnovers'!$T112</f>
        <v>0</v>
      </c>
      <c r="I1394" s="728"/>
      <c r="J1394" s="70">
        <f>J679/'Terms and Turnovers'!$T112</f>
        <v>0</v>
      </c>
      <c r="K1394" s="728"/>
      <c r="L1394" s="70">
        <f>L679/'Terms and Turnovers'!$T112</f>
        <v>0</v>
      </c>
      <c r="M1394" s="728"/>
      <c r="N1394" s="70">
        <f>N679/'Terms and Turnovers'!$T112</f>
        <v>0</v>
      </c>
      <c r="O1394" s="728"/>
      <c r="P1394" s="70">
        <f>P679/'Terms and Turnovers'!$T112</f>
        <v>0</v>
      </c>
      <c r="Q1394" s="728"/>
      <c r="R1394" s="132">
        <f t="shared" si="114"/>
        <v>0</v>
      </c>
      <c r="S1394" s="728"/>
      <c r="T1394" s="70">
        <f>T679/'Terms and Turnovers'!$Y112</f>
        <v>0</v>
      </c>
      <c r="U1394" s="728"/>
      <c r="V1394" s="70">
        <f>V679/'Terms and Turnovers'!$Y112</f>
        <v>0</v>
      </c>
      <c r="W1394" s="728"/>
      <c r="X1394" s="70">
        <f>X679/'Terms and Turnovers'!$Y112</f>
        <v>0</v>
      </c>
      <c r="Y1394" s="728"/>
      <c r="Z1394" s="70">
        <f>Z679/'Terms and Turnovers'!$Y112</f>
        <v>0</v>
      </c>
      <c r="AA1394" s="728"/>
      <c r="AB1394" s="70">
        <f>AB679/'Terms and Turnovers'!$Y112</f>
        <v>0</v>
      </c>
      <c r="AC1394" s="728"/>
      <c r="AD1394" s="70">
        <f>AD679/'Terms and Turnovers'!$Y112</f>
        <v>0</v>
      </c>
      <c r="AE1394" s="728"/>
      <c r="AF1394" s="132">
        <f t="shared" si="115"/>
        <v>0</v>
      </c>
      <c r="AG1394" s="728"/>
      <c r="AH1394" s="133">
        <f t="shared" si="116"/>
        <v>0</v>
      </c>
      <c r="AI1394" s="728"/>
      <c r="AJ1394" s="65"/>
    </row>
    <row r="1395" spans="2:36" ht="12.75" customHeight="1" outlineLevel="1">
      <c r="B1395" s="82"/>
      <c r="C1395" s="1231"/>
      <c r="D1395" s="1231"/>
      <c r="E1395" s="84" t="str">
        <f>'Terms and Turnovers'!$AD$12</f>
        <v>ACCESSORIES</v>
      </c>
      <c r="F1395" s="70">
        <f>F680/'Terms and Turnovers'!$AD112</f>
        <v>0</v>
      </c>
      <c r="G1395" s="728"/>
      <c r="H1395" s="70">
        <f>H680/'Terms and Turnovers'!$AD112</f>
        <v>0</v>
      </c>
      <c r="I1395" s="728"/>
      <c r="J1395" s="70">
        <f>J680/'Terms and Turnovers'!$AD112</f>
        <v>0</v>
      </c>
      <c r="K1395" s="728"/>
      <c r="L1395" s="70">
        <f>L680/'Terms and Turnovers'!$AD112</f>
        <v>0</v>
      </c>
      <c r="M1395" s="728"/>
      <c r="N1395" s="70">
        <f>N680/'Terms and Turnovers'!$AD112</f>
        <v>0</v>
      </c>
      <c r="O1395" s="728"/>
      <c r="P1395" s="70">
        <f>P680/'Terms and Turnovers'!$AD112</f>
        <v>0</v>
      </c>
      <c r="Q1395" s="728"/>
      <c r="R1395" s="132">
        <f t="shared" si="114"/>
        <v>0</v>
      </c>
      <c r="S1395" s="728"/>
      <c r="T1395" s="70">
        <f>T680/'Terms and Turnovers'!$AI112</f>
        <v>0</v>
      </c>
      <c r="U1395" s="728"/>
      <c r="V1395" s="70">
        <f>V680/'Terms and Turnovers'!$AI112</f>
        <v>0</v>
      </c>
      <c r="W1395" s="728"/>
      <c r="X1395" s="70">
        <f>X680/'Terms and Turnovers'!$AI112</f>
        <v>0</v>
      </c>
      <c r="Y1395" s="728"/>
      <c r="Z1395" s="70">
        <f>Z680/'Terms and Turnovers'!$AI112</f>
        <v>0</v>
      </c>
      <c r="AA1395" s="728"/>
      <c r="AB1395" s="70">
        <f>AB680/'Terms and Turnovers'!$AI112</f>
        <v>0</v>
      </c>
      <c r="AC1395" s="728"/>
      <c r="AD1395" s="70">
        <f>AD680/'Terms and Turnovers'!$AI112</f>
        <v>0</v>
      </c>
      <c r="AE1395" s="728"/>
      <c r="AF1395" s="132">
        <f t="shared" si="115"/>
        <v>0</v>
      </c>
      <c r="AG1395" s="728"/>
      <c r="AH1395" s="133">
        <f t="shared" si="116"/>
        <v>0</v>
      </c>
      <c r="AI1395" s="728"/>
      <c r="AJ1395" s="65"/>
    </row>
    <row r="1396" spans="2:36" ht="12.75" customHeight="1" outlineLevel="1">
      <c r="B1396" s="82"/>
      <c r="C1396" s="1231"/>
      <c r="D1396" s="1231"/>
      <c r="E1396" s="84">
        <f>'Terms and Turnovers'!$AN$12</f>
        <v>0</v>
      </c>
      <c r="F1396" s="70">
        <f>F681/'Terms and Turnovers'!$AN112</f>
        <v>0</v>
      </c>
      <c r="G1396" s="728"/>
      <c r="H1396" s="70">
        <f>H681/'Terms and Turnovers'!$AN112</f>
        <v>0</v>
      </c>
      <c r="I1396" s="728"/>
      <c r="J1396" s="70">
        <f>J681/'Terms and Turnovers'!$AN112</f>
        <v>0</v>
      </c>
      <c r="K1396" s="728"/>
      <c r="L1396" s="70">
        <f>L681/'Terms and Turnovers'!$AN112</f>
        <v>0</v>
      </c>
      <c r="M1396" s="728"/>
      <c r="N1396" s="70">
        <f>N681/'Terms and Turnovers'!$AN112</f>
        <v>0</v>
      </c>
      <c r="O1396" s="728"/>
      <c r="P1396" s="70">
        <f>P681/'Terms and Turnovers'!$AN112</f>
        <v>0</v>
      </c>
      <c r="Q1396" s="728"/>
      <c r="R1396" s="132">
        <f t="shared" si="114"/>
        <v>0</v>
      </c>
      <c r="S1396" s="728"/>
      <c r="T1396" s="70">
        <f>T681/'Terms and Turnovers'!$AS112</f>
        <v>0</v>
      </c>
      <c r="U1396" s="728"/>
      <c r="V1396" s="70">
        <f>V681/'Terms and Turnovers'!$AS112</f>
        <v>0</v>
      </c>
      <c r="W1396" s="728"/>
      <c r="X1396" s="70">
        <f>X681/'Terms and Turnovers'!$AS112</f>
        <v>0</v>
      </c>
      <c r="Y1396" s="728"/>
      <c r="Z1396" s="70">
        <f>Z681/'Terms and Turnovers'!$AS112</f>
        <v>0</v>
      </c>
      <c r="AA1396" s="728"/>
      <c r="AB1396" s="70">
        <f>AB681/'Terms and Turnovers'!$AS112</f>
        <v>0</v>
      </c>
      <c r="AC1396" s="728"/>
      <c r="AD1396" s="70">
        <f>AD681/'Terms and Turnovers'!$AS112</f>
        <v>0</v>
      </c>
      <c r="AE1396" s="728"/>
      <c r="AF1396" s="132">
        <f t="shared" si="115"/>
        <v>0</v>
      </c>
      <c r="AG1396" s="728"/>
      <c r="AH1396" s="133">
        <f t="shared" si="116"/>
        <v>0</v>
      </c>
      <c r="AI1396" s="728"/>
      <c r="AJ1396" s="65"/>
    </row>
    <row r="1397" spans="2:36" ht="13.5" customHeight="1" outlineLevel="1" thickBot="1">
      <c r="B1397" s="82"/>
      <c r="C1397" s="1232"/>
      <c r="D1397" s="1232"/>
      <c r="E1397" s="85">
        <f>'Terms and Turnovers'!$AX$12</f>
        <v>0</v>
      </c>
      <c r="F1397" s="70">
        <f>F682/'Terms and Turnovers'!$AX112</f>
        <v>0</v>
      </c>
      <c r="G1397" s="111"/>
      <c r="H1397" s="70">
        <f>H682/'Terms and Turnovers'!$AX112</f>
        <v>0</v>
      </c>
      <c r="I1397" s="107"/>
      <c r="J1397" s="70">
        <f>J682/'Terms and Turnovers'!$AX112</f>
        <v>0</v>
      </c>
      <c r="K1397" s="107"/>
      <c r="L1397" s="70">
        <f>L682/'Terms and Turnovers'!$AX112</f>
        <v>0</v>
      </c>
      <c r="M1397" s="107"/>
      <c r="N1397" s="70">
        <f>N682/'Terms and Turnovers'!$AX112</f>
        <v>0</v>
      </c>
      <c r="O1397" s="107"/>
      <c r="P1397" s="70">
        <f>P682/'Terms and Turnovers'!$AX112</f>
        <v>0</v>
      </c>
      <c r="Q1397" s="107"/>
      <c r="R1397" s="135">
        <f t="shared" si="114"/>
        <v>0</v>
      </c>
      <c r="S1397" s="107"/>
      <c r="T1397" s="70">
        <f>T682/'Terms and Turnovers'!$AX$112</f>
        <v>0</v>
      </c>
      <c r="U1397" s="111"/>
      <c r="V1397" s="70">
        <f>V682/'Terms and Turnovers'!$AX$112</f>
        <v>0</v>
      </c>
      <c r="W1397" s="107"/>
      <c r="X1397" s="70">
        <f>X682/'Terms and Turnovers'!$AX$112</f>
        <v>0</v>
      </c>
      <c r="Y1397" s="107"/>
      <c r="Z1397" s="70">
        <f>Z682/'Terms and Turnovers'!$AX$112</f>
        <v>0</v>
      </c>
      <c r="AA1397" s="107"/>
      <c r="AB1397" s="70">
        <f>AB682/'Terms and Turnovers'!$AX$112</f>
        <v>0</v>
      </c>
      <c r="AC1397" s="107"/>
      <c r="AD1397" s="70">
        <f>AD682/'Terms and Turnovers'!$AX$112</f>
        <v>0</v>
      </c>
      <c r="AE1397" s="107"/>
      <c r="AF1397" s="135">
        <f t="shared" si="115"/>
        <v>0</v>
      </c>
      <c r="AG1397" s="107"/>
      <c r="AH1397" s="136">
        <f t="shared" si="116"/>
        <v>0</v>
      </c>
      <c r="AI1397" s="107"/>
      <c r="AJ1397" s="65"/>
    </row>
    <row r="1398" spans="2:36" ht="13.5" customHeight="1" outlineLevel="1">
      <c r="B1398" s="82"/>
      <c r="C1398" s="425"/>
      <c r="D1398" s="425"/>
      <c r="E1398" s="634"/>
      <c r="F1398" s="635"/>
      <c r="G1398" s="428"/>
      <c r="H1398" s="635"/>
      <c r="I1398" s="428"/>
      <c r="J1398" s="635"/>
      <c r="K1398" s="636"/>
      <c r="L1398" s="635"/>
      <c r="M1398" s="636"/>
      <c r="N1398" s="635"/>
      <c r="O1398" s="636"/>
      <c r="P1398" s="635"/>
      <c r="Q1398" s="636"/>
      <c r="R1398" s="637"/>
      <c r="S1398" s="698">
        <f>SUM(R678:R682)/1.18-(SUM(R1393:R1397)*'Mark Up Validation'!$M$175)</f>
        <v>0</v>
      </c>
      <c r="T1398" s="635"/>
      <c r="U1398" s="636"/>
      <c r="V1398" s="635"/>
      <c r="W1398" s="636"/>
      <c r="X1398" s="635"/>
      <c r="Y1398" s="636"/>
      <c r="Z1398" s="635"/>
      <c r="AA1398" s="636"/>
      <c r="AB1398" s="635"/>
      <c r="AC1398" s="636"/>
      <c r="AD1398" s="635"/>
      <c r="AE1398" s="636"/>
      <c r="AF1398" s="637"/>
      <c r="AG1398" s="698">
        <f>SUM(AF678:AF682)/1.18-SUM(AF1393:AF1397)*'Mark Up Validation'!$M$175</f>
        <v>0</v>
      </c>
      <c r="AH1398" s="638"/>
      <c r="AI1398" s="698">
        <f>SUM(AH678:AH682)/1.18-SUM(AH1393:AH1397)*'Mark Up Validation'!$M$175</f>
        <v>0</v>
      </c>
      <c r="AJ1398" s="65"/>
    </row>
    <row r="1399" spans="2:36" ht="13.5" customHeight="1" outlineLevel="1" thickBot="1">
      <c r="B1399" s="82"/>
      <c r="C1399" s="1228" t="s">
        <v>487</v>
      </c>
      <c r="D1399" s="1229"/>
      <c r="E1399" s="699"/>
      <c r="F1399" s="700"/>
      <c r="G1399" s="701"/>
      <c r="H1399" s="700"/>
      <c r="I1399" s="701"/>
      <c r="J1399" s="700"/>
      <c r="K1399" s="702"/>
      <c r="L1399" s="700"/>
      <c r="M1399" s="702"/>
      <c r="N1399" s="700"/>
      <c r="O1399" s="702"/>
      <c r="P1399" s="700"/>
      <c r="Q1399" s="702"/>
      <c r="R1399" s="703"/>
      <c r="S1399" s="729">
        <f>IF(S1398&gt;0,S1398/(SUM(R678:R682)/1.18),0)</f>
        <v>0</v>
      </c>
      <c r="T1399" s="704"/>
      <c r="U1399" s="702"/>
      <c r="V1399" s="700"/>
      <c r="W1399" s="702"/>
      <c r="X1399" s="700"/>
      <c r="Y1399" s="702"/>
      <c r="Z1399" s="700"/>
      <c r="AA1399" s="702"/>
      <c r="AB1399" s="700"/>
      <c r="AC1399" s="702"/>
      <c r="AD1399" s="700"/>
      <c r="AE1399" s="702"/>
      <c r="AF1399" s="705"/>
      <c r="AG1399" s="729">
        <f>IF(AG1398&gt;0,AG1398/(SUM(AF678:AF682)/1.18),0)</f>
        <v>0</v>
      </c>
      <c r="AH1399" s="706"/>
      <c r="AI1399" s="729">
        <f>IF(AI1398&gt;0,AI1398/(SUM(AH678:AH682)/1.18),0)</f>
        <v>0</v>
      </c>
      <c r="AJ1399" s="65"/>
    </row>
    <row r="1400" spans="2:36" ht="12.75" customHeight="1" outlineLevel="1">
      <c r="B1400" s="82">
        <f>B1393+1</f>
        <v>98</v>
      </c>
      <c r="C1400" s="1233">
        <f>C685</f>
        <v>0</v>
      </c>
      <c r="D1400" s="1233">
        <f>D685</f>
        <v>0</v>
      </c>
      <c r="E1400" s="83" t="str">
        <f>'Terms and Turnovers'!$J$12</f>
        <v>FLIP-FLOPS</v>
      </c>
      <c r="F1400" s="68">
        <f>F685/'Terms and Turnovers'!$J113</f>
        <v>0</v>
      </c>
      <c r="G1400" s="106"/>
      <c r="H1400" s="68">
        <f>H685/'Terms and Turnovers'!$J113</f>
        <v>0</v>
      </c>
      <c r="I1400" s="106"/>
      <c r="J1400" s="68">
        <f>J685/'Terms and Turnovers'!$J113</f>
        <v>0</v>
      </c>
      <c r="K1400" s="106"/>
      <c r="L1400" s="68">
        <f>L685/'Terms and Turnovers'!$J113</f>
        <v>0</v>
      </c>
      <c r="M1400" s="106"/>
      <c r="N1400" s="68">
        <f>N685/'Terms and Turnovers'!$J113</f>
        <v>0</v>
      </c>
      <c r="O1400" s="106"/>
      <c r="P1400" s="68">
        <f>P685/'Terms and Turnovers'!$J113</f>
        <v>0</v>
      </c>
      <c r="Q1400" s="106"/>
      <c r="R1400" s="129">
        <f t="shared" si="114"/>
        <v>0</v>
      </c>
      <c r="S1400" s="106"/>
      <c r="T1400" s="68">
        <f>T685/'Terms and Turnovers'!$O113</f>
        <v>0</v>
      </c>
      <c r="U1400" s="106"/>
      <c r="V1400" s="68">
        <f>V685/'Terms and Turnovers'!$O113</f>
        <v>0</v>
      </c>
      <c r="W1400" s="106"/>
      <c r="X1400" s="68">
        <f>X685/'Terms and Turnovers'!$O113</f>
        <v>0</v>
      </c>
      <c r="Y1400" s="106"/>
      <c r="Z1400" s="68">
        <f>Z685/'Terms and Turnovers'!$O113</f>
        <v>0</v>
      </c>
      <c r="AA1400" s="106"/>
      <c r="AB1400" s="68">
        <f>AB685/'Terms and Turnovers'!$O113</f>
        <v>0</v>
      </c>
      <c r="AC1400" s="106"/>
      <c r="AD1400" s="68">
        <f>AD685/'Terms and Turnovers'!$O113</f>
        <v>0</v>
      </c>
      <c r="AE1400" s="106"/>
      <c r="AF1400" s="129">
        <f t="shared" si="115"/>
        <v>0</v>
      </c>
      <c r="AG1400" s="106"/>
      <c r="AH1400" s="130">
        <f t="shared" si="116"/>
        <v>0</v>
      </c>
      <c r="AI1400" s="106"/>
      <c r="AJ1400" s="65"/>
    </row>
    <row r="1401" spans="2:36" ht="12.75" customHeight="1" outlineLevel="1">
      <c r="B1401" s="82"/>
      <c r="C1401" s="1234"/>
      <c r="D1401" s="1234"/>
      <c r="E1401" s="84" t="str">
        <f>'Terms and Turnovers'!$T$12</f>
        <v>ORIGINALS</v>
      </c>
      <c r="F1401" s="70">
        <f>F686/'Terms and Turnovers'!$T113</f>
        <v>0</v>
      </c>
      <c r="G1401" s="728"/>
      <c r="H1401" s="70">
        <f>H686/'Terms and Turnovers'!$T113</f>
        <v>0</v>
      </c>
      <c r="I1401" s="728"/>
      <c r="J1401" s="70">
        <f>J686/'Terms and Turnovers'!$T113</f>
        <v>0</v>
      </c>
      <c r="K1401" s="728"/>
      <c r="L1401" s="70">
        <f>L686/'Terms and Turnovers'!$T113</f>
        <v>0</v>
      </c>
      <c r="M1401" s="728"/>
      <c r="N1401" s="70">
        <f>N686/'Terms and Turnovers'!$T113</f>
        <v>0</v>
      </c>
      <c r="O1401" s="728"/>
      <c r="P1401" s="70">
        <f>P686/'Terms and Turnovers'!$T113</f>
        <v>0</v>
      </c>
      <c r="Q1401" s="728"/>
      <c r="R1401" s="132">
        <f t="shared" si="114"/>
        <v>0</v>
      </c>
      <c r="S1401" s="728"/>
      <c r="T1401" s="70">
        <f>T686/'Terms and Turnovers'!$Y113</f>
        <v>0</v>
      </c>
      <c r="U1401" s="728"/>
      <c r="V1401" s="70">
        <f>V686/'Terms and Turnovers'!$Y113</f>
        <v>0</v>
      </c>
      <c r="W1401" s="728"/>
      <c r="X1401" s="70">
        <f>X686/'Terms and Turnovers'!$Y113</f>
        <v>0</v>
      </c>
      <c r="Y1401" s="728"/>
      <c r="Z1401" s="70">
        <f>Z686/'Terms and Turnovers'!$Y113</f>
        <v>0</v>
      </c>
      <c r="AA1401" s="728"/>
      <c r="AB1401" s="70">
        <f>AB686/'Terms and Turnovers'!$Y113</f>
        <v>0</v>
      </c>
      <c r="AC1401" s="728"/>
      <c r="AD1401" s="70">
        <f>AD686/'Terms and Turnovers'!$Y113</f>
        <v>0</v>
      </c>
      <c r="AE1401" s="728"/>
      <c r="AF1401" s="132">
        <f t="shared" si="115"/>
        <v>0</v>
      </c>
      <c r="AG1401" s="728"/>
      <c r="AH1401" s="133">
        <f t="shared" si="116"/>
        <v>0</v>
      </c>
      <c r="AI1401" s="728"/>
      <c r="AJ1401" s="65"/>
    </row>
    <row r="1402" spans="2:36" ht="12.75" customHeight="1" outlineLevel="1">
      <c r="B1402" s="82"/>
      <c r="C1402" s="1234"/>
      <c r="D1402" s="1234"/>
      <c r="E1402" s="84" t="str">
        <f>'Terms and Turnovers'!$AD$12</f>
        <v>ACCESSORIES</v>
      </c>
      <c r="F1402" s="70">
        <f>F687/'Terms and Turnovers'!$AD113</f>
        <v>0</v>
      </c>
      <c r="G1402" s="728"/>
      <c r="H1402" s="70">
        <f>H687/'Terms and Turnovers'!$AD113</f>
        <v>0</v>
      </c>
      <c r="I1402" s="728"/>
      <c r="J1402" s="70">
        <f>J687/'Terms and Turnovers'!$AD113</f>
        <v>0</v>
      </c>
      <c r="K1402" s="728"/>
      <c r="L1402" s="70">
        <f>L687/'Terms and Turnovers'!$AD113</f>
        <v>0</v>
      </c>
      <c r="M1402" s="728"/>
      <c r="N1402" s="70">
        <f>N687/'Terms and Turnovers'!$AD113</f>
        <v>0</v>
      </c>
      <c r="O1402" s="728"/>
      <c r="P1402" s="70">
        <f>P687/'Terms and Turnovers'!$AD113</f>
        <v>0</v>
      </c>
      <c r="Q1402" s="728"/>
      <c r="R1402" s="132">
        <f t="shared" si="114"/>
        <v>0</v>
      </c>
      <c r="S1402" s="728"/>
      <c r="T1402" s="70">
        <f>T687/'Terms and Turnovers'!$AI113</f>
        <v>0</v>
      </c>
      <c r="U1402" s="728"/>
      <c r="V1402" s="70">
        <f>V687/'Terms and Turnovers'!$AI113</f>
        <v>0</v>
      </c>
      <c r="W1402" s="728"/>
      <c r="X1402" s="70">
        <f>X687/'Terms and Turnovers'!$AI113</f>
        <v>0</v>
      </c>
      <c r="Y1402" s="728"/>
      <c r="Z1402" s="70">
        <f>Z687/'Terms and Turnovers'!$AI113</f>
        <v>0</v>
      </c>
      <c r="AA1402" s="728"/>
      <c r="AB1402" s="70">
        <f>AB687/'Terms and Turnovers'!$AI113</f>
        <v>0</v>
      </c>
      <c r="AC1402" s="728"/>
      <c r="AD1402" s="70">
        <f>AD687/'Terms and Turnovers'!$AI113</f>
        <v>0</v>
      </c>
      <c r="AE1402" s="728"/>
      <c r="AF1402" s="132">
        <f t="shared" si="115"/>
        <v>0</v>
      </c>
      <c r="AG1402" s="728"/>
      <c r="AH1402" s="133">
        <f t="shared" si="116"/>
        <v>0</v>
      </c>
      <c r="AI1402" s="728"/>
      <c r="AJ1402" s="65"/>
    </row>
    <row r="1403" spans="2:36" ht="12.75" customHeight="1" outlineLevel="1">
      <c r="B1403" s="82"/>
      <c r="C1403" s="1234"/>
      <c r="D1403" s="1234"/>
      <c r="E1403" s="84">
        <f>'Terms and Turnovers'!$AN$12</f>
        <v>0</v>
      </c>
      <c r="F1403" s="70">
        <f>F688/'Terms and Turnovers'!$AN113</f>
        <v>0</v>
      </c>
      <c r="G1403" s="728"/>
      <c r="H1403" s="70">
        <f>H688/'Terms and Turnovers'!$AN113</f>
        <v>0</v>
      </c>
      <c r="I1403" s="728"/>
      <c r="J1403" s="70">
        <f>J688/'Terms and Turnovers'!$AN113</f>
        <v>0</v>
      </c>
      <c r="K1403" s="728"/>
      <c r="L1403" s="70">
        <f>L688/'Terms and Turnovers'!$AN113</f>
        <v>0</v>
      </c>
      <c r="M1403" s="728"/>
      <c r="N1403" s="70">
        <f>N688/'Terms and Turnovers'!$AN113</f>
        <v>0</v>
      </c>
      <c r="O1403" s="728"/>
      <c r="P1403" s="70">
        <f>P688/'Terms and Turnovers'!$AN113</f>
        <v>0</v>
      </c>
      <c r="Q1403" s="728"/>
      <c r="R1403" s="132">
        <f t="shared" si="114"/>
        <v>0</v>
      </c>
      <c r="S1403" s="728"/>
      <c r="T1403" s="70">
        <f>T688/'Terms and Turnovers'!$AS113</f>
        <v>0</v>
      </c>
      <c r="U1403" s="728"/>
      <c r="V1403" s="70">
        <f>V688/'Terms and Turnovers'!$AS113</f>
        <v>0</v>
      </c>
      <c r="W1403" s="728"/>
      <c r="X1403" s="70">
        <f>X688/'Terms and Turnovers'!$AS113</f>
        <v>0</v>
      </c>
      <c r="Y1403" s="728"/>
      <c r="Z1403" s="70">
        <f>Z688/'Terms and Turnovers'!$AS113</f>
        <v>0</v>
      </c>
      <c r="AA1403" s="728"/>
      <c r="AB1403" s="70">
        <f>AB688/'Terms and Turnovers'!$AS113</f>
        <v>0</v>
      </c>
      <c r="AC1403" s="728"/>
      <c r="AD1403" s="70">
        <f>AD688/'Terms and Turnovers'!$AS113</f>
        <v>0</v>
      </c>
      <c r="AE1403" s="728"/>
      <c r="AF1403" s="132">
        <f t="shared" si="115"/>
        <v>0</v>
      </c>
      <c r="AG1403" s="728"/>
      <c r="AH1403" s="133">
        <f t="shared" si="116"/>
        <v>0</v>
      </c>
      <c r="AI1403" s="728"/>
      <c r="AJ1403" s="65"/>
    </row>
    <row r="1404" spans="2:36" ht="13.5" customHeight="1" outlineLevel="1" thickBot="1">
      <c r="B1404" s="82"/>
      <c r="C1404" s="1235"/>
      <c r="D1404" s="1235"/>
      <c r="E1404" s="85">
        <f>'Terms and Turnovers'!$AX$12</f>
        <v>0</v>
      </c>
      <c r="F1404" s="70">
        <f>F689/'Terms and Turnovers'!$AX113</f>
        <v>0</v>
      </c>
      <c r="G1404" s="111"/>
      <c r="H1404" s="70">
        <f>H689/'Terms and Turnovers'!$AX113</f>
        <v>0</v>
      </c>
      <c r="I1404" s="107"/>
      <c r="J1404" s="70">
        <f>J689/'Terms and Turnovers'!$AX113</f>
        <v>0</v>
      </c>
      <c r="K1404" s="107"/>
      <c r="L1404" s="70">
        <f>L689/'Terms and Turnovers'!$AX113</f>
        <v>0</v>
      </c>
      <c r="M1404" s="107"/>
      <c r="N1404" s="70">
        <f>N689/'Terms and Turnovers'!$AX113</f>
        <v>0</v>
      </c>
      <c r="O1404" s="107"/>
      <c r="P1404" s="70">
        <f>P689/'Terms and Turnovers'!$AX113</f>
        <v>0</v>
      </c>
      <c r="Q1404" s="107"/>
      <c r="R1404" s="135">
        <f t="shared" si="114"/>
        <v>0</v>
      </c>
      <c r="S1404" s="107"/>
      <c r="T1404" s="70">
        <f>T689/'Terms and Turnovers'!$AX$113</f>
        <v>0</v>
      </c>
      <c r="U1404" s="111"/>
      <c r="V1404" s="70">
        <f>V689/'Terms and Turnovers'!$AX$113</f>
        <v>0</v>
      </c>
      <c r="W1404" s="107"/>
      <c r="X1404" s="70">
        <f>X689/'Terms and Turnovers'!$AX$113</f>
        <v>0</v>
      </c>
      <c r="Y1404" s="107"/>
      <c r="Z1404" s="70">
        <f>Z689/'Terms and Turnovers'!$AX$113</f>
        <v>0</v>
      </c>
      <c r="AA1404" s="107"/>
      <c r="AB1404" s="70">
        <f>AB689/'Terms and Turnovers'!$AX$113</f>
        <v>0</v>
      </c>
      <c r="AC1404" s="107"/>
      <c r="AD1404" s="70">
        <f>AD689/'Terms and Turnovers'!$AX$113</f>
        <v>0</v>
      </c>
      <c r="AE1404" s="107"/>
      <c r="AF1404" s="135">
        <f t="shared" si="115"/>
        <v>0</v>
      </c>
      <c r="AG1404" s="107"/>
      <c r="AH1404" s="136">
        <f t="shared" si="116"/>
        <v>0</v>
      </c>
      <c r="AI1404" s="107"/>
      <c r="AJ1404" s="65"/>
    </row>
    <row r="1405" spans="2:36" ht="13.5" customHeight="1" outlineLevel="1">
      <c r="B1405" s="82"/>
      <c r="C1405" s="425"/>
      <c r="D1405" s="425"/>
      <c r="E1405" s="634"/>
      <c r="F1405" s="635"/>
      <c r="G1405" s="428"/>
      <c r="H1405" s="635"/>
      <c r="I1405" s="428"/>
      <c r="J1405" s="635"/>
      <c r="K1405" s="636"/>
      <c r="L1405" s="635"/>
      <c r="M1405" s="636"/>
      <c r="N1405" s="635"/>
      <c r="O1405" s="636"/>
      <c r="P1405" s="635"/>
      <c r="Q1405" s="636"/>
      <c r="R1405" s="637"/>
      <c r="S1405" s="698">
        <f>SUM(R685:R689)/1.18-(SUM(R1400:R1404)*'Mark Up Validation'!$M$175)</f>
        <v>0</v>
      </c>
      <c r="T1405" s="635"/>
      <c r="U1405" s="636"/>
      <c r="V1405" s="635"/>
      <c r="W1405" s="636"/>
      <c r="X1405" s="635"/>
      <c r="Y1405" s="636"/>
      <c r="Z1405" s="635"/>
      <c r="AA1405" s="636"/>
      <c r="AB1405" s="635"/>
      <c r="AC1405" s="636"/>
      <c r="AD1405" s="635"/>
      <c r="AE1405" s="636"/>
      <c r="AF1405" s="637"/>
      <c r="AG1405" s="698">
        <f>SUM(AF685:AF689)/1.18-SUM(AF1400:AF1404)*'Mark Up Validation'!$M$175</f>
        <v>0</v>
      </c>
      <c r="AH1405" s="638"/>
      <c r="AI1405" s="698">
        <f>SUM(AH685:AH689)/1.18-SUM(AH1400:AH1404)*'Mark Up Validation'!$M$175</f>
        <v>0</v>
      </c>
      <c r="AJ1405" s="65"/>
    </row>
    <row r="1406" spans="2:36" ht="13.5" customHeight="1" outlineLevel="1" thickBot="1">
      <c r="B1406" s="82"/>
      <c r="C1406" s="1228" t="s">
        <v>487</v>
      </c>
      <c r="D1406" s="1229"/>
      <c r="E1406" s="699"/>
      <c r="F1406" s="700"/>
      <c r="G1406" s="701"/>
      <c r="H1406" s="700"/>
      <c r="I1406" s="701"/>
      <c r="J1406" s="700"/>
      <c r="K1406" s="702"/>
      <c r="L1406" s="700"/>
      <c r="M1406" s="702"/>
      <c r="N1406" s="700"/>
      <c r="O1406" s="702"/>
      <c r="P1406" s="700"/>
      <c r="Q1406" s="702"/>
      <c r="R1406" s="703"/>
      <c r="S1406" s="729">
        <f>IF(S1405&gt;0,S1405/(SUM(R685:R689)/1.18),0)</f>
        <v>0</v>
      </c>
      <c r="T1406" s="704"/>
      <c r="U1406" s="702"/>
      <c r="V1406" s="700"/>
      <c r="W1406" s="702"/>
      <c r="X1406" s="700"/>
      <c r="Y1406" s="702"/>
      <c r="Z1406" s="700"/>
      <c r="AA1406" s="702"/>
      <c r="AB1406" s="700"/>
      <c r="AC1406" s="702"/>
      <c r="AD1406" s="700"/>
      <c r="AE1406" s="702"/>
      <c r="AF1406" s="705"/>
      <c r="AG1406" s="729">
        <f>IF(AG1405&gt;0,AG1405/(SUM(AF685:AF689)/1.18),0)</f>
        <v>0</v>
      </c>
      <c r="AH1406" s="706"/>
      <c r="AI1406" s="729">
        <f>IF(AI1405&gt;0,AI1405/(SUM(AH685:AH689)/1.18),0)</f>
        <v>0</v>
      </c>
      <c r="AJ1406" s="65"/>
    </row>
    <row r="1407" spans="2:36" ht="12.75" customHeight="1" outlineLevel="1">
      <c r="B1407" s="82">
        <f>B1400+1</f>
        <v>99</v>
      </c>
      <c r="C1407" s="1230">
        <f>C692</f>
        <v>0</v>
      </c>
      <c r="D1407" s="1230">
        <f>D692</f>
        <v>0</v>
      </c>
      <c r="E1407" s="83" t="str">
        <f>'Terms and Turnovers'!$J$12</f>
        <v>FLIP-FLOPS</v>
      </c>
      <c r="F1407" s="68">
        <f>F692/'Terms and Turnovers'!$J114</f>
        <v>0</v>
      </c>
      <c r="G1407" s="106"/>
      <c r="H1407" s="68">
        <f>H692/'Terms and Turnovers'!$J114</f>
        <v>0</v>
      </c>
      <c r="I1407" s="106"/>
      <c r="J1407" s="68">
        <f>J692/'Terms and Turnovers'!$J114</f>
        <v>0</v>
      </c>
      <c r="K1407" s="106"/>
      <c r="L1407" s="68">
        <f>L692/'Terms and Turnovers'!$J114</f>
        <v>0</v>
      </c>
      <c r="M1407" s="106"/>
      <c r="N1407" s="68">
        <f>N692/'Terms and Turnovers'!$J114</f>
        <v>0</v>
      </c>
      <c r="O1407" s="106"/>
      <c r="P1407" s="68">
        <f>P692/'Terms and Turnovers'!$J114</f>
        <v>0</v>
      </c>
      <c r="Q1407" s="106"/>
      <c r="R1407" s="129">
        <f t="shared" si="114"/>
        <v>0</v>
      </c>
      <c r="S1407" s="106"/>
      <c r="T1407" s="68">
        <f>T692/'Terms and Turnovers'!$O114</f>
        <v>0</v>
      </c>
      <c r="U1407" s="106"/>
      <c r="V1407" s="68">
        <f>V692/'Terms and Turnovers'!$O114</f>
        <v>0</v>
      </c>
      <c r="W1407" s="106"/>
      <c r="X1407" s="68">
        <f>X692/'Terms and Turnovers'!$O114</f>
        <v>0</v>
      </c>
      <c r="Y1407" s="106"/>
      <c r="Z1407" s="68">
        <f>Z692/'Terms and Turnovers'!$O114</f>
        <v>0</v>
      </c>
      <c r="AA1407" s="106"/>
      <c r="AB1407" s="68">
        <f>AB692/'Terms and Turnovers'!$O114</f>
        <v>0</v>
      </c>
      <c r="AC1407" s="106"/>
      <c r="AD1407" s="68">
        <f>AD692/'Terms and Turnovers'!$O114</f>
        <v>0</v>
      </c>
      <c r="AE1407" s="106"/>
      <c r="AF1407" s="129">
        <f t="shared" si="115"/>
        <v>0</v>
      </c>
      <c r="AG1407" s="106"/>
      <c r="AH1407" s="130">
        <f t="shared" si="116"/>
        <v>0</v>
      </c>
      <c r="AI1407" s="106"/>
      <c r="AJ1407" s="65"/>
    </row>
    <row r="1408" spans="2:36" ht="12.75" customHeight="1" outlineLevel="1">
      <c r="B1408" s="82"/>
      <c r="C1408" s="1231"/>
      <c r="D1408" s="1231"/>
      <c r="E1408" s="84" t="str">
        <f>'Terms and Turnovers'!$T$12</f>
        <v>ORIGINALS</v>
      </c>
      <c r="F1408" s="70">
        <f>F693/'Terms and Turnovers'!$T114</f>
        <v>0</v>
      </c>
      <c r="G1408" s="728"/>
      <c r="H1408" s="70">
        <f>H693/'Terms and Turnovers'!$T114</f>
        <v>0</v>
      </c>
      <c r="I1408" s="728"/>
      <c r="J1408" s="70">
        <f>J693/'Terms and Turnovers'!$T114</f>
        <v>0</v>
      </c>
      <c r="K1408" s="728"/>
      <c r="L1408" s="70">
        <f>L693/'Terms and Turnovers'!$T114</f>
        <v>0</v>
      </c>
      <c r="M1408" s="728"/>
      <c r="N1408" s="70">
        <f>N693/'Terms and Turnovers'!$T114</f>
        <v>0</v>
      </c>
      <c r="O1408" s="728"/>
      <c r="P1408" s="70">
        <f>P693/'Terms and Turnovers'!$T114</f>
        <v>0</v>
      </c>
      <c r="Q1408" s="728"/>
      <c r="R1408" s="132">
        <f t="shared" si="114"/>
        <v>0</v>
      </c>
      <c r="S1408" s="728"/>
      <c r="T1408" s="70">
        <f>T693/'Terms and Turnovers'!$Y114</f>
        <v>0</v>
      </c>
      <c r="U1408" s="728"/>
      <c r="V1408" s="70">
        <f>V693/'Terms and Turnovers'!$Y114</f>
        <v>0</v>
      </c>
      <c r="W1408" s="728"/>
      <c r="X1408" s="70">
        <f>X693/'Terms and Turnovers'!$Y114</f>
        <v>0</v>
      </c>
      <c r="Y1408" s="728"/>
      <c r="Z1408" s="70">
        <f>Z693/'Terms and Turnovers'!$Y114</f>
        <v>0</v>
      </c>
      <c r="AA1408" s="728"/>
      <c r="AB1408" s="70">
        <f>AB693/'Terms and Turnovers'!$Y114</f>
        <v>0</v>
      </c>
      <c r="AC1408" s="728"/>
      <c r="AD1408" s="70">
        <f>AD693/'Terms and Turnovers'!$Y114</f>
        <v>0</v>
      </c>
      <c r="AE1408" s="728"/>
      <c r="AF1408" s="132">
        <f t="shared" si="115"/>
        <v>0</v>
      </c>
      <c r="AG1408" s="728"/>
      <c r="AH1408" s="133">
        <f t="shared" si="116"/>
        <v>0</v>
      </c>
      <c r="AI1408" s="728"/>
      <c r="AJ1408" s="65"/>
    </row>
    <row r="1409" spans="2:38" ht="12.75" customHeight="1" outlineLevel="1">
      <c r="B1409" s="82"/>
      <c r="C1409" s="1231"/>
      <c r="D1409" s="1231"/>
      <c r="E1409" s="84" t="str">
        <f>'Terms and Turnovers'!$AD$12</f>
        <v>ACCESSORIES</v>
      </c>
      <c r="F1409" s="70">
        <f>F694/'Terms and Turnovers'!$AD114</f>
        <v>0</v>
      </c>
      <c r="G1409" s="728"/>
      <c r="H1409" s="70">
        <f>H694/'Terms and Turnovers'!$AD114</f>
        <v>0</v>
      </c>
      <c r="I1409" s="728"/>
      <c r="J1409" s="70">
        <f>J694/'Terms and Turnovers'!$AD114</f>
        <v>0</v>
      </c>
      <c r="K1409" s="728"/>
      <c r="L1409" s="70">
        <f>L694/'Terms and Turnovers'!$AD114</f>
        <v>0</v>
      </c>
      <c r="M1409" s="728"/>
      <c r="N1409" s="70">
        <f>N694/'Terms and Turnovers'!$AD114</f>
        <v>0</v>
      </c>
      <c r="O1409" s="728"/>
      <c r="P1409" s="70">
        <f>P694/'Terms and Turnovers'!$AD114</f>
        <v>0</v>
      </c>
      <c r="Q1409" s="728"/>
      <c r="R1409" s="132">
        <f t="shared" si="114"/>
        <v>0</v>
      </c>
      <c r="S1409" s="728"/>
      <c r="T1409" s="70">
        <f>T694/'Terms and Turnovers'!$AI114</f>
        <v>0</v>
      </c>
      <c r="U1409" s="728"/>
      <c r="V1409" s="70">
        <f>V694/'Terms and Turnovers'!$AI114</f>
        <v>0</v>
      </c>
      <c r="W1409" s="728"/>
      <c r="X1409" s="70">
        <f>X694/'Terms and Turnovers'!$AI114</f>
        <v>0</v>
      </c>
      <c r="Y1409" s="728"/>
      <c r="Z1409" s="70">
        <f>Z694/'Terms and Turnovers'!$AI114</f>
        <v>0</v>
      </c>
      <c r="AA1409" s="728"/>
      <c r="AB1409" s="70">
        <f>AB694/'Terms and Turnovers'!$AI114</f>
        <v>0</v>
      </c>
      <c r="AC1409" s="728"/>
      <c r="AD1409" s="70">
        <f>AD694/'Terms and Turnovers'!$AI114</f>
        <v>0</v>
      </c>
      <c r="AE1409" s="728"/>
      <c r="AF1409" s="132">
        <f t="shared" si="115"/>
        <v>0</v>
      </c>
      <c r="AG1409" s="728"/>
      <c r="AH1409" s="133">
        <f t="shared" si="116"/>
        <v>0</v>
      </c>
      <c r="AI1409" s="728"/>
      <c r="AJ1409" s="65"/>
    </row>
    <row r="1410" spans="2:38" ht="12.75" customHeight="1" outlineLevel="1">
      <c r="B1410" s="82"/>
      <c r="C1410" s="1231"/>
      <c r="D1410" s="1231"/>
      <c r="E1410" s="84">
        <f>'Terms and Turnovers'!$AN$12</f>
        <v>0</v>
      </c>
      <c r="F1410" s="70">
        <f>F695/'Terms and Turnovers'!$AN114</f>
        <v>0</v>
      </c>
      <c r="G1410" s="728"/>
      <c r="H1410" s="70">
        <f>H695/'Terms and Turnovers'!$AN114</f>
        <v>0</v>
      </c>
      <c r="I1410" s="728"/>
      <c r="J1410" s="70">
        <f>J695/'Terms and Turnovers'!$AN114</f>
        <v>0</v>
      </c>
      <c r="K1410" s="728"/>
      <c r="L1410" s="70">
        <f>L695/'Terms and Turnovers'!$AN114</f>
        <v>0</v>
      </c>
      <c r="M1410" s="728"/>
      <c r="N1410" s="70">
        <f>N695/'Terms and Turnovers'!$AN114</f>
        <v>0</v>
      </c>
      <c r="O1410" s="728"/>
      <c r="P1410" s="70">
        <f>P695/'Terms and Turnovers'!$AN114</f>
        <v>0</v>
      </c>
      <c r="Q1410" s="728"/>
      <c r="R1410" s="132">
        <f t="shared" si="114"/>
        <v>0</v>
      </c>
      <c r="S1410" s="728"/>
      <c r="T1410" s="70">
        <f>T695/'Terms and Turnovers'!$AS114</f>
        <v>0</v>
      </c>
      <c r="U1410" s="728"/>
      <c r="V1410" s="70">
        <f>V695/'Terms and Turnovers'!$AS114</f>
        <v>0</v>
      </c>
      <c r="W1410" s="728"/>
      <c r="X1410" s="70">
        <f>X695/'Terms and Turnovers'!$AS114</f>
        <v>0</v>
      </c>
      <c r="Y1410" s="728"/>
      <c r="Z1410" s="70">
        <f>Z695/'Terms and Turnovers'!$AS114</f>
        <v>0</v>
      </c>
      <c r="AA1410" s="728"/>
      <c r="AB1410" s="70">
        <f>AB695/'Terms and Turnovers'!$AS114</f>
        <v>0</v>
      </c>
      <c r="AC1410" s="728"/>
      <c r="AD1410" s="70">
        <f>AD695/'Terms and Turnovers'!$AS114</f>
        <v>0</v>
      </c>
      <c r="AE1410" s="728"/>
      <c r="AF1410" s="132">
        <f t="shared" si="115"/>
        <v>0</v>
      </c>
      <c r="AG1410" s="728"/>
      <c r="AH1410" s="133">
        <f t="shared" si="116"/>
        <v>0</v>
      </c>
      <c r="AI1410" s="728"/>
      <c r="AJ1410" s="65"/>
    </row>
    <row r="1411" spans="2:38" ht="13.5" customHeight="1" outlineLevel="1" thickBot="1">
      <c r="B1411" s="82"/>
      <c r="C1411" s="1232"/>
      <c r="D1411" s="1232"/>
      <c r="E1411" s="85">
        <f>'Terms and Turnovers'!$AX$12</f>
        <v>0</v>
      </c>
      <c r="F1411" s="70">
        <f>F696/'Terms and Turnovers'!$AX114</f>
        <v>0</v>
      </c>
      <c r="G1411" s="111"/>
      <c r="H1411" s="70">
        <f>H696/'Terms and Turnovers'!$AX114</f>
        <v>0</v>
      </c>
      <c r="I1411" s="107"/>
      <c r="J1411" s="70">
        <f>J696/'Terms and Turnovers'!$AX114</f>
        <v>0</v>
      </c>
      <c r="K1411" s="107"/>
      <c r="L1411" s="70">
        <f>L696/'Terms and Turnovers'!$AX114</f>
        <v>0</v>
      </c>
      <c r="M1411" s="107"/>
      <c r="N1411" s="70">
        <f>N696/'Terms and Turnovers'!$AX114</f>
        <v>0</v>
      </c>
      <c r="O1411" s="107"/>
      <c r="P1411" s="70">
        <f>P696/'Terms and Turnovers'!$AX114</f>
        <v>0</v>
      </c>
      <c r="Q1411" s="107"/>
      <c r="R1411" s="135">
        <f t="shared" si="114"/>
        <v>0</v>
      </c>
      <c r="S1411" s="107"/>
      <c r="T1411" s="70">
        <f>T696/'Terms and Turnovers'!$AX$114</f>
        <v>0</v>
      </c>
      <c r="U1411" s="111"/>
      <c r="V1411" s="70">
        <f>V696/'Terms and Turnovers'!$AX$114</f>
        <v>0</v>
      </c>
      <c r="W1411" s="107"/>
      <c r="X1411" s="70">
        <f>X696/'Terms and Turnovers'!$AX$114</f>
        <v>0</v>
      </c>
      <c r="Y1411" s="107"/>
      <c r="Z1411" s="70">
        <f>Z696/'Terms and Turnovers'!$AX$114</f>
        <v>0</v>
      </c>
      <c r="AA1411" s="107"/>
      <c r="AB1411" s="70">
        <f>AB696/'Terms and Turnovers'!$AX$114</f>
        <v>0</v>
      </c>
      <c r="AC1411" s="107"/>
      <c r="AD1411" s="70">
        <f>AD696/'Terms and Turnovers'!$AX$114</f>
        <v>0</v>
      </c>
      <c r="AE1411" s="107"/>
      <c r="AF1411" s="135">
        <f t="shared" si="115"/>
        <v>0</v>
      </c>
      <c r="AG1411" s="107"/>
      <c r="AH1411" s="136">
        <f t="shared" si="116"/>
        <v>0</v>
      </c>
      <c r="AI1411" s="107"/>
      <c r="AJ1411" s="65"/>
    </row>
    <row r="1412" spans="2:38" ht="13.5" customHeight="1" outlineLevel="1">
      <c r="B1412" s="82"/>
      <c r="C1412" s="425"/>
      <c r="D1412" s="425"/>
      <c r="E1412" s="634"/>
      <c r="F1412" s="635"/>
      <c r="G1412" s="428"/>
      <c r="H1412" s="635"/>
      <c r="I1412" s="428"/>
      <c r="J1412" s="635"/>
      <c r="K1412" s="636"/>
      <c r="L1412" s="635"/>
      <c r="M1412" s="636"/>
      <c r="N1412" s="635"/>
      <c r="O1412" s="636"/>
      <c r="P1412" s="635"/>
      <c r="Q1412" s="636"/>
      <c r="R1412" s="637"/>
      <c r="S1412" s="698">
        <f>SUM(R692:R696)/1.18-(SUM(R1407:R1411)*'Mark Up Validation'!$M$175)</f>
        <v>0</v>
      </c>
      <c r="T1412" s="635"/>
      <c r="U1412" s="636"/>
      <c r="V1412" s="635"/>
      <c r="W1412" s="636"/>
      <c r="X1412" s="635"/>
      <c r="Y1412" s="636"/>
      <c r="Z1412" s="635"/>
      <c r="AA1412" s="636"/>
      <c r="AB1412" s="635"/>
      <c r="AC1412" s="636"/>
      <c r="AD1412" s="635"/>
      <c r="AE1412" s="636"/>
      <c r="AF1412" s="637"/>
      <c r="AG1412" s="698">
        <f>SUM(AF692:AF696)/1.18-SUM(AF1407:AF1411)*'Mark Up Validation'!$M$175</f>
        <v>0</v>
      </c>
      <c r="AH1412" s="638"/>
      <c r="AI1412" s="698">
        <f>SUM(AH692:AH696)/1.18-SUM(AH1407:AH1411)*'Mark Up Validation'!$M$175</f>
        <v>0</v>
      </c>
      <c r="AJ1412" s="65"/>
    </row>
    <row r="1413" spans="2:38" ht="13.5" customHeight="1" outlineLevel="1" thickBot="1">
      <c r="B1413" s="82"/>
      <c r="C1413" s="1228" t="s">
        <v>487</v>
      </c>
      <c r="D1413" s="1229"/>
      <c r="E1413" s="699"/>
      <c r="F1413" s="700"/>
      <c r="G1413" s="701"/>
      <c r="H1413" s="700"/>
      <c r="I1413" s="701"/>
      <c r="J1413" s="700"/>
      <c r="K1413" s="702"/>
      <c r="L1413" s="700"/>
      <c r="M1413" s="702"/>
      <c r="N1413" s="700"/>
      <c r="O1413" s="702"/>
      <c r="P1413" s="700"/>
      <c r="Q1413" s="702"/>
      <c r="R1413" s="703"/>
      <c r="S1413" s="729">
        <f>IF(S1412&gt;0,S1412/(SUM(R692:R696)/1.18),0)</f>
        <v>0</v>
      </c>
      <c r="T1413" s="704"/>
      <c r="U1413" s="702"/>
      <c r="V1413" s="700"/>
      <c r="W1413" s="702"/>
      <c r="X1413" s="700"/>
      <c r="Y1413" s="702"/>
      <c r="Z1413" s="700"/>
      <c r="AA1413" s="702"/>
      <c r="AB1413" s="700"/>
      <c r="AC1413" s="702"/>
      <c r="AD1413" s="700"/>
      <c r="AE1413" s="702"/>
      <c r="AF1413" s="705"/>
      <c r="AG1413" s="729">
        <f>IF(AG1412&gt;0,AG1412/(SUM(AF692:AF696)/1.18),0)</f>
        <v>0</v>
      </c>
      <c r="AH1413" s="706"/>
      <c r="AI1413" s="729">
        <f>IF(AI1412&gt;0,AI1412/(SUM(AH692:AH696)/1.18),0)</f>
        <v>0</v>
      </c>
      <c r="AJ1413" s="65"/>
    </row>
    <row r="1414" spans="2:38" ht="12.75" customHeight="1" outlineLevel="1">
      <c r="B1414" s="82">
        <f>B1407+1</f>
        <v>100</v>
      </c>
      <c r="C1414" s="1233">
        <f>C699</f>
        <v>0</v>
      </c>
      <c r="D1414" s="1233">
        <f>D699</f>
        <v>0</v>
      </c>
      <c r="E1414" s="83" t="str">
        <f>'Terms and Turnovers'!$J$12</f>
        <v>FLIP-FLOPS</v>
      </c>
      <c r="F1414" s="68">
        <f>F699/'Terms and Turnovers'!$J115</f>
        <v>0</v>
      </c>
      <c r="G1414" s="106"/>
      <c r="H1414" s="68">
        <f>H699/'Terms and Turnovers'!$J115</f>
        <v>0</v>
      </c>
      <c r="I1414" s="106"/>
      <c r="J1414" s="68">
        <f>J699/'Terms and Turnovers'!$J115</f>
        <v>0</v>
      </c>
      <c r="K1414" s="106"/>
      <c r="L1414" s="68">
        <f>L699/'Terms and Turnovers'!$J115</f>
        <v>0</v>
      </c>
      <c r="M1414" s="106"/>
      <c r="N1414" s="68">
        <f>N699/'Terms and Turnovers'!$J115</f>
        <v>0</v>
      </c>
      <c r="O1414" s="106"/>
      <c r="P1414" s="68">
        <f>P699/'Terms and Turnovers'!$J115</f>
        <v>0</v>
      </c>
      <c r="Q1414" s="106"/>
      <c r="R1414" s="129">
        <f t="shared" si="114"/>
        <v>0</v>
      </c>
      <c r="S1414" s="106"/>
      <c r="T1414" s="68">
        <f>T699/'Terms and Turnovers'!$O115</f>
        <v>0</v>
      </c>
      <c r="U1414" s="106"/>
      <c r="V1414" s="68">
        <f>V699/'Terms and Turnovers'!$O115</f>
        <v>0</v>
      </c>
      <c r="W1414" s="106"/>
      <c r="X1414" s="68">
        <f>X699/'Terms and Turnovers'!$O115</f>
        <v>0</v>
      </c>
      <c r="Y1414" s="106"/>
      <c r="Z1414" s="68">
        <f>Z699/'Terms and Turnovers'!$O115</f>
        <v>0</v>
      </c>
      <c r="AA1414" s="106"/>
      <c r="AB1414" s="68">
        <f>AB699/'Terms and Turnovers'!$O115</f>
        <v>0</v>
      </c>
      <c r="AC1414" s="106"/>
      <c r="AD1414" s="68">
        <f>AD699/'Terms and Turnovers'!$O115</f>
        <v>0</v>
      </c>
      <c r="AE1414" s="106"/>
      <c r="AF1414" s="129">
        <f t="shared" si="115"/>
        <v>0</v>
      </c>
      <c r="AG1414" s="106"/>
      <c r="AH1414" s="130">
        <f t="shared" si="116"/>
        <v>0</v>
      </c>
      <c r="AI1414" s="106"/>
      <c r="AJ1414" s="65"/>
    </row>
    <row r="1415" spans="2:38" ht="12.75" customHeight="1" outlineLevel="1">
      <c r="B1415" s="82"/>
      <c r="C1415" s="1234"/>
      <c r="D1415" s="1234"/>
      <c r="E1415" s="84" t="str">
        <f>'Terms and Turnovers'!$T$12</f>
        <v>ORIGINALS</v>
      </c>
      <c r="F1415" s="70">
        <f>F700/'Terms and Turnovers'!$T115</f>
        <v>0</v>
      </c>
      <c r="G1415" s="728"/>
      <c r="H1415" s="70">
        <f>H700/'Terms and Turnovers'!$T115</f>
        <v>0</v>
      </c>
      <c r="I1415" s="728"/>
      <c r="J1415" s="70">
        <f>J700/'Terms and Turnovers'!$T115</f>
        <v>0</v>
      </c>
      <c r="K1415" s="728"/>
      <c r="L1415" s="70">
        <f>L700/'Terms and Turnovers'!$T115</f>
        <v>0</v>
      </c>
      <c r="M1415" s="728"/>
      <c r="N1415" s="70">
        <f>N700/'Terms and Turnovers'!$T115</f>
        <v>0</v>
      </c>
      <c r="O1415" s="728"/>
      <c r="P1415" s="70">
        <f>P700/'Terms and Turnovers'!$T115</f>
        <v>0</v>
      </c>
      <c r="Q1415" s="728"/>
      <c r="R1415" s="132">
        <f t="shared" si="114"/>
        <v>0</v>
      </c>
      <c r="S1415" s="728"/>
      <c r="T1415" s="70">
        <f>T700/'Terms and Turnovers'!$Y115</f>
        <v>0</v>
      </c>
      <c r="U1415" s="728"/>
      <c r="V1415" s="70">
        <f>V700/'Terms and Turnovers'!$Y115</f>
        <v>0</v>
      </c>
      <c r="W1415" s="728"/>
      <c r="X1415" s="70">
        <f>X700/'Terms and Turnovers'!$Y115</f>
        <v>0</v>
      </c>
      <c r="Y1415" s="728"/>
      <c r="Z1415" s="70">
        <f>Z700/'Terms and Turnovers'!$Y115</f>
        <v>0</v>
      </c>
      <c r="AA1415" s="728"/>
      <c r="AB1415" s="70">
        <f>AB700/'Terms and Turnovers'!$Y115</f>
        <v>0</v>
      </c>
      <c r="AC1415" s="728"/>
      <c r="AD1415" s="70">
        <f>AD700/'Terms and Turnovers'!$Y115</f>
        <v>0</v>
      </c>
      <c r="AE1415" s="728"/>
      <c r="AF1415" s="132">
        <f t="shared" si="115"/>
        <v>0</v>
      </c>
      <c r="AG1415" s="728"/>
      <c r="AH1415" s="133">
        <f t="shared" si="116"/>
        <v>0</v>
      </c>
      <c r="AI1415" s="728"/>
      <c r="AJ1415" s="65"/>
    </row>
    <row r="1416" spans="2:38" ht="12.75" customHeight="1" outlineLevel="1">
      <c r="B1416" s="82"/>
      <c r="C1416" s="1234"/>
      <c r="D1416" s="1234"/>
      <c r="E1416" s="84" t="str">
        <f>'Terms and Turnovers'!$AD$12</f>
        <v>ACCESSORIES</v>
      </c>
      <c r="F1416" s="70">
        <f>F701/'Terms and Turnovers'!$AD115</f>
        <v>0</v>
      </c>
      <c r="G1416" s="728"/>
      <c r="H1416" s="70">
        <f>H701/'Terms and Turnovers'!$AD115</f>
        <v>0</v>
      </c>
      <c r="I1416" s="728"/>
      <c r="J1416" s="70">
        <f>J701/'Terms and Turnovers'!$AD115</f>
        <v>0</v>
      </c>
      <c r="K1416" s="728"/>
      <c r="L1416" s="70">
        <f>L701/'Terms and Turnovers'!$AD115</f>
        <v>0</v>
      </c>
      <c r="M1416" s="728"/>
      <c r="N1416" s="70">
        <f>N701/'Terms and Turnovers'!$AD115</f>
        <v>0</v>
      </c>
      <c r="O1416" s="728"/>
      <c r="P1416" s="70">
        <f>P701/'Terms and Turnovers'!$AD115</f>
        <v>0</v>
      </c>
      <c r="Q1416" s="728"/>
      <c r="R1416" s="132">
        <f t="shared" si="114"/>
        <v>0</v>
      </c>
      <c r="S1416" s="728"/>
      <c r="T1416" s="70">
        <f>T701/'Terms and Turnovers'!$AI115</f>
        <v>0</v>
      </c>
      <c r="U1416" s="728"/>
      <c r="V1416" s="70">
        <f>V701/'Terms and Turnovers'!$AI115</f>
        <v>0</v>
      </c>
      <c r="W1416" s="728"/>
      <c r="X1416" s="70">
        <f>X701/'Terms and Turnovers'!$AI115</f>
        <v>0</v>
      </c>
      <c r="Y1416" s="728"/>
      <c r="Z1416" s="70">
        <f>Z701/'Terms and Turnovers'!$AI115</f>
        <v>0</v>
      </c>
      <c r="AA1416" s="728"/>
      <c r="AB1416" s="70">
        <f>AB701/'Terms and Turnovers'!$AI115</f>
        <v>0</v>
      </c>
      <c r="AC1416" s="728"/>
      <c r="AD1416" s="70">
        <f>AD701/'Terms and Turnovers'!$AI115</f>
        <v>0</v>
      </c>
      <c r="AE1416" s="728"/>
      <c r="AF1416" s="132">
        <f t="shared" si="115"/>
        <v>0</v>
      </c>
      <c r="AG1416" s="728"/>
      <c r="AH1416" s="133">
        <f t="shared" si="116"/>
        <v>0</v>
      </c>
      <c r="AI1416" s="728"/>
      <c r="AJ1416" s="65"/>
    </row>
    <row r="1417" spans="2:38" ht="12.75" customHeight="1" outlineLevel="1">
      <c r="B1417" s="82"/>
      <c r="C1417" s="1234"/>
      <c r="D1417" s="1234"/>
      <c r="E1417" s="84">
        <f>'Terms and Turnovers'!$AN$12</f>
        <v>0</v>
      </c>
      <c r="F1417" s="70">
        <f>F702/'Terms and Turnovers'!$AN115</f>
        <v>0</v>
      </c>
      <c r="G1417" s="728"/>
      <c r="H1417" s="70">
        <f>H702/'Terms and Turnovers'!$AN115</f>
        <v>0</v>
      </c>
      <c r="I1417" s="728"/>
      <c r="J1417" s="70">
        <f>J702/'Terms and Turnovers'!$AN115</f>
        <v>0</v>
      </c>
      <c r="K1417" s="728"/>
      <c r="L1417" s="70">
        <f>L702/'Terms and Turnovers'!$AN115</f>
        <v>0</v>
      </c>
      <c r="M1417" s="728"/>
      <c r="N1417" s="70">
        <f>N702/'Terms and Turnovers'!$AN115</f>
        <v>0</v>
      </c>
      <c r="O1417" s="728"/>
      <c r="P1417" s="70">
        <f>P702/'Terms and Turnovers'!$AN115</f>
        <v>0</v>
      </c>
      <c r="Q1417" s="728"/>
      <c r="R1417" s="132">
        <f t="shared" si="114"/>
        <v>0</v>
      </c>
      <c r="S1417" s="728"/>
      <c r="T1417" s="70">
        <f>T702/'Terms and Turnovers'!$AS115</f>
        <v>0</v>
      </c>
      <c r="U1417" s="728"/>
      <c r="V1417" s="70">
        <f>V702/'Terms and Turnovers'!$AS115</f>
        <v>0</v>
      </c>
      <c r="W1417" s="728"/>
      <c r="X1417" s="70">
        <f>X702/'Terms and Turnovers'!$AS115</f>
        <v>0</v>
      </c>
      <c r="Y1417" s="728"/>
      <c r="Z1417" s="70">
        <f>Z702/'Terms and Turnovers'!$AS115</f>
        <v>0</v>
      </c>
      <c r="AA1417" s="728"/>
      <c r="AB1417" s="70">
        <f>AB702/'Terms and Turnovers'!$AS115</f>
        <v>0</v>
      </c>
      <c r="AC1417" s="728"/>
      <c r="AD1417" s="70">
        <f>AD702/'Terms and Turnovers'!$AS115</f>
        <v>0</v>
      </c>
      <c r="AE1417" s="728"/>
      <c r="AF1417" s="132">
        <f t="shared" si="115"/>
        <v>0</v>
      </c>
      <c r="AG1417" s="728"/>
      <c r="AH1417" s="133">
        <f t="shared" si="116"/>
        <v>0</v>
      </c>
      <c r="AI1417" s="728"/>
      <c r="AJ1417" s="65"/>
    </row>
    <row r="1418" spans="2:38" ht="13.5" customHeight="1" outlineLevel="1" thickBot="1">
      <c r="B1418" s="82"/>
      <c r="C1418" s="1235"/>
      <c r="D1418" s="1235"/>
      <c r="E1418" s="85">
        <f>'Terms and Turnovers'!$AX$12</f>
        <v>0</v>
      </c>
      <c r="F1418" s="70">
        <f>F703/'Terms and Turnovers'!$AX115</f>
        <v>0</v>
      </c>
      <c r="G1418" s="111"/>
      <c r="H1418" s="70">
        <f>H703/'Terms and Turnovers'!$AX115</f>
        <v>0</v>
      </c>
      <c r="I1418" s="107"/>
      <c r="J1418" s="70">
        <f>J703/'Terms and Turnovers'!$AX115</f>
        <v>0</v>
      </c>
      <c r="K1418" s="107"/>
      <c r="L1418" s="70">
        <f>L703/'Terms and Turnovers'!$AX115</f>
        <v>0</v>
      </c>
      <c r="M1418" s="107"/>
      <c r="N1418" s="70">
        <f>N703/'Terms and Turnovers'!$AX115</f>
        <v>0</v>
      </c>
      <c r="O1418" s="107"/>
      <c r="P1418" s="70">
        <f>P703/'Terms and Turnovers'!$AX115</f>
        <v>0</v>
      </c>
      <c r="Q1418" s="107"/>
      <c r="R1418" s="135">
        <f t="shared" si="114"/>
        <v>0</v>
      </c>
      <c r="S1418" s="107"/>
      <c r="T1418" s="70">
        <f>T703/'Terms and Turnovers'!$AX$115</f>
        <v>0</v>
      </c>
      <c r="U1418" s="111"/>
      <c r="V1418" s="70">
        <f>V703/'Terms and Turnovers'!$AX$115</f>
        <v>0</v>
      </c>
      <c r="W1418" s="107"/>
      <c r="X1418" s="70">
        <f>X703/'Terms and Turnovers'!$AX$115</f>
        <v>0</v>
      </c>
      <c r="Y1418" s="107"/>
      <c r="Z1418" s="70">
        <f>Z703/'Terms and Turnovers'!$AX$115</f>
        <v>0</v>
      </c>
      <c r="AA1418" s="107"/>
      <c r="AB1418" s="70">
        <f>AB703/'Terms and Turnovers'!$AX$115</f>
        <v>0</v>
      </c>
      <c r="AC1418" s="107"/>
      <c r="AD1418" s="70">
        <f>AD703/'Terms and Turnovers'!$AX$115</f>
        <v>0</v>
      </c>
      <c r="AE1418" s="107"/>
      <c r="AF1418" s="135">
        <f t="shared" si="115"/>
        <v>0</v>
      </c>
      <c r="AG1418" s="107"/>
      <c r="AH1418" s="136">
        <f t="shared" si="116"/>
        <v>0</v>
      </c>
      <c r="AI1418" s="107"/>
      <c r="AJ1418" s="65"/>
    </row>
    <row r="1419" spans="2:38" ht="13.5" customHeight="1" outlineLevel="1">
      <c r="B1419" s="82"/>
      <c r="C1419" s="425"/>
      <c r="D1419" s="425"/>
      <c r="E1419" s="634"/>
      <c r="F1419" s="635"/>
      <c r="G1419" s="428"/>
      <c r="H1419" s="635"/>
      <c r="I1419" s="428"/>
      <c r="J1419" s="635"/>
      <c r="K1419" s="636"/>
      <c r="L1419" s="635"/>
      <c r="M1419" s="636"/>
      <c r="N1419" s="635"/>
      <c r="O1419" s="636"/>
      <c r="P1419" s="635"/>
      <c r="Q1419" s="636"/>
      <c r="R1419" s="637"/>
      <c r="S1419" s="698">
        <f>SUM(R699:R703)/1.18-(SUM(R1414:R1418)*'Mark Up Validation'!$M$175)</f>
        <v>0</v>
      </c>
      <c r="T1419" s="635"/>
      <c r="U1419" s="636"/>
      <c r="V1419" s="635"/>
      <c r="W1419" s="636"/>
      <c r="X1419" s="635"/>
      <c r="Y1419" s="636"/>
      <c r="Z1419" s="635"/>
      <c r="AA1419" s="636"/>
      <c r="AB1419" s="635"/>
      <c r="AC1419" s="636"/>
      <c r="AD1419" s="635"/>
      <c r="AE1419" s="636"/>
      <c r="AF1419" s="637"/>
      <c r="AG1419" s="698">
        <f>SUM(AF699:AF703)/1.18-SUM(AF1414:AF1418)*'Mark Up Validation'!$M$175</f>
        <v>0</v>
      </c>
      <c r="AH1419" s="638"/>
      <c r="AI1419" s="698">
        <f>SUM(AH699:AH703)/1.18-SUM(AH1414:AH1418)*'Mark Up Validation'!$M$175</f>
        <v>0</v>
      </c>
      <c r="AJ1419" s="65"/>
    </row>
    <row r="1420" spans="2:38" ht="13.5" customHeight="1" outlineLevel="1" thickBot="1">
      <c r="B1420" s="82"/>
      <c r="C1420" s="1228" t="s">
        <v>487</v>
      </c>
      <c r="D1420" s="1229"/>
      <c r="E1420" s="699"/>
      <c r="F1420" s="700"/>
      <c r="G1420" s="701"/>
      <c r="H1420" s="700"/>
      <c r="I1420" s="701"/>
      <c r="J1420" s="700"/>
      <c r="K1420" s="702"/>
      <c r="L1420" s="700"/>
      <c r="M1420" s="702"/>
      <c r="N1420" s="700"/>
      <c r="O1420" s="702"/>
      <c r="P1420" s="700"/>
      <c r="Q1420" s="702"/>
      <c r="R1420" s="703"/>
      <c r="S1420" s="729">
        <f>IF(S1419&gt;0,S1419/(SUM(R699:R703)/1.18),0)</f>
        <v>0</v>
      </c>
      <c r="T1420" s="704"/>
      <c r="U1420" s="702"/>
      <c r="V1420" s="700"/>
      <c r="W1420" s="702"/>
      <c r="X1420" s="700"/>
      <c r="Y1420" s="702"/>
      <c r="Z1420" s="700"/>
      <c r="AA1420" s="702"/>
      <c r="AB1420" s="700"/>
      <c r="AC1420" s="702"/>
      <c r="AD1420" s="700"/>
      <c r="AE1420" s="702"/>
      <c r="AF1420" s="705"/>
      <c r="AG1420" s="729">
        <f>IF(AG1419&gt;0,AG1419/(SUM(AF699:AF703)/1.18),0)</f>
        <v>0</v>
      </c>
      <c r="AH1420" s="706"/>
      <c r="AI1420" s="729">
        <f>IF(AI1419&gt;0,AI1419/(SUM(AH699:AH703)/1.18),0)</f>
        <v>0</v>
      </c>
      <c r="AJ1420" s="65"/>
    </row>
    <row r="1421" spans="2:38" ht="12.75" customHeight="1" outlineLevel="1">
      <c r="B1421" s="82"/>
      <c r="C1421" s="1230" t="s">
        <v>46</v>
      </c>
      <c r="D1421" s="1230" t="s">
        <v>171</v>
      </c>
      <c r="E1421" s="83" t="str">
        <f>'Terms and Turnovers'!$J$12</f>
        <v>FLIP-FLOPS</v>
      </c>
      <c r="F1421" s="108">
        <f>SUM(F721,F728,F735,F742,F749,F756,F763,F770,F777,F784,F791,F798,F805,F812,F819,F826,F833,F840,F847,F854,F861,F868,F875,F882,F889,F896,F903,F910,F917)+SUM(F924,F931,F938,F945,F952,F959,F966,F973,F980,F987,F994,F1001,F1008,F1015,F1022,F1029,F1036,F1043,F1050,F1057,F1064,F1071,F1078,F1085,F1092,F1099,F1106,F1113,F1120)+SUM(F1127,F1134,F1141,F1148,F1155,F1162,F1169,F1176,F1183,F1190,F1197,F1204,F1211,F1218,F1225,F1232,F1239,F1246,F1253,F1260,F1267,F1274,F1281,F1288,F1295,F1302,F1309,F1316,F1323,F1330)+SUM(F1337,F1344,F1351,F1358,F1365,F1372,F1379,F1386,F1393,F1400,F1407,F1414)</f>
        <v>0</v>
      </c>
      <c r="G1421" s="112" t="e">
        <f>F706/F1421</f>
        <v>#DIV/0!</v>
      </c>
      <c r="H1421" s="108">
        <f>SUM(H721,H728,H735,H742,H749,H756,H763,H770,H777,H784,H791,H798,H805,H812,H819,H826,H833,H840,H847,H854,H861,H868,H875,H882,H889,H896,H903,H910,H917)+SUM(H924,H931,H938,H945,H952,H959,H966,H973,H980,H987,H994,H1001,H1008,H1015,H1022,H1029,H1036,H1043,H1050,H1057,H1064,H1071,H1078,H1085,H1092,H1099,H1106,H1113,H1120)+SUM(H1127,H1134,H1141,H1148,H1155,H1162,H1169,H1176,H1183,H1190,H1197,H1204,H1211,H1218,H1225,H1232,H1239,H1246,H1253,H1260,H1267,H1274,H1281,H1288,H1295,H1302,H1309,H1316,H1323,H1330)+SUM(H1337,H1344,H1351,H1358,H1365,H1372,H1379,H1386,H1393,H1400,H1407,H1414)</f>
        <v>0</v>
      </c>
      <c r="I1421" s="112" t="e">
        <f>H706/H1421</f>
        <v>#DIV/0!</v>
      </c>
      <c r="J1421" s="108">
        <f>SUM(J721,J728,J735,J742,J749,J756,J763,J770,J777,J784,J791,J798,J805,J812,J819,J826,J833,J840,J847,J854,J861,J868,J875,J882,J889,J896,J903,J910,J917)+SUM(J924,J931,J938,J945,J952,J959,J966,J973,J980,J987,J994,J1001,J1008,J1015,J1022,J1029,J1036,J1043,J1050,J1057,J1064,J1071,J1078,J1085,J1092,J1099,J1106,J1113,J1120)+SUM(J1127,J1134,J1141,J1148,J1155,J1162,J1169,J1176,J1183,J1190,J1197,J1204,J1211,J1218,J1225,J1232,J1239,J1246,J1253,J1260,J1267,J1274,J1281,J1288,J1295,J1302,J1309,J1316,J1323,J1330)+SUM(J1337,J1344,J1351,J1358,J1365,J1372,J1379,J1386,J1393,J1400,J1407,J1414)</f>
        <v>0</v>
      </c>
      <c r="K1421" s="112" t="e">
        <f>J706/J1421</f>
        <v>#DIV/0!</v>
      </c>
      <c r="L1421" s="108">
        <f>SUM(L721,L728,L735,L742,L749,L756,L763,L770,L777,L784,L791,L798,L805,L812,L819,L826,L833,L840,L847,L854,L861,L868,L875,L882,L889,L896,L903,L910,L917)+SUM(L924,L931,L938,L945,L952,L959,L966,L973,L980,L987,L994,L1001,L1008,L1015,L1022,L1029,L1036,L1043,L1050,L1057,L1064,L1071,L1078,L1085,L1092,L1099,L1106,L1113,L1120)+SUM(L1127,L1134,L1141,L1148,L1155,L1162,L1169,L1176,L1183,L1190,L1197,L1204,L1211,L1218,L1225,L1232,L1239,L1246,L1253,L1260,L1267,L1274,L1281,L1288,L1295,L1302,L1309,L1316,L1323,L1330)+SUM(L1337,L1344,L1351,L1358,L1365,L1372,L1379,L1386,L1393,L1400,L1407,L1414)</f>
        <v>1864204.9821926404</v>
      </c>
      <c r="M1421" s="112">
        <f>L706/L1421</f>
        <v>2.1332924058584246</v>
      </c>
      <c r="N1421" s="108">
        <f>SUM(N721,N728,N735,N742,N749,N756,N763,N770,N777,N784,N791,N798,N805,N812,N819,N826,N833,N840,N847,N854,N861,N868,N875,N882,N889,N896,N903,N910,N917)+SUM(N924,N931,N938,N945,N952,N959,N966,N973,N980,N987,N994,N1001,N1008,N1015,N1022,N1029,N1036,N1043,N1050,N1057,N1064,N1071,N1078,N1085,N1092,N1099,N1106,N1113,N1120)+SUM(N1127,N1134,N1141,N1148,N1155,N1162,N1169,N1176,N1183,N1190,N1197,N1204,N1211,N1218,N1225,N1232,N1239,N1246,N1253,N1260,N1267,N1274,N1281,N1288,N1295,N1302,N1309,N1316,N1323,N1330)+SUM(N1337,N1344,N1351,N1358,N1365,N1372,N1379,N1386,N1393,N1400,N1407,N1414)</f>
        <v>527115.09894155851</v>
      </c>
      <c r="O1421" s="112">
        <f>N706/N1421</f>
        <v>2.5052289840997504</v>
      </c>
      <c r="P1421" s="108">
        <f>SUM(P721,P728,P735,P742,P749,P756,P763,P770,P777,P784,P791,P798,P805,P812,P819,P826,P833,P840,P847,P854,P861,P868,P875,P882,P889,P896,P903,P910,P917)+SUM(P924,P931,P938,P945,P952,P959,P966,P973,P980,P987,P994,P1001,P1008,P1015,P1022,P1029,P1036,P1043,P1050,P1057,P1064,P1071,P1078,P1085,P1092,P1099,P1106,P1113,P1120)+SUM(P1127,P1134,P1141,P1148,P1155,P1162,P1169,P1176,P1183,P1190,P1197,P1204,P1211,P1218,P1225,P1232,P1239,P1246,P1253,P1260,P1267,P1274,P1281,P1288,P1295,P1302,P1309,P1316,P1323,P1330)+SUM(P1337,P1344,P1351,P1358,P1365,P1372,P1379,P1386,P1393,P1400,P1407,P1414)</f>
        <v>676728.61302164511</v>
      </c>
      <c r="Q1421" s="112">
        <f>P706/P1421</f>
        <v>2.5698905820380533</v>
      </c>
      <c r="R1421" s="129">
        <f t="shared" si="114"/>
        <v>3068048.6941558444</v>
      </c>
      <c r="S1421" s="106"/>
      <c r="T1421" s="108">
        <f>SUM(T721,T728,T735,T742,T749,T756,T763,T770,T777,T784,T791,T798,T805,T812,T819,T826,T833,T840,T847,T854,T861,T868,T875,T882,T889,T896,T903,T910,T917)+SUM(T924,T931,T938,T945,T952,T959,T966,T973,T980,T987,T994,T1001,T1008,T1015,T1022,T1029,T1036,T1043,T1050,T1057,T1064,T1071,T1078,T1085,T1092,T1099,T1106,T1113,T1120)+SUM(T1127,T1134,T1141,T1148,T1155,T1162,T1169,T1176,T1183,T1190,T1197,T1204,T1211,T1218,T1225,T1232,T1239,T1246,T1253,T1260,T1267,T1274,T1281,T1288,T1295,T1302,T1309,T1316,T1323,T1330)+SUM(T1337,T1344,T1351,T1358,T1365,T1372,T1379,T1386,T1393,T1400,T1407,T1414)</f>
        <v>567103.05232467537</v>
      </c>
      <c r="U1421" s="112">
        <f>T706/T1421</f>
        <v>2.2120609383209571</v>
      </c>
      <c r="V1421" s="108">
        <f>SUM(V721,V728,V735,V742,V749,V756,V763,V770,V777,V784,V791,V798,V805,V812,V819,V826,V833,V840,V847,V854,V861,V868,V875,V882,V889,V896,V903,V910,V917)+SUM(V924,V931,V938,V945,V952,V959,V966,V973,V980,V987,V994,V1001,V1008,V1015,V1022,V1029,V1036,V1043,V1050,V1057,V1064,V1071,V1078,V1085,V1092,V1099,V1106,V1113,V1120)+SUM(V1127,V1134,V1141,V1148,V1155,V1162,V1169,V1176,V1183,V1190,V1197,V1204,V1211,V1218,V1225,V1232,V1239,V1246,V1253,V1260,V1267,V1274,V1281,V1288,V1295,V1302,V1309,V1316,V1323,V1330)+SUM(V1337,V1344,V1351,V1358,V1365,V1372,V1379,V1386,V1393,V1400,V1407,V1414)</f>
        <v>336668.21117532474</v>
      </c>
      <c r="W1421" s="112">
        <f>V706/V1421</f>
        <v>2.6075730929874696</v>
      </c>
      <c r="X1421" s="108">
        <f>SUM(X721,X728,X735,X742,X749,X756,X763,X770,X777,X784,X791,X798,X805,X812,X819,X826,X833,X840,X847,X854,X861,X868,X875,X882,X889,X896,X903,X910,X917)+SUM(X924,X931,X938,X945,X952,X959,X966,X973,X980,X987,X994,X1001,X1008,X1015,X1022,X1029,X1036,X1043,X1050,X1057,X1064,X1071,X1078,X1085,X1092,X1099,X1106,X1113,X1120)+SUM(X1127,X1134,X1141,X1148,X1155,X1162,X1169,X1176,X1183,X1190,X1197,X1204,X1211,X1218,X1225,X1232,X1239,X1246,X1253,X1260,X1267,X1274,X1281,X1288,X1295,X1302,X1309,X1316,X1323,X1330)+SUM(X1337,X1344,X1351,X1358,X1365,X1372,X1379,X1386,X1393,X1400,X1407,X1414)</f>
        <v>173764.23802597407</v>
      </c>
      <c r="Y1421" s="112">
        <f>X706/X1421</f>
        <v>2.6075730929874696</v>
      </c>
      <c r="Z1421" s="108">
        <f>SUM(Z721,Z728,Z735,Z742,Z749,Z756,Z763,Z770,Z777,Z784,Z791,Z798,Z805,Z812,Z819,Z826,Z833,Z840,Z847,Z854,Z861,Z868,Z875,Z882,Z889,Z896,Z903,Z910,Z917)+SUM(Z924,Z931,Z938,Z945,Z952,Z959,Z966,Z973,Z980,Z987,Z994,Z1001,Z1008,Z1015,Z1022,Z1029,Z1036,Z1043,Z1050,Z1057,Z1064,Z1071,Z1078,Z1085,Z1092,Z1099,Z1106,Z1113,Z1120)+SUM(Z1127,Z1134,Z1141,Z1148,Z1155,Z1162,Z1169,Z1176,Z1183,Z1190,Z1197,Z1204,Z1211,Z1218,Z1225,Z1232,Z1239,Z1246,Z1253,Z1260,Z1267,Z1274,Z1281,Z1288,Z1295,Z1302,Z1309,Z1316,Z1323,Z1330)+SUM(Z1337,Z1344,Z1351,Z1358,Z1365,Z1372,Z1379,Z1386,Z1393,Z1400,Z1407,Z1414)</f>
        <v>76021.854136363647</v>
      </c>
      <c r="AA1421" s="112">
        <f>Z706/Z1421</f>
        <v>2.6075730929874696</v>
      </c>
      <c r="AB1421" s="108">
        <f>SUM(AB721,AB728,AB735,AB742,AB749,AB756,AB763,AB770,AB777,AB784,AB791,AB798,AB805,AB812,AB819,AB826,AB833,AB840,AB847,AB854,AB861,AB868,AB875,AB882,AB889,AB896,AB903,AB910,AB917)+SUM(AB924,AB931,AB938,AB945,AB952,AB959,AB966,AB973,AB980,AB987,AB994,AB1001,AB1008,AB1015,AB1022,AB1029,AB1036,AB1043,AB1050,AB1057,AB1064,AB1071,AB1078,AB1085,AB1092,AB1099,AB1106,AB1113,AB1120)+SUM(AB1127,AB1134,AB1141,AB1148,AB1155,AB1162,AB1169,AB1176,AB1183,AB1190,AB1197,AB1204,AB1211,AB1218,AB1225,AB1232,AB1239,AB1246,AB1253,AB1260,AB1267,AB1274,AB1281,AB1288,AB1295,AB1302,AB1309,AB1316,AB1323,AB1330)+SUM(AB1337,AB1344,AB1351,AB1358,AB1365,AB1372,AB1379,AB1386,AB1393,AB1400,AB1407,AB1414)</f>
        <v>43441.059506493519</v>
      </c>
      <c r="AC1421" s="112">
        <f>AB706/AB1421</f>
        <v>2.6075730929874696</v>
      </c>
      <c r="AD1421" s="108">
        <f>SUM(AD721,AD728,AD735,AD742,AD749,AD756,AD763,AD770,AD777,AD784,AD791,AD798,AD805,AD812,AD819,AD826,AD833,AD840,AD847,AD854,AD861,AD868,AD875,AD882,AD889,AD896,AD903,AD910,AD917)+SUM(AD924,AD931,AD938,AD945,AD952,AD959,AD966,AD973,AD980,AD987,AD994,AD1001,AD1008,AD1015,AD1022,AD1029,AD1036,AD1043,AD1050,AD1057,AD1064,AD1071,AD1078,AD1085,AD1092,AD1099,AD1106,AD1113,AD1120)+SUM(AD1127,AD1134,AD1141,AD1148,AD1155,AD1162,AD1169,AD1176,AD1183,AD1190,AD1197,AD1204,AD1211,AD1218,AD1225,AD1232,AD1239,AD1246,AD1253,AD1260,AD1267,AD1274,AD1281,AD1288,AD1295,AD1302,AD1309,AD1316,AD1323,AD1330)+SUM(AD1337,AD1344,AD1351,AD1358,AD1365,AD1372,AD1379,AD1386,AD1393,AD1400,AD1407,AD1414)</f>
        <v>43441.059506493519</v>
      </c>
      <c r="AE1421" s="112">
        <f>AD706/AD1421</f>
        <v>2.6075730929874696</v>
      </c>
      <c r="AF1421" s="129">
        <f t="shared" si="115"/>
        <v>1240439.474675325</v>
      </c>
      <c r="AG1421" s="106"/>
      <c r="AH1421" s="130">
        <f t="shared" si="116"/>
        <v>4308488.1688311696</v>
      </c>
      <c r="AI1421" s="106"/>
      <c r="AJ1421" s="65"/>
      <c r="AL1421" s="445"/>
    </row>
    <row r="1422" spans="2:38" ht="12.75" customHeight="1" outlineLevel="1">
      <c r="B1422" s="82"/>
      <c r="C1422" s="1231"/>
      <c r="D1422" s="1231"/>
      <c r="E1422" s="84" t="str">
        <f>'Terms and Turnovers'!$T$12</f>
        <v>ORIGINALS</v>
      </c>
      <c r="F1422" s="108">
        <f>SUM(F722,F729,F736,F743,F750,F757,F764,F771,F778,F785,F792,F799,F806,F813,F820,F827,F834,F841,F848,F855,F862,F869,F876,F883,F890,F897,F904,F911,F918)+SUM(F925,F932,F939,F946,F953,F960,F967,F974,F981,F988,F995,F1002,F1009,F1016,F1023,F1030,F1037,F1044,F1051,F1058,F1065,F1072,F1079,F1086,F1093,F1100,F1107,F1114,F1121)+SUM(F1128,F1135,F1142,F1149,F1156,F1163,F1170,F1177,F1184,F1191,F1198,F1205,F1212,F1219,F1226,F1233,F1240,F1247,F1254,F1261,F1268,F1275,F1282,F1289,F1296,F1303,F1310,F1317,F1324,F1331)+SUM(F1338,F1345,F1352,F1359,F1366,F1373,F1380,F1387,F1394,F1401,F1408,F1415)</f>
        <v>0</v>
      </c>
      <c r="G1422" s="113" t="e">
        <f>F707/F1422</f>
        <v>#DIV/0!</v>
      </c>
      <c r="H1422" s="108">
        <f>SUM(H722,H729,H736,H743,H750,H757,H764,H771,H778,H785,H792,H799,H806,H813,H820,H827,H834,H841,H848,H855,H862,H869,H876,H883,H890,H897,H904,H911,H918)+SUM(H925,H932,H939,H946,H953,H960,H967,H974,H981,H988,H995,H1002,H1009,H1016,H1023,H1030,H1037,H1044,H1051,H1058,H1065,H1072,H1079,H1086,H1093,H1100,H1107,H1114,H1121)+SUM(H1128,H1135,H1142,H1149,H1156,H1163,H1170,H1177,H1184,H1191,H1198,H1205,H1212,H1219,H1226,H1233,H1240,H1247,H1254,H1261,H1268,H1275,H1282,H1289,H1296,H1303,H1310,H1317,H1324,H1331)+SUM(H1338,H1345,H1352,H1359,H1366,H1373,H1380,H1387,H1394,H1401,H1408,H1415)</f>
        <v>0</v>
      </c>
      <c r="I1422" s="113" t="e">
        <f>H707/H1422</f>
        <v>#DIV/0!</v>
      </c>
      <c r="J1422" s="108">
        <f>SUM(J722,J729,J736,J743,J750,J757,J764,J771,J778,J785,J792,J799,J806,J813,J820,J827,J834,J841,J848,J855,J862,J869,J876,J883,J890,J897,J904,J911,J918)+SUM(J925,J932,J939,J946,J953,J960,J967,J974,J981,J988,J995,J1002,J1009,J1016,J1023,J1030,J1037,J1044,J1051,J1058,J1065,J1072,J1079,J1086,J1093,J1100,J1107,J1114,J1121)+SUM(J1128,J1135,J1142,J1149,J1156,J1163,J1170,J1177,J1184,J1191,J1198,J1205,J1212,J1219,J1226,J1233,J1240,J1247,J1254,J1261,J1268,J1275,J1282,J1289,J1296,J1303,J1310,J1317,J1324,J1331)+SUM(J1338,J1345,J1352,J1359,J1366,J1373,J1380,J1387,J1394,J1401,J1408,J1415)</f>
        <v>0</v>
      </c>
      <c r="K1422" s="113" t="e">
        <f>J707/J1422</f>
        <v>#DIV/0!</v>
      </c>
      <c r="L1422" s="108">
        <f>SUM(L722,L729,L736,L743,L750,L757,L764,L771,L778,L785,L792,L799,L806,L813,L820,L827,L834,L841,L848,L855,L862,L869,L876,L883,L890,L897,L904,L911,L918)+SUM(L925,L932,L939,L946,L953,L960,L967,L974,L981,L988,L995,L1002,L1009,L1016,L1023,L1030,L1037,L1044,L1051,L1058,L1065,L1072,L1079,L1086,L1093,L1100,L1107,L1114,L1121)+SUM(L1128,L1135,L1142,L1149,L1156,L1163,L1170,L1177,L1184,L1191,L1198,L1205,L1212,L1219,L1226,L1233,L1240,L1247,L1254,L1261,L1268,L1275,L1282,L1289,L1296,L1303,L1310,L1317,L1324,L1331)+SUM(L1338,L1345,L1352,L1359,L1366,L1373,L1380,L1387,L1394,L1401,L1408,L1415)</f>
        <v>0</v>
      </c>
      <c r="M1422" s="113" t="e">
        <f>L707/L1422</f>
        <v>#DIV/0!</v>
      </c>
      <c r="N1422" s="108">
        <f>SUM(N722,N729,N736,N743,N750,N757,N764,N771,N778,N785,N792,N799,N806,N813,N820,N827,N834,N841,N848,N855,N862,N869,N876,N883,N890,N897,N904,N911,N918)+SUM(N925,N932,N939,N946,N953,N960,N967,N974,N981,N988,N995,N1002,N1009,N1016,N1023,N1030,N1037,N1044,N1051,N1058,N1065,N1072,N1079,N1086,N1093,N1100,N1107,N1114,N1121)+SUM(N1128,N1135,N1142,N1149,N1156,N1163,N1170,N1177,N1184,N1191,N1198,N1205,N1212,N1219,N1226,N1233,N1240,N1247,N1254,N1261,N1268,N1275,N1282,N1289,N1296,N1303,N1310,N1317,N1324,N1331)+SUM(N1338,N1345,N1352,N1359,N1366,N1373,N1380,N1387,N1394,N1401,N1408,N1415)</f>
        <v>0</v>
      </c>
      <c r="O1422" s="113" t="e">
        <f>N707/N1422</f>
        <v>#DIV/0!</v>
      </c>
      <c r="P1422" s="108">
        <f>SUM(P722,P729,P736,P743,P750,P757,P764,P771,P778,P785,P792,P799,P806,P813,P820,P827,P834,P841,P848,P855,P862,P869,P876,P883,P890,P897,P904,P911,P918)+SUM(P925,P932,P939,P946,P953,P960,P967,P974,P981,P988,P995,P1002,P1009,P1016,P1023,P1030,P1037,P1044,P1051,P1058,P1065,P1072,P1079,P1086,P1093,P1100,P1107,P1114,P1121)+SUM(P1128,P1135,P1142,P1149,P1156,P1163,P1170,P1177,P1184,P1191,P1198,P1205,P1212,P1219,P1226,P1233,P1240,P1247,P1254,P1261,P1268,P1275,P1282,P1289,P1296,P1303,P1310,P1317,P1324,P1331)+SUM(P1338,P1345,P1352,P1359,P1366,P1373,P1380,P1387,P1394,P1401,P1408,P1415)</f>
        <v>0</v>
      </c>
      <c r="Q1422" s="113" t="e">
        <f>P707/P1422</f>
        <v>#DIV/0!</v>
      </c>
      <c r="R1422" s="132">
        <f t="shared" si="114"/>
        <v>0</v>
      </c>
      <c r="S1422" s="728"/>
      <c r="T1422" s="108">
        <f>SUM(T722,T729,T736,T743,T750,T757,T764,T771,T778,T785,T792,T799,T806,T813,T820,T827,T834,T841,T848,T855,T862,T869,T876,T883,T890,T897,T904,T911,T918)+SUM(T925,T932,T939,T946,T953,T960,T967,T974,T981,T988,T995,T1002,T1009,T1016,T1023,T1030,T1037,T1044,T1051,T1058,T1065,T1072,T1079,T1086,T1093,T1100,T1107,T1114,T1121)+SUM(T1128,T1135,T1142,T1149,T1156,T1163,T1170,T1177,T1184,T1191,T1198,T1205,T1212,T1219,T1226,T1233,T1240,T1247,T1254,T1261,T1268,T1275,T1282,T1289,T1296,T1303,T1310,T1317,T1324,T1331)+SUM(T1338,T1345,T1352,T1359,T1366,T1373,T1380,T1387,T1394,T1401,T1408,T1415)</f>
        <v>0</v>
      </c>
      <c r="U1422" s="113" t="e">
        <f>T707/T1422</f>
        <v>#DIV/0!</v>
      </c>
      <c r="V1422" s="108">
        <f>SUM(V722,V729,V736,V743,V750,V757,V764,V771,V778,V785,V792,V799,V806,V813,V820,V827,V834,V841,V848,V855,V862,V869,V876,V883,V890,V897,V904,V911,V918)+SUM(V925,V932,V939,V946,V953,V960,V967,V974,V981,V988,V995,V1002,V1009,V1016,V1023,V1030,V1037,V1044,V1051,V1058,V1065,V1072,V1079,V1086,V1093,V1100,V1107,V1114,V1121)+SUM(V1128,V1135,V1142,V1149,V1156,V1163,V1170,V1177,V1184,V1191,V1198,V1205,V1212,V1219,V1226,V1233,V1240,V1247,V1254,V1261,V1268,V1275,V1282,V1289,V1296,V1303,V1310,V1317,V1324,V1331)+SUM(V1338,V1345,V1352,V1359,V1366,V1373,V1380,V1387,V1394,V1401,V1408,V1415)</f>
        <v>0</v>
      </c>
      <c r="W1422" s="113" t="e">
        <f>V707/V1422</f>
        <v>#DIV/0!</v>
      </c>
      <c r="X1422" s="108">
        <f>SUM(X722,X729,X736,X743,X750,X757,X764,X771,X778,X785,X792,X799,X806,X813,X820,X827,X834,X841,X848,X855,X862,X869,X876,X883,X890,X897,X904,X911,X918)+SUM(X925,X932,X939,X946,X953,X960,X967,X974,X981,X988,X995,X1002,X1009,X1016,X1023,X1030,X1037,X1044,X1051,X1058,X1065,X1072,X1079,X1086,X1093,X1100,X1107,X1114,X1121)+SUM(X1128,X1135,X1142,X1149,X1156,X1163,X1170,X1177,X1184,X1191,X1198,X1205,X1212,X1219,X1226,X1233,X1240,X1247,X1254,X1261,X1268,X1275,X1282,X1289,X1296,X1303,X1310,X1317,X1324,X1331)+SUM(X1338,X1345,X1352,X1359,X1366,X1373,X1380,X1387,X1394,X1401,X1408,X1415)</f>
        <v>0</v>
      </c>
      <c r="Y1422" s="113" t="e">
        <f>X707/X1422</f>
        <v>#DIV/0!</v>
      </c>
      <c r="Z1422" s="108">
        <f>SUM(Z722,Z729,Z736,Z743,Z750,Z757,Z764,Z771,Z778,Z785,Z792,Z799,Z806,Z813,Z820,Z827,Z834,Z841,Z848,Z855,Z862,Z869,Z876,Z883,Z890,Z897,Z904,Z911,Z918)+SUM(Z925,Z932,Z939,Z946,Z953,Z960,Z967,Z974,Z981,Z988,Z995,Z1002,Z1009,Z1016,Z1023,Z1030,Z1037,Z1044,Z1051,Z1058,Z1065,Z1072,Z1079,Z1086,Z1093,Z1100,Z1107,Z1114,Z1121)+SUM(Z1128,Z1135,Z1142,Z1149,Z1156,Z1163,Z1170,Z1177,Z1184,Z1191,Z1198,Z1205,Z1212,Z1219,Z1226,Z1233,Z1240,Z1247,Z1254,Z1261,Z1268,Z1275,Z1282,Z1289,Z1296,Z1303,Z1310,Z1317,Z1324,Z1331)+SUM(Z1338,Z1345,Z1352,Z1359,Z1366,Z1373,Z1380,Z1387,Z1394,Z1401,Z1408,Z1415)</f>
        <v>0</v>
      </c>
      <c r="AA1422" s="113" t="e">
        <f>Z707/Z1422</f>
        <v>#DIV/0!</v>
      </c>
      <c r="AB1422" s="108">
        <f>SUM(AB722,AB729,AB736,AB743,AB750,AB757,AB764,AB771,AB778,AB785,AB792,AB799,AB806,AB813,AB820,AB827,AB834,AB841,AB848,AB855,AB862,AB869,AB876,AB883,AB890,AB897,AB904,AB911,AB918)+SUM(AB925,AB932,AB939,AB946,AB953,AB960,AB967,AB974,AB981,AB988,AB995,AB1002,AB1009,AB1016,AB1023,AB1030,AB1037,AB1044,AB1051,AB1058,AB1065,AB1072,AB1079,AB1086,AB1093,AB1100,AB1107,AB1114,AB1121)+SUM(AB1128,AB1135,AB1142,AB1149,AB1156,AB1163,AB1170,AB1177,AB1184,AB1191,AB1198,AB1205,AB1212,AB1219,AB1226,AB1233,AB1240,AB1247,AB1254,AB1261,AB1268,AB1275,AB1282,AB1289,AB1296,AB1303,AB1310,AB1317,AB1324,AB1331)+SUM(AB1338,AB1345,AB1352,AB1359,AB1366,AB1373,AB1380,AB1387,AB1394,AB1401,AB1408,AB1415)</f>
        <v>0</v>
      </c>
      <c r="AC1422" s="113" t="e">
        <f>AB707/AB1422</f>
        <v>#DIV/0!</v>
      </c>
      <c r="AD1422" s="108">
        <f>SUM(AD722,AD729,AD736,AD743,AD750,AD757,AD764,AD771,AD778,AD785,AD792,AD799,AD806,AD813,AD820,AD827,AD834,AD841,AD848,AD855,AD862,AD869,AD876,AD883,AD890,AD897,AD904,AD911,AD918)+SUM(AD925,AD932,AD939,AD946,AD953,AD960,AD967,AD974,AD981,AD988,AD995,AD1002,AD1009,AD1016,AD1023,AD1030,AD1037,AD1044,AD1051,AD1058,AD1065,AD1072,AD1079,AD1086,AD1093,AD1100,AD1107,AD1114,AD1121)+SUM(AD1128,AD1135,AD1142,AD1149,AD1156,AD1163,AD1170,AD1177,AD1184,AD1191,AD1198,AD1205,AD1212,AD1219,AD1226,AD1233,AD1240,AD1247,AD1254,AD1261,AD1268,AD1275,AD1282,AD1289,AD1296,AD1303,AD1310,AD1317,AD1324,AD1331)+SUM(AD1338,AD1345,AD1352,AD1359,AD1366,AD1373,AD1380,AD1387,AD1394,AD1401,AD1408,AD1415)</f>
        <v>0</v>
      </c>
      <c r="AE1422" s="113" t="e">
        <f>AD707/AD1422</f>
        <v>#DIV/0!</v>
      </c>
      <c r="AF1422" s="132">
        <f t="shared" si="115"/>
        <v>0</v>
      </c>
      <c r="AG1422" s="728"/>
      <c r="AH1422" s="133">
        <f t="shared" si="116"/>
        <v>0</v>
      </c>
      <c r="AI1422" s="728"/>
      <c r="AJ1422" s="65"/>
    </row>
    <row r="1423" spans="2:38" ht="12.75" customHeight="1" outlineLevel="1">
      <c r="B1423" s="82"/>
      <c r="C1423" s="1231"/>
      <c r="D1423" s="1231"/>
      <c r="E1423" s="84" t="str">
        <f>'Terms and Turnovers'!$AD$12</f>
        <v>ACCESSORIES</v>
      </c>
      <c r="F1423" s="108">
        <f>SUM(F723,F730,F737,F744,F751,F758,F765,F772,F779,F786,F793,F800,F807,F814,F821,F828,F835,F842,F849,F856,F863,F870,F877,F884,F891,F898,F905,F912,F919)+SUM(F926,F933,F940,F947,F954,F961,F968,F975,F982,F989,F996,F1003,F1010,F1017,F1024,F1031,F1038,F1045,F1052,F1059,F1066,F1073,F1080,F1087,F1094,F1101,F1108,F1115,F1122)+SUM(F1129,F1136,F1143,F1150,F1157,F1164,F1171,F1178,F1185,F1192,F1199,F1206,F1213,F1220,F1227,F1234,F1241,F1248,F1255,F1262,F1269,F1276,F1283,F1290,F1297,F1304,F1311,F1318,F1325,F1332)+SUM(F1339,F1346,F1353,F1360,F1367,F1374,F1381,F1388,F1395,F1402,F1409,F1416)</f>
        <v>0</v>
      </c>
      <c r="G1423" s="113" t="e">
        <f>F708/F1423</f>
        <v>#DIV/0!</v>
      </c>
      <c r="H1423" s="108">
        <f>SUM(H723,H730,H737,H744,H751,H758,H765,H772,H779,H786,H793,H800,H807,H814,H821,H828,H835,H842,H849,H856,H863,H870,H877,H884,H891,H898,H905,H912,H919)+SUM(H926,H933,H940,H947,H954,H961,H968,H975,H982,H989,H996,H1003,H1010,H1017,H1024,H1031,H1038,H1045,H1052,H1059,H1066,H1073,H1080,H1087,H1094,H1101,H1108,H1115,H1122)+SUM(H1129,H1136,H1143,H1150,H1157,H1164,H1171,H1178,H1185,H1192,H1199,H1206,H1213,H1220,H1227,H1234,H1241,H1248,H1255,H1262,H1269,H1276,H1283,H1290,H1297,H1304,H1311,H1318,H1325,H1332)+SUM(H1339,H1346,H1353,H1360,H1367,H1374,H1381,H1388,H1395,H1402,H1409,H1416)</f>
        <v>0</v>
      </c>
      <c r="I1423" s="113" t="e">
        <f>H708/H1423</f>
        <v>#DIV/0!</v>
      </c>
      <c r="J1423" s="108">
        <f>SUM(J723,J730,J737,J744,J751,J758,J765,J772,J779,J786,J793,J800,J807,J814,J821,J828,J835,J842,J849,J856,J863,J870,J877,J884,J891,J898,J905,J912,J919)+SUM(J926,J933,J940,J947,J954,J961,J968,J975,J982,J989,J996,J1003,J1010,J1017,J1024,J1031,J1038,J1045,J1052,J1059,J1066,J1073,J1080,J1087,J1094,J1101,J1108,J1115,J1122)+SUM(J1129,J1136,J1143,J1150,J1157,J1164,J1171,J1178,J1185,J1192,J1199,J1206,J1213,J1220,J1227,J1234,J1241,J1248,J1255,J1262,J1269,J1276,J1283,J1290,J1297,J1304,J1311,J1318,J1325,J1332)+SUM(J1339,J1346,J1353,J1360,J1367,J1374,J1381,J1388,J1395,J1402,J1409,J1416)</f>
        <v>0</v>
      </c>
      <c r="K1423" s="113" t="e">
        <f>J708/J1423</f>
        <v>#DIV/0!</v>
      </c>
      <c r="L1423" s="108">
        <f>SUM(L723,L730,L737,L744,L751,L758,L765,L772,L779,L786,L793,L800,L807,L814,L821,L828,L835,L842,L849,L856,L863,L870,L877,L884,L891,L898,L905,L912,L919)+SUM(L926,L933,L940,L947,L954,L961,L968,L975,L982,L989,L996,L1003,L1010,L1017,L1024,L1031,L1038,L1045,L1052,L1059,L1066,L1073,L1080,L1087,L1094,L1101,L1108,L1115,L1122)+SUM(L1129,L1136,L1143,L1150,L1157,L1164,L1171,L1178,L1185,L1192,L1199,L1206,L1213,L1220,L1227,L1234,L1241,L1248,L1255,L1262,L1269,L1276,L1283,L1290,L1297,L1304,L1311,L1318,L1325,L1332)+SUM(L1339,L1346,L1353,L1360,L1367,L1374,L1381,L1388,L1395,L1402,L1409,L1416)</f>
        <v>0</v>
      </c>
      <c r="M1423" s="113" t="e">
        <f>L708/L1423</f>
        <v>#DIV/0!</v>
      </c>
      <c r="N1423" s="108">
        <f>SUM(N723,N730,N737,N744,N751,N758,N765,N772,N779,N786,N793,N800,N807,N814,N821,N828,N835,N842,N849,N856,N863,N870,N877,N884,N891,N898,N905,N912,N919)+SUM(N926,N933,N940,N947,N954,N961,N968,N975,N982,N989,N996,N1003,N1010,N1017,N1024,N1031,N1038,N1045,N1052,N1059,N1066,N1073,N1080,N1087,N1094,N1101,N1108,N1115,N1122)+SUM(N1129,N1136,N1143,N1150,N1157,N1164,N1171,N1178,N1185,N1192,N1199,N1206,N1213,N1220,N1227,N1234,N1241,N1248,N1255,N1262,N1269,N1276,N1283,N1290,N1297,N1304,N1311,N1318,N1325,N1332)+SUM(N1339,N1346,N1353,N1360,N1367,N1374,N1381,N1388,N1395,N1402,N1409,N1416)</f>
        <v>0</v>
      </c>
      <c r="O1423" s="113" t="e">
        <f>N708/N1423</f>
        <v>#DIV/0!</v>
      </c>
      <c r="P1423" s="108">
        <f>SUM(P723,P730,P737,P744,P751,P758,P765,P772,P779,P786,P793,P800,P807,P814,P821,P828,P835,P842,P849,P856,P863,P870,P877,P884,P891,P898,P905,P912,P919)+SUM(P926,P933,P940,P947,P954,P961,P968,P975,P982,P989,P996,P1003,P1010,P1017,P1024,P1031,P1038,P1045,P1052,P1059,P1066,P1073,P1080,P1087,P1094,P1101,P1108,P1115,P1122)+SUM(P1129,P1136,P1143,P1150,P1157,P1164,P1171,P1178,P1185,P1192,P1199,P1206,P1213,P1220,P1227,P1234,P1241,P1248,P1255,P1262,P1269,P1276,P1283,P1290,P1297,P1304,P1311,P1318,P1325,P1332)+SUM(P1339,P1346,P1353,P1360,P1367,P1374,P1381,P1388,P1395,P1402,P1409,P1416)</f>
        <v>0</v>
      </c>
      <c r="Q1423" s="113" t="e">
        <f>P708/P1423</f>
        <v>#DIV/0!</v>
      </c>
      <c r="R1423" s="132">
        <f>SUM(F1423,H1423,J1423,L1423,N1423,P1423)</f>
        <v>0</v>
      </c>
      <c r="S1423" s="728"/>
      <c r="T1423" s="108">
        <f>SUM(T723,T730,T737,T744,T751,T758,T765,T772,T779,T786,T793,T800,T807,T814,T821,T828,T835,T842,T849,T856,T863,T870,T877,T884,T891,T898,T905,T912,T919)+SUM(T926,T933,T940,T947,T954,T961,T968,T975,T982,T989,T996,T1003,T1010,T1017,T1024,T1031,T1038,T1045,T1052,T1059,T1066,T1073,T1080,T1087,T1094,T1101,T1108,T1115,T1122)+SUM(T1129,T1136,T1143,T1150,T1157,T1164,T1171,T1178,T1185,T1192,T1199,T1206,T1213,T1220,T1227,T1234,T1241,T1248,T1255,T1262,T1269,T1276,T1283,T1290,T1297,T1304,T1311,T1318,T1325,T1332)+SUM(T1339,T1346,T1353,T1360,T1367,T1374,T1381,T1388,T1395,T1402,T1409,T1416)</f>
        <v>0</v>
      </c>
      <c r="U1423" s="113" t="e">
        <f>T708/T1423</f>
        <v>#DIV/0!</v>
      </c>
      <c r="V1423" s="108">
        <f>SUM(V723,V730,V737,V744,V751,V758,V765,V772,V779,V786,V793,V800,V807,V814,V821,V828,V835,V842,V849,V856,V863,V870,V877,V884,V891,V898,V905,V912,V919)+SUM(V926,V933,V940,V947,V954,V961,V968,V975,V982,V989,V996,V1003,V1010,V1017,V1024,V1031,V1038,V1045,V1052,V1059,V1066,V1073,V1080,V1087,V1094,V1101,V1108,V1115,V1122)+SUM(V1129,V1136,V1143,V1150,V1157,V1164,V1171,V1178,V1185,V1192,V1199,V1206,V1213,V1220,V1227,V1234,V1241,V1248,V1255,V1262,V1269,V1276,V1283,V1290,V1297,V1304,V1311,V1318,V1325,V1332)+SUM(V1339,V1346,V1353,V1360,V1367,V1374,V1381,V1388,V1395,V1402,V1409,V1416)</f>
        <v>0</v>
      </c>
      <c r="W1423" s="113" t="e">
        <f>V708/V1423</f>
        <v>#DIV/0!</v>
      </c>
      <c r="X1423" s="108">
        <f>SUM(X723,X730,X737,X744,X751,X758,X765,X772,X779,X786,X793,X800,X807,X814,X821,X828,X835,X842,X849,X856,X863,X870,X877,X884,X891,X898,X905,X912,X919)+SUM(X926,X933,X940,X947,X954,X961,X968,X975,X982,X989,X996,X1003,X1010,X1017,X1024,X1031,X1038,X1045,X1052,X1059,X1066,X1073,X1080,X1087,X1094,X1101,X1108,X1115,X1122)+SUM(X1129,X1136,X1143,X1150,X1157,X1164,X1171,X1178,X1185,X1192,X1199,X1206,X1213,X1220,X1227,X1234,X1241,X1248,X1255,X1262,X1269,X1276,X1283,X1290,X1297,X1304,X1311,X1318,X1325,X1332)+SUM(X1339,X1346,X1353,X1360,X1367,X1374,X1381,X1388,X1395,X1402,X1409,X1416)</f>
        <v>0</v>
      </c>
      <c r="Y1423" s="113" t="e">
        <f>X708/X1423</f>
        <v>#DIV/0!</v>
      </c>
      <c r="Z1423" s="108">
        <f>SUM(Z723,Z730,Z737,Z744,Z751,Z758,Z765,Z772,Z779,Z786,Z793,Z800,Z807,Z814,Z821,Z828,Z835,Z842,Z849,Z856,Z863,Z870,Z877,Z884,Z891,Z898,Z905,Z912,Z919)+SUM(Z926,Z933,Z940,Z947,Z954,Z961,Z968,Z975,Z982,Z989,Z996,Z1003,Z1010,Z1017,Z1024,Z1031,Z1038,Z1045,Z1052,Z1059,Z1066,Z1073,Z1080,Z1087,Z1094,Z1101,Z1108,Z1115,Z1122)+SUM(Z1129,Z1136,Z1143,Z1150,Z1157,Z1164,Z1171,Z1178,Z1185,Z1192,Z1199,Z1206,Z1213,Z1220,Z1227,Z1234,Z1241,Z1248,Z1255,Z1262,Z1269,Z1276,Z1283,Z1290,Z1297,Z1304,Z1311,Z1318,Z1325,Z1332)+SUM(Z1339,Z1346,Z1353,Z1360,Z1367,Z1374,Z1381,Z1388,Z1395,Z1402,Z1409,Z1416)</f>
        <v>0</v>
      </c>
      <c r="AA1423" s="113" t="e">
        <f>Z708/Z1423</f>
        <v>#DIV/0!</v>
      </c>
      <c r="AB1423" s="108">
        <f>SUM(AB723,AB730,AB737,AB744,AB751,AB758,AB765,AB772,AB779,AB786,AB793,AB800,AB807,AB814,AB821,AB828,AB835,AB842,AB849,AB856,AB863,AB870,AB877,AB884,AB891,AB898,AB905,AB912,AB919)+SUM(AB926,AB933,AB940,AB947,AB954,AB961,AB968,AB975,AB982,AB989,AB996,AB1003,AB1010,AB1017,AB1024,AB1031,AB1038,AB1045,AB1052,AB1059,AB1066,AB1073,AB1080,AB1087,AB1094,AB1101,AB1108,AB1115,AB1122)+SUM(AB1129,AB1136,AB1143,AB1150,AB1157,AB1164,AB1171,AB1178,AB1185,AB1192,AB1199,AB1206,AB1213,AB1220,AB1227,AB1234,AB1241,AB1248,AB1255,AB1262,AB1269,AB1276,AB1283,AB1290,AB1297,AB1304,AB1311,AB1318,AB1325,AB1332)+SUM(AB1339,AB1346,AB1353,AB1360,AB1367,AB1374,AB1381,AB1388,AB1395,AB1402,AB1409,AB1416)</f>
        <v>0</v>
      </c>
      <c r="AC1423" s="113" t="e">
        <f>AB708/AB1423</f>
        <v>#DIV/0!</v>
      </c>
      <c r="AD1423" s="108">
        <f>SUM(AD723,AD730,AD737,AD744,AD751,AD758,AD765,AD772,AD779,AD786,AD793,AD800,AD807,AD814,AD821,AD828,AD835,AD842,AD849,AD856,AD863,AD870,AD877,AD884,AD891,AD898,AD905,AD912,AD919)+SUM(AD926,AD933,AD940,AD947,AD954,AD961,AD968,AD975,AD982,AD989,AD996,AD1003,AD1010,AD1017,AD1024,AD1031,AD1038,AD1045,AD1052,AD1059,AD1066,AD1073,AD1080,AD1087,AD1094,AD1101,AD1108,AD1115,AD1122)+SUM(AD1129,AD1136,AD1143,AD1150,AD1157,AD1164,AD1171,AD1178,AD1185,AD1192,AD1199,AD1206,AD1213,AD1220,AD1227,AD1234,AD1241,AD1248,AD1255,AD1262,AD1269,AD1276,AD1283,AD1290,AD1297,AD1304,AD1311,AD1318,AD1325,AD1332)+SUM(AD1339,AD1346,AD1353,AD1360,AD1367,AD1374,AD1381,AD1388,AD1395,AD1402,AD1409,AD1416)</f>
        <v>0</v>
      </c>
      <c r="AE1423" s="113" t="e">
        <f>AD708/AD1423</f>
        <v>#DIV/0!</v>
      </c>
      <c r="AF1423" s="132">
        <f>SUM(T1423,V1423,X1423,Z1423,AB1423,AD1423)</f>
        <v>0</v>
      </c>
      <c r="AG1423" s="728"/>
      <c r="AH1423" s="133">
        <f t="shared" si="116"/>
        <v>0</v>
      </c>
      <c r="AI1423" s="728"/>
      <c r="AJ1423" s="65"/>
    </row>
    <row r="1424" spans="2:38" ht="12.75" customHeight="1" outlineLevel="1">
      <c r="B1424" s="82"/>
      <c r="C1424" s="1231"/>
      <c r="D1424" s="1231"/>
      <c r="E1424" s="84">
        <f>'Terms and Turnovers'!$AN$12</f>
        <v>0</v>
      </c>
      <c r="F1424" s="108">
        <f>SUM(F724,F731,F738,F745,F752,F759,F766,F773,F780,F787,F794,F801,F808,F815,F822,F829,F836,F843,F850,F857,F864,F871,F878,F885,F892,F899,F906,F913,F920)+SUM(F927,F934,F941,F948,F955,F962,F969,F976,F983,F990,F997,F1004,F1011,F1018,F1025,F1032,F1039,F1046,F1053,F1060,F1067,F1074,F1081,F1088,F1095,F1102,F1109,F1116,F1123)+SUM(F1130,F1137,F1144,F1151,F1158,F1165,F1172,F1179,F1186,F1193,F1200,F1207,F1214,F1221,F1228,F1235,F1242,F1249,F1256,F1263,F1270,F1277,F1284,F1291,F1298,F1305,F1312,F1319,F1326,F1333)+SUM(F1340,F1347,F1354,F1361,F1368,F1375,F1382,F1389,F1396,F1403,F1410,F1417)</f>
        <v>0</v>
      </c>
      <c r="G1424" s="113" t="e">
        <f>F709/F1424</f>
        <v>#DIV/0!</v>
      </c>
      <c r="H1424" s="108">
        <f>SUM(H724,H731,H738,H745,H752,H759,H766,H773,H780,H787,H794,H801,H808,H815,H822,H829,H836,H843,H850,H857,H864,H871,H878,H885,H892,H899,H906,H913,H920)+SUM(H927,H934,H941,H948,H955,H962,H969,H976,H983,H990,H997,H1004,H1011,H1018,H1025,H1032,H1039,H1046,H1053,H1060,H1067,H1074,H1081,H1088,H1095,H1102,H1109,H1116,H1123)+SUM(H1130,H1137,H1144,H1151,H1158,H1165,H1172,H1179,H1186,H1193,H1200,H1207,H1214,H1221,H1228,H1235,H1242,H1249,H1256,H1263,H1270,H1277,H1284,H1291,H1298,H1305,H1312,H1319,H1326,H1333)+SUM(H1340,H1347,H1354,H1361,H1368,H1375,H1382,H1389,H1396,H1403,H1410,H1417)</f>
        <v>0</v>
      </c>
      <c r="I1424" s="113" t="e">
        <f>H709/H1424</f>
        <v>#DIV/0!</v>
      </c>
      <c r="J1424" s="108">
        <f>SUM(J724,J731,J738,J745,J752,J759,J766,J773,J780,J787,J794,J801,J808,J815,J822,J829,J836,J843,J850,J857,J864,J871,J878,J885,J892,J899,J906,J913,J920)+SUM(J927,J934,J941,J948,J955,J962,J969,J976,J983,J990,J997,J1004,J1011,J1018,J1025,J1032,J1039,J1046,J1053,J1060,J1067,J1074,J1081,J1088,J1095,J1102,J1109,J1116,J1123)+SUM(J1130,J1137,J1144,J1151,J1158,J1165,J1172,J1179,J1186,J1193,J1200,J1207,J1214,J1221,J1228,J1235,J1242,J1249,J1256,J1263,J1270,J1277,J1284,J1291,J1298,J1305,J1312,J1319,J1326,J1333)+SUM(J1340,J1347,J1354,J1361,J1368,J1375,J1382,J1389,J1396,J1403,J1410,J1417)</f>
        <v>0</v>
      </c>
      <c r="K1424" s="113" t="e">
        <f>J709/J1424</f>
        <v>#DIV/0!</v>
      </c>
      <c r="L1424" s="108">
        <f>SUM(L724,L731,L738,L745,L752,L759,L766,L773,L780,L787,L794,L801,L808,L815,L822,L829,L836,L843,L850,L857,L864,L871,L878,L885,L892,L899,L906,L913,L920)+SUM(L927,L934,L941,L948,L955,L962,L969,L976,L983,L990,L997,L1004,L1011,L1018,L1025,L1032,L1039,L1046,L1053,L1060,L1067,L1074,L1081,L1088,L1095,L1102,L1109,L1116,L1123)+SUM(L1130,L1137,L1144,L1151,L1158,L1165,L1172,L1179,L1186,L1193,L1200,L1207,L1214,L1221,L1228,L1235,L1242,L1249,L1256,L1263,L1270,L1277,L1284,L1291,L1298,L1305,L1312,L1319,L1326,L1333)+SUM(L1340,L1347,L1354,L1361,L1368,L1375,L1382,L1389,L1396,L1403,L1410,L1417)</f>
        <v>0</v>
      </c>
      <c r="M1424" s="113" t="e">
        <f>L709/L1424</f>
        <v>#DIV/0!</v>
      </c>
      <c r="N1424" s="108">
        <f>SUM(N724,N731,N738,N745,N752,N759,N766,N773,N780,N787,N794,N801,N808,N815,N822,N829,N836,N843,N850,N857,N864,N871,N878,N885,N892,N899,N906,N913,N920)+SUM(N927,N934,N941,N948,N955,N962,N969,N976,N983,N990,N997,N1004,N1011,N1018,N1025,N1032,N1039,N1046,N1053,N1060,N1067,N1074,N1081,N1088,N1095,N1102,N1109,N1116,N1123)+SUM(N1130,N1137,N1144,N1151,N1158,N1165,N1172,N1179,N1186,N1193,N1200,N1207,N1214,N1221,N1228,N1235,N1242,N1249,N1256,N1263,N1270,N1277,N1284,N1291,N1298,N1305,N1312,N1319,N1326,N1333)+SUM(N1340,N1347,N1354,N1361,N1368,N1375,N1382,N1389,N1396,N1403,N1410,N1417)</f>
        <v>0</v>
      </c>
      <c r="O1424" s="113" t="e">
        <f>N709/N1424</f>
        <v>#DIV/0!</v>
      </c>
      <c r="P1424" s="108">
        <f>SUM(P724,P731,P738,P745,P752,P759,P766,P773,P780,P787,P794,P801,P808,P815,P822,P829,P836,P843,P850,P857,P864,P871,P878,P885,P892,P899,P906,P913,P920)+SUM(P927,P934,P941,P948,P955,P962,P969,P976,P983,P990,P997,P1004,P1011,P1018,P1025,P1032,P1039,P1046,P1053,P1060,P1067,P1074,P1081,P1088,P1095,P1102,P1109,P1116,P1123)+SUM(P1130,P1137,P1144,P1151,P1158,P1165,P1172,P1179,P1186,P1193,P1200,P1207,P1214,P1221,P1228,P1235,P1242,P1249,P1256,P1263,P1270,P1277,P1284,P1291,P1298,P1305,P1312,P1319,P1326,P1333)+SUM(P1340,P1347,P1354,P1361,P1368,P1375,P1382,P1389,P1396,P1403,P1410,P1417)</f>
        <v>0</v>
      </c>
      <c r="Q1424" s="113" t="e">
        <f>P709/P1424</f>
        <v>#DIV/0!</v>
      </c>
      <c r="R1424" s="132">
        <f>SUM(F1424,H1424,J1424,L1424,N1424,P1424)</f>
        <v>0</v>
      </c>
      <c r="S1424" s="728"/>
      <c r="T1424" s="108">
        <f>SUM(T724,T731,T738,T745,T752,T759,T766,T773,T780,T787,T794,T801,T808,T815,T822,T829,T836,T843,T850,T857,T864,T871,T878,T885,T892,T899,T906,T913,T920)+SUM(T927,T934,T941,T948,T955,T962,T969,T976,T983,T990,T997,T1004,T1011,T1018,T1025,T1032,T1039,T1046,T1053,T1060,T1067,T1074,T1081,T1088,T1095,T1102,T1109,T1116,T1123)+SUM(T1130,T1137,T1144,T1151,T1158,T1165,T1172,T1179,T1186,T1193,T1200,T1207,T1214,T1221,T1228,T1235,T1242,T1249,T1256,T1263,T1270,T1277,T1284,T1291,T1298,T1305,T1312,T1319,T1326,T1333)+SUM(T1340,T1347,T1354,T1361,T1368,T1375,T1382,T1389,T1396,T1403,T1410,T1417)</f>
        <v>0</v>
      </c>
      <c r="U1424" s="113" t="e">
        <f>T709/T1424</f>
        <v>#DIV/0!</v>
      </c>
      <c r="V1424" s="108">
        <f>SUM(V724,V731,V738,V745,V752,V759,V766,V773,V780,V787,V794,V801,V808,V815,V822,V829,V836,V843,V850,V857,V864,V871,V878,V885,V892,V899,V906,V913,V920)+SUM(V927,V934,V941,V948,V955,V962,V969,V976,V983,V990,V997,V1004,V1011,V1018,V1025,V1032,V1039,V1046,V1053,V1060,V1067,V1074,V1081,V1088,V1095,V1102,V1109,V1116,V1123)+SUM(V1130,V1137,V1144,V1151,V1158,V1165,V1172,V1179,V1186,V1193,V1200,V1207,V1214,V1221,V1228,V1235,V1242,V1249,V1256,V1263,V1270,V1277,V1284,V1291,V1298,V1305,V1312,V1319,V1326,V1333)+SUM(V1340,V1347,V1354,V1361,V1368,V1375,V1382,V1389,V1396,V1403,V1410,V1417)</f>
        <v>0</v>
      </c>
      <c r="W1424" s="113" t="e">
        <f>V709/V1424</f>
        <v>#DIV/0!</v>
      </c>
      <c r="X1424" s="108">
        <f>SUM(X724,X731,X738,X745,X752,X759,X766,X773,X780,X787,X794,X801,X808,X815,X822,X829,X836,X843,X850,X857,X864,X871,X878,X885,X892,X899,X906,X913,X920)+SUM(X927,X934,X941,X948,X955,X962,X969,X976,X983,X990,X997,X1004,X1011,X1018,X1025,X1032,X1039,X1046,X1053,X1060,X1067,X1074,X1081,X1088,X1095,X1102,X1109,X1116,X1123)+SUM(X1130,X1137,X1144,X1151,X1158,X1165,X1172,X1179,X1186,X1193,X1200,X1207,X1214,X1221,X1228,X1235,X1242,X1249,X1256,X1263,X1270,X1277,X1284,X1291,X1298,X1305,X1312,X1319,X1326,X1333)+SUM(X1340,X1347,X1354,X1361,X1368,X1375,X1382,X1389,X1396,X1403,X1410,X1417)</f>
        <v>0</v>
      </c>
      <c r="Y1424" s="113" t="e">
        <f>X709/X1424</f>
        <v>#DIV/0!</v>
      </c>
      <c r="Z1424" s="108">
        <f>SUM(Z724,Z731,Z738,Z745,Z752,Z759,Z766,Z773,Z780,Z787,Z794,Z801,Z808,Z815,Z822,Z829,Z836,Z843,Z850,Z857,Z864,Z871,Z878,Z885,Z892,Z899,Z906,Z913,Z920)+SUM(Z927,Z934,Z941,Z948,Z955,Z962,Z969,Z976,Z983,Z990,Z997,Z1004,Z1011,Z1018,Z1025,Z1032,Z1039,Z1046,Z1053,Z1060,Z1067,Z1074,Z1081,Z1088,Z1095,Z1102,Z1109,Z1116,Z1123)+SUM(Z1130,Z1137,Z1144,Z1151,Z1158,Z1165,Z1172,Z1179,Z1186,Z1193,Z1200,Z1207,Z1214,Z1221,Z1228,Z1235,Z1242,Z1249,Z1256,Z1263,Z1270,Z1277,Z1284,Z1291,Z1298,Z1305,Z1312,Z1319,Z1326,Z1333)+SUM(Z1340,Z1347,Z1354,Z1361,Z1368,Z1375,Z1382,Z1389,Z1396,Z1403,Z1410,Z1417)</f>
        <v>0</v>
      </c>
      <c r="AA1424" s="113" t="e">
        <f>Z709/Z1424</f>
        <v>#DIV/0!</v>
      </c>
      <c r="AB1424" s="108">
        <f>SUM(AB724,AB731,AB738,AB745,AB752,AB759,AB766,AB773,AB780,AB787,AB794,AB801,AB808,AB815,AB822,AB829,AB836,AB843,AB850,AB857,AB864,AB871,AB878,AB885,AB892,AB899,AB906,AB913,AB920)+SUM(AB927,AB934,AB941,AB948,AB955,AB962,AB969,AB976,AB983,AB990,AB997,AB1004,AB1011,AB1018,AB1025,AB1032,AB1039,AB1046,AB1053,AB1060,AB1067,AB1074,AB1081,AB1088,AB1095,AB1102,AB1109,AB1116,AB1123)+SUM(AB1130,AB1137,AB1144,AB1151,AB1158,AB1165,AB1172,AB1179,AB1186,AB1193,AB1200,AB1207,AB1214,AB1221,AB1228,AB1235,AB1242,AB1249,AB1256,AB1263,AB1270,AB1277,AB1284,AB1291,AB1298,AB1305,AB1312,AB1319,AB1326,AB1333)+SUM(AB1340,AB1347,AB1354,AB1361,AB1368,AB1375,AB1382,AB1389,AB1396,AB1403,AB1410,AB1417)</f>
        <v>0</v>
      </c>
      <c r="AC1424" s="113" t="e">
        <f>AB709/AB1424</f>
        <v>#DIV/0!</v>
      </c>
      <c r="AD1424" s="108">
        <f>SUM(AD724,AD731,AD738,AD745,AD752,AD759,AD766,AD773,AD780,AD787,AD794,AD801,AD808,AD815,AD822,AD829,AD836,AD843,AD850,AD857,AD864,AD871,AD878,AD885,AD892,AD899,AD906,AD913,AD920)+SUM(AD927,AD934,AD941,AD948,AD955,AD962,AD969,AD976,AD983,AD990,AD997,AD1004,AD1011,AD1018,AD1025,AD1032,AD1039,AD1046,AD1053,AD1060,AD1067,AD1074,AD1081,AD1088,AD1095,AD1102,AD1109,AD1116,AD1123)+SUM(AD1130,AD1137,AD1144,AD1151,AD1158,AD1165,AD1172,AD1179,AD1186,AD1193,AD1200,AD1207,AD1214,AD1221,AD1228,AD1235,AD1242,AD1249,AD1256,AD1263,AD1270,AD1277,AD1284,AD1291,AD1298,AD1305,AD1312,AD1319,AD1326,AD1333)+SUM(AD1340,AD1347,AD1354,AD1361,AD1368,AD1375,AD1382,AD1389,AD1396,AD1403,AD1410,AD1417)</f>
        <v>0</v>
      </c>
      <c r="AE1424" s="113" t="e">
        <f>AD709/AD1424</f>
        <v>#DIV/0!</v>
      </c>
      <c r="AF1424" s="132">
        <f t="shared" si="115"/>
        <v>0</v>
      </c>
      <c r="AG1424" s="728"/>
      <c r="AH1424" s="133">
        <f t="shared" si="116"/>
        <v>0</v>
      </c>
      <c r="AI1424" s="728"/>
      <c r="AJ1424" s="65"/>
    </row>
    <row r="1425" spans="1:48" ht="13.5" customHeight="1" outlineLevel="1" thickBot="1">
      <c r="B1425" s="82"/>
      <c r="C1425" s="1232"/>
      <c r="D1425" s="1232"/>
      <c r="E1425" s="85">
        <f>'Terms and Turnovers'!$AX$12</f>
        <v>0</v>
      </c>
      <c r="F1425" s="109">
        <f>SUM(F725,F732,F739,F746,F753,F760,F767,F774,F781,F788,F795,F802,F809,F816,F823,F830,F837,F844,F851,F858,F865,F872,F879,F886,F893,F900,F907,F914,F921)+SUM(F928,F935,F942,F949,F956,F963,F970,F977,F984,F991,F998,F1005,F1012,F1019,F1026,F1033,F1040,F1047,F1054,F1061,F1068,F1075,F1082,F1089,F1096,F1103,F1110,F1117,F1124)</f>
        <v>0</v>
      </c>
      <c r="G1425" s="114" t="e">
        <f>F710/F1425</f>
        <v>#DIV/0!</v>
      </c>
      <c r="H1425" s="110">
        <f>SUM(H725,H732,H739,H746,H753,H760,H767,H774,H781,H788,H795,H802,H809,H816,H823,H830,H837,H844,H851,H858,H865,H872,H879,H886,H893,H900,H907,H914,H921)+SUM(H928,H935,H942,H949,H956,H963,H970,H977,H984,H991,H998,H1005,H1012,H1019,H1026,H1033,H1040,H1047,H1054,H1061,H1068,H1075,H1082,H1089,H1096,H1103,H1110,H1117,H1124)</f>
        <v>0</v>
      </c>
      <c r="I1425" s="114" t="e">
        <f>H710/H1425</f>
        <v>#DIV/0!</v>
      </c>
      <c r="J1425" s="71">
        <f>SUM(J725,J732,J739,J746,J753,J760,J767,J774,J781,J788,J795,J802,J809,J816,J823,J830,J837,J844,J851,J858,J865,J872,J879,J886,J893,J900,J907,J914,J921)+SUM(J928,J935,J942,J949,J956,J963,J970,J977,J984,J991,J998,J1005,J1012,J1019,J1026,J1033,J1040,J1047,J1054,J1061,J1068,J1075,J1082,J1089,J1096,J1103,J1110,J1117,J1124)</f>
        <v>0</v>
      </c>
      <c r="K1425" s="114" t="e">
        <f>J710/J1425</f>
        <v>#DIV/0!</v>
      </c>
      <c r="L1425" s="71">
        <f>SUM(L725,L732,L739,L746,L753,L760,L767,L774,L781,L788,L795,L802,L809,L816,L823,L830,L837,L844,L851,L858,L865,L872,L879,L886,L893,L900,L907,L914,L921)+SUM(L928,L935,L942,L949,L956,L963,L970,L977,L984,L991,L998,L1005,L1012,L1019,L1026,L1033,L1040,L1047,L1054,L1061,L1068,L1075,L1082,L1089,L1096,L1103,L1110,L1117,L1124)</f>
        <v>0</v>
      </c>
      <c r="M1425" s="114" t="e">
        <f>L710/L1425</f>
        <v>#DIV/0!</v>
      </c>
      <c r="N1425" s="71">
        <f>SUM(N725,N732,N739,N746,N753,N760,N767,N774,N781,N788,N795,N802,N809,N816,N823,N830,N837,N844,N851,N858,N865,N872,N879,N886,N893,N900,N907,N914,N921)+SUM(N928,N935,N942,N949,N956,N963,N970,N977,N984,N991,N998,N1005,N1012,N1019,N1026,N1033,N1040,N1047,N1054,N1061,N1068,N1075,N1082,N1089,N1096,N1103,N1110,N1117,N1124)</f>
        <v>0</v>
      </c>
      <c r="O1425" s="114" t="e">
        <f>N710/N1425</f>
        <v>#DIV/0!</v>
      </c>
      <c r="P1425" s="71">
        <f>SUM(P725,P732,P739,P746,P753,P760,P767,P774,P781,P788,P795,P802,P809,P816,P823,P830,P837,P844,P851,P858,P865,P872,P879,P886,P893,P900,P907,P914,P921)+SUM(P928,P935,P942,P949,P956,P963,P970,P977,P984,P991,P998,P1005,P1012,P1019,P1026,P1033,P1040,P1047,P1054,P1061,P1068,P1075,P1082,P1089,P1096,P1103,P1110,P1117,P1124)</f>
        <v>0</v>
      </c>
      <c r="Q1425" s="114" t="e">
        <f>P710/P1425</f>
        <v>#DIV/0!</v>
      </c>
      <c r="R1425" s="132">
        <f>SUM(F1425,H1425,J1425,L1425,N1425,P1425)</f>
        <v>0</v>
      </c>
      <c r="S1425" s="107"/>
      <c r="T1425" s="109">
        <f>SUM(T725,T732,T739,T746,T753,T760,T767,T774,T781,T788,T795,T802,T809,T816,T823,T830,T837,T844,T851,T858,T865,T872,T879,T886,T893,T900,T907,T914,T921)+SUM(T928,T935,T942,T949,T956,T963,T970,T977,T984,T991,T998,T1005,T1012,T1019,T1026,T1033,T1040,T1047,T1054,T1061,T1068,T1075,T1082,T1089,T1096,T1103,T1110,T1117,T1124)</f>
        <v>0</v>
      </c>
      <c r="U1425" s="114" t="e">
        <f>T710/T1425</f>
        <v>#DIV/0!</v>
      </c>
      <c r="V1425" s="110">
        <f>SUM(V725,V732,V739,V746,V753,V760,V767,V774,V781,V788,V795,V802,V809,V816,V823,V830,V837,V844,V851,V858,V865,V872,V879,V886,V893,V900,V907,V914,V921)+SUM(V928,V935,V942,V949,V956,V963,V970,V977,V984,V991,V998,V1005,V1012,V1019,V1026,V1033,V1040,V1047,V1054,V1061,V1068,V1075,V1082,V1089,V1096,V1103,V1110,V1117,V1124)</f>
        <v>0</v>
      </c>
      <c r="W1425" s="114" t="e">
        <f>V710/V1425</f>
        <v>#DIV/0!</v>
      </c>
      <c r="X1425" s="71">
        <f>SUM(X725,X732,X739,X746,X753,X760,X767,X774,X781,X788,X795,X802,X809,X816,X823,X830,X837,X844,X851,X858,X865,X872,X879,X886,X893,X900,X907,X914,X921)+SUM(X928,X935,X942,X949,X956,X963,X970,X977,X984,X991,X998,X1005,X1012,X1019,X1026,X1033,X1040,X1047,X1054,X1061,X1068,X1075,X1082,X1089,X1096,X1103,X1110,X1117,X1124)</f>
        <v>0</v>
      </c>
      <c r="Y1425" s="114" t="e">
        <f>X710/X1425</f>
        <v>#DIV/0!</v>
      </c>
      <c r="Z1425" s="71">
        <f>SUM(Z725,Z732,Z739,Z746,Z753,Z760,Z767,Z774,Z781,Z788,Z795,Z802,Z809,Z816,Z823,Z830,Z837,Z844,Z851,Z858,Z865,Z872,Z879,Z886,Z893,Z900,Z907,Z914,Z921)+SUM(Z928,Z935,Z942,Z949,Z956,Z963,Z970,Z977,Z984,Z991,Z998,Z1005,Z1012,Z1019,Z1026,Z1033,Z1040,Z1047,Z1054,Z1061,Z1068,Z1075,Z1082,Z1089,Z1096,Z1103,Z1110,Z1117,Z1124)</f>
        <v>0</v>
      </c>
      <c r="AA1425" s="114" t="e">
        <f>Z710/Z1425</f>
        <v>#DIV/0!</v>
      </c>
      <c r="AB1425" s="71">
        <f>SUM(AB725,AB732,AB739,AB746,AB753,AB760,AB767,AB774,AB781,AB788,AB795,AB802,AB809,AB816,AB823,AB830,AB837,AB844,AB851,AB858,AB865,AB872,AB879,AB886,AB893,AB900,AB907,AB914,AB921)+SUM(AB928,AB935,AB942,AB949,AB956,AB963,AB970,AB977,AB984,AB991,AB998,AB1005,AB1012,AB1019,AB1026,AB1033,AB1040,AB1047,AB1054,AB1061,AB1068,AB1075,AB1082,AB1089,AB1096,AB1103,AB1110,AB1117,AB1124)</f>
        <v>0</v>
      </c>
      <c r="AC1425" s="114" t="e">
        <f>AB710/AB1425</f>
        <v>#DIV/0!</v>
      </c>
      <c r="AD1425" s="71">
        <f>SUM(AD725,AD732,AD739,AD746,AD753,AD760,AD767,AD774,AD781,AD788,AD795,AD802,AD809,AD816,AD823,AD830,AD837,AD844,AD851,AD858,AD865,AD872,AD879,AD886,AD893,AD900,AD907,AD914,AD921)+SUM(AD928,AD935,AD942,AD949,AD956,AD963,AD970,AD977,AD984,AD991,AD998,AD1005,AD1012,AD1019,AD1026,AD1033,AD1040,AD1047,AD1054,AD1061,AD1068,AD1075,AD1082,AD1089,AD1096,AD1103,AD1110,AD1117,AD1124)</f>
        <v>0</v>
      </c>
      <c r="AE1425" s="114" t="e">
        <f>AD710/AD1425</f>
        <v>#DIV/0!</v>
      </c>
      <c r="AF1425" s="132">
        <f t="shared" si="115"/>
        <v>0</v>
      </c>
      <c r="AG1425" s="107"/>
      <c r="AH1425" s="133">
        <f t="shared" si="116"/>
        <v>0</v>
      </c>
      <c r="AI1425" s="107"/>
      <c r="AJ1425" s="65"/>
    </row>
    <row r="1426" spans="1:48">
      <c r="C1426" s="433"/>
      <c r="D1426" s="433"/>
      <c r="E1426" s="699"/>
      <c r="F1426" s="700"/>
      <c r="G1426" s="701"/>
      <c r="H1426" s="700"/>
      <c r="I1426" s="701"/>
      <c r="J1426" s="700"/>
      <c r="K1426" s="702"/>
      <c r="L1426" s="700"/>
      <c r="M1426" s="702"/>
      <c r="N1426" s="700"/>
      <c r="O1426" s="702"/>
      <c r="P1426" s="700"/>
      <c r="Q1426" s="702"/>
      <c r="R1426" s="705"/>
      <c r="S1426" s="698">
        <f>SUM(R706:R710)/1.18-(SUM(R1421:R1425)*'Mark Up Validation'!$M$175)</f>
        <v>5963183.7665254241</v>
      </c>
      <c r="T1426" s="700"/>
      <c r="U1426" s="702"/>
      <c r="V1426" s="700"/>
      <c r="W1426" s="702"/>
      <c r="X1426" s="700"/>
      <c r="Y1426" s="702"/>
      <c r="Z1426" s="700"/>
      <c r="AA1426" s="702"/>
      <c r="AB1426" s="700"/>
      <c r="AC1426" s="702"/>
      <c r="AD1426" s="700"/>
      <c r="AE1426" s="702"/>
      <c r="AF1426" s="705"/>
      <c r="AG1426" s="709">
        <f>SUM(AF706:AF710)/1.18-SUM(AF1421:AF1425)*'Mark Up Validation'!$M$175</f>
        <v>2551051.2266949154</v>
      </c>
      <c r="AH1426" s="706"/>
      <c r="AI1426" s="698">
        <f>SUM(AH706:AH710)/1.18-SUM(AH1421:AH1425)*'Mark Up Validation'!$M$175</f>
        <v>8514234.9932203405</v>
      </c>
    </row>
    <row r="1427" spans="1:48" ht="13.5" thickBot="1">
      <c r="C1427" s="1228" t="s">
        <v>487</v>
      </c>
      <c r="D1427" s="1229"/>
      <c r="E1427" s="699"/>
      <c r="F1427" s="700"/>
      <c r="G1427" s="701"/>
      <c r="H1427" s="700"/>
      <c r="I1427" s="701"/>
      <c r="J1427" s="700"/>
      <c r="K1427" s="702"/>
      <c r="L1427" s="700"/>
      <c r="M1427" s="702"/>
      <c r="N1427" s="700"/>
      <c r="O1427" s="702"/>
      <c r="P1427" s="700"/>
      <c r="Q1427" s="702"/>
      <c r="R1427" s="703"/>
      <c r="S1427" s="729">
        <f>IF(S1426&gt;0,S1426/(SUM(R706:R710)/1.18),0)</f>
        <v>1</v>
      </c>
      <c r="T1427" s="704"/>
      <c r="U1427" s="702"/>
      <c r="V1427" s="700"/>
      <c r="W1427" s="702"/>
      <c r="X1427" s="700"/>
      <c r="Y1427" s="702"/>
      <c r="Z1427" s="700"/>
      <c r="AA1427" s="702"/>
      <c r="AB1427" s="700"/>
      <c r="AC1427" s="702"/>
      <c r="AD1427" s="700"/>
      <c r="AE1427" s="702"/>
      <c r="AF1427" s="705"/>
      <c r="AG1427" s="729">
        <f>IF(AG1426&gt;0,AG1426/(SUM(AF706:AF710)/1.18),0)</f>
        <v>1</v>
      </c>
      <c r="AH1427" s="706"/>
      <c r="AI1427" s="729">
        <f>IF(AI1426&gt;0,AI1426/(SUM(AH706:AH710)/1.18),0)</f>
        <v>1</v>
      </c>
    </row>
    <row r="1428" spans="1:48" ht="13.5" thickBot="1"/>
    <row r="1429" spans="1:48" ht="13.5" thickBot="1">
      <c r="D1429" s="969" t="s">
        <v>651</v>
      </c>
      <c r="E1429" s="83" t="s">
        <v>646</v>
      </c>
      <c r="F1429" s="931">
        <f>'Terms and Turnovers'!G6*'Terms and Turnovers'!D8*1.1</f>
        <v>476.01569569569557</v>
      </c>
      <c r="G1429" s="334"/>
      <c r="H1429" s="931">
        <f>$F$1429</f>
        <v>476.01569569569557</v>
      </c>
      <c r="I1429" s="334"/>
      <c r="J1429" s="931">
        <f>$F$1429</f>
        <v>476.01569569569557</v>
      </c>
      <c r="K1429" s="334"/>
      <c r="L1429" s="931">
        <f>$F$1429</f>
        <v>476.01569569569557</v>
      </c>
      <c r="M1429" s="334"/>
      <c r="N1429" s="931">
        <f>$F$1429</f>
        <v>476.01569569569557</v>
      </c>
      <c r="O1429" s="334"/>
      <c r="P1429" s="931">
        <f>$F$1429</f>
        <v>476.01569569569557</v>
      </c>
      <c r="Q1429" s="334"/>
      <c r="R1429" s="931">
        <f>$F$1429</f>
        <v>476.01569569569557</v>
      </c>
      <c r="T1429" s="931">
        <f>$F$1429</f>
        <v>476.01569569569557</v>
      </c>
      <c r="V1429" s="931">
        <f>$F$1429</f>
        <v>476.01569569569557</v>
      </c>
      <c r="X1429" s="931">
        <f>$F$1429</f>
        <v>476.01569569569557</v>
      </c>
      <c r="Z1429" s="931">
        <f>$F$1429</f>
        <v>476.01569569569557</v>
      </c>
      <c r="AB1429" s="931">
        <f>$F$1429</f>
        <v>476.01569569569557</v>
      </c>
      <c r="AD1429" s="931">
        <f>$F$1429</f>
        <v>476.01569569569557</v>
      </c>
      <c r="AF1429" s="931">
        <f>$F$1429</f>
        <v>476.01569569569557</v>
      </c>
      <c r="AH1429" s="931">
        <f>$F$1429</f>
        <v>476.01569569569557</v>
      </c>
    </row>
    <row r="1430" spans="1:48" s="334" customFormat="1" ht="13.5" thickBot="1">
      <c r="A1430" s="359"/>
      <c r="B1430" s="359"/>
      <c r="C1430" s="359"/>
      <c r="D1430" s="970" t="s">
        <v>651</v>
      </c>
      <c r="E1430" s="83" t="s">
        <v>647</v>
      </c>
      <c r="F1430" s="931">
        <v>607</v>
      </c>
      <c r="H1430" s="931">
        <v>607</v>
      </c>
      <c r="J1430" s="931">
        <v>607</v>
      </c>
      <c r="L1430" s="931">
        <v>607</v>
      </c>
      <c r="N1430" s="931">
        <v>607</v>
      </c>
      <c r="P1430" s="931">
        <v>607</v>
      </c>
      <c r="R1430" s="931">
        <v>607</v>
      </c>
      <c r="T1430" s="931">
        <v>607</v>
      </c>
      <c r="V1430" s="931">
        <v>607</v>
      </c>
      <c r="X1430" s="931">
        <v>607</v>
      </c>
      <c r="Z1430" s="931">
        <v>607</v>
      </c>
      <c r="AB1430" s="931">
        <v>607</v>
      </c>
      <c r="AD1430" s="931">
        <v>607</v>
      </c>
      <c r="AF1430" s="931">
        <v>607</v>
      </c>
      <c r="AH1430" s="931">
        <v>607</v>
      </c>
      <c r="AN1430" s="692"/>
      <c r="AO1430" s="692"/>
      <c r="AP1430" s="692"/>
      <c r="AQ1430" s="693"/>
      <c r="AU1430" s="746"/>
      <c r="AV1430" s="462"/>
    </row>
    <row r="1431" spans="1:48" ht="13.5" thickBot="1">
      <c r="D1431" s="969" t="s">
        <v>651</v>
      </c>
      <c r="E1431" s="83" t="s">
        <v>266</v>
      </c>
      <c r="F1431" s="932"/>
      <c r="H1431" s="932"/>
      <c r="J1431" s="932"/>
      <c r="L1431" s="932"/>
      <c r="N1431" s="932"/>
      <c r="P1431" s="932"/>
      <c r="R1431" s="932"/>
      <c r="T1431" s="932"/>
      <c r="V1431" s="932"/>
      <c r="X1431" s="932"/>
      <c r="Z1431" s="932"/>
      <c r="AB1431" s="932"/>
      <c r="AD1431" s="932"/>
      <c r="AF1431" s="932"/>
      <c r="AH1431" s="932"/>
    </row>
    <row r="1432" spans="1:48" ht="13.5" thickBot="1">
      <c r="D1432" s="969" t="s">
        <v>651</v>
      </c>
      <c r="E1432" s="83">
        <v>0</v>
      </c>
      <c r="F1432" s="932"/>
      <c r="H1432" s="932"/>
      <c r="J1432" s="932"/>
      <c r="L1432" s="932"/>
      <c r="N1432" s="932"/>
      <c r="P1432" s="932"/>
      <c r="R1432" s="932"/>
      <c r="T1432" s="932"/>
      <c r="V1432" s="932"/>
      <c r="X1432" s="932"/>
      <c r="Z1432" s="932"/>
      <c r="AB1432" s="932"/>
      <c r="AD1432" s="932"/>
      <c r="AF1432" s="932"/>
      <c r="AH1432" s="932"/>
    </row>
    <row r="1433" spans="1:48" ht="13.5" thickBot="1">
      <c r="D1433" s="969" t="s">
        <v>651</v>
      </c>
      <c r="E1433" s="83">
        <v>0</v>
      </c>
      <c r="F1433" s="932"/>
      <c r="H1433" s="932"/>
      <c r="J1433" s="932"/>
      <c r="L1433" s="932"/>
      <c r="N1433" s="932"/>
      <c r="P1433" s="932"/>
      <c r="R1433" s="932"/>
      <c r="T1433" s="932"/>
      <c r="V1433" s="932"/>
      <c r="X1433" s="932"/>
      <c r="Z1433" s="932"/>
      <c r="AB1433" s="932"/>
      <c r="AD1433" s="932"/>
      <c r="AF1433" s="932"/>
      <c r="AH1433" s="932"/>
    </row>
    <row r="1434" spans="1:48" ht="13.5" thickBot="1">
      <c r="E1434" s="930"/>
    </row>
    <row r="1435" spans="1:48" ht="13.5" thickBot="1">
      <c r="D1435" s="969" t="s">
        <v>652</v>
      </c>
      <c r="E1435" s="83" t="s">
        <v>646</v>
      </c>
      <c r="F1435" s="334">
        <f>IF(F1421=0,0,F1421/F1429)</f>
        <v>0</v>
      </c>
      <c r="G1435" s="334"/>
      <c r="H1435" s="334">
        <f>IF(H1421=0,0,H1421/H1429)</f>
        <v>0</v>
      </c>
      <c r="I1435" s="334"/>
      <c r="J1435" s="334">
        <f>IF(J1421=0,0,J1421/J1429)</f>
        <v>0</v>
      </c>
      <c r="K1435" s="334"/>
      <c r="L1435" s="334">
        <f>IF(L1421=0,0,L1421/L1429)</f>
        <v>3916.2678858059717</v>
      </c>
      <c r="M1435" s="334"/>
      <c r="N1435" s="334">
        <f>IF(N1421=0,0,N1421/N1429)</f>
        <v>1107.348147777315</v>
      </c>
      <c r="O1435" s="334"/>
      <c r="P1435" s="334">
        <f>IF(P1421=0,0,P1421/P1429)</f>
        <v>1421.6518890886744</v>
      </c>
      <c r="Q1435" s="334"/>
      <c r="R1435" s="334"/>
      <c r="S1435" s="334"/>
      <c r="T1435" s="334">
        <f>IF(T1421=0,0,T1421/T1429)</f>
        <v>1191.3536831928534</v>
      </c>
      <c r="U1435" s="334"/>
      <c r="V1435" s="334">
        <f>IF(V1421=0,0,V1421/V1429)</f>
        <v>707.26283654005385</v>
      </c>
      <c r="W1435" s="334"/>
      <c r="X1435" s="334">
        <f>IF(X1421=0,0,X1421/X1429)</f>
        <v>365.03888337551166</v>
      </c>
      <c r="Y1435" s="334"/>
      <c r="Z1435" s="334">
        <f>IF(Z1421=0,0,Z1421/Z1429)</f>
        <v>159.70451147678634</v>
      </c>
      <c r="AA1435" s="334"/>
      <c r="AB1435" s="334">
        <f>IF(AB1421=0,0,AB1421/AB1429)</f>
        <v>91.259720843877915</v>
      </c>
      <c r="AC1435" s="334"/>
      <c r="AD1435" s="334">
        <f>IF(AD1421=0,0,AD1421/AD1429)</f>
        <v>91.259720843877915</v>
      </c>
      <c r="AE1435" s="334"/>
      <c r="AF1435" s="334"/>
      <c r="AG1435" s="334"/>
      <c r="AH1435" s="334">
        <f>SUM(H1435:AD1435)</f>
        <v>9051.1472789449217</v>
      </c>
    </row>
    <row r="1436" spans="1:48" ht="13.5" thickBot="1">
      <c r="D1436" s="969" t="s">
        <v>652</v>
      </c>
      <c r="E1436" s="83" t="s">
        <v>647</v>
      </c>
      <c r="F1436" s="334">
        <f t="shared" ref="F1436:H1439" si="117">IF(F1422=0,0,F1422/F1430)</f>
        <v>0</v>
      </c>
      <c r="G1436" s="334"/>
      <c r="H1436" s="334">
        <f t="shared" si="117"/>
        <v>0</v>
      </c>
      <c r="I1436" s="334"/>
      <c r="J1436" s="334">
        <f t="shared" ref="J1436" si="118">IF(J1422=0,0,J1422/J1430)</f>
        <v>0</v>
      </c>
      <c r="K1436" s="334"/>
      <c r="L1436" s="334">
        <f t="shared" ref="L1436" si="119">IF(L1422=0,0,L1422/L1430)</f>
        <v>0</v>
      </c>
      <c r="M1436" s="334"/>
      <c r="N1436" s="334">
        <f t="shared" ref="N1436" si="120">IF(N1422=0,0,N1422/N1430)</f>
        <v>0</v>
      </c>
      <c r="O1436" s="334"/>
      <c r="P1436" s="334">
        <f t="shared" ref="P1436" si="121">IF(P1422=0,0,P1422/P1430)</f>
        <v>0</v>
      </c>
      <c r="Q1436" s="334"/>
      <c r="R1436" s="334"/>
      <c r="S1436" s="334"/>
      <c r="T1436" s="334">
        <f t="shared" ref="T1436" si="122">IF(T1422=0,0,T1422/T1430)</f>
        <v>0</v>
      </c>
      <c r="U1436" s="334"/>
      <c r="V1436" s="334">
        <f t="shared" ref="V1436" si="123">IF(V1422=0,0,V1422/V1430)</f>
        <v>0</v>
      </c>
      <c r="W1436" s="334"/>
      <c r="X1436" s="334">
        <f t="shared" ref="X1436" si="124">IF(X1422=0,0,X1422/X1430)</f>
        <v>0</v>
      </c>
      <c r="Y1436" s="334"/>
      <c r="Z1436" s="334">
        <f t="shared" ref="Z1436" si="125">IF(Z1422=0,0,Z1422/Z1430)</f>
        <v>0</v>
      </c>
      <c r="AA1436" s="334"/>
      <c r="AB1436" s="334">
        <f t="shared" ref="AB1436" si="126">IF(AB1422=0,0,AB1422/AB1430)</f>
        <v>0</v>
      </c>
      <c r="AC1436" s="334"/>
      <c r="AD1436" s="334">
        <f t="shared" ref="AD1436" si="127">IF(AD1422=0,0,AD1422/AD1430)</f>
        <v>0</v>
      </c>
      <c r="AE1436" s="334"/>
      <c r="AF1436" s="334"/>
      <c r="AG1436" s="334"/>
      <c r="AH1436" s="334">
        <f t="shared" ref="AH1436:AH1439" si="128">SUM(H1436:AD1436)</f>
        <v>0</v>
      </c>
    </row>
    <row r="1437" spans="1:48" ht="13.5" thickBot="1">
      <c r="D1437" s="969" t="s">
        <v>652</v>
      </c>
      <c r="E1437" s="83" t="s">
        <v>266</v>
      </c>
      <c r="F1437" s="334">
        <f t="shared" si="117"/>
        <v>0</v>
      </c>
      <c r="G1437" s="334"/>
      <c r="H1437" s="334">
        <f t="shared" si="117"/>
        <v>0</v>
      </c>
      <c r="I1437" s="334"/>
      <c r="J1437" s="334">
        <f t="shared" ref="J1437" si="129">IF(J1423=0,0,J1423/J1431)</f>
        <v>0</v>
      </c>
      <c r="K1437" s="334"/>
      <c r="L1437" s="334">
        <f t="shared" ref="L1437" si="130">IF(L1423=0,0,L1423/L1431)</f>
        <v>0</v>
      </c>
      <c r="M1437" s="334"/>
      <c r="N1437" s="334">
        <f t="shared" ref="N1437" si="131">IF(N1423=0,0,N1423/N1431)</f>
        <v>0</v>
      </c>
      <c r="O1437" s="334"/>
      <c r="P1437" s="334">
        <f t="shared" ref="P1437" si="132">IF(P1423=0,0,P1423/P1431)</f>
        <v>0</v>
      </c>
      <c r="Q1437" s="334"/>
      <c r="R1437" s="334"/>
      <c r="S1437" s="334"/>
      <c r="T1437" s="334">
        <f t="shared" ref="T1437" si="133">IF(T1423=0,0,T1423/T1431)</f>
        <v>0</v>
      </c>
      <c r="U1437" s="334"/>
      <c r="V1437" s="334">
        <f t="shared" ref="V1437" si="134">IF(V1423=0,0,V1423/V1431)</f>
        <v>0</v>
      </c>
      <c r="W1437" s="334"/>
      <c r="X1437" s="334">
        <f t="shared" ref="X1437" si="135">IF(X1423=0,0,X1423/X1431)</f>
        <v>0</v>
      </c>
      <c r="Y1437" s="334"/>
      <c r="Z1437" s="334">
        <f t="shared" ref="Z1437" si="136">IF(Z1423=0,0,Z1423/Z1431)</f>
        <v>0</v>
      </c>
      <c r="AA1437" s="334"/>
      <c r="AB1437" s="334">
        <f t="shared" ref="AB1437" si="137">IF(AB1423=0,0,AB1423/AB1431)</f>
        <v>0</v>
      </c>
      <c r="AC1437" s="334"/>
      <c r="AD1437" s="334">
        <f t="shared" ref="AD1437" si="138">IF(AD1423=0,0,AD1423/AD1431)</f>
        <v>0</v>
      </c>
      <c r="AE1437" s="334"/>
      <c r="AF1437" s="334"/>
      <c r="AG1437" s="334"/>
      <c r="AH1437" s="334">
        <f t="shared" si="128"/>
        <v>0</v>
      </c>
    </row>
    <row r="1438" spans="1:48" ht="13.5" thickBot="1">
      <c r="D1438" s="969" t="s">
        <v>652</v>
      </c>
      <c r="E1438" s="83">
        <v>0</v>
      </c>
      <c r="F1438" s="334">
        <f t="shared" si="117"/>
        <v>0</v>
      </c>
      <c r="G1438" s="334"/>
      <c r="H1438" s="334">
        <f t="shared" si="117"/>
        <v>0</v>
      </c>
      <c r="I1438" s="334"/>
      <c r="J1438" s="334">
        <f t="shared" ref="J1438" si="139">IF(J1424=0,0,J1424/J1432)</f>
        <v>0</v>
      </c>
      <c r="K1438" s="334"/>
      <c r="L1438" s="334">
        <f t="shared" ref="L1438" si="140">IF(L1424=0,0,L1424/L1432)</f>
        <v>0</v>
      </c>
      <c r="M1438" s="334"/>
      <c r="N1438" s="334">
        <f t="shared" ref="N1438" si="141">IF(N1424=0,0,N1424/N1432)</f>
        <v>0</v>
      </c>
      <c r="O1438" s="334"/>
      <c r="P1438" s="334">
        <f t="shared" ref="P1438" si="142">IF(P1424=0,0,P1424/P1432)</f>
        <v>0</v>
      </c>
      <c r="Q1438" s="334"/>
      <c r="R1438" s="334"/>
      <c r="S1438" s="334"/>
      <c r="T1438" s="334">
        <f t="shared" ref="T1438" si="143">IF(T1424=0,0,T1424/T1432)</f>
        <v>0</v>
      </c>
      <c r="U1438" s="334"/>
      <c r="V1438" s="334">
        <f t="shared" ref="V1438" si="144">IF(V1424=0,0,V1424/V1432)</f>
        <v>0</v>
      </c>
      <c r="W1438" s="334"/>
      <c r="X1438" s="334">
        <f t="shared" ref="X1438" si="145">IF(X1424=0,0,X1424/X1432)</f>
        <v>0</v>
      </c>
      <c r="Y1438" s="334"/>
      <c r="Z1438" s="334">
        <f t="shared" ref="Z1438" si="146">IF(Z1424=0,0,Z1424/Z1432)</f>
        <v>0</v>
      </c>
      <c r="AA1438" s="334"/>
      <c r="AB1438" s="334">
        <f t="shared" ref="AB1438" si="147">IF(AB1424=0,0,AB1424/AB1432)</f>
        <v>0</v>
      </c>
      <c r="AC1438" s="334"/>
      <c r="AD1438" s="334">
        <f t="shared" ref="AD1438" si="148">IF(AD1424=0,0,AD1424/AD1432)</f>
        <v>0</v>
      </c>
      <c r="AE1438" s="334"/>
      <c r="AF1438" s="334"/>
      <c r="AG1438" s="334"/>
      <c r="AH1438" s="334">
        <f t="shared" si="128"/>
        <v>0</v>
      </c>
    </row>
    <row r="1439" spans="1:48">
      <c r="D1439" s="969" t="s">
        <v>652</v>
      </c>
      <c r="E1439" s="83">
        <v>0</v>
      </c>
      <c r="F1439" s="334">
        <f t="shared" si="117"/>
        <v>0</v>
      </c>
      <c r="G1439" s="334"/>
      <c r="H1439" s="334">
        <f t="shared" si="117"/>
        <v>0</v>
      </c>
      <c r="I1439" s="334"/>
      <c r="J1439" s="334">
        <f t="shared" ref="J1439" si="149">IF(J1425=0,0,J1425/J1433)</f>
        <v>0</v>
      </c>
      <c r="K1439" s="334"/>
      <c r="L1439" s="334">
        <f t="shared" ref="L1439" si="150">IF(L1425=0,0,L1425/L1433)</f>
        <v>0</v>
      </c>
      <c r="M1439" s="334"/>
      <c r="N1439" s="334">
        <f t="shared" ref="N1439" si="151">IF(N1425=0,0,N1425/N1433)</f>
        <v>0</v>
      </c>
      <c r="O1439" s="334"/>
      <c r="P1439" s="334">
        <f t="shared" ref="P1439" si="152">IF(P1425=0,0,P1425/P1433)</f>
        <v>0</v>
      </c>
      <c r="Q1439" s="334"/>
      <c r="R1439" s="334"/>
      <c r="S1439" s="334"/>
      <c r="T1439" s="334">
        <f t="shared" ref="T1439" si="153">IF(T1425=0,0,T1425/T1433)</f>
        <v>0</v>
      </c>
      <c r="U1439" s="334"/>
      <c r="V1439" s="334">
        <f t="shared" ref="V1439" si="154">IF(V1425=0,0,V1425/V1433)</f>
        <v>0</v>
      </c>
      <c r="W1439" s="334"/>
      <c r="X1439" s="334">
        <f t="shared" ref="X1439" si="155">IF(X1425=0,0,X1425/X1433)</f>
        <v>0</v>
      </c>
      <c r="Y1439" s="334"/>
      <c r="Z1439" s="334">
        <f t="shared" ref="Z1439" si="156">IF(Z1425=0,0,Z1425/Z1433)</f>
        <v>0</v>
      </c>
      <c r="AA1439" s="334"/>
      <c r="AB1439" s="334">
        <f t="shared" ref="AB1439" si="157">IF(AB1425=0,0,AB1425/AB1433)</f>
        <v>0</v>
      </c>
      <c r="AC1439" s="334"/>
      <c r="AD1439" s="334">
        <f t="shared" ref="AD1439" si="158">IF(AD1425=0,0,AD1425/AD1433)</f>
        <v>0</v>
      </c>
      <c r="AE1439" s="334"/>
      <c r="AF1439" s="334"/>
      <c r="AG1439" s="334"/>
      <c r="AH1439" s="334">
        <f t="shared" si="128"/>
        <v>0</v>
      </c>
    </row>
    <row r="1440" spans="1:48" ht="13.5" thickBot="1">
      <c r="F1440" s="936">
        <f>SUM(F1435:F1439)</f>
        <v>0</v>
      </c>
      <c r="G1440" s="936">
        <f t="shared" ref="G1440:P1440" si="159">SUM(G1435:G1439)</f>
        <v>0</v>
      </c>
      <c r="H1440" s="936">
        <f t="shared" si="159"/>
        <v>0</v>
      </c>
      <c r="I1440" s="936">
        <f t="shared" si="159"/>
        <v>0</v>
      </c>
      <c r="J1440" s="936">
        <f t="shared" si="159"/>
        <v>0</v>
      </c>
      <c r="K1440" s="936">
        <f t="shared" si="159"/>
        <v>0</v>
      </c>
      <c r="L1440" s="936">
        <f t="shared" si="159"/>
        <v>3916.2678858059717</v>
      </c>
      <c r="M1440" s="936">
        <f t="shared" si="159"/>
        <v>0</v>
      </c>
      <c r="N1440" s="936">
        <f t="shared" si="159"/>
        <v>1107.348147777315</v>
      </c>
      <c r="O1440" s="936">
        <f t="shared" si="159"/>
        <v>0</v>
      </c>
      <c r="P1440" s="936">
        <f t="shared" si="159"/>
        <v>1421.6518890886744</v>
      </c>
      <c r="T1440" s="936">
        <f t="shared" ref="T1440:AD1440" si="160">SUM(T1435:T1439)</f>
        <v>1191.3536831928534</v>
      </c>
      <c r="U1440" s="936">
        <f t="shared" si="160"/>
        <v>0</v>
      </c>
      <c r="V1440" s="936">
        <f t="shared" si="160"/>
        <v>707.26283654005385</v>
      </c>
      <c r="W1440" s="936">
        <f t="shared" si="160"/>
        <v>0</v>
      </c>
      <c r="X1440" s="936">
        <f t="shared" si="160"/>
        <v>365.03888337551166</v>
      </c>
      <c r="Y1440" s="936">
        <f t="shared" si="160"/>
        <v>0</v>
      </c>
      <c r="Z1440" s="936">
        <f t="shared" si="160"/>
        <v>159.70451147678634</v>
      </c>
      <c r="AA1440" s="936">
        <f t="shared" si="160"/>
        <v>0</v>
      </c>
      <c r="AB1440" s="936">
        <f t="shared" si="160"/>
        <v>91.259720843877915</v>
      </c>
      <c r="AC1440" s="936">
        <f t="shared" si="160"/>
        <v>0</v>
      </c>
      <c r="AD1440" s="936">
        <f t="shared" si="160"/>
        <v>91.259720843877915</v>
      </c>
      <c r="AH1440" s="936">
        <f>SUM(AH1435:AH1439)</f>
        <v>9051.1472789449217</v>
      </c>
    </row>
    <row r="1441" spans="1:48">
      <c r="F1441" s="937"/>
      <c r="G1441" s="937"/>
      <c r="H1441" s="937"/>
      <c r="I1441" s="937"/>
      <c r="J1441" s="937"/>
      <c r="K1441" s="937"/>
      <c r="L1441" s="937"/>
      <c r="M1441" s="937"/>
      <c r="N1441" s="937"/>
      <c r="O1441" s="937"/>
      <c r="P1441" s="937"/>
      <c r="T1441" s="937"/>
      <c r="U1441" s="937"/>
      <c r="V1441" s="937"/>
      <c r="W1441" s="937"/>
      <c r="X1441" s="937"/>
      <c r="Y1441" s="937"/>
      <c r="Z1441" s="937"/>
      <c r="AA1441" s="937"/>
      <c r="AB1441" s="937"/>
      <c r="AC1441" s="937"/>
      <c r="AD1441" s="937"/>
      <c r="AH1441" s="937"/>
    </row>
    <row r="1442" spans="1:48" ht="18">
      <c r="E1442" s="75" t="s">
        <v>536</v>
      </c>
    </row>
    <row r="1443" spans="1:48" ht="13.5" thickBot="1">
      <c r="P1443" s="334"/>
      <c r="T1443" s="334"/>
    </row>
    <row r="1444" spans="1:48" ht="16.5" thickBot="1">
      <c r="A1444" s="73"/>
      <c r="B1444" s="78"/>
      <c r="C1444" s="79"/>
      <c r="D1444" s="80"/>
      <c r="E1444" s="80"/>
      <c r="F1444" s="62"/>
      <c r="G1444" s="63"/>
      <c r="H1444" s="62"/>
      <c r="I1444" s="63"/>
      <c r="J1444" s="62"/>
      <c r="K1444" s="63"/>
      <c r="L1444" s="62"/>
      <c r="M1444" s="63"/>
      <c r="N1444" s="62"/>
      <c r="O1444" s="63"/>
      <c r="P1444" s="62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2"/>
      <c r="AB1444" s="63"/>
      <c r="AC1444" s="63"/>
      <c r="AD1444" s="63"/>
      <c r="AE1444" s="63"/>
      <c r="AF1444" s="63"/>
      <c r="AG1444" s="63"/>
      <c r="AH1444" s="63"/>
      <c r="AI1444" s="63"/>
      <c r="AJ1444" s="64"/>
    </row>
    <row r="1445" spans="1:48" ht="13.5" thickBot="1">
      <c r="A1445" s="73"/>
      <c r="B1445" s="81"/>
      <c r="C1445" s="1242" t="s">
        <v>77</v>
      </c>
      <c r="D1445" s="1242" t="s">
        <v>169</v>
      </c>
      <c r="E1445" s="1242" t="s">
        <v>479</v>
      </c>
      <c r="F1445" s="1236" t="s">
        <v>29</v>
      </c>
      <c r="G1445" s="1237"/>
      <c r="H1445" s="1236" t="s">
        <v>30</v>
      </c>
      <c r="I1445" s="1237"/>
      <c r="J1445" s="1236" t="s">
        <v>31</v>
      </c>
      <c r="K1445" s="1237"/>
      <c r="L1445" s="1236" t="s">
        <v>32</v>
      </c>
      <c r="M1445" s="1237"/>
      <c r="N1445" s="1236" t="s">
        <v>33</v>
      </c>
      <c r="O1445" s="1237"/>
      <c r="P1445" s="1236" t="s">
        <v>34</v>
      </c>
      <c r="Q1445" s="1237"/>
      <c r="R1445" s="1238" t="s">
        <v>619</v>
      </c>
      <c r="S1445" s="1239"/>
      <c r="T1445" s="1236" t="s">
        <v>37</v>
      </c>
      <c r="U1445" s="1237"/>
      <c r="V1445" s="1236" t="s">
        <v>38</v>
      </c>
      <c r="W1445" s="1237"/>
      <c r="X1445" s="1236" t="s">
        <v>39</v>
      </c>
      <c r="Y1445" s="1237"/>
      <c r="Z1445" s="1236" t="s">
        <v>40</v>
      </c>
      <c r="AA1445" s="1237"/>
      <c r="AB1445" s="1236" t="s">
        <v>41</v>
      </c>
      <c r="AC1445" s="1237"/>
      <c r="AD1445" s="1236" t="s">
        <v>42</v>
      </c>
      <c r="AE1445" s="1237"/>
      <c r="AF1445" s="1238" t="s">
        <v>620</v>
      </c>
      <c r="AG1445" s="1239"/>
      <c r="AH1445" s="1240" t="s">
        <v>621</v>
      </c>
      <c r="AI1445" s="1241"/>
      <c r="AJ1445" s="65"/>
    </row>
    <row r="1446" spans="1:48" ht="13.5" thickBot="1">
      <c r="A1446" s="73"/>
      <c r="B1446" s="81"/>
      <c r="C1446" s="1243"/>
      <c r="D1446" s="1243"/>
      <c r="E1446" s="1243"/>
      <c r="F1446" s="66" t="s">
        <v>35</v>
      </c>
      <c r="G1446" s="66" t="s">
        <v>36</v>
      </c>
      <c r="H1446" s="66" t="s">
        <v>35</v>
      </c>
      <c r="I1446" s="66" t="s">
        <v>36</v>
      </c>
      <c r="J1446" s="66" t="s">
        <v>35</v>
      </c>
      <c r="K1446" s="66" t="s">
        <v>36</v>
      </c>
      <c r="L1446" s="66" t="s">
        <v>35</v>
      </c>
      <c r="M1446" s="66" t="s">
        <v>36</v>
      </c>
      <c r="N1446" s="66" t="s">
        <v>35</v>
      </c>
      <c r="O1446" s="66" t="s">
        <v>36</v>
      </c>
      <c r="P1446" s="66" t="s">
        <v>35</v>
      </c>
      <c r="Q1446" s="67" t="s">
        <v>36</v>
      </c>
      <c r="R1446" s="127" t="s">
        <v>35</v>
      </c>
      <c r="S1446" s="127" t="s">
        <v>36</v>
      </c>
      <c r="T1446" s="66" t="s">
        <v>35</v>
      </c>
      <c r="U1446" s="66" t="s">
        <v>36</v>
      </c>
      <c r="V1446" s="66" t="s">
        <v>35</v>
      </c>
      <c r="W1446" s="66" t="s">
        <v>36</v>
      </c>
      <c r="X1446" s="66" t="s">
        <v>35</v>
      </c>
      <c r="Y1446" s="66" t="s">
        <v>36</v>
      </c>
      <c r="Z1446" s="66" t="s">
        <v>35</v>
      </c>
      <c r="AA1446" s="66" t="s">
        <v>36</v>
      </c>
      <c r="AB1446" s="66" t="s">
        <v>35</v>
      </c>
      <c r="AC1446" s="66" t="s">
        <v>36</v>
      </c>
      <c r="AD1446" s="66" t="s">
        <v>35</v>
      </c>
      <c r="AE1446" s="67" t="s">
        <v>36</v>
      </c>
      <c r="AF1446" s="127" t="s">
        <v>35</v>
      </c>
      <c r="AG1446" s="127" t="s">
        <v>36</v>
      </c>
      <c r="AH1446" s="128" t="s">
        <v>35</v>
      </c>
      <c r="AI1446" s="128" t="s">
        <v>36</v>
      </c>
      <c r="AJ1446" s="65"/>
      <c r="AN1446" s="692" t="s">
        <v>526</v>
      </c>
      <c r="AO1446" s="324" t="s">
        <v>527</v>
      </c>
      <c r="AQ1446" s="694" t="s">
        <v>483</v>
      </c>
      <c r="AS1446" s="696" t="s">
        <v>529</v>
      </c>
      <c r="AT1446" s="696" t="s">
        <v>528</v>
      </c>
    </row>
    <row r="1447" spans="1:48" ht="13.5" customHeight="1" outlineLevel="2" thickBot="1">
      <c r="A1447" s="82">
        <v>1</v>
      </c>
      <c r="B1447" s="82">
        <f>'Terms and Turnovers'!B1556</f>
        <v>0</v>
      </c>
      <c r="C1447" s="1233">
        <f>C6</f>
        <v>0</v>
      </c>
      <c r="D1447" s="1233" t="str">
        <f>D6</f>
        <v>Вайлдберриз ООО</v>
      </c>
      <c r="E1447" s="83" t="str">
        <f>'Terms and Turnovers'!$J$12</f>
        <v>FLIP-FLOPS</v>
      </c>
      <c r="F1447" s="118">
        <f>$R1447*G1447</f>
        <v>0</v>
      </c>
      <c r="G1447" s="69"/>
      <c r="H1447" s="314">
        <f>$R1447*I1447</f>
        <v>0</v>
      </c>
      <c r="I1447" s="69">
        <v>0.2</v>
      </c>
      <c r="J1447" s="118">
        <f>$R1447*K1447</f>
        <v>0</v>
      </c>
      <c r="K1447" s="69">
        <v>0.4</v>
      </c>
      <c r="L1447" s="314">
        <f>$R1447*M1447</f>
        <v>0</v>
      </c>
      <c r="M1447" s="69">
        <v>0.4</v>
      </c>
      <c r="N1447" s="314">
        <f>$R1447*O1447</f>
        <v>0</v>
      </c>
      <c r="O1447" s="69">
        <v>0</v>
      </c>
      <c r="P1447" s="118">
        <f>$R1447*Q1447</f>
        <v>0</v>
      </c>
      <c r="Q1447" s="69">
        <v>0</v>
      </c>
      <c r="R1447" s="87">
        <f>'Terms and Turnovers'!K131</f>
        <v>0</v>
      </c>
      <c r="S1447" s="160">
        <f>SUM(G1447,I1447,K1447,M1447,O1447,Q1447)</f>
        <v>1</v>
      </c>
      <c r="T1447" s="118">
        <f>$AF1447*U1447</f>
        <v>0</v>
      </c>
      <c r="U1447" s="69">
        <v>0</v>
      </c>
      <c r="V1447" s="314">
        <f>$AF1447*W1447</f>
        <v>0</v>
      </c>
      <c r="W1447" s="69">
        <v>0.45</v>
      </c>
      <c r="X1447" s="118">
        <f>$AF1447*Y1447</f>
        <v>0</v>
      </c>
      <c r="Y1447" s="69">
        <v>0.5</v>
      </c>
      <c r="Z1447" s="314">
        <f>$AF1447*AA1447</f>
        <v>0</v>
      </c>
      <c r="AA1447" s="69">
        <v>0.05</v>
      </c>
      <c r="AB1447" s="314">
        <f>$AF1447*AC1447</f>
        <v>0</v>
      </c>
      <c r="AC1447" s="69">
        <v>0</v>
      </c>
      <c r="AD1447" s="118">
        <f>$AF1447*AE1447</f>
        <v>0</v>
      </c>
      <c r="AE1447" s="69">
        <v>0</v>
      </c>
      <c r="AF1447" s="87">
        <f>'Terms and Turnovers'!P131</f>
        <v>0</v>
      </c>
      <c r="AG1447" s="160">
        <f>SUM(U1447,W1447,Y1447,AA1447,AC1447,AE1447)</f>
        <v>1</v>
      </c>
      <c r="AH1447" s="157">
        <f>SUM(R1447,AF1447)</f>
        <v>0</v>
      </c>
      <c r="AI1447" s="131">
        <f>S1447+AG1447</f>
        <v>2</v>
      </c>
      <c r="AJ1447" s="65"/>
      <c r="AL1447" s="461">
        <f>SUM(F1447,H1447,J1447,L1447,N1447,P1447,T1447,V1447,X1447,Z1447,AB1447,AD1447)</f>
        <v>0</v>
      </c>
      <c r="AM1447" s="462">
        <f>AL1447-AH1447</f>
        <v>0</v>
      </c>
      <c r="AV1447" s="56"/>
    </row>
    <row r="1448" spans="1:48" ht="13.5" customHeight="1" outlineLevel="2" thickBot="1">
      <c r="A1448" s="119"/>
      <c r="B1448" s="82"/>
      <c r="C1448" s="1234"/>
      <c r="D1448" s="1234"/>
      <c r="E1448" s="84" t="str">
        <f>'Terms and Turnovers'!$T$12</f>
        <v>ORIGINALS</v>
      </c>
      <c r="F1448" s="120">
        <f>$R1448*G1448</f>
        <v>0</v>
      </c>
      <c r="G1448" s="723"/>
      <c r="H1448" s="120">
        <f>$R1448*I1448</f>
        <v>0</v>
      </c>
      <c r="I1448" s="69">
        <v>0.2</v>
      </c>
      <c r="J1448" s="120">
        <f>$R1448*K1448</f>
        <v>0</v>
      </c>
      <c r="K1448" s="69">
        <v>0.4</v>
      </c>
      <c r="L1448" s="120">
        <f>$R1448*M1448</f>
        <v>0</v>
      </c>
      <c r="M1448" s="69">
        <v>0.4</v>
      </c>
      <c r="N1448" s="315">
        <f>$R1448*O1448</f>
        <v>0</v>
      </c>
      <c r="O1448" s="69">
        <v>0</v>
      </c>
      <c r="P1448" s="120">
        <f>$R1448*Q1448</f>
        <v>0</v>
      </c>
      <c r="Q1448" s="69">
        <v>0</v>
      </c>
      <c r="R1448" s="88">
        <f>'Terms and Turnovers'!U131</f>
        <v>0</v>
      </c>
      <c r="S1448" s="161">
        <f>SUM(G1448,I1448,K1448,M1448,O1448,Q1448)</f>
        <v>1</v>
      </c>
      <c r="T1448" s="120">
        <f>$AF1448*U1448</f>
        <v>0</v>
      </c>
      <c r="U1448" s="723">
        <v>0</v>
      </c>
      <c r="V1448" s="120">
        <f>$AF1448*W1448</f>
        <v>0</v>
      </c>
      <c r="W1448" s="69">
        <v>0.45</v>
      </c>
      <c r="X1448" s="120">
        <f>$AF1448*Y1448</f>
        <v>0</v>
      </c>
      <c r="Y1448" s="69">
        <v>0.5</v>
      </c>
      <c r="Z1448" s="120">
        <f>$AF1448*AA1448</f>
        <v>0</v>
      </c>
      <c r="AA1448" s="69">
        <v>0.05</v>
      </c>
      <c r="AB1448" s="315">
        <f>$AF1448*AC1448</f>
        <v>0</v>
      </c>
      <c r="AC1448" s="69">
        <v>0</v>
      </c>
      <c r="AD1448" s="120">
        <f>$AF1448*AE1448</f>
        <v>0</v>
      </c>
      <c r="AE1448" s="69">
        <v>0</v>
      </c>
      <c r="AF1448" s="88">
        <f>'Terms and Turnovers'!Z131</f>
        <v>0</v>
      </c>
      <c r="AG1448" s="161">
        <f>SUM(U1448,W1448,Y1448,AA1448,AC1448,AE1448)</f>
        <v>1</v>
      </c>
      <c r="AH1448" s="158">
        <f>SUM(R1448,AF1448)</f>
        <v>0</v>
      </c>
      <c r="AI1448" s="134">
        <f>S1448+AG1448</f>
        <v>2</v>
      </c>
      <c r="AJ1448" s="65"/>
      <c r="AL1448" s="461">
        <f>SUM(F1448,H1448,J1448,L1448,N1448,P1448,T1448,V1448,X1448,Z1448,AB1448,AD1448)</f>
        <v>0</v>
      </c>
      <c r="AM1448" s="462">
        <f>AL1448-AH1448</f>
        <v>0</v>
      </c>
      <c r="AV1448" s="56"/>
    </row>
    <row r="1449" spans="1:48" ht="13.5" customHeight="1" outlineLevel="2" thickBot="1">
      <c r="A1449" s="119"/>
      <c r="B1449" s="82"/>
      <c r="C1449" s="1234"/>
      <c r="D1449" s="1234"/>
      <c r="E1449" s="84" t="str">
        <f>'Terms and Turnovers'!$AD$12</f>
        <v>ACCESSORIES</v>
      </c>
      <c r="F1449" s="120">
        <f>$R1449*G1449</f>
        <v>0</v>
      </c>
      <c r="G1449" s="723"/>
      <c r="H1449" s="120">
        <f>$R1449*I1449</f>
        <v>0</v>
      </c>
      <c r="I1449" s="69">
        <v>0.2</v>
      </c>
      <c r="J1449" s="120">
        <f>$R1449*K1449</f>
        <v>0</v>
      </c>
      <c r="K1449" s="69">
        <v>0.4</v>
      </c>
      <c r="L1449" s="120">
        <f>$R1449*M1449</f>
        <v>0</v>
      </c>
      <c r="M1449" s="69">
        <v>0.4</v>
      </c>
      <c r="N1449" s="315">
        <f>$R1449*O1449</f>
        <v>0</v>
      </c>
      <c r="O1449" s="69">
        <v>0</v>
      </c>
      <c r="P1449" s="120">
        <f>$R1449*Q1449</f>
        <v>0</v>
      </c>
      <c r="Q1449" s="69">
        <v>0</v>
      </c>
      <c r="R1449" s="88">
        <f>'Terms and Turnovers'!AE131</f>
        <v>0</v>
      </c>
      <c r="S1449" s="161">
        <f>SUM(G1449,I1449,K1449,M1449,O1449,Q1449)</f>
        <v>1</v>
      </c>
      <c r="T1449" s="120">
        <f>$AF1449*U1449</f>
        <v>0</v>
      </c>
      <c r="U1449" s="723">
        <v>0</v>
      </c>
      <c r="V1449" s="120">
        <f>$AF1449*W1449</f>
        <v>0</v>
      </c>
      <c r="W1449" s="69">
        <v>0.45</v>
      </c>
      <c r="X1449" s="120">
        <f>$AF1449*Y1449</f>
        <v>0</v>
      </c>
      <c r="Y1449" s="69">
        <v>0.5</v>
      </c>
      <c r="Z1449" s="120">
        <f>$AF1449*AA1449</f>
        <v>0</v>
      </c>
      <c r="AA1449" s="69">
        <v>0.05</v>
      </c>
      <c r="AB1449" s="315">
        <f>$AF1449*AC1449</f>
        <v>0</v>
      </c>
      <c r="AC1449" s="69">
        <v>0</v>
      </c>
      <c r="AD1449" s="120">
        <f>$AF1449*AE1449</f>
        <v>0</v>
      </c>
      <c r="AE1449" s="69">
        <v>0</v>
      </c>
      <c r="AF1449" s="88">
        <f>'Terms and Turnovers'!AJ131</f>
        <v>0</v>
      </c>
      <c r="AG1449" s="161">
        <f>SUM(U1449,W1449,Y1449,AA1449,AC1449,AE1449)</f>
        <v>1</v>
      </c>
      <c r="AH1449" s="158">
        <f>SUM(R1449,AF1449)</f>
        <v>0</v>
      </c>
      <c r="AI1449" s="134">
        <f>S1449+AG1449</f>
        <v>2</v>
      </c>
      <c r="AJ1449" s="65"/>
      <c r="AL1449" s="461">
        <f>SUM(F1449,H1449,J1449,L1449,N1449,P1449,T1449,V1449,X1449,Z1449,AB1449,AD1449)</f>
        <v>0</v>
      </c>
      <c r="AM1449" s="462">
        <f>AL1449-AH1449</f>
        <v>0</v>
      </c>
      <c r="AV1449" s="56"/>
    </row>
    <row r="1450" spans="1:48" s="334" customFormat="1" ht="13.5" customHeight="1" outlineLevel="2" thickBot="1">
      <c r="A1450" s="595"/>
      <c r="B1450" s="596"/>
      <c r="C1450" s="1234"/>
      <c r="D1450" s="1234"/>
      <c r="E1450" s="597">
        <f>'Terms and Turnovers'!$AN$12</f>
        <v>0</v>
      </c>
      <c r="F1450" s="598">
        <f>$R1450*G1450</f>
        <v>0</v>
      </c>
      <c r="G1450" s="724"/>
      <c r="H1450" s="598">
        <f>$R1450*I1450</f>
        <v>0</v>
      </c>
      <c r="I1450" s="69">
        <v>0.2</v>
      </c>
      <c r="J1450" s="598">
        <f>$R1450*K1450</f>
        <v>0</v>
      </c>
      <c r="K1450" s="69">
        <v>0.4</v>
      </c>
      <c r="L1450" s="598">
        <f>$R1450*M1450</f>
        <v>0</v>
      </c>
      <c r="M1450" s="69">
        <v>0.4</v>
      </c>
      <c r="N1450" s="598">
        <f>$R1450*O1450</f>
        <v>0</v>
      </c>
      <c r="O1450" s="69">
        <v>0</v>
      </c>
      <c r="P1450" s="598">
        <f>$R1450*Q1450</f>
        <v>0</v>
      </c>
      <c r="Q1450" s="69">
        <v>0</v>
      </c>
      <c r="R1450" s="88">
        <f>'Terms and Turnovers'!AO131</f>
        <v>0</v>
      </c>
      <c r="S1450" s="161">
        <f>SUM(G1450,I1450,K1450,M1450,O1450,Q1450)</f>
        <v>1</v>
      </c>
      <c r="T1450" s="598">
        <f>$AF1450*U1450</f>
        <v>0</v>
      </c>
      <c r="U1450" s="724">
        <v>0</v>
      </c>
      <c r="V1450" s="598">
        <f>$AF1450*W1450</f>
        <v>0</v>
      </c>
      <c r="W1450" s="69">
        <v>0.45</v>
      </c>
      <c r="X1450" s="598">
        <f>$AF1450*Y1450</f>
        <v>0</v>
      </c>
      <c r="Y1450" s="69">
        <v>0.5</v>
      </c>
      <c r="Z1450" s="598">
        <f>$AF1450*AA1450</f>
        <v>0</v>
      </c>
      <c r="AA1450" s="69">
        <v>0.05</v>
      </c>
      <c r="AB1450" s="598">
        <f>$AF1450*AC1450</f>
        <v>0</v>
      </c>
      <c r="AC1450" s="69">
        <v>0</v>
      </c>
      <c r="AD1450" s="598">
        <f>$AF1450*AE1450</f>
        <v>0</v>
      </c>
      <c r="AE1450" s="69">
        <v>0</v>
      </c>
      <c r="AF1450" s="600">
        <f>'Terms and Turnovers'!AT131</f>
        <v>0</v>
      </c>
      <c r="AG1450" s="161">
        <f>SUM(U1450,W1450,Y1450,AA1450,AC1450,AE1450)</f>
        <v>1</v>
      </c>
      <c r="AH1450" s="601">
        <f>SUM(R1450,AF1450)</f>
        <v>0</v>
      </c>
      <c r="AI1450" s="602">
        <f>S1450+AG1450</f>
        <v>2</v>
      </c>
      <c r="AJ1450" s="603"/>
      <c r="AL1450" s="334">
        <f>SUM(F1450,H1450,J1450,L1450,N1450,P1450,T1450,V1450,X1450,Z1450,AB1450,AD1450)</f>
        <v>0</v>
      </c>
      <c r="AM1450" s="334">
        <f>AL1450-AH1450</f>
        <v>0</v>
      </c>
      <c r="AN1450" s="692"/>
      <c r="AO1450" s="692"/>
      <c r="AP1450" s="692"/>
      <c r="AQ1450" s="693"/>
      <c r="AU1450" s="746"/>
    </row>
    <row r="1451" spans="1:48" ht="13.5" customHeight="1" outlineLevel="2" thickBot="1">
      <c r="A1451" s="119"/>
      <c r="B1451" s="82"/>
      <c r="C1451" s="1235"/>
      <c r="D1451" s="1235"/>
      <c r="E1451" s="85">
        <f>'Terms and Turnovers'!$AX$12</f>
        <v>0</v>
      </c>
      <c r="F1451" s="121">
        <f>$R1451*G1451</f>
        <v>0</v>
      </c>
      <c r="G1451" s="72"/>
      <c r="H1451" s="121">
        <f>$R1451*I1451</f>
        <v>0</v>
      </c>
      <c r="I1451" s="69">
        <v>0.2</v>
      </c>
      <c r="J1451" s="121">
        <f>$R1451*K1451</f>
        <v>0</v>
      </c>
      <c r="K1451" s="69">
        <v>0.4</v>
      </c>
      <c r="L1451" s="121">
        <f>$R1451*M1451</f>
        <v>0</v>
      </c>
      <c r="M1451" s="69">
        <v>0.4</v>
      </c>
      <c r="N1451" s="316">
        <f>$R1451*O1451</f>
        <v>0</v>
      </c>
      <c r="O1451" s="69">
        <v>0</v>
      </c>
      <c r="P1451" s="121">
        <f>$R1451*Q1451</f>
        <v>0</v>
      </c>
      <c r="Q1451" s="69">
        <v>0</v>
      </c>
      <c r="R1451" s="89">
        <f>'Terms and Turnovers'!AY131</f>
        <v>0</v>
      </c>
      <c r="S1451" s="162">
        <f>SUM(G1451,I1451,K1451,M1451,O1451,Q1451)</f>
        <v>1</v>
      </c>
      <c r="T1451" s="121">
        <f>$AF1451*U1451</f>
        <v>0</v>
      </c>
      <c r="U1451" s="72">
        <v>0</v>
      </c>
      <c r="V1451" s="121">
        <f>$AF1451*W1451</f>
        <v>0</v>
      </c>
      <c r="W1451" s="69">
        <v>0.45</v>
      </c>
      <c r="X1451" s="121">
        <f>$AF1451*Y1451</f>
        <v>0</v>
      </c>
      <c r="Y1451" s="69">
        <v>0.5</v>
      </c>
      <c r="Z1451" s="121">
        <f>$AF1451*AA1451</f>
        <v>0</v>
      </c>
      <c r="AA1451" s="69">
        <v>0.05</v>
      </c>
      <c r="AB1451" s="316">
        <f>$AF1451*AC1451</f>
        <v>0</v>
      </c>
      <c r="AC1451" s="69">
        <v>0</v>
      </c>
      <c r="AD1451" s="121">
        <f>$AF1451*AE1451</f>
        <v>0</v>
      </c>
      <c r="AE1451" s="69">
        <v>0</v>
      </c>
      <c r="AF1451" s="89">
        <f>'Terms and Turnovers'!BD131</f>
        <v>0</v>
      </c>
      <c r="AG1451" s="162">
        <f>SUM(U1451,W1451,Y1451,AA1451,AC1451,AE1451)</f>
        <v>1</v>
      </c>
      <c r="AH1451" s="159">
        <f>SUM(R1451,AF1451)</f>
        <v>0</v>
      </c>
      <c r="AI1451" s="137">
        <f>S1451+AG1451</f>
        <v>2</v>
      </c>
      <c r="AJ1451" s="65"/>
      <c r="AL1451" s="461">
        <f>SUM(F1451,H1451,J1451,L1451,N1451,P1451,T1451,V1451,X1451,Z1451,AB1451,AD1451)</f>
        <v>0</v>
      </c>
      <c r="AM1451" s="462">
        <f>AL1451-AH1451</f>
        <v>0</v>
      </c>
      <c r="AV1451" s="56"/>
    </row>
    <row r="1452" spans="1:48" ht="13.5" customHeight="1" outlineLevel="2" thickBot="1">
      <c r="A1452" s="119"/>
      <c r="B1452" s="82"/>
      <c r="C1452" s="425"/>
      <c r="D1452" s="425"/>
      <c r="E1452" s="426"/>
      <c r="F1452" s="427">
        <f>SUM(F1447:F1451)</f>
        <v>0</v>
      </c>
      <c r="G1452" s="428"/>
      <c r="H1452" s="427">
        <f>SUM(H1447:H1451)</f>
        <v>0</v>
      </c>
      <c r="I1452" s="69"/>
      <c r="J1452" s="427">
        <f>SUM(J1447:J1451)</f>
        <v>0</v>
      </c>
      <c r="K1452" s="69"/>
      <c r="L1452" s="427">
        <f>SUM(L1447:L1451)</f>
        <v>0</v>
      </c>
      <c r="M1452" s="69"/>
      <c r="N1452" s="427">
        <f>SUM(N1447:N1451)</f>
        <v>0</v>
      </c>
      <c r="O1452" s="69"/>
      <c r="P1452" s="427">
        <f>SUM(P1447:P1451)</f>
        <v>0</v>
      </c>
      <c r="Q1452" s="69"/>
      <c r="R1452" s="429"/>
      <c r="S1452" s="430"/>
      <c r="T1452" s="427">
        <f>SUM(T1447:T1451)</f>
        <v>0</v>
      </c>
      <c r="U1452" s="428"/>
      <c r="V1452" s="427">
        <f>SUM(V1447:V1451)</f>
        <v>0</v>
      </c>
      <c r="W1452" s="69"/>
      <c r="X1452" s="427">
        <f>SUM(X1447:X1451)</f>
        <v>0</v>
      </c>
      <c r="Y1452" s="69"/>
      <c r="Z1452" s="427">
        <f>SUM(Z1447:Z1451)</f>
        <v>0</v>
      </c>
      <c r="AA1452" s="69"/>
      <c r="AB1452" s="427">
        <f>SUM(AB1447:AB1451)</f>
        <v>0</v>
      </c>
      <c r="AC1452" s="69"/>
      <c r="AD1452" s="427">
        <f>SUM(AD1447:AD1451)</f>
        <v>0</v>
      </c>
      <c r="AE1452" s="69"/>
      <c r="AF1452" s="429"/>
      <c r="AG1452" s="430"/>
      <c r="AH1452" s="431"/>
      <c r="AI1452" s="432"/>
      <c r="AJ1452" s="65"/>
      <c r="AV1452" s="56"/>
    </row>
    <row r="1453" spans="1:48" ht="13.5" customHeight="1" outlineLevel="2" thickBot="1">
      <c r="A1453" s="119"/>
      <c r="B1453" s="82"/>
      <c r="C1453" s="433" t="s">
        <v>484</v>
      </c>
      <c r="D1453" s="433" t="str">
        <f>D1447</f>
        <v>Вайлдберриз ООО</v>
      </c>
      <c r="E1453" s="426"/>
      <c r="F1453" s="434">
        <f>AN1453</f>
        <v>0</v>
      </c>
      <c r="G1453" s="428"/>
      <c r="H1453" s="434">
        <f>H1452</f>
        <v>0</v>
      </c>
      <c r="I1453" s="69"/>
      <c r="J1453" s="434">
        <f>J1452</f>
        <v>0</v>
      </c>
      <c r="K1453" s="69"/>
      <c r="L1453" s="434">
        <f>L1452-AO1453</f>
        <v>0</v>
      </c>
      <c r="M1453" s="69"/>
      <c r="N1453" s="434">
        <f>N1452</f>
        <v>0</v>
      </c>
      <c r="O1453" s="69"/>
      <c r="P1453" s="434">
        <f>P1452</f>
        <v>0</v>
      </c>
      <c r="Q1453" s="69"/>
      <c r="R1453" s="429"/>
      <c r="S1453" s="430"/>
      <c r="T1453" s="434">
        <f>AO1453</f>
        <v>0</v>
      </c>
      <c r="U1453" s="428">
        <f>Q1452</f>
        <v>0</v>
      </c>
      <c r="V1453" s="434">
        <f>V1452</f>
        <v>0</v>
      </c>
      <c r="W1453" s="69">
        <f>S1452</f>
        <v>0</v>
      </c>
      <c r="X1453" s="434">
        <f>X1452-AN1453</f>
        <v>0</v>
      </c>
      <c r="Y1453" s="69">
        <f>U1452</f>
        <v>0</v>
      </c>
      <c r="Z1453" s="434">
        <f>Z1452</f>
        <v>0</v>
      </c>
      <c r="AA1453" s="69">
        <f>W1452</f>
        <v>0</v>
      </c>
      <c r="AB1453" s="434">
        <f>AB1452</f>
        <v>0</v>
      </c>
      <c r="AC1453" s="69">
        <f>Y1452</f>
        <v>0</v>
      </c>
      <c r="AD1453" s="434">
        <f>AB1452</f>
        <v>0</v>
      </c>
      <c r="AE1453" s="69"/>
      <c r="AF1453" s="429"/>
      <c r="AG1453" s="430"/>
      <c r="AH1453" s="431"/>
      <c r="AI1453" s="432"/>
      <c r="AJ1453" s="65"/>
      <c r="AN1453" s="695">
        <f>SUM(AF1447:AF1451)*AQ1453</f>
        <v>0</v>
      </c>
      <c r="AO1453" s="742">
        <f>SUM(R1447:R1451)*AQ1453</f>
        <v>0</v>
      </c>
      <c r="AP1453" s="742"/>
      <c r="AQ1453" s="693">
        <v>0.1</v>
      </c>
      <c r="AS1453" s="716">
        <f>SUM(AL1447:AL1451)</f>
        <v>0</v>
      </c>
      <c r="AT1453" s="461">
        <f>F1453+H1453+J1453+L1453+N1453+P1453+T1453+V1453+X1453+Z1453+AB1453+AD1453</f>
        <v>0</v>
      </c>
      <c r="AU1453" s="745">
        <f>AT1453-AS1453</f>
        <v>0</v>
      </c>
      <c r="AV1453" s="56"/>
    </row>
    <row r="1454" spans="1:48" ht="13.5" customHeight="1" outlineLevel="2" thickBot="1">
      <c r="A1454" s="73"/>
      <c r="B1454" s="82">
        <f>B1447+1</f>
        <v>1</v>
      </c>
      <c r="C1454" s="1233">
        <f>C13</f>
        <v>0</v>
      </c>
      <c r="D1454" s="1233" t="str">
        <f>D13</f>
        <v>Интернет решения ООО</v>
      </c>
      <c r="E1454" s="83" t="str">
        <f>'Terms and Turnovers'!$J$12</f>
        <v>FLIP-FLOPS</v>
      </c>
      <c r="F1454" s="118">
        <f>$R1454*G1454</f>
        <v>0</v>
      </c>
      <c r="G1454" s="69"/>
      <c r="H1454" s="314">
        <f>$R1454*I1454</f>
        <v>0</v>
      </c>
      <c r="I1454" s="69">
        <v>0.15</v>
      </c>
      <c r="J1454" s="118">
        <f>$R1454*K1454</f>
        <v>0</v>
      </c>
      <c r="K1454" s="69">
        <v>0.3</v>
      </c>
      <c r="L1454" s="314">
        <f>$R1454*M1454</f>
        <v>0</v>
      </c>
      <c r="M1454" s="69">
        <v>0.4</v>
      </c>
      <c r="N1454" s="314">
        <f>$R1454*O1454</f>
        <v>0</v>
      </c>
      <c r="O1454" s="69">
        <v>0.15</v>
      </c>
      <c r="P1454" s="118">
        <f>$R1454*Q1454</f>
        <v>0</v>
      </c>
      <c r="Q1454" s="69">
        <v>0</v>
      </c>
      <c r="R1454" s="87">
        <f>'Terms and Turnovers'!K132</f>
        <v>0</v>
      </c>
      <c r="S1454" s="160">
        <f>SUM(G1454,I1454,K1454,M1454,O1454,Q1454)</f>
        <v>1</v>
      </c>
      <c r="T1454" s="118">
        <f>$AF1454*U1454</f>
        <v>0</v>
      </c>
      <c r="U1454" s="69">
        <v>0</v>
      </c>
      <c r="V1454" s="314">
        <f>$AF1454*W1454</f>
        <v>0</v>
      </c>
      <c r="W1454" s="69">
        <v>0</v>
      </c>
      <c r="X1454" s="118">
        <f>$AF1454*Y1454</f>
        <v>0</v>
      </c>
      <c r="Y1454" s="69">
        <v>0</v>
      </c>
      <c r="Z1454" s="314">
        <f>$AF1454*AA1454</f>
        <v>0</v>
      </c>
      <c r="AA1454" s="69">
        <v>0</v>
      </c>
      <c r="AB1454" s="314">
        <f>$AF1454*AC1454</f>
        <v>0</v>
      </c>
      <c r="AC1454" s="69">
        <v>1</v>
      </c>
      <c r="AD1454" s="118">
        <f>$AF1454*AE1454</f>
        <v>0</v>
      </c>
      <c r="AE1454" s="69">
        <v>0</v>
      </c>
      <c r="AF1454" s="87">
        <f>'Terms and Turnovers'!P132</f>
        <v>0</v>
      </c>
      <c r="AG1454" s="160">
        <f>SUM(U1454,W1454,Y1454,AA1454,AC1454,AE1454)</f>
        <v>1</v>
      </c>
      <c r="AH1454" s="157">
        <f>SUM(R1454,AF1454)</f>
        <v>0</v>
      </c>
      <c r="AI1454" s="131">
        <f>S1454+AG1454</f>
        <v>2</v>
      </c>
      <c r="AJ1454" s="65"/>
      <c r="AL1454" s="461">
        <f>SUM(F1454,H1454,J1454,L1454,N1454,P1454,T1454,V1454,X1454,Z1454,AB1454,AD1454)</f>
        <v>0</v>
      </c>
      <c r="AM1454" s="462">
        <f>AL1454-AH1454</f>
        <v>0</v>
      </c>
      <c r="AO1454" s="692"/>
      <c r="AP1454" s="692"/>
      <c r="AV1454" s="56"/>
    </row>
    <row r="1455" spans="1:48" ht="13.5" customHeight="1" outlineLevel="2" thickBot="1">
      <c r="A1455" s="73"/>
      <c r="B1455" s="82"/>
      <c r="C1455" s="1234"/>
      <c r="D1455" s="1234"/>
      <c r="E1455" s="84" t="str">
        <f>'Terms and Turnovers'!$T$12</f>
        <v>ORIGINALS</v>
      </c>
      <c r="F1455" s="120">
        <f>$R1455*G1455</f>
        <v>0</v>
      </c>
      <c r="G1455" s="723"/>
      <c r="H1455" s="120">
        <f>$R1455*I1455</f>
        <v>0</v>
      </c>
      <c r="I1455" s="69">
        <v>0</v>
      </c>
      <c r="J1455" s="120">
        <f>$R1455*K1455</f>
        <v>0</v>
      </c>
      <c r="K1455" s="69">
        <v>0.3</v>
      </c>
      <c r="L1455" s="120">
        <f>$R1455*M1455</f>
        <v>0</v>
      </c>
      <c r="M1455" s="69">
        <v>0.6</v>
      </c>
      <c r="N1455" s="315">
        <f>$R1455*O1455</f>
        <v>0</v>
      </c>
      <c r="O1455" s="69">
        <v>0.1</v>
      </c>
      <c r="P1455" s="120">
        <f>$R1455*Q1455</f>
        <v>0</v>
      </c>
      <c r="Q1455" s="69">
        <v>0</v>
      </c>
      <c r="R1455" s="88">
        <f>'Terms and Turnovers'!U132</f>
        <v>0</v>
      </c>
      <c r="S1455" s="161">
        <f>SUM(G1455,I1455,K1455,M1455,O1455,Q1455)</f>
        <v>0.99999999999999989</v>
      </c>
      <c r="T1455" s="120">
        <f>$AF1455*U1455</f>
        <v>0</v>
      </c>
      <c r="U1455" s="723">
        <v>0</v>
      </c>
      <c r="V1455" s="120">
        <f>$AF1455*W1455</f>
        <v>0</v>
      </c>
      <c r="W1455" s="69">
        <v>0.35</v>
      </c>
      <c r="X1455" s="120">
        <f>$AF1455*Y1455</f>
        <v>0</v>
      </c>
      <c r="Y1455" s="69">
        <v>0.5</v>
      </c>
      <c r="Z1455" s="120">
        <f>$AF1455*AA1455</f>
        <v>0</v>
      </c>
      <c r="AA1455" s="69">
        <v>0.15</v>
      </c>
      <c r="AB1455" s="315">
        <f>$AF1455*AC1455</f>
        <v>0</v>
      </c>
      <c r="AC1455" s="69">
        <v>0</v>
      </c>
      <c r="AD1455" s="120">
        <f>$AF1455*AE1455</f>
        <v>0</v>
      </c>
      <c r="AE1455" s="69">
        <v>0</v>
      </c>
      <c r="AF1455" s="88">
        <f>'Terms and Turnovers'!Z132</f>
        <v>0</v>
      </c>
      <c r="AG1455" s="161">
        <f>SUM(U1455,W1455,Y1455,AA1455,AC1455,AE1455)</f>
        <v>1</v>
      </c>
      <c r="AH1455" s="158">
        <f>SUM(R1455,AF1455)</f>
        <v>0</v>
      </c>
      <c r="AI1455" s="134">
        <f>S1455+AG1455</f>
        <v>2</v>
      </c>
      <c r="AJ1455" s="65"/>
      <c r="AL1455" s="461">
        <f>SUM(F1455,H1455,J1455,L1455,N1455,P1455,T1455,V1455,X1455,Z1455,AB1455,AD1455)</f>
        <v>0</v>
      </c>
      <c r="AM1455" s="462">
        <f>AL1455-AH1455</f>
        <v>0</v>
      </c>
      <c r="AO1455" s="692"/>
      <c r="AP1455" s="692"/>
      <c r="AV1455" s="56"/>
    </row>
    <row r="1456" spans="1:48" ht="13.5" customHeight="1" outlineLevel="2" thickBot="1">
      <c r="A1456" s="73"/>
      <c r="B1456" s="82"/>
      <c r="C1456" s="1234"/>
      <c r="D1456" s="1234"/>
      <c r="E1456" s="84" t="str">
        <f>'Terms and Turnovers'!$AD$12</f>
        <v>ACCESSORIES</v>
      </c>
      <c r="F1456" s="120">
        <f>$R1456*G1456</f>
        <v>0</v>
      </c>
      <c r="G1456" s="723"/>
      <c r="H1456" s="120">
        <f>$R1456*I1456</f>
        <v>0</v>
      </c>
      <c r="I1456" s="69">
        <v>0</v>
      </c>
      <c r="J1456" s="120">
        <f>$R1456*K1456</f>
        <v>0</v>
      </c>
      <c r="K1456" s="69">
        <v>0.3</v>
      </c>
      <c r="L1456" s="120">
        <f>$R1456*M1456</f>
        <v>0</v>
      </c>
      <c r="M1456" s="69">
        <v>0.6</v>
      </c>
      <c r="N1456" s="315">
        <f>$R1456*O1456</f>
        <v>0</v>
      </c>
      <c r="O1456" s="69">
        <v>0.1</v>
      </c>
      <c r="P1456" s="120">
        <f>$R1456*Q1456</f>
        <v>0</v>
      </c>
      <c r="Q1456" s="69">
        <v>0</v>
      </c>
      <c r="R1456" s="88">
        <f>'Terms and Turnovers'!AE132</f>
        <v>0</v>
      </c>
      <c r="S1456" s="161">
        <f>SUM(G1456,I1456,K1456,M1456,O1456,Q1456)</f>
        <v>0.99999999999999989</v>
      </c>
      <c r="T1456" s="120">
        <f>$AF1456*U1456</f>
        <v>0</v>
      </c>
      <c r="U1456" s="723">
        <v>0</v>
      </c>
      <c r="V1456" s="120">
        <f>$AF1456*W1456</f>
        <v>0</v>
      </c>
      <c r="W1456" s="69">
        <v>0.35</v>
      </c>
      <c r="X1456" s="120">
        <f>$AF1456*Y1456</f>
        <v>0</v>
      </c>
      <c r="Y1456" s="69">
        <v>0.5</v>
      </c>
      <c r="Z1456" s="120">
        <f>$AF1456*AA1456</f>
        <v>0</v>
      </c>
      <c r="AA1456" s="69">
        <v>0.15</v>
      </c>
      <c r="AB1456" s="315">
        <f>$AF1456*AC1456</f>
        <v>0</v>
      </c>
      <c r="AC1456" s="69">
        <v>0</v>
      </c>
      <c r="AD1456" s="120">
        <f>$AF1456*AE1456</f>
        <v>0</v>
      </c>
      <c r="AE1456" s="69">
        <v>0</v>
      </c>
      <c r="AF1456" s="88">
        <f>'Terms and Turnovers'!AJ132</f>
        <v>0</v>
      </c>
      <c r="AG1456" s="161">
        <f>SUM(U1456,W1456,Y1456,AA1456,AC1456,AE1456)</f>
        <v>1</v>
      </c>
      <c r="AH1456" s="158">
        <f>SUM(R1456,AF1456)</f>
        <v>0</v>
      </c>
      <c r="AI1456" s="134">
        <f>S1456+AG1456</f>
        <v>2</v>
      </c>
      <c r="AJ1456" s="65"/>
      <c r="AL1456" s="461">
        <f>SUM(F1456,H1456,J1456,L1456,N1456,P1456,T1456,V1456,X1456,Z1456,AB1456,AD1456)</f>
        <v>0</v>
      </c>
      <c r="AM1456" s="462">
        <f>AL1456-AH1456</f>
        <v>0</v>
      </c>
      <c r="AO1456" s="692"/>
      <c r="AP1456" s="692"/>
      <c r="AV1456" s="56"/>
    </row>
    <row r="1457" spans="1:48" ht="13.5" customHeight="1" outlineLevel="2" thickBot="1">
      <c r="A1457" s="73"/>
      <c r="B1457" s="82"/>
      <c r="C1457" s="1234"/>
      <c r="D1457" s="1234"/>
      <c r="E1457" s="84">
        <f>'Terms and Turnovers'!$AN$12</f>
        <v>0</v>
      </c>
      <c r="F1457" s="120">
        <f>$R1457*G1457</f>
        <v>0</v>
      </c>
      <c r="G1457" s="723"/>
      <c r="H1457" s="120">
        <f>$R1457*I1457</f>
        <v>0</v>
      </c>
      <c r="I1457" s="69">
        <v>0.15</v>
      </c>
      <c r="J1457" s="120">
        <f>$R1457*K1457</f>
        <v>0</v>
      </c>
      <c r="K1457" s="69">
        <v>0.3</v>
      </c>
      <c r="L1457" s="120">
        <f>$R1457*M1457</f>
        <v>0</v>
      </c>
      <c r="M1457" s="69">
        <v>0.4</v>
      </c>
      <c r="N1457" s="315">
        <f>$R1457*O1457</f>
        <v>0</v>
      </c>
      <c r="O1457" s="69">
        <v>0.15</v>
      </c>
      <c r="P1457" s="120">
        <f>$R1457*Q1457</f>
        <v>0</v>
      </c>
      <c r="Q1457" s="69">
        <v>0</v>
      </c>
      <c r="R1457" s="88">
        <f>'Terms and Turnovers'!AO132</f>
        <v>0</v>
      </c>
      <c r="S1457" s="161">
        <f>SUM(G1457,I1457,K1457,M1457,O1457,Q1457)</f>
        <v>1</v>
      </c>
      <c r="T1457" s="120">
        <f>$AF1457*U1457</f>
        <v>0</v>
      </c>
      <c r="U1457" s="723">
        <v>0</v>
      </c>
      <c r="V1457" s="120">
        <f>$AF1457*W1457</f>
        <v>0</v>
      </c>
      <c r="W1457" s="69">
        <v>0.35</v>
      </c>
      <c r="X1457" s="120">
        <f>$AF1457*Y1457</f>
        <v>0</v>
      </c>
      <c r="Y1457" s="69">
        <v>0.5</v>
      </c>
      <c r="Z1457" s="120">
        <f>$AF1457*AA1457</f>
        <v>0</v>
      </c>
      <c r="AA1457" s="69">
        <v>0.15</v>
      </c>
      <c r="AB1457" s="315">
        <f>$AF1457*AC1457</f>
        <v>0</v>
      </c>
      <c r="AC1457" s="69">
        <v>0</v>
      </c>
      <c r="AD1457" s="120">
        <f>$AF1457*AE1457</f>
        <v>0</v>
      </c>
      <c r="AE1457" s="69">
        <v>0</v>
      </c>
      <c r="AF1457" s="88">
        <f>'Terms and Turnovers'!AT132</f>
        <v>0</v>
      </c>
      <c r="AG1457" s="161">
        <f>SUM(U1457,W1457,Y1457,AA1457,AC1457,AE1457)</f>
        <v>1</v>
      </c>
      <c r="AH1457" s="158">
        <f>SUM(R1457,AF1457)</f>
        <v>0</v>
      </c>
      <c r="AI1457" s="134">
        <f>S1457+AG1457</f>
        <v>2</v>
      </c>
      <c r="AJ1457" s="65"/>
      <c r="AL1457" s="461">
        <f>SUM(F1457,H1457,J1457,L1457,N1457,P1457,T1457,V1457,X1457,Z1457,AB1457,AD1457)</f>
        <v>0</v>
      </c>
      <c r="AM1457" s="462">
        <f>AL1457-AH1457</f>
        <v>0</v>
      </c>
      <c r="AO1457" s="692"/>
      <c r="AP1457" s="692"/>
      <c r="AV1457" s="56"/>
    </row>
    <row r="1458" spans="1:48" ht="13.5" customHeight="1" outlineLevel="2" thickBot="1">
      <c r="A1458" s="73"/>
      <c r="B1458" s="82"/>
      <c r="C1458" s="1235"/>
      <c r="D1458" s="1235"/>
      <c r="E1458" s="85">
        <f>'Terms and Turnovers'!$AX$12</f>
        <v>0</v>
      </c>
      <c r="F1458" s="121">
        <f>$R1458*G1458</f>
        <v>0</v>
      </c>
      <c r="G1458" s="72"/>
      <c r="H1458" s="121">
        <f>$R1458*I1458</f>
        <v>0</v>
      </c>
      <c r="I1458" s="69">
        <v>0.15</v>
      </c>
      <c r="J1458" s="121">
        <f>$R1458*K1458</f>
        <v>0</v>
      </c>
      <c r="K1458" s="69">
        <v>0.3</v>
      </c>
      <c r="L1458" s="121">
        <f>$R1458*M1458</f>
        <v>0</v>
      </c>
      <c r="M1458" s="69">
        <v>0.4</v>
      </c>
      <c r="N1458" s="316">
        <f>$R1458*O1458</f>
        <v>0</v>
      </c>
      <c r="O1458" s="69">
        <v>0.15</v>
      </c>
      <c r="P1458" s="121">
        <f>$R1458*Q1458</f>
        <v>0</v>
      </c>
      <c r="Q1458" s="69">
        <v>0</v>
      </c>
      <c r="R1458" s="89">
        <f>'Terms and Turnovers'!AY132</f>
        <v>0</v>
      </c>
      <c r="S1458" s="162">
        <f>SUM(G1458,I1458,K1458,M1458,O1458,Q1458)</f>
        <v>1</v>
      </c>
      <c r="T1458" s="121">
        <f>$AF1458*U1458</f>
        <v>0</v>
      </c>
      <c r="U1458" s="72">
        <v>0</v>
      </c>
      <c r="V1458" s="121">
        <f>$AF1458*W1458</f>
        <v>0</v>
      </c>
      <c r="W1458" s="69">
        <v>0.35</v>
      </c>
      <c r="X1458" s="121">
        <f>$AF1458*Y1458</f>
        <v>0</v>
      </c>
      <c r="Y1458" s="69">
        <v>0.5</v>
      </c>
      <c r="Z1458" s="121">
        <f>$AF1458*AA1458</f>
        <v>0</v>
      </c>
      <c r="AA1458" s="69">
        <v>0.15</v>
      </c>
      <c r="AB1458" s="316">
        <f>$AF1458*AC1458</f>
        <v>0</v>
      </c>
      <c r="AC1458" s="69">
        <v>0</v>
      </c>
      <c r="AD1458" s="121">
        <f>$AF1458*AE1458</f>
        <v>0</v>
      </c>
      <c r="AE1458" s="69">
        <v>0</v>
      </c>
      <c r="AF1458" s="89">
        <f>'Terms and Turnovers'!BD132</f>
        <v>0</v>
      </c>
      <c r="AG1458" s="162">
        <f>SUM(U1458,W1458,Y1458,AA1458,AC1458,AE1458)</f>
        <v>1</v>
      </c>
      <c r="AH1458" s="159">
        <f>SUM(R1458,AF1458)</f>
        <v>0</v>
      </c>
      <c r="AI1458" s="137">
        <f>S1458+AG1458</f>
        <v>2</v>
      </c>
      <c r="AJ1458" s="65"/>
      <c r="AL1458" s="461">
        <f>SUM(F1458,H1458,J1458,L1458,N1458,P1458,T1458,V1458,X1458,Z1458,AB1458,AD1458)</f>
        <v>0</v>
      </c>
      <c r="AM1458" s="462">
        <f>AL1458-AH1458</f>
        <v>0</v>
      </c>
      <c r="AO1458" s="692"/>
      <c r="AP1458" s="692"/>
      <c r="AV1458" s="56"/>
    </row>
    <row r="1459" spans="1:48" ht="13.5" customHeight="1" outlineLevel="2" thickBot="1">
      <c r="A1459" s="119"/>
      <c r="B1459" s="82"/>
      <c r="C1459" s="425"/>
      <c r="D1459" s="425"/>
      <c r="E1459" s="426"/>
      <c r="F1459" s="427">
        <f>SUM(F1454:F1458)</f>
        <v>0</v>
      </c>
      <c r="G1459" s="428"/>
      <c r="H1459" s="427">
        <f>SUM(H1454:H1458)</f>
        <v>0</v>
      </c>
      <c r="I1459" s="69"/>
      <c r="J1459" s="427">
        <f>SUM(J1454:J1458)</f>
        <v>0</v>
      </c>
      <c r="K1459" s="69"/>
      <c r="L1459" s="427">
        <f>SUM(L1454:L1458)</f>
        <v>0</v>
      </c>
      <c r="M1459" s="69"/>
      <c r="N1459" s="427">
        <f>SUM(N1454:N1458)</f>
        <v>0</v>
      </c>
      <c r="O1459" s="69"/>
      <c r="P1459" s="427">
        <f>SUM(P1454:P1458)</f>
        <v>0</v>
      </c>
      <c r="Q1459" s="69"/>
      <c r="R1459" s="429"/>
      <c r="S1459" s="430"/>
      <c r="T1459" s="427">
        <f>SUM(T1454:T1458)</f>
        <v>0</v>
      </c>
      <c r="U1459" s="428"/>
      <c r="V1459" s="427">
        <f>SUM(V1454:V1458)</f>
        <v>0</v>
      </c>
      <c r="W1459" s="69"/>
      <c r="X1459" s="427">
        <f>SUM(X1454:X1458)</f>
        <v>0</v>
      </c>
      <c r="Y1459" s="69"/>
      <c r="Z1459" s="427">
        <f>SUM(Z1454:Z1458)</f>
        <v>0</v>
      </c>
      <c r="AA1459" s="69"/>
      <c r="AB1459" s="427">
        <f>SUM(AB1454:AB1458)</f>
        <v>0</v>
      </c>
      <c r="AC1459" s="69"/>
      <c r="AD1459" s="427">
        <f>SUM(AD1454:AD1458)</f>
        <v>0</v>
      </c>
      <c r="AE1459" s="69"/>
      <c r="AF1459" s="429"/>
      <c r="AG1459" s="430"/>
      <c r="AH1459" s="431"/>
      <c r="AI1459" s="432"/>
      <c r="AJ1459" s="65"/>
      <c r="AO1459" s="692"/>
      <c r="AP1459" s="692"/>
      <c r="AV1459" s="56"/>
    </row>
    <row r="1460" spans="1:48" s="334" customFormat="1" ht="13.5" customHeight="1" outlineLevel="2" thickBot="1">
      <c r="A1460" s="595"/>
      <c r="B1460" s="596"/>
      <c r="C1460" s="604" t="s">
        <v>484</v>
      </c>
      <c r="D1460" s="604" t="str">
        <f>D1454</f>
        <v>Интернет решения ООО</v>
      </c>
      <c r="E1460" s="605"/>
      <c r="F1460" s="434">
        <f>AN1460</f>
        <v>0</v>
      </c>
      <c r="G1460" s="607"/>
      <c r="H1460" s="606"/>
      <c r="I1460" s="599"/>
      <c r="J1460" s="606"/>
      <c r="K1460" s="599"/>
      <c r="L1460" s="606"/>
      <c r="M1460" s="599"/>
      <c r="N1460" s="606">
        <f>H1459</f>
        <v>0</v>
      </c>
      <c r="O1460" s="599"/>
      <c r="P1460" s="606">
        <f>J1459</f>
        <v>0</v>
      </c>
      <c r="Q1460" s="599"/>
      <c r="R1460" s="608"/>
      <c r="S1460" s="609"/>
      <c r="T1460" s="606">
        <f>L1459</f>
        <v>0</v>
      </c>
      <c r="U1460" s="607">
        <f>Q1459</f>
        <v>0</v>
      </c>
      <c r="V1460" s="606">
        <f>N1459</f>
        <v>0</v>
      </c>
      <c r="W1460" s="599">
        <f>S1459</f>
        <v>0</v>
      </c>
      <c r="X1460" s="606"/>
      <c r="Y1460" s="599">
        <f>U1459</f>
        <v>0</v>
      </c>
      <c r="Z1460" s="606"/>
      <c r="AA1460" s="599">
        <f>W1459</f>
        <v>0</v>
      </c>
      <c r="AB1460" s="606">
        <f>V1459</f>
        <v>0</v>
      </c>
      <c r="AC1460" s="599">
        <f>Y1459</f>
        <v>0</v>
      </c>
      <c r="AD1460" s="606">
        <f>X1459</f>
        <v>0</v>
      </c>
      <c r="AE1460" s="599"/>
      <c r="AF1460" s="608"/>
      <c r="AG1460" s="609"/>
      <c r="AH1460" s="610"/>
      <c r="AI1460" s="611"/>
      <c r="AJ1460" s="603"/>
      <c r="AN1460" s="695">
        <f>SUM(AF1454:AF1458)*AQ1460</f>
        <v>0</v>
      </c>
      <c r="AO1460" s="695">
        <v>0</v>
      </c>
      <c r="AP1460" s="695"/>
      <c r="AQ1460" s="693">
        <v>0</v>
      </c>
      <c r="AS1460" s="716">
        <f>SUM(AL1454:AL1458)</f>
        <v>0</v>
      </c>
      <c r="AT1460" s="461">
        <f>F1460+H1460+J1460+L1460+N1460+P1460+T1460+V1460+X1460+Z1460+AB1460+AD1460</f>
        <v>0</v>
      </c>
      <c r="AU1460" s="743">
        <f>AT1460-AS1460</f>
        <v>0</v>
      </c>
    </row>
    <row r="1461" spans="1:48" ht="13.5" customHeight="1" outlineLevel="2" thickBot="1">
      <c r="A1461" s="73"/>
      <c r="B1461" s="82">
        <f>B1454+1</f>
        <v>2</v>
      </c>
      <c r="C1461" s="1233">
        <f>C20</f>
        <v>0</v>
      </c>
      <c r="D1461" s="1233" t="str">
        <f>D20</f>
        <v>Купишуз ООО</v>
      </c>
      <c r="E1461" s="83" t="str">
        <f>'Terms and Turnovers'!$J$12</f>
        <v>FLIP-FLOPS</v>
      </c>
      <c r="F1461" s="118">
        <f>$R1461*G1461</f>
        <v>0</v>
      </c>
      <c r="G1461" s="69"/>
      <c r="H1461" s="314">
        <f>$R1461*I1461</f>
        <v>0</v>
      </c>
      <c r="I1461" s="69">
        <v>0</v>
      </c>
      <c r="J1461" s="118">
        <f>$R1461*K1461</f>
        <v>0</v>
      </c>
      <c r="K1461" s="69">
        <v>0.6</v>
      </c>
      <c r="L1461" s="314">
        <f>$R1461*M1461</f>
        <v>0</v>
      </c>
      <c r="M1461" s="69">
        <v>0.4</v>
      </c>
      <c r="N1461" s="314">
        <f>$R1461*O1461</f>
        <v>0</v>
      </c>
      <c r="O1461" s="69">
        <v>0</v>
      </c>
      <c r="P1461" s="118">
        <f>$R1461*Q1461</f>
        <v>0</v>
      </c>
      <c r="Q1461" s="69">
        <v>0</v>
      </c>
      <c r="R1461" s="87">
        <f>'Terms and Turnovers'!K133</f>
        <v>0</v>
      </c>
      <c r="S1461" s="160">
        <f>SUM(G1461,I1461,K1461,M1461,O1461,Q1461)</f>
        <v>1</v>
      </c>
      <c r="T1461" s="118">
        <f>$AF1461*U1461</f>
        <v>0</v>
      </c>
      <c r="U1461" s="69">
        <v>0</v>
      </c>
      <c r="V1461" s="314">
        <f>$AF1461*W1461</f>
        <v>0</v>
      </c>
      <c r="W1461" s="69">
        <v>0.15</v>
      </c>
      <c r="X1461" s="118">
        <f>$AF1461*Y1461</f>
        <v>0</v>
      </c>
      <c r="Y1461" s="69">
        <v>0.6</v>
      </c>
      <c r="Z1461" s="314">
        <f>$AF1461*AA1461</f>
        <v>0</v>
      </c>
      <c r="AA1461" s="69">
        <v>0.25</v>
      </c>
      <c r="AB1461" s="314">
        <f>$AF1461*AC1461</f>
        <v>0</v>
      </c>
      <c r="AC1461" s="69">
        <v>0</v>
      </c>
      <c r="AD1461" s="118">
        <f>$AF1461*AE1461</f>
        <v>0</v>
      </c>
      <c r="AE1461" s="69">
        <v>0</v>
      </c>
      <c r="AF1461" s="87">
        <f>'Terms and Turnovers'!P133</f>
        <v>0</v>
      </c>
      <c r="AG1461" s="160">
        <f>SUM(U1461,W1461,Y1461,AA1461,AC1461,AE1461)</f>
        <v>1</v>
      </c>
      <c r="AH1461" s="157">
        <f>SUM(R1461,AF1461)</f>
        <v>0</v>
      </c>
      <c r="AI1461" s="131">
        <f>S1461+AG1461</f>
        <v>2</v>
      </c>
      <c r="AJ1461" s="65"/>
      <c r="AL1461" s="461">
        <f>SUM(F1461,H1461,J1461,L1461,N1461,P1461,T1461,V1461,X1461,Z1461,AB1461,AD1461)</f>
        <v>0</v>
      </c>
      <c r="AM1461" s="462">
        <f>AL1461-AH1461</f>
        <v>0</v>
      </c>
      <c r="AO1461" s="692"/>
      <c r="AP1461" s="692"/>
      <c r="AV1461" s="56"/>
    </row>
    <row r="1462" spans="1:48" ht="13.5" customHeight="1" outlineLevel="2" thickBot="1">
      <c r="A1462" s="73"/>
      <c r="B1462" s="82"/>
      <c r="C1462" s="1234"/>
      <c r="D1462" s="1234"/>
      <c r="E1462" s="84" t="str">
        <f>'Terms and Turnovers'!$T$12</f>
        <v>ORIGINALS</v>
      </c>
      <c r="F1462" s="120">
        <f>$R1462*G1462</f>
        <v>0</v>
      </c>
      <c r="G1462" s="723"/>
      <c r="H1462" s="120">
        <f>$R1462*I1462</f>
        <v>0</v>
      </c>
      <c r="I1462" s="69">
        <v>0</v>
      </c>
      <c r="J1462" s="120">
        <f>$R1462*K1462</f>
        <v>0</v>
      </c>
      <c r="K1462" s="69">
        <v>0.5</v>
      </c>
      <c r="L1462" s="120">
        <f>$R1462*M1462</f>
        <v>0</v>
      </c>
      <c r="M1462" s="69">
        <v>0.5</v>
      </c>
      <c r="N1462" s="315">
        <f>$R1462*O1462</f>
        <v>0</v>
      </c>
      <c r="O1462" s="69">
        <v>0</v>
      </c>
      <c r="P1462" s="120">
        <f>$R1462*Q1462</f>
        <v>0</v>
      </c>
      <c r="Q1462" s="69">
        <v>0</v>
      </c>
      <c r="R1462" s="88">
        <f>'Terms and Turnovers'!U133</f>
        <v>0</v>
      </c>
      <c r="S1462" s="161">
        <f>SUM(G1462,I1462,K1462,M1462,O1462,Q1462)</f>
        <v>1</v>
      </c>
      <c r="T1462" s="120">
        <f>$AF1462*U1462</f>
        <v>0</v>
      </c>
      <c r="U1462" s="723">
        <v>0</v>
      </c>
      <c r="V1462" s="120">
        <f>$AF1462*W1462</f>
        <v>0</v>
      </c>
      <c r="W1462" s="69">
        <v>0.15</v>
      </c>
      <c r="X1462" s="120">
        <f>$AF1462*Y1462</f>
        <v>0</v>
      </c>
      <c r="Y1462" s="69">
        <v>0.6</v>
      </c>
      <c r="Z1462" s="120">
        <f>$AF1462*AA1462</f>
        <v>0</v>
      </c>
      <c r="AA1462" s="69">
        <v>0.25</v>
      </c>
      <c r="AB1462" s="315">
        <f>$AF1462*AC1462</f>
        <v>0</v>
      </c>
      <c r="AC1462" s="69">
        <v>0</v>
      </c>
      <c r="AD1462" s="120">
        <f>$AF1462*AE1462</f>
        <v>0</v>
      </c>
      <c r="AE1462" s="69">
        <v>0</v>
      </c>
      <c r="AF1462" s="88">
        <f>'Terms and Turnovers'!Z133</f>
        <v>0</v>
      </c>
      <c r="AG1462" s="161">
        <f>SUM(U1462,W1462,Y1462,AA1462,AC1462,AE1462)</f>
        <v>1</v>
      </c>
      <c r="AH1462" s="158">
        <f>SUM(R1462,AF1462)</f>
        <v>0</v>
      </c>
      <c r="AI1462" s="134">
        <f>S1462+AG1462</f>
        <v>2</v>
      </c>
      <c r="AJ1462" s="65"/>
      <c r="AL1462" s="461">
        <f>SUM(F1462,H1462,J1462,L1462,N1462,P1462,T1462,V1462,X1462,Z1462,AB1462,AD1462)</f>
        <v>0</v>
      </c>
      <c r="AM1462" s="462">
        <f>AL1462-AH1462</f>
        <v>0</v>
      </c>
      <c r="AO1462" s="692"/>
      <c r="AP1462" s="692"/>
      <c r="AV1462" s="56"/>
    </row>
    <row r="1463" spans="1:48" ht="13.5" customHeight="1" outlineLevel="2" thickBot="1">
      <c r="A1463" s="73"/>
      <c r="B1463" s="82"/>
      <c r="C1463" s="1234"/>
      <c r="D1463" s="1234"/>
      <c r="E1463" s="84" t="str">
        <f>'Terms and Turnovers'!$AD$12</f>
        <v>ACCESSORIES</v>
      </c>
      <c r="F1463" s="120">
        <f>$R1463*G1463</f>
        <v>0</v>
      </c>
      <c r="G1463" s="723"/>
      <c r="H1463" s="120">
        <f>$R1463*I1463</f>
        <v>0</v>
      </c>
      <c r="I1463" s="69">
        <v>0</v>
      </c>
      <c r="J1463" s="120">
        <f>$R1463*K1463</f>
        <v>0</v>
      </c>
      <c r="K1463" s="69">
        <v>0.5</v>
      </c>
      <c r="L1463" s="120">
        <f>$R1463*M1463</f>
        <v>0</v>
      </c>
      <c r="M1463" s="69">
        <v>0.5</v>
      </c>
      <c r="N1463" s="315">
        <f>$R1463*O1463</f>
        <v>0</v>
      </c>
      <c r="O1463" s="69">
        <v>0</v>
      </c>
      <c r="P1463" s="120">
        <f>$R1463*Q1463</f>
        <v>0</v>
      </c>
      <c r="Q1463" s="69">
        <v>0</v>
      </c>
      <c r="R1463" s="88">
        <f>'Terms and Turnovers'!AE133</f>
        <v>0</v>
      </c>
      <c r="S1463" s="161">
        <f>SUM(G1463,I1463,K1463,M1463,O1463,Q1463)</f>
        <v>1</v>
      </c>
      <c r="T1463" s="120">
        <f>$AF1463*U1463</f>
        <v>0</v>
      </c>
      <c r="U1463" s="723">
        <v>0</v>
      </c>
      <c r="V1463" s="120">
        <f>$AF1463*W1463</f>
        <v>0</v>
      </c>
      <c r="W1463" s="69">
        <v>0.15</v>
      </c>
      <c r="X1463" s="120">
        <f>$AF1463*Y1463</f>
        <v>0</v>
      </c>
      <c r="Y1463" s="69">
        <v>0.6</v>
      </c>
      <c r="Z1463" s="120">
        <f>$AF1463*AA1463</f>
        <v>0</v>
      </c>
      <c r="AA1463" s="69">
        <v>0.25</v>
      </c>
      <c r="AB1463" s="315">
        <f>$AF1463*AC1463</f>
        <v>0</v>
      </c>
      <c r="AC1463" s="69">
        <v>0</v>
      </c>
      <c r="AD1463" s="120">
        <f>$AF1463*AE1463</f>
        <v>0</v>
      </c>
      <c r="AE1463" s="69">
        <v>0</v>
      </c>
      <c r="AF1463" s="88">
        <f>'Terms and Turnovers'!AJ133</f>
        <v>0</v>
      </c>
      <c r="AG1463" s="161">
        <f>SUM(U1463,W1463,Y1463,AA1463,AC1463,AE1463)</f>
        <v>1</v>
      </c>
      <c r="AH1463" s="158">
        <f>SUM(R1463,AF1463)</f>
        <v>0</v>
      </c>
      <c r="AI1463" s="134">
        <f>S1463+AG1463</f>
        <v>2</v>
      </c>
      <c r="AJ1463" s="65"/>
      <c r="AL1463" s="461">
        <f>SUM(F1463,H1463,J1463,L1463,N1463,P1463,T1463,V1463,X1463,Z1463,AB1463,AD1463)</f>
        <v>0</v>
      </c>
      <c r="AM1463" s="462">
        <f>AL1463-AH1463</f>
        <v>0</v>
      </c>
      <c r="AO1463" s="692"/>
      <c r="AP1463" s="692"/>
      <c r="AV1463" s="56"/>
    </row>
    <row r="1464" spans="1:48" ht="13.5" customHeight="1" outlineLevel="2" thickBot="1">
      <c r="A1464" s="73"/>
      <c r="B1464" s="82"/>
      <c r="C1464" s="1234"/>
      <c r="D1464" s="1234"/>
      <c r="E1464" s="84">
        <f>'Terms and Turnovers'!$AN$12</f>
        <v>0</v>
      </c>
      <c r="F1464" s="120">
        <f>$R1464*G1464</f>
        <v>0</v>
      </c>
      <c r="G1464" s="723"/>
      <c r="H1464" s="120">
        <f>$R1464*I1464</f>
        <v>0</v>
      </c>
      <c r="I1464" s="69">
        <v>0</v>
      </c>
      <c r="J1464" s="120">
        <f>$R1464*K1464</f>
        <v>0</v>
      </c>
      <c r="K1464" s="69">
        <v>0.6</v>
      </c>
      <c r="L1464" s="120">
        <f>$R1464*M1464</f>
        <v>0</v>
      </c>
      <c r="M1464" s="69">
        <v>0.4</v>
      </c>
      <c r="N1464" s="315">
        <f>$R1464*O1464</f>
        <v>0</v>
      </c>
      <c r="O1464" s="69">
        <v>0</v>
      </c>
      <c r="P1464" s="120">
        <f>$R1464*Q1464</f>
        <v>0</v>
      </c>
      <c r="Q1464" s="69">
        <v>0</v>
      </c>
      <c r="R1464" s="88">
        <f>'Terms and Turnovers'!AO133</f>
        <v>0</v>
      </c>
      <c r="S1464" s="161">
        <f>SUM(G1464,I1464,K1464,M1464,O1464,Q1464)</f>
        <v>1</v>
      </c>
      <c r="T1464" s="120">
        <f>$AF1464*U1464</f>
        <v>0</v>
      </c>
      <c r="U1464" s="723">
        <v>0</v>
      </c>
      <c r="V1464" s="120">
        <f>$AF1464*W1464</f>
        <v>0</v>
      </c>
      <c r="W1464" s="69">
        <v>0.4</v>
      </c>
      <c r="X1464" s="120">
        <f>$AF1464*Y1464</f>
        <v>0</v>
      </c>
      <c r="Y1464" s="69">
        <v>0.35</v>
      </c>
      <c r="Z1464" s="120">
        <f>$AF1464*AA1464</f>
        <v>0</v>
      </c>
      <c r="AA1464" s="69">
        <v>0.25</v>
      </c>
      <c r="AB1464" s="315">
        <f>$AF1464*AC1464</f>
        <v>0</v>
      </c>
      <c r="AC1464" s="69">
        <v>0</v>
      </c>
      <c r="AD1464" s="120">
        <f>$AF1464*AE1464</f>
        <v>0</v>
      </c>
      <c r="AE1464" s="69">
        <v>0</v>
      </c>
      <c r="AF1464" s="88">
        <f>'Terms and Turnovers'!AT133</f>
        <v>0</v>
      </c>
      <c r="AG1464" s="161">
        <f>SUM(U1464,W1464,Y1464,AA1464,AC1464,AE1464)</f>
        <v>1</v>
      </c>
      <c r="AH1464" s="158">
        <f>SUM(R1464,AF1464)</f>
        <v>0</v>
      </c>
      <c r="AI1464" s="134">
        <f>S1464+AG1464</f>
        <v>2</v>
      </c>
      <c r="AJ1464" s="65"/>
      <c r="AL1464" s="461">
        <f>SUM(F1464,H1464,J1464,L1464,N1464,P1464,T1464,V1464,X1464,Z1464,AB1464,AD1464)</f>
        <v>0</v>
      </c>
      <c r="AM1464" s="462">
        <f>AL1464-AH1464</f>
        <v>0</v>
      </c>
      <c r="AO1464" s="692"/>
      <c r="AP1464" s="692"/>
      <c r="AV1464" s="56"/>
    </row>
    <row r="1465" spans="1:48" ht="13.5" customHeight="1" outlineLevel="2" thickBot="1">
      <c r="A1465" s="73"/>
      <c r="B1465" s="82"/>
      <c r="C1465" s="1235"/>
      <c r="D1465" s="1235"/>
      <c r="E1465" s="85">
        <f>'Terms and Turnovers'!$AX$12</f>
        <v>0</v>
      </c>
      <c r="F1465" s="121">
        <f>$R1465*G1465</f>
        <v>0</v>
      </c>
      <c r="G1465" s="72"/>
      <c r="H1465" s="121">
        <f>$R1465*I1465</f>
        <v>0</v>
      </c>
      <c r="I1465" s="69">
        <v>0</v>
      </c>
      <c r="J1465" s="121">
        <f>$R1465*K1465</f>
        <v>0</v>
      </c>
      <c r="K1465" s="69">
        <v>0.6</v>
      </c>
      <c r="L1465" s="121">
        <f>$R1465*M1465</f>
        <v>0</v>
      </c>
      <c r="M1465" s="69">
        <v>0.4</v>
      </c>
      <c r="N1465" s="316">
        <f>$R1465*O1465</f>
        <v>0</v>
      </c>
      <c r="O1465" s="69">
        <v>0</v>
      </c>
      <c r="P1465" s="121">
        <f>$R1465*Q1465</f>
        <v>0</v>
      </c>
      <c r="Q1465" s="69">
        <v>0</v>
      </c>
      <c r="R1465" s="89">
        <f>'Terms and Turnovers'!AY133</f>
        <v>0</v>
      </c>
      <c r="S1465" s="162">
        <f>SUM(G1465,I1465,K1465,M1465,O1465,Q1465)</f>
        <v>1</v>
      </c>
      <c r="T1465" s="121">
        <f>$AF1465*U1465</f>
        <v>0</v>
      </c>
      <c r="U1465" s="72">
        <v>0</v>
      </c>
      <c r="V1465" s="121">
        <f>$AF1465*W1465</f>
        <v>0</v>
      </c>
      <c r="W1465" s="69">
        <v>0.4</v>
      </c>
      <c r="X1465" s="121">
        <f>$AF1465*Y1465</f>
        <v>0</v>
      </c>
      <c r="Y1465" s="69">
        <v>0.35</v>
      </c>
      <c r="Z1465" s="121">
        <f>$AF1465*AA1465</f>
        <v>0</v>
      </c>
      <c r="AA1465" s="69">
        <v>0.25</v>
      </c>
      <c r="AB1465" s="316">
        <f>$AF1465*AC1465</f>
        <v>0</v>
      </c>
      <c r="AC1465" s="69">
        <v>0</v>
      </c>
      <c r="AD1465" s="121">
        <f>$AF1465*AE1465</f>
        <v>0</v>
      </c>
      <c r="AE1465" s="69">
        <v>0</v>
      </c>
      <c r="AF1465" s="89">
        <f>'Terms and Turnovers'!BD133</f>
        <v>0</v>
      </c>
      <c r="AG1465" s="162">
        <f>SUM(U1465,W1465,Y1465,AA1465,AC1465,AE1465)</f>
        <v>1</v>
      </c>
      <c r="AH1465" s="159">
        <f>SUM(R1465,AF1465)</f>
        <v>0</v>
      </c>
      <c r="AI1465" s="137">
        <f>S1465+AG1465</f>
        <v>2</v>
      </c>
      <c r="AJ1465" s="65"/>
      <c r="AL1465" s="461">
        <f>SUM(F1465,H1465,J1465,L1465,N1465,P1465,T1465,V1465,X1465,Z1465,AB1465,AD1465)</f>
        <v>0</v>
      </c>
      <c r="AM1465" s="462">
        <f>AL1465-AH1465</f>
        <v>0</v>
      </c>
      <c r="AO1465" s="692"/>
      <c r="AP1465" s="692"/>
      <c r="AV1465" s="56"/>
    </row>
    <row r="1466" spans="1:48" ht="13.5" customHeight="1" outlineLevel="2" thickBot="1">
      <c r="A1466" s="119"/>
      <c r="B1466" s="82"/>
      <c r="C1466" s="425"/>
      <c r="D1466" s="425" t="str">
        <f>D1461</f>
        <v>Купишуз ООО</v>
      </c>
      <c r="E1466" s="426"/>
      <c r="F1466" s="427">
        <f>SUM(F1461:F1465)</f>
        <v>0</v>
      </c>
      <c r="G1466" s="428"/>
      <c r="H1466" s="427">
        <f>SUM(H1461:H1465)</f>
        <v>0</v>
      </c>
      <c r="I1466" s="69"/>
      <c r="J1466" s="427">
        <f>SUM(J1461:J1465)</f>
        <v>0</v>
      </c>
      <c r="K1466" s="69"/>
      <c r="L1466" s="427">
        <f>SUM(L1461:L1465)</f>
        <v>0</v>
      </c>
      <c r="M1466" s="69"/>
      <c r="N1466" s="427">
        <f>SUM(N1461:N1465)</f>
        <v>0</v>
      </c>
      <c r="O1466" s="69"/>
      <c r="P1466" s="427">
        <f>SUM(P1461:P1465)</f>
        <v>0</v>
      </c>
      <c r="Q1466" s="69"/>
      <c r="R1466" s="429"/>
      <c r="S1466" s="430"/>
      <c r="T1466" s="427">
        <f>SUM(T1461:T1465)</f>
        <v>0</v>
      </c>
      <c r="U1466" s="428"/>
      <c r="V1466" s="427">
        <f>SUM(V1461:V1465)</f>
        <v>0</v>
      </c>
      <c r="W1466" s="69"/>
      <c r="X1466" s="427">
        <f>SUM(X1461:X1465)</f>
        <v>0</v>
      </c>
      <c r="Y1466" s="69"/>
      <c r="Z1466" s="427">
        <f>SUM(Z1461:Z1465)</f>
        <v>0</v>
      </c>
      <c r="AA1466" s="69"/>
      <c r="AB1466" s="427">
        <f>SUM(AB1461:AB1465)</f>
        <v>0</v>
      </c>
      <c r="AC1466" s="69"/>
      <c r="AD1466" s="427">
        <f>SUM(AD1461:AD1465)</f>
        <v>0</v>
      </c>
      <c r="AE1466" s="69"/>
      <c r="AF1466" s="429"/>
      <c r="AG1466" s="430"/>
      <c r="AH1466" s="431"/>
      <c r="AI1466" s="432"/>
      <c r="AJ1466" s="65"/>
      <c r="AO1466" s="692"/>
      <c r="AP1466" s="692"/>
      <c r="AV1466" s="56"/>
    </row>
    <row r="1467" spans="1:48" ht="13.5" customHeight="1" outlineLevel="2" thickBot="1">
      <c r="A1467" s="119"/>
      <c r="B1467" s="82"/>
      <c r="C1467" s="433" t="s">
        <v>484</v>
      </c>
      <c r="D1467" s="433" t="s">
        <v>454</v>
      </c>
      <c r="E1467" s="426"/>
      <c r="F1467" s="434">
        <f>AN1467</f>
        <v>0</v>
      </c>
      <c r="G1467" s="428"/>
      <c r="H1467" s="434">
        <f>H1466</f>
        <v>0</v>
      </c>
      <c r="I1467" s="69"/>
      <c r="J1467" s="434">
        <f>J1466</f>
        <v>0</v>
      </c>
      <c r="K1467" s="69"/>
      <c r="L1467" s="434">
        <f>L1466-(AO1467-AN1467)</f>
        <v>0</v>
      </c>
      <c r="M1467" s="69"/>
      <c r="N1467" s="434">
        <f>N1466</f>
        <v>0</v>
      </c>
      <c r="O1467" s="69"/>
      <c r="P1467" s="434">
        <f>N1466</f>
        <v>0</v>
      </c>
      <c r="Q1467" s="69"/>
      <c r="R1467" s="429"/>
      <c r="S1467" s="430"/>
      <c r="T1467" s="434">
        <f>AO1467</f>
        <v>0</v>
      </c>
      <c r="U1467" s="428">
        <f>Q1466</f>
        <v>0</v>
      </c>
      <c r="V1467" s="434">
        <f>T1466</f>
        <v>0</v>
      </c>
      <c r="W1467" s="69">
        <f>S1466</f>
        <v>0</v>
      </c>
      <c r="X1467" s="434">
        <f>V1466</f>
        <v>0</v>
      </c>
      <c r="Y1467" s="69">
        <f>U1466</f>
        <v>0</v>
      </c>
      <c r="Z1467" s="434">
        <f>X1466</f>
        <v>0</v>
      </c>
      <c r="AA1467" s="69">
        <f>W1466</f>
        <v>0</v>
      </c>
      <c r="AB1467" s="434">
        <f>Z1466</f>
        <v>0</v>
      </c>
      <c r="AC1467" s="69">
        <f>Y1466</f>
        <v>0</v>
      </c>
      <c r="AD1467" s="434">
        <f>AB1466</f>
        <v>0</v>
      </c>
      <c r="AE1467" s="69"/>
      <c r="AF1467" s="429"/>
      <c r="AG1467" s="430"/>
      <c r="AH1467" s="431"/>
      <c r="AI1467" s="432"/>
      <c r="AJ1467" s="65"/>
      <c r="AN1467" s="695">
        <f>SUM(AF1461:AF1465)*AQ1467</f>
        <v>0</v>
      </c>
      <c r="AO1467" s="742">
        <f>SUM(R1461:R1465)*AQ1467</f>
        <v>0</v>
      </c>
      <c r="AP1467" s="742"/>
      <c r="AQ1467" s="693">
        <v>0.1</v>
      </c>
      <c r="AS1467" s="716">
        <f>SUM(AL1461:AL1465)</f>
        <v>0</v>
      </c>
      <c r="AT1467" s="461">
        <f>F1467+H1467+J1467+L1467+N1467+P1467+T1467+V1467+X1467+Z1467+AB1467+AD1467</f>
        <v>0</v>
      </c>
      <c r="AU1467" s="745">
        <f>AT1467-AS1467</f>
        <v>0</v>
      </c>
      <c r="AV1467" s="56"/>
    </row>
    <row r="1468" spans="1:48" ht="13.5" customHeight="1" outlineLevel="2" thickBot="1">
      <c r="A1468" s="73"/>
      <c r="B1468" s="82">
        <f>B1461+1</f>
        <v>3</v>
      </c>
      <c r="C1468" s="1233">
        <f>C27</f>
        <v>0</v>
      </c>
      <c r="D1468" s="1233" t="str">
        <f>D27</f>
        <v>Траектория ООО</v>
      </c>
      <c r="E1468" s="83" t="str">
        <f>'Terms and Turnovers'!$J$12</f>
        <v>FLIP-FLOPS</v>
      </c>
      <c r="F1468" s="118">
        <f>$R1468*G1468</f>
        <v>0</v>
      </c>
      <c r="G1468" s="69"/>
      <c r="H1468" s="314">
        <f>$R1468*I1468</f>
        <v>0</v>
      </c>
      <c r="I1468" s="69">
        <v>0.2</v>
      </c>
      <c r="J1468" s="118">
        <f>$R1468*K1468</f>
        <v>0</v>
      </c>
      <c r="K1468" s="69">
        <v>0.4</v>
      </c>
      <c r="L1468" s="314">
        <f>$R1468*M1468</f>
        <v>0</v>
      </c>
      <c r="M1468" s="69">
        <v>0.4</v>
      </c>
      <c r="N1468" s="314">
        <f>$R1468*O1468</f>
        <v>0</v>
      </c>
      <c r="O1468" s="69">
        <v>0</v>
      </c>
      <c r="P1468" s="118">
        <f>$R1468*Q1468</f>
        <v>0</v>
      </c>
      <c r="Q1468" s="69">
        <v>0</v>
      </c>
      <c r="R1468" s="87">
        <f>'Terms and Turnovers'!K134</f>
        <v>0</v>
      </c>
      <c r="S1468" s="160">
        <f>SUM(G1468,I1468,K1468,M1468,O1468,Q1468)</f>
        <v>1</v>
      </c>
      <c r="T1468" s="118">
        <f>$AF1468*U1468</f>
        <v>0</v>
      </c>
      <c r="U1468" s="69">
        <v>0</v>
      </c>
      <c r="V1468" s="314">
        <f>$AF1468*W1468</f>
        <v>0</v>
      </c>
      <c r="W1468" s="69">
        <v>0.35</v>
      </c>
      <c r="X1468" s="118">
        <f>$AF1468*Y1468</f>
        <v>0</v>
      </c>
      <c r="Y1468" s="69">
        <v>0.45</v>
      </c>
      <c r="Z1468" s="314">
        <f>$AF1468*AA1468</f>
        <v>0</v>
      </c>
      <c r="AA1468" s="69">
        <v>0.2</v>
      </c>
      <c r="AB1468" s="314">
        <f>$AF1468*AC1468</f>
        <v>0</v>
      </c>
      <c r="AC1468" s="69">
        <v>0</v>
      </c>
      <c r="AD1468" s="118">
        <f>$AF1468*AE1468</f>
        <v>0</v>
      </c>
      <c r="AE1468" s="69">
        <v>0</v>
      </c>
      <c r="AF1468" s="87">
        <f>'Terms and Turnovers'!P134</f>
        <v>0</v>
      </c>
      <c r="AG1468" s="160">
        <f>SUM(U1468,W1468,Y1468,AA1468,AC1468,AE1468)</f>
        <v>1</v>
      </c>
      <c r="AH1468" s="157">
        <f>SUM(R1468,AF1468)</f>
        <v>0</v>
      </c>
      <c r="AI1468" s="131">
        <f>S1468+AG1468</f>
        <v>2</v>
      </c>
      <c r="AJ1468" s="65"/>
      <c r="AL1468" s="461">
        <f>SUM(F1468,H1468,J1468,L1468,N1468,P1468,T1468,V1468,X1468,Z1468,AB1468,AD1468)</f>
        <v>0</v>
      </c>
      <c r="AM1468" s="462">
        <f>AL1468-AH1468</f>
        <v>0</v>
      </c>
      <c r="AO1468" s="692"/>
      <c r="AP1468" s="692"/>
      <c r="AV1468" s="56"/>
    </row>
    <row r="1469" spans="1:48" ht="13.5" customHeight="1" outlineLevel="2" thickBot="1">
      <c r="A1469" s="73"/>
      <c r="B1469" s="82"/>
      <c r="C1469" s="1234"/>
      <c r="D1469" s="1234"/>
      <c r="E1469" s="84" t="str">
        <f>'Terms and Turnovers'!$T$12</f>
        <v>ORIGINALS</v>
      </c>
      <c r="F1469" s="120">
        <f>$R1469*G1469</f>
        <v>0</v>
      </c>
      <c r="G1469" s="723"/>
      <c r="H1469" s="120">
        <f>$R1469*I1469</f>
        <v>0</v>
      </c>
      <c r="I1469" s="69">
        <v>0</v>
      </c>
      <c r="J1469" s="120">
        <f>$R1469*K1469</f>
        <v>0</v>
      </c>
      <c r="K1469" s="69">
        <v>0.5</v>
      </c>
      <c r="L1469" s="120">
        <f>$R1469*M1469</f>
        <v>0</v>
      </c>
      <c r="M1469" s="69">
        <v>0.5</v>
      </c>
      <c r="N1469" s="315">
        <f>$R1469*O1469</f>
        <v>0</v>
      </c>
      <c r="O1469" s="69">
        <v>0</v>
      </c>
      <c r="P1469" s="120">
        <f>$R1469*Q1469</f>
        <v>0</v>
      </c>
      <c r="Q1469" s="69">
        <v>0</v>
      </c>
      <c r="R1469" s="88">
        <f>'Terms and Turnovers'!U134</f>
        <v>0</v>
      </c>
      <c r="S1469" s="161">
        <f>SUM(G1469,I1469,K1469,M1469,O1469,Q1469)</f>
        <v>1</v>
      </c>
      <c r="T1469" s="120">
        <f>$AF1469*U1469</f>
        <v>0</v>
      </c>
      <c r="U1469" s="723">
        <v>0</v>
      </c>
      <c r="V1469" s="120">
        <f>$AF1469*W1469</f>
        <v>0</v>
      </c>
      <c r="W1469" s="69">
        <v>0.15</v>
      </c>
      <c r="X1469" s="120">
        <f>$AF1469*Y1469</f>
        <v>0</v>
      </c>
      <c r="Y1469" s="69">
        <v>0.6</v>
      </c>
      <c r="Z1469" s="120">
        <f>$AF1469*AA1469</f>
        <v>0</v>
      </c>
      <c r="AA1469" s="69">
        <v>0.25</v>
      </c>
      <c r="AB1469" s="315">
        <f>$AF1469*AC1469</f>
        <v>0</v>
      </c>
      <c r="AC1469" s="69">
        <v>0</v>
      </c>
      <c r="AD1469" s="120">
        <f>$AF1469*AE1469</f>
        <v>0</v>
      </c>
      <c r="AE1469" s="69">
        <v>0</v>
      </c>
      <c r="AF1469" s="88">
        <f>'Terms and Turnovers'!Z134</f>
        <v>0</v>
      </c>
      <c r="AG1469" s="161">
        <f>SUM(U1469,W1469,Y1469,AA1469,AC1469,AE1469)</f>
        <v>1</v>
      </c>
      <c r="AH1469" s="158">
        <f>SUM(R1469,AF1469)</f>
        <v>0</v>
      </c>
      <c r="AI1469" s="134">
        <f>S1469+AG1469</f>
        <v>2</v>
      </c>
      <c r="AJ1469" s="65"/>
      <c r="AL1469" s="461">
        <f>SUM(F1469,H1469,J1469,L1469,N1469,P1469,T1469,V1469,X1469,Z1469,AB1469,AD1469)</f>
        <v>0</v>
      </c>
      <c r="AM1469" s="462">
        <f>AL1469-AH1469</f>
        <v>0</v>
      </c>
      <c r="AO1469" s="692"/>
      <c r="AP1469" s="692"/>
      <c r="AV1469" s="56"/>
    </row>
    <row r="1470" spans="1:48" ht="13.5" customHeight="1" outlineLevel="2" thickBot="1">
      <c r="A1470" s="73"/>
      <c r="B1470" s="82"/>
      <c r="C1470" s="1234"/>
      <c r="D1470" s="1234"/>
      <c r="E1470" s="84" t="str">
        <f>'Terms and Turnovers'!$AD$12</f>
        <v>ACCESSORIES</v>
      </c>
      <c r="F1470" s="120">
        <f>$R1470*G1470</f>
        <v>0</v>
      </c>
      <c r="G1470" s="723"/>
      <c r="H1470" s="120">
        <f>$R1470*I1470</f>
        <v>0</v>
      </c>
      <c r="I1470" s="69">
        <v>0</v>
      </c>
      <c r="J1470" s="120">
        <f>$R1470*K1470</f>
        <v>0</v>
      </c>
      <c r="K1470" s="69">
        <v>0.5</v>
      </c>
      <c r="L1470" s="120">
        <f>$R1470*M1470</f>
        <v>0</v>
      </c>
      <c r="M1470" s="69">
        <v>0.5</v>
      </c>
      <c r="N1470" s="315">
        <f>$R1470*O1470</f>
        <v>0</v>
      </c>
      <c r="O1470" s="69">
        <v>0</v>
      </c>
      <c r="P1470" s="120">
        <f>$R1470*Q1470</f>
        <v>0</v>
      </c>
      <c r="Q1470" s="69">
        <v>0</v>
      </c>
      <c r="R1470" s="88">
        <f>'Terms and Turnovers'!AE134</f>
        <v>0</v>
      </c>
      <c r="S1470" s="161">
        <f>SUM(G1470,I1470,K1470,M1470,O1470,Q1470)</f>
        <v>1</v>
      </c>
      <c r="T1470" s="120">
        <f>$AF1470*U1470</f>
        <v>0</v>
      </c>
      <c r="U1470" s="723">
        <v>0</v>
      </c>
      <c r="V1470" s="120">
        <f>$AF1470*W1470</f>
        <v>0</v>
      </c>
      <c r="W1470" s="69">
        <v>0.15</v>
      </c>
      <c r="X1470" s="120">
        <f>$AF1470*Y1470</f>
        <v>0</v>
      </c>
      <c r="Y1470" s="69">
        <v>0.6</v>
      </c>
      <c r="Z1470" s="120">
        <f>$AF1470*AA1470</f>
        <v>0</v>
      </c>
      <c r="AA1470" s="69">
        <v>0.25</v>
      </c>
      <c r="AB1470" s="315">
        <f>$AF1470*AC1470</f>
        <v>0</v>
      </c>
      <c r="AC1470" s="69">
        <v>0</v>
      </c>
      <c r="AD1470" s="120">
        <f>$AF1470*AE1470</f>
        <v>0</v>
      </c>
      <c r="AE1470" s="69">
        <v>0</v>
      </c>
      <c r="AF1470" s="88">
        <f>'Terms and Turnovers'!AJ134</f>
        <v>0</v>
      </c>
      <c r="AG1470" s="161">
        <f>SUM(U1470,W1470,Y1470,AA1470,AC1470,AE1470)</f>
        <v>1</v>
      </c>
      <c r="AH1470" s="158">
        <f>SUM(R1470,AF1470)</f>
        <v>0</v>
      </c>
      <c r="AI1470" s="134">
        <f>S1470+AG1470</f>
        <v>2</v>
      </c>
      <c r="AJ1470" s="65"/>
      <c r="AL1470" s="461">
        <f>SUM(F1470,H1470,J1470,L1470,N1470,P1470,T1470,V1470,X1470,Z1470,AB1470,AD1470)</f>
        <v>0</v>
      </c>
      <c r="AM1470" s="462">
        <f>AL1470-AH1470</f>
        <v>0</v>
      </c>
      <c r="AO1470" s="692"/>
      <c r="AP1470" s="692"/>
      <c r="AV1470" s="56"/>
    </row>
    <row r="1471" spans="1:48" ht="13.5" customHeight="1" outlineLevel="2" thickBot="1">
      <c r="A1471" s="73"/>
      <c r="B1471" s="82"/>
      <c r="C1471" s="1234"/>
      <c r="D1471" s="1234"/>
      <c r="E1471" s="84">
        <f>'Terms and Turnovers'!$AN$12</f>
        <v>0</v>
      </c>
      <c r="F1471" s="120">
        <f>$R1471*G1471</f>
        <v>0</v>
      </c>
      <c r="G1471" s="723"/>
      <c r="H1471" s="120">
        <f>$R1471*I1471</f>
        <v>0</v>
      </c>
      <c r="I1471" s="69">
        <v>0.2</v>
      </c>
      <c r="J1471" s="120">
        <f>$R1471*K1471</f>
        <v>0</v>
      </c>
      <c r="K1471" s="69">
        <v>0.4</v>
      </c>
      <c r="L1471" s="120">
        <f>$R1471*M1471</f>
        <v>0</v>
      </c>
      <c r="M1471" s="69">
        <v>0.4</v>
      </c>
      <c r="N1471" s="315">
        <f>$R1471*O1471</f>
        <v>0</v>
      </c>
      <c r="O1471" s="69">
        <v>0</v>
      </c>
      <c r="P1471" s="120">
        <f>$R1471*Q1471</f>
        <v>0</v>
      </c>
      <c r="Q1471" s="69">
        <v>0</v>
      </c>
      <c r="R1471" s="88">
        <f>'Terms and Turnovers'!AO134</f>
        <v>0</v>
      </c>
      <c r="S1471" s="161">
        <f>SUM(G1471,I1471,K1471,M1471,O1471,Q1471)</f>
        <v>1</v>
      </c>
      <c r="T1471" s="120">
        <f>$AF1471*U1471</f>
        <v>0</v>
      </c>
      <c r="U1471" s="723">
        <v>0</v>
      </c>
      <c r="V1471" s="120">
        <f>$AF1471*W1471</f>
        <v>0</v>
      </c>
      <c r="W1471" s="69">
        <v>0.35</v>
      </c>
      <c r="X1471" s="120">
        <f>$AF1471*Y1471</f>
        <v>0</v>
      </c>
      <c r="Y1471" s="69">
        <v>0.45</v>
      </c>
      <c r="Z1471" s="120">
        <f>$AF1471*AA1471</f>
        <v>0</v>
      </c>
      <c r="AA1471" s="69">
        <v>0.2</v>
      </c>
      <c r="AB1471" s="315">
        <f>$AF1471*AC1471</f>
        <v>0</v>
      </c>
      <c r="AC1471" s="69">
        <v>0</v>
      </c>
      <c r="AD1471" s="120">
        <f>$AF1471*AE1471</f>
        <v>0</v>
      </c>
      <c r="AE1471" s="69">
        <v>0</v>
      </c>
      <c r="AF1471" s="88">
        <f>'Terms and Turnovers'!AT134</f>
        <v>0</v>
      </c>
      <c r="AG1471" s="161">
        <f>SUM(U1471,W1471,Y1471,AA1471,AC1471,AE1471)</f>
        <v>1</v>
      </c>
      <c r="AH1471" s="158">
        <f>SUM(R1471,AF1471)</f>
        <v>0</v>
      </c>
      <c r="AI1471" s="134">
        <f>S1471+AG1471</f>
        <v>2</v>
      </c>
      <c r="AJ1471" s="65"/>
      <c r="AL1471" s="461">
        <f>SUM(F1471,H1471,J1471,L1471,N1471,P1471,T1471,V1471,X1471,Z1471,AB1471,AD1471)</f>
        <v>0</v>
      </c>
      <c r="AM1471" s="462">
        <f>AL1471-AH1471</f>
        <v>0</v>
      </c>
      <c r="AO1471" s="692"/>
      <c r="AP1471" s="692"/>
      <c r="AV1471" s="56"/>
    </row>
    <row r="1472" spans="1:48" ht="13.5" customHeight="1" outlineLevel="2" thickBot="1">
      <c r="A1472" s="73"/>
      <c r="B1472" s="82"/>
      <c r="C1472" s="1235"/>
      <c r="D1472" s="1235"/>
      <c r="E1472" s="85">
        <f>'Terms and Turnovers'!$AX$12</f>
        <v>0</v>
      </c>
      <c r="F1472" s="121">
        <f>$R1472*G1472</f>
        <v>0</v>
      </c>
      <c r="G1472" s="72"/>
      <c r="H1472" s="121">
        <f>$R1472*I1472</f>
        <v>0</v>
      </c>
      <c r="I1472" s="69">
        <v>0.2</v>
      </c>
      <c r="J1472" s="121">
        <f>$R1472*K1472</f>
        <v>0</v>
      </c>
      <c r="K1472" s="69">
        <v>0.4</v>
      </c>
      <c r="L1472" s="121">
        <f>$R1472*M1472</f>
        <v>0</v>
      </c>
      <c r="M1472" s="69">
        <v>0.4</v>
      </c>
      <c r="N1472" s="316">
        <f>$R1472*O1472</f>
        <v>0</v>
      </c>
      <c r="O1472" s="69">
        <v>0</v>
      </c>
      <c r="P1472" s="121">
        <f>$R1472*Q1472</f>
        <v>0</v>
      </c>
      <c r="Q1472" s="69">
        <v>0</v>
      </c>
      <c r="R1472" s="89">
        <f>'Terms and Turnovers'!AY134</f>
        <v>0</v>
      </c>
      <c r="S1472" s="162">
        <f>SUM(G1472,I1472,K1472,M1472,O1472,Q1472)</f>
        <v>1</v>
      </c>
      <c r="T1472" s="121">
        <f>$AF1472*U1472</f>
        <v>0</v>
      </c>
      <c r="U1472" s="72">
        <v>0</v>
      </c>
      <c r="V1472" s="121">
        <f>$AF1472*W1472</f>
        <v>0</v>
      </c>
      <c r="W1472" s="69">
        <v>0.35</v>
      </c>
      <c r="X1472" s="121">
        <f>$AF1472*Y1472</f>
        <v>0</v>
      </c>
      <c r="Y1472" s="69">
        <v>0.45</v>
      </c>
      <c r="Z1472" s="121">
        <f>$AF1472*AA1472</f>
        <v>0</v>
      </c>
      <c r="AA1472" s="69">
        <v>0.2</v>
      </c>
      <c r="AB1472" s="316">
        <f>$AF1472*AC1472</f>
        <v>0</v>
      </c>
      <c r="AC1472" s="69">
        <v>0</v>
      </c>
      <c r="AD1472" s="121">
        <f>$AF1472*AE1472</f>
        <v>0</v>
      </c>
      <c r="AE1472" s="69">
        <v>0</v>
      </c>
      <c r="AF1472" s="89">
        <f>'Terms and Turnovers'!BD134</f>
        <v>0</v>
      </c>
      <c r="AG1472" s="162">
        <f>SUM(U1472,W1472,Y1472,AA1472,AC1472,AE1472)</f>
        <v>1</v>
      </c>
      <c r="AH1472" s="159">
        <f>SUM(R1472,AF1472)</f>
        <v>0</v>
      </c>
      <c r="AI1472" s="137">
        <f>S1472+AG1472</f>
        <v>2</v>
      </c>
      <c r="AJ1472" s="65"/>
      <c r="AL1472" s="461">
        <f>SUM(F1472,H1472,J1472,L1472,N1472,P1472,T1472,V1472,X1472,Z1472,AB1472,AD1472)</f>
        <v>0</v>
      </c>
      <c r="AM1472" s="462">
        <f>AL1472-AH1472</f>
        <v>0</v>
      </c>
      <c r="AO1472" s="692"/>
      <c r="AP1472" s="692"/>
      <c r="AV1472" s="56"/>
    </row>
    <row r="1473" spans="1:48" ht="13.5" customHeight="1" outlineLevel="2" thickBot="1">
      <c r="A1473" s="119"/>
      <c r="B1473" s="82"/>
      <c r="C1473" s="425"/>
      <c r="D1473" s="425"/>
      <c r="E1473" s="426"/>
      <c r="F1473" s="427">
        <f>SUM(F1468:F1472)</f>
        <v>0</v>
      </c>
      <c r="G1473" s="428"/>
      <c r="H1473" s="427">
        <f>SUM(H1468:H1472)</f>
        <v>0</v>
      </c>
      <c r="I1473" s="69"/>
      <c r="J1473" s="427">
        <f>SUM(J1468:J1472)</f>
        <v>0</v>
      </c>
      <c r="K1473" s="69"/>
      <c r="L1473" s="427">
        <f>SUM(L1468:L1472)</f>
        <v>0</v>
      </c>
      <c r="M1473" s="69"/>
      <c r="N1473" s="427">
        <f>SUM(N1468:N1472)</f>
        <v>0</v>
      </c>
      <c r="O1473" s="69"/>
      <c r="P1473" s="427">
        <f>SUM(P1468:P1472)</f>
        <v>0</v>
      </c>
      <c r="Q1473" s="69"/>
      <c r="R1473" s="429"/>
      <c r="S1473" s="430"/>
      <c r="T1473" s="427">
        <f>SUM(T1468:T1472)</f>
        <v>0</v>
      </c>
      <c r="U1473" s="428"/>
      <c r="V1473" s="427">
        <f>SUM(V1468:V1472)</f>
        <v>0</v>
      </c>
      <c r="W1473" s="69"/>
      <c r="X1473" s="427">
        <f>SUM(X1468:X1472)</f>
        <v>0</v>
      </c>
      <c r="Y1473" s="69"/>
      <c r="Z1473" s="427">
        <f>SUM(Z1468:Z1472)</f>
        <v>0</v>
      </c>
      <c r="AA1473" s="69"/>
      <c r="AB1473" s="427">
        <f>SUM(AB1468:AB1472)</f>
        <v>0</v>
      </c>
      <c r="AC1473" s="69"/>
      <c r="AD1473" s="427">
        <f>SUM(AD1468:AD1472)</f>
        <v>0</v>
      </c>
      <c r="AE1473" s="69"/>
      <c r="AF1473" s="429"/>
      <c r="AG1473" s="430"/>
      <c r="AH1473" s="431"/>
      <c r="AI1473" s="432"/>
      <c r="AJ1473" s="65"/>
      <c r="AO1473" s="692"/>
      <c r="AP1473" s="692"/>
      <c r="AV1473" s="56"/>
    </row>
    <row r="1474" spans="1:48" ht="13.5" customHeight="1" outlineLevel="2" thickBot="1">
      <c r="A1474" s="119"/>
      <c r="B1474" s="82"/>
      <c r="C1474" s="433" t="s">
        <v>484</v>
      </c>
      <c r="D1474" s="433" t="str">
        <f>D1468</f>
        <v>Траектория ООО</v>
      </c>
      <c r="E1474" s="426"/>
      <c r="F1474" s="434">
        <f>AN1474</f>
        <v>0</v>
      </c>
      <c r="G1474" s="428"/>
      <c r="H1474" s="434">
        <v>0</v>
      </c>
      <c r="I1474" s="69"/>
      <c r="J1474" s="434">
        <f>F1473</f>
        <v>0</v>
      </c>
      <c r="K1474" s="69"/>
      <c r="L1474" s="434">
        <f>H1473</f>
        <v>0</v>
      </c>
      <c r="M1474" s="69"/>
      <c r="N1474" s="434">
        <f>J1473</f>
        <v>0</v>
      </c>
      <c r="O1474" s="69"/>
      <c r="P1474" s="434">
        <f>L1473-AO1474</f>
        <v>0</v>
      </c>
      <c r="Q1474" s="69"/>
      <c r="R1474" s="429"/>
      <c r="S1474" s="430"/>
      <c r="T1474" s="434">
        <f>AO1474</f>
        <v>0</v>
      </c>
      <c r="U1474" s="428">
        <f>Q1473</f>
        <v>0</v>
      </c>
      <c r="V1474" s="434">
        <f>P1473</f>
        <v>0</v>
      </c>
      <c r="W1474" s="69">
        <f t="shared" ref="W1474:AC1474" si="161">S1473</f>
        <v>0</v>
      </c>
      <c r="X1474" s="434">
        <f t="shared" si="161"/>
        <v>0</v>
      </c>
      <c r="Y1474" s="69">
        <f t="shared" si="161"/>
        <v>0</v>
      </c>
      <c r="Z1474" s="434">
        <f t="shared" si="161"/>
        <v>0</v>
      </c>
      <c r="AA1474" s="69">
        <f t="shared" si="161"/>
        <v>0</v>
      </c>
      <c r="AB1474" s="434">
        <f t="shared" si="161"/>
        <v>0</v>
      </c>
      <c r="AC1474" s="69">
        <f t="shared" si="161"/>
        <v>0</v>
      </c>
      <c r="AD1474" s="434">
        <f>Z1473-AN1474</f>
        <v>0</v>
      </c>
      <c r="AE1474" s="69"/>
      <c r="AF1474" s="429"/>
      <c r="AG1474" s="430"/>
      <c r="AH1474" s="431"/>
      <c r="AI1474" s="432"/>
      <c r="AJ1474" s="65"/>
      <c r="AN1474" s="695">
        <f>SUM(AF1468:AF1472)*AQ1474</f>
        <v>0</v>
      </c>
      <c r="AO1474" s="742">
        <f>SUM(R1468:R1472)*AQ1474</f>
        <v>0</v>
      </c>
      <c r="AP1474" s="742"/>
      <c r="AQ1474" s="693">
        <v>0.1</v>
      </c>
      <c r="AS1474" s="716">
        <f>SUM(AL1468:AL1472)</f>
        <v>0</v>
      </c>
      <c r="AT1474" s="461">
        <f>F1474+H1474+J1474+L1474+N1474+P1474+T1474+V1474+X1474+Z1474+AB1474+AD1474</f>
        <v>0</v>
      </c>
      <c r="AU1474" s="745">
        <f>AT1474-AS1474</f>
        <v>0</v>
      </c>
      <c r="AV1474" s="56"/>
    </row>
    <row r="1475" spans="1:48" ht="13.5" customHeight="1" outlineLevel="2" thickBot="1">
      <c r="A1475" s="73"/>
      <c r="B1475" s="82">
        <f>B1468+1</f>
        <v>4</v>
      </c>
      <c r="C1475" s="1233">
        <f>C34</f>
        <v>0</v>
      </c>
      <c r="D1475" s="1233" t="str">
        <f>D34</f>
        <v>ИП Вербицкая</v>
      </c>
      <c r="E1475" s="83" t="str">
        <f>'Terms and Turnovers'!$J$12</f>
        <v>FLIP-FLOPS</v>
      </c>
      <c r="F1475" s="118">
        <f>$R1475*G1475</f>
        <v>0</v>
      </c>
      <c r="G1475" s="69"/>
      <c r="H1475" s="314">
        <f>$R1475*I1475</f>
        <v>0</v>
      </c>
      <c r="I1475" s="69">
        <v>0.2</v>
      </c>
      <c r="J1475" s="118">
        <f>$R1475*K1475</f>
        <v>0</v>
      </c>
      <c r="K1475" s="69">
        <v>0.25</v>
      </c>
      <c r="L1475" s="314">
        <f>$R1475*M1475</f>
        <v>0</v>
      </c>
      <c r="M1475" s="69">
        <v>0.3</v>
      </c>
      <c r="N1475" s="314">
        <f>$R1475*O1475</f>
        <v>0</v>
      </c>
      <c r="O1475" s="69">
        <v>0.2</v>
      </c>
      <c r="P1475" s="118">
        <f>$R1475*Q1475</f>
        <v>0</v>
      </c>
      <c r="Q1475" s="69">
        <v>0.05</v>
      </c>
      <c r="R1475" s="87">
        <f>'Terms and Turnovers'!K135</f>
        <v>0</v>
      </c>
      <c r="S1475" s="160">
        <f>SUM(G1475,I1475,K1475,M1475,O1475,Q1475)</f>
        <v>1</v>
      </c>
      <c r="T1475" s="118">
        <f>$AF1475*U1475</f>
        <v>0</v>
      </c>
      <c r="U1475" s="69">
        <v>0.05</v>
      </c>
      <c r="V1475" s="314">
        <f>$AF1475*W1475</f>
        <v>0</v>
      </c>
      <c r="W1475" s="69">
        <v>0.35</v>
      </c>
      <c r="X1475" s="118">
        <f>$AF1475*Y1475</f>
        <v>0</v>
      </c>
      <c r="Y1475" s="69">
        <v>0.35</v>
      </c>
      <c r="Z1475" s="314">
        <f>$AF1475*AA1475</f>
        <v>0</v>
      </c>
      <c r="AA1475" s="69">
        <v>0.15</v>
      </c>
      <c r="AB1475" s="314">
        <f>$AF1475*AC1475</f>
        <v>0</v>
      </c>
      <c r="AC1475" s="69">
        <v>0.05</v>
      </c>
      <c r="AD1475" s="118">
        <f>$AF1475*AE1475</f>
        <v>0</v>
      </c>
      <c r="AE1475" s="69">
        <v>0.05</v>
      </c>
      <c r="AF1475" s="87">
        <f>'Terms and Turnovers'!P135</f>
        <v>0</v>
      </c>
      <c r="AG1475" s="160">
        <f>SUM(U1475,W1475,Y1475,AA1475,AC1475,AE1475)</f>
        <v>1</v>
      </c>
      <c r="AH1475" s="157">
        <f>SUM(R1475,AF1475)</f>
        <v>0</v>
      </c>
      <c r="AI1475" s="131">
        <f>S1475+AG1475</f>
        <v>2</v>
      </c>
      <c r="AJ1475" s="65"/>
      <c r="AL1475" s="461">
        <f>SUM(F1475,H1475,J1475,L1475,N1475,P1475,T1475,V1475,X1475,Z1475,AB1475,AD1475)</f>
        <v>0</v>
      </c>
      <c r="AM1475" s="462">
        <f>AL1475-AH1475</f>
        <v>0</v>
      </c>
      <c r="AO1475" s="692"/>
      <c r="AP1475" s="692"/>
      <c r="AV1475" s="56"/>
    </row>
    <row r="1476" spans="1:48" ht="13.5" customHeight="1" outlineLevel="2" thickBot="1">
      <c r="A1476" s="73"/>
      <c r="B1476" s="82"/>
      <c r="C1476" s="1234"/>
      <c r="D1476" s="1234"/>
      <c r="E1476" s="84" t="str">
        <f>'Terms and Turnovers'!$T$12</f>
        <v>ORIGINALS</v>
      </c>
      <c r="F1476" s="120">
        <f>$R1476*G1476</f>
        <v>0</v>
      </c>
      <c r="G1476" s="723"/>
      <c r="H1476" s="120">
        <f>$R1476*I1476</f>
        <v>0</v>
      </c>
      <c r="I1476" s="69">
        <v>0</v>
      </c>
      <c r="J1476" s="120">
        <f>$R1476*K1476</f>
        <v>0</v>
      </c>
      <c r="K1476" s="69">
        <v>0.5</v>
      </c>
      <c r="L1476" s="120">
        <f>$R1476*M1476</f>
        <v>0</v>
      </c>
      <c r="M1476" s="69">
        <v>0.5</v>
      </c>
      <c r="N1476" s="315">
        <f>$R1476*O1476</f>
        <v>0</v>
      </c>
      <c r="O1476" s="69">
        <v>0</v>
      </c>
      <c r="P1476" s="120">
        <f>$R1476*Q1476</f>
        <v>0</v>
      </c>
      <c r="Q1476" s="69">
        <v>0</v>
      </c>
      <c r="R1476" s="88">
        <f>'Terms and Turnovers'!U135</f>
        <v>0</v>
      </c>
      <c r="S1476" s="161">
        <f>SUM(G1476,I1476,K1476,M1476,O1476,Q1476)</f>
        <v>1</v>
      </c>
      <c r="T1476" s="120">
        <f>$AF1476*U1476</f>
        <v>0</v>
      </c>
      <c r="U1476" s="723">
        <v>0</v>
      </c>
      <c r="V1476" s="120">
        <f>$AF1476*W1476</f>
        <v>0</v>
      </c>
      <c r="W1476" s="69">
        <v>0.5</v>
      </c>
      <c r="X1476" s="120">
        <f>$AF1476*Y1476</f>
        <v>0</v>
      </c>
      <c r="Y1476" s="69">
        <v>0.5</v>
      </c>
      <c r="Z1476" s="120">
        <f>$AF1476*AA1476</f>
        <v>0</v>
      </c>
      <c r="AA1476" s="69">
        <v>0</v>
      </c>
      <c r="AB1476" s="315">
        <f>$AF1476*AC1476</f>
        <v>0</v>
      </c>
      <c r="AC1476" s="69">
        <v>0</v>
      </c>
      <c r="AD1476" s="120">
        <f>$AF1476*AE1476</f>
        <v>0</v>
      </c>
      <c r="AE1476" s="69">
        <v>0</v>
      </c>
      <c r="AF1476" s="88">
        <f>'Terms and Turnovers'!Z135</f>
        <v>0</v>
      </c>
      <c r="AG1476" s="161">
        <f>SUM(U1476,W1476,Y1476,AA1476,AC1476,AE1476)</f>
        <v>1</v>
      </c>
      <c r="AH1476" s="158">
        <f>SUM(R1476,AF1476)</f>
        <v>0</v>
      </c>
      <c r="AI1476" s="134">
        <f>S1476+AG1476</f>
        <v>2</v>
      </c>
      <c r="AJ1476" s="65"/>
      <c r="AL1476" s="461">
        <f>SUM(F1476,H1476,J1476,L1476,N1476,P1476,T1476,V1476,X1476,Z1476,AB1476,AD1476)</f>
        <v>0</v>
      </c>
      <c r="AM1476" s="462">
        <f>AL1476-AH1476</f>
        <v>0</v>
      </c>
      <c r="AO1476" s="692"/>
      <c r="AP1476" s="692"/>
      <c r="AV1476" s="56"/>
    </row>
    <row r="1477" spans="1:48" ht="13.5" customHeight="1" outlineLevel="2" thickBot="1">
      <c r="A1477" s="73"/>
      <c r="B1477" s="82"/>
      <c r="C1477" s="1234"/>
      <c r="D1477" s="1234"/>
      <c r="E1477" s="84" t="str">
        <f>'Terms and Turnovers'!$AD$12</f>
        <v>ACCESSORIES</v>
      </c>
      <c r="F1477" s="120">
        <f>$R1477*G1477</f>
        <v>0</v>
      </c>
      <c r="G1477" s="723"/>
      <c r="H1477" s="120">
        <f>$R1477*I1477</f>
        <v>0</v>
      </c>
      <c r="I1477" s="69">
        <v>0</v>
      </c>
      <c r="J1477" s="120">
        <f>$R1477*K1477</f>
        <v>0</v>
      </c>
      <c r="K1477" s="69">
        <v>0.5</v>
      </c>
      <c r="L1477" s="120">
        <f>$R1477*M1477</f>
        <v>0</v>
      </c>
      <c r="M1477" s="69">
        <v>0.5</v>
      </c>
      <c r="N1477" s="315">
        <f>$R1477*O1477</f>
        <v>0</v>
      </c>
      <c r="O1477" s="69">
        <v>0</v>
      </c>
      <c r="P1477" s="120">
        <f>$R1477*Q1477</f>
        <v>0</v>
      </c>
      <c r="Q1477" s="69">
        <v>0</v>
      </c>
      <c r="R1477" s="88">
        <f>'Terms and Turnovers'!AE135</f>
        <v>0</v>
      </c>
      <c r="S1477" s="161">
        <f>SUM(G1477,I1477,K1477,M1477,O1477,Q1477)</f>
        <v>1</v>
      </c>
      <c r="T1477" s="120">
        <f>$AF1477*U1477</f>
        <v>0</v>
      </c>
      <c r="U1477" s="723">
        <v>0</v>
      </c>
      <c r="V1477" s="120">
        <f>$AF1477*W1477</f>
        <v>0</v>
      </c>
      <c r="W1477" s="69">
        <v>0.5</v>
      </c>
      <c r="X1477" s="120">
        <f>$AF1477*Y1477</f>
        <v>0</v>
      </c>
      <c r="Y1477" s="69">
        <v>0.5</v>
      </c>
      <c r="Z1477" s="120">
        <f>$AF1477*AA1477</f>
        <v>0</v>
      </c>
      <c r="AA1477" s="69">
        <v>0</v>
      </c>
      <c r="AB1477" s="315">
        <f>$AF1477*AC1477</f>
        <v>0</v>
      </c>
      <c r="AC1477" s="69">
        <v>0</v>
      </c>
      <c r="AD1477" s="120">
        <f>$AF1477*AE1477</f>
        <v>0</v>
      </c>
      <c r="AE1477" s="69">
        <v>0</v>
      </c>
      <c r="AF1477" s="88">
        <f>'Terms and Turnovers'!AJ135</f>
        <v>0</v>
      </c>
      <c r="AG1477" s="161">
        <f>SUM(U1477,W1477,Y1477,AA1477,AC1477,AE1477)</f>
        <v>1</v>
      </c>
      <c r="AH1477" s="158">
        <f>SUM(R1477,AF1477)</f>
        <v>0</v>
      </c>
      <c r="AI1477" s="134">
        <f>S1477+AG1477</f>
        <v>2</v>
      </c>
      <c r="AJ1477" s="65"/>
      <c r="AL1477" s="461">
        <f>SUM(F1477,H1477,J1477,L1477,N1477,P1477,T1477,V1477,X1477,Z1477,AB1477,AD1477)</f>
        <v>0</v>
      </c>
      <c r="AM1477" s="462">
        <f>AL1477-AH1477</f>
        <v>0</v>
      </c>
      <c r="AO1477" s="692"/>
      <c r="AP1477" s="692"/>
      <c r="AV1477" s="56"/>
    </row>
    <row r="1478" spans="1:48" ht="13.5" customHeight="1" outlineLevel="2" thickBot="1">
      <c r="A1478" s="73"/>
      <c r="B1478" s="82"/>
      <c r="C1478" s="1234"/>
      <c r="D1478" s="1234"/>
      <c r="E1478" s="84">
        <f>'Terms and Turnovers'!$AN$12</f>
        <v>0</v>
      </c>
      <c r="F1478" s="120">
        <f>$R1478*G1478</f>
        <v>0</v>
      </c>
      <c r="G1478" s="723"/>
      <c r="H1478" s="120">
        <f>$R1478*I1478</f>
        <v>0</v>
      </c>
      <c r="I1478" s="69">
        <v>0.2</v>
      </c>
      <c r="J1478" s="120">
        <f>$R1478*K1478</f>
        <v>0</v>
      </c>
      <c r="K1478" s="69">
        <v>0.25</v>
      </c>
      <c r="L1478" s="120">
        <f>$R1478*M1478</f>
        <v>0</v>
      </c>
      <c r="M1478" s="69">
        <v>0.3</v>
      </c>
      <c r="N1478" s="315">
        <f>$R1478*O1478</f>
        <v>0</v>
      </c>
      <c r="O1478" s="69">
        <v>0.2</v>
      </c>
      <c r="P1478" s="120">
        <f>$R1478*Q1478</f>
        <v>0</v>
      </c>
      <c r="Q1478" s="69">
        <v>0.05</v>
      </c>
      <c r="R1478" s="88">
        <f>'Terms and Turnovers'!AO135</f>
        <v>0</v>
      </c>
      <c r="S1478" s="161">
        <f>SUM(G1478,I1478,K1478,M1478,O1478,Q1478)</f>
        <v>1</v>
      </c>
      <c r="T1478" s="120">
        <f>$AF1478*U1478</f>
        <v>0</v>
      </c>
      <c r="U1478" s="723">
        <v>0.05</v>
      </c>
      <c r="V1478" s="120">
        <f>$AF1478*W1478</f>
        <v>0</v>
      </c>
      <c r="W1478" s="69">
        <v>0.35</v>
      </c>
      <c r="X1478" s="120">
        <f>$AF1478*Y1478</f>
        <v>0</v>
      </c>
      <c r="Y1478" s="69">
        <v>0.35</v>
      </c>
      <c r="Z1478" s="120">
        <f>$AF1478*AA1478</f>
        <v>0</v>
      </c>
      <c r="AA1478" s="69">
        <v>0.15</v>
      </c>
      <c r="AB1478" s="315">
        <f>$AF1478*AC1478</f>
        <v>0</v>
      </c>
      <c r="AC1478" s="69">
        <v>0.05</v>
      </c>
      <c r="AD1478" s="120">
        <f>$AF1478*AE1478</f>
        <v>0</v>
      </c>
      <c r="AE1478" s="69">
        <v>0.05</v>
      </c>
      <c r="AF1478" s="88">
        <f>'Terms and Turnovers'!AT135</f>
        <v>0</v>
      </c>
      <c r="AG1478" s="161">
        <f>SUM(U1478,W1478,Y1478,AA1478,AC1478,AE1478)</f>
        <v>1</v>
      </c>
      <c r="AH1478" s="158">
        <f>SUM(R1478,AF1478)</f>
        <v>0</v>
      </c>
      <c r="AI1478" s="134">
        <f>S1478+AG1478</f>
        <v>2</v>
      </c>
      <c r="AJ1478" s="65"/>
      <c r="AL1478" s="461">
        <f>SUM(F1478,H1478,J1478,L1478,N1478,P1478,T1478,V1478,X1478,Z1478,AB1478,AD1478)</f>
        <v>0</v>
      </c>
      <c r="AM1478" s="462">
        <f>AL1478-AH1478</f>
        <v>0</v>
      </c>
      <c r="AO1478" s="692"/>
      <c r="AP1478" s="692"/>
      <c r="AV1478" s="56"/>
    </row>
    <row r="1479" spans="1:48" ht="13.5" customHeight="1" outlineLevel="2" thickBot="1">
      <c r="A1479" s="73"/>
      <c r="B1479" s="82"/>
      <c r="C1479" s="1235"/>
      <c r="D1479" s="1235"/>
      <c r="E1479" s="85">
        <f>'Terms and Turnovers'!$AX$12</f>
        <v>0</v>
      </c>
      <c r="F1479" s="121">
        <f>$R1479*G1479</f>
        <v>0</v>
      </c>
      <c r="G1479" s="72"/>
      <c r="H1479" s="121">
        <f>$R1479*I1479</f>
        <v>0</v>
      </c>
      <c r="I1479" s="69">
        <v>0.2</v>
      </c>
      <c r="J1479" s="121">
        <f>$R1479*K1479</f>
        <v>0</v>
      </c>
      <c r="K1479" s="69">
        <v>0.25</v>
      </c>
      <c r="L1479" s="121">
        <f>$R1479*M1479</f>
        <v>0</v>
      </c>
      <c r="M1479" s="69">
        <v>0.3</v>
      </c>
      <c r="N1479" s="316">
        <f>$R1479*O1479</f>
        <v>0</v>
      </c>
      <c r="O1479" s="69">
        <v>0.2</v>
      </c>
      <c r="P1479" s="121">
        <f>$R1479*Q1479</f>
        <v>0</v>
      </c>
      <c r="Q1479" s="69">
        <v>0.05</v>
      </c>
      <c r="R1479" s="89">
        <f>'Terms and Turnovers'!AY135</f>
        <v>0</v>
      </c>
      <c r="S1479" s="162">
        <f>SUM(G1479,I1479,K1479,M1479,O1479,Q1479)</f>
        <v>1</v>
      </c>
      <c r="T1479" s="121">
        <f>$AF1479*U1479</f>
        <v>0</v>
      </c>
      <c r="U1479" s="72">
        <v>0.05</v>
      </c>
      <c r="V1479" s="121">
        <f>$AF1479*W1479</f>
        <v>0</v>
      </c>
      <c r="W1479" s="69">
        <v>0.35</v>
      </c>
      <c r="X1479" s="121">
        <f>$AF1479*Y1479</f>
        <v>0</v>
      </c>
      <c r="Y1479" s="69">
        <v>0.35</v>
      </c>
      <c r="Z1479" s="121">
        <f>$AF1479*AA1479</f>
        <v>0</v>
      </c>
      <c r="AA1479" s="69">
        <v>0.25</v>
      </c>
      <c r="AB1479" s="316">
        <f>$AF1479*AC1479</f>
        <v>0</v>
      </c>
      <c r="AC1479" s="69">
        <v>0</v>
      </c>
      <c r="AD1479" s="121">
        <f>$AF1479*AE1479</f>
        <v>0</v>
      </c>
      <c r="AE1479" s="69">
        <v>0</v>
      </c>
      <c r="AF1479" s="89">
        <f>'Terms and Turnovers'!BD135</f>
        <v>0</v>
      </c>
      <c r="AG1479" s="162">
        <f>SUM(U1479,W1479,Y1479,AA1479,AC1479,AE1479)</f>
        <v>1</v>
      </c>
      <c r="AH1479" s="159">
        <f>SUM(R1479,AF1479)</f>
        <v>0</v>
      </c>
      <c r="AI1479" s="137">
        <f>S1479+AG1479</f>
        <v>2</v>
      </c>
      <c r="AJ1479" s="65"/>
      <c r="AL1479" s="461">
        <f>SUM(F1479,H1479,J1479,L1479,N1479,P1479,T1479,V1479,X1479,Z1479,AB1479,AD1479)</f>
        <v>0</v>
      </c>
      <c r="AM1479" s="462">
        <f>AL1479-AH1479</f>
        <v>0</v>
      </c>
      <c r="AO1479" s="692"/>
      <c r="AP1479" s="692"/>
      <c r="AV1479" s="56"/>
    </row>
    <row r="1480" spans="1:48" ht="13.5" customHeight="1" outlineLevel="2" thickBot="1">
      <c r="A1480" s="119"/>
      <c r="B1480" s="82"/>
      <c r="C1480" s="425"/>
      <c r="D1480" s="425"/>
      <c r="E1480" s="426"/>
      <c r="F1480" s="427">
        <f>SUM(F1475:F1479)</f>
        <v>0</v>
      </c>
      <c r="G1480" s="428"/>
      <c r="H1480" s="427">
        <f>SUM(H1475:H1479)</f>
        <v>0</v>
      </c>
      <c r="I1480" s="69"/>
      <c r="J1480" s="427">
        <f>SUM(J1475:J1479)</f>
        <v>0</v>
      </c>
      <c r="K1480" s="69"/>
      <c r="L1480" s="427">
        <f>SUM(L1475:L1479)</f>
        <v>0</v>
      </c>
      <c r="M1480" s="69"/>
      <c r="N1480" s="427">
        <f>SUM(N1475:N1479)</f>
        <v>0</v>
      </c>
      <c r="O1480" s="69"/>
      <c r="P1480" s="427">
        <f>SUM(P1475:P1479)</f>
        <v>0</v>
      </c>
      <c r="Q1480" s="69"/>
      <c r="R1480" s="429"/>
      <c r="S1480" s="430"/>
      <c r="T1480" s="427">
        <f>SUM(T1475:T1479)</f>
        <v>0</v>
      </c>
      <c r="U1480" s="428"/>
      <c r="V1480" s="427">
        <f>SUM(V1475:V1479)</f>
        <v>0</v>
      </c>
      <c r="W1480" s="69"/>
      <c r="X1480" s="427">
        <f>SUM(X1475:X1479)</f>
        <v>0</v>
      </c>
      <c r="Y1480" s="69"/>
      <c r="Z1480" s="427">
        <f>SUM(Z1475:Z1479)</f>
        <v>0</v>
      </c>
      <c r="AA1480" s="69"/>
      <c r="AB1480" s="427">
        <f>SUM(AB1475:AB1479)</f>
        <v>0</v>
      </c>
      <c r="AC1480" s="69"/>
      <c r="AD1480" s="427">
        <f>SUM(AD1475:AD1479)</f>
        <v>0</v>
      </c>
      <c r="AE1480" s="69"/>
      <c r="AF1480" s="429"/>
      <c r="AG1480" s="430"/>
      <c r="AH1480" s="431"/>
      <c r="AI1480" s="432"/>
      <c r="AJ1480" s="65"/>
      <c r="AO1480" s="692"/>
      <c r="AP1480" s="692"/>
      <c r="AV1480" s="56"/>
    </row>
    <row r="1481" spans="1:48" ht="13.5" customHeight="1" outlineLevel="2" thickBot="1">
      <c r="A1481" s="119"/>
      <c r="B1481" s="82"/>
      <c r="C1481" s="433" t="s">
        <v>484</v>
      </c>
      <c r="D1481" s="433" t="str">
        <f>D1475</f>
        <v>ИП Вербицкая</v>
      </c>
      <c r="E1481" s="426"/>
      <c r="F1481" s="434">
        <f>AN1481</f>
        <v>0</v>
      </c>
      <c r="G1481" s="428"/>
      <c r="H1481" s="434">
        <f>H1480</f>
        <v>0</v>
      </c>
      <c r="I1481" s="69"/>
      <c r="J1481" s="434">
        <f>J1480</f>
        <v>0</v>
      </c>
      <c r="K1481" s="69"/>
      <c r="L1481" s="434">
        <f>L1480</f>
        <v>0</v>
      </c>
      <c r="M1481" s="69"/>
      <c r="N1481" s="434">
        <f>N1480-AO1481</f>
        <v>0</v>
      </c>
      <c r="O1481" s="69"/>
      <c r="P1481" s="434">
        <f>P1480</f>
        <v>0</v>
      </c>
      <c r="Q1481" s="69"/>
      <c r="R1481" s="429"/>
      <c r="S1481" s="430"/>
      <c r="T1481" s="434">
        <f>AO1481+T1480</f>
        <v>0</v>
      </c>
      <c r="U1481" s="428">
        <f>Q1480</f>
        <v>0</v>
      </c>
      <c r="V1481" s="434">
        <f>V1480</f>
        <v>0</v>
      </c>
      <c r="W1481" s="69">
        <f>S1480</f>
        <v>0</v>
      </c>
      <c r="X1481" s="434">
        <f>X1480-AN1481</f>
        <v>0</v>
      </c>
      <c r="Y1481" s="69">
        <f>U1480</f>
        <v>0</v>
      </c>
      <c r="Z1481" s="434">
        <f>Z1480</f>
        <v>0</v>
      </c>
      <c r="AA1481" s="69">
        <f>W1480</f>
        <v>0</v>
      </c>
      <c r="AB1481" s="434">
        <f>AB1480</f>
        <v>0</v>
      </c>
      <c r="AC1481" s="69">
        <f>Y1480</f>
        <v>0</v>
      </c>
      <c r="AD1481" s="434">
        <f>AD1480</f>
        <v>0</v>
      </c>
      <c r="AE1481" s="69"/>
      <c r="AF1481" s="429"/>
      <c r="AG1481" s="430"/>
      <c r="AH1481" s="431"/>
      <c r="AI1481" s="432"/>
      <c r="AJ1481" s="65"/>
      <c r="AN1481" s="695">
        <f>SUM(AF1475:AF1479)*AQ1481</f>
        <v>0</v>
      </c>
      <c r="AO1481" s="742">
        <f>SUM(R1475:R1479)*AQ1481</f>
        <v>0</v>
      </c>
      <c r="AP1481" s="742"/>
      <c r="AQ1481" s="693">
        <v>0.15</v>
      </c>
      <c r="AS1481" s="716">
        <f>SUM(AL1475:AL1479)</f>
        <v>0</v>
      </c>
      <c r="AT1481" s="461">
        <f>F1481+H1481+J1481+L1481+N1481+P1481+T1481+V1481+X1481+Z1481+AB1481+AD1481</f>
        <v>0</v>
      </c>
      <c r="AU1481" s="745">
        <f>AT1481-AS1481</f>
        <v>0</v>
      </c>
      <c r="AV1481" s="56"/>
    </row>
    <row r="1482" spans="1:48" ht="13.5" customHeight="1" outlineLevel="2" thickBot="1">
      <c r="A1482" s="73"/>
      <c r="B1482" s="82">
        <f>B1475+1</f>
        <v>5</v>
      </c>
      <c r="C1482" s="1233">
        <f>C41</f>
        <v>0</v>
      </c>
      <c r="D1482" s="1245" t="str">
        <f>D41</f>
        <v>ИП Кузнецова  Мария Павловна</v>
      </c>
      <c r="E1482" s="83" t="str">
        <f>'Terms and Turnovers'!$J$12</f>
        <v>FLIP-FLOPS</v>
      </c>
      <c r="F1482" s="118">
        <f>$R1482*G1482</f>
        <v>0</v>
      </c>
      <c r="G1482" s="69"/>
      <c r="H1482" s="314">
        <f>$R1482*I1482</f>
        <v>0</v>
      </c>
      <c r="I1482" s="69">
        <v>0</v>
      </c>
      <c r="J1482" s="118">
        <f>$R1482*K1482</f>
        <v>0</v>
      </c>
      <c r="K1482" s="69">
        <v>0.25</v>
      </c>
      <c r="L1482" s="314">
        <f>$R1482*M1482</f>
        <v>0</v>
      </c>
      <c r="M1482" s="69">
        <v>0.4</v>
      </c>
      <c r="N1482" s="314">
        <f>$R1482*O1482</f>
        <v>0</v>
      </c>
      <c r="O1482" s="69">
        <v>0.35</v>
      </c>
      <c r="P1482" s="118">
        <f>$R1482*Q1482</f>
        <v>0</v>
      </c>
      <c r="Q1482" s="69">
        <v>0</v>
      </c>
      <c r="R1482" s="87">
        <f>'Terms and Turnovers'!K136</f>
        <v>0</v>
      </c>
      <c r="S1482" s="160">
        <f>SUM(G1482,I1482,K1482,M1482,O1482,Q1482)</f>
        <v>1</v>
      </c>
      <c r="T1482" s="118">
        <f>$AF1482*U1482</f>
        <v>0</v>
      </c>
      <c r="U1482" s="69">
        <v>0</v>
      </c>
      <c r="V1482" s="314">
        <f>$AF1482*W1482</f>
        <v>0</v>
      </c>
      <c r="W1482" s="69">
        <v>0.35</v>
      </c>
      <c r="X1482" s="118">
        <f>$AF1482*Y1482</f>
        <v>0</v>
      </c>
      <c r="Y1482" s="69">
        <v>0.55000000000000004</v>
      </c>
      <c r="Z1482" s="314">
        <f>$AF1482*AA1482</f>
        <v>0</v>
      </c>
      <c r="AA1482" s="69">
        <v>0.1</v>
      </c>
      <c r="AB1482" s="314">
        <f>$AF1482*AC1482</f>
        <v>0</v>
      </c>
      <c r="AC1482" s="69">
        <v>0</v>
      </c>
      <c r="AD1482" s="118">
        <f>$AF1482*AE1482</f>
        <v>0</v>
      </c>
      <c r="AE1482" s="69">
        <v>0</v>
      </c>
      <c r="AF1482" s="87">
        <f>'Terms and Turnovers'!P136</f>
        <v>0</v>
      </c>
      <c r="AG1482" s="160">
        <f>SUM(U1482,W1482,Y1482,AA1482,AC1482,AE1482)</f>
        <v>1</v>
      </c>
      <c r="AH1482" s="157">
        <f>SUM(R1482,AF1482)</f>
        <v>0</v>
      </c>
      <c r="AI1482" s="131">
        <f>S1482+AG1482</f>
        <v>2</v>
      </c>
      <c r="AJ1482" s="65"/>
      <c r="AL1482" s="461">
        <f>SUM(F1482,H1482,J1482,L1482,N1482,P1482,T1482,V1482,X1482,Z1482,AB1482,AD1482)</f>
        <v>0</v>
      </c>
      <c r="AM1482" s="462">
        <f>AL1482-AH1482</f>
        <v>0</v>
      </c>
      <c r="AO1482" s="692"/>
      <c r="AP1482" s="692"/>
      <c r="AV1482" s="56"/>
    </row>
    <row r="1483" spans="1:48" ht="13.5" customHeight="1" outlineLevel="2" thickBot="1">
      <c r="A1483" s="73"/>
      <c r="B1483" s="82"/>
      <c r="C1483" s="1234"/>
      <c r="D1483" s="1246"/>
      <c r="E1483" s="84" t="str">
        <f>'Terms and Turnovers'!$T$12</f>
        <v>ORIGINALS</v>
      </c>
      <c r="F1483" s="120">
        <f>$R1483*G1483</f>
        <v>0</v>
      </c>
      <c r="G1483" s="723"/>
      <c r="H1483" s="120">
        <f>$R1483*I1483</f>
        <v>0</v>
      </c>
      <c r="I1483" s="69">
        <v>0</v>
      </c>
      <c r="J1483" s="120">
        <f>$R1483*K1483</f>
        <v>0</v>
      </c>
      <c r="K1483" s="69">
        <v>0.5</v>
      </c>
      <c r="L1483" s="120">
        <f>$R1483*M1483</f>
        <v>0</v>
      </c>
      <c r="M1483" s="69">
        <v>0.5</v>
      </c>
      <c r="N1483" s="315">
        <f>$R1483*O1483</f>
        <v>0</v>
      </c>
      <c r="O1483" s="69">
        <v>0</v>
      </c>
      <c r="P1483" s="120">
        <f>$R1483*Q1483</f>
        <v>0</v>
      </c>
      <c r="Q1483" s="69">
        <v>0</v>
      </c>
      <c r="R1483" s="88">
        <f>'Terms and Turnovers'!U136</f>
        <v>0</v>
      </c>
      <c r="S1483" s="161">
        <f>SUM(G1483,I1483,K1483,M1483,O1483,Q1483)</f>
        <v>1</v>
      </c>
      <c r="T1483" s="120">
        <f>$AF1483*U1483</f>
        <v>0</v>
      </c>
      <c r="U1483" s="723">
        <v>0</v>
      </c>
      <c r="V1483" s="120">
        <f>$AF1483*W1483</f>
        <v>0</v>
      </c>
      <c r="W1483" s="69">
        <v>0.15</v>
      </c>
      <c r="X1483" s="120">
        <f>$AF1483*Y1483</f>
        <v>0</v>
      </c>
      <c r="Y1483" s="69">
        <v>0.6</v>
      </c>
      <c r="Z1483" s="120">
        <f>$AF1483*AA1483</f>
        <v>0</v>
      </c>
      <c r="AA1483" s="69">
        <v>0.25</v>
      </c>
      <c r="AB1483" s="315">
        <f>$AF1483*AC1483</f>
        <v>0</v>
      </c>
      <c r="AC1483" s="69">
        <v>0</v>
      </c>
      <c r="AD1483" s="120">
        <f>$AF1483*AE1483</f>
        <v>0</v>
      </c>
      <c r="AE1483" s="69">
        <v>0</v>
      </c>
      <c r="AF1483" s="88">
        <f>'Terms and Turnovers'!Z136</f>
        <v>0</v>
      </c>
      <c r="AG1483" s="161">
        <f>SUM(U1483,W1483,Y1483,AA1483,AC1483,AE1483)</f>
        <v>1</v>
      </c>
      <c r="AH1483" s="158">
        <f>SUM(R1483,AF1483)</f>
        <v>0</v>
      </c>
      <c r="AI1483" s="134">
        <f>S1483+AG1483</f>
        <v>2</v>
      </c>
      <c r="AJ1483" s="65"/>
      <c r="AL1483" s="461">
        <f>SUM(F1483,H1483,J1483,L1483,N1483,P1483,T1483,V1483,X1483,Z1483,AB1483,AD1483)</f>
        <v>0</v>
      </c>
      <c r="AM1483" s="462">
        <f>AL1483-AH1483</f>
        <v>0</v>
      </c>
      <c r="AO1483" s="692"/>
      <c r="AP1483" s="692"/>
      <c r="AV1483" s="56"/>
    </row>
    <row r="1484" spans="1:48" ht="13.5" customHeight="1" outlineLevel="2" thickBot="1">
      <c r="A1484" s="73"/>
      <c r="B1484" s="82"/>
      <c r="C1484" s="1234"/>
      <c r="D1484" s="1246"/>
      <c r="E1484" s="84" t="str">
        <f>'Terms and Turnovers'!$AD$12</f>
        <v>ACCESSORIES</v>
      </c>
      <c r="F1484" s="120">
        <f>$R1484*G1484</f>
        <v>0</v>
      </c>
      <c r="G1484" s="723"/>
      <c r="H1484" s="120">
        <f>$R1484*I1484</f>
        <v>0</v>
      </c>
      <c r="I1484" s="69">
        <v>0</v>
      </c>
      <c r="J1484" s="120">
        <f>$R1484*K1484</f>
        <v>0</v>
      </c>
      <c r="K1484" s="69">
        <v>0.5</v>
      </c>
      <c r="L1484" s="120">
        <f>$R1484*M1484</f>
        <v>0</v>
      </c>
      <c r="M1484" s="69">
        <v>0.5</v>
      </c>
      <c r="N1484" s="315">
        <f>$R1484*O1484</f>
        <v>0</v>
      </c>
      <c r="O1484" s="69">
        <v>0</v>
      </c>
      <c r="P1484" s="120">
        <f>$R1484*Q1484</f>
        <v>0</v>
      </c>
      <c r="Q1484" s="69">
        <v>0</v>
      </c>
      <c r="R1484" s="88">
        <f>'Terms and Turnovers'!AE136</f>
        <v>0</v>
      </c>
      <c r="S1484" s="161">
        <f>SUM(G1484,I1484,K1484,M1484,O1484,Q1484)</f>
        <v>1</v>
      </c>
      <c r="T1484" s="120">
        <f>$AF1484*U1484</f>
        <v>0</v>
      </c>
      <c r="U1484" s="723">
        <v>0</v>
      </c>
      <c r="V1484" s="120">
        <f>$AF1484*W1484</f>
        <v>0</v>
      </c>
      <c r="W1484" s="69">
        <v>0.15</v>
      </c>
      <c r="X1484" s="120">
        <f>$AF1484*Y1484</f>
        <v>0</v>
      </c>
      <c r="Y1484" s="69">
        <v>0.6</v>
      </c>
      <c r="Z1484" s="120">
        <f>$AF1484*AA1484</f>
        <v>0</v>
      </c>
      <c r="AA1484" s="69">
        <v>0.25</v>
      </c>
      <c r="AB1484" s="315">
        <f>$AF1484*AC1484</f>
        <v>0</v>
      </c>
      <c r="AC1484" s="69">
        <v>0</v>
      </c>
      <c r="AD1484" s="120">
        <f>$AF1484*AE1484</f>
        <v>0</v>
      </c>
      <c r="AE1484" s="69">
        <v>0</v>
      </c>
      <c r="AF1484" s="88">
        <f>'Terms and Turnovers'!AJ136</f>
        <v>0</v>
      </c>
      <c r="AG1484" s="161">
        <f>SUM(U1484,W1484,Y1484,AA1484,AC1484,AE1484)</f>
        <v>1</v>
      </c>
      <c r="AH1484" s="158">
        <f>SUM(R1484,AF1484)</f>
        <v>0</v>
      </c>
      <c r="AI1484" s="134">
        <f>S1484+AG1484</f>
        <v>2</v>
      </c>
      <c r="AJ1484" s="65"/>
      <c r="AL1484" s="461">
        <f>SUM(F1484,H1484,J1484,L1484,N1484,P1484,T1484,V1484,X1484,Z1484,AB1484,AD1484)</f>
        <v>0</v>
      </c>
      <c r="AM1484" s="462">
        <f>AL1484-AH1484</f>
        <v>0</v>
      </c>
      <c r="AO1484" s="692"/>
      <c r="AP1484" s="692"/>
      <c r="AV1484" s="56"/>
    </row>
    <row r="1485" spans="1:48" ht="13.5" customHeight="1" outlineLevel="2" thickBot="1">
      <c r="A1485" s="73"/>
      <c r="B1485" s="82"/>
      <c r="C1485" s="1234"/>
      <c r="D1485" s="1246"/>
      <c r="E1485" s="84">
        <f>'Terms and Turnovers'!$AN$12</f>
        <v>0</v>
      </c>
      <c r="F1485" s="120">
        <f>$R1485*G1485</f>
        <v>0</v>
      </c>
      <c r="G1485" s="723"/>
      <c r="H1485" s="120">
        <f>$R1485*I1485</f>
        <v>0</v>
      </c>
      <c r="I1485" s="69">
        <v>0</v>
      </c>
      <c r="J1485" s="120">
        <f>$R1485*K1485</f>
        <v>0</v>
      </c>
      <c r="K1485" s="69">
        <v>0.25</v>
      </c>
      <c r="L1485" s="120">
        <f>$R1485*M1485</f>
        <v>0</v>
      </c>
      <c r="M1485" s="69">
        <v>0.4</v>
      </c>
      <c r="N1485" s="315">
        <f>$R1485*O1485</f>
        <v>0</v>
      </c>
      <c r="O1485" s="69">
        <v>0.35</v>
      </c>
      <c r="P1485" s="120">
        <f>$R1485*Q1485</f>
        <v>0</v>
      </c>
      <c r="Q1485" s="69">
        <v>0</v>
      </c>
      <c r="R1485" s="88">
        <f>'Terms and Turnovers'!AO136</f>
        <v>0</v>
      </c>
      <c r="S1485" s="161">
        <f>SUM(G1485,I1485,K1485,M1485,O1485,Q1485)</f>
        <v>1</v>
      </c>
      <c r="T1485" s="120">
        <f>$AF1485*U1485</f>
        <v>0</v>
      </c>
      <c r="U1485" s="723">
        <v>0</v>
      </c>
      <c r="V1485" s="120">
        <f>$AF1485*W1485</f>
        <v>0</v>
      </c>
      <c r="W1485" s="69">
        <v>0.35</v>
      </c>
      <c r="X1485" s="120">
        <f>$AF1485*Y1485</f>
        <v>0</v>
      </c>
      <c r="Y1485" s="69">
        <v>0.55000000000000004</v>
      </c>
      <c r="Z1485" s="120">
        <f>$AF1485*AA1485</f>
        <v>0</v>
      </c>
      <c r="AA1485" s="69">
        <v>0.1</v>
      </c>
      <c r="AB1485" s="315">
        <f>$AF1485*AC1485</f>
        <v>0</v>
      </c>
      <c r="AC1485" s="69">
        <v>0</v>
      </c>
      <c r="AD1485" s="120">
        <f>$AF1485*AE1485</f>
        <v>0</v>
      </c>
      <c r="AE1485" s="69">
        <v>0</v>
      </c>
      <c r="AF1485" s="88">
        <f>'Terms and Turnovers'!AT136</f>
        <v>0</v>
      </c>
      <c r="AG1485" s="161">
        <f>SUM(U1485,W1485,Y1485,AA1485,AC1485,AE1485)</f>
        <v>1</v>
      </c>
      <c r="AH1485" s="158">
        <f>SUM(R1485,AF1485)</f>
        <v>0</v>
      </c>
      <c r="AI1485" s="134">
        <f>S1485+AG1485</f>
        <v>2</v>
      </c>
      <c r="AJ1485" s="65"/>
      <c r="AL1485" s="461">
        <f>SUM(F1485,H1485,J1485,L1485,N1485,P1485,T1485,V1485,X1485,Z1485,AB1485,AD1485)</f>
        <v>0</v>
      </c>
      <c r="AM1485" s="462">
        <f>AL1485-AH1485</f>
        <v>0</v>
      </c>
      <c r="AO1485" s="692"/>
      <c r="AP1485" s="692"/>
      <c r="AV1485" s="56"/>
    </row>
    <row r="1486" spans="1:48" ht="13.5" customHeight="1" outlineLevel="2" thickBot="1">
      <c r="A1486" s="73"/>
      <c r="B1486" s="82"/>
      <c r="C1486" s="1235"/>
      <c r="D1486" s="1247"/>
      <c r="E1486" s="85">
        <f>'Terms and Turnovers'!$AX$12</f>
        <v>0</v>
      </c>
      <c r="F1486" s="121">
        <f>$R1486*G1486</f>
        <v>0</v>
      </c>
      <c r="G1486" s="72"/>
      <c r="H1486" s="121">
        <f>$R1486*I1486</f>
        <v>0</v>
      </c>
      <c r="I1486" s="69">
        <v>0</v>
      </c>
      <c r="J1486" s="121">
        <f>$R1486*K1486</f>
        <v>0</v>
      </c>
      <c r="K1486" s="69">
        <v>0.25</v>
      </c>
      <c r="L1486" s="121">
        <f>$R1486*M1486</f>
        <v>0</v>
      </c>
      <c r="M1486" s="69">
        <v>0.4</v>
      </c>
      <c r="N1486" s="316">
        <f>$R1486*O1486</f>
        <v>0</v>
      </c>
      <c r="O1486" s="69">
        <v>0.35</v>
      </c>
      <c r="P1486" s="121">
        <f>$R1486*Q1486</f>
        <v>0</v>
      </c>
      <c r="Q1486" s="69">
        <v>0</v>
      </c>
      <c r="R1486" s="89">
        <f>'Terms and Turnovers'!AY136</f>
        <v>0</v>
      </c>
      <c r="S1486" s="162">
        <f>SUM(G1486,I1486,K1486,M1486,O1486,Q1486)</f>
        <v>1</v>
      </c>
      <c r="T1486" s="121">
        <f>$AF1486*U1486</f>
        <v>0</v>
      </c>
      <c r="U1486" s="72">
        <v>0</v>
      </c>
      <c r="V1486" s="121">
        <f>$AF1486*W1486</f>
        <v>0</v>
      </c>
      <c r="W1486" s="69">
        <v>0.35</v>
      </c>
      <c r="X1486" s="121">
        <f>$AF1486*Y1486</f>
        <v>0</v>
      </c>
      <c r="Y1486" s="69">
        <v>0.55000000000000004</v>
      </c>
      <c r="Z1486" s="121">
        <f>$AF1486*AA1486</f>
        <v>0</v>
      </c>
      <c r="AA1486" s="69">
        <v>0.1</v>
      </c>
      <c r="AB1486" s="316">
        <f>$AF1486*AC1486</f>
        <v>0</v>
      </c>
      <c r="AC1486" s="69">
        <v>0</v>
      </c>
      <c r="AD1486" s="121">
        <f>$AF1486*AE1486</f>
        <v>0</v>
      </c>
      <c r="AE1486" s="69">
        <v>0</v>
      </c>
      <c r="AF1486" s="89">
        <f>'Terms and Turnovers'!BD136</f>
        <v>0</v>
      </c>
      <c r="AG1486" s="162">
        <f>SUM(U1486,W1486,Y1486,AA1486,AC1486,AE1486)</f>
        <v>1</v>
      </c>
      <c r="AH1486" s="159">
        <f>SUM(R1486,AF1486)</f>
        <v>0</v>
      </c>
      <c r="AI1486" s="137">
        <f>S1486+AG1486</f>
        <v>2</v>
      </c>
      <c r="AJ1486" s="65"/>
      <c r="AL1486" s="461">
        <f>SUM(F1486,H1486,J1486,L1486,N1486,P1486,T1486,V1486,X1486,Z1486,AB1486,AD1486)</f>
        <v>0</v>
      </c>
      <c r="AM1486" s="462">
        <f>AL1486-AH1486</f>
        <v>0</v>
      </c>
      <c r="AO1486" s="692"/>
      <c r="AP1486" s="692"/>
      <c r="AV1486" s="56"/>
    </row>
    <row r="1487" spans="1:48" ht="13.5" customHeight="1" outlineLevel="2" thickBot="1">
      <c r="A1487" s="119"/>
      <c r="B1487" s="82"/>
      <c r="C1487" s="425"/>
      <c r="D1487" s="425"/>
      <c r="E1487" s="426"/>
      <c r="F1487" s="427">
        <f>SUM(F1482:F1486)</f>
        <v>0</v>
      </c>
      <c r="G1487" s="428"/>
      <c r="H1487" s="427">
        <f>SUM(H1482:H1486)</f>
        <v>0</v>
      </c>
      <c r="I1487" s="69"/>
      <c r="J1487" s="427">
        <f>SUM(J1482:J1486)</f>
        <v>0</v>
      </c>
      <c r="K1487" s="69"/>
      <c r="L1487" s="427">
        <f>SUM(L1482:L1486)</f>
        <v>0</v>
      </c>
      <c r="M1487" s="69"/>
      <c r="N1487" s="427">
        <f>SUM(N1482:N1486)</f>
        <v>0</v>
      </c>
      <c r="O1487" s="69"/>
      <c r="P1487" s="427">
        <f>SUM(P1482:P1486)</f>
        <v>0</v>
      </c>
      <c r="Q1487" s="69"/>
      <c r="R1487" s="429"/>
      <c r="S1487" s="430"/>
      <c r="T1487" s="427">
        <f>SUM(T1482:T1486)</f>
        <v>0</v>
      </c>
      <c r="U1487" s="428"/>
      <c r="V1487" s="427">
        <f>SUM(V1482:V1486)</f>
        <v>0</v>
      </c>
      <c r="W1487" s="69"/>
      <c r="X1487" s="427">
        <f>SUM(X1482:X1486)</f>
        <v>0</v>
      </c>
      <c r="Y1487" s="69"/>
      <c r="Z1487" s="427">
        <f>SUM(Z1482:Z1486)</f>
        <v>0</v>
      </c>
      <c r="AA1487" s="69"/>
      <c r="AB1487" s="427">
        <f>SUM(AB1482:AB1486)</f>
        <v>0</v>
      </c>
      <c r="AC1487" s="69"/>
      <c r="AD1487" s="427">
        <f>SUM(AD1482:AD1486)</f>
        <v>0</v>
      </c>
      <c r="AE1487" s="69"/>
      <c r="AF1487" s="429"/>
      <c r="AG1487" s="430"/>
      <c r="AH1487" s="431"/>
      <c r="AI1487" s="432"/>
      <c r="AJ1487" s="65"/>
      <c r="AO1487" s="692"/>
      <c r="AP1487" s="692"/>
      <c r="AV1487" s="56"/>
    </row>
    <row r="1488" spans="1:48" ht="13.5" customHeight="1" outlineLevel="2" thickBot="1">
      <c r="A1488" s="119"/>
      <c r="B1488" s="82"/>
      <c r="C1488" s="433" t="s">
        <v>484</v>
      </c>
      <c r="D1488" s="433" t="str">
        <f>D1482</f>
        <v>ИП Кузнецова  Мария Павловна</v>
      </c>
      <c r="E1488" s="426"/>
      <c r="F1488" s="434">
        <f>AN1488</f>
        <v>0</v>
      </c>
      <c r="G1488" s="428"/>
      <c r="H1488" s="434">
        <f>H1487</f>
        <v>0</v>
      </c>
      <c r="I1488" s="69"/>
      <c r="J1488" s="434">
        <f>J1487</f>
        <v>0</v>
      </c>
      <c r="K1488" s="69"/>
      <c r="L1488" s="434">
        <f>L1487</f>
        <v>0</v>
      </c>
      <c r="M1488" s="69"/>
      <c r="N1488" s="434">
        <f>N1487-AO1488</f>
        <v>0</v>
      </c>
      <c r="O1488" s="69"/>
      <c r="P1488" s="434"/>
      <c r="Q1488" s="69"/>
      <c r="R1488" s="429"/>
      <c r="S1488" s="430"/>
      <c r="T1488" s="434">
        <f>AO1488</f>
        <v>0</v>
      </c>
      <c r="U1488" s="428">
        <f>Q1487</f>
        <v>0</v>
      </c>
      <c r="V1488" s="434">
        <f>V1487</f>
        <v>0</v>
      </c>
      <c r="W1488" s="69">
        <f>S1487</f>
        <v>0</v>
      </c>
      <c r="X1488" s="434">
        <f>X1487-AN1488</f>
        <v>0</v>
      </c>
      <c r="Y1488" s="69">
        <f>U1487</f>
        <v>0</v>
      </c>
      <c r="Z1488" s="434">
        <f>Z1487</f>
        <v>0</v>
      </c>
      <c r="AA1488" s="69">
        <f>W1487</f>
        <v>0</v>
      </c>
      <c r="AB1488" s="434">
        <f>AB1487</f>
        <v>0</v>
      </c>
      <c r="AC1488" s="69">
        <f>Y1487</f>
        <v>0</v>
      </c>
      <c r="AD1488" s="434">
        <f>AD1487</f>
        <v>0</v>
      </c>
      <c r="AE1488" s="69"/>
      <c r="AF1488" s="429"/>
      <c r="AG1488" s="430"/>
      <c r="AH1488" s="431"/>
      <c r="AI1488" s="432"/>
      <c r="AJ1488" s="65"/>
      <c r="AN1488" s="695">
        <f>SUM(AF1482:AF1486)*AQ1488</f>
        <v>0</v>
      </c>
      <c r="AO1488" s="742">
        <f>SUM(R1482:R1486)*AQ1488</f>
        <v>0</v>
      </c>
      <c r="AP1488" s="742"/>
      <c r="AQ1488" s="693">
        <v>0.15</v>
      </c>
      <c r="AS1488" s="716">
        <f>SUM(AL1482:AL1486)</f>
        <v>0</v>
      </c>
      <c r="AT1488" s="461">
        <f>F1488+H1488+J1488+L1488+N1488+P1488+T1488+V1488+X1488+Z1488+AB1488+AD1488</f>
        <v>0</v>
      </c>
      <c r="AU1488" s="745">
        <f>AT1488-AS1488</f>
        <v>0</v>
      </c>
      <c r="AV1488" s="56"/>
    </row>
    <row r="1489" spans="1:48" ht="13.5" customHeight="1" outlineLevel="2" thickBot="1">
      <c r="A1489" s="73"/>
      <c r="B1489" s="82">
        <f>B1482+1</f>
        <v>6</v>
      </c>
      <c r="C1489" s="1233">
        <f>C48</f>
        <v>0</v>
      </c>
      <c r="D1489" s="1233" t="str">
        <f>D48</f>
        <v>ИП Щербакова Полина Леонидовна</v>
      </c>
      <c r="E1489" s="83" t="str">
        <f>'Terms and Turnovers'!$J$12</f>
        <v>FLIP-FLOPS</v>
      </c>
      <c r="F1489" s="118">
        <f>$R1489*G1489</f>
        <v>0</v>
      </c>
      <c r="G1489" s="69"/>
      <c r="H1489" s="314">
        <f>$R1489*I1489</f>
        <v>0</v>
      </c>
      <c r="I1489" s="69">
        <v>0</v>
      </c>
      <c r="J1489" s="118">
        <f>$R1489*K1489</f>
        <v>0</v>
      </c>
      <c r="K1489" s="69">
        <v>0.25</v>
      </c>
      <c r="L1489" s="314">
        <f>$R1489*M1489</f>
        <v>0</v>
      </c>
      <c r="M1489" s="69">
        <v>0.4</v>
      </c>
      <c r="N1489" s="314">
        <f>$R1489*O1489</f>
        <v>0</v>
      </c>
      <c r="O1489" s="69">
        <v>0.35</v>
      </c>
      <c r="P1489" s="118">
        <f>$R1489*Q1489</f>
        <v>0</v>
      </c>
      <c r="Q1489" s="69">
        <v>0</v>
      </c>
      <c r="R1489" s="87">
        <f>'Terms and Turnovers'!K137</f>
        <v>0</v>
      </c>
      <c r="S1489" s="160">
        <f>SUM(G1489,I1489,K1489,M1489,O1489,Q1489)</f>
        <v>1</v>
      </c>
      <c r="T1489" s="118">
        <f>$AF1489*U1489</f>
        <v>0</v>
      </c>
      <c r="U1489" s="69">
        <v>0</v>
      </c>
      <c r="V1489" s="314">
        <f>$AF1489*W1489</f>
        <v>0</v>
      </c>
      <c r="W1489" s="69">
        <v>0</v>
      </c>
      <c r="X1489" s="118">
        <f>$AF1489*Y1489</f>
        <v>27437.999999999996</v>
      </c>
      <c r="Y1489" s="69">
        <v>1</v>
      </c>
      <c r="Z1489" s="314">
        <f>$AF1489*AA1489</f>
        <v>0</v>
      </c>
      <c r="AA1489" s="69">
        <v>0</v>
      </c>
      <c r="AB1489" s="314">
        <f>$AF1489*AC1489</f>
        <v>0</v>
      </c>
      <c r="AC1489" s="69">
        <v>0</v>
      </c>
      <c r="AD1489" s="118">
        <f>$AF1489*AE1489</f>
        <v>0</v>
      </c>
      <c r="AE1489" s="69">
        <v>0</v>
      </c>
      <c r="AF1489" s="87">
        <f>'Terms and Turnovers'!P137</f>
        <v>27437.999999999996</v>
      </c>
      <c r="AG1489" s="160">
        <f>SUM(U1489,W1489,Y1489,AA1489,AC1489,AE1489)</f>
        <v>1</v>
      </c>
      <c r="AH1489" s="157">
        <f>SUM(R1489,AF1489)</f>
        <v>27437.999999999996</v>
      </c>
      <c r="AI1489" s="131">
        <f>S1489+AG1489</f>
        <v>2</v>
      </c>
      <c r="AJ1489" s="65"/>
      <c r="AL1489" s="461">
        <f>SUM(F1489,H1489,J1489,L1489,N1489,P1489,T1489,V1489,X1489,Z1489,AB1489,AD1489)</f>
        <v>27437.999999999996</v>
      </c>
      <c r="AM1489" s="462">
        <f>AL1489-AH1489</f>
        <v>0</v>
      </c>
      <c r="AO1489" s="692"/>
      <c r="AP1489" s="692"/>
      <c r="AV1489" s="56"/>
    </row>
    <row r="1490" spans="1:48" ht="13.5" customHeight="1" outlineLevel="2" thickBot="1">
      <c r="A1490" s="73"/>
      <c r="B1490" s="82"/>
      <c r="C1490" s="1234"/>
      <c r="D1490" s="1234"/>
      <c r="E1490" s="84" t="str">
        <f>'Terms and Turnovers'!$T$12</f>
        <v>ORIGINALS</v>
      </c>
      <c r="F1490" s="120">
        <f>$R1490*G1490</f>
        <v>0</v>
      </c>
      <c r="G1490" s="723"/>
      <c r="H1490" s="120">
        <f>$R1490*I1490</f>
        <v>0</v>
      </c>
      <c r="I1490" s="69">
        <v>0</v>
      </c>
      <c r="J1490" s="120">
        <f>$R1490*K1490</f>
        <v>0</v>
      </c>
      <c r="K1490" s="69">
        <v>0.4</v>
      </c>
      <c r="L1490" s="120">
        <f>$R1490*M1490</f>
        <v>0</v>
      </c>
      <c r="M1490" s="69">
        <v>0.6</v>
      </c>
      <c r="N1490" s="315">
        <f>$R1490*O1490</f>
        <v>0</v>
      </c>
      <c r="O1490" s="69">
        <v>0</v>
      </c>
      <c r="P1490" s="120">
        <f>$R1490*Q1490</f>
        <v>0</v>
      </c>
      <c r="Q1490" s="69">
        <v>0</v>
      </c>
      <c r="R1490" s="88">
        <f>'Terms and Turnovers'!U137</f>
        <v>0</v>
      </c>
      <c r="S1490" s="161">
        <f>SUM(G1490,I1490,K1490,M1490,O1490,Q1490)</f>
        <v>1</v>
      </c>
      <c r="T1490" s="120">
        <f>$AF1490*U1490</f>
        <v>0</v>
      </c>
      <c r="U1490" s="723">
        <v>0</v>
      </c>
      <c r="V1490" s="120">
        <f>$AF1490*W1490</f>
        <v>0</v>
      </c>
      <c r="W1490" s="69">
        <v>0.4</v>
      </c>
      <c r="X1490" s="120">
        <f>$AF1490*Y1490</f>
        <v>0</v>
      </c>
      <c r="Y1490" s="69">
        <v>0.6</v>
      </c>
      <c r="Z1490" s="120">
        <f>$AF1490*AA1490</f>
        <v>0</v>
      </c>
      <c r="AA1490" s="69">
        <v>0</v>
      </c>
      <c r="AB1490" s="315">
        <f>$AF1490*AC1490</f>
        <v>0</v>
      </c>
      <c r="AC1490" s="69">
        <v>0</v>
      </c>
      <c r="AD1490" s="120">
        <f>$AF1490*AE1490</f>
        <v>0</v>
      </c>
      <c r="AE1490" s="69">
        <v>0</v>
      </c>
      <c r="AF1490" s="88">
        <f>'Terms and Turnovers'!Z137</f>
        <v>0</v>
      </c>
      <c r="AG1490" s="161">
        <f>SUM(U1490,W1490,Y1490,AA1490,AC1490,AE1490)</f>
        <v>1</v>
      </c>
      <c r="AH1490" s="158">
        <f>SUM(R1490,AF1490)</f>
        <v>0</v>
      </c>
      <c r="AI1490" s="134">
        <f>S1490+AG1490</f>
        <v>2</v>
      </c>
      <c r="AJ1490" s="65"/>
      <c r="AL1490" s="461">
        <f>SUM(F1490,H1490,J1490,L1490,N1490,P1490,T1490,V1490,X1490,Z1490,AB1490,AD1490)</f>
        <v>0</v>
      </c>
      <c r="AM1490" s="462">
        <f>AL1490-AH1490</f>
        <v>0</v>
      </c>
      <c r="AO1490" s="692"/>
      <c r="AP1490" s="692"/>
      <c r="AV1490" s="56"/>
    </row>
    <row r="1491" spans="1:48" ht="13.5" customHeight="1" outlineLevel="2" thickBot="1">
      <c r="A1491" s="73"/>
      <c r="B1491" s="82"/>
      <c r="C1491" s="1234"/>
      <c r="D1491" s="1234"/>
      <c r="E1491" s="84" t="str">
        <f>'Terms and Turnovers'!$AD$12</f>
        <v>ACCESSORIES</v>
      </c>
      <c r="F1491" s="120">
        <f>$R1491*G1491</f>
        <v>0</v>
      </c>
      <c r="G1491" s="723"/>
      <c r="H1491" s="120">
        <f>$R1491*I1491</f>
        <v>0</v>
      </c>
      <c r="I1491" s="69">
        <v>0</v>
      </c>
      <c r="J1491" s="120">
        <f>$R1491*K1491</f>
        <v>0</v>
      </c>
      <c r="K1491" s="69">
        <v>0.4</v>
      </c>
      <c r="L1491" s="120">
        <f>$R1491*M1491</f>
        <v>0</v>
      </c>
      <c r="M1491" s="69">
        <v>0.6</v>
      </c>
      <c r="N1491" s="315">
        <f>$R1491*O1491</f>
        <v>0</v>
      </c>
      <c r="O1491" s="69">
        <v>0</v>
      </c>
      <c r="P1491" s="120">
        <f>$R1491*Q1491</f>
        <v>0</v>
      </c>
      <c r="Q1491" s="69">
        <v>0</v>
      </c>
      <c r="R1491" s="88">
        <f>'Terms and Turnovers'!AE137</f>
        <v>0</v>
      </c>
      <c r="S1491" s="161">
        <f>SUM(G1491,I1491,K1491,M1491,O1491,Q1491)</f>
        <v>1</v>
      </c>
      <c r="T1491" s="120">
        <f>$AF1491*U1491</f>
        <v>0</v>
      </c>
      <c r="U1491" s="723">
        <v>0</v>
      </c>
      <c r="V1491" s="120">
        <f>$AF1491*W1491</f>
        <v>0</v>
      </c>
      <c r="W1491" s="69">
        <v>0.4</v>
      </c>
      <c r="X1491" s="120">
        <f>$AF1491*Y1491</f>
        <v>0</v>
      </c>
      <c r="Y1491" s="69">
        <v>0.6</v>
      </c>
      <c r="Z1491" s="120">
        <f>$AF1491*AA1491</f>
        <v>0</v>
      </c>
      <c r="AA1491" s="69">
        <v>0</v>
      </c>
      <c r="AB1491" s="315">
        <f>$AF1491*AC1491</f>
        <v>0</v>
      </c>
      <c r="AC1491" s="69">
        <v>0</v>
      </c>
      <c r="AD1491" s="120">
        <f>$AF1491*AE1491</f>
        <v>0</v>
      </c>
      <c r="AE1491" s="69">
        <v>0</v>
      </c>
      <c r="AF1491" s="88">
        <f>'Terms and Turnovers'!AJ137</f>
        <v>0</v>
      </c>
      <c r="AG1491" s="161">
        <f>SUM(U1491,W1491,Y1491,AA1491,AC1491,AE1491)</f>
        <v>1</v>
      </c>
      <c r="AH1491" s="158">
        <f>SUM(R1491,AF1491)</f>
        <v>0</v>
      </c>
      <c r="AI1491" s="134">
        <f>S1491+AG1491</f>
        <v>2</v>
      </c>
      <c r="AJ1491" s="65"/>
      <c r="AL1491" s="461">
        <f>SUM(F1491,H1491,J1491,L1491,N1491,P1491,T1491,V1491,X1491,Z1491,AB1491,AD1491)</f>
        <v>0</v>
      </c>
      <c r="AM1491" s="462">
        <f>AL1491-AH1491</f>
        <v>0</v>
      </c>
      <c r="AO1491" s="692"/>
      <c r="AP1491" s="692"/>
      <c r="AV1491" s="56"/>
    </row>
    <row r="1492" spans="1:48" ht="13.5" customHeight="1" outlineLevel="2" thickBot="1">
      <c r="A1492" s="73"/>
      <c r="B1492" s="82"/>
      <c r="C1492" s="1234"/>
      <c r="D1492" s="1234"/>
      <c r="E1492" s="84">
        <f>'Terms and Turnovers'!$AN$12</f>
        <v>0</v>
      </c>
      <c r="F1492" s="120">
        <f>$R1492*G1492</f>
        <v>0</v>
      </c>
      <c r="G1492" s="723"/>
      <c r="H1492" s="120">
        <f>$R1492*I1492</f>
        <v>0</v>
      </c>
      <c r="I1492" s="69">
        <v>0</v>
      </c>
      <c r="J1492" s="120">
        <f>$R1492*K1492</f>
        <v>0</v>
      </c>
      <c r="K1492" s="69">
        <v>0.25</v>
      </c>
      <c r="L1492" s="120">
        <f>$R1492*M1492</f>
        <v>0</v>
      </c>
      <c r="M1492" s="69">
        <v>0.4</v>
      </c>
      <c r="N1492" s="315">
        <f>$R1492*O1492</f>
        <v>0</v>
      </c>
      <c r="O1492" s="69">
        <v>0.35</v>
      </c>
      <c r="P1492" s="120">
        <f>$R1492*Q1492</f>
        <v>0</v>
      </c>
      <c r="Q1492" s="69">
        <v>0</v>
      </c>
      <c r="R1492" s="88">
        <f>'Terms and Turnovers'!AO137</f>
        <v>0</v>
      </c>
      <c r="S1492" s="161">
        <f>SUM(G1492,I1492,K1492,M1492,O1492,Q1492)</f>
        <v>1</v>
      </c>
      <c r="T1492" s="120">
        <f>$AF1492*U1492</f>
        <v>0</v>
      </c>
      <c r="U1492" s="723">
        <v>0</v>
      </c>
      <c r="V1492" s="120">
        <f>$AF1492*W1492</f>
        <v>0</v>
      </c>
      <c r="W1492" s="69">
        <v>0.6</v>
      </c>
      <c r="X1492" s="120">
        <f>$AF1492*Y1492</f>
        <v>0</v>
      </c>
      <c r="Y1492" s="69">
        <v>0.4</v>
      </c>
      <c r="Z1492" s="120">
        <f>$AF1492*AA1492</f>
        <v>0</v>
      </c>
      <c r="AA1492" s="69">
        <v>0</v>
      </c>
      <c r="AB1492" s="315">
        <f>$AF1492*AC1492</f>
        <v>0</v>
      </c>
      <c r="AC1492" s="69">
        <v>0</v>
      </c>
      <c r="AD1492" s="120">
        <f>$AF1492*AE1492</f>
        <v>0</v>
      </c>
      <c r="AE1492" s="69">
        <v>0</v>
      </c>
      <c r="AF1492" s="88">
        <f>'Terms and Turnovers'!AT137</f>
        <v>0</v>
      </c>
      <c r="AG1492" s="161">
        <f>SUM(U1492,W1492,Y1492,AA1492,AC1492,AE1492)</f>
        <v>1</v>
      </c>
      <c r="AH1492" s="158">
        <f>SUM(R1492,AF1492)</f>
        <v>0</v>
      </c>
      <c r="AI1492" s="134">
        <f>S1492+AG1492</f>
        <v>2</v>
      </c>
      <c r="AJ1492" s="65"/>
      <c r="AL1492" s="461">
        <f>SUM(F1492,H1492,J1492,L1492,N1492,P1492,T1492,V1492,X1492,Z1492,AB1492,AD1492)</f>
        <v>0</v>
      </c>
      <c r="AM1492" s="462">
        <f>AL1492-AH1492</f>
        <v>0</v>
      </c>
      <c r="AO1492" s="692"/>
      <c r="AP1492" s="692"/>
      <c r="AV1492" s="56"/>
    </row>
    <row r="1493" spans="1:48" ht="13.5" customHeight="1" outlineLevel="2" thickBot="1">
      <c r="A1493" s="73"/>
      <c r="B1493" s="82"/>
      <c r="C1493" s="1235"/>
      <c r="D1493" s="1235"/>
      <c r="E1493" s="85">
        <f>'Terms and Turnovers'!$AX$12</f>
        <v>0</v>
      </c>
      <c r="F1493" s="121">
        <f>$R1493*G1493</f>
        <v>0</v>
      </c>
      <c r="G1493" s="72"/>
      <c r="H1493" s="121">
        <f>$R1493*I1493</f>
        <v>0</v>
      </c>
      <c r="I1493" s="69">
        <v>0</v>
      </c>
      <c r="J1493" s="121">
        <f>$R1493*K1493</f>
        <v>0</v>
      </c>
      <c r="K1493" s="69">
        <v>0.25</v>
      </c>
      <c r="L1493" s="121">
        <f>$R1493*M1493</f>
        <v>0</v>
      </c>
      <c r="M1493" s="69">
        <v>0.4</v>
      </c>
      <c r="N1493" s="316">
        <f>$R1493*O1493</f>
        <v>0</v>
      </c>
      <c r="O1493" s="69">
        <v>0.35</v>
      </c>
      <c r="P1493" s="121">
        <f>$R1493*Q1493</f>
        <v>0</v>
      </c>
      <c r="Q1493" s="69">
        <v>0</v>
      </c>
      <c r="R1493" s="89">
        <f>'Terms and Turnovers'!AY137</f>
        <v>0</v>
      </c>
      <c r="S1493" s="162">
        <f>SUM(G1493,I1493,K1493,M1493,O1493,Q1493)</f>
        <v>1</v>
      </c>
      <c r="T1493" s="121">
        <f>$AF1493*U1493</f>
        <v>0</v>
      </c>
      <c r="U1493" s="72">
        <v>0</v>
      </c>
      <c r="V1493" s="121">
        <f>$AF1493*W1493</f>
        <v>0</v>
      </c>
      <c r="W1493" s="69">
        <v>0.6</v>
      </c>
      <c r="X1493" s="121">
        <f>$AF1493*Y1493</f>
        <v>0</v>
      </c>
      <c r="Y1493" s="69">
        <v>0.4</v>
      </c>
      <c r="Z1493" s="121">
        <f>$AF1493*AA1493</f>
        <v>0</v>
      </c>
      <c r="AA1493" s="69">
        <v>0</v>
      </c>
      <c r="AB1493" s="316">
        <f>$AF1493*AC1493</f>
        <v>0</v>
      </c>
      <c r="AC1493" s="69">
        <v>0</v>
      </c>
      <c r="AD1493" s="121">
        <f>$AF1493*AE1493</f>
        <v>0</v>
      </c>
      <c r="AE1493" s="69">
        <v>0</v>
      </c>
      <c r="AF1493" s="89">
        <f>'Terms and Turnovers'!BD137</f>
        <v>0</v>
      </c>
      <c r="AG1493" s="162">
        <f>SUM(U1493,W1493,Y1493,AA1493,AC1493,AE1493)</f>
        <v>1</v>
      </c>
      <c r="AH1493" s="159">
        <f>SUM(R1493,AF1493)</f>
        <v>0</v>
      </c>
      <c r="AI1493" s="137">
        <f>S1493+AG1493</f>
        <v>2</v>
      </c>
      <c r="AJ1493" s="65"/>
      <c r="AL1493" s="461">
        <f>SUM(F1493,H1493,J1493,L1493,N1493,P1493,T1493,V1493,X1493,Z1493,AB1493,AD1493)</f>
        <v>0</v>
      </c>
      <c r="AM1493" s="462">
        <f>AL1493-AH1493</f>
        <v>0</v>
      </c>
      <c r="AO1493" s="692"/>
      <c r="AP1493" s="692"/>
      <c r="AV1493" s="56"/>
    </row>
    <row r="1494" spans="1:48" ht="13.5" customHeight="1" outlineLevel="2" thickBot="1">
      <c r="A1494" s="119"/>
      <c r="B1494" s="82"/>
      <c r="C1494" s="425"/>
      <c r="D1494" s="425"/>
      <c r="E1494" s="426"/>
      <c r="F1494" s="427">
        <f>SUM(F1489:F1493)</f>
        <v>0</v>
      </c>
      <c r="G1494" s="428"/>
      <c r="H1494" s="427">
        <f>SUM(H1489:H1493)</f>
        <v>0</v>
      </c>
      <c r="I1494" s="69"/>
      <c r="J1494" s="427">
        <f>SUM(J1489:J1493)</f>
        <v>0</v>
      </c>
      <c r="K1494" s="69"/>
      <c r="L1494" s="427">
        <f>SUM(L1489:L1493)</f>
        <v>0</v>
      </c>
      <c r="M1494" s="69"/>
      <c r="N1494" s="427">
        <f>SUM(N1489:N1493)</f>
        <v>0</v>
      </c>
      <c r="O1494" s="69"/>
      <c r="P1494" s="427">
        <f>SUM(P1489:P1493)</f>
        <v>0</v>
      </c>
      <c r="Q1494" s="69"/>
      <c r="R1494" s="429"/>
      <c r="S1494" s="430"/>
      <c r="T1494" s="427">
        <f>SUM(T1489:T1493)</f>
        <v>0</v>
      </c>
      <c r="U1494" s="428"/>
      <c r="V1494" s="427">
        <f>SUM(V1489:V1493)</f>
        <v>0</v>
      </c>
      <c r="W1494" s="69"/>
      <c r="X1494" s="427">
        <f>SUM(X1489:X1493)</f>
        <v>27437.999999999996</v>
      </c>
      <c r="Y1494" s="69"/>
      <c r="Z1494" s="427">
        <f>SUM(Z1489:Z1493)</f>
        <v>0</v>
      </c>
      <c r="AA1494" s="69"/>
      <c r="AB1494" s="427">
        <f>SUM(AB1489:AB1493)</f>
        <v>0</v>
      </c>
      <c r="AC1494" s="69"/>
      <c r="AD1494" s="427">
        <f>SUM(AD1489:AD1493)</f>
        <v>0</v>
      </c>
      <c r="AE1494" s="69"/>
      <c r="AF1494" s="429"/>
      <c r="AG1494" s="430"/>
      <c r="AH1494" s="431"/>
      <c r="AI1494" s="432"/>
      <c r="AJ1494" s="65"/>
      <c r="AO1494" s="692"/>
      <c r="AP1494" s="692"/>
      <c r="AV1494" s="56"/>
    </row>
    <row r="1495" spans="1:48" ht="13.5" customHeight="1" outlineLevel="2" collapsed="1" thickBot="1">
      <c r="A1495" s="119"/>
      <c r="B1495" s="82"/>
      <c r="C1495" s="433" t="s">
        <v>484</v>
      </c>
      <c r="D1495" s="433" t="str">
        <f>D1489</f>
        <v>ИП Щербакова Полина Леонидовна</v>
      </c>
      <c r="E1495" s="426"/>
      <c r="F1495" s="434">
        <f>AN1495</f>
        <v>0</v>
      </c>
      <c r="G1495" s="428"/>
      <c r="H1495" s="434">
        <f>H1494</f>
        <v>0</v>
      </c>
      <c r="I1495" s="69"/>
      <c r="J1495" s="434"/>
      <c r="K1495" s="69"/>
      <c r="L1495" s="434">
        <f>J1494/2</f>
        <v>0</v>
      </c>
      <c r="M1495" s="69"/>
      <c r="N1495" s="434">
        <f>L1494/2+L1495</f>
        <v>0</v>
      </c>
      <c r="O1495" s="69"/>
      <c r="P1495" s="434">
        <f>L1494/2+N1494/2</f>
        <v>0</v>
      </c>
      <c r="Q1495" s="69"/>
      <c r="R1495" s="429"/>
      <c r="S1495" s="430"/>
      <c r="T1495" s="434">
        <f>N1494/2</f>
        <v>0</v>
      </c>
      <c r="U1495" s="428">
        <f>Q1494</f>
        <v>0</v>
      </c>
      <c r="V1495" s="434"/>
      <c r="W1495" s="69">
        <f>S1494</f>
        <v>0</v>
      </c>
      <c r="X1495" s="434">
        <f>X1494</f>
        <v>27437.999999999996</v>
      </c>
      <c r="Y1495" s="69">
        <f>U1494</f>
        <v>0</v>
      </c>
      <c r="Z1495" s="434">
        <v>0</v>
      </c>
      <c r="AA1495" s="69">
        <f>W1494</f>
        <v>0</v>
      </c>
      <c r="AB1495" s="434">
        <v>0</v>
      </c>
      <c r="AC1495" s="69">
        <f>Y1494</f>
        <v>0</v>
      </c>
      <c r="AD1495" s="434">
        <f>AD1494</f>
        <v>0</v>
      </c>
      <c r="AE1495" s="69"/>
      <c r="AF1495" s="429"/>
      <c r="AG1495" s="430"/>
      <c r="AH1495" s="431"/>
      <c r="AI1495" s="432"/>
      <c r="AJ1495" s="65"/>
      <c r="AN1495" s="695"/>
      <c r="AO1495" s="742"/>
      <c r="AP1495" s="742"/>
      <c r="AQ1495" s="693">
        <v>0.15</v>
      </c>
      <c r="AR1495" s="696" t="s">
        <v>485</v>
      </c>
      <c r="AS1495" s="716">
        <f>SUM(AL1489:AL1493)</f>
        <v>27437.999999999996</v>
      </c>
      <c r="AT1495" s="461">
        <f>F1495+H1495+J1495+L1495+N1495+P1495+T1495+V1495+X1495+Z1495+AB1495+AD1495</f>
        <v>27437.999999999996</v>
      </c>
      <c r="AU1495" s="745">
        <f>AT1495-AS1495</f>
        <v>0</v>
      </c>
      <c r="AV1495" s="56"/>
    </row>
    <row r="1496" spans="1:48" ht="13.5" customHeight="1" outlineLevel="1" thickBot="1">
      <c r="A1496" s="73"/>
      <c r="B1496" s="82">
        <f>B1489+1</f>
        <v>7</v>
      </c>
      <c r="C1496" s="1233">
        <f>C55</f>
        <v>0</v>
      </c>
      <c r="D1496" s="1245" t="str">
        <f>D55</f>
        <v>ЭРГО СПОРТ ООО</v>
      </c>
      <c r="E1496" s="83" t="str">
        <f>'Terms and Turnovers'!$J$12</f>
        <v>FLIP-FLOPS</v>
      </c>
      <c r="F1496" s="118">
        <f>$R1496*G1496</f>
        <v>0</v>
      </c>
      <c r="G1496" s="69"/>
      <c r="H1496" s="314">
        <f>$R1496*I1496</f>
        <v>0</v>
      </c>
      <c r="I1496" s="69">
        <v>0</v>
      </c>
      <c r="J1496" s="118">
        <f>$R1496*K1496</f>
        <v>0</v>
      </c>
      <c r="K1496" s="69">
        <v>0</v>
      </c>
      <c r="L1496" s="314">
        <f>$R1496*M1496</f>
        <v>0</v>
      </c>
      <c r="M1496" s="69">
        <v>0</v>
      </c>
      <c r="N1496" s="314">
        <f>$R1496*O1496</f>
        <v>0</v>
      </c>
      <c r="O1496" s="69">
        <v>0</v>
      </c>
      <c r="P1496" s="118">
        <f>$R1496*Q1496</f>
        <v>0</v>
      </c>
      <c r="Q1496" s="69">
        <v>1</v>
      </c>
      <c r="R1496" s="87">
        <f>'Terms and Turnovers'!K138</f>
        <v>0</v>
      </c>
      <c r="S1496" s="160">
        <f>SUM(G1496,I1496,K1496,M1496,O1496,Q1496)</f>
        <v>1</v>
      </c>
      <c r="T1496" s="118">
        <f>$AF1496*U1496</f>
        <v>0</v>
      </c>
      <c r="U1496" s="69">
        <v>0</v>
      </c>
      <c r="V1496" s="314">
        <f>$AF1496*W1496</f>
        <v>0</v>
      </c>
      <c r="W1496" s="69">
        <v>0.4</v>
      </c>
      <c r="X1496" s="118">
        <f>$AF1496*Y1496</f>
        <v>0</v>
      </c>
      <c r="Y1496" s="69">
        <v>0.4</v>
      </c>
      <c r="Z1496" s="314">
        <f>$AF1496*AA1496</f>
        <v>0</v>
      </c>
      <c r="AA1496" s="69">
        <v>0.2</v>
      </c>
      <c r="AB1496" s="314">
        <f>$AF1496*AC1496</f>
        <v>0</v>
      </c>
      <c r="AC1496" s="69">
        <v>0</v>
      </c>
      <c r="AD1496" s="118">
        <f>$AF1496*AE1496</f>
        <v>0</v>
      </c>
      <c r="AE1496" s="69">
        <v>0</v>
      </c>
      <c r="AF1496" s="87">
        <f>'Terms and Turnovers'!P138</f>
        <v>0</v>
      </c>
      <c r="AG1496" s="160">
        <f>SUM(U1496,W1496,Y1496,AA1496,AC1496,AE1496)</f>
        <v>1</v>
      </c>
      <c r="AH1496" s="157">
        <f>SUM(R1496,AF1496)</f>
        <v>0</v>
      </c>
      <c r="AI1496" s="131">
        <f>S1496+AG1496</f>
        <v>2</v>
      </c>
      <c r="AJ1496" s="65"/>
      <c r="AL1496" s="461">
        <f>SUM(F1496,H1496,J1496,L1496,N1496,P1496,T1496,V1496,X1496,Z1496,AB1496,AD1496)</f>
        <v>0</v>
      </c>
      <c r="AM1496" s="462">
        <f>AL1496-AH1496</f>
        <v>0</v>
      </c>
      <c r="AO1496" s="692"/>
      <c r="AP1496" s="692"/>
    </row>
    <row r="1497" spans="1:48" ht="13.5" customHeight="1" outlineLevel="1" thickBot="1">
      <c r="A1497" s="73"/>
      <c r="B1497" s="82"/>
      <c r="C1497" s="1234"/>
      <c r="D1497" s="1246"/>
      <c r="E1497" s="84" t="str">
        <f>'Terms and Turnovers'!$T$12</f>
        <v>ORIGINALS</v>
      </c>
      <c r="F1497" s="120">
        <f>$R1497*G1497</f>
        <v>0</v>
      </c>
      <c r="G1497" s="723"/>
      <c r="H1497" s="120">
        <f>$R1497*I1497</f>
        <v>0</v>
      </c>
      <c r="I1497" s="69">
        <v>0</v>
      </c>
      <c r="J1497" s="120">
        <f>$R1497*K1497</f>
        <v>0</v>
      </c>
      <c r="K1497" s="69">
        <v>0</v>
      </c>
      <c r="L1497" s="120">
        <f>$R1497*M1497</f>
        <v>0</v>
      </c>
      <c r="M1497" s="69">
        <v>0</v>
      </c>
      <c r="N1497" s="315">
        <f>$R1497*O1497</f>
        <v>0</v>
      </c>
      <c r="O1497" s="69">
        <v>0</v>
      </c>
      <c r="P1497" s="120">
        <f>$R1497*Q1497</f>
        <v>0</v>
      </c>
      <c r="Q1497" s="69">
        <v>1</v>
      </c>
      <c r="R1497" s="88">
        <f>'Terms and Turnovers'!U138</f>
        <v>0</v>
      </c>
      <c r="S1497" s="161">
        <f>SUM(G1497,I1497,K1497,M1497,O1497,Q1497)</f>
        <v>1</v>
      </c>
      <c r="T1497" s="120">
        <f>$AF1497*U1497</f>
        <v>0</v>
      </c>
      <c r="U1497" s="723">
        <v>0</v>
      </c>
      <c r="V1497" s="120">
        <f>$AF1497*W1497</f>
        <v>0</v>
      </c>
      <c r="W1497" s="69">
        <v>0.5</v>
      </c>
      <c r="X1497" s="120">
        <f>$AF1497*Y1497</f>
        <v>0</v>
      </c>
      <c r="Y1497" s="69">
        <v>0.5</v>
      </c>
      <c r="Z1497" s="120">
        <f>$AF1497*AA1497</f>
        <v>0</v>
      </c>
      <c r="AA1497" s="69">
        <v>0</v>
      </c>
      <c r="AB1497" s="315">
        <f>$AF1497*AC1497</f>
        <v>0</v>
      </c>
      <c r="AC1497" s="69">
        <v>0</v>
      </c>
      <c r="AD1497" s="120">
        <f>$AF1497*AE1497</f>
        <v>0</v>
      </c>
      <c r="AE1497" s="69">
        <v>0</v>
      </c>
      <c r="AF1497" s="88">
        <f>'Terms and Turnovers'!Z138</f>
        <v>0</v>
      </c>
      <c r="AG1497" s="161">
        <f>SUM(U1497,W1497,Y1497,AA1497,AC1497,AE1497)</f>
        <v>1</v>
      </c>
      <c r="AH1497" s="158">
        <f>SUM(R1497,AF1497)</f>
        <v>0</v>
      </c>
      <c r="AI1497" s="134">
        <f>S1497+AG1497</f>
        <v>2</v>
      </c>
      <c r="AJ1497" s="65"/>
      <c r="AL1497" s="461">
        <f>SUM(F1497,H1497,J1497,L1497,N1497,P1497,T1497,V1497,X1497,Z1497,AB1497,AD1497)</f>
        <v>0</v>
      </c>
      <c r="AM1497" s="462">
        <f>AL1497-AH1497</f>
        <v>0</v>
      </c>
      <c r="AO1497" s="692"/>
      <c r="AP1497" s="692"/>
    </row>
    <row r="1498" spans="1:48" ht="13.5" customHeight="1" outlineLevel="1" thickBot="1">
      <c r="A1498" s="73"/>
      <c r="B1498" s="82"/>
      <c r="C1498" s="1234"/>
      <c r="D1498" s="1246"/>
      <c r="E1498" s="84" t="str">
        <f>'Terms and Turnovers'!$AD$12</f>
        <v>ACCESSORIES</v>
      </c>
      <c r="F1498" s="120">
        <f>$R1498*G1498</f>
        <v>0</v>
      </c>
      <c r="G1498" s="723"/>
      <c r="H1498" s="120">
        <f>$R1498*I1498</f>
        <v>0</v>
      </c>
      <c r="I1498" s="69">
        <v>0</v>
      </c>
      <c r="J1498" s="120">
        <f>$R1498*K1498</f>
        <v>0</v>
      </c>
      <c r="K1498" s="69">
        <v>0</v>
      </c>
      <c r="L1498" s="120">
        <f>$R1498*M1498</f>
        <v>0</v>
      </c>
      <c r="M1498" s="69">
        <v>0</v>
      </c>
      <c r="N1498" s="315">
        <f>$R1498*O1498</f>
        <v>0</v>
      </c>
      <c r="O1498" s="69">
        <v>0</v>
      </c>
      <c r="P1498" s="120">
        <f>$R1498*Q1498</f>
        <v>0</v>
      </c>
      <c r="Q1498" s="69">
        <v>1</v>
      </c>
      <c r="R1498" s="88">
        <f>'Terms and Turnovers'!AE138</f>
        <v>0</v>
      </c>
      <c r="S1498" s="161">
        <f>SUM(G1498,I1498,K1498,M1498,O1498,Q1498)</f>
        <v>1</v>
      </c>
      <c r="T1498" s="120">
        <f>$AF1498*U1498</f>
        <v>0</v>
      </c>
      <c r="U1498" s="723">
        <v>0</v>
      </c>
      <c r="V1498" s="120">
        <f>$AF1498*W1498</f>
        <v>0</v>
      </c>
      <c r="W1498" s="69">
        <v>0.5</v>
      </c>
      <c r="X1498" s="120">
        <f>$AF1498*Y1498</f>
        <v>0</v>
      </c>
      <c r="Y1498" s="69">
        <v>0.5</v>
      </c>
      <c r="Z1498" s="120">
        <f>$AF1498*AA1498</f>
        <v>0</v>
      </c>
      <c r="AA1498" s="69">
        <v>0</v>
      </c>
      <c r="AB1498" s="315">
        <f>$AF1498*AC1498</f>
        <v>0</v>
      </c>
      <c r="AC1498" s="69">
        <v>0</v>
      </c>
      <c r="AD1498" s="120">
        <f>$AF1498*AE1498</f>
        <v>0</v>
      </c>
      <c r="AE1498" s="69">
        <v>0</v>
      </c>
      <c r="AF1498" s="88">
        <f>'Terms and Turnovers'!AJ138</f>
        <v>0</v>
      </c>
      <c r="AG1498" s="161">
        <f>SUM(U1498,W1498,Y1498,AA1498,AC1498,AE1498)</f>
        <v>1</v>
      </c>
      <c r="AH1498" s="158">
        <f>SUM(R1498,AF1498)</f>
        <v>0</v>
      </c>
      <c r="AI1498" s="134">
        <f>S1498+AG1498</f>
        <v>2</v>
      </c>
      <c r="AJ1498" s="65"/>
      <c r="AL1498" s="461">
        <f>SUM(F1498,H1498,J1498,L1498,N1498,P1498,T1498,V1498,X1498,Z1498,AB1498,AD1498)</f>
        <v>0</v>
      </c>
      <c r="AM1498" s="462">
        <f>AL1498-AH1498</f>
        <v>0</v>
      </c>
      <c r="AO1498" s="692"/>
      <c r="AP1498" s="692"/>
    </row>
    <row r="1499" spans="1:48" ht="13.5" customHeight="1" outlineLevel="1" thickBot="1">
      <c r="A1499" s="73"/>
      <c r="B1499" s="82"/>
      <c r="C1499" s="1234"/>
      <c r="D1499" s="1246"/>
      <c r="E1499" s="84">
        <f>'Terms and Turnovers'!$AN$12</f>
        <v>0</v>
      </c>
      <c r="F1499" s="120">
        <f>$R1499*G1499</f>
        <v>0</v>
      </c>
      <c r="G1499" s="723"/>
      <c r="H1499" s="120">
        <f>$R1499*I1499</f>
        <v>0</v>
      </c>
      <c r="I1499" s="69">
        <v>0</v>
      </c>
      <c r="J1499" s="120">
        <f>$R1499*K1499</f>
        <v>0</v>
      </c>
      <c r="K1499" s="69">
        <v>0</v>
      </c>
      <c r="L1499" s="120">
        <f>$R1499*M1499</f>
        <v>0</v>
      </c>
      <c r="M1499" s="69">
        <v>0</v>
      </c>
      <c r="N1499" s="315">
        <f>$R1499*O1499</f>
        <v>0</v>
      </c>
      <c r="O1499" s="69">
        <v>0</v>
      </c>
      <c r="P1499" s="120">
        <f>$R1499*Q1499</f>
        <v>0</v>
      </c>
      <c r="Q1499" s="69">
        <v>1</v>
      </c>
      <c r="R1499" s="88">
        <f>'Terms and Turnovers'!AO138</f>
        <v>0</v>
      </c>
      <c r="S1499" s="161">
        <f>SUM(G1499,I1499,K1499,M1499,O1499,Q1499)</f>
        <v>1</v>
      </c>
      <c r="T1499" s="120">
        <f>$AF1499*U1499</f>
        <v>0</v>
      </c>
      <c r="U1499" s="723">
        <v>0</v>
      </c>
      <c r="V1499" s="120">
        <f>$AF1499*W1499</f>
        <v>0</v>
      </c>
      <c r="W1499" s="69">
        <v>0.4</v>
      </c>
      <c r="X1499" s="120">
        <f>$AF1499*Y1499</f>
        <v>0</v>
      </c>
      <c r="Y1499" s="69">
        <v>0.4</v>
      </c>
      <c r="Z1499" s="120">
        <f>$AF1499*AA1499</f>
        <v>0</v>
      </c>
      <c r="AA1499" s="69">
        <v>0.2</v>
      </c>
      <c r="AB1499" s="315">
        <f>$AF1499*AC1499</f>
        <v>0</v>
      </c>
      <c r="AC1499" s="69">
        <v>0</v>
      </c>
      <c r="AD1499" s="120">
        <f>$AF1499*AE1499</f>
        <v>0</v>
      </c>
      <c r="AE1499" s="69">
        <v>0</v>
      </c>
      <c r="AF1499" s="88">
        <f>'Terms and Turnovers'!AT138</f>
        <v>0</v>
      </c>
      <c r="AG1499" s="161">
        <f>SUM(U1499,W1499,Y1499,AA1499,AC1499,AE1499)</f>
        <v>1</v>
      </c>
      <c r="AH1499" s="158">
        <f>SUM(R1499,AF1499)</f>
        <v>0</v>
      </c>
      <c r="AI1499" s="134">
        <f>S1499+AG1499</f>
        <v>2</v>
      </c>
      <c r="AJ1499" s="65"/>
      <c r="AL1499" s="461">
        <f>SUM(F1499,H1499,J1499,L1499,N1499,P1499,T1499,V1499,X1499,Z1499,AB1499,AD1499)</f>
        <v>0</v>
      </c>
      <c r="AM1499" s="462">
        <f>AL1499-AH1499</f>
        <v>0</v>
      </c>
      <c r="AO1499" s="692"/>
      <c r="AP1499" s="692"/>
    </row>
    <row r="1500" spans="1:48" ht="13.5" customHeight="1" outlineLevel="1" thickBot="1">
      <c r="A1500" s="73"/>
      <c r="B1500" s="82"/>
      <c r="C1500" s="1235"/>
      <c r="D1500" s="1247"/>
      <c r="E1500" s="85">
        <f>'Terms and Turnovers'!$AX$12</f>
        <v>0</v>
      </c>
      <c r="F1500" s="121">
        <f>$R1500*G1500</f>
        <v>0</v>
      </c>
      <c r="G1500" s="72"/>
      <c r="H1500" s="121">
        <f>$R1500*I1500</f>
        <v>0</v>
      </c>
      <c r="I1500" s="69">
        <v>0</v>
      </c>
      <c r="J1500" s="121">
        <f>$R1500*K1500</f>
        <v>0</v>
      </c>
      <c r="K1500" s="69">
        <v>0.25</v>
      </c>
      <c r="L1500" s="121">
        <f>$R1500*M1500</f>
        <v>0</v>
      </c>
      <c r="M1500" s="69">
        <v>0</v>
      </c>
      <c r="N1500" s="316">
        <f>$R1500*O1500</f>
        <v>0</v>
      </c>
      <c r="O1500" s="69">
        <v>0</v>
      </c>
      <c r="P1500" s="121">
        <f>$R1500*Q1500</f>
        <v>0</v>
      </c>
      <c r="Q1500" s="69">
        <v>1</v>
      </c>
      <c r="R1500" s="89">
        <f>'Terms and Turnovers'!AY138</f>
        <v>0</v>
      </c>
      <c r="S1500" s="162">
        <f>SUM(G1500,I1500,K1500,M1500,O1500,Q1500)</f>
        <v>1.25</v>
      </c>
      <c r="T1500" s="121">
        <f>$AF1500*U1500</f>
        <v>0</v>
      </c>
      <c r="U1500" s="72">
        <v>0</v>
      </c>
      <c r="V1500" s="121">
        <f>$AF1500*W1500</f>
        <v>0</v>
      </c>
      <c r="W1500" s="69">
        <v>0.4</v>
      </c>
      <c r="X1500" s="121">
        <f>$AF1500*Y1500</f>
        <v>0</v>
      </c>
      <c r="Y1500" s="69">
        <v>0.4</v>
      </c>
      <c r="Z1500" s="121">
        <f>$AF1500*AA1500</f>
        <v>0</v>
      </c>
      <c r="AA1500" s="69">
        <v>0.2</v>
      </c>
      <c r="AB1500" s="316">
        <f>$AF1500*AC1500</f>
        <v>0</v>
      </c>
      <c r="AC1500" s="69">
        <v>0</v>
      </c>
      <c r="AD1500" s="121">
        <f>$AF1500*AE1500</f>
        <v>0</v>
      </c>
      <c r="AE1500" s="69">
        <v>0</v>
      </c>
      <c r="AF1500" s="89">
        <f>'Terms and Turnovers'!BD138</f>
        <v>0</v>
      </c>
      <c r="AG1500" s="162">
        <f>SUM(U1500,W1500,Y1500,AA1500,AC1500,AE1500)</f>
        <v>1</v>
      </c>
      <c r="AH1500" s="159">
        <f>SUM(R1500,AF1500)</f>
        <v>0</v>
      </c>
      <c r="AI1500" s="137">
        <f>S1500+AG1500</f>
        <v>2.25</v>
      </c>
      <c r="AJ1500" s="65"/>
      <c r="AL1500" s="461">
        <f>SUM(F1500,H1500,J1500,L1500,N1500,P1500,T1500,V1500,X1500,Z1500,AB1500,AD1500)</f>
        <v>0</v>
      </c>
      <c r="AM1500" s="462">
        <f>AL1500-AH1500</f>
        <v>0</v>
      </c>
      <c r="AO1500" s="692"/>
      <c r="AP1500" s="692"/>
    </row>
    <row r="1501" spans="1:48" ht="13.5" customHeight="1" outlineLevel="1" thickBot="1">
      <c r="A1501" s="119"/>
      <c r="B1501" s="82"/>
      <c r="C1501" s="425"/>
      <c r="D1501" s="425"/>
      <c r="E1501" s="426"/>
      <c r="F1501" s="427">
        <f>SUM(F1496:F1500)</f>
        <v>0</v>
      </c>
      <c r="G1501" s="428"/>
      <c r="H1501" s="427">
        <f>SUM(H1496:H1500)</f>
        <v>0</v>
      </c>
      <c r="I1501" s="69"/>
      <c r="J1501" s="427">
        <f>SUM(J1496:J1500)</f>
        <v>0</v>
      </c>
      <c r="K1501" s="69"/>
      <c r="L1501" s="427">
        <f>SUM(L1496:L1500)</f>
        <v>0</v>
      </c>
      <c r="M1501" s="69"/>
      <c r="N1501" s="427">
        <f>SUM(N1496:N1500)</f>
        <v>0</v>
      </c>
      <c r="O1501" s="69"/>
      <c r="P1501" s="427">
        <f>SUM(P1496:P1500)</f>
        <v>0</v>
      </c>
      <c r="Q1501" s="69"/>
      <c r="R1501" s="429"/>
      <c r="S1501" s="430"/>
      <c r="T1501" s="427">
        <f>SUM(T1496:T1500)</f>
        <v>0</v>
      </c>
      <c r="U1501" s="428"/>
      <c r="V1501" s="427">
        <f>SUM(V1496:V1500)</f>
        <v>0</v>
      </c>
      <c r="W1501" s="69"/>
      <c r="X1501" s="427">
        <f>SUM(X1496:X1500)</f>
        <v>0</v>
      </c>
      <c r="Y1501" s="69"/>
      <c r="Z1501" s="427">
        <f>SUM(Z1496:Z1500)</f>
        <v>0</v>
      </c>
      <c r="AA1501" s="69"/>
      <c r="AB1501" s="427">
        <f>SUM(AB1496:AB1500)</f>
        <v>0</v>
      </c>
      <c r="AC1501" s="69"/>
      <c r="AD1501" s="427">
        <f>SUM(AD1496:AD1500)</f>
        <v>0</v>
      </c>
      <c r="AE1501" s="69"/>
      <c r="AF1501" s="429"/>
      <c r="AG1501" s="430"/>
      <c r="AH1501" s="431"/>
      <c r="AI1501" s="432"/>
      <c r="AJ1501" s="65"/>
      <c r="AO1501" s="692"/>
      <c r="AP1501" s="692"/>
    </row>
    <row r="1502" spans="1:48" ht="13.5" customHeight="1" outlineLevel="2" thickBot="1">
      <c r="A1502" s="119"/>
      <c r="B1502" s="82"/>
      <c r="C1502" s="433" t="s">
        <v>484</v>
      </c>
      <c r="D1502" s="433" t="str">
        <f>D1496</f>
        <v>ЭРГО СПОРТ ООО</v>
      </c>
      <c r="E1502" s="426"/>
      <c r="F1502" s="434">
        <f>AN1502</f>
        <v>0</v>
      </c>
      <c r="G1502" s="428"/>
      <c r="H1502" s="434">
        <f>H1501</f>
        <v>0</v>
      </c>
      <c r="I1502" s="69"/>
      <c r="J1502" s="434">
        <f>J1501</f>
        <v>0</v>
      </c>
      <c r="K1502" s="69"/>
      <c r="L1502" s="434">
        <f>L1501</f>
        <v>0</v>
      </c>
      <c r="M1502" s="69"/>
      <c r="N1502" s="434">
        <f>N1501</f>
        <v>0</v>
      </c>
      <c r="O1502" s="69"/>
      <c r="P1502" s="434"/>
      <c r="Q1502" s="69"/>
      <c r="R1502" s="429"/>
      <c r="S1502" s="430"/>
      <c r="T1502" s="434">
        <f>T1501</f>
        <v>0</v>
      </c>
      <c r="U1502" s="428">
        <f>Q1501</f>
        <v>0</v>
      </c>
      <c r="V1502" s="434">
        <f>V1501</f>
        <v>0</v>
      </c>
      <c r="W1502" s="69">
        <f>S1501</f>
        <v>0</v>
      </c>
      <c r="X1502" s="434">
        <f>X1501</f>
        <v>0</v>
      </c>
      <c r="Y1502" s="69">
        <f>U1501</f>
        <v>0</v>
      </c>
      <c r="Z1502" s="434">
        <f>Z1501-AN1502</f>
        <v>0</v>
      </c>
      <c r="AA1502" s="69">
        <f>W1501</f>
        <v>0</v>
      </c>
      <c r="AB1502" s="434">
        <f>AB1501</f>
        <v>0</v>
      </c>
      <c r="AC1502" s="69">
        <f>Y1501</f>
        <v>0</v>
      </c>
      <c r="AD1502" s="434">
        <f>AD1501</f>
        <v>0</v>
      </c>
      <c r="AE1502" s="69"/>
      <c r="AF1502" s="429"/>
      <c r="AG1502" s="430"/>
      <c r="AH1502" s="431"/>
      <c r="AI1502" s="432"/>
      <c r="AJ1502" s="65"/>
      <c r="AN1502" s="695">
        <f>SUM(AF1496:AF1500)*AQ1502</f>
        <v>0</v>
      </c>
      <c r="AO1502" s="742">
        <f>SUM(R1496:R1500)*AQ1502</f>
        <v>0</v>
      </c>
      <c r="AP1502" s="742"/>
      <c r="AQ1502" s="693">
        <v>0.15</v>
      </c>
      <c r="AS1502" s="716">
        <f>SUM(AL1496:AL1500)</f>
        <v>0</v>
      </c>
      <c r="AT1502" s="461">
        <f>F1502+H1502+J1502+L1502+N1502+P1502+T1502+V1502+X1502+Z1502+AB1502+AD1502</f>
        <v>0</v>
      </c>
      <c r="AU1502" s="745">
        <f>AT1502-AS1502</f>
        <v>0</v>
      </c>
      <c r="AV1502" s="56"/>
    </row>
    <row r="1503" spans="1:48" ht="13.5" customHeight="1" outlineLevel="2" thickBot="1">
      <c r="A1503" s="73"/>
      <c r="B1503" s="82">
        <f>B1496+1</f>
        <v>8</v>
      </c>
      <c r="C1503" s="1233">
        <f>C62</f>
        <v>0</v>
      </c>
      <c r="D1503" s="1233" t="str">
        <f>D62</f>
        <v>Торговый дом ЦУМ ОАО</v>
      </c>
      <c r="E1503" s="83" t="str">
        <f>'Terms and Turnovers'!$J$12</f>
        <v>FLIP-FLOPS</v>
      </c>
      <c r="F1503" s="118">
        <f>$R1503*G1503</f>
        <v>0</v>
      </c>
      <c r="G1503" s="69"/>
      <c r="H1503" s="314">
        <f>$R1503*I1503</f>
        <v>0</v>
      </c>
      <c r="I1503" s="69">
        <v>0</v>
      </c>
      <c r="J1503" s="118">
        <f>$R1503*K1503</f>
        <v>0</v>
      </c>
      <c r="K1503" s="69">
        <v>0.25</v>
      </c>
      <c r="L1503" s="314">
        <f>$R1503*M1503</f>
        <v>0</v>
      </c>
      <c r="M1503" s="69">
        <v>0.4</v>
      </c>
      <c r="N1503" s="314">
        <f>$R1503*O1503</f>
        <v>0</v>
      </c>
      <c r="O1503" s="69">
        <v>0.35</v>
      </c>
      <c r="P1503" s="118">
        <f>$R1503*Q1503</f>
        <v>0</v>
      </c>
      <c r="Q1503" s="69">
        <v>0</v>
      </c>
      <c r="R1503" s="87">
        <f>'Terms and Turnovers'!K139</f>
        <v>0</v>
      </c>
      <c r="S1503" s="160">
        <f>SUM(G1503,I1503,K1503,M1503,O1503,Q1503)</f>
        <v>1</v>
      </c>
      <c r="T1503" s="118">
        <f>$AF1503*U1503</f>
        <v>0</v>
      </c>
      <c r="U1503" s="69">
        <v>0.03</v>
      </c>
      <c r="V1503" s="314">
        <f>$AF1503*W1503</f>
        <v>0</v>
      </c>
      <c r="W1503" s="69">
        <v>0.4</v>
      </c>
      <c r="X1503" s="118">
        <f>$AF1503*Y1503</f>
        <v>0</v>
      </c>
      <c r="Y1503" s="69">
        <v>0.4</v>
      </c>
      <c r="Z1503" s="314">
        <f>$AF1503*AA1503</f>
        <v>0</v>
      </c>
      <c r="AA1503" s="69">
        <v>0.2</v>
      </c>
      <c r="AB1503" s="314">
        <f>$AF1503*AC1503</f>
        <v>0</v>
      </c>
      <c r="AC1503" s="69">
        <v>0</v>
      </c>
      <c r="AD1503" s="118">
        <f>$AF1503*AE1503</f>
        <v>0</v>
      </c>
      <c r="AE1503" s="69">
        <v>0</v>
      </c>
      <c r="AF1503" s="87">
        <f>'Terms and Turnovers'!P139</f>
        <v>0</v>
      </c>
      <c r="AG1503" s="160">
        <f>SUM(U1503,W1503,Y1503,AA1503,AC1503,AE1503)</f>
        <v>1.03</v>
      </c>
      <c r="AH1503" s="157">
        <f>SUM(R1503,AF1503)</f>
        <v>0</v>
      </c>
      <c r="AI1503" s="131">
        <f>S1503+AG1503</f>
        <v>2.0300000000000002</v>
      </c>
      <c r="AJ1503" s="65"/>
      <c r="AL1503" s="461">
        <f>SUM(F1503,H1503,J1503,L1503,N1503,P1503,T1503,V1503,X1503,Z1503,AB1503,AD1503)</f>
        <v>0</v>
      </c>
      <c r="AM1503" s="462">
        <f>AL1503-AH1503</f>
        <v>0</v>
      </c>
      <c r="AO1503" s="692"/>
      <c r="AP1503" s="692"/>
      <c r="AV1503" s="56"/>
    </row>
    <row r="1504" spans="1:48" ht="13.5" customHeight="1" outlineLevel="2" thickBot="1">
      <c r="A1504" s="73"/>
      <c r="B1504" s="82"/>
      <c r="C1504" s="1234"/>
      <c r="D1504" s="1234"/>
      <c r="E1504" s="84" t="str">
        <f>'Terms and Turnovers'!$T$12</f>
        <v>ORIGINALS</v>
      </c>
      <c r="F1504" s="120">
        <f>$R1504*G1504</f>
        <v>0</v>
      </c>
      <c r="G1504" s="723"/>
      <c r="H1504" s="120">
        <f>$R1504*I1504</f>
        <v>0</v>
      </c>
      <c r="I1504" s="69">
        <v>0</v>
      </c>
      <c r="J1504" s="120">
        <f>$R1504*K1504</f>
        <v>0</v>
      </c>
      <c r="K1504" s="69">
        <v>0.5</v>
      </c>
      <c r="L1504" s="120">
        <f>$R1504*M1504</f>
        <v>0</v>
      </c>
      <c r="M1504" s="69">
        <v>0.5</v>
      </c>
      <c r="N1504" s="315">
        <f>$R1504*O1504</f>
        <v>0</v>
      </c>
      <c r="O1504" s="69">
        <v>0</v>
      </c>
      <c r="P1504" s="120">
        <f>$R1504*Q1504</f>
        <v>0</v>
      </c>
      <c r="Q1504" s="69">
        <v>0</v>
      </c>
      <c r="R1504" s="88">
        <f>'Terms and Turnovers'!U139</f>
        <v>0</v>
      </c>
      <c r="S1504" s="161">
        <f>SUM(G1504,I1504,K1504,M1504,O1504,Q1504)</f>
        <v>1</v>
      </c>
      <c r="T1504" s="120">
        <f>$AF1504*U1504</f>
        <v>0</v>
      </c>
      <c r="U1504" s="723">
        <v>0</v>
      </c>
      <c r="V1504" s="120">
        <f>$AF1504*W1504</f>
        <v>0</v>
      </c>
      <c r="W1504" s="69">
        <v>0.5</v>
      </c>
      <c r="X1504" s="120">
        <f>$AF1504*Y1504</f>
        <v>0</v>
      </c>
      <c r="Y1504" s="69">
        <v>0.5</v>
      </c>
      <c r="Z1504" s="120">
        <f>$AF1504*AA1504</f>
        <v>0</v>
      </c>
      <c r="AA1504" s="69">
        <v>0</v>
      </c>
      <c r="AB1504" s="315">
        <f>$AF1504*AC1504</f>
        <v>0</v>
      </c>
      <c r="AC1504" s="69">
        <v>0</v>
      </c>
      <c r="AD1504" s="120">
        <f>$AF1504*AE1504</f>
        <v>0</v>
      </c>
      <c r="AE1504" s="69">
        <v>0</v>
      </c>
      <c r="AF1504" s="88">
        <f>'Terms and Turnovers'!Z139</f>
        <v>0</v>
      </c>
      <c r="AG1504" s="161">
        <f>SUM(U1504,W1504,Y1504,AA1504,AC1504,AE1504)</f>
        <v>1</v>
      </c>
      <c r="AH1504" s="158">
        <f>SUM(R1504,AF1504)</f>
        <v>0</v>
      </c>
      <c r="AI1504" s="134">
        <f>S1504+AG1504</f>
        <v>2</v>
      </c>
      <c r="AJ1504" s="65"/>
      <c r="AL1504" s="461">
        <f>SUM(F1504,H1504,J1504,L1504,N1504,P1504,T1504,V1504,X1504,Z1504,AB1504,AD1504)</f>
        <v>0</v>
      </c>
      <c r="AM1504" s="462">
        <f>AL1504-AH1504</f>
        <v>0</v>
      </c>
      <c r="AO1504" s="692"/>
      <c r="AP1504" s="692"/>
      <c r="AV1504" s="56"/>
    </row>
    <row r="1505" spans="1:48" ht="13.5" customHeight="1" outlineLevel="2" thickBot="1">
      <c r="A1505" s="73"/>
      <c r="B1505" s="82"/>
      <c r="C1505" s="1234"/>
      <c r="D1505" s="1234"/>
      <c r="E1505" s="84" t="str">
        <f>'Terms and Turnovers'!$AD$12</f>
        <v>ACCESSORIES</v>
      </c>
      <c r="F1505" s="120">
        <f>$R1505*G1505</f>
        <v>0</v>
      </c>
      <c r="G1505" s="723"/>
      <c r="H1505" s="120">
        <f>$R1505*I1505</f>
        <v>0</v>
      </c>
      <c r="I1505" s="69">
        <v>0</v>
      </c>
      <c r="J1505" s="120">
        <f>$R1505*K1505</f>
        <v>0</v>
      </c>
      <c r="K1505" s="69">
        <v>0.5</v>
      </c>
      <c r="L1505" s="120">
        <f>$R1505*M1505</f>
        <v>0</v>
      </c>
      <c r="M1505" s="69">
        <v>0.5</v>
      </c>
      <c r="N1505" s="315">
        <f>$R1505*O1505</f>
        <v>0</v>
      </c>
      <c r="O1505" s="69">
        <v>0</v>
      </c>
      <c r="P1505" s="120">
        <f>$R1505*Q1505</f>
        <v>0</v>
      </c>
      <c r="Q1505" s="69">
        <v>0</v>
      </c>
      <c r="R1505" s="88">
        <f>'Terms and Turnovers'!AE139</f>
        <v>0</v>
      </c>
      <c r="S1505" s="161">
        <f>SUM(G1505,I1505,K1505,M1505,O1505,Q1505)</f>
        <v>1</v>
      </c>
      <c r="T1505" s="120">
        <f>$AF1505*U1505</f>
        <v>0</v>
      </c>
      <c r="U1505" s="723">
        <v>0</v>
      </c>
      <c r="V1505" s="120">
        <f>$AF1505*W1505</f>
        <v>0</v>
      </c>
      <c r="W1505" s="69">
        <v>0.5</v>
      </c>
      <c r="X1505" s="120">
        <f>$AF1505*Y1505</f>
        <v>0</v>
      </c>
      <c r="Y1505" s="69">
        <v>0.5</v>
      </c>
      <c r="Z1505" s="120">
        <f>$AF1505*AA1505</f>
        <v>0</v>
      </c>
      <c r="AA1505" s="69">
        <v>0</v>
      </c>
      <c r="AB1505" s="315">
        <f>$AF1505*AC1505</f>
        <v>0</v>
      </c>
      <c r="AC1505" s="69">
        <v>0</v>
      </c>
      <c r="AD1505" s="120">
        <f>$AF1505*AE1505</f>
        <v>0</v>
      </c>
      <c r="AE1505" s="69">
        <v>0</v>
      </c>
      <c r="AF1505" s="88">
        <f>'Terms and Turnovers'!AJ139</f>
        <v>0</v>
      </c>
      <c r="AG1505" s="161">
        <f>SUM(U1505,W1505,Y1505,AA1505,AC1505,AE1505)</f>
        <v>1</v>
      </c>
      <c r="AH1505" s="158">
        <f>SUM(R1505,AF1505)</f>
        <v>0</v>
      </c>
      <c r="AI1505" s="134">
        <f>S1505+AG1505</f>
        <v>2</v>
      </c>
      <c r="AJ1505" s="65"/>
      <c r="AL1505" s="461">
        <f>SUM(F1505,H1505,J1505,L1505,N1505,P1505,T1505,V1505,X1505,Z1505,AB1505,AD1505)</f>
        <v>0</v>
      </c>
      <c r="AM1505" s="462">
        <f>AL1505-AH1505</f>
        <v>0</v>
      </c>
      <c r="AO1505" s="692"/>
      <c r="AP1505" s="692"/>
      <c r="AV1505" s="56"/>
    </row>
    <row r="1506" spans="1:48" ht="13.5" customHeight="1" outlineLevel="2" thickBot="1">
      <c r="A1506" s="73"/>
      <c r="B1506" s="82"/>
      <c r="C1506" s="1234"/>
      <c r="D1506" s="1234"/>
      <c r="E1506" s="84">
        <f>'Terms and Turnovers'!$AN$12</f>
        <v>0</v>
      </c>
      <c r="F1506" s="120">
        <f>$R1506*G1506</f>
        <v>0</v>
      </c>
      <c r="G1506" s="723"/>
      <c r="H1506" s="120">
        <f>$R1506*I1506</f>
        <v>0</v>
      </c>
      <c r="I1506" s="69">
        <v>0</v>
      </c>
      <c r="J1506" s="120">
        <f>$R1506*K1506</f>
        <v>0</v>
      </c>
      <c r="K1506" s="69">
        <v>0.25</v>
      </c>
      <c r="L1506" s="120">
        <f>$R1506*M1506</f>
        <v>0</v>
      </c>
      <c r="M1506" s="69">
        <v>0.4</v>
      </c>
      <c r="N1506" s="315">
        <f>$R1506*O1506</f>
        <v>0</v>
      </c>
      <c r="O1506" s="69">
        <v>0.35</v>
      </c>
      <c r="P1506" s="120">
        <f>$R1506*Q1506</f>
        <v>0</v>
      </c>
      <c r="Q1506" s="69">
        <v>0</v>
      </c>
      <c r="R1506" s="88">
        <f>'Terms and Turnovers'!AO139</f>
        <v>0</v>
      </c>
      <c r="S1506" s="161">
        <f>SUM(G1506,I1506,K1506,M1506,O1506,Q1506)</f>
        <v>1</v>
      </c>
      <c r="T1506" s="120">
        <f>$AF1506*U1506</f>
        <v>0</v>
      </c>
      <c r="U1506" s="723">
        <v>0</v>
      </c>
      <c r="V1506" s="120">
        <f>$AF1506*W1506</f>
        <v>0</v>
      </c>
      <c r="W1506" s="69">
        <v>0.4</v>
      </c>
      <c r="X1506" s="120">
        <f>$AF1506*Y1506</f>
        <v>0</v>
      </c>
      <c r="Y1506" s="69">
        <v>0.4</v>
      </c>
      <c r="Z1506" s="120">
        <f>$AF1506*AA1506</f>
        <v>0</v>
      </c>
      <c r="AA1506" s="69">
        <v>0.2</v>
      </c>
      <c r="AB1506" s="315">
        <f>$AF1506*AC1506</f>
        <v>0</v>
      </c>
      <c r="AC1506" s="69">
        <v>0</v>
      </c>
      <c r="AD1506" s="120">
        <f>$AF1506*AE1506</f>
        <v>0</v>
      </c>
      <c r="AE1506" s="69">
        <v>0</v>
      </c>
      <c r="AF1506" s="88">
        <f>'Terms and Turnovers'!AT139</f>
        <v>0</v>
      </c>
      <c r="AG1506" s="161">
        <f>SUM(U1506,W1506,Y1506,AA1506,AC1506,AE1506)</f>
        <v>1</v>
      </c>
      <c r="AH1506" s="158">
        <f>SUM(R1506,AF1506)</f>
        <v>0</v>
      </c>
      <c r="AI1506" s="134">
        <f>S1506+AG1506</f>
        <v>2</v>
      </c>
      <c r="AJ1506" s="65"/>
      <c r="AL1506" s="461">
        <f>SUM(F1506,H1506,J1506,L1506,N1506,P1506,T1506,V1506,X1506,Z1506,AB1506,AD1506)</f>
        <v>0</v>
      </c>
      <c r="AM1506" s="462">
        <f>AL1506-AH1506</f>
        <v>0</v>
      </c>
      <c r="AO1506" s="692"/>
      <c r="AP1506" s="692"/>
      <c r="AV1506" s="56"/>
    </row>
    <row r="1507" spans="1:48" ht="13.5" customHeight="1" outlineLevel="2" thickBot="1">
      <c r="A1507" s="73"/>
      <c r="B1507" s="82"/>
      <c r="C1507" s="1235"/>
      <c r="D1507" s="1235"/>
      <c r="E1507" s="85">
        <f>'Terms and Turnovers'!$AX$12</f>
        <v>0</v>
      </c>
      <c r="F1507" s="121">
        <f>$R1507*G1507</f>
        <v>0</v>
      </c>
      <c r="G1507" s="72"/>
      <c r="H1507" s="121">
        <f>$R1507*I1507</f>
        <v>0</v>
      </c>
      <c r="I1507" s="69">
        <v>0</v>
      </c>
      <c r="J1507" s="121">
        <f>$R1507*K1507</f>
        <v>0</v>
      </c>
      <c r="K1507" s="69">
        <v>0.25</v>
      </c>
      <c r="L1507" s="121">
        <f>$R1507*M1507</f>
        <v>0</v>
      </c>
      <c r="M1507" s="69">
        <v>0.4</v>
      </c>
      <c r="N1507" s="316">
        <f>$R1507*O1507</f>
        <v>0</v>
      </c>
      <c r="O1507" s="69">
        <v>0.35</v>
      </c>
      <c r="P1507" s="121">
        <f>$R1507*Q1507</f>
        <v>0</v>
      </c>
      <c r="Q1507" s="69">
        <v>0</v>
      </c>
      <c r="R1507" s="89">
        <f>'Terms and Turnovers'!AY139</f>
        <v>0</v>
      </c>
      <c r="S1507" s="162">
        <f>SUM(G1507,I1507,K1507,M1507,O1507,Q1507)</f>
        <v>1</v>
      </c>
      <c r="T1507" s="121">
        <f>$AF1507*U1507</f>
        <v>0</v>
      </c>
      <c r="U1507" s="72">
        <v>0</v>
      </c>
      <c r="V1507" s="121">
        <f>$AF1507*W1507</f>
        <v>0</v>
      </c>
      <c r="W1507" s="69">
        <v>0.4</v>
      </c>
      <c r="X1507" s="121">
        <f>$AF1507*Y1507</f>
        <v>0</v>
      </c>
      <c r="Y1507" s="69">
        <v>0.4</v>
      </c>
      <c r="Z1507" s="121">
        <f>$AF1507*AA1507</f>
        <v>0</v>
      </c>
      <c r="AA1507" s="69">
        <v>0.2</v>
      </c>
      <c r="AB1507" s="316">
        <f>$AF1507*AC1507</f>
        <v>0</v>
      </c>
      <c r="AC1507" s="69">
        <v>0</v>
      </c>
      <c r="AD1507" s="121">
        <f>$AF1507*AE1507</f>
        <v>0</v>
      </c>
      <c r="AE1507" s="69">
        <v>0</v>
      </c>
      <c r="AF1507" s="89">
        <f>'Terms and Turnovers'!BD139</f>
        <v>0</v>
      </c>
      <c r="AG1507" s="162">
        <f>SUM(U1507,W1507,Y1507,AA1507,AC1507,AE1507)</f>
        <v>1</v>
      </c>
      <c r="AH1507" s="159">
        <f>SUM(R1507,AF1507)</f>
        <v>0</v>
      </c>
      <c r="AI1507" s="137">
        <f>S1507+AG1507</f>
        <v>2</v>
      </c>
      <c r="AJ1507" s="65"/>
      <c r="AL1507" s="461">
        <f>SUM(F1507,H1507,J1507,L1507,N1507,P1507,T1507,V1507,X1507,Z1507,AB1507,AD1507)</f>
        <v>0</v>
      </c>
      <c r="AM1507" s="462">
        <f>AL1507-AH1507</f>
        <v>0</v>
      </c>
      <c r="AO1507" s="692"/>
      <c r="AP1507" s="692"/>
      <c r="AV1507" s="56"/>
    </row>
    <row r="1508" spans="1:48" ht="13.5" customHeight="1" outlineLevel="2" thickBot="1">
      <c r="A1508" s="119"/>
      <c r="B1508" s="82"/>
      <c r="C1508" s="425"/>
      <c r="D1508" s="425"/>
      <c r="E1508" s="426"/>
      <c r="F1508" s="427">
        <f>SUM(F1503:F1507)</f>
        <v>0</v>
      </c>
      <c r="G1508" s="428"/>
      <c r="H1508" s="427">
        <f>SUM(H1503:H1507)</f>
        <v>0</v>
      </c>
      <c r="I1508" s="69"/>
      <c r="J1508" s="427">
        <f>SUM(J1503:J1507)</f>
        <v>0</v>
      </c>
      <c r="K1508" s="69"/>
      <c r="L1508" s="427">
        <f>SUM(L1503:L1507)</f>
        <v>0</v>
      </c>
      <c r="M1508" s="69"/>
      <c r="N1508" s="427">
        <f>SUM(N1503:N1507)</f>
        <v>0</v>
      </c>
      <c r="O1508" s="69"/>
      <c r="P1508" s="427">
        <f>SUM(P1503:P1507)</f>
        <v>0</v>
      </c>
      <c r="Q1508" s="69"/>
      <c r="R1508" s="429"/>
      <c r="S1508" s="430"/>
      <c r="T1508" s="427">
        <f>SUM(T1503:T1507)</f>
        <v>0</v>
      </c>
      <c r="U1508" s="428"/>
      <c r="V1508" s="427">
        <f>SUM(V1503:V1507)</f>
        <v>0</v>
      </c>
      <c r="W1508" s="69"/>
      <c r="X1508" s="427">
        <f>SUM(X1503:X1507)</f>
        <v>0</v>
      </c>
      <c r="Y1508" s="69"/>
      <c r="Z1508" s="427">
        <f>SUM(Z1503:Z1507)</f>
        <v>0</v>
      </c>
      <c r="AA1508" s="69"/>
      <c r="AB1508" s="427">
        <f>SUM(AB1503:AB1507)</f>
        <v>0</v>
      </c>
      <c r="AC1508" s="69"/>
      <c r="AD1508" s="427">
        <f>SUM(AD1503:AD1507)</f>
        <v>0</v>
      </c>
      <c r="AE1508" s="69"/>
      <c r="AF1508" s="429"/>
      <c r="AG1508" s="430"/>
      <c r="AH1508" s="431"/>
      <c r="AI1508" s="432"/>
      <c r="AJ1508" s="65"/>
      <c r="AO1508" s="692"/>
      <c r="AP1508" s="692"/>
      <c r="AV1508" s="56"/>
    </row>
    <row r="1509" spans="1:48" ht="13.5" customHeight="1" outlineLevel="2" thickBot="1">
      <c r="A1509" s="119"/>
      <c r="B1509" s="82"/>
      <c r="C1509" s="433" t="s">
        <v>484</v>
      </c>
      <c r="D1509" s="433" t="str">
        <f>D1503</f>
        <v>Торговый дом ЦУМ ОАО</v>
      </c>
      <c r="E1509" s="426"/>
      <c r="F1509" s="434">
        <f>AN1509</f>
        <v>0</v>
      </c>
      <c r="G1509" s="428"/>
      <c r="H1509" s="434">
        <f>H1508</f>
        <v>0</v>
      </c>
      <c r="I1509" s="69"/>
      <c r="J1509" s="434">
        <f>J1508</f>
        <v>0</v>
      </c>
      <c r="K1509" s="69"/>
      <c r="L1509" s="434">
        <f>L1508</f>
        <v>0</v>
      </c>
      <c r="M1509" s="69"/>
      <c r="N1509" s="434">
        <f>N1508-AO1509</f>
        <v>0</v>
      </c>
      <c r="O1509" s="69"/>
      <c r="P1509" s="434">
        <f>P1508</f>
        <v>0</v>
      </c>
      <c r="Q1509" s="69"/>
      <c r="R1509" s="429"/>
      <c r="S1509" s="430"/>
      <c r="T1509" s="434">
        <f>AO1509</f>
        <v>0</v>
      </c>
      <c r="U1509" s="428">
        <f>U1503</f>
        <v>0.03</v>
      </c>
      <c r="V1509" s="434">
        <f>V1508</f>
        <v>0</v>
      </c>
      <c r="W1509" s="69">
        <f>W1508</f>
        <v>0</v>
      </c>
      <c r="X1509" s="434">
        <f>X1508</f>
        <v>0</v>
      </c>
      <c r="Y1509" s="69">
        <f>Y1508</f>
        <v>0</v>
      </c>
      <c r="Z1509" s="434">
        <f>Z1508-AN1509</f>
        <v>0</v>
      </c>
      <c r="AA1509" s="69">
        <f>AA1508</f>
        <v>0</v>
      </c>
      <c r="AB1509" s="434">
        <f>AB1508</f>
        <v>0</v>
      </c>
      <c r="AC1509" s="69">
        <f>AC1508</f>
        <v>0</v>
      </c>
      <c r="AD1509" s="434">
        <f>AD1508</f>
        <v>0</v>
      </c>
      <c r="AE1509" s="69"/>
      <c r="AF1509" s="429"/>
      <c r="AG1509" s="430"/>
      <c r="AH1509" s="431"/>
      <c r="AI1509" s="432"/>
      <c r="AJ1509" s="65"/>
      <c r="AN1509" s="695">
        <f>SUM(AF1503:AF1507)*AQ1509</f>
        <v>0</v>
      </c>
      <c r="AO1509" s="742">
        <f>SUM(R1503:R1507)*AQ1509</f>
        <v>0</v>
      </c>
      <c r="AP1509" s="742"/>
      <c r="AQ1509" s="693">
        <v>0.15</v>
      </c>
      <c r="AS1509" s="716">
        <f>SUM(AL1503:AL1507)</f>
        <v>0</v>
      </c>
      <c r="AT1509" s="461">
        <f>F1509+H1509+J1509+L1509+N1509+P1509+T1509+V1509+X1509+Z1509+AB1509+AD1509</f>
        <v>0</v>
      </c>
      <c r="AU1509" s="745">
        <f>AT1509-AS1509</f>
        <v>0</v>
      </c>
      <c r="AV1509" s="56"/>
    </row>
    <row r="1510" spans="1:48" ht="13.5" customHeight="1" outlineLevel="2" thickBot="1">
      <c r="A1510" s="73"/>
      <c r="B1510" s="82">
        <f>B1503+1</f>
        <v>9</v>
      </c>
      <c r="C1510" s="1233">
        <f>C69</f>
        <v>0</v>
      </c>
      <c r="D1510" s="1233" t="str">
        <f>D69</f>
        <v>ОФФПРАЙС ООО</v>
      </c>
      <c r="E1510" s="83" t="str">
        <f>'Terms and Turnovers'!$J$12</f>
        <v>FLIP-FLOPS</v>
      </c>
      <c r="F1510" s="118">
        <f>$R1510*G1510</f>
        <v>0</v>
      </c>
      <c r="G1510" s="69"/>
      <c r="H1510" s="314">
        <f>$R1510*I1510</f>
        <v>0</v>
      </c>
      <c r="I1510" s="69">
        <v>0</v>
      </c>
      <c r="J1510" s="118">
        <f>$R1510*K1510</f>
        <v>0</v>
      </c>
      <c r="K1510" s="69">
        <v>0.25</v>
      </c>
      <c r="L1510" s="314">
        <f>$R1510*M1510</f>
        <v>0</v>
      </c>
      <c r="M1510" s="69">
        <v>0.4</v>
      </c>
      <c r="N1510" s="314">
        <f>$R1510*O1510</f>
        <v>0</v>
      </c>
      <c r="O1510" s="69">
        <v>0.35</v>
      </c>
      <c r="P1510" s="118">
        <f>$R1510*Q1510</f>
        <v>0</v>
      </c>
      <c r="Q1510" s="69">
        <v>0</v>
      </c>
      <c r="R1510" s="87">
        <f>'Terms and Turnovers'!K140</f>
        <v>0</v>
      </c>
      <c r="S1510" s="160">
        <f>SUM(G1510,I1510,K1510,M1510,O1510,Q1510)</f>
        <v>1</v>
      </c>
      <c r="T1510" s="118">
        <f>$AF1510*U1510</f>
        <v>0</v>
      </c>
      <c r="U1510" s="69">
        <v>0</v>
      </c>
      <c r="V1510" s="314">
        <f>$AF1510*W1510</f>
        <v>0</v>
      </c>
      <c r="W1510" s="69">
        <v>0.4</v>
      </c>
      <c r="X1510" s="118">
        <f>$AF1510*Y1510</f>
        <v>0</v>
      </c>
      <c r="Y1510" s="69">
        <v>0.4</v>
      </c>
      <c r="Z1510" s="314">
        <f>$AF1510*AA1510</f>
        <v>0</v>
      </c>
      <c r="AA1510" s="69">
        <v>0.2</v>
      </c>
      <c r="AB1510" s="314">
        <f>$AF1510*AC1510</f>
        <v>0</v>
      </c>
      <c r="AC1510" s="69">
        <v>0</v>
      </c>
      <c r="AD1510" s="118">
        <f>$AF1510*AE1510</f>
        <v>0</v>
      </c>
      <c r="AE1510" s="69">
        <v>0</v>
      </c>
      <c r="AF1510" s="87">
        <f>'Terms and Turnovers'!P140</f>
        <v>0</v>
      </c>
      <c r="AG1510" s="160">
        <f>SUM(U1510,W1510,Y1510,AA1510,AC1510,AE1510)</f>
        <v>1</v>
      </c>
      <c r="AH1510" s="157">
        <f>SUM(R1510,AF1510)</f>
        <v>0</v>
      </c>
      <c r="AI1510" s="131">
        <f>S1510+AG1510</f>
        <v>2</v>
      </c>
      <c r="AJ1510" s="65"/>
      <c r="AL1510" s="461">
        <f>SUM(F1510,H1510,J1510,L1510,N1510,P1510,T1510,V1510,X1510,Z1510,AB1510,AD1510)</f>
        <v>0</v>
      </c>
      <c r="AM1510" s="462">
        <f>AL1510-AH1510</f>
        <v>0</v>
      </c>
      <c r="AO1510" s="692"/>
      <c r="AP1510" s="692"/>
      <c r="AV1510" s="56"/>
    </row>
    <row r="1511" spans="1:48" ht="13.5" customHeight="1" outlineLevel="2" thickBot="1">
      <c r="A1511" s="73"/>
      <c r="B1511" s="82"/>
      <c r="C1511" s="1234"/>
      <c r="D1511" s="1234"/>
      <c r="E1511" s="84" t="str">
        <f>'Terms and Turnovers'!$T$12</f>
        <v>ORIGINALS</v>
      </c>
      <c r="F1511" s="120">
        <f>$R1511*G1511</f>
        <v>0</v>
      </c>
      <c r="G1511" s="723"/>
      <c r="H1511" s="120">
        <f>$R1511*I1511</f>
        <v>0</v>
      </c>
      <c r="I1511" s="69">
        <v>0</v>
      </c>
      <c r="J1511" s="120">
        <f>$R1511*K1511</f>
        <v>0</v>
      </c>
      <c r="K1511" s="69">
        <v>0.25</v>
      </c>
      <c r="L1511" s="120">
        <f>$R1511*M1511</f>
        <v>0</v>
      </c>
      <c r="M1511" s="69">
        <v>0.4</v>
      </c>
      <c r="N1511" s="315">
        <f>$R1511*O1511</f>
        <v>0</v>
      </c>
      <c r="O1511" s="69">
        <v>0.35</v>
      </c>
      <c r="P1511" s="120">
        <f>$R1511*Q1511</f>
        <v>0</v>
      </c>
      <c r="Q1511" s="69">
        <v>0</v>
      </c>
      <c r="R1511" s="88">
        <f>'Terms and Turnovers'!U140</f>
        <v>0</v>
      </c>
      <c r="S1511" s="161">
        <f>SUM(G1511,I1511,K1511,M1511,O1511,Q1511)</f>
        <v>1</v>
      </c>
      <c r="T1511" s="120">
        <f>$AF1511*U1511</f>
        <v>0</v>
      </c>
      <c r="U1511" s="723">
        <v>0</v>
      </c>
      <c r="V1511" s="120">
        <f>$AF1511*W1511</f>
        <v>0</v>
      </c>
      <c r="W1511" s="69">
        <v>0.5</v>
      </c>
      <c r="X1511" s="120">
        <f>$AF1511*Y1511</f>
        <v>0</v>
      </c>
      <c r="Y1511" s="69">
        <v>0.5</v>
      </c>
      <c r="Z1511" s="120">
        <f>$AF1511*AA1511</f>
        <v>0</v>
      </c>
      <c r="AA1511" s="69">
        <v>0</v>
      </c>
      <c r="AB1511" s="315">
        <f>$AF1511*AC1511</f>
        <v>0</v>
      </c>
      <c r="AC1511" s="69">
        <v>0</v>
      </c>
      <c r="AD1511" s="120">
        <f>$AF1511*AE1511</f>
        <v>0</v>
      </c>
      <c r="AE1511" s="69">
        <v>0</v>
      </c>
      <c r="AF1511" s="88">
        <f>'Terms and Turnovers'!Z140</f>
        <v>0</v>
      </c>
      <c r="AG1511" s="161">
        <f>SUM(U1511,W1511,Y1511,AA1511,AC1511,AE1511)</f>
        <v>1</v>
      </c>
      <c r="AH1511" s="158">
        <f>SUM(R1511,AF1511)</f>
        <v>0</v>
      </c>
      <c r="AI1511" s="134">
        <f>S1511+AG1511</f>
        <v>2</v>
      </c>
      <c r="AJ1511" s="65"/>
      <c r="AL1511" s="461">
        <f>SUM(F1511,H1511,J1511,L1511,N1511,P1511,T1511,V1511,X1511,Z1511,AB1511,AD1511)</f>
        <v>0</v>
      </c>
      <c r="AM1511" s="462">
        <f>AL1511-AH1511</f>
        <v>0</v>
      </c>
      <c r="AO1511" s="692"/>
      <c r="AP1511" s="692"/>
      <c r="AV1511" s="56"/>
    </row>
    <row r="1512" spans="1:48" ht="13.5" customHeight="1" outlineLevel="2" thickBot="1">
      <c r="A1512" s="73"/>
      <c r="B1512" s="82"/>
      <c r="C1512" s="1234"/>
      <c r="D1512" s="1234"/>
      <c r="E1512" s="84" t="str">
        <f>'Terms and Turnovers'!$AD$12</f>
        <v>ACCESSORIES</v>
      </c>
      <c r="F1512" s="120">
        <f>$R1512*G1512</f>
        <v>0</v>
      </c>
      <c r="G1512" s="723"/>
      <c r="H1512" s="120">
        <f>$R1512*I1512</f>
        <v>0</v>
      </c>
      <c r="I1512" s="69">
        <v>0</v>
      </c>
      <c r="J1512" s="120">
        <f>$R1512*K1512</f>
        <v>0</v>
      </c>
      <c r="K1512" s="69">
        <v>0.25</v>
      </c>
      <c r="L1512" s="120">
        <f>$R1512*M1512</f>
        <v>0</v>
      </c>
      <c r="M1512" s="69">
        <v>0.4</v>
      </c>
      <c r="N1512" s="315">
        <f>$R1512*O1512</f>
        <v>0</v>
      </c>
      <c r="O1512" s="69">
        <v>0.35</v>
      </c>
      <c r="P1512" s="120">
        <f>$R1512*Q1512</f>
        <v>0</v>
      </c>
      <c r="Q1512" s="69">
        <v>0</v>
      </c>
      <c r="R1512" s="88">
        <f>'Terms and Turnovers'!AE140</f>
        <v>0</v>
      </c>
      <c r="S1512" s="161">
        <f>SUM(G1512,I1512,K1512,M1512,O1512,Q1512)</f>
        <v>1</v>
      </c>
      <c r="T1512" s="120">
        <f>$AF1512*U1512</f>
        <v>0</v>
      </c>
      <c r="U1512" s="723">
        <v>0</v>
      </c>
      <c r="V1512" s="120">
        <f>$AF1512*W1512</f>
        <v>0</v>
      </c>
      <c r="W1512" s="69">
        <v>0.5</v>
      </c>
      <c r="X1512" s="120">
        <f>$AF1512*Y1512</f>
        <v>0</v>
      </c>
      <c r="Y1512" s="69">
        <v>0.5</v>
      </c>
      <c r="Z1512" s="120">
        <f>$AF1512*AA1512</f>
        <v>0</v>
      </c>
      <c r="AA1512" s="69">
        <v>0</v>
      </c>
      <c r="AB1512" s="315">
        <f>$AF1512*AC1512</f>
        <v>0</v>
      </c>
      <c r="AC1512" s="69">
        <v>0</v>
      </c>
      <c r="AD1512" s="120">
        <f>$AF1512*AE1512</f>
        <v>0</v>
      </c>
      <c r="AE1512" s="69">
        <v>0</v>
      </c>
      <c r="AF1512" s="88">
        <f>'Terms and Turnovers'!AJ140</f>
        <v>0</v>
      </c>
      <c r="AG1512" s="161">
        <f>SUM(U1512,W1512,Y1512,AA1512,AC1512,AE1512)</f>
        <v>1</v>
      </c>
      <c r="AH1512" s="158">
        <f>SUM(R1512,AF1512)</f>
        <v>0</v>
      </c>
      <c r="AI1512" s="134">
        <f>S1512+AG1512</f>
        <v>2</v>
      </c>
      <c r="AJ1512" s="65"/>
      <c r="AL1512" s="461">
        <f>SUM(F1512,H1512,J1512,L1512,N1512,P1512,T1512,V1512,X1512,Z1512,AB1512,AD1512)</f>
        <v>0</v>
      </c>
      <c r="AM1512" s="462">
        <f>AL1512-AH1512</f>
        <v>0</v>
      </c>
      <c r="AO1512" s="692"/>
      <c r="AP1512" s="692"/>
      <c r="AV1512" s="56"/>
    </row>
    <row r="1513" spans="1:48" ht="13.5" customHeight="1" outlineLevel="2" thickBot="1">
      <c r="A1513" s="73"/>
      <c r="B1513" s="82"/>
      <c r="C1513" s="1234"/>
      <c r="D1513" s="1234"/>
      <c r="E1513" s="84">
        <f>'Terms and Turnovers'!$AN$12</f>
        <v>0</v>
      </c>
      <c r="F1513" s="120">
        <f>$R1513*G1513</f>
        <v>0</v>
      </c>
      <c r="G1513" s="723"/>
      <c r="H1513" s="120">
        <f>$R1513*I1513</f>
        <v>0</v>
      </c>
      <c r="I1513" s="69">
        <v>0</v>
      </c>
      <c r="J1513" s="120">
        <f>$R1513*K1513</f>
        <v>0</v>
      </c>
      <c r="K1513" s="69">
        <v>0.25</v>
      </c>
      <c r="L1513" s="120">
        <f>$R1513*M1513</f>
        <v>0</v>
      </c>
      <c r="M1513" s="69">
        <v>0.4</v>
      </c>
      <c r="N1513" s="315">
        <f>$R1513*O1513</f>
        <v>0</v>
      </c>
      <c r="O1513" s="69">
        <v>0.35</v>
      </c>
      <c r="P1513" s="120">
        <f>$R1513*Q1513</f>
        <v>0</v>
      </c>
      <c r="Q1513" s="69">
        <v>0</v>
      </c>
      <c r="R1513" s="88">
        <f>'Terms and Turnovers'!AO140</f>
        <v>0</v>
      </c>
      <c r="S1513" s="161">
        <f>SUM(G1513,I1513,K1513,M1513,O1513,Q1513)</f>
        <v>1</v>
      </c>
      <c r="T1513" s="120">
        <f>$AF1513*U1513</f>
        <v>0</v>
      </c>
      <c r="U1513" s="723">
        <v>0</v>
      </c>
      <c r="V1513" s="120">
        <f>$AF1513*W1513</f>
        <v>0</v>
      </c>
      <c r="W1513" s="69">
        <v>0.4</v>
      </c>
      <c r="X1513" s="120">
        <f>$AF1513*Y1513</f>
        <v>0</v>
      </c>
      <c r="Y1513" s="69">
        <v>0.4</v>
      </c>
      <c r="Z1513" s="120">
        <f>$AF1513*AA1513</f>
        <v>0</v>
      </c>
      <c r="AA1513" s="69">
        <v>0.2</v>
      </c>
      <c r="AB1513" s="315">
        <f>$AF1513*AC1513</f>
        <v>0</v>
      </c>
      <c r="AC1513" s="69">
        <v>0</v>
      </c>
      <c r="AD1513" s="120">
        <f>$AF1513*AE1513</f>
        <v>0</v>
      </c>
      <c r="AE1513" s="69">
        <v>0</v>
      </c>
      <c r="AF1513" s="88">
        <f>'Terms and Turnovers'!AT140</f>
        <v>0</v>
      </c>
      <c r="AG1513" s="161">
        <f>SUM(U1513,W1513,Y1513,AA1513,AC1513,AE1513)</f>
        <v>1</v>
      </c>
      <c r="AH1513" s="158">
        <f>SUM(R1513,AF1513)</f>
        <v>0</v>
      </c>
      <c r="AI1513" s="134">
        <f>S1513+AG1513</f>
        <v>2</v>
      </c>
      <c r="AJ1513" s="65"/>
      <c r="AL1513" s="461">
        <f>SUM(F1513,H1513,J1513,L1513,N1513,P1513,T1513,V1513,X1513,Z1513,AB1513,AD1513)</f>
        <v>0</v>
      </c>
      <c r="AM1513" s="462">
        <f>AL1513-AH1513</f>
        <v>0</v>
      </c>
      <c r="AO1513" s="692"/>
      <c r="AP1513" s="692"/>
      <c r="AV1513" s="56"/>
    </row>
    <row r="1514" spans="1:48" ht="13.5" customHeight="1" outlineLevel="2" thickBot="1">
      <c r="A1514" s="73"/>
      <c r="B1514" s="82"/>
      <c r="C1514" s="1235"/>
      <c r="D1514" s="1235"/>
      <c r="E1514" s="85">
        <f>'Terms and Turnovers'!$AX$12</f>
        <v>0</v>
      </c>
      <c r="F1514" s="121">
        <f>$R1514*G1514</f>
        <v>0</v>
      </c>
      <c r="G1514" s="72"/>
      <c r="H1514" s="121">
        <f>$R1514*I1514</f>
        <v>0</v>
      </c>
      <c r="I1514" s="69">
        <v>0</v>
      </c>
      <c r="J1514" s="121">
        <f>$R1514*K1514</f>
        <v>0</v>
      </c>
      <c r="K1514" s="69">
        <v>0.25</v>
      </c>
      <c r="L1514" s="121">
        <f>$R1514*M1514</f>
        <v>0</v>
      </c>
      <c r="M1514" s="69">
        <v>0.4</v>
      </c>
      <c r="N1514" s="316">
        <f>$R1514*O1514</f>
        <v>0</v>
      </c>
      <c r="O1514" s="69">
        <v>0.35</v>
      </c>
      <c r="P1514" s="121">
        <f>$R1514*Q1514</f>
        <v>0</v>
      </c>
      <c r="Q1514" s="69">
        <v>0</v>
      </c>
      <c r="R1514" s="89">
        <f>'Terms and Turnovers'!AY140</f>
        <v>0</v>
      </c>
      <c r="S1514" s="162">
        <f>SUM(G1514,I1514,K1514,M1514,O1514,Q1514)</f>
        <v>1</v>
      </c>
      <c r="T1514" s="121">
        <f>$AF1514*U1514</f>
        <v>0</v>
      </c>
      <c r="U1514" s="72">
        <v>0</v>
      </c>
      <c r="V1514" s="121">
        <f>$AF1514*W1514</f>
        <v>0</v>
      </c>
      <c r="W1514" s="69">
        <v>0.4</v>
      </c>
      <c r="X1514" s="121">
        <f>$AF1514*Y1514</f>
        <v>0</v>
      </c>
      <c r="Y1514" s="69">
        <v>0.4</v>
      </c>
      <c r="Z1514" s="121">
        <f>$AF1514*AA1514</f>
        <v>0</v>
      </c>
      <c r="AA1514" s="69">
        <v>0.2</v>
      </c>
      <c r="AB1514" s="316">
        <f>$AF1514*AC1514</f>
        <v>0</v>
      </c>
      <c r="AC1514" s="69">
        <v>0</v>
      </c>
      <c r="AD1514" s="121">
        <f>$AF1514*AE1514</f>
        <v>0</v>
      </c>
      <c r="AE1514" s="69">
        <v>0</v>
      </c>
      <c r="AF1514" s="89">
        <f>'Terms and Turnovers'!BD140</f>
        <v>0</v>
      </c>
      <c r="AG1514" s="162">
        <f>SUM(U1514,W1514,Y1514,AA1514,AC1514,AE1514)</f>
        <v>1</v>
      </c>
      <c r="AH1514" s="159">
        <f>SUM(R1514,AF1514)</f>
        <v>0</v>
      </c>
      <c r="AI1514" s="137">
        <f>S1514+AG1514</f>
        <v>2</v>
      </c>
      <c r="AJ1514" s="65"/>
      <c r="AL1514" s="461">
        <f>SUM(F1514,H1514,J1514,L1514,N1514,P1514,T1514,V1514,X1514,Z1514,AB1514,AD1514)</f>
        <v>0</v>
      </c>
      <c r="AM1514" s="462">
        <f>AL1514-AH1514</f>
        <v>0</v>
      </c>
      <c r="AO1514" s="692"/>
      <c r="AP1514" s="692"/>
      <c r="AV1514" s="56"/>
    </row>
    <row r="1515" spans="1:48" ht="13.5" customHeight="1" outlineLevel="2" thickBot="1">
      <c r="A1515" s="119"/>
      <c r="B1515" s="82"/>
      <c r="C1515" s="425"/>
      <c r="D1515" s="425"/>
      <c r="E1515" s="426"/>
      <c r="F1515" s="427">
        <f>SUM(F1510:F1514)</f>
        <v>0</v>
      </c>
      <c r="G1515" s="428"/>
      <c r="H1515" s="427">
        <f>SUM(H1510:H1514)</f>
        <v>0</v>
      </c>
      <c r="I1515" s="69"/>
      <c r="J1515" s="427">
        <f>SUM(J1510:J1514)</f>
        <v>0</v>
      </c>
      <c r="K1515" s="69"/>
      <c r="L1515" s="427">
        <f>SUM(L1510:L1514)</f>
        <v>0</v>
      </c>
      <c r="M1515" s="69"/>
      <c r="N1515" s="427">
        <f>SUM(N1510:N1514)</f>
        <v>0</v>
      </c>
      <c r="O1515" s="69"/>
      <c r="P1515" s="427">
        <f>SUM(P1510:P1514)</f>
        <v>0</v>
      </c>
      <c r="Q1515" s="69"/>
      <c r="R1515" s="429"/>
      <c r="S1515" s="430"/>
      <c r="T1515" s="427">
        <f>SUM(T1510:T1514)</f>
        <v>0</v>
      </c>
      <c r="U1515" s="428"/>
      <c r="V1515" s="427">
        <f>SUM(V1510:V1514)</f>
        <v>0</v>
      </c>
      <c r="W1515" s="69"/>
      <c r="X1515" s="427">
        <f>SUM(X1510:X1514)</f>
        <v>0</v>
      </c>
      <c r="Y1515" s="69"/>
      <c r="Z1515" s="427">
        <f>SUM(Z1510:Z1514)</f>
        <v>0</v>
      </c>
      <c r="AA1515" s="69"/>
      <c r="AB1515" s="427">
        <f>SUM(AB1510:AB1514)</f>
        <v>0</v>
      </c>
      <c r="AC1515" s="69"/>
      <c r="AD1515" s="427">
        <f>SUM(AD1510:AD1514)</f>
        <v>0</v>
      </c>
      <c r="AE1515" s="69"/>
      <c r="AF1515" s="429"/>
      <c r="AG1515" s="430"/>
      <c r="AH1515" s="431"/>
      <c r="AI1515" s="432"/>
      <c r="AJ1515" s="65"/>
      <c r="AO1515" s="692"/>
      <c r="AP1515" s="692"/>
      <c r="AV1515" s="56"/>
    </row>
    <row r="1516" spans="1:48" ht="13.5" customHeight="1" outlineLevel="2" thickBot="1">
      <c r="A1516" s="119"/>
      <c r="B1516" s="82"/>
      <c r="C1516" s="433" t="s">
        <v>484</v>
      </c>
      <c r="D1516" s="433" t="str">
        <f>D1510</f>
        <v>ОФФПРАЙС ООО</v>
      </c>
      <c r="E1516" s="426"/>
      <c r="F1516" s="434">
        <f>AN1516</f>
        <v>0</v>
      </c>
      <c r="G1516" s="428"/>
      <c r="H1516" s="434">
        <f>H1515</f>
        <v>0</v>
      </c>
      <c r="I1516" s="69"/>
      <c r="J1516" s="434">
        <f>J1515</f>
        <v>0</v>
      </c>
      <c r="K1516" s="69"/>
      <c r="L1516" s="434">
        <f>L1515</f>
        <v>0</v>
      </c>
      <c r="M1516" s="69"/>
      <c r="N1516" s="434">
        <f>N1515-AO1516</f>
        <v>0</v>
      </c>
      <c r="O1516" s="69"/>
      <c r="P1516" s="434">
        <f>P1515</f>
        <v>0</v>
      </c>
      <c r="Q1516" s="69"/>
      <c r="R1516" s="429"/>
      <c r="S1516" s="430"/>
      <c r="T1516" s="434">
        <f>AO1516</f>
        <v>0</v>
      </c>
      <c r="U1516" s="428">
        <f>Q1515</f>
        <v>0</v>
      </c>
      <c r="V1516" s="434">
        <f>V1515</f>
        <v>0</v>
      </c>
      <c r="W1516" s="69">
        <f>S1515</f>
        <v>0</v>
      </c>
      <c r="X1516" s="434">
        <f>X1515</f>
        <v>0</v>
      </c>
      <c r="Y1516" s="69">
        <f>U1515</f>
        <v>0</v>
      </c>
      <c r="Z1516" s="434">
        <f>Z1515-AN1516</f>
        <v>0</v>
      </c>
      <c r="AA1516" s="69">
        <f>W1515</f>
        <v>0</v>
      </c>
      <c r="AB1516" s="434">
        <f>AB1515</f>
        <v>0</v>
      </c>
      <c r="AC1516" s="69">
        <f>Y1515</f>
        <v>0</v>
      </c>
      <c r="AD1516" s="434">
        <f>AD1515</f>
        <v>0</v>
      </c>
      <c r="AE1516" s="69"/>
      <c r="AF1516" s="429"/>
      <c r="AG1516" s="430"/>
      <c r="AH1516" s="431"/>
      <c r="AI1516" s="432"/>
      <c r="AJ1516" s="65"/>
      <c r="AN1516" s="695">
        <f>SUM(AF1510:AF1514)*AQ1516</f>
        <v>0</v>
      </c>
      <c r="AO1516" s="742">
        <f>SUM(R1510:R1514)*AQ1516</f>
        <v>0</v>
      </c>
      <c r="AP1516" s="742"/>
      <c r="AQ1516" s="693">
        <v>0.15</v>
      </c>
      <c r="AS1516" s="716">
        <f>SUM(AL1510:AL1514)</f>
        <v>0</v>
      </c>
      <c r="AT1516" s="461">
        <f>F1516+H1516+J1516+L1516+N1516+P1516+T1516+V1516+X1516+Z1516+AB1516+AD1516</f>
        <v>0</v>
      </c>
      <c r="AU1516" s="745">
        <f>AT1516-AS1516</f>
        <v>0</v>
      </c>
      <c r="AV1516" s="56"/>
    </row>
    <row r="1517" spans="1:48" ht="13.5" customHeight="1" outlineLevel="2" thickBot="1">
      <c r="A1517" s="73"/>
      <c r="B1517" s="82">
        <f>B1510+1</f>
        <v>10</v>
      </c>
      <c r="C1517" s="1233">
        <f>C76</f>
        <v>0</v>
      </c>
      <c r="D1517" s="1233">
        <f>D76</f>
        <v>0</v>
      </c>
      <c r="E1517" s="83" t="str">
        <f>'Terms and Turnovers'!$J$12</f>
        <v>FLIP-FLOPS</v>
      </c>
      <c r="F1517" s="118">
        <f>$R1517*G1517</f>
        <v>0</v>
      </c>
      <c r="G1517" s="69"/>
      <c r="H1517" s="314">
        <f>$R1517*I1517</f>
        <v>0</v>
      </c>
      <c r="I1517" s="69">
        <v>0</v>
      </c>
      <c r="J1517" s="118">
        <f>$R1517*K1517</f>
        <v>0</v>
      </c>
      <c r="K1517" s="69">
        <v>0.25</v>
      </c>
      <c r="L1517" s="314">
        <f>$R1517*M1517</f>
        <v>0</v>
      </c>
      <c r="M1517" s="69">
        <v>0.4</v>
      </c>
      <c r="N1517" s="314">
        <f>$R1517*O1517</f>
        <v>0</v>
      </c>
      <c r="O1517" s="69">
        <v>0.35</v>
      </c>
      <c r="P1517" s="118">
        <f>$R1517*Q1517</f>
        <v>0</v>
      </c>
      <c r="Q1517" s="69">
        <v>0</v>
      </c>
      <c r="R1517" s="87">
        <f>'Terms and Turnovers'!K141</f>
        <v>0</v>
      </c>
      <c r="S1517" s="160">
        <f>SUM(G1517,I1517,K1517,M1517,O1517,Q1517)</f>
        <v>1</v>
      </c>
      <c r="T1517" s="118">
        <f>$AF1517*U1517</f>
        <v>0</v>
      </c>
      <c r="U1517" s="69">
        <v>0</v>
      </c>
      <c r="V1517" s="314">
        <f>$AF1517*W1517</f>
        <v>0</v>
      </c>
      <c r="W1517" s="69">
        <v>0.37</v>
      </c>
      <c r="X1517" s="118">
        <f>$AF1517*Y1517</f>
        <v>0</v>
      </c>
      <c r="Y1517" s="69">
        <v>0.43</v>
      </c>
      <c r="Z1517" s="314">
        <f>$AF1517*AA1517</f>
        <v>0</v>
      </c>
      <c r="AA1517" s="69">
        <v>0.2</v>
      </c>
      <c r="AB1517" s="314">
        <f>$AF1517*AC1517</f>
        <v>0</v>
      </c>
      <c r="AC1517" s="69">
        <v>0</v>
      </c>
      <c r="AD1517" s="118">
        <f>$AF1517*AE1517</f>
        <v>0</v>
      </c>
      <c r="AE1517" s="69">
        <v>0</v>
      </c>
      <c r="AF1517" s="87">
        <f>'Terms and Turnovers'!P141</f>
        <v>0</v>
      </c>
      <c r="AG1517" s="160">
        <f>SUM(U1517,W1517,Y1517,AA1517,AC1517,AE1517)</f>
        <v>1</v>
      </c>
      <c r="AH1517" s="157">
        <f>SUM(R1517,AF1517)</f>
        <v>0</v>
      </c>
      <c r="AI1517" s="131">
        <f>S1517+AG1517</f>
        <v>2</v>
      </c>
      <c r="AJ1517" s="65"/>
      <c r="AL1517" s="461">
        <f>SUM(F1517,H1517,J1517,L1517,N1517,P1517,T1517,V1517,X1517,Z1517,AB1517,AD1517)</f>
        <v>0</v>
      </c>
      <c r="AM1517" s="462">
        <f>AL1517-AH1517</f>
        <v>0</v>
      </c>
      <c r="AO1517" s="692"/>
      <c r="AP1517" s="692"/>
      <c r="AV1517" s="56"/>
    </row>
    <row r="1518" spans="1:48" ht="13.5" customHeight="1" outlineLevel="2" thickBot="1">
      <c r="A1518" s="73"/>
      <c r="B1518" s="82"/>
      <c r="C1518" s="1234"/>
      <c r="D1518" s="1234"/>
      <c r="E1518" s="84" t="str">
        <f>'Terms and Turnovers'!$T$12</f>
        <v>ORIGINALS</v>
      </c>
      <c r="F1518" s="120">
        <f>$R1518*G1518</f>
        <v>0</v>
      </c>
      <c r="G1518" s="723"/>
      <c r="H1518" s="120">
        <f>$R1518*I1518</f>
        <v>0</v>
      </c>
      <c r="I1518" s="69">
        <v>0</v>
      </c>
      <c r="J1518" s="120">
        <f>$R1518*K1518</f>
        <v>0</v>
      </c>
      <c r="K1518" s="69">
        <v>0.5</v>
      </c>
      <c r="L1518" s="120">
        <f>$R1518*M1518</f>
        <v>0</v>
      </c>
      <c r="M1518" s="69">
        <v>0.5</v>
      </c>
      <c r="N1518" s="315">
        <f>$R1518*O1518</f>
        <v>0</v>
      </c>
      <c r="O1518" s="69">
        <v>0</v>
      </c>
      <c r="P1518" s="120">
        <f>$R1518*Q1518</f>
        <v>0</v>
      </c>
      <c r="Q1518" s="69">
        <v>0</v>
      </c>
      <c r="R1518" s="88">
        <f>'Terms and Turnovers'!U141</f>
        <v>0</v>
      </c>
      <c r="S1518" s="161">
        <f>SUM(G1518,I1518,K1518,M1518,O1518,Q1518)</f>
        <v>1</v>
      </c>
      <c r="T1518" s="120">
        <f>$AF1518*U1518</f>
        <v>0</v>
      </c>
      <c r="U1518" s="723">
        <v>0</v>
      </c>
      <c r="V1518" s="120">
        <f>$AF1518*W1518</f>
        <v>0</v>
      </c>
      <c r="W1518" s="69">
        <v>0.15</v>
      </c>
      <c r="X1518" s="120">
        <f>$AF1518*Y1518</f>
        <v>0</v>
      </c>
      <c r="Y1518" s="69">
        <v>0.6</v>
      </c>
      <c r="Z1518" s="120">
        <f>$AF1518*AA1518</f>
        <v>0</v>
      </c>
      <c r="AA1518" s="69">
        <v>0.25</v>
      </c>
      <c r="AB1518" s="315">
        <f>$AF1518*AC1518</f>
        <v>0</v>
      </c>
      <c r="AC1518" s="69">
        <v>0</v>
      </c>
      <c r="AD1518" s="120">
        <f>$AF1518*AE1518</f>
        <v>0</v>
      </c>
      <c r="AE1518" s="69">
        <v>0</v>
      </c>
      <c r="AF1518" s="88">
        <f>'Terms and Turnovers'!Z141</f>
        <v>0</v>
      </c>
      <c r="AG1518" s="161">
        <f>SUM(U1518,W1518,Y1518,AA1518,AC1518,AE1518)</f>
        <v>1</v>
      </c>
      <c r="AH1518" s="158">
        <f>SUM(R1518,AF1518)</f>
        <v>0</v>
      </c>
      <c r="AI1518" s="134">
        <f>S1518+AG1518</f>
        <v>2</v>
      </c>
      <c r="AJ1518" s="65"/>
      <c r="AL1518" s="461">
        <f>SUM(F1518,H1518,J1518,L1518,N1518,P1518,T1518,V1518,X1518,Z1518,AB1518,AD1518)</f>
        <v>0</v>
      </c>
      <c r="AM1518" s="462">
        <f>AL1518-AH1518</f>
        <v>0</v>
      </c>
      <c r="AO1518" s="692"/>
      <c r="AP1518" s="692"/>
      <c r="AV1518" s="56"/>
    </row>
    <row r="1519" spans="1:48" ht="13.5" customHeight="1" outlineLevel="2" thickBot="1">
      <c r="A1519" s="73"/>
      <c r="B1519" s="82"/>
      <c r="C1519" s="1234"/>
      <c r="D1519" s="1234"/>
      <c r="E1519" s="84" t="str">
        <f>'Terms and Turnovers'!$AD$12</f>
        <v>ACCESSORIES</v>
      </c>
      <c r="F1519" s="120">
        <f>$R1519*G1519</f>
        <v>0</v>
      </c>
      <c r="G1519" s="723"/>
      <c r="H1519" s="120">
        <f>$R1519*I1519</f>
        <v>0</v>
      </c>
      <c r="I1519" s="69">
        <v>0</v>
      </c>
      <c r="J1519" s="120">
        <f>$R1519*K1519</f>
        <v>0</v>
      </c>
      <c r="K1519" s="69">
        <v>0.5</v>
      </c>
      <c r="L1519" s="120">
        <f>$R1519*M1519</f>
        <v>0</v>
      </c>
      <c r="M1519" s="69">
        <v>0.5</v>
      </c>
      <c r="N1519" s="315">
        <f>$R1519*O1519</f>
        <v>0</v>
      </c>
      <c r="O1519" s="69">
        <v>0</v>
      </c>
      <c r="P1519" s="120">
        <f>$R1519*Q1519</f>
        <v>0</v>
      </c>
      <c r="Q1519" s="69">
        <v>0</v>
      </c>
      <c r="R1519" s="88">
        <f>'Terms and Turnovers'!AE141</f>
        <v>0</v>
      </c>
      <c r="S1519" s="161">
        <f>SUM(G1519,I1519,K1519,M1519,O1519,Q1519)</f>
        <v>1</v>
      </c>
      <c r="T1519" s="120">
        <f>$AF1519*U1519</f>
        <v>0</v>
      </c>
      <c r="U1519" s="723">
        <v>0</v>
      </c>
      <c r="V1519" s="120">
        <f>$AF1519*W1519</f>
        <v>0</v>
      </c>
      <c r="W1519" s="69">
        <v>0.15</v>
      </c>
      <c r="X1519" s="120">
        <f>$AF1519*Y1519</f>
        <v>0</v>
      </c>
      <c r="Y1519" s="69">
        <v>0.6</v>
      </c>
      <c r="Z1519" s="120">
        <f>$AF1519*AA1519</f>
        <v>0</v>
      </c>
      <c r="AA1519" s="69">
        <v>0.25</v>
      </c>
      <c r="AB1519" s="315">
        <f>$AF1519*AC1519</f>
        <v>0</v>
      </c>
      <c r="AC1519" s="69">
        <v>0</v>
      </c>
      <c r="AD1519" s="120">
        <f>$AF1519*AE1519</f>
        <v>0</v>
      </c>
      <c r="AE1519" s="69">
        <v>0</v>
      </c>
      <c r="AF1519" s="88">
        <f>'Terms and Turnovers'!AJ141</f>
        <v>0</v>
      </c>
      <c r="AG1519" s="161">
        <f>SUM(U1519,W1519,Y1519,AA1519,AC1519,AE1519)</f>
        <v>1</v>
      </c>
      <c r="AH1519" s="158">
        <f>SUM(R1519,AF1519)</f>
        <v>0</v>
      </c>
      <c r="AI1519" s="134">
        <f>S1519+AG1519</f>
        <v>2</v>
      </c>
      <c r="AJ1519" s="65"/>
      <c r="AL1519" s="461">
        <f>SUM(F1519,H1519,J1519,L1519,N1519,P1519,T1519,V1519,X1519,Z1519,AB1519,AD1519)</f>
        <v>0</v>
      </c>
      <c r="AM1519" s="462">
        <f>AL1519-AH1519</f>
        <v>0</v>
      </c>
      <c r="AO1519" s="692"/>
      <c r="AP1519" s="692"/>
      <c r="AV1519" s="56"/>
    </row>
    <row r="1520" spans="1:48" ht="13.5" customHeight="1" outlineLevel="2" thickBot="1">
      <c r="A1520" s="73"/>
      <c r="B1520" s="82"/>
      <c r="C1520" s="1234"/>
      <c r="D1520" s="1234"/>
      <c r="E1520" s="84">
        <f>'Terms and Turnovers'!$AN$12</f>
        <v>0</v>
      </c>
      <c r="F1520" s="120">
        <f>$R1520*G1520</f>
        <v>0</v>
      </c>
      <c r="G1520" s="723"/>
      <c r="H1520" s="120">
        <f>$R1520*I1520</f>
        <v>0</v>
      </c>
      <c r="I1520" s="69">
        <v>0</v>
      </c>
      <c r="J1520" s="120">
        <f>$R1520*K1520</f>
        <v>0</v>
      </c>
      <c r="K1520" s="69">
        <v>0.25</v>
      </c>
      <c r="L1520" s="120">
        <f>$R1520*M1520</f>
        <v>0</v>
      </c>
      <c r="M1520" s="69">
        <v>0.4</v>
      </c>
      <c r="N1520" s="315">
        <f>$R1520*O1520</f>
        <v>0</v>
      </c>
      <c r="O1520" s="69">
        <v>0.35</v>
      </c>
      <c r="P1520" s="120">
        <f>$R1520*Q1520</f>
        <v>0</v>
      </c>
      <c r="Q1520" s="69">
        <v>0</v>
      </c>
      <c r="R1520" s="88">
        <f>'Terms and Turnovers'!AO141</f>
        <v>0</v>
      </c>
      <c r="S1520" s="161">
        <f>SUM(G1520,I1520,K1520,M1520,O1520,Q1520)</f>
        <v>1</v>
      </c>
      <c r="T1520" s="120">
        <f>$AF1520*U1520</f>
        <v>0</v>
      </c>
      <c r="U1520" s="723">
        <v>0</v>
      </c>
      <c r="V1520" s="120">
        <f>$AF1520*W1520</f>
        <v>0</v>
      </c>
      <c r="W1520" s="69">
        <v>0.4</v>
      </c>
      <c r="X1520" s="120">
        <f>$AF1520*Y1520</f>
        <v>0</v>
      </c>
      <c r="Y1520" s="69">
        <v>0.35</v>
      </c>
      <c r="Z1520" s="120">
        <f>$AF1520*AA1520</f>
        <v>0</v>
      </c>
      <c r="AA1520" s="69">
        <v>0.2</v>
      </c>
      <c r="AB1520" s="315">
        <f>$AF1520*AC1520</f>
        <v>0</v>
      </c>
      <c r="AC1520" s="69">
        <v>0.05</v>
      </c>
      <c r="AD1520" s="120">
        <f>$AF1520*AE1520</f>
        <v>0</v>
      </c>
      <c r="AE1520" s="69">
        <v>0</v>
      </c>
      <c r="AF1520" s="88">
        <f>'Terms and Turnovers'!AT141</f>
        <v>0</v>
      </c>
      <c r="AG1520" s="161">
        <f>SUM(U1520,W1520,Y1520,AA1520,AC1520,AE1520)</f>
        <v>1</v>
      </c>
      <c r="AH1520" s="158">
        <f>SUM(R1520,AF1520)</f>
        <v>0</v>
      </c>
      <c r="AI1520" s="134">
        <f>S1520+AG1520</f>
        <v>2</v>
      </c>
      <c r="AJ1520" s="65"/>
      <c r="AL1520" s="461">
        <f>SUM(F1520,H1520,J1520,L1520,N1520,P1520,T1520,V1520,X1520,Z1520,AB1520,AD1520)</f>
        <v>0</v>
      </c>
      <c r="AM1520" s="462">
        <f>AL1520-AH1520</f>
        <v>0</v>
      </c>
      <c r="AO1520" s="692"/>
      <c r="AP1520" s="692"/>
      <c r="AV1520" s="56"/>
    </row>
    <row r="1521" spans="1:48" ht="13.5" customHeight="1" outlineLevel="2" thickBot="1">
      <c r="A1521" s="73"/>
      <c r="B1521" s="82"/>
      <c r="C1521" s="1235"/>
      <c r="D1521" s="1235"/>
      <c r="E1521" s="85">
        <f>'Terms and Turnovers'!$AX$12</f>
        <v>0</v>
      </c>
      <c r="F1521" s="121">
        <f>$R1521*G1521</f>
        <v>0</v>
      </c>
      <c r="G1521" s="72"/>
      <c r="H1521" s="121">
        <f>$R1521*I1521</f>
        <v>0</v>
      </c>
      <c r="I1521" s="69">
        <v>0</v>
      </c>
      <c r="J1521" s="121">
        <f>$R1521*K1521</f>
        <v>0</v>
      </c>
      <c r="K1521" s="69">
        <v>0.25</v>
      </c>
      <c r="L1521" s="121">
        <f>$R1521*M1521</f>
        <v>0</v>
      </c>
      <c r="M1521" s="69">
        <v>0.4</v>
      </c>
      <c r="N1521" s="316">
        <f>$R1521*O1521</f>
        <v>0</v>
      </c>
      <c r="O1521" s="69">
        <v>0.35</v>
      </c>
      <c r="P1521" s="121">
        <f>$R1521*Q1521</f>
        <v>0</v>
      </c>
      <c r="Q1521" s="69">
        <v>0</v>
      </c>
      <c r="R1521" s="89">
        <f>'Terms and Turnovers'!AY141</f>
        <v>0</v>
      </c>
      <c r="S1521" s="162">
        <f>SUM(G1521,I1521,K1521,M1521,O1521,Q1521)</f>
        <v>1</v>
      </c>
      <c r="T1521" s="121">
        <f>$AF1521*U1521</f>
        <v>0</v>
      </c>
      <c r="U1521" s="72">
        <v>0</v>
      </c>
      <c r="V1521" s="121">
        <f>$AF1521*W1521</f>
        <v>0</v>
      </c>
      <c r="W1521" s="69">
        <v>0.4</v>
      </c>
      <c r="X1521" s="121">
        <f>$AF1521*Y1521</f>
        <v>0</v>
      </c>
      <c r="Y1521" s="69">
        <v>0.35</v>
      </c>
      <c r="Z1521" s="121">
        <f>$AF1521*AA1521</f>
        <v>0</v>
      </c>
      <c r="AA1521" s="69">
        <v>0.2</v>
      </c>
      <c r="AB1521" s="316">
        <f>$AF1521*AC1521</f>
        <v>0</v>
      </c>
      <c r="AC1521" s="69">
        <v>0.05</v>
      </c>
      <c r="AD1521" s="121">
        <f>$AF1521*AE1521</f>
        <v>0</v>
      </c>
      <c r="AE1521" s="69">
        <v>0</v>
      </c>
      <c r="AF1521" s="89">
        <f>'Terms and Turnovers'!BD141</f>
        <v>0</v>
      </c>
      <c r="AG1521" s="162">
        <f>SUM(U1521,W1521,Y1521,AA1521,AC1521,AE1521)</f>
        <v>1</v>
      </c>
      <c r="AH1521" s="159">
        <f>SUM(R1521,AF1521)</f>
        <v>0</v>
      </c>
      <c r="AI1521" s="137">
        <f>S1521+AG1521</f>
        <v>2</v>
      </c>
      <c r="AJ1521" s="65"/>
      <c r="AL1521" s="461">
        <f>SUM(F1521,H1521,J1521,L1521,N1521,P1521,T1521,V1521,X1521,Z1521,AB1521,AD1521)</f>
        <v>0</v>
      </c>
      <c r="AM1521" s="462">
        <f>AL1521-AH1521</f>
        <v>0</v>
      </c>
      <c r="AO1521" s="692"/>
      <c r="AP1521" s="692"/>
      <c r="AV1521" s="56"/>
    </row>
    <row r="1522" spans="1:48" ht="13.5" customHeight="1" outlineLevel="2" thickBot="1">
      <c r="A1522" s="119"/>
      <c r="B1522" s="82"/>
      <c r="C1522" s="425"/>
      <c r="D1522" s="425"/>
      <c r="E1522" s="426"/>
      <c r="F1522" s="427">
        <f>SUM(F1517:F1521)</f>
        <v>0</v>
      </c>
      <c r="G1522" s="428"/>
      <c r="H1522" s="427">
        <f>SUM(H1517:H1521)</f>
        <v>0</v>
      </c>
      <c r="I1522" s="69"/>
      <c r="J1522" s="427">
        <f>SUM(J1517:J1521)</f>
        <v>0</v>
      </c>
      <c r="K1522" s="69"/>
      <c r="L1522" s="427">
        <f>SUM(L1517:L1521)</f>
        <v>0</v>
      </c>
      <c r="M1522" s="69"/>
      <c r="N1522" s="427">
        <f>SUM(N1517:N1521)</f>
        <v>0</v>
      </c>
      <c r="O1522" s="69"/>
      <c r="P1522" s="427">
        <f>SUM(P1517:P1521)</f>
        <v>0</v>
      </c>
      <c r="Q1522" s="69"/>
      <c r="R1522" s="429"/>
      <c r="S1522" s="430"/>
      <c r="T1522" s="427">
        <f>SUM(T1517:T1521)</f>
        <v>0</v>
      </c>
      <c r="U1522" s="428"/>
      <c r="V1522" s="427">
        <f>SUM(V1517:V1521)</f>
        <v>0</v>
      </c>
      <c r="W1522" s="69"/>
      <c r="X1522" s="427">
        <f>SUM(X1517:X1521)</f>
        <v>0</v>
      </c>
      <c r="Y1522" s="69"/>
      <c r="Z1522" s="427">
        <f>SUM(Z1517:Z1521)</f>
        <v>0</v>
      </c>
      <c r="AA1522" s="69"/>
      <c r="AB1522" s="427">
        <f>SUM(AB1517:AB1521)</f>
        <v>0</v>
      </c>
      <c r="AC1522" s="69"/>
      <c r="AD1522" s="427">
        <f>SUM(AD1517:AD1521)</f>
        <v>0</v>
      </c>
      <c r="AE1522" s="69"/>
      <c r="AF1522" s="429"/>
      <c r="AG1522" s="430"/>
      <c r="AH1522" s="431"/>
      <c r="AI1522" s="432"/>
      <c r="AJ1522" s="65"/>
      <c r="AO1522" s="692"/>
      <c r="AP1522" s="692"/>
      <c r="AV1522" s="56"/>
    </row>
    <row r="1523" spans="1:48" ht="13.5" customHeight="1" outlineLevel="2" thickBot="1">
      <c r="A1523" s="119"/>
      <c r="B1523" s="82"/>
      <c r="C1523" s="433" t="s">
        <v>484</v>
      </c>
      <c r="D1523" s="433">
        <f>D1517</f>
        <v>0</v>
      </c>
      <c r="E1523" s="426"/>
      <c r="F1523" s="434">
        <f>AN1523</f>
        <v>0</v>
      </c>
      <c r="G1523" s="428"/>
      <c r="H1523" s="434">
        <f>H1522</f>
        <v>0</v>
      </c>
      <c r="I1523" s="69"/>
      <c r="J1523" s="434">
        <f>J1522</f>
        <v>0</v>
      </c>
      <c r="K1523" s="69"/>
      <c r="L1523" s="434">
        <f>L1522</f>
        <v>0</v>
      </c>
      <c r="M1523" s="69"/>
      <c r="N1523" s="434">
        <f>N1522-(AO1523-AN1523)</f>
        <v>0</v>
      </c>
      <c r="O1523" s="69"/>
      <c r="P1523" s="434">
        <f>P1522</f>
        <v>0</v>
      </c>
      <c r="Q1523" s="69"/>
      <c r="R1523" s="429"/>
      <c r="S1523" s="430"/>
      <c r="T1523" s="434">
        <f>AO1523</f>
        <v>0</v>
      </c>
      <c r="U1523" s="428">
        <f>Q1522</f>
        <v>0</v>
      </c>
      <c r="V1523" s="434">
        <f>V1522</f>
        <v>0</v>
      </c>
      <c r="W1523" s="69">
        <f>S1522</f>
        <v>0</v>
      </c>
      <c r="X1523" s="434">
        <f>X1522</f>
        <v>0</v>
      </c>
      <c r="Y1523" s="69">
        <f>U1522</f>
        <v>0</v>
      </c>
      <c r="Z1523" s="434">
        <f>Z1522</f>
        <v>0</v>
      </c>
      <c r="AA1523" s="69">
        <f>W1522</f>
        <v>0</v>
      </c>
      <c r="AB1523" s="434">
        <f>AB1522</f>
        <v>0</v>
      </c>
      <c r="AC1523" s="69">
        <f>Y1522</f>
        <v>0</v>
      </c>
      <c r="AD1523" s="434">
        <f>AD1522</f>
        <v>0</v>
      </c>
      <c r="AE1523" s="69"/>
      <c r="AF1523" s="429"/>
      <c r="AG1523" s="430"/>
      <c r="AH1523" s="431"/>
      <c r="AI1523" s="432"/>
      <c r="AJ1523" s="65"/>
      <c r="AN1523" s="695">
        <f>SUM(AF1517:AF1521)*AQ1523</f>
        <v>0</v>
      </c>
      <c r="AO1523" s="742">
        <f>SUM(R1517:R1521)*AQ1523</f>
        <v>0</v>
      </c>
      <c r="AP1523" s="742"/>
      <c r="AQ1523" s="693">
        <v>0.15</v>
      </c>
      <c r="AS1523" s="716">
        <f>SUM(AL1517:AL1521)</f>
        <v>0</v>
      </c>
      <c r="AT1523" s="461">
        <f>F1523+H1523+J1523+L1523+N1523+P1523+T1523+V1523+X1523+Z1523+AB1523+AD1523</f>
        <v>0</v>
      </c>
      <c r="AU1523" s="745">
        <f>AT1523-AS1523</f>
        <v>0</v>
      </c>
      <c r="AV1523" s="56"/>
    </row>
    <row r="1524" spans="1:48" ht="13.5" customHeight="1" outlineLevel="2" thickBot="1">
      <c r="A1524" s="73"/>
      <c r="B1524" s="82">
        <f>B1517+1</f>
        <v>11</v>
      </c>
      <c r="C1524" s="1233">
        <f>C83</f>
        <v>0</v>
      </c>
      <c r="D1524" s="1233">
        <f>D83</f>
        <v>0</v>
      </c>
      <c r="E1524" s="83" t="str">
        <f>'Terms and Turnovers'!$J$12</f>
        <v>FLIP-FLOPS</v>
      </c>
      <c r="F1524" s="118">
        <f>$R1524*G1524</f>
        <v>0</v>
      </c>
      <c r="G1524" s="69"/>
      <c r="H1524" s="314">
        <f>$R1524*I1524</f>
        <v>0</v>
      </c>
      <c r="I1524" s="69">
        <v>0.25</v>
      </c>
      <c r="J1524" s="118">
        <f>$R1524*K1524</f>
        <v>0</v>
      </c>
      <c r="K1524" s="69">
        <v>0.3</v>
      </c>
      <c r="L1524" s="314">
        <f>$R1524*M1524</f>
        <v>0</v>
      </c>
      <c r="M1524" s="69">
        <v>0.3</v>
      </c>
      <c r="N1524" s="314">
        <f>$R1524*O1524</f>
        <v>0</v>
      </c>
      <c r="O1524" s="69">
        <v>0.15</v>
      </c>
      <c r="P1524" s="118">
        <f>$R1524*Q1524</f>
        <v>0</v>
      </c>
      <c r="Q1524" s="69">
        <v>0</v>
      </c>
      <c r="R1524" s="87">
        <f>'Terms and Turnovers'!K142</f>
        <v>0</v>
      </c>
      <c r="S1524" s="160">
        <f>SUM(G1524,I1524,K1524,M1524,O1524,Q1524)</f>
        <v>1</v>
      </c>
      <c r="T1524" s="118">
        <f>$AF1524*U1524</f>
        <v>0</v>
      </c>
      <c r="U1524" s="69">
        <v>0</v>
      </c>
      <c r="V1524" s="314">
        <f>$AF1524*W1524</f>
        <v>0</v>
      </c>
      <c r="W1524" s="69">
        <v>0.4</v>
      </c>
      <c r="X1524" s="118">
        <f>$AF1524*Y1524</f>
        <v>0</v>
      </c>
      <c r="Y1524" s="69">
        <v>0.4</v>
      </c>
      <c r="Z1524" s="314">
        <f>$AF1524*AA1524</f>
        <v>0</v>
      </c>
      <c r="AA1524" s="69">
        <v>0.2</v>
      </c>
      <c r="AB1524" s="314">
        <f>$AF1524*AC1524</f>
        <v>0</v>
      </c>
      <c r="AC1524" s="69">
        <v>0</v>
      </c>
      <c r="AD1524" s="118">
        <f>$AF1524*AE1524</f>
        <v>0</v>
      </c>
      <c r="AE1524" s="69">
        <v>0</v>
      </c>
      <c r="AF1524" s="87">
        <f>'Terms and Turnovers'!P142</f>
        <v>0</v>
      </c>
      <c r="AG1524" s="160">
        <f>SUM(U1524,W1524,Y1524,AA1524,AC1524,AE1524)</f>
        <v>1</v>
      </c>
      <c r="AH1524" s="157">
        <f>SUM(R1524,AF1524)</f>
        <v>0</v>
      </c>
      <c r="AI1524" s="131">
        <f>S1524+AG1524</f>
        <v>2</v>
      </c>
      <c r="AJ1524" s="65"/>
      <c r="AL1524" s="461">
        <f>SUM(F1524,H1524,J1524,L1524,N1524,P1524,T1524,V1524,X1524,Z1524,AB1524,AD1524)</f>
        <v>0</v>
      </c>
      <c r="AM1524" s="462">
        <f>AL1524-AH1524</f>
        <v>0</v>
      </c>
      <c r="AO1524" s="692"/>
      <c r="AP1524" s="692"/>
      <c r="AV1524" s="56"/>
    </row>
    <row r="1525" spans="1:48" ht="13.5" customHeight="1" outlineLevel="2" thickBot="1">
      <c r="A1525" s="73"/>
      <c r="B1525" s="82"/>
      <c r="C1525" s="1234"/>
      <c r="D1525" s="1234"/>
      <c r="E1525" s="84" t="str">
        <f>'Terms and Turnovers'!$T$12</f>
        <v>ORIGINALS</v>
      </c>
      <c r="F1525" s="120">
        <f>$R1525*G1525</f>
        <v>0</v>
      </c>
      <c r="G1525" s="723"/>
      <c r="H1525" s="120">
        <f>$R1525*I1525</f>
        <v>0</v>
      </c>
      <c r="I1525" s="69">
        <v>0</v>
      </c>
      <c r="J1525" s="120">
        <f>$R1525*K1525</f>
        <v>0</v>
      </c>
      <c r="K1525" s="69">
        <v>0.5</v>
      </c>
      <c r="L1525" s="120">
        <f>$R1525*M1525</f>
        <v>0</v>
      </c>
      <c r="M1525" s="69">
        <v>0.5</v>
      </c>
      <c r="N1525" s="315">
        <f>$R1525*O1525</f>
        <v>0</v>
      </c>
      <c r="O1525" s="69">
        <v>0</v>
      </c>
      <c r="P1525" s="120">
        <f>$R1525*Q1525</f>
        <v>0</v>
      </c>
      <c r="Q1525" s="69">
        <v>0</v>
      </c>
      <c r="R1525" s="88">
        <f>'Terms and Turnovers'!U142</f>
        <v>0</v>
      </c>
      <c r="S1525" s="161">
        <f>SUM(G1525,I1525,K1525,M1525,O1525,Q1525)</f>
        <v>1</v>
      </c>
      <c r="T1525" s="120">
        <f>$AF1525*U1525</f>
        <v>0</v>
      </c>
      <c r="U1525" s="723">
        <v>0</v>
      </c>
      <c r="V1525" s="120">
        <f>$AF1525*W1525</f>
        <v>0</v>
      </c>
      <c r="W1525" s="69">
        <v>0.5</v>
      </c>
      <c r="X1525" s="120">
        <f>$AF1525*Y1525</f>
        <v>0</v>
      </c>
      <c r="Y1525" s="69">
        <v>0.5</v>
      </c>
      <c r="Z1525" s="120">
        <f>$AF1525*AA1525</f>
        <v>0</v>
      </c>
      <c r="AA1525" s="69">
        <v>0</v>
      </c>
      <c r="AB1525" s="315">
        <f>$AF1525*AC1525</f>
        <v>0</v>
      </c>
      <c r="AC1525" s="69">
        <v>0</v>
      </c>
      <c r="AD1525" s="120">
        <f>$AF1525*AE1525</f>
        <v>0</v>
      </c>
      <c r="AE1525" s="69">
        <v>0</v>
      </c>
      <c r="AF1525" s="88">
        <f>'Terms and Turnovers'!Z142</f>
        <v>0</v>
      </c>
      <c r="AG1525" s="161">
        <f>SUM(U1525,W1525,Y1525,AA1525,AC1525,AE1525)</f>
        <v>1</v>
      </c>
      <c r="AH1525" s="158">
        <f>SUM(R1525,AF1525)</f>
        <v>0</v>
      </c>
      <c r="AI1525" s="134">
        <f>S1525+AG1525</f>
        <v>2</v>
      </c>
      <c r="AJ1525" s="65"/>
      <c r="AL1525" s="461">
        <f>SUM(F1525,H1525,J1525,L1525,N1525,P1525,T1525,V1525,X1525,Z1525,AB1525,AD1525)</f>
        <v>0</v>
      </c>
      <c r="AM1525" s="462">
        <f>AL1525-AH1525</f>
        <v>0</v>
      </c>
      <c r="AO1525" s="692"/>
      <c r="AP1525" s="692"/>
      <c r="AV1525" s="56"/>
    </row>
    <row r="1526" spans="1:48" ht="13.5" customHeight="1" outlineLevel="2" thickBot="1">
      <c r="A1526" s="73"/>
      <c r="B1526" s="82"/>
      <c r="C1526" s="1234"/>
      <c r="D1526" s="1234"/>
      <c r="E1526" s="84" t="str">
        <f>'Terms and Turnovers'!$AD$12</f>
        <v>ACCESSORIES</v>
      </c>
      <c r="F1526" s="120">
        <f>$R1526*G1526</f>
        <v>0</v>
      </c>
      <c r="G1526" s="723"/>
      <c r="H1526" s="120">
        <f>$R1526*I1526</f>
        <v>0</v>
      </c>
      <c r="I1526" s="69">
        <v>0</v>
      </c>
      <c r="J1526" s="120">
        <f>$R1526*K1526</f>
        <v>0</v>
      </c>
      <c r="K1526" s="69">
        <v>0.5</v>
      </c>
      <c r="L1526" s="120">
        <f>$R1526*M1526</f>
        <v>0</v>
      </c>
      <c r="M1526" s="69">
        <v>0.5</v>
      </c>
      <c r="N1526" s="315">
        <f>$R1526*O1526</f>
        <v>0</v>
      </c>
      <c r="O1526" s="69">
        <v>0</v>
      </c>
      <c r="P1526" s="120">
        <f>$R1526*Q1526</f>
        <v>0</v>
      </c>
      <c r="Q1526" s="69">
        <v>0</v>
      </c>
      <c r="R1526" s="88">
        <f>'Terms and Turnovers'!AE142</f>
        <v>0</v>
      </c>
      <c r="S1526" s="161">
        <f>SUM(G1526,I1526,K1526,M1526,O1526,Q1526)</f>
        <v>1</v>
      </c>
      <c r="T1526" s="120">
        <f>$AF1526*U1526</f>
        <v>0</v>
      </c>
      <c r="U1526" s="723">
        <v>0</v>
      </c>
      <c r="V1526" s="120">
        <f>$AF1526*W1526</f>
        <v>0</v>
      </c>
      <c r="W1526" s="69">
        <v>0.5</v>
      </c>
      <c r="X1526" s="120">
        <f>$AF1526*Y1526</f>
        <v>0</v>
      </c>
      <c r="Y1526" s="69">
        <v>0.5</v>
      </c>
      <c r="Z1526" s="120">
        <f>$AF1526*AA1526</f>
        <v>0</v>
      </c>
      <c r="AA1526" s="69">
        <v>0</v>
      </c>
      <c r="AB1526" s="315">
        <f>$AF1526*AC1526</f>
        <v>0</v>
      </c>
      <c r="AC1526" s="69">
        <v>0</v>
      </c>
      <c r="AD1526" s="120">
        <f>$AF1526*AE1526</f>
        <v>0</v>
      </c>
      <c r="AE1526" s="69">
        <v>0</v>
      </c>
      <c r="AF1526" s="88">
        <f>'Terms and Turnovers'!AJ142</f>
        <v>0</v>
      </c>
      <c r="AG1526" s="161">
        <f>SUM(U1526,W1526,Y1526,AA1526,AC1526,AE1526)</f>
        <v>1</v>
      </c>
      <c r="AH1526" s="158">
        <f>SUM(R1526,AF1526)</f>
        <v>0</v>
      </c>
      <c r="AI1526" s="134">
        <f>S1526+AG1526</f>
        <v>2</v>
      </c>
      <c r="AJ1526" s="65"/>
      <c r="AL1526" s="461">
        <f>SUM(F1526,H1526,J1526,L1526,N1526,P1526,T1526,V1526,X1526,Z1526,AB1526,AD1526)</f>
        <v>0</v>
      </c>
      <c r="AM1526" s="462">
        <f>AL1526-AH1526</f>
        <v>0</v>
      </c>
      <c r="AO1526" s="692"/>
      <c r="AP1526" s="692"/>
      <c r="AV1526" s="56"/>
    </row>
    <row r="1527" spans="1:48" ht="13.5" customHeight="1" outlineLevel="2" thickBot="1">
      <c r="A1527" s="73"/>
      <c r="B1527" s="82"/>
      <c r="C1527" s="1234"/>
      <c r="D1527" s="1234"/>
      <c r="E1527" s="84">
        <f>'Terms and Turnovers'!$AN$12</f>
        <v>0</v>
      </c>
      <c r="F1527" s="120">
        <f>$R1527*G1527</f>
        <v>0</v>
      </c>
      <c r="G1527" s="723"/>
      <c r="H1527" s="120">
        <f>$R1527*I1527</f>
        <v>0</v>
      </c>
      <c r="I1527" s="69">
        <v>0.25</v>
      </c>
      <c r="J1527" s="120">
        <f>$R1527*K1527</f>
        <v>0</v>
      </c>
      <c r="K1527" s="69">
        <v>0.3</v>
      </c>
      <c r="L1527" s="120">
        <f>$R1527*M1527</f>
        <v>0</v>
      </c>
      <c r="M1527" s="69">
        <v>0.3</v>
      </c>
      <c r="N1527" s="315">
        <f>$R1527*O1527</f>
        <v>0</v>
      </c>
      <c r="O1527" s="69">
        <v>0.15</v>
      </c>
      <c r="P1527" s="120">
        <f>$R1527*Q1527</f>
        <v>0</v>
      </c>
      <c r="Q1527" s="69">
        <v>0</v>
      </c>
      <c r="R1527" s="88">
        <f>'Terms and Turnovers'!AO142</f>
        <v>0</v>
      </c>
      <c r="S1527" s="161">
        <f>SUM(G1527,I1527,K1527,M1527,O1527,Q1527)</f>
        <v>1</v>
      </c>
      <c r="T1527" s="120">
        <f>$AF1527*U1527</f>
        <v>0</v>
      </c>
      <c r="U1527" s="723">
        <v>0</v>
      </c>
      <c r="V1527" s="120">
        <f>$AF1527*W1527</f>
        <v>0</v>
      </c>
      <c r="W1527" s="69">
        <v>0.4</v>
      </c>
      <c r="X1527" s="120">
        <f>$AF1527*Y1527</f>
        <v>0</v>
      </c>
      <c r="Y1527" s="69">
        <v>0.4</v>
      </c>
      <c r="Z1527" s="120">
        <f>$AF1527*AA1527</f>
        <v>0</v>
      </c>
      <c r="AA1527" s="69">
        <v>0.2</v>
      </c>
      <c r="AB1527" s="315">
        <f>$AF1527*AC1527</f>
        <v>0</v>
      </c>
      <c r="AC1527" s="69">
        <v>0</v>
      </c>
      <c r="AD1527" s="120">
        <f>$AF1527*AE1527</f>
        <v>0</v>
      </c>
      <c r="AE1527" s="69">
        <v>0</v>
      </c>
      <c r="AF1527" s="88">
        <f>'Terms and Turnovers'!AT142</f>
        <v>0</v>
      </c>
      <c r="AG1527" s="161">
        <f>SUM(U1527,W1527,Y1527,AA1527,AC1527,AE1527)</f>
        <v>1</v>
      </c>
      <c r="AH1527" s="158">
        <f>SUM(R1527,AF1527)</f>
        <v>0</v>
      </c>
      <c r="AI1527" s="134">
        <f>S1527+AG1527</f>
        <v>2</v>
      </c>
      <c r="AJ1527" s="65"/>
      <c r="AL1527" s="461">
        <f>SUM(F1527,H1527,J1527,L1527,N1527,P1527,T1527,V1527,X1527,Z1527,AB1527,AD1527)</f>
        <v>0</v>
      </c>
      <c r="AM1527" s="462">
        <f>AL1527-AH1527</f>
        <v>0</v>
      </c>
      <c r="AO1527" s="692"/>
      <c r="AP1527" s="692"/>
      <c r="AV1527" s="56"/>
    </row>
    <row r="1528" spans="1:48" ht="13.5" customHeight="1" outlineLevel="2" thickBot="1">
      <c r="A1528" s="73"/>
      <c r="B1528" s="82"/>
      <c r="C1528" s="1235"/>
      <c r="D1528" s="1235"/>
      <c r="E1528" s="85">
        <f>'Terms and Turnovers'!$AX$12</f>
        <v>0</v>
      </c>
      <c r="F1528" s="121">
        <f>$R1528*G1528</f>
        <v>0</v>
      </c>
      <c r="G1528" s="72"/>
      <c r="H1528" s="121">
        <f>$R1528*I1528</f>
        <v>0</v>
      </c>
      <c r="I1528" s="69">
        <v>0.25</v>
      </c>
      <c r="J1528" s="121">
        <f>$R1528*K1528</f>
        <v>0</v>
      </c>
      <c r="K1528" s="69">
        <v>0.3</v>
      </c>
      <c r="L1528" s="121">
        <f>$R1528*M1528</f>
        <v>0</v>
      </c>
      <c r="M1528" s="69">
        <v>0.3</v>
      </c>
      <c r="N1528" s="316">
        <f>$R1528*O1528</f>
        <v>0</v>
      </c>
      <c r="O1528" s="69">
        <v>0.15</v>
      </c>
      <c r="P1528" s="121">
        <f>$R1528*Q1528</f>
        <v>0</v>
      </c>
      <c r="Q1528" s="69">
        <v>0</v>
      </c>
      <c r="R1528" s="89">
        <f>'Terms and Turnovers'!AY142</f>
        <v>0</v>
      </c>
      <c r="S1528" s="162">
        <f>SUM(G1528,I1528,K1528,M1528,O1528,Q1528)</f>
        <v>1</v>
      </c>
      <c r="T1528" s="121">
        <f>$AF1528*U1528</f>
        <v>0</v>
      </c>
      <c r="U1528" s="72">
        <v>0</v>
      </c>
      <c r="V1528" s="121">
        <f>$AF1528*W1528</f>
        <v>0</v>
      </c>
      <c r="W1528" s="69">
        <v>0.4</v>
      </c>
      <c r="X1528" s="121">
        <f>$AF1528*Y1528</f>
        <v>0</v>
      </c>
      <c r="Y1528" s="69">
        <v>0.4</v>
      </c>
      <c r="Z1528" s="121">
        <f>$AF1528*AA1528</f>
        <v>0</v>
      </c>
      <c r="AA1528" s="69">
        <v>0.2</v>
      </c>
      <c r="AB1528" s="316">
        <f>$AF1528*AC1528</f>
        <v>0</v>
      </c>
      <c r="AC1528" s="69">
        <v>0</v>
      </c>
      <c r="AD1528" s="121">
        <f>$AF1528*AE1528</f>
        <v>0</v>
      </c>
      <c r="AE1528" s="69">
        <v>0</v>
      </c>
      <c r="AF1528" s="89">
        <f>'Terms and Turnovers'!BD142</f>
        <v>0</v>
      </c>
      <c r="AG1528" s="162">
        <f>SUM(U1528,W1528,Y1528,AA1528,AC1528,AE1528)</f>
        <v>1</v>
      </c>
      <c r="AH1528" s="159">
        <f>SUM(R1528,AF1528)</f>
        <v>0</v>
      </c>
      <c r="AI1528" s="137">
        <f>S1528+AG1528</f>
        <v>2</v>
      </c>
      <c r="AJ1528" s="65"/>
      <c r="AL1528" s="461">
        <f>SUM(F1528,H1528,J1528,L1528,N1528,P1528,T1528,V1528,X1528,Z1528,AB1528,AD1528)</f>
        <v>0</v>
      </c>
      <c r="AM1528" s="462">
        <f>AL1528-AH1528</f>
        <v>0</v>
      </c>
      <c r="AO1528" s="692"/>
      <c r="AP1528" s="692"/>
      <c r="AV1528" s="56"/>
    </row>
    <row r="1529" spans="1:48" ht="13.5" customHeight="1" outlineLevel="2" thickBot="1">
      <c r="A1529" s="119"/>
      <c r="B1529" s="82"/>
      <c r="C1529" s="425"/>
      <c r="D1529" s="425"/>
      <c r="E1529" s="426"/>
      <c r="F1529" s="427">
        <f>SUM(F1524:F1528)</f>
        <v>0</v>
      </c>
      <c r="G1529" s="428"/>
      <c r="H1529" s="427">
        <f>SUM(H1524:H1528)</f>
        <v>0</v>
      </c>
      <c r="I1529" s="69"/>
      <c r="J1529" s="427">
        <f>SUM(J1524:J1528)</f>
        <v>0</v>
      </c>
      <c r="K1529" s="69"/>
      <c r="L1529" s="427">
        <f>SUM(L1524:L1528)</f>
        <v>0</v>
      </c>
      <c r="M1529" s="69"/>
      <c r="N1529" s="427">
        <f>SUM(N1524:N1528)</f>
        <v>0</v>
      </c>
      <c r="O1529" s="69"/>
      <c r="P1529" s="427">
        <f>SUM(P1524:P1528)</f>
        <v>0</v>
      </c>
      <c r="Q1529" s="69"/>
      <c r="R1529" s="429"/>
      <c r="S1529" s="430"/>
      <c r="T1529" s="427">
        <f>SUM(T1524:T1528)</f>
        <v>0</v>
      </c>
      <c r="U1529" s="428"/>
      <c r="V1529" s="427">
        <f>SUM(V1524:V1528)</f>
        <v>0</v>
      </c>
      <c r="W1529" s="69"/>
      <c r="X1529" s="427">
        <f>SUM(X1524:X1528)</f>
        <v>0</v>
      </c>
      <c r="Y1529" s="69"/>
      <c r="Z1529" s="427">
        <f>SUM(Z1524:Z1528)</f>
        <v>0</v>
      </c>
      <c r="AA1529" s="69"/>
      <c r="AB1529" s="427">
        <f>SUM(AB1524:AB1528)</f>
        <v>0</v>
      </c>
      <c r="AC1529" s="69"/>
      <c r="AD1529" s="427">
        <f>SUM(AD1524:AD1528)</f>
        <v>0</v>
      </c>
      <c r="AE1529" s="69"/>
      <c r="AF1529" s="429"/>
      <c r="AG1529" s="430"/>
      <c r="AH1529" s="431"/>
      <c r="AI1529" s="432"/>
      <c r="AJ1529" s="65"/>
      <c r="AO1529" s="692"/>
      <c r="AP1529" s="692"/>
      <c r="AV1529" s="56"/>
    </row>
    <row r="1530" spans="1:48" ht="13.5" customHeight="1" outlineLevel="2" thickBot="1">
      <c r="A1530" s="119"/>
      <c r="B1530" s="82"/>
      <c r="C1530" s="433" t="s">
        <v>484</v>
      </c>
      <c r="D1530" s="433">
        <f>D1524</f>
        <v>0</v>
      </c>
      <c r="E1530" s="426"/>
      <c r="F1530" s="434">
        <f>AN1530</f>
        <v>0</v>
      </c>
      <c r="G1530" s="428"/>
      <c r="H1530" s="434">
        <f>H1529</f>
        <v>0</v>
      </c>
      <c r="I1530" s="69"/>
      <c r="J1530" s="434">
        <f>J1529</f>
        <v>0</v>
      </c>
      <c r="K1530" s="69"/>
      <c r="L1530" s="434">
        <f>L1529-AO1530</f>
        <v>0</v>
      </c>
      <c r="M1530" s="69"/>
      <c r="N1530" s="434">
        <f>N1529</f>
        <v>0</v>
      </c>
      <c r="O1530" s="69"/>
      <c r="P1530" s="434">
        <f>P1529</f>
        <v>0</v>
      </c>
      <c r="Q1530" s="69"/>
      <c r="R1530" s="429"/>
      <c r="S1530" s="430"/>
      <c r="T1530" s="434">
        <f>AO1530</f>
        <v>0</v>
      </c>
      <c r="U1530" s="428">
        <f>Q1529</f>
        <v>0</v>
      </c>
      <c r="V1530" s="434">
        <f>V1529</f>
        <v>0</v>
      </c>
      <c r="W1530" s="69">
        <f>S1529</f>
        <v>0</v>
      </c>
      <c r="X1530" s="434">
        <f>X1529-AN1530</f>
        <v>0</v>
      </c>
      <c r="Y1530" s="69">
        <f>U1529</f>
        <v>0</v>
      </c>
      <c r="Z1530" s="434">
        <f>Z1529</f>
        <v>0</v>
      </c>
      <c r="AA1530" s="69">
        <f>W1529</f>
        <v>0</v>
      </c>
      <c r="AB1530" s="434">
        <f>AB1529</f>
        <v>0</v>
      </c>
      <c r="AC1530" s="69">
        <f>Y1529</f>
        <v>0</v>
      </c>
      <c r="AD1530" s="434">
        <f>AD1529</f>
        <v>0</v>
      </c>
      <c r="AE1530" s="69"/>
      <c r="AF1530" s="429"/>
      <c r="AG1530" s="430"/>
      <c r="AH1530" s="431"/>
      <c r="AI1530" s="432"/>
      <c r="AJ1530" s="65"/>
      <c r="AN1530" s="695">
        <f>SUM(AF1524:AF1528)*AQ1530</f>
        <v>0</v>
      </c>
      <c r="AO1530" s="742">
        <f>SUM(R1524:R1528)*AQ1530</f>
        <v>0</v>
      </c>
      <c r="AP1530" s="742"/>
      <c r="AQ1530" s="693">
        <v>0.15</v>
      </c>
      <c r="AS1530" s="716">
        <f>SUM(AL1524:AL1528)</f>
        <v>0</v>
      </c>
      <c r="AT1530" s="461">
        <f>F1530+H1530+J1530+L1530+N1530+P1530+T1530+V1530+X1530+Z1530+AB1530+AD1530</f>
        <v>0</v>
      </c>
      <c r="AU1530" s="745">
        <f>AT1530-AS1530</f>
        <v>0</v>
      </c>
      <c r="AV1530" s="56"/>
    </row>
    <row r="1531" spans="1:48" ht="13.5" customHeight="1" outlineLevel="2" thickBot="1">
      <c r="A1531" s="73"/>
      <c r="B1531" s="82">
        <f>B1524+1</f>
        <v>12</v>
      </c>
      <c r="C1531" s="1233">
        <f>C90</f>
        <v>0</v>
      </c>
      <c r="D1531" s="1233">
        <f>D90</f>
        <v>0</v>
      </c>
      <c r="E1531" s="83" t="str">
        <f>'Terms and Turnovers'!$J$12</f>
        <v>FLIP-FLOPS</v>
      </c>
      <c r="F1531" s="118">
        <f>$R1531*G1531</f>
        <v>0</v>
      </c>
      <c r="G1531" s="69"/>
      <c r="H1531" s="314">
        <f>$R1531*I1531</f>
        <v>0</v>
      </c>
      <c r="I1531" s="69">
        <v>0</v>
      </c>
      <c r="J1531" s="118">
        <f>$R1531*K1531</f>
        <v>0</v>
      </c>
      <c r="K1531" s="69">
        <v>0.4</v>
      </c>
      <c r="L1531" s="314">
        <f>$R1531*M1531</f>
        <v>0</v>
      </c>
      <c r="M1531" s="69">
        <v>0.6</v>
      </c>
      <c r="N1531" s="314">
        <f>$R1531*O1531</f>
        <v>0</v>
      </c>
      <c r="O1531" s="69">
        <v>0</v>
      </c>
      <c r="P1531" s="118">
        <f>$R1531*Q1531</f>
        <v>0</v>
      </c>
      <c r="Q1531" s="69">
        <v>0</v>
      </c>
      <c r="R1531" s="87">
        <f>'Terms and Turnovers'!K143</f>
        <v>0</v>
      </c>
      <c r="S1531" s="160">
        <f>SUM(G1531,I1531,K1531,M1531,O1531,Q1531)</f>
        <v>1</v>
      </c>
      <c r="T1531" s="118">
        <f>$AF1531*U1531</f>
        <v>0</v>
      </c>
      <c r="U1531" s="69">
        <v>0</v>
      </c>
      <c r="V1531" s="314">
        <f>$AF1531*W1531</f>
        <v>0</v>
      </c>
      <c r="W1531" s="69">
        <v>0.4</v>
      </c>
      <c r="X1531" s="118">
        <f>$AF1531*Y1531</f>
        <v>0</v>
      </c>
      <c r="Y1531" s="69">
        <v>0.4</v>
      </c>
      <c r="Z1531" s="314">
        <f>$AF1531*AA1531</f>
        <v>0</v>
      </c>
      <c r="AA1531" s="69">
        <v>0.2</v>
      </c>
      <c r="AB1531" s="314">
        <f>$AF1531*AC1531</f>
        <v>0</v>
      </c>
      <c r="AC1531" s="69">
        <v>0</v>
      </c>
      <c r="AD1531" s="118">
        <f>$AF1531*AE1531</f>
        <v>0</v>
      </c>
      <c r="AE1531" s="69">
        <v>0</v>
      </c>
      <c r="AF1531" s="87">
        <f>'Terms and Turnovers'!P143</f>
        <v>0</v>
      </c>
      <c r="AG1531" s="160">
        <f>SUM(U1531,W1531,Y1531,AA1531,AC1531,AE1531)</f>
        <v>1</v>
      </c>
      <c r="AH1531" s="157">
        <f>SUM(R1531,AF1531)</f>
        <v>0</v>
      </c>
      <c r="AI1531" s="131">
        <f>S1531+AG1531</f>
        <v>2</v>
      </c>
      <c r="AJ1531" s="65"/>
      <c r="AL1531" s="461">
        <f>SUM(F1531,H1531,J1531,L1531,N1531,P1531,T1531,V1531,X1531,Z1531,AB1531,AD1531)</f>
        <v>0</v>
      </c>
      <c r="AM1531" s="462">
        <f>AL1531-AH1531</f>
        <v>0</v>
      </c>
      <c r="AO1531" s="692"/>
      <c r="AP1531" s="692"/>
      <c r="AV1531" s="56"/>
    </row>
    <row r="1532" spans="1:48" ht="12" customHeight="1" outlineLevel="2" thickBot="1">
      <c r="B1532" s="82"/>
      <c r="C1532" s="1234"/>
      <c r="D1532" s="1234"/>
      <c r="E1532" s="84" t="str">
        <f>'Terms and Turnovers'!$T$12</f>
        <v>ORIGINALS</v>
      </c>
      <c r="F1532" s="120">
        <f>$R1532*G1532</f>
        <v>0</v>
      </c>
      <c r="G1532" s="723"/>
      <c r="H1532" s="120">
        <f>$R1532*I1532</f>
        <v>0</v>
      </c>
      <c r="I1532" s="69">
        <v>0</v>
      </c>
      <c r="J1532" s="120">
        <f>$R1532*K1532</f>
        <v>0</v>
      </c>
      <c r="K1532" s="69">
        <v>0.4</v>
      </c>
      <c r="L1532" s="120">
        <f>$R1532*M1532</f>
        <v>0</v>
      </c>
      <c r="M1532" s="69">
        <v>0.6</v>
      </c>
      <c r="N1532" s="315">
        <f>$R1532*O1532</f>
        <v>0</v>
      </c>
      <c r="O1532" s="69">
        <v>0</v>
      </c>
      <c r="P1532" s="120">
        <f>$R1532*Q1532</f>
        <v>0</v>
      </c>
      <c r="Q1532" s="69">
        <v>0</v>
      </c>
      <c r="R1532" s="88">
        <f>'Terms and Turnovers'!U143</f>
        <v>0</v>
      </c>
      <c r="S1532" s="161">
        <f>SUM(G1532,I1532,K1532,M1532,O1532,Q1532)</f>
        <v>1</v>
      </c>
      <c r="T1532" s="120">
        <f>$AF1532*U1532</f>
        <v>0</v>
      </c>
      <c r="U1532" s="723">
        <v>0</v>
      </c>
      <c r="V1532" s="120">
        <f>$AF1532*W1532</f>
        <v>0</v>
      </c>
      <c r="W1532" s="69">
        <v>0.5</v>
      </c>
      <c r="X1532" s="120">
        <f>$AF1532*Y1532</f>
        <v>0</v>
      </c>
      <c r="Y1532" s="69">
        <v>0.5</v>
      </c>
      <c r="Z1532" s="120">
        <f>$AF1532*AA1532</f>
        <v>0</v>
      </c>
      <c r="AA1532" s="69">
        <v>0</v>
      </c>
      <c r="AB1532" s="315">
        <f>$AF1532*AC1532</f>
        <v>0</v>
      </c>
      <c r="AC1532" s="69">
        <v>0</v>
      </c>
      <c r="AD1532" s="120">
        <f>$AF1532*AE1532</f>
        <v>0</v>
      </c>
      <c r="AE1532" s="69">
        <v>0</v>
      </c>
      <c r="AF1532" s="88">
        <f>'Terms and Turnovers'!Z143</f>
        <v>0</v>
      </c>
      <c r="AG1532" s="161">
        <f>SUM(U1532,W1532,Y1532,AA1532,AC1532,AE1532)</f>
        <v>1</v>
      </c>
      <c r="AH1532" s="158">
        <f>SUM(R1532,AF1532)</f>
        <v>0</v>
      </c>
      <c r="AI1532" s="134">
        <f>S1532+AG1532</f>
        <v>2</v>
      </c>
      <c r="AJ1532" s="65"/>
      <c r="AL1532" s="461">
        <f>SUM(F1532,H1532,J1532,L1532,N1532,P1532,T1532,V1532,X1532,Z1532,AB1532,AD1532)</f>
        <v>0</v>
      </c>
      <c r="AM1532" s="462">
        <f>AL1532-AH1532</f>
        <v>0</v>
      </c>
      <c r="AO1532" s="692"/>
      <c r="AP1532" s="692"/>
      <c r="AV1532" s="56"/>
    </row>
    <row r="1533" spans="1:48" ht="13.5" customHeight="1" outlineLevel="2" thickBot="1">
      <c r="B1533" s="82"/>
      <c r="C1533" s="1234"/>
      <c r="D1533" s="1234"/>
      <c r="E1533" s="84" t="str">
        <f>'Terms and Turnovers'!$AD$12</f>
        <v>ACCESSORIES</v>
      </c>
      <c r="F1533" s="120">
        <f>$R1533*G1533</f>
        <v>0</v>
      </c>
      <c r="G1533" s="723"/>
      <c r="H1533" s="120">
        <f>$R1533*I1533</f>
        <v>0</v>
      </c>
      <c r="I1533" s="69">
        <v>0</v>
      </c>
      <c r="J1533" s="120">
        <f>$R1533*K1533</f>
        <v>0</v>
      </c>
      <c r="K1533" s="69">
        <v>0.4</v>
      </c>
      <c r="L1533" s="120">
        <f>$R1533*M1533</f>
        <v>0</v>
      </c>
      <c r="M1533" s="69">
        <v>0.6</v>
      </c>
      <c r="N1533" s="315">
        <f>$R1533*O1533</f>
        <v>0</v>
      </c>
      <c r="O1533" s="69">
        <v>0</v>
      </c>
      <c r="P1533" s="120">
        <f>$R1533*Q1533</f>
        <v>0</v>
      </c>
      <c r="Q1533" s="69">
        <v>0</v>
      </c>
      <c r="R1533" s="88">
        <f>'Terms and Turnovers'!AE143</f>
        <v>0</v>
      </c>
      <c r="S1533" s="161">
        <f>SUM(G1533,I1533,K1533,M1533,O1533,Q1533)</f>
        <v>1</v>
      </c>
      <c r="T1533" s="120">
        <f>$AF1533*U1533</f>
        <v>0</v>
      </c>
      <c r="U1533" s="723">
        <v>0</v>
      </c>
      <c r="V1533" s="120">
        <f>$AF1533*W1533</f>
        <v>0</v>
      </c>
      <c r="W1533" s="69">
        <v>0.5</v>
      </c>
      <c r="X1533" s="120">
        <f>$AF1533*Y1533</f>
        <v>0</v>
      </c>
      <c r="Y1533" s="69">
        <v>0.5</v>
      </c>
      <c r="Z1533" s="120">
        <f>$AF1533*AA1533</f>
        <v>0</v>
      </c>
      <c r="AA1533" s="69">
        <v>0</v>
      </c>
      <c r="AB1533" s="315">
        <f>$AF1533*AC1533</f>
        <v>0</v>
      </c>
      <c r="AC1533" s="69">
        <v>0</v>
      </c>
      <c r="AD1533" s="120">
        <f>$AF1533*AE1533</f>
        <v>0</v>
      </c>
      <c r="AE1533" s="69">
        <v>0</v>
      </c>
      <c r="AF1533" s="88">
        <f>'Terms and Turnovers'!AJ143</f>
        <v>0</v>
      </c>
      <c r="AG1533" s="161">
        <f>SUM(U1533,W1533,Y1533,AA1533,AC1533,AE1533)</f>
        <v>1</v>
      </c>
      <c r="AH1533" s="158">
        <f>SUM(R1533,AF1533)</f>
        <v>0</v>
      </c>
      <c r="AI1533" s="134">
        <f>S1533+AG1533</f>
        <v>2</v>
      </c>
      <c r="AJ1533" s="65"/>
      <c r="AL1533" s="461">
        <f>SUM(F1533,H1533,J1533,L1533,N1533,P1533,T1533,V1533,X1533,Z1533,AB1533,AD1533)</f>
        <v>0</v>
      </c>
      <c r="AM1533" s="462">
        <f>AL1533-AH1533</f>
        <v>0</v>
      </c>
      <c r="AO1533" s="692"/>
      <c r="AP1533" s="692"/>
      <c r="AV1533" s="56"/>
    </row>
    <row r="1534" spans="1:48" ht="13.5" customHeight="1" outlineLevel="2" thickBot="1">
      <c r="B1534" s="82"/>
      <c r="C1534" s="1234"/>
      <c r="D1534" s="1234"/>
      <c r="E1534" s="84">
        <f>'Terms and Turnovers'!$AN$12</f>
        <v>0</v>
      </c>
      <c r="F1534" s="120">
        <f>$R1534*G1534</f>
        <v>0</v>
      </c>
      <c r="G1534" s="723"/>
      <c r="H1534" s="120">
        <f>$R1534*I1534</f>
        <v>0</v>
      </c>
      <c r="I1534" s="69">
        <v>0</v>
      </c>
      <c r="J1534" s="120">
        <f>$R1534*K1534</f>
        <v>0</v>
      </c>
      <c r="K1534" s="69">
        <v>0.4</v>
      </c>
      <c r="L1534" s="120">
        <f>$R1534*M1534</f>
        <v>0</v>
      </c>
      <c r="M1534" s="69">
        <v>0.6</v>
      </c>
      <c r="N1534" s="315">
        <f>$R1534*O1534</f>
        <v>0</v>
      </c>
      <c r="O1534" s="69">
        <v>0</v>
      </c>
      <c r="P1534" s="120">
        <f>$R1534*Q1534</f>
        <v>0</v>
      </c>
      <c r="Q1534" s="69">
        <v>0</v>
      </c>
      <c r="R1534" s="88">
        <f>'Terms and Turnovers'!AO143</f>
        <v>0</v>
      </c>
      <c r="S1534" s="161">
        <f>SUM(G1534,I1534,K1534,M1534,O1534,Q1534)</f>
        <v>1</v>
      </c>
      <c r="T1534" s="120">
        <f>$AF1534*U1534</f>
        <v>0</v>
      </c>
      <c r="U1534" s="723">
        <v>0</v>
      </c>
      <c r="V1534" s="120">
        <f>$AF1534*W1534</f>
        <v>0</v>
      </c>
      <c r="W1534" s="69">
        <v>0.4</v>
      </c>
      <c r="X1534" s="120">
        <f>$AF1534*Y1534</f>
        <v>0</v>
      </c>
      <c r="Y1534" s="69">
        <v>0.4</v>
      </c>
      <c r="Z1534" s="120">
        <f>$AF1534*AA1534</f>
        <v>0</v>
      </c>
      <c r="AA1534" s="69">
        <v>0.2</v>
      </c>
      <c r="AB1534" s="315">
        <f>$AF1534*AC1534</f>
        <v>0</v>
      </c>
      <c r="AC1534" s="69">
        <v>0</v>
      </c>
      <c r="AD1534" s="120">
        <f>$AF1534*AE1534</f>
        <v>0</v>
      </c>
      <c r="AE1534" s="69">
        <v>0</v>
      </c>
      <c r="AF1534" s="88">
        <f>'Terms and Turnovers'!AT143</f>
        <v>0</v>
      </c>
      <c r="AG1534" s="161">
        <f>SUM(U1534,W1534,Y1534,AA1534,AC1534,AE1534)</f>
        <v>1</v>
      </c>
      <c r="AH1534" s="158">
        <f>SUM(R1534,AF1534)</f>
        <v>0</v>
      </c>
      <c r="AI1534" s="134">
        <f>S1534+AG1534</f>
        <v>2</v>
      </c>
      <c r="AJ1534" s="65"/>
      <c r="AL1534" s="461">
        <f>SUM(F1534,H1534,J1534,L1534,N1534,P1534,T1534,V1534,X1534,Z1534,AB1534,AD1534)</f>
        <v>0</v>
      </c>
      <c r="AM1534" s="462">
        <f>AL1534-AH1534</f>
        <v>0</v>
      </c>
      <c r="AO1534" s="692"/>
      <c r="AP1534" s="692"/>
      <c r="AV1534" s="56"/>
    </row>
    <row r="1535" spans="1:48" ht="13.5" customHeight="1" outlineLevel="2" thickBot="1">
      <c r="B1535" s="82"/>
      <c r="C1535" s="1235"/>
      <c r="D1535" s="1235"/>
      <c r="E1535" s="85">
        <f>'Terms and Turnovers'!$AX$12</f>
        <v>0</v>
      </c>
      <c r="F1535" s="121">
        <f>$R1535*G1535</f>
        <v>0</v>
      </c>
      <c r="G1535" s="72"/>
      <c r="H1535" s="121">
        <f>$R1535*I1535</f>
        <v>0</v>
      </c>
      <c r="I1535" s="69">
        <v>0</v>
      </c>
      <c r="J1535" s="121">
        <f>$R1535*K1535</f>
        <v>0</v>
      </c>
      <c r="K1535" s="69">
        <v>0.4</v>
      </c>
      <c r="L1535" s="121">
        <f>$R1535*M1535</f>
        <v>0</v>
      </c>
      <c r="M1535" s="69">
        <v>0.6</v>
      </c>
      <c r="N1535" s="316">
        <f>$R1535*O1535</f>
        <v>0</v>
      </c>
      <c r="O1535" s="69">
        <v>0</v>
      </c>
      <c r="P1535" s="121">
        <f>$R1535*Q1535</f>
        <v>0</v>
      </c>
      <c r="Q1535" s="69">
        <v>0</v>
      </c>
      <c r="R1535" s="89">
        <f>'Terms and Turnovers'!AY143</f>
        <v>0</v>
      </c>
      <c r="S1535" s="162">
        <f>SUM(G1535,I1535,K1535,M1535,O1535,Q1535)</f>
        <v>1</v>
      </c>
      <c r="T1535" s="121">
        <f>$AF1535*U1535</f>
        <v>0</v>
      </c>
      <c r="U1535" s="72">
        <v>0</v>
      </c>
      <c r="V1535" s="121">
        <f>$AF1535*W1535</f>
        <v>0</v>
      </c>
      <c r="W1535" s="69">
        <v>0.4</v>
      </c>
      <c r="X1535" s="121">
        <f>$AF1535*Y1535</f>
        <v>0</v>
      </c>
      <c r="Y1535" s="69">
        <v>0.4</v>
      </c>
      <c r="Z1535" s="121">
        <f>$AF1535*AA1535</f>
        <v>0</v>
      </c>
      <c r="AA1535" s="69">
        <v>0.2</v>
      </c>
      <c r="AB1535" s="316">
        <f>$AF1535*AC1535</f>
        <v>0</v>
      </c>
      <c r="AC1535" s="69">
        <v>0</v>
      </c>
      <c r="AD1535" s="121">
        <f>$AF1535*AE1535</f>
        <v>0</v>
      </c>
      <c r="AE1535" s="69">
        <v>0</v>
      </c>
      <c r="AF1535" s="89">
        <f>'Terms and Turnovers'!BD143</f>
        <v>0</v>
      </c>
      <c r="AG1535" s="162">
        <f>SUM(U1535,W1535,Y1535,AA1535,AC1535,AE1535)</f>
        <v>1</v>
      </c>
      <c r="AH1535" s="159">
        <f>SUM(R1535,AF1535)</f>
        <v>0</v>
      </c>
      <c r="AI1535" s="137">
        <f>S1535+AG1535</f>
        <v>2</v>
      </c>
      <c r="AJ1535" s="65"/>
      <c r="AL1535" s="461">
        <f>SUM(F1535,H1535,J1535,L1535,N1535,P1535,T1535,V1535,X1535,Z1535,AB1535,AD1535)</f>
        <v>0</v>
      </c>
      <c r="AM1535" s="462">
        <f>AL1535-AH1535</f>
        <v>0</v>
      </c>
      <c r="AO1535" s="692"/>
      <c r="AP1535" s="692"/>
      <c r="AV1535" s="56"/>
    </row>
    <row r="1536" spans="1:48" ht="13.5" customHeight="1" outlineLevel="2" thickBot="1">
      <c r="A1536" s="119"/>
      <c r="B1536" s="82"/>
      <c r="C1536" s="425"/>
      <c r="D1536" s="425"/>
      <c r="E1536" s="426"/>
      <c r="F1536" s="427">
        <f>SUM(F1531:F1535)</f>
        <v>0</v>
      </c>
      <c r="G1536" s="428"/>
      <c r="H1536" s="427">
        <f>SUM(H1531:H1535)</f>
        <v>0</v>
      </c>
      <c r="I1536" s="69"/>
      <c r="J1536" s="427">
        <f>SUM(J1531:J1535)</f>
        <v>0</v>
      </c>
      <c r="K1536" s="69"/>
      <c r="L1536" s="427">
        <f>SUM(L1531:L1535)</f>
        <v>0</v>
      </c>
      <c r="M1536" s="69"/>
      <c r="N1536" s="427">
        <f>SUM(N1531:N1535)</f>
        <v>0</v>
      </c>
      <c r="O1536" s="69"/>
      <c r="P1536" s="427">
        <f>SUM(P1531:P1535)</f>
        <v>0</v>
      </c>
      <c r="Q1536" s="69"/>
      <c r="R1536" s="429"/>
      <c r="S1536" s="430"/>
      <c r="T1536" s="427">
        <f>SUM(T1531:T1535)</f>
        <v>0</v>
      </c>
      <c r="U1536" s="428"/>
      <c r="V1536" s="427">
        <f>SUM(V1531:V1535)</f>
        <v>0</v>
      </c>
      <c r="W1536" s="69"/>
      <c r="X1536" s="427">
        <f>SUM(X1531:X1535)</f>
        <v>0</v>
      </c>
      <c r="Y1536" s="69"/>
      <c r="Z1536" s="427">
        <f>SUM(Z1531:Z1535)</f>
        <v>0</v>
      </c>
      <c r="AA1536" s="69"/>
      <c r="AB1536" s="427">
        <f>SUM(AB1531:AB1535)</f>
        <v>0</v>
      </c>
      <c r="AC1536" s="69"/>
      <c r="AD1536" s="427">
        <f>SUM(AD1531:AD1535)</f>
        <v>0</v>
      </c>
      <c r="AE1536" s="69"/>
      <c r="AF1536" s="429"/>
      <c r="AG1536" s="430"/>
      <c r="AH1536" s="431"/>
      <c r="AI1536" s="432"/>
      <c r="AJ1536" s="65"/>
      <c r="AO1536" s="692"/>
      <c r="AP1536" s="692"/>
      <c r="AV1536" s="56"/>
    </row>
    <row r="1537" spans="1:48" ht="13.5" customHeight="1" outlineLevel="2" thickBot="1">
      <c r="A1537" s="119"/>
      <c r="B1537" s="82"/>
      <c r="C1537" s="433" t="s">
        <v>484</v>
      </c>
      <c r="D1537" s="433" t="s">
        <v>359</v>
      </c>
      <c r="E1537" s="426"/>
      <c r="F1537" s="434">
        <f>AN1537</f>
        <v>0</v>
      </c>
      <c r="G1537" s="428"/>
      <c r="H1537" s="434">
        <f>H1536</f>
        <v>0</v>
      </c>
      <c r="I1537" s="69"/>
      <c r="J1537" s="434">
        <f>J1536</f>
        <v>0</v>
      </c>
      <c r="K1537" s="69"/>
      <c r="L1537" s="434">
        <f>L1536-AO1537</f>
        <v>0</v>
      </c>
      <c r="M1537" s="69"/>
      <c r="N1537" s="434">
        <f>N1536</f>
        <v>0</v>
      </c>
      <c r="O1537" s="69"/>
      <c r="P1537" s="434">
        <f>P1536</f>
        <v>0</v>
      </c>
      <c r="Q1537" s="69"/>
      <c r="R1537" s="429"/>
      <c r="S1537" s="430"/>
      <c r="T1537" s="434">
        <f>AO1537</f>
        <v>0</v>
      </c>
      <c r="U1537" s="428">
        <f>Q1536</f>
        <v>0</v>
      </c>
      <c r="V1537" s="434">
        <f>V1536</f>
        <v>0</v>
      </c>
      <c r="W1537" s="69">
        <f>S1536</f>
        <v>0</v>
      </c>
      <c r="X1537" s="434">
        <f>X1536</f>
        <v>0</v>
      </c>
      <c r="Y1537" s="69">
        <f>U1536</f>
        <v>0</v>
      </c>
      <c r="Z1537" s="434">
        <f>Z1536</f>
        <v>0</v>
      </c>
      <c r="AA1537" s="69">
        <f>W1536</f>
        <v>0</v>
      </c>
      <c r="AB1537" s="434">
        <f>AB1536</f>
        <v>0</v>
      </c>
      <c r="AC1537" s="69">
        <f>Y1536</f>
        <v>0</v>
      </c>
      <c r="AD1537" s="434">
        <f>AD1536</f>
        <v>0</v>
      </c>
      <c r="AE1537" s="69"/>
      <c r="AF1537" s="429"/>
      <c r="AG1537" s="430"/>
      <c r="AH1537" s="431"/>
      <c r="AI1537" s="432"/>
      <c r="AJ1537" s="65"/>
      <c r="AN1537" s="695">
        <f>SUM(AF1531:AF1535)*AQ1537</f>
        <v>0</v>
      </c>
      <c r="AO1537" s="742">
        <f>SUM(R1531:R1535)*AQ1537</f>
        <v>0</v>
      </c>
      <c r="AP1537" s="742"/>
      <c r="AQ1537" s="693">
        <v>0.15</v>
      </c>
      <c r="AS1537" s="716">
        <f>SUM(AL1531:AL1535)</f>
        <v>0</v>
      </c>
      <c r="AT1537" s="461">
        <f>F1537+H1537+J1537+L1537+N1537+P1537+T1537+V1537+X1537+Z1537+AB1537+AD1537</f>
        <v>0</v>
      </c>
      <c r="AU1537" s="745">
        <f>AT1537-AS1537</f>
        <v>0</v>
      </c>
      <c r="AV1537" s="56"/>
    </row>
    <row r="1538" spans="1:48" ht="13.5" customHeight="1" outlineLevel="2" thickBot="1">
      <c r="B1538" s="82">
        <f>B1531+1</f>
        <v>13</v>
      </c>
      <c r="C1538" s="1233">
        <f>C97</f>
        <v>0</v>
      </c>
      <c r="D1538" s="1233">
        <f>D97</f>
        <v>0</v>
      </c>
      <c r="E1538" s="83" t="str">
        <f>'Terms and Turnovers'!$J$12</f>
        <v>FLIP-FLOPS</v>
      </c>
      <c r="F1538" s="118">
        <f>$R1538*G1538</f>
        <v>0</v>
      </c>
      <c r="G1538" s="69"/>
      <c r="H1538" s="314">
        <f>$R1538*I1538</f>
        <v>0</v>
      </c>
      <c r="I1538" s="69">
        <v>0</v>
      </c>
      <c r="J1538" s="118">
        <f>$R1538*K1538</f>
        <v>0</v>
      </c>
      <c r="K1538" s="69">
        <v>0.3</v>
      </c>
      <c r="L1538" s="314">
        <f>$R1538*M1538</f>
        <v>0</v>
      </c>
      <c r="M1538" s="69">
        <v>0.4</v>
      </c>
      <c r="N1538" s="314">
        <f>$R1538*O1538</f>
        <v>0</v>
      </c>
      <c r="O1538" s="69">
        <v>0.3</v>
      </c>
      <c r="P1538" s="118">
        <f>$R1538*Q1538</f>
        <v>0</v>
      </c>
      <c r="Q1538" s="69">
        <v>0</v>
      </c>
      <c r="R1538" s="87">
        <f>'Terms and Turnovers'!K144</f>
        <v>0</v>
      </c>
      <c r="S1538" s="160">
        <f>SUM(G1538,I1538,K1538,M1538,O1538,Q1538)</f>
        <v>1</v>
      </c>
      <c r="T1538" s="118">
        <f>$AF1538*U1538</f>
        <v>0</v>
      </c>
      <c r="U1538" s="69">
        <v>0</v>
      </c>
      <c r="V1538" s="314">
        <f>$AF1538*W1538</f>
        <v>0</v>
      </c>
      <c r="W1538" s="69">
        <v>0.4</v>
      </c>
      <c r="X1538" s="118">
        <f>$AF1538*Y1538</f>
        <v>0</v>
      </c>
      <c r="Y1538" s="69">
        <v>0.4</v>
      </c>
      <c r="Z1538" s="314">
        <f>$AF1538*AA1538</f>
        <v>0</v>
      </c>
      <c r="AA1538" s="69">
        <v>0.2</v>
      </c>
      <c r="AB1538" s="314">
        <f>$AF1538*AC1538</f>
        <v>0</v>
      </c>
      <c r="AC1538" s="69">
        <v>0</v>
      </c>
      <c r="AD1538" s="118">
        <f>$AF1538*AE1538</f>
        <v>0</v>
      </c>
      <c r="AE1538" s="69">
        <v>0</v>
      </c>
      <c r="AF1538" s="87">
        <f>'Terms and Turnovers'!P144</f>
        <v>0</v>
      </c>
      <c r="AG1538" s="160">
        <f>SUM(U1538,W1538,Y1538,AA1538,AC1538,AE1538)</f>
        <v>1</v>
      </c>
      <c r="AH1538" s="157">
        <f>SUM(R1538,AF1538)</f>
        <v>0</v>
      </c>
      <c r="AI1538" s="131">
        <f>S1538+AG1538</f>
        <v>2</v>
      </c>
      <c r="AJ1538" s="65"/>
      <c r="AL1538" s="461">
        <f>SUM(F1538,H1538,J1538,L1538,N1538,P1538,T1538,V1538,X1538,Z1538,AB1538,AD1538)</f>
        <v>0</v>
      </c>
      <c r="AM1538" s="462">
        <f>AL1538-AH1538</f>
        <v>0</v>
      </c>
      <c r="AO1538" s="692"/>
      <c r="AP1538" s="692"/>
      <c r="AV1538" s="56"/>
    </row>
    <row r="1539" spans="1:48" ht="13.5" customHeight="1" outlineLevel="2" thickBot="1">
      <c r="B1539" s="82"/>
      <c r="C1539" s="1234"/>
      <c r="D1539" s="1234"/>
      <c r="E1539" s="84" t="str">
        <f>'Terms and Turnovers'!$T$12</f>
        <v>ORIGINALS</v>
      </c>
      <c r="F1539" s="120">
        <f>$R1539*G1539</f>
        <v>0</v>
      </c>
      <c r="G1539" s="723"/>
      <c r="H1539" s="120">
        <f>$R1539*I1539</f>
        <v>0</v>
      </c>
      <c r="I1539" s="69">
        <v>0</v>
      </c>
      <c r="J1539" s="120">
        <f>$R1539*K1539</f>
        <v>0</v>
      </c>
      <c r="K1539" s="69">
        <v>0.5</v>
      </c>
      <c r="L1539" s="120">
        <f>$R1539*M1539</f>
        <v>0</v>
      </c>
      <c r="M1539" s="69">
        <v>0.5</v>
      </c>
      <c r="N1539" s="315">
        <f>$R1539*O1539</f>
        <v>0</v>
      </c>
      <c r="O1539" s="69">
        <v>0</v>
      </c>
      <c r="P1539" s="120">
        <f>$R1539*Q1539</f>
        <v>0</v>
      </c>
      <c r="Q1539" s="69">
        <v>0</v>
      </c>
      <c r="R1539" s="88">
        <f>'Terms and Turnovers'!U144</f>
        <v>0</v>
      </c>
      <c r="S1539" s="161">
        <f>SUM(G1539,I1539,K1539,M1539,O1539,Q1539)</f>
        <v>1</v>
      </c>
      <c r="T1539" s="120">
        <f>$AF1539*U1539</f>
        <v>0</v>
      </c>
      <c r="U1539" s="723">
        <v>0</v>
      </c>
      <c r="V1539" s="120">
        <f>$AF1539*W1539</f>
        <v>0</v>
      </c>
      <c r="W1539" s="69">
        <v>0.5</v>
      </c>
      <c r="X1539" s="120">
        <f>$AF1539*Y1539</f>
        <v>0</v>
      </c>
      <c r="Y1539" s="69">
        <v>0.5</v>
      </c>
      <c r="Z1539" s="120">
        <f>$AF1539*AA1539</f>
        <v>0</v>
      </c>
      <c r="AA1539" s="69">
        <v>0</v>
      </c>
      <c r="AB1539" s="315">
        <f>$AF1539*AC1539</f>
        <v>0</v>
      </c>
      <c r="AC1539" s="69">
        <v>0</v>
      </c>
      <c r="AD1539" s="120">
        <f>$AF1539*AE1539</f>
        <v>0</v>
      </c>
      <c r="AE1539" s="69">
        <v>0</v>
      </c>
      <c r="AF1539" s="88">
        <f>'Terms and Turnovers'!Z144</f>
        <v>0</v>
      </c>
      <c r="AG1539" s="161">
        <f>SUM(U1539,W1539,Y1539,AA1539,AC1539,AE1539)</f>
        <v>1</v>
      </c>
      <c r="AH1539" s="158">
        <f>SUM(R1539,AF1539)</f>
        <v>0</v>
      </c>
      <c r="AI1539" s="134">
        <f>S1539+AG1539</f>
        <v>2</v>
      </c>
      <c r="AJ1539" s="65"/>
      <c r="AL1539" s="461">
        <f>SUM(F1539,H1539,J1539,L1539,N1539,P1539,T1539,V1539,X1539,Z1539,AB1539,AD1539)</f>
        <v>0</v>
      </c>
      <c r="AM1539" s="462">
        <f>AL1539-AH1539</f>
        <v>0</v>
      </c>
      <c r="AO1539" s="692"/>
      <c r="AP1539" s="692"/>
      <c r="AV1539" s="56"/>
    </row>
    <row r="1540" spans="1:48" ht="13.5" customHeight="1" outlineLevel="2" thickBot="1">
      <c r="B1540" s="82"/>
      <c r="C1540" s="1234"/>
      <c r="D1540" s="1234"/>
      <c r="E1540" s="84" t="str">
        <f>'Terms and Turnovers'!$AD$12</f>
        <v>ACCESSORIES</v>
      </c>
      <c r="F1540" s="120">
        <f>$R1540*G1540</f>
        <v>0</v>
      </c>
      <c r="G1540" s="723"/>
      <c r="H1540" s="120">
        <f>$R1540*I1540</f>
        <v>0</v>
      </c>
      <c r="I1540" s="69">
        <v>0</v>
      </c>
      <c r="J1540" s="120">
        <f>$R1540*K1540</f>
        <v>0</v>
      </c>
      <c r="K1540" s="69">
        <v>0.5</v>
      </c>
      <c r="L1540" s="120">
        <f>$R1540*M1540</f>
        <v>0</v>
      </c>
      <c r="M1540" s="69">
        <v>0.5</v>
      </c>
      <c r="N1540" s="315">
        <f>$R1540*O1540</f>
        <v>0</v>
      </c>
      <c r="O1540" s="69">
        <v>0</v>
      </c>
      <c r="P1540" s="120">
        <f>$R1540*Q1540</f>
        <v>0</v>
      </c>
      <c r="Q1540" s="69">
        <v>0</v>
      </c>
      <c r="R1540" s="88">
        <f>'Terms and Turnovers'!AE144</f>
        <v>0</v>
      </c>
      <c r="S1540" s="161">
        <f>SUM(G1540,I1540,K1540,M1540,O1540,Q1540)</f>
        <v>1</v>
      </c>
      <c r="T1540" s="120">
        <f>$AF1540*U1540</f>
        <v>0</v>
      </c>
      <c r="U1540" s="723">
        <v>0</v>
      </c>
      <c r="V1540" s="120">
        <f>$AF1540*W1540</f>
        <v>0</v>
      </c>
      <c r="W1540" s="69">
        <v>0.5</v>
      </c>
      <c r="X1540" s="120">
        <f>$AF1540*Y1540</f>
        <v>0</v>
      </c>
      <c r="Y1540" s="69">
        <v>0.5</v>
      </c>
      <c r="Z1540" s="120">
        <f>$AF1540*AA1540</f>
        <v>0</v>
      </c>
      <c r="AA1540" s="69">
        <v>0</v>
      </c>
      <c r="AB1540" s="315">
        <f>$AF1540*AC1540</f>
        <v>0</v>
      </c>
      <c r="AC1540" s="69">
        <v>0</v>
      </c>
      <c r="AD1540" s="120">
        <f>$AF1540*AE1540</f>
        <v>0</v>
      </c>
      <c r="AE1540" s="69">
        <v>0</v>
      </c>
      <c r="AF1540" s="88">
        <f>'Terms and Turnovers'!AJ144</f>
        <v>0</v>
      </c>
      <c r="AG1540" s="161">
        <f>SUM(U1540,W1540,Y1540,AA1540,AC1540,AE1540)</f>
        <v>1</v>
      </c>
      <c r="AH1540" s="158">
        <f>SUM(R1540,AF1540)</f>
        <v>0</v>
      </c>
      <c r="AI1540" s="134">
        <f>S1540+AG1540</f>
        <v>2</v>
      </c>
      <c r="AJ1540" s="65"/>
      <c r="AL1540" s="461">
        <f>SUM(F1540,H1540,J1540,L1540,N1540,P1540,T1540,V1540,X1540,Z1540,AB1540,AD1540)</f>
        <v>0</v>
      </c>
      <c r="AM1540" s="462">
        <f>AL1540-AH1540</f>
        <v>0</v>
      </c>
      <c r="AO1540" s="692"/>
      <c r="AP1540" s="692"/>
      <c r="AV1540" s="56"/>
    </row>
    <row r="1541" spans="1:48" ht="13.5" customHeight="1" outlineLevel="2" thickBot="1">
      <c r="B1541" s="82"/>
      <c r="C1541" s="1234"/>
      <c r="D1541" s="1234"/>
      <c r="E1541" s="84">
        <f>'Terms and Turnovers'!$AN$12</f>
        <v>0</v>
      </c>
      <c r="F1541" s="120">
        <f>$R1541*G1541</f>
        <v>0</v>
      </c>
      <c r="G1541" s="723"/>
      <c r="H1541" s="120">
        <f>$R1541*I1541</f>
        <v>0</v>
      </c>
      <c r="I1541" s="69">
        <v>0</v>
      </c>
      <c r="J1541" s="120">
        <f>$R1541*K1541</f>
        <v>0</v>
      </c>
      <c r="K1541" s="69">
        <v>0.3</v>
      </c>
      <c r="L1541" s="120">
        <f>$R1541*M1541</f>
        <v>0</v>
      </c>
      <c r="M1541" s="69">
        <v>0.4</v>
      </c>
      <c r="N1541" s="315">
        <f>$R1541*O1541</f>
        <v>0</v>
      </c>
      <c r="O1541" s="69">
        <v>0.3</v>
      </c>
      <c r="P1541" s="120">
        <f>$R1541*Q1541</f>
        <v>0</v>
      </c>
      <c r="Q1541" s="69">
        <v>0</v>
      </c>
      <c r="R1541" s="88">
        <f>'Terms and Turnovers'!AO144</f>
        <v>0</v>
      </c>
      <c r="S1541" s="161">
        <f>SUM(G1541,I1541,K1541,M1541,O1541,Q1541)</f>
        <v>1</v>
      </c>
      <c r="T1541" s="120">
        <f>$AF1541*U1541</f>
        <v>0</v>
      </c>
      <c r="U1541" s="723">
        <v>0</v>
      </c>
      <c r="V1541" s="120">
        <f>$AF1541*W1541</f>
        <v>0</v>
      </c>
      <c r="W1541" s="69">
        <v>0.4</v>
      </c>
      <c r="X1541" s="120">
        <f>$AF1541*Y1541</f>
        <v>0</v>
      </c>
      <c r="Y1541" s="69">
        <v>0.4</v>
      </c>
      <c r="Z1541" s="120">
        <f>$AF1541*AA1541</f>
        <v>0</v>
      </c>
      <c r="AA1541" s="69">
        <v>0.2</v>
      </c>
      <c r="AB1541" s="315">
        <f>$AF1541*AC1541</f>
        <v>0</v>
      </c>
      <c r="AC1541" s="69">
        <v>0</v>
      </c>
      <c r="AD1541" s="120">
        <f>$AF1541*AE1541</f>
        <v>0</v>
      </c>
      <c r="AE1541" s="69">
        <v>0</v>
      </c>
      <c r="AF1541" s="88">
        <f>'Terms and Turnovers'!AT144</f>
        <v>0</v>
      </c>
      <c r="AG1541" s="161">
        <f>SUM(U1541,W1541,Y1541,AA1541,AC1541,AE1541)</f>
        <v>1</v>
      </c>
      <c r="AH1541" s="158">
        <f>SUM(R1541,AF1541)</f>
        <v>0</v>
      </c>
      <c r="AI1541" s="134">
        <f>S1541+AG1541</f>
        <v>2</v>
      </c>
      <c r="AJ1541" s="65"/>
      <c r="AL1541" s="461">
        <f>SUM(F1541,H1541,J1541,L1541,N1541,P1541,T1541,V1541,X1541,Z1541,AB1541,AD1541)</f>
        <v>0</v>
      </c>
      <c r="AM1541" s="462">
        <f>AL1541-AH1541</f>
        <v>0</v>
      </c>
      <c r="AO1541" s="692"/>
      <c r="AP1541" s="692"/>
      <c r="AV1541" s="56"/>
    </row>
    <row r="1542" spans="1:48" ht="13.5" customHeight="1" outlineLevel="2" thickBot="1">
      <c r="B1542" s="82"/>
      <c r="C1542" s="1235"/>
      <c r="D1542" s="1235"/>
      <c r="E1542" s="85">
        <f>'Terms and Turnovers'!$AX$12</f>
        <v>0</v>
      </c>
      <c r="F1542" s="121">
        <f>$R1542*G1542</f>
        <v>0</v>
      </c>
      <c r="G1542" s="72"/>
      <c r="H1542" s="121">
        <f>$R1542*I1542</f>
        <v>0</v>
      </c>
      <c r="I1542" s="69">
        <v>0</v>
      </c>
      <c r="J1542" s="121">
        <f>$R1542*K1542</f>
        <v>0</v>
      </c>
      <c r="K1542" s="69">
        <v>0.3</v>
      </c>
      <c r="L1542" s="121">
        <f>$R1542*M1542</f>
        <v>0</v>
      </c>
      <c r="M1542" s="69">
        <v>0.4</v>
      </c>
      <c r="N1542" s="316">
        <f>$R1542*O1542</f>
        <v>0</v>
      </c>
      <c r="O1542" s="69">
        <v>0.3</v>
      </c>
      <c r="P1542" s="121">
        <f>$R1542*Q1542</f>
        <v>0</v>
      </c>
      <c r="Q1542" s="69">
        <v>0</v>
      </c>
      <c r="R1542" s="89">
        <f>'Terms and Turnovers'!AY144</f>
        <v>0</v>
      </c>
      <c r="S1542" s="162">
        <f>SUM(G1542,I1542,K1542,M1542,O1542,Q1542)</f>
        <v>1</v>
      </c>
      <c r="T1542" s="121">
        <f>$AF1542*U1542</f>
        <v>0</v>
      </c>
      <c r="U1542" s="72">
        <v>0</v>
      </c>
      <c r="V1542" s="121">
        <f>$AF1542*W1542</f>
        <v>0</v>
      </c>
      <c r="W1542" s="69">
        <v>0.4</v>
      </c>
      <c r="X1542" s="121">
        <f>$AF1542*Y1542</f>
        <v>0</v>
      </c>
      <c r="Y1542" s="69">
        <v>0.4</v>
      </c>
      <c r="Z1542" s="121">
        <f>$AF1542*AA1542</f>
        <v>0</v>
      </c>
      <c r="AA1542" s="69">
        <v>0.2</v>
      </c>
      <c r="AB1542" s="316">
        <f>$AF1542*AC1542</f>
        <v>0</v>
      </c>
      <c r="AC1542" s="69">
        <v>0</v>
      </c>
      <c r="AD1542" s="121">
        <f>$AF1542*AE1542</f>
        <v>0</v>
      </c>
      <c r="AE1542" s="69">
        <v>0</v>
      </c>
      <c r="AF1542" s="89">
        <f>'Terms and Turnovers'!BD144</f>
        <v>0</v>
      </c>
      <c r="AG1542" s="162">
        <f>SUM(U1542,W1542,Y1542,AA1542,AC1542,AE1542)</f>
        <v>1</v>
      </c>
      <c r="AH1542" s="159">
        <f>SUM(R1542,AF1542)</f>
        <v>0</v>
      </c>
      <c r="AI1542" s="137">
        <f>S1542+AG1542</f>
        <v>2</v>
      </c>
      <c r="AJ1542" s="65"/>
      <c r="AL1542" s="461">
        <f>SUM(F1542,H1542,J1542,L1542,N1542,P1542,T1542,V1542,X1542,Z1542,AB1542,AD1542)</f>
        <v>0</v>
      </c>
      <c r="AM1542" s="462">
        <f>AL1542-AH1542</f>
        <v>0</v>
      </c>
      <c r="AO1542" s="692"/>
      <c r="AP1542" s="692"/>
      <c r="AV1542" s="56"/>
    </row>
    <row r="1543" spans="1:48" ht="13.5" customHeight="1" outlineLevel="2" thickBot="1">
      <c r="A1543" s="119"/>
      <c r="B1543" s="82"/>
      <c r="C1543" s="425"/>
      <c r="D1543" s="425"/>
      <c r="E1543" s="426"/>
      <c r="F1543" s="427">
        <f>SUM(F1538:F1542)</f>
        <v>0</v>
      </c>
      <c r="G1543" s="428"/>
      <c r="H1543" s="427">
        <f>SUM(H1538:H1542)</f>
        <v>0</v>
      </c>
      <c r="I1543" s="69"/>
      <c r="J1543" s="427">
        <f>SUM(J1538:J1542)</f>
        <v>0</v>
      </c>
      <c r="K1543" s="69"/>
      <c r="L1543" s="427">
        <f>SUM(L1538:L1542)</f>
        <v>0</v>
      </c>
      <c r="M1543" s="69"/>
      <c r="N1543" s="427">
        <f>SUM(N1538:N1542)</f>
        <v>0</v>
      </c>
      <c r="O1543" s="69"/>
      <c r="P1543" s="427">
        <f>SUM(P1538:P1542)</f>
        <v>0</v>
      </c>
      <c r="Q1543" s="69"/>
      <c r="R1543" s="429"/>
      <c r="S1543" s="430"/>
      <c r="T1543" s="427">
        <f>SUM(T1538:T1542)</f>
        <v>0</v>
      </c>
      <c r="U1543" s="428"/>
      <c r="V1543" s="427">
        <f>SUM(V1538:V1542)</f>
        <v>0</v>
      </c>
      <c r="W1543" s="69"/>
      <c r="X1543" s="427">
        <f>SUM(X1538:X1542)</f>
        <v>0</v>
      </c>
      <c r="Y1543" s="69"/>
      <c r="Z1543" s="427">
        <f>SUM(Z1538:Z1542)</f>
        <v>0</v>
      </c>
      <c r="AA1543" s="69"/>
      <c r="AB1543" s="427">
        <f>SUM(AB1538:AB1542)</f>
        <v>0</v>
      </c>
      <c r="AC1543" s="69"/>
      <c r="AD1543" s="427">
        <f>SUM(AD1538:AD1542)</f>
        <v>0</v>
      </c>
      <c r="AE1543" s="69"/>
      <c r="AF1543" s="429"/>
      <c r="AG1543" s="430"/>
      <c r="AH1543" s="431"/>
      <c r="AI1543" s="432"/>
      <c r="AJ1543" s="65"/>
      <c r="AO1543" s="692"/>
      <c r="AP1543" s="692"/>
      <c r="AV1543" s="56"/>
    </row>
    <row r="1544" spans="1:48" ht="13.5" customHeight="1" outlineLevel="2" thickBot="1">
      <c r="A1544" s="119"/>
      <c r="B1544" s="82"/>
      <c r="C1544" s="433" t="s">
        <v>484</v>
      </c>
      <c r="D1544" s="433" t="s">
        <v>339</v>
      </c>
      <c r="E1544" s="426"/>
      <c r="F1544" s="434">
        <f>AN1544</f>
        <v>0</v>
      </c>
      <c r="G1544" s="428"/>
      <c r="H1544" s="434">
        <f>H1543</f>
        <v>0</v>
      </c>
      <c r="I1544" s="69"/>
      <c r="J1544" s="434">
        <f>J1543</f>
        <v>0</v>
      </c>
      <c r="K1544" s="69"/>
      <c r="L1544" s="434">
        <f>L1543</f>
        <v>0</v>
      </c>
      <c r="M1544" s="69"/>
      <c r="N1544" s="434">
        <f>N1543</f>
        <v>0</v>
      </c>
      <c r="O1544" s="69"/>
      <c r="P1544" s="434">
        <f>P1543</f>
        <v>0</v>
      </c>
      <c r="Q1544" s="69"/>
      <c r="R1544" s="429"/>
      <c r="S1544" s="430"/>
      <c r="T1544" s="434">
        <f>T1543</f>
        <v>0</v>
      </c>
      <c r="U1544" s="428">
        <f>Q1543</f>
        <v>0</v>
      </c>
      <c r="V1544" s="434">
        <f>V1543</f>
        <v>0</v>
      </c>
      <c r="W1544" s="69">
        <f>S1543</f>
        <v>0</v>
      </c>
      <c r="X1544" s="434">
        <f>X1543</f>
        <v>0</v>
      </c>
      <c r="Y1544" s="69">
        <f>U1543</f>
        <v>0</v>
      </c>
      <c r="Z1544" s="434">
        <f>Z1543</f>
        <v>0</v>
      </c>
      <c r="AA1544" s="69">
        <f>W1543</f>
        <v>0</v>
      </c>
      <c r="AB1544" s="434">
        <f>AB1543</f>
        <v>0</v>
      </c>
      <c r="AC1544" s="69">
        <f>Y1543</f>
        <v>0</v>
      </c>
      <c r="AD1544" s="434">
        <f>AD1543</f>
        <v>0</v>
      </c>
      <c r="AE1544" s="69"/>
      <c r="AF1544" s="429"/>
      <c r="AG1544" s="430"/>
      <c r="AH1544" s="431"/>
      <c r="AI1544" s="432"/>
      <c r="AJ1544" s="65"/>
      <c r="AN1544" s="695">
        <f>SUM(AF1538:AF1542)*AQ1544</f>
        <v>0</v>
      </c>
      <c r="AO1544" s="742">
        <f>SUM(R1538:R1542)*AQ1544</f>
        <v>0</v>
      </c>
      <c r="AP1544" s="742"/>
      <c r="AQ1544" s="693">
        <v>0.15</v>
      </c>
      <c r="AS1544" s="716">
        <f>SUM(AL1538:AL1542)</f>
        <v>0</v>
      </c>
      <c r="AT1544" s="461">
        <f>F1544+H1544+J1544+L1544+N1544+P1544+T1544+V1544+X1544+Z1544+AB1544+AD1544</f>
        <v>0</v>
      </c>
      <c r="AU1544" s="745">
        <f>AT1544-AS1544</f>
        <v>0</v>
      </c>
      <c r="AV1544" s="56"/>
    </row>
    <row r="1545" spans="1:48" ht="13.5" customHeight="1" outlineLevel="2" thickBot="1">
      <c r="B1545" s="82">
        <f>B1538+1</f>
        <v>14</v>
      </c>
      <c r="C1545" s="1233">
        <f>C104</f>
        <v>0</v>
      </c>
      <c r="D1545" s="1233">
        <f>D104</f>
        <v>0</v>
      </c>
      <c r="E1545" s="83" t="str">
        <f>'Terms and Turnovers'!$J$12</f>
        <v>FLIP-FLOPS</v>
      </c>
      <c r="F1545" s="118">
        <f>$R1545*G1545</f>
        <v>0</v>
      </c>
      <c r="G1545" s="69"/>
      <c r="H1545" s="314">
        <f>$R1545*I1545</f>
        <v>0</v>
      </c>
      <c r="I1545" s="69">
        <v>0</v>
      </c>
      <c r="J1545" s="118">
        <f>$R1545*K1545</f>
        <v>0</v>
      </c>
      <c r="K1545" s="69">
        <v>0.5</v>
      </c>
      <c r="L1545" s="314">
        <f>$R1545*M1545</f>
        <v>0</v>
      </c>
      <c r="M1545" s="69">
        <v>0.5</v>
      </c>
      <c r="N1545" s="314">
        <f>$R1545*O1545</f>
        <v>0</v>
      </c>
      <c r="O1545" s="69">
        <v>0</v>
      </c>
      <c r="P1545" s="118">
        <f>$R1545*Q1545</f>
        <v>0</v>
      </c>
      <c r="Q1545" s="69">
        <v>0</v>
      </c>
      <c r="R1545" s="87">
        <f>'Terms and Turnovers'!K145</f>
        <v>0</v>
      </c>
      <c r="S1545" s="160">
        <f>SUM(G1545,I1545,K1545,M1545,O1545,Q1545)</f>
        <v>1</v>
      </c>
      <c r="T1545" s="118">
        <f>$AF1545*U1545</f>
        <v>0</v>
      </c>
      <c r="U1545" s="69">
        <v>0</v>
      </c>
      <c r="V1545" s="314">
        <f>$AF1545*W1545</f>
        <v>0</v>
      </c>
      <c r="W1545" s="69">
        <v>0.4</v>
      </c>
      <c r="X1545" s="118">
        <f>$AF1545*Y1545</f>
        <v>0</v>
      </c>
      <c r="Y1545" s="69">
        <v>0.4</v>
      </c>
      <c r="Z1545" s="314">
        <f>$AF1545*AA1545</f>
        <v>0</v>
      </c>
      <c r="AA1545" s="69">
        <v>0.2</v>
      </c>
      <c r="AB1545" s="314">
        <f>$AF1545*AC1545</f>
        <v>0</v>
      </c>
      <c r="AC1545" s="69">
        <v>0</v>
      </c>
      <c r="AD1545" s="118">
        <f>$AF1545*AE1545</f>
        <v>0</v>
      </c>
      <c r="AE1545" s="69">
        <v>0</v>
      </c>
      <c r="AF1545" s="87">
        <f>'Terms and Turnovers'!P145</f>
        <v>0</v>
      </c>
      <c r="AG1545" s="160">
        <f>SUM(U1545,W1545,Y1545,AA1545,AC1545,AE1545)</f>
        <v>1</v>
      </c>
      <c r="AH1545" s="157">
        <f>SUM(R1545,AF1545)</f>
        <v>0</v>
      </c>
      <c r="AI1545" s="131">
        <f>S1545+AG1545</f>
        <v>2</v>
      </c>
      <c r="AJ1545" s="65"/>
      <c r="AL1545" s="461">
        <f>SUM(F1545,H1545,J1545,L1545,N1545,P1545,T1545,V1545,X1545,Z1545,AB1545,AD1545)</f>
        <v>0</v>
      </c>
      <c r="AM1545" s="462">
        <f>AL1545-AH1545</f>
        <v>0</v>
      </c>
      <c r="AO1545" s="692"/>
      <c r="AP1545" s="692"/>
      <c r="AV1545" s="56"/>
    </row>
    <row r="1546" spans="1:48" ht="13.5" customHeight="1" outlineLevel="2" thickBot="1">
      <c r="B1546" s="82"/>
      <c r="C1546" s="1234"/>
      <c r="D1546" s="1234"/>
      <c r="E1546" s="84" t="str">
        <f>'Terms and Turnovers'!$T$12</f>
        <v>ORIGINALS</v>
      </c>
      <c r="F1546" s="120">
        <f>$R1546*G1546</f>
        <v>0</v>
      </c>
      <c r="G1546" s="723"/>
      <c r="H1546" s="120">
        <f>$R1546*I1546</f>
        <v>0</v>
      </c>
      <c r="I1546" s="69">
        <v>0</v>
      </c>
      <c r="J1546" s="120">
        <f>$R1546*K1546</f>
        <v>0</v>
      </c>
      <c r="K1546" s="69">
        <v>0.5</v>
      </c>
      <c r="L1546" s="120">
        <f>$R1546*M1546</f>
        <v>0</v>
      </c>
      <c r="M1546" s="69">
        <v>0.5</v>
      </c>
      <c r="N1546" s="315">
        <f>$R1546*O1546</f>
        <v>0</v>
      </c>
      <c r="O1546" s="69">
        <v>0</v>
      </c>
      <c r="P1546" s="120">
        <f>$R1546*Q1546</f>
        <v>0</v>
      </c>
      <c r="Q1546" s="69">
        <v>0</v>
      </c>
      <c r="R1546" s="88">
        <f>'Terms and Turnovers'!U145</f>
        <v>0</v>
      </c>
      <c r="S1546" s="161">
        <f>SUM(G1546,I1546,K1546,M1546,O1546,Q1546)</f>
        <v>1</v>
      </c>
      <c r="T1546" s="120">
        <f>$AF1546*U1546</f>
        <v>0</v>
      </c>
      <c r="U1546" s="723">
        <v>0</v>
      </c>
      <c r="V1546" s="120">
        <f>$AF1546*W1546</f>
        <v>0</v>
      </c>
      <c r="W1546" s="69">
        <v>0.5</v>
      </c>
      <c r="X1546" s="120">
        <f>$AF1546*Y1546</f>
        <v>0</v>
      </c>
      <c r="Y1546" s="69">
        <v>0.5</v>
      </c>
      <c r="Z1546" s="120">
        <f>$AF1546*AA1546</f>
        <v>0</v>
      </c>
      <c r="AA1546" s="69">
        <v>0</v>
      </c>
      <c r="AB1546" s="315">
        <f>$AF1546*AC1546</f>
        <v>0</v>
      </c>
      <c r="AC1546" s="69">
        <v>0</v>
      </c>
      <c r="AD1546" s="120">
        <f>$AF1546*AE1546</f>
        <v>0</v>
      </c>
      <c r="AE1546" s="69">
        <v>0</v>
      </c>
      <c r="AF1546" s="88">
        <f>'Terms and Turnovers'!Z145</f>
        <v>0</v>
      </c>
      <c r="AG1546" s="161">
        <f>SUM(U1546,W1546,Y1546,AA1546,AC1546,AE1546)</f>
        <v>1</v>
      </c>
      <c r="AH1546" s="158">
        <f>SUM(R1546,AF1546)</f>
        <v>0</v>
      </c>
      <c r="AI1546" s="134">
        <f>S1546+AG1546</f>
        <v>2</v>
      </c>
      <c r="AJ1546" s="65"/>
      <c r="AL1546" s="461">
        <f>SUM(F1546,H1546,J1546,L1546,N1546,P1546,T1546,V1546,X1546,Z1546,AB1546,AD1546)</f>
        <v>0</v>
      </c>
      <c r="AM1546" s="462">
        <f>AL1546-AH1546</f>
        <v>0</v>
      </c>
      <c r="AO1546" s="692"/>
      <c r="AP1546" s="692"/>
      <c r="AV1546" s="56"/>
    </row>
    <row r="1547" spans="1:48" ht="13.5" customHeight="1" outlineLevel="2" thickBot="1">
      <c r="B1547" s="82"/>
      <c r="C1547" s="1234"/>
      <c r="D1547" s="1234"/>
      <c r="E1547" s="84" t="str">
        <f>'Terms and Turnovers'!$AD$12</f>
        <v>ACCESSORIES</v>
      </c>
      <c r="F1547" s="120">
        <f>$R1547*G1547</f>
        <v>0</v>
      </c>
      <c r="G1547" s="723"/>
      <c r="H1547" s="120">
        <f>$R1547*I1547</f>
        <v>0</v>
      </c>
      <c r="I1547" s="69">
        <v>0</v>
      </c>
      <c r="J1547" s="120">
        <f>$R1547*K1547</f>
        <v>0</v>
      </c>
      <c r="K1547" s="69">
        <v>0.5</v>
      </c>
      <c r="L1547" s="120">
        <f>$R1547*M1547</f>
        <v>0</v>
      </c>
      <c r="M1547" s="69">
        <v>0.5</v>
      </c>
      <c r="N1547" s="315">
        <f>$R1547*O1547</f>
        <v>0</v>
      </c>
      <c r="O1547" s="69">
        <v>0</v>
      </c>
      <c r="P1547" s="120">
        <f>$R1547*Q1547</f>
        <v>0</v>
      </c>
      <c r="Q1547" s="69">
        <v>0</v>
      </c>
      <c r="R1547" s="88">
        <f>'Terms and Turnovers'!AE145</f>
        <v>0</v>
      </c>
      <c r="S1547" s="161">
        <f>SUM(G1547,I1547,K1547,M1547,O1547,Q1547)</f>
        <v>1</v>
      </c>
      <c r="T1547" s="120">
        <f>$AF1547*U1547</f>
        <v>0</v>
      </c>
      <c r="U1547" s="723">
        <v>0</v>
      </c>
      <c r="V1547" s="120">
        <f>$AF1547*W1547</f>
        <v>0</v>
      </c>
      <c r="W1547" s="69">
        <v>0.5</v>
      </c>
      <c r="X1547" s="120">
        <f>$AF1547*Y1547</f>
        <v>0</v>
      </c>
      <c r="Y1547" s="69">
        <v>0.5</v>
      </c>
      <c r="Z1547" s="120">
        <f>$AF1547*AA1547</f>
        <v>0</v>
      </c>
      <c r="AA1547" s="69">
        <v>0</v>
      </c>
      <c r="AB1547" s="315">
        <f>$AF1547*AC1547</f>
        <v>0</v>
      </c>
      <c r="AC1547" s="69">
        <v>0</v>
      </c>
      <c r="AD1547" s="120">
        <f>$AF1547*AE1547</f>
        <v>0</v>
      </c>
      <c r="AE1547" s="69">
        <v>0</v>
      </c>
      <c r="AF1547" s="88">
        <f>'Terms and Turnovers'!AJ145</f>
        <v>0</v>
      </c>
      <c r="AG1547" s="161">
        <f>SUM(U1547,W1547,Y1547,AA1547,AC1547,AE1547)</f>
        <v>1</v>
      </c>
      <c r="AH1547" s="158">
        <f>SUM(R1547,AF1547)</f>
        <v>0</v>
      </c>
      <c r="AI1547" s="134">
        <f>S1547+AG1547</f>
        <v>2</v>
      </c>
      <c r="AJ1547" s="65"/>
      <c r="AL1547" s="461">
        <f>SUM(F1547,H1547,J1547,L1547,N1547,P1547,T1547,V1547,X1547,Z1547,AB1547,AD1547)</f>
        <v>0</v>
      </c>
      <c r="AM1547" s="462">
        <f>AL1547-AH1547</f>
        <v>0</v>
      </c>
      <c r="AO1547" s="692"/>
      <c r="AP1547" s="692"/>
      <c r="AV1547" s="56"/>
    </row>
    <row r="1548" spans="1:48" ht="13.5" customHeight="1" outlineLevel="2" thickBot="1">
      <c r="B1548" s="82"/>
      <c r="C1548" s="1234"/>
      <c r="D1548" s="1234"/>
      <c r="E1548" s="84">
        <f>'Terms and Turnovers'!$AN$12</f>
        <v>0</v>
      </c>
      <c r="F1548" s="120">
        <f>$R1548*G1548</f>
        <v>0</v>
      </c>
      <c r="G1548" s="723"/>
      <c r="H1548" s="120">
        <f>$R1548*I1548</f>
        <v>0</v>
      </c>
      <c r="I1548" s="69">
        <v>0</v>
      </c>
      <c r="J1548" s="120">
        <f>$R1548*K1548</f>
        <v>0</v>
      </c>
      <c r="K1548" s="69">
        <v>0.5</v>
      </c>
      <c r="L1548" s="120">
        <f>$R1548*M1548</f>
        <v>0</v>
      </c>
      <c r="M1548" s="69">
        <v>0.5</v>
      </c>
      <c r="N1548" s="315">
        <f>$R1548*O1548</f>
        <v>0</v>
      </c>
      <c r="O1548" s="69">
        <v>0</v>
      </c>
      <c r="P1548" s="120">
        <f>$R1548*Q1548</f>
        <v>0</v>
      </c>
      <c r="Q1548" s="69">
        <v>0</v>
      </c>
      <c r="R1548" s="88">
        <f>'Terms and Turnovers'!AO145</f>
        <v>0</v>
      </c>
      <c r="S1548" s="161">
        <f>SUM(G1548,I1548,K1548,M1548,O1548,Q1548)</f>
        <v>1</v>
      </c>
      <c r="T1548" s="120">
        <f>$AF1548*U1548</f>
        <v>0</v>
      </c>
      <c r="U1548" s="723">
        <v>0</v>
      </c>
      <c r="V1548" s="120">
        <f>$AF1548*W1548</f>
        <v>0</v>
      </c>
      <c r="W1548" s="69">
        <v>0.4</v>
      </c>
      <c r="X1548" s="120">
        <f>$AF1548*Y1548</f>
        <v>0</v>
      </c>
      <c r="Y1548" s="69">
        <v>0.4</v>
      </c>
      <c r="Z1548" s="120">
        <f>$AF1548*AA1548</f>
        <v>0</v>
      </c>
      <c r="AA1548" s="69">
        <v>0.2</v>
      </c>
      <c r="AB1548" s="315">
        <f>$AF1548*AC1548</f>
        <v>0</v>
      </c>
      <c r="AC1548" s="69">
        <v>0</v>
      </c>
      <c r="AD1548" s="120">
        <f>$AF1548*AE1548</f>
        <v>0</v>
      </c>
      <c r="AE1548" s="69">
        <v>0</v>
      </c>
      <c r="AF1548" s="88">
        <f>'Terms and Turnovers'!AT145</f>
        <v>0</v>
      </c>
      <c r="AG1548" s="161">
        <f>SUM(U1548,W1548,Y1548,AA1548,AC1548,AE1548)</f>
        <v>1</v>
      </c>
      <c r="AH1548" s="158">
        <f>SUM(R1548,AF1548)</f>
        <v>0</v>
      </c>
      <c r="AI1548" s="134">
        <f>S1548+AG1548</f>
        <v>2</v>
      </c>
      <c r="AJ1548" s="65"/>
      <c r="AL1548" s="461">
        <f>SUM(F1548,H1548,J1548,L1548,N1548,P1548,T1548,V1548,X1548,Z1548,AB1548,AD1548)</f>
        <v>0</v>
      </c>
      <c r="AM1548" s="462">
        <f>AL1548-AH1548</f>
        <v>0</v>
      </c>
      <c r="AO1548" s="692"/>
      <c r="AP1548" s="692"/>
      <c r="AV1548" s="56"/>
    </row>
    <row r="1549" spans="1:48" ht="13.5" customHeight="1" outlineLevel="2" thickBot="1">
      <c r="B1549" s="82"/>
      <c r="C1549" s="1235"/>
      <c r="D1549" s="1235"/>
      <c r="E1549" s="85">
        <f>'Terms and Turnovers'!$AX$12</f>
        <v>0</v>
      </c>
      <c r="F1549" s="121">
        <f>$R1549*G1549</f>
        <v>0</v>
      </c>
      <c r="G1549" s="72"/>
      <c r="H1549" s="121">
        <f>$R1549*I1549</f>
        <v>0</v>
      </c>
      <c r="I1549" s="69">
        <v>0</v>
      </c>
      <c r="J1549" s="121">
        <f>$R1549*K1549</f>
        <v>0</v>
      </c>
      <c r="K1549" s="69">
        <v>0.5</v>
      </c>
      <c r="L1549" s="121">
        <f>$R1549*M1549</f>
        <v>0</v>
      </c>
      <c r="M1549" s="69">
        <v>0.5</v>
      </c>
      <c r="N1549" s="316">
        <f>$R1549*O1549</f>
        <v>0</v>
      </c>
      <c r="O1549" s="69">
        <v>0</v>
      </c>
      <c r="P1549" s="121">
        <f>$R1549*Q1549</f>
        <v>0</v>
      </c>
      <c r="Q1549" s="69">
        <v>0</v>
      </c>
      <c r="R1549" s="89">
        <f>'Terms and Turnovers'!AY145</f>
        <v>0</v>
      </c>
      <c r="S1549" s="162">
        <f>SUM(G1549,I1549,K1549,M1549,O1549,Q1549)</f>
        <v>1</v>
      </c>
      <c r="T1549" s="121">
        <f>$AF1549*U1549</f>
        <v>0</v>
      </c>
      <c r="U1549" s="72">
        <v>0</v>
      </c>
      <c r="V1549" s="121">
        <f>$AF1549*W1549</f>
        <v>0</v>
      </c>
      <c r="W1549" s="69">
        <v>0.4</v>
      </c>
      <c r="X1549" s="121">
        <f>$AF1549*Y1549</f>
        <v>0</v>
      </c>
      <c r="Y1549" s="69">
        <v>0.4</v>
      </c>
      <c r="Z1549" s="121">
        <f>$AF1549*AA1549</f>
        <v>0</v>
      </c>
      <c r="AA1549" s="69">
        <v>0.2</v>
      </c>
      <c r="AB1549" s="316">
        <f>$AF1549*AC1549</f>
        <v>0</v>
      </c>
      <c r="AC1549" s="69">
        <v>0</v>
      </c>
      <c r="AD1549" s="121">
        <f>$AF1549*AE1549</f>
        <v>0</v>
      </c>
      <c r="AE1549" s="69">
        <v>0</v>
      </c>
      <c r="AF1549" s="89">
        <f>'Terms and Turnovers'!BD145</f>
        <v>0</v>
      </c>
      <c r="AG1549" s="162">
        <f>SUM(U1549,W1549,Y1549,AA1549,AC1549,AE1549)</f>
        <v>1</v>
      </c>
      <c r="AH1549" s="159">
        <f>SUM(R1549,AF1549)</f>
        <v>0</v>
      </c>
      <c r="AI1549" s="137">
        <f>S1549+AG1549</f>
        <v>2</v>
      </c>
      <c r="AJ1549" s="65"/>
      <c r="AL1549" s="461">
        <f>SUM(F1549,H1549,J1549,L1549,N1549,P1549,T1549,V1549,X1549,Z1549,AB1549,AD1549)</f>
        <v>0</v>
      </c>
      <c r="AM1549" s="462">
        <f>AL1549-AH1549</f>
        <v>0</v>
      </c>
      <c r="AO1549" s="692"/>
      <c r="AP1549" s="692"/>
      <c r="AV1549" s="56"/>
    </row>
    <row r="1550" spans="1:48" ht="13.5" customHeight="1" outlineLevel="2" thickBot="1">
      <c r="A1550" s="119"/>
      <c r="B1550" s="82"/>
      <c r="C1550" s="425"/>
      <c r="D1550" s="425"/>
      <c r="E1550" s="426"/>
      <c r="F1550" s="427">
        <f>SUM(F1545:F1549)</f>
        <v>0</v>
      </c>
      <c r="G1550" s="428"/>
      <c r="H1550" s="427">
        <f>SUM(H1545:H1549)</f>
        <v>0</v>
      </c>
      <c r="I1550" s="69"/>
      <c r="J1550" s="427">
        <f>SUM(J1545:J1549)</f>
        <v>0</v>
      </c>
      <c r="K1550" s="69"/>
      <c r="L1550" s="427">
        <f>SUM(L1545:L1549)</f>
        <v>0</v>
      </c>
      <c r="M1550" s="69"/>
      <c r="N1550" s="427">
        <f>SUM(N1545:N1549)</f>
        <v>0</v>
      </c>
      <c r="O1550" s="69"/>
      <c r="P1550" s="427">
        <f>SUM(P1545:P1549)</f>
        <v>0</v>
      </c>
      <c r="Q1550" s="69"/>
      <c r="R1550" s="429"/>
      <c r="S1550" s="430"/>
      <c r="T1550" s="427">
        <f>SUM(T1545:T1549)</f>
        <v>0</v>
      </c>
      <c r="U1550" s="428"/>
      <c r="V1550" s="427">
        <f>SUM(V1545:V1549)</f>
        <v>0</v>
      </c>
      <c r="W1550" s="69"/>
      <c r="X1550" s="427">
        <f>SUM(X1545:X1549)</f>
        <v>0</v>
      </c>
      <c r="Y1550" s="69"/>
      <c r="Z1550" s="427">
        <f>SUM(Z1545:Z1549)</f>
        <v>0</v>
      </c>
      <c r="AA1550" s="69"/>
      <c r="AB1550" s="427">
        <f>SUM(AB1545:AB1549)</f>
        <v>0</v>
      </c>
      <c r="AC1550" s="69"/>
      <c r="AD1550" s="427">
        <f>SUM(AD1545:AD1549)</f>
        <v>0</v>
      </c>
      <c r="AE1550" s="69"/>
      <c r="AF1550" s="429"/>
      <c r="AG1550" s="430"/>
      <c r="AH1550" s="431"/>
      <c r="AI1550" s="432"/>
      <c r="AJ1550" s="65"/>
      <c r="AO1550" s="692"/>
      <c r="AP1550" s="692"/>
      <c r="AV1550" s="56"/>
    </row>
    <row r="1551" spans="1:48" ht="13.5" customHeight="1" outlineLevel="2" thickBot="1">
      <c r="A1551" s="119"/>
      <c r="B1551" s="82"/>
      <c r="C1551" s="433" t="s">
        <v>484</v>
      </c>
      <c r="D1551" s="433" t="s">
        <v>458</v>
      </c>
      <c r="E1551" s="426"/>
      <c r="F1551" s="434">
        <f>AN1551</f>
        <v>0</v>
      </c>
      <c r="G1551" s="428"/>
      <c r="H1551" s="434">
        <f>H1550</f>
        <v>0</v>
      </c>
      <c r="I1551" s="69"/>
      <c r="J1551" s="434">
        <f>J1550</f>
        <v>0</v>
      </c>
      <c r="K1551" s="69"/>
      <c r="L1551" s="434">
        <f>L1550-AO1551</f>
        <v>0</v>
      </c>
      <c r="M1551" s="69"/>
      <c r="N1551" s="434">
        <f>N1550</f>
        <v>0</v>
      </c>
      <c r="O1551" s="69"/>
      <c r="P1551" s="434">
        <f>P1550</f>
        <v>0</v>
      </c>
      <c r="Q1551" s="69"/>
      <c r="R1551" s="429"/>
      <c r="S1551" s="430"/>
      <c r="T1551" s="434">
        <f>AO1551</f>
        <v>0</v>
      </c>
      <c r="U1551" s="428">
        <f>Q1550</f>
        <v>0</v>
      </c>
      <c r="V1551" s="434">
        <f>V1550</f>
        <v>0</v>
      </c>
      <c r="W1551" s="69">
        <f>S1550</f>
        <v>0</v>
      </c>
      <c r="X1551" s="434">
        <f>X1550</f>
        <v>0</v>
      </c>
      <c r="Y1551" s="69">
        <f>U1550</f>
        <v>0</v>
      </c>
      <c r="Z1551" s="434">
        <f>Z1550</f>
        <v>0</v>
      </c>
      <c r="AA1551" s="69">
        <f>W1550</f>
        <v>0</v>
      </c>
      <c r="AB1551" s="434">
        <f>AB1550</f>
        <v>0</v>
      </c>
      <c r="AC1551" s="69">
        <f>Y1550</f>
        <v>0</v>
      </c>
      <c r="AD1551" s="434">
        <f>AD1550</f>
        <v>0</v>
      </c>
      <c r="AE1551" s="69"/>
      <c r="AF1551" s="429"/>
      <c r="AG1551" s="430"/>
      <c r="AH1551" s="431"/>
      <c r="AI1551" s="432"/>
      <c r="AJ1551" s="65"/>
      <c r="AN1551" s="695">
        <f>SUM(AF1545:AF1549)*AQ1551</f>
        <v>0</v>
      </c>
      <c r="AO1551" s="742">
        <f>SUM(R1545:R1549)*AQ1551</f>
        <v>0</v>
      </c>
      <c r="AP1551" s="742"/>
      <c r="AQ1551" s="693">
        <v>0.15</v>
      </c>
      <c r="AS1551" s="716">
        <f>SUM(AL1545:AL1549)</f>
        <v>0</v>
      </c>
      <c r="AT1551" s="461">
        <f>F1551+H1551+J1551+L1551+N1551+P1551+T1551+V1551+X1551+Z1551+AB1551+AD1551</f>
        <v>0</v>
      </c>
      <c r="AU1551" s="745">
        <f>AT1551-AS1551</f>
        <v>0</v>
      </c>
      <c r="AV1551" s="56"/>
    </row>
    <row r="1552" spans="1:48" ht="13.5" customHeight="1" outlineLevel="2" thickBot="1">
      <c r="B1552" s="82">
        <f>B1545+1</f>
        <v>15</v>
      </c>
      <c r="C1552" s="1233">
        <f>C111</f>
        <v>0</v>
      </c>
      <c r="D1552" s="1233">
        <f>D111</f>
        <v>0</v>
      </c>
      <c r="E1552" s="83" t="str">
        <f>'Terms and Turnovers'!$J$12</f>
        <v>FLIP-FLOPS</v>
      </c>
      <c r="F1552" s="118">
        <f>$R1552*G1552</f>
        <v>0</v>
      </c>
      <c r="G1552" s="69"/>
      <c r="H1552" s="314">
        <f>$R1552*I1552</f>
        <v>0</v>
      </c>
      <c r="I1552" s="69">
        <v>0</v>
      </c>
      <c r="J1552" s="118">
        <f>$R1552*K1552</f>
        <v>0</v>
      </c>
      <c r="K1552" s="69">
        <v>0.3</v>
      </c>
      <c r="L1552" s="314">
        <f>$R1552*M1552</f>
        <v>0</v>
      </c>
      <c r="M1552" s="69">
        <v>0.4</v>
      </c>
      <c r="N1552" s="314">
        <f>$R1552*O1552</f>
        <v>0</v>
      </c>
      <c r="O1552" s="69">
        <v>0.3</v>
      </c>
      <c r="P1552" s="118">
        <f>$R1552*Q1552</f>
        <v>0</v>
      </c>
      <c r="Q1552" s="69">
        <v>0</v>
      </c>
      <c r="R1552" s="87">
        <f>'Terms and Turnovers'!K146</f>
        <v>0</v>
      </c>
      <c r="S1552" s="160">
        <f>SUM(G1552,I1552,K1552,M1552,O1552,Q1552)</f>
        <v>1</v>
      </c>
      <c r="T1552" s="118">
        <f>$AF1552*U1552</f>
        <v>0</v>
      </c>
      <c r="U1552" s="69">
        <v>0</v>
      </c>
      <c r="V1552" s="314">
        <f>$AF1552*W1552</f>
        <v>0</v>
      </c>
      <c r="W1552" s="69">
        <v>0.4</v>
      </c>
      <c r="X1552" s="118">
        <f>$AF1552*Y1552</f>
        <v>0</v>
      </c>
      <c r="Y1552" s="69">
        <v>0.4</v>
      </c>
      <c r="Z1552" s="314">
        <f>$AF1552*AA1552</f>
        <v>0</v>
      </c>
      <c r="AA1552" s="69">
        <v>0.2</v>
      </c>
      <c r="AB1552" s="314">
        <f>$AF1552*AC1552</f>
        <v>0</v>
      </c>
      <c r="AC1552" s="69">
        <v>0</v>
      </c>
      <c r="AD1552" s="118">
        <f>$AF1552*AE1552</f>
        <v>0</v>
      </c>
      <c r="AE1552" s="69">
        <v>0</v>
      </c>
      <c r="AF1552" s="87">
        <f>'Terms and Turnovers'!P146</f>
        <v>0</v>
      </c>
      <c r="AG1552" s="160">
        <f>SUM(U1552,W1552,Y1552,AA1552,AC1552,AE1552)</f>
        <v>1</v>
      </c>
      <c r="AH1552" s="157">
        <f>SUM(R1552,AF1552)</f>
        <v>0</v>
      </c>
      <c r="AI1552" s="131">
        <f>S1552+AG1552</f>
        <v>2</v>
      </c>
      <c r="AJ1552" s="65"/>
      <c r="AL1552" s="461">
        <f>SUM(F1552,H1552,J1552,L1552,N1552,P1552,T1552,V1552,X1552,Z1552,AB1552,AD1552)</f>
        <v>0</v>
      </c>
      <c r="AM1552" s="462">
        <f>AL1552-AH1552</f>
        <v>0</v>
      </c>
      <c r="AO1552" s="692"/>
      <c r="AP1552" s="692"/>
      <c r="AV1552" s="56"/>
    </row>
    <row r="1553" spans="1:48" ht="13.5" customHeight="1" outlineLevel="2" thickBot="1">
      <c r="B1553" s="82"/>
      <c r="C1553" s="1234"/>
      <c r="D1553" s="1234"/>
      <c r="E1553" s="84" t="str">
        <f>'Terms and Turnovers'!$T$12</f>
        <v>ORIGINALS</v>
      </c>
      <c r="F1553" s="120">
        <f>$R1553*G1553</f>
        <v>0</v>
      </c>
      <c r="G1553" s="723"/>
      <c r="H1553" s="120">
        <f>$R1553*I1553</f>
        <v>0</v>
      </c>
      <c r="I1553" s="69">
        <v>0</v>
      </c>
      <c r="J1553" s="120">
        <f>$R1553*K1553</f>
        <v>0</v>
      </c>
      <c r="K1553" s="69">
        <v>0.5</v>
      </c>
      <c r="L1553" s="120">
        <f>$R1553*M1553</f>
        <v>0</v>
      </c>
      <c r="M1553" s="69">
        <v>0.5</v>
      </c>
      <c r="N1553" s="315">
        <f>$R1553*O1553</f>
        <v>0</v>
      </c>
      <c r="O1553" s="69">
        <v>0</v>
      </c>
      <c r="P1553" s="120">
        <f>$R1553*Q1553</f>
        <v>0</v>
      </c>
      <c r="Q1553" s="69">
        <v>0</v>
      </c>
      <c r="R1553" s="88">
        <f>'Terms and Turnovers'!U146</f>
        <v>0</v>
      </c>
      <c r="S1553" s="161">
        <f>SUM(G1553,I1553,K1553,M1553,O1553,Q1553)</f>
        <v>1</v>
      </c>
      <c r="T1553" s="120">
        <f>$AF1553*U1553</f>
        <v>0</v>
      </c>
      <c r="U1553" s="723">
        <v>0</v>
      </c>
      <c r="V1553" s="120">
        <f>$AF1553*W1553</f>
        <v>0</v>
      </c>
      <c r="W1553" s="69">
        <v>0.5</v>
      </c>
      <c r="X1553" s="120">
        <f>$AF1553*Y1553</f>
        <v>0</v>
      </c>
      <c r="Y1553" s="69">
        <v>0.5</v>
      </c>
      <c r="Z1553" s="120">
        <f>$AF1553*AA1553</f>
        <v>0</v>
      </c>
      <c r="AA1553" s="69">
        <v>0</v>
      </c>
      <c r="AB1553" s="315">
        <f>$AF1553*AC1553</f>
        <v>0</v>
      </c>
      <c r="AC1553" s="69">
        <v>0</v>
      </c>
      <c r="AD1553" s="120">
        <f>$AF1553*AE1553</f>
        <v>0</v>
      </c>
      <c r="AE1553" s="69">
        <v>0</v>
      </c>
      <c r="AF1553" s="88">
        <f>'Terms and Turnovers'!Z146</f>
        <v>0</v>
      </c>
      <c r="AG1553" s="161">
        <f>SUM(U1553,W1553,Y1553,AA1553,AC1553,AE1553)</f>
        <v>1</v>
      </c>
      <c r="AH1553" s="158">
        <f>SUM(R1553,AF1553)</f>
        <v>0</v>
      </c>
      <c r="AI1553" s="134">
        <f>S1553+AG1553</f>
        <v>2</v>
      </c>
      <c r="AJ1553" s="65"/>
      <c r="AL1553" s="461">
        <f>SUM(F1553,H1553,J1553,L1553,N1553,P1553,T1553,V1553,X1553,Z1553,AB1553,AD1553)</f>
        <v>0</v>
      </c>
      <c r="AM1553" s="462">
        <f>AL1553-AH1553</f>
        <v>0</v>
      </c>
      <c r="AO1553" s="692"/>
      <c r="AP1553" s="692"/>
      <c r="AV1553" s="56"/>
    </row>
    <row r="1554" spans="1:48" ht="13.5" customHeight="1" outlineLevel="2" thickBot="1">
      <c r="B1554" s="82"/>
      <c r="C1554" s="1234"/>
      <c r="D1554" s="1234"/>
      <c r="E1554" s="84" t="str">
        <f>'Terms and Turnovers'!$AD$12</f>
        <v>ACCESSORIES</v>
      </c>
      <c r="F1554" s="120">
        <f>$R1554*G1554</f>
        <v>0</v>
      </c>
      <c r="G1554" s="723"/>
      <c r="H1554" s="120">
        <f>$R1554*I1554</f>
        <v>0</v>
      </c>
      <c r="I1554" s="69">
        <v>0</v>
      </c>
      <c r="J1554" s="120">
        <f>$R1554*K1554</f>
        <v>0</v>
      </c>
      <c r="K1554" s="69">
        <v>0.5</v>
      </c>
      <c r="L1554" s="120">
        <f>$R1554*M1554</f>
        <v>0</v>
      </c>
      <c r="M1554" s="69">
        <v>0.5</v>
      </c>
      <c r="N1554" s="315">
        <f>$R1554*O1554</f>
        <v>0</v>
      </c>
      <c r="O1554" s="69">
        <v>0</v>
      </c>
      <c r="P1554" s="120">
        <f>$R1554*Q1554</f>
        <v>0</v>
      </c>
      <c r="Q1554" s="69">
        <v>0</v>
      </c>
      <c r="R1554" s="88">
        <f>'Terms and Turnovers'!AE146</f>
        <v>0</v>
      </c>
      <c r="S1554" s="161">
        <f>SUM(G1554,I1554,K1554,M1554,O1554,Q1554)</f>
        <v>1</v>
      </c>
      <c r="T1554" s="120">
        <f>$AF1554*U1554</f>
        <v>0</v>
      </c>
      <c r="U1554" s="723">
        <v>0</v>
      </c>
      <c r="V1554" s="120">
        <f>$AF1554*W1554</f>
        <v>0</v>
      </c>
      <c r="W1554" s="69">
        <v>0.5</v>
      </c>
      <c r="X1554" s="120">
        <f>$AF1554*Y1554</f>
        <v>0</v>
      </c>
      <c r="Y1554" s="69">
        <v>0.5</v>
      </c>
      <c r="Z1554" s="120">
        <f>$AF1554*AA1554</f>
        <v>0</v>
      </c>
      <c r="AA1554" s="69">
        <v>0</v>
      </c>
      <c r="AB1554" s="315">
        <f>$AF1554*AC1554</f>
        <v>0</v>
      </c>
      <c r="AC1554" s="69">
        <v>0</v>
      </c>
      <c r="AD1554" s="120">
        <f>$AF1554*AE1554</f>
        <v>0</v>
      </c>
      <c r="AE1554" s="69">
        <v>0</v>
      </c>
      <c r="AF1554" s="88">
        <f>'Terms and Turnovers'!AJ146</f>
        <v>0</v>
      </c>
      <c r="AG1554" s="161">
        <f>SUM(U1554,W1554,Y1554,AA1554,AC1554,AE1554)</f>
        <v>1</v>
      </c>
      <c r="AH1554" s="158">
        <f>SUM(R1554,AF1554)</f>
        <v>0</v>
      </c>
      <c r="AI1554" s="134">
        <f>S1554+AG1554</f>
        <v>2</v>
      </c>
      <c r="AJ1554" s="65"/>
      <c r="AL1554" s="461">
        <f>SUM(F1554,H1554,J1554,L1554,N1554,P1554,T1554,V1554,X1554,Z1554,AB1554,AD1554)</f>
        <v>0</v>
      </c>
      <c r="AM1554" s="462">
        <f>AL1554-AH1554</f>
        <v>0</v>
      </c>
      <c r="AO1554" s="692"/>
      <c r="AP1554" s="692"/>
      <c r="AV1554" s="56"/>
    </row>
    <row r="1555" spans="1:48" ht="13.5" customHeight="1" outlineLevel="2" thickBot="1">
      <c r="B1555" s="82"/>
      <c r="C1555" s="1234"/>
      <c r="D1555" s="1234"/>
      <c r="E1555" s="84">
        <f>'Terms and Turnovers'!$AN$12</f>
        <v>0</v>
      </c>
      <c r="F1555" s="120">
        <f>$R1555*G1555</f>
        <v>0</v>
      </c>
      <c r="G1555" s="723"/>
      <c r="H1555" s="120">
        <f>$R1555*I1555</f>
        <v>0</v>
      </c>
      <c r="I1555" s="69">
        <v>0</v>
      </c>
      <c r="J1555" s="120">
        <f>$R1555*K1555</f>
        <v>0</v>
      </c>
      <c r="K1555" s="69">
        <v>0.3</v>
      </c>
      <c r="L1555" s="120">
        <f>$R1555*M1555</f>
        <v>0</v>
      </c>
      <c r="M1555" s="69">
        <v>0.4</v>
      </c>
      <c r="N1555" s="315">
        <f>$R1555*O1555</f>
        <v>0</v>
      </c>
      <c r="O1555" s="69">
        <v>0.3</v>
      </c>
      <c r="P1555" s="120">
        <f>$R1555*Q1555</f>
        <v>0</v>
      </c>
      <c r="Q1555" s="69">
        <v>0</v>
      </c>
      <c r="R1555" s="88">
        <f>'Terms and Turnovers'!AO146</f>
        <v>0</v>
      </c>
      <c r="S1555" s="161">
        <f>SUM(G1555,I1555,K1555,M1555,O1555,Q1555)</f>
        <v>1</v>
      </c>
      <c r="T1555" s="120">
        <f>$AF1555*U1555</f>
        <v>0</v>
      </c>
      <c r="U1555" s="723">
        <v>0</v>
      </c>
      <c r="V1555" s="120">
        <f>$AF1555*W1555</f>
        <v>0</v>
      </c>
      <c r="W1555" s="69">
        <v>0.4</v>
      </c>
      <c r="X1555" s="120">
        <f>$AF1555*Y1555</f>
        <v>0</v>
      </c>
      <c r="Y1555" s="69">
        <v>0.4</v>
      </c>
      <c r="Z1555" s="120">
        <f>$AF1555*AA1555</f>
        <v>0</v>
      </c>
      <c r="AA1555" s="69">
        <v>0.2</v>
      </c>
      <c r="AB1555" s="315">
        <f>$AF1555*AC1555</f>
        <v>0</v>
      </c>
      <c r="AC1555" s="69">
        <v>0</v>
      </c>
      <c r="AD1555" s="120">
        <f>$AF1555*AE1555</f>
        <v>0</v>
      </c>
      <c r="AE1555" s="69">
        <v>0</v>
      </c>
      <c r="AF1555" s="88">
        <f>'Terms and Turnovers'!AT146</f>
        <v>0</v>
      </c>
      <c r="AG1555" s="161">
        <f>SUM(U1555,W1555,Y1555,AA1555,AC1555,AE1555)</f>
        <v>1</v>
      </c>
      <c r="AH1555" s="158">
        <f>SUM(R1555,AF1555)</f>
        <v>0</v>
      </c>
      <c r="AI1555" s="134">
        <f>S1555+AG1555</f>
        <v>2</v>
      </c>
      <c r="AJ1555" s="65"/>
      <c r="AL1555" s="461">
        <f>SUM(F1555,H1555,J1555,L1555,N1555,P1555,T1555,V1555,X1555,Z1555,AB1555,AD1555)</f>
        <v>0</v>
      </c>
      <c r="AM1555" s="462">
        <f>AL1555-AH1555</f>
        <v>0</v>
      </c>
      <c r="AO1555" s="692"/>
      <c r="AP1555" s="692"/>
      <c r="AV1555" s="56"/>
    </row>
    <row r="1556" spans="1:48" ht="13.5" customHeight="1" outlineLevel="2" thickBot="1">
      <c r="B1556" s="82"/>
      <c r="C1556" s="1235"/>
      <c r="D1556" s="1235"/>
      <c r="E1556" s="85">
        <f>'Terms and Turnovers'!$AX$12</f>
        <v>0</v>
      </c>
      <c r="F1556" s="121">
        <f>$R1556*G1556</f>
        <v>0</v>
      </c>
      <c r="G1556" s="72"/>
      <c r="H1556" s="121">
        <f>$R1556*I1556</f>
        <v>0</v>
      </c>
      <c r="I1556" s="69">
        <v>0</v>
      </c>
      <c r="J1556" s="121">
        <f>$R1556*K1556</f>
        <v>0</v>
      </c>
      <c r="K1556" s="69">
        <v>0.3</v>
      </c>
      <c r="L1556" s="121">
        <f>$R1556*M1556</f>
        <v>0</v>
      </c>
      <c r="M1556" s="69">
        <v>0.4</v>
      </c>
      <c r="N1556" s="316">
        <f>$R1556*O1556</f>
        <v>0</v>
      </c>
      <c r="O1556" s="69">
        <v>0.3</v>
      </c>
      <c r="P1556" s="121">
        <f>$R1556*Q1556</f>
        <v>0</v>
      </c>
      <c r="Q1556" s="69">
        <v>0</v>
      </c>
      <c r="R1556" s="89">
        <f>'Terms and Turnovers'!AY146</f>
        <v>0</v>
      </c>
      <c r="S1556" s="162">
        <f>SUM(G1556,I1556,K1556,M1556,O1556,Q1556)</f>
        <v>1</v>
      </c>
      <c r="T1556" s="121">
        <f>$AF1556*U1556</f>
        <v>0</v>
      </c>
      <c r="U1556" s="72">
        <v>0</v>
      </c>
      <c r="V1556" s="121">
        <f>$AF1556*W1556</f>
        <v>0</v>
      </c>
      <c r="W1556" s="69">
        <v>0.4</v>
      </c>
      <c r="X1556" s="121">
        <f>$AF1556*Y1556</f>
        <v>0</v>
      </c>
      <c r="Y1556" s="69">
        <v>0.4</v>
      </c>
      <c r="Z1556" s="121">
        <f>$AF1556*AA1556</f>
        <v>0</v>
      </c>
      <c r="AA1556" s="69">
        <v>0.2</v>
      </c>
      <c r="AB1556" s="316">
        <f>$AF1556*AC1556</f>
        <v>0</v>
      </c>
      <c r="AC1556" s="69">
        <v>0</v>
      </c>
      <c r="AD1556" s="121">
        <f>$AF1556*AE1556</f>
        <v>0</v>
      </c>
      <c r="AE1556" s="69">
        <v>0</v>
      </c>
      <c r="AF1556" s="89">
        <f>'Terms and Turnovers'!BD146</f>
        <v>0</v>
      </c>
      <c r="AG1556" s="162">
        <f>SUM(U1556,W1556,Y1556,AA1556,AC1556,AE1556)</f>
        <v>1</v>
      </c>
      <c r="AH1556" s="159">
        <f>SUM(R1556,AF1556)</f>
        <v>0</v>
      </c>
      <c r="AI1556" s="137">
        <f>S1556+AG1556</f>
        <v>2</v>
      </c>
      <c r="AJ1556" s="65"/>
      <c r="AL1556" s="461">
        <f>SUM(F1556,H1556,J1556,L1556,N1556,P1556,T1556,V1556,X1556,Z1556,AB1556,AD1556)</f>
        <v>0</v>
      </c>
      <c r="AM1556" s="462">
        <f>AL1556-AH1556</f>
        <v>0</v>
      </c>
      <c r="AO1556" s="692"/>
      <c r="AP1556" s="692"/>
      <c r="AV1556" s="56"/>
    </row>
    <row r="1557" spans="1:48" ht="13.5" customHeight="1" outlineLevel="2" thickBot="1">
      <c r="A1557" s="119"/>
      <c r="B1557" s="82"/>
      <c r="C1557" s="425"/>
      <c r="D1557" s="425"/>
      <c r="E1557" s="426"/>
      <c r="F1557" s="427">
        <f>SUM(F1552:F1556)</f>
        <v>0</v>
      </c>
      <c r="G1557" s="428"/>
      <c r="H1557" s="427">
        <f>SUM(H1552:H1556)</f>
        <v>0</v>
      </c>
      <c r="I1557" s="69"/>
      <c r="J1557" s="427">
        <f>SUM(J1552:J1556)</f>
        <v>0</v>
      </c>
      <c r="K1557" s="69"/>
      <c r="L1557" s="427">
        <f>SUM(L1552:L1556)</f>
        <v>0</v>
      </c>
      <c r="M1557" s="69"/>
      <c r="N1557" s="427">
        <f>SUM(N1552:N1556)</f>
        <v>0</v>
      </c>
      <c r="O1557" s="69"/>
      <c r="P1557" s="427">
        <f>SUM(P1552:P1556)</f>
        <v>0</v>
      </c>
      <c r="Q1557" s="69"/>
      <c r="R1557" s="429"/>
      <c r="S1557" s="430"/>
      <c r="T1557" s="427">
        <f>SUM(T1552:T1556)</f>
        <v>0</v>
      </c>
      <c r="U1557" s="428"/>
      <c r="V1557" s="427">
        <f>SUM(V1552:V1556)</f>
        <v>0</v>
      </c>
      <c r="W1557" s="69"/>
      <c r="X1557" s="427">
        <f>SUM(X1552:X1556)</f>
        <v>0</v>
      </c>
      <c r="Y1557" s="69"/>
      <c r="Z1557" s="427">
        <f>SUM(Z1552:Z1556)</f>
        <v>0</v>
      </c>
      <c r="AA1557" s="69"/>
      <c r="AB1557" s="427">
        <f>SUM(AB1552:AB1556)</f>
        <v>0</v>
      </c>
      <c r="AC1557" s="69"/>
      <c r="AD1557" s="427">
        <f>SUM(AD1552:AD1556)</f>
        <v>0</v>
      </c>
      <c r="AE1557" s="69"/>
      <c r="AF1557" s="429"/>
      <c r="AG1557" s="430"/>
      <c r="AH1557" s="431"/>
      <c r="AI1557" s="432"/>
      <c r="AJ1557" s="65"/>
      <c r="AO1557" s="692"/>
      <c r="AP1557" s="692"/>
      <c r="AV1557" s="56"/>
    </row>
    <row r="1558" spans="1:48" ht="13.5" customHeight="1" outlineLevel="2" thickBot="1">
      <c r="A1558" s="119"/>
      <c r="B1558" s="82"/>
      <c r="C1558" s="433" t="s">
        <v>484</v>
      </c>
      <c r="D1558" s="433" t="s">
        <v>340</v>
      </c>
      <c r="E1558" s="426"/>
      <c r="F1558" s="434">
        <f>AN1558</f>
        <v>0</v>
      </c>
      <c r="G1558" s="428"/>
      <c r="H1558" s="434">
        <f>H1557</f>
        <v>0</v>
      </c>
      <c r="I1558" s="69"/>
      <c r="J1558" s="434">
        <f>J1557</f>
        <v>0</v>
      </c>
      <c r="K1558" s="69"/>
      <c r="L1558" s="434">
        <f>L1557</f>
        <v>0</v>
      </c>
      <c r="M1558" s="69"/>
      <c r="N1558" s="434">
        <f>N1557-AO1558</f>
        <v>0</v>
      </c>
      <c r="O1558" s="69"/>
      <c r="P1558" s="434">
        <f>P1557</f>
        <v>0</v>
      </c>
      <c r="Q1558" s="69"/>
      <c r="R1558" s="429"/>
      <c r="S1558" s="430"/>
      <c r="T1558" s="434">
        <f>AO1558</f>
        <v>0</v>
      </c>
      <c r="U1558" s="428">
        <f>Q1557</f>
        <v>0</v>
      </c>
      <c r="V1558" s="434">
        <f>V1557</f>
        <v>0</v>
      </c>
      <c r="W1558" s="69">
        <f>S1557</f>
        <v>0</v>
      </c>
      <c r="X1558" s="434">
        <f>X1557-AN1558</f>
        <v>0</v>
      </c>
      <c r="Y1558" s="69">
        <f>U1557</f>
        <v>0</v>
      </c>
      <c r="Z1558" s="434">
        <f>Z1557</f>
        <v>0</v>
      </c>
      <c r="AA1558" s="69">
        <f>W1557</f>
        <v>0</v>
      </c>
      <c r="AB1558" s="434">
        <f>AB1557</f>
        <v>0</v>
      </c>
      <c r="AC1558" s="69">
        <f>Y1557</f>
        <v>0</v>
      </c>
      <c r="AD1558" s="434">
        <f>AD1557</f>
        <v>0</v>
      </c>
      <c r="AE1558" s="69"/>
      <c r="AF1558" s="429"/>
      <c r="AG1558" s="430"/>
      <c r="AH1558" s="431"/>
      <c r="AI1558" s="432"/>
      <c r="AJ1558" s="65"/>
      <c r="AN1558" s="695">
        <f>SUM(AF1552:AF1556)*AQ1558</f>
        <v>0</v>
      </c>
      <c r="AO1558" s="742">
        <f>SUM(R1552:R1556)*AQ1558</f>
        <v>0</v>
      </c>
      <c r="AP1558" s="742"/>
      <c r="AQ1558" s="693">
        <v>0.15</v>
      </c>
      <c r="AS1558" s="716">
        <f>SUM(AL1552:AL1556)</f>
        <v>0</v>
      </c>
      <c r="AT1558" s="461">
        <f>F1558+H1558+J1558+L1558+N1558+P1558+T1558+V1558+X1558+Z1558+AB1558+AD1558</f>
        <v>0</v>
      </c>
      <c r="AU1558" s="745">
        <f>AT1558-AS1558</f>
        <v>0</v>
      </c>
      <c r="AV1558" s="56"/>
    </row>
    <row r="1559" spans="1:48" ht="13.5" customHeight="1" outlineLevel="2" thickBot="1">
      <c r="B1559" s="82">
        <f>B1552+1</f>
        <v>16</v>
      </c>
      <c r="C1559" s="1233">
        <f>C118</f>
        <v>0</v>
      </c>
      <c r="D1559" s="1233">
        <f>D118</f>
        <v>0</v>
      </c>
      <c r="E1559" s="83" t="str">
        <f>'Terms and Turnovers'!$J$12</f>
        <v>FLIP-FLOPS</v>
      </c>
      <c r="F1559" s="118">
        <f>$R1559*G1559</f>
        <v>0</v>
      </c>
      <c r="G1559" s="69"/>
      <c r="H1559" s="314">
        <f>$R1559*I1559</f>
        <v>0</v>
      </c>
      <c r="I1559" s="69">
        <v>0</v>
      </c>
      <c r="J1559" s="118">
        <f>$R1559*K1559</f>
        <v>0</v>
      </c>
      <c r="K1559" s="69">
        <v>0.25</v>
      </c>
      <c r="L1559" s="314">
        <f>$R1559*M1559</f>
        <v>0</v>
      </c>
      <c r="M1559" s="69">
        <v>0.4</v>
      </c>
      <c r="N1559" s="314">
        <f>$R1559*O1559</f>
        <v>0</v>
      </c>
      <c r="O1559" s="69">
        <v>0.35</v>
      </c>
      <c r="P1559" s="118">
        <f>$R1559*Q1559</f>
        <v>0</v>
      </c>
      <c r="Q1559" s="69">
        <v>0</v>
      </c>
      <c r="R1559" s="87">
        <f>'Terms and Turnovers'!K147</f>
        <v>0</v>
      </c>
      <c r="S1559" s="160">
        <f>SUM(G1559,I1559,K1559,M1559,O1559,Q1559)</f>
        <v>1</v>
      </c>
      <c r="T1559" s="118">
        <f>$AF1559*U1559</f>
        <v>0</v>
      </c>
      <c r="U1559" s="69">
        <v>0</v>
      </c>
      <c r="V1559" s="314">
        <f>$AF1559*W1559</f>
        <v>0</v>
      </c>
      <c r="W1559" s="69">
        <v>0.4</v>
      </c>
      <c r="X1559" s="118">
        <f>$AF1559*Y1559</f>
        <v>0</v>
      </c>
      <c r="Y1559" s="69">
        <v>0.4</v>
      </c>
      <c r="Z1559" s="314">
        <f>$AF1559*AA1559</f>
        <v>0</v>
      </c>
      <c r="AA1559" s="69">
        <v>0.2</v>
      </c>
      <c r="AB1559" s="314">
        <f>$AF1559*AC1559</f>
        <v>0</v>
      </c>
      <c r="AC1559" s="69">
        <v>0</v>
      </c>
      <c r="AD1559" s="118">
        <f>$AF1559*AE1559</f>
        <v>0</v>
      </c>
      <c r="AE1559" s="69">
        <v>0</v>
      </c>
      <c r="AF1559" s="87">
        <f>'Terms and Turnovers'!P147</f>
        <v>0</v>
      </c>
      <c r="AG1559" s="160">
        <f>SUM(U1559,W1559,Y1559,AA1559,AC1559,AE1559)</f>
        <v>1</v>
      </c>
      <c r="AH1559" s="157">
        <f>SUM(R1559,AF1559)</f>
        <v>0</v>
      </c>
      <c r="AI1559" s="131">
        <f>S1559+AG1559</f>
        <v>2</v>
      </c>
      <c r="AJ1559" s="65"/>
      <c r="AL1559" s="461">
        <f>SUM(F1559,H1559,J1559,L1559,N1559,P1559,T1559,V1559,X1559,Z1559,AB1559,AD1559)</f>
        <v>0</v>
      </c>
      <c r="AM1559" s="462">
        <f>AL1559-AH1559</f>
        <v>0</v>
      </c>
      <c r="AO1559" s="692"/>
      <c r="AP1559" s="692"/>
      <c r="AV1559" s="56"/>
    </row>
    <row r="1560" spans="1:48" ht="13.5" customHeight="1" outlineLevel="2" thickBot="1">
      <c r="B1560" s="82"/>
      <c r="C1560" s="1234"/>
      <c r="D1560" s="1234"/>
      <c r="E1560" s="84" t="str">
        <f>'Terms and Turnovers'!$T$12</f>
        <v>ORIGINALS</v>
      </c>
      <c r="F1560" s="120">
        <f>$R1560*G1560</f>
        <v>0</v>
      </c>
      <c r="G1560" s="723"/>
      <c r="H1560" s="120">
        <f>$R1560*I1560</f>
        <v>0</v>
      </c>
      <c r="I1560" s="69">
        <v>0</v>
      </c>
      <c r="J1560" s="120">
        <f>$R1560*K1560</f>
        <v>0</v>
      </c>
      <c r="K1560" s="69">
        <v>0.5</v>
      </c>
      <c r="L1560" s="120">
        <f>$R1560*M1560</f>
        <v>0</v>
      </c>
      <c r="M1560" s="69">
        <v>0.5</v>
      </c>
      <c r="N1560" s="315">
        <f>$R1560*O1560</f>
        <v>0</v>
      </c>
      <c r="O1560" s="69">
        <v>0</v>
      </c>
      <c r="P1560" s="120">
        <f>$R1560*Q1560</f>
        <v>0</v>
      </c>
      <c r="Q1560" s="69">
        <v>0</v>
      </c>
      <c r="R1560" s="88">
        <f>'Terms and Turnovers'!U147</f>
        <v>0</v>
      </c>
      <c r="S1560" s="161">
        <f>SUM(G1560,I1560,K1560,M1560,O1560,Q1560)</f>
        <v>1</v>
      </c>
      <c r="T1560" s="120">
        <f>$AF1560*U1560</f>
        <v>0</v>
      </c>
      <c r="U1560" s="723">
        <v>0</v>
      </c>
      <c r="V1560" s="120">
        <f>$AF1560*W1560</f>
        <v>0</v>
      </c>
      <c r="W1560" s="69">
        <v>0.5</v>
      </c>
      <c r="X1560" s="120">
        <f>$AF1560*Y1560</f>
        <v>0</v>
      </c>
      <c r="Y1560" s="69">
        <v>0.5</v>
      </c>
      <c r="Z1560" s="120">
        <f>$AF1560*AA1560</f>
        <v>0</v>
      </c>
      <c r="AA1560" s="69">
        <v>0</v>
      </c>
      <c r="AB1560" s="315">
        <f>$AF1560*AC1560</f>
        <v>0</v>
      </c>
      <c r="AC1560" s="69">
        <v>0</v>
      </c>
      <c r="AD1560" s="120">
        <f>$AF1560*AE1560</f>
        <v>0</v>
      </c>
      <c r="AE1560" s="69">
        <v>0</v>
      </c>
      <c r="AF1560" s="88">
        <f>'Terms and Turnovers'!Z147</f>
        <v>0</v>
      </c>
      <c r="AG1560" s="161">
        <f>SUM(U1560,W1560,Y1560,AA1560,AC1560,AE1560)</f>
        <v>1</v>
      </c>
      <c r="AH1560" s="158">
        <f>SUM(R1560,AF1560)</f>
        <v>0</v>
      </c>
      <c r="AI1560" s="134">
        <f>S1560+AG1560</f>
        <v>2</v>
      </c>
      <c r="AJ1560" s="65"/>
      <c r="AL1560" s="461">
        <f>SUM(F1560,H1560,J1560,L1560,N1560,P1560,T1560,V1560,X1560,Z1560,AB1560,AD1560)</f>
        <v>0</v>
      </c>
      <c r="AM1560" s="462">
        <f>AL1560-AH1560</f>
        <v>0</v>
      </c>
      <c r="AO1560" s="692"/>
      <c r="AP1560" s="692"/>
      <c r="AV1560" s="56"/>
    </row>
    <row r="1561" spans="1:48" ht="13.5" customHeight="1" outlineLevel="2" thickBot="1">
      <c r="B1561" s="82"/>
      <c r="C1561" s="1234"/>
      <c r="D1561" s="1234"/>
      <c r="E1561" s="84" t="str">
        <f>'Terms and Turnovers'!$AD$12</f>
        <v>ACCESSORIES</v>
      </c>
      <c r="F1561" s="120">
        <f>$R1561*G1561</f>
        <v>0</v>
      </c>
      <c r="G1561" s="723"/>
      <c r="H1561" s="120">
        <f>$R1561*I1561</f>
        <v>0</v>
      </c>
      <c r="I1561" s="69">
        <v>0</v>
      </c>
      <c r="J1561" s="120">
        <f>$R1561*K1561</f>
        <v>0</v>
      </c>
      <c r="K1561" s="69">
        <v>0.5</v>
      </c>
      <c r="L1561" s="120">
        <f>$R1561*M1561</f>
        <v>0</v>
      </c>
      <c r="M1561" s="69">
        <v>0.5</v>
      </c>
      <c r="N1561" s="315">
        <f>$R1561*O1561</f>
        <v>0</v>
      </c>
      <c r="O1561" s="69">
        <v>0</v>
      </c>
      <c r="P1561" s="120">
        <f>$R1561*Q1561</f>
        <v>0</v>
      </c>
      <c r="Q1561" s="69">
        <v>0</v>
      </c>
      <c r="R1561" s="88">
        <f>'Terms and Turnovers'!AE147</f>
        <v>0</v>
      </c>
      <c r="S1561" s="161">
        <f>SUM(G1561,I1561,K1561,M1561,O1561,Q1561)</f>
        <v>1</v>
      </c>
      <c r="T1561" s="120">
        <f>$AF1561*U1561</f>
        <v>0</v>
      </c>
      <c r="U1561" s="723">
        <v>0</v>
      </c>
      <c r="V1561" s="120">
        <f>$AF1561*W1561</f>
        <v>0</v>
      </c>
      <c r="W1561" s="69">
        <v>0.5</v>
      </c>
      <c r="X1561" s="120">
        <f>$AF1561*Y1561</f>
        <v>0</v>
      </c>
      <c r="Y1561" s="69">
        <v>0.5</v>
      </c>
      <c r="Z1561" s="120">
        <f>$AF1561*AA1561</f>
        <v>0</v>
      </c>
      <c r="AA1561" s="69">
        <v>0</v>
      </c>
      <c r="AB1561" s="315">
        <f>$AF1561*AC1561</f>
        <v>0</v>
      </c>
      <c r="AC1561" s="69">
        <v>0</v>
      </c>
      <c r="AD1561" s="120">
        <f>$AF1561*AE1561</f>
        <v>0</v>
      </c>
      <c r="AE1561" s="69">
        <v>0</v>
      </c>
      <c r="AF1561" s="88">
        <f>'Terms and Turnovers'!AJ147</f>
        <v>0</v>
      </c>
      <c r="AG1561" s="161">
        <f>SUM(U1561,W1561,Y1561,AA1561,AC1561,AE1561)</f>
        <v>1</v>
      </c>
      <c r="AH1561" s="158">
        <f>SUM(R1561,AF1561)</f>
        <v>0</v>
      </c>
      <c r="AI1561" s="134">
        <f>S1561+AG1561</f>
        <v>2</v>
      </c>
      <c r="AJ1561" s="65"/>
      <c r="AL1561" s="461">
        <f>SUM(F1561,H1561,J1561,L1561,N1561,P1561,T1561,V1561,X1561,Z1561,AB1561,AD1561)</f>
        <v>0</v>
      </c>
      <c r="AM1561" s="462">
        <f>AL1561-AH1561</f>
        <v>0</v>
      </c>
      <c r="AO1561" s="692"/>
      <c r="AP1561" s="692"/>
      <c r="AV1561" s="56"/>
    </row>
    <row r="1562" spans="1:48" ht="13.5" customHeight="1" outlineLevel="2" thickBot="1">
      <c r="B1562" s="82"/>
      <c r="C1562" s="1234"/>
      <c r="D1562" s="1234"/>
      <c r="E1562" s="84">
        <f>'Terms and Turnovers'!$AN$12</f>
        <v>0</v>
      </c>
      <c r="F1562" s="120">
        <f>$R1562*G1562</f>
        <v>0</v>
      </c>
      <c r="G1562" s="723"/>
      <c r="H1562" s="120">
        <f>$R1562*I1562</f>
        <v>0</v>
      </c>
      <c r="I1562" s="69">
        <v>0</v>
      </c>
      <c r="J1562" s="120">
        <f>$R1562*K1562</f>
        <v>0</v>
      </c>
      <c r="K1562" s="69">
        <v>0.25</v>
      </c>
      <c r="L1562" s="120">
        <f>$R1562*M1562</f>
        <v>0</v>
      </c>
      <c r="M1562" s="69">
        <v>0.4</v>
      </c>
      <c r="N1562" s="315">
        <f>$R1562*O1562</f>
        <v>0</v>
      </c>
      <c r="O1562" s="69">
        <v>0.35</v>
      </c>
      <c r="P1562" s="120">
        <f>$R1562*Q1562</f>
        <v>0</v>
      </c>
      <c r="Q1562" s="69">
        <v>0</v>
      </c>
      <c r="R1562" s="88">
        <f>'Terms and Turnovers'!AO147</f>
        <v>0</v>
      </c>
      <c r="S1562" s="161">
        <f>SUM(G1562,I1562,K1562,M1562,O1562,Q1562)</f>
        <v>1</v>
      </c>
      <c r="T1562" s="120">
        <f>$AF1562*U1562</f>
        <v>0</v>
      </c>
      <c r="U1562" s="723">
        <v>0</v>
      </c>
      <c r="V1562" s="120">
        <f>$AF1562*W1562</f>
        <v>0</v>
      </c>
      <c r="W1562" s="69">
        <v>0.4</v>
      </c>
      <c r="X1562" s="120">
        <f>$AF1562*Y1562</f>
        <v>0</v>
      </c>
      <c r="Y1562" s="69">
        <v>0.4</v>
      </c>
      <c r="Z1562" s="120">
        <f>$AF1562*AA1562</f>
        <v>0</v>
      </c>
      <c r="AA1562" s="69">
        <v>0.2</v>
      </c>
      <c r="AB1562" s="315">
        <f>$AF1562*AC1562</f>
        <v>0</v>
      </c>
      <c r="AC1562" s="69">
        <v>0</v>
      </c>
      <c r="AD1562" s="120">
        <f>$AF1562*AE1562</f>
        <v>0</v>
      </c>
      <c r="AE1562" s="69">
        <v>0</v>
      </c>
      <c r="AF1562" s="88">
        <f>'Terms and Turnovers'!AT147</f>
        <v>0</v>
      </c>
      <c r="AG1562" s="161">
        <f>SUM(U1562,W1562,Y1562,AA1562,AC1562,AE1562)</f>
        <v>1</v>
      </c>
      <c r="AH1562" s="158">
        <f>SUM(R1562,AF1562)</f>
        <v>0</v>
      </c>
      <c r="AI1562" s="134">
        <f>S1562+AG1562</f>
        <v>2</v>
      </c>
      <c r="AJ1562" s="65"/>
      <c r="AL1562" s="461">
        <f>SUM(F1562,H1562,J1562,L1562,N1562,P1562,T1562,V1562,X1562,Z1562,AB1562,AD1562)</f>
        <v>0</v>
      </c>
      <c r="AM1562" s="462">
        <f>AL1562-AH1562</f>
        <v>0</v>
      </c>
      <c r="AO1562" s="692"/>
      <c r="AP1562" s="692"/>
      <c r="AV1562" s="56"/>
    </row>
    <row r="1563" spans="1:48" ht="13.5" customHeight="1" outlineLevel="2" thickBot="1">
      <c r="B1563" s="82"/>
      <c r="C1563" s="1235"/>
      <c r="D1563" s="1235"/>
      <c r="E1563" s="85">
        <f>'Terms and Turnovers'!$AX$12</f>
        <v>0</v>
      </c>
      <c r="F1563" s="121">
        <f>$R1563*G1563</f>
        <v>0</v>
      </c>
      <c r="G1563" s="72"/>
      <c r="H1563" s="121">
        <f>$R1563*I1563</f>
        <v>0</v>
      </c>
      <c r="I1563" s="69">
        <v>0</v>
      </c>
      <c r="J1563" s="121">
        <f>$R1563*K1563</f>
        <v>0</v>
      </c>
      <c r="K1563" s="69">
        <v>0.25</v>
      </c>
      <c r="L1563" s="121">
        <f>$R1563*M1563</f>
        <v>0</v>
      </c>
      <c r="M1563" s="69">
        <v>0.4</v>
      </c>
      <c r="N1563" s="316">
        <f>$R1563*O1563</f>
        <v>0</v>
      </c>
      <c r="O1563" s="69">
        <v>0.35</v>
      </c>
      <c r="P1563" s="121">
        <f>$R1563*Q1563</f>
        <v>0</v>
      </c>
      <c r="Q1563" s="69">
        <v>0</v>
      </c>
      <c r="R1563" s="89">
        <f>'Terms and Turnovers'!AY147</f>
        <v>0</v>
      </c>
      <c r="S1563" s="162">
        <f>SUM(G1563,I1563,K1563,M1563,O1563,Q1563)</f>
        <v>1</v>
      </c>
      <c r="T1563" s="121">
        <f>$AF1563*U1563</f>
        <v>0</v>
      </c>
      <c r="U1563" s="72">
        <v>0</v>
      </c>
      <c r="V1563" s="121">
        <f>$AF1563*W1563</f>
        <v>0</v>
      </c>
      <c r="W1563" s="69">
        <v>0.4</v>
      </c>
      <c r="X1563" s="121">
        <f>$AF1563*Y1563</f>
        <v>0</v>
      </c>
      <c r="Y1563" s="69">
        <v>0.4</v>
      </c>
      <c r="Z1563" s="121">
        <f>$AF1563*AA1563</f>
        <v>0</v>
      </c>
      <c r="AA1563" s="69">
        <v>0.2</v>
      </c>
      <c r="AB1563" s="316">
        <f>$AF1563*AC1563</f>
        <v>0</v>
      </c>
      <c r="AC1563" s="69">
        <v>0</v>
      </c>
      <c r="AD1563" s="121">
        <f>$AF1563*AE1563</f>
        <v>0</v>
      </c>
      <c r="AE1563" s="69">
        <v>0</v>
      </c>
      <c r="AF1563" s="89">
        <f>'Terms and Turnovers'!BD147</f>
        <v>0</v>
      </c>
      <c r="AG1563" s="162">
        <f>SUM(U1563,W1563,Y1563,AA1563,AC1563,AE1563)</f>
        <v>1</v>
      </c>
      <c r="AH1563" s="159">
        <f>SUM(R1563,AF1563)</f>
        <v>0</v>
      </c>
      <c r="AI1563" s="137">
        <f>S1563+AG1563</f>
        <v>2</v>
      </c>
      <c r="AJ1563" s="65"/>
      <c r="AL1563" s="461">
        <f>SUM(F1563,H1563,J1563,L1563,N1563,P1563,T1563,V1563,X1563,Z1563,AB1563,AD1563)</f>
        <v>0</v>
      </c>
      <c r="AM1563" s="462">
        <f>AL1563-AH1563</f>
        <v>0</v>
      </c>
      <c r="AO1563" s="692"/>
      <c r="AP1563" s="692"/>
      <c r="AV1563" s="56"/>
    </row>
    <row r="1564" spans="1:48" ht="13.5" customHeight="1" outlineLevel="2" thickBot="1">
      <c r="A1564" s="119"/>
      <c r="B1564" s="82"/>
      <c r="C1564" s="425"/>
      <c r="D1564" s="425"/>
      <c r="E1564" s="426"/>
      <c r="F1564" s="427">
        <f>SUM(F1559:F1563)</f>
        <v>0</v>
      </c>
      <c r="G1564" s="428"/>
      <c r="H1564" s="427">
        <f>SUM(H1559:H1563)</f>
        <v>0</v>
      </c>
      <c r="I1564" s="69"/>
      <c r="J1564" s="427">
        <f>SUM(J1559:J1563)</f>
        <v>0</v>
      </c>
      <c r="K1564" s="69"/>
      <c r="L1564" s="427">
        <f>SUM(L1559:L1563)</f>
        <v>0</v>
      </c>
      <c r="M1564" s="69"/>
      <c r="N1564" s="427">
        <f>SUM(N1559:N1563)</f>
        <v>0</v>
      </c>
      <c r="O1564" s="69"/>
      <c r="P1564" s="427">
        <f>SUM(P1559:P1563)</f>
        <v>0</v>
      </c>
      <c r="Q1564" s="69"/>
      <c r="R1564" s="429"/>
      <c r="S1564" s="430"/>
      <c r="T1564" s="427">
        <f>SUM(T1559:T1563)</f>
        <v>0</v>
      </c>
      <c r="U1564" s="428"/>
      <c r="V1564" s="427">
        <f>SUM(V1559:V1563)</f>
        <v>0</v>
      </c>
      <c r="W1564" s="69"/>
      <c r="X1564" s="427">
        <f>SUM(X1559:X1563)</f>
        <v>0</v>
      </c>
      <c r="Y1564" s="69"/>
      <c r="Z1564" s="427">
        <f>SUM(Z1559:Z1563)</f>
        <v>0</v>
      </c>
      <c r="AA1564" s="69"/>
      <c r="AB1564" s="427">
        <f>SUM(AB1559:AB1563)</f>
        <v>0</v>
      </c>
      <c r="AC1564" s="69"/>
      <c r="AD1564" s="427">
        <f>SUM(AD1559:AD1563)</f>
        <v>0</v>
      </c>
      <c r="AE1564" s="69"/>
      <c r="AF1564" s="429"/>
      <c r="AG1564" s="430"/>
      <c r="AH1564" s="431"/>
      <c r="AI1564" s="432"/>
      <c r="AJ1564" s="65"/>
      <c r="AO1564" s="692"/>
      <c r="AP1564" s="692"/>
      <c r="AV1564" s="56"/>
    </row>
    <row r="1565" spans="1:48" ht="13.5" customHeight="1" outlineLevel="2" thickBot="1">
      <c r="A1565" s="119"/>
      <c r="B1565" s="82"/>
      <c r="C1565" s="433" t="s">
        <v>484</v>
      </c>
      <c r="D1565" s="433" t="s">
        <v>341</v>
      </c>
      <c r="E1565" s="426"/>
      <c r="F1565" s="434">
        <f>AN1565</f>
        <v>0</v>
      </c>
      <c r="G1565" s="428"/>
      <c r="H1565" s="434">
        <f>H1564</f>
        <v>0</v>
      </c>
      <c r="I1565" s="69"/>
      <c r="J1565" s="434">
        <f>J1564</f>
        <v>0</v>
      </c>
      <c r="K1565" s="69"/>
      <c r="L1565" s="434">
        <f>L1564</f>
        <v>0</v>
      </c>
      <c r="M1565" s="69"/>
      <c r="N1565" s="434">
        <f>N1564-AO1565</f>
        <v>0</v>
      </c>
      <c r="O1565" s="69"/>
      <c r="P1565" s="434">
        <f>P1564</f>
        <v>0</v>
      </c>
      <c r="Q1565" s="69"/>
      <c r="R1565" s="429"/>
      <c r="S1565" s="430"/>
      <c r="T1565" s="434">
        <f>AO1565</f>
        <v>0</v>
      </c>
      <c r="U1565" s="428">
        <f>Q1564</f>
        <v>0</v>
      </c>
      <c r="V1565" s="434">
        <f>V1564</f>
        <v>0</v>
      </c>
      <c r="W1565" s="69">
        <f>S1564</f>
        <v>0</v>
      </c>
      <c r="X1565" s="434">
        <f>X1564-AN1565</f>
        <v>0</v>
      </c>
      <c r="Y1565" s="69">
        <f>U1564</f>
        <v>0</v>
      </c>
      <c r="Z1565" s="434">
        <f>Z1564</f>
        <v>0</v>
      </c>
      <c r="AA1565" s="69">
        <f>W1564</f>
        <v>0</v>
      </c>
      <c r="AB1565" s="434">
        <f>AB1564</f>
        <v>0</v>
      </c>
      <c r="AC1565" s="69">
        <f>Y1564</f>
        <v>0</v>
      </c>
      <c r="AD1565" s="434">
        <f>AD1564</f>
        <v>0</v>
      </c>
      <c r="AE1565" s="69"/>
      <c r="AF1565" s="429"/>
      <c r="AG1565" s="430"/>
      <c r="AH1565" s="431"/>
      <c r="AI1565" s="432"/>
      <c r="AJ1565" s="65"/>
      <c r="AN1565" s="695">
        <f>SUM(AF1559:AF1563)*AQ1565</f>
        <v>0</v>
      </c>
      <c r="AO1565" s="742">
        <f>SUM(R1559:R1563)*AQ1565</f>
        <v>0</v>
      </c>
      <c r="AP1565" s="742"/>
      <c r="AQ1565" s="693">
        <v>0.15</v>
      </c>
      <c r="AS1565" s="716">
        <f>SUM(AL1559:AL1563)</f>
        <v>0</v>
      </c>
      <c r="AT1565" s="461">
        <f>F1565+H1565+J1565+L1565+N1565+P1565+T1565+V1565+X1565+Z1565+AB1565+AD1565</f>
        <v>0</v>
      </c>
      <c r="AU1565" s="745">
        <f>AT1565-AS1565</f>
        <v>0</v>
      </c>
      <c r="AV1565" s="56"/>
    </row>
    <row r="1566" spans="1:48" ht="13.5" customHeight="1" outlineLevel="2" thickBot="1">
      <c r="B1566" s="82">
        <f>B1559+1</f>
        <v>17</v>
      </c>
      <c r="C1566" s="1233">
        <f>C125</f>
        <v>0</v>
      </c>
      <c r="D1566" s="1233">
        <f>D125</f>
        <v>0</v>
      </c>
      <c r="E1566" s="83" t="str">
        <f>'Terms and Turnovers'!$J$12</f>
        <v>FLIP-FLOPS</v>
      </c>
      <c r="F1566" s="118">
        <f>$R1566*G1566</f>
        <v>0</v>
      </c>
      <c r="G1566" s="69"/>
      <c r="H1566" s="314">
        <f>$R1566*I1566</f>
        <v>0</v>
      </c>
      <c r="I1566" s="69">
        <v>0</v>
      </c>
      <c r="J1566" s="118">
        <f>$R1566*K1566</f>
        <v>0</v>
      </c>
      <c r="K1566" s="69">
        <v>0.3</v>
      </c>
      <c r="L1566" s="314">
        <f>$R1566*M1566</f>
        <v>0</v>
      </c>
      <c r="M1566" s="69">
        <v>0.4</v>
      </c>
      <c r="N1566" s="314">
        <f>$R1566*O1566</f>
        <v>0</v>
      </c>
      <c r="O1566" s="69">
        <v>0.3</v>
      </c>
      <c r="P1566" s="118">
        <f>$R1566*Q1566</f>
        <v>0</v>
      </c>
      <c r="Q1566" s="69">
        <v>0</v>
      </c>
      <c r="R1566" s="87">
        <f>'Terms and Turnovers'!K148</f>
        <v>0</v>
      </c>
      <c r="S1566" s="160">
        <f>SUM(G1566,I1566,K1566,M1566,O1566,Q1566)</f>
        <v>1</v>
      </c>
      <c r="T1566" s="118">
        <f>$AF1566*U1566</f>
        <v>0</v>
      </c>
      <c r="U1566" s="69">
        <v>0</v>
      </c>
      <c r="V1566" s="314">
        <f>$AF1566*W1566</f>
        <v>0</v>
      </c>
      <c r="W1566" s="69">
        <v>0.4</v>
      </c>
      <c r="X1566" s="118">
        <f>$AF1566*Y1566</f>
        <v>0</v>
      </c>
      <c r="Y1566" s="69">
        <v>0.4</v>
      </c>
      <c r="Z1566" s="314">
        <f>$AF1566*AA1566</f>
        <v>0</v>
      </c>
      <c r="AA1566" s="69">
        <v>0.2</v>
      </c>
      <c r="AB1566" s="314">
        <f>$AF1566*AC1566</f>
        <v>0</v>
      </c>
      <c r="AC1566" s="69">
        <v>0</v>
      </c>
      <c r="AD1566" s="118">
        <f>$AF1566*AE1566</f>
        <v>0</v>
      </c>
      <c r="AE1566" s="69">
        <v>0</v>
      </c>
      <c r="AF1566" s="87">
        <f>'Terms and Turnovers'!P148</f>
        <v>0</v>
      </c>
      <c r="AG1566" s="160">
        <f>SUM(U1566,W1566,Y1566,AA1566,AC1566,AE1566)</f>
        <v>1</v>
      </c>
      <c r="AH1566" s="157">
        <f>SUM(R1566,AF1566)</f>
        <v>0</v>
      </c>
      <c r="AI1566" s="131">
        <f>S1566+AG1566</f>
        <v>2</v>
      </c>
      <c r="AJ1566" s="65"/>
      <c r="AL1566" s="461">
        <f>SUM(F1566,H1566,J1566,L1566,N1566,P1566,T1566,V1566,X1566,Z1566,AB1566,AD1566)</f>
        <v>0</v>
      </c>
      <c r="AM1566" s="462">
        <f>AL1566-AH1566</f>
        <v>0</v>
      </c>
      <c r="AO1566" s="692"/>
      <c r="AP1566" s="692"/>
      <c r="AV1566" s="56"/>
    </row>
    <row r="1567" spans="1:48" ht="13.5" customHeight="1" outlineLevel="2" thickBot="1">
      <c r="B1567" s="82"/>
      <c r="C1567" s="1234"/>
      <c r="D1567" s="1234"/>
      <c r="E1567" s="84" t="str">
        <f>'Terms and Turnovers'!$T$12</f>
        <v>ORIGINALS</v>
      </c>
      <c r="F1567" s="120">
        <f>$R1567*G1567</f>
        <v>0</v>
      </c>
      <c r="G1567" s="723"/>
      <c r="H1567" s="120">
        <f>$R1567*I1567</f>
        <v>0</v>
      </c>
      <c r="I1567" s="69">
        <v>0</v>
      </c>
      <c r="J1567" s="120">
        <f>$R1567*K1567</f>
        <v>0</v>
      </c>
      <c r="K1567" s="69">
        <v>0.3</v>
      </c>
      <c r="L1567" s="120">
        <f>$R1567*M1567</f>
        <v>0</v>
      </c>
      <c r="M1567" s="69">
        <v>0.6</v>
      </c>
      <c r="N1567" s="315">
        <f>$R1567*O1567</f>
        <v>0</v>
      </c>
      <c r="O1567" s="69">
        <v>0.1</v>
      </c>
      <c r="P1567" s="120">
        <f>$R1567*Q1567</f>
        <v>0</v>
      </c>
      <c r="Q1567" s="69">
        <v>0</v>
      </c>
      <c r="R1567" s="88">
        <f>'Terms and Turnovers'!U148</f>
        <v>0</v>
      </c>
      <c r="S1567" s="161">
        <f>SUM(G1567,I1567,K1567,M1567,O1567,Q1567)</f>
        <v>0.99999999999999989</v>
      </c>
      <c r="T1567" s="120">
        <f>$AF1567*U1567</f>
        <v>0</v>
      </c>
      <c r="U1567" s="723">
        <v>0</v>
      </c>
      <c r="V1567" s="120">
        <f>$AF1567*W1567</f>
        <v>0</v>
      </c>
      <c r="W1567" s="69">
        <v>0.5</v>
      </c>
      <c r="X1567" s="120">
        <f>$AF1567*Y1567</f>
        <v>0</v>
      </c>
      <c r="Y1567" s="69">
        <v>0.5</v>
      </c>
      <c r="Z1567" s="120">
        <f>$AF1567*AA1567</f>
        <v>0</v>
      </c>
      <c r="AA1567" s="69">
        <v>0</v>
      </c>
      <c r="AB1567" s="315">
        <f>$AF1567*AC1567</f>
        <v>0</v>
      </c>
      <c r="AC1567" s="69">
        <v>0</v>
      </c>
      <c r="AD1567" s="120">
        <f>$AF1567*AE1567</f>
        <v>0</v>
      </c>
      <c r="AE1567" s="69">
        <v>0</v>
      </c>
      <c r="AF1567" s="88">
        <f>'Terms and Turnovers'!Z148</f>
        <v>0</v>
      </c>
      <c r="AG1567" s="161">
        <f>SUM(U1567,W1567,Y1567,AA1567,AC1567,AE1567)</f>
        <v>1</v>
      </c>
      <c r="AH1567" s="158">
        <f>SUM(R1567,AF1567)</f>
        <v>0</v>
      </c>
      <c r="AI1567" s="134">
        <f>S1567+AG1567</f>
        <v>2</v>
      </c>
      <c r="AJ1567" s="65"/>
      <c r="AL1567" s="461">
        <f>SUM(F1567,H1567,J1567,L1567,N1567,P1567,T1567,V1567,X1567,Z1567,AB1567,AD1567)</f>
        <v>0</v>
      </c>
      <c r="AM1567" s="462">
        <f>AL1567-AH1567</f>
        <v>0</v>
      </c>
      <c r="AO1567" s="692"/>
      <c r="AP1567" s="692"/>
      <c r="AV1567" s="56"/>
    </row>
    <row r="1568" spans="1:48" ht="13.5" customHeight="1" outlineLevel="2" thickBot="1">
      <c r="B1568" s="82"/>
      <c r="C1568" s="1234"/>
      <c r="D1568" s="1234"/>
      <c r="E1568" s="84" t="str">
        <f>'Terms and Turnovers'!$AD$12</f>
        <v>ACCESSORIES</v>
      </c>
      <c r="F1568" s="120">
        <f>$R1568*G1568</f>
        <v>0</v>
      </c>
      <c r="G1568" s="723"/>
      <c r="H1568" s="120">
        <f>$R1568*I1568</f>
        <v>0</v>
      </c>
      <c r="I1568" s="69">
        <v>0</v>
      </c>
      <c r="J1568" s="120">
        <f>$R1568*K1568</f>
        <v>0</v>
      </c>
      <c r="K1568" s="69">
        <v>0.5</v>
      </c>
      <c r="L1568" s="120">
        <f>$R1568*M1568</f>
        <v>0</v>
      </c>
      <c r="M1568" s="69">
        <v>0.5</v>
      </c>
      <c r="N1568" s="315">
        <f>$R1568*O1568</f>
        <v>0</v>
      </c>
      <c r="O1568" s="69">
        <v>0</v>
      </c>
      <c r="P1568" s="120">
        <f>$R1568*Q1568</f>
        <v>0</v>
      </c>
      <c r="Q1568" s="69">
        <v>0</v>
      </c>
      <c r="R1568" s="88">
        <f>'Terms and Turnovers'!AE148</f>
        <v>0</v>
      </c>
      <c r="S1568" s="161">
        <f>SUM(G1568,I1568,K1568,M1568,O1568,Q1568)</f>
        <v>1</v>
      </c>
      <c r="T1568" s="120">
        <f>$AF1568*U1568</f>
        <v>0</v>
      </c>
      <c r="U1568" s="723">
        <v>0</v>
      </c>
      <c r="V1568" s="120">
        <f>$AF1568*W1568</f>
        <v>0</v>
      </c>
      <c r="W1568" s="69">
        <v>0.5</v>
      </c>
      <c r="X1568" s="120">
        <f>$AF1568*Y1568</f>
        <v>0</v>
      </c>
      <c r="Y1568" s="69">
        <v>0.5</v>
      </c>
      <c r="Z1568" s="120">
        <f>$AF1568*AA1568</f>
        <v>0</v>
      </c>
      <c r="AA1568" s="69">
        <v>0</v>
      </c>
      <c r="AB1568" s="315">
        <f>$AF1568*AC1568</f>
        <v>0</v>
      </c>
      <c r="AC1568" s="69">
        <v>0</v>
      </c>
      <c r="AD1568" s="120">
        <f>$AF1568*AE1568</f>
        <v>0</v>
      </c>
      <c r="AE1568" s="69">
        <v>0</v>
      </c>
      <c r="AF1568" s="88">
        <f>'Terms and Turnovers'!AJ148</f>
        <v>0</v>
      </c>
      <c r="AG1568" s="161">
        <f>SUM(U1568,W1568,Y1568,AA1568,AC1568,AE1568)</f>
        <v>1</v>
      </c>
      <c r="AH1568" s="158">
        <f>SUM(R1568,AF1568)</f>
        <v>0</v>
      </c>
      <c r="AI1568" s="134">
        <f>S1568+AG1568</f>
        <v>2</v>
      </c>
      <c r="AJ1568" s="65"/>
      <c r="AL1568" s="461">
        <f>SUM(F1568,H1568,J1568,L1568,N1568,P1568,T1568,V1568,X1568,Z1568,AB1568,AD1568)</f>
        <v>0</v>
      </c>
      <c r="AM1568" s="462">
        <f>AL1568-AH1568</f>
        <v>0</v>
      </c>
      <c r="AO1568" s="692"/>
      <c r="AP1568" s="692"/>
      <c r="AV1568" s="56"/>
    </row>
    <row r="1569" spans="1:48" ht="13.5" customHeight="1" outlineLevel="2" thickBot="1">
      <c r="B1569" s="82"/>
      <c r="C1569" s="1234"/>
      <c r="D1569" s="1234"/>
      <c r="E1569" s="84">
        <f>'Terms and Turnovers'!$AN$12</f>
        <v>0</v>
      </c>
      <c r="F1569" s="120">
        <f>$R1569*G1569</f>
        <v>0</v>
      </c>
      <c r="G1569" s="723"/>
      <c r="H1569" s="120">
        <f>$R1569*I1569</f>
        <v>0</v>
      </c>
      <c r="I1569" s="69">
        <v>0</v>
      </c>
      <c r="J1569" s="120">
        <f>$R1569*K1569</f>
        <v>0</v>
      </c>
      <c r="K1569" s="69">
        <v>0.5</v>
      </c>
      <c r="L1569" s="120">
        <f>$R1569*M1569</f>
        <v>0</v>
      </c>
      <c r="M1569" s="69">
        <v>0.5</v>
      </c>
      <c r="N1569" s="315">
        <f>$R1569*O1569</f>
        <v>0</v>
      </c>
      <c r="O1569" s="69">
        <v>0</v>
      </c>
      <c r="P1569" s="120">
        <f>$R1569*Q1569</f>
        <v>0</v>
      </c>
      <c r="Q1569" s="69">
        <v>0</v>
      </c>
      <c r="R1569" s="88">
        <f>'Terms and Turnovers'!AO148</f>
        <v>0</v>
      </c>
      <c r="S1569" s="161">
        <f>SUM(G1569,I1569,K1569,M1569,O1569,Q1569)</f>
        <v>1</v>
      </c>
      <c r="T1569" s="120">
        <f>$AF1569*U1569</f>
        <v>0</v>
      </c>
      <c r="U1569" s="723">
        <v>0</v>
      </c>
      <c r="V1569" s="120">
        <f>$AF1569*W1569</f>
        <v>0</v>
      </c>
      <c r="W1569" s="69">
        <v>0.4</v>
      </c>
      <c r="X1569" s="120">
        <f>$AF1569*Y1569</f>
        <v>0</v>
      </c>
      <c r="Y1569" s="69">
        <v>0.4</v>
      </c>
      <c r="Z1569" s="120">
        <f>$AF1569*AA1569</f>
        <v>0</v>
      </c>
      <c r="AA1569" s="69">
        <v>0.2</v>
      </c>
      <c r="AB1569" s="315">
        <f>$AF1569*AC1569</f>
        <v>0</v>
      </c>
      <c r="AC1569" s="69">
        <v>0</v>
      </c>
      <c r="AD1569" s="120">
        <f>$AF1569*AE1569</f>
        <v>0</v>
      </c>
      <c r="AE1569" s="69">
        <v>0</v>
      </c>
      <c r="AF1569" s="88">
        <f>'Terms and Turnovers'!AT148</f>
        <v>0</v>
      </c>
      <c r="AG1569" s="161">
        <f>SUM(U1569,W1569,Y1569,AA1569,AC1569,AE1569)</f>
        <v>1</v>
      </c>
      <c r="AH1569" s="158">
        <f>SUM(R1569,AF1569)</f>
        <v>0</v>
      </c>
      <c r="AI1569" s="134">
        <f>S1569+AG1569</f>
        <v>2</v>
      </c>
      <c r="AJ1569" s="65"/>
      <c r="AL1569" s="461">
        <f>SUM(F1569,H1569,J1569,L1569,N1569,P1569,T1569,V1569,X1569,Z1569,AB1569,AD1569)</f>
        <v>0</v>
      </c>
      <c r="AM1569" s="462">
        <f>AL1569-AH1569</f>
        <v>0</v>
      </c>
      <c r="AO1569" s="692"/>
      <c r="AP1569" s="692"/>
      <c r="AV1569" s="56"/>
    </row>
    <row r="1570" spans="1:48" ht="13.5" customHeight="1" outlineLevel="2" thickBot="1">
      <c r="B1570" s="82"/>
      <c r="C1570" s="1235"/>
      <c r="D1570" s="1235"/>
      <c r="E1570" s="85">
        <f>'Terms and Turnovers'!$AX$12</f>
        <v>0</v>
      </c>
      <c r="F1570" s="121">
        <f>$R1570*G1570</f>
        <v>0</v>
      </c>
      <c r="G1570" s="72"/>
      <c r="H1570" s="121">
        <f>$R1570*I1570</f>
        <v>0</v>
      </c>
      <c r="I1570" s="69">
        <v>0</v>
      </c>
      <c r="J1570" s="121">
        <f>$R1570*K1570</f>
        <v>0</v>
      </c>
      <c r="K1570" s="69">
        <v>0.3</v>
      </c>
      <c r="L1570" s="121">
        <f>$R1570*M1570</f>
        <v>0</v>
      </c>
      <c r="M1570" s="69">
        <v>0.4</v>
      </c>
      <c r="N1570" s="316">
        <f>$R1570*O1570</f>
        <v>0</v>
      </c>
      <c r="O1570" s="69">
        <v>0.3</v>
      </c>
      <c r="P1570" s="121">
        <f>$R1570*Q1570</f>
        <v>0</v>
      </c>
      <c r="Q1570" s="69">
        <v>0</v>
      </c>
      <c r="R1570" s="89">
        <f>'Terms and Turnovers'!AY148</f>
        <v>0</v>
      </c>
      <c r="S1570" s="162">
        <f>SUM(G1570,I1570,K1570,M1570,O1570,Q1570)</f>
        <v>1</v>
      </c>
      <c r="T1570" s="121">
        <f>$AF1570*U1570</f>
        <v>0</v>
      </c>
      <c r="U1570" s="72">
        <v>0</v>
      </c>
      <c r="V1570" s="121">
        <f>$AF1570*W1570</f>
        <v>0</v>
      </c>
      <c r="W1570" s="69">
        <v>0.4</v>
      </c>
      <c r="X1570" s="121">
        <f>$AF1570*Y1570</f>
        <v>0</v>
      </c>
      <c r="Y1570" s="69">
        <v>0.4</v>
      </c>
      <c r="Z1570" s="121">
        <f>$AF1570*AA1570</f>
        <v>0</v>
      </c>
      <c r="AA1570" s="69">
        <v>0.2</v>
      </c>
      <c r="AB1570" s="316">
        <f>$AF1570*AC1570</f>
        <v>0</v>
      </c>
      <c r="AC1570" s="69">
        <v>0</v>
      </c>
      <c r="AD1570" s="121">
        <f>$AF1570*AE1570</f>
        <v>0</v>
      </c>
      <c r="AE1570" s="69">
        <v>0</v>
      </c>
      <c r="AF1570" s="89">
        <f>'Terms and Turnovers'!BD148</f>
        <v>0</v>
      </c>
      <c r="AG1570" s="162">
        <f>SUM(U1570,W1570,Y1570,AA1570,AC1570,AE1570)</f>
        <v>1</v>
      </c>
      <c r="AH1570" s="159">
        <f>SUM(R1570,AF1570)</f>
        <v>0</v>
      </c>
      <c r="AI1570" s="137">
        <f>S1570+AG1570</f>
        <v>2</v>
      </c>
      <c r="AJ1570" s="65"/>
      <c r="AL1570" s="461">
        <f>SUM(F1570,H1570,J1570,L1570,N1570,P1570,T1570,V1570,X1570,Z1570,AB1570,AD1570)</f>
        <v>0</v>
      </c>
      <c r="AM1570" s="462">
        <f>AL1570-AH1570</f>
        <v>0</v>
      </c>
      <c r="AO1570" s="692"/>
      <c r="AP1570" s="692"/>
      <c r="AV1570" s="56"/>
    </row>
    <row r="1571" spans="1:48" ht="13.5" customHeight="1" outlineLevel="2" thickBot="1">
      <c r="A1571" s="119"/>
      <c r="B1571" s="82"/>
      <c r="C1571" s="425"/>
      <c r="D1571" s="425"/>
      <c r="E1571" s="426"/>
      <c r="F1571" s="427">
        <f>SUM(F1566:F1570)</f>
        <v>0</v>
      </c>
      <c r="G1571" s="428"/>
      <c r="H1571" s="427">
        <f>SUM(H1566:H1570)</f>
        <v>0</v>
      </c>
      <c r="I1571" s="69"/>
      <c r="J1571" s="427">
        <f>SUM(J1566:J1570)</f>
        <v>0</v>
      </c>
      <c r="K1571" s="69"/>
      <c r="L1571" s="427">
        <f>SUM(L1566:L1570)</f>
        <v>0</v>
      </c>
      <c r="M1571" s="69"/>
      <c r="N1571" s="427">
        <f>SUM(N1566:N1570)</f>
        <v>0</v>
      </c>
      <c r="O1571" s="69"/>
      <c r="P1571" s="427">
        <f>SUM(P1566:P1570)</f>
        <v>0</v>
      </c>
      <c r="Q1571" s="69"/>
      <c r="R1571" s="429"/>
      <c r="S1571" s="430"/>
      <c r="T1571" s="427">
        <f>SUM(T1566:T1570)</f>
        <v>0</v>
      </c>
      <c r="U1571" s="428"/>
      <c r="V1571" s="427">
        <f>SUM(V1566:V1570)</f>
        <v>0</v>
      </c>
      <c r="W1571" s="69"/>
      <c r="X1571" s="427">
        <f>SUM(X1566:X1570)</f>
        <v>0</v>
      </c>
      <c r="Y1571" s="69"/>
      <c r="Z1571" s="427">
        <f>SUM(Z1566:Z1570)</f>
        <v>0</v>
      </c>
      <c r="AA1571" s="69"/>
      <c r="AB1571" s="427">
        <f>SUM(AB1566:AB1570)</f>
        <v>0</v>
      </c>
      <c r="AC1571" s="69"/>
      <c r="AD1571" s="427">
        <f>SUM(AD1566:AD1570)</f>
        <v>0</v>
      </c>
      <c r="AE1571" s="69"/>
      <c r="AF1571" s="429"/>
      <c r="AG1571" s="430"/>
      <c r="AH1571" s="431"/>
      <c r="AI1571" s="432"/>
      <c r="AJ1571" s="65"/>
      <c r="AO1571" s="692"/>
      <c r="AP1571" s="692"/>
      <c r="AV1571" s="56"/>
    </row>
    <row r="1572" spans="1:48" ht="13.5" customHeight="1" outlineLevel="2" thickBot="1">
      <c r="A1572" s="119"/>
      <c r="B1572" s="82"/>
      <c r="C1572" s="433" t="s">
        <v>484</v>
      </c>
      <c r="D1572" s="433" t="s">
        <v>459</v>
      </c>
      <c r="E1572" s="426"/>
      <c r="F1572" s="434">
        <f>AN1572</f>
        <v>0</v>
      </c>
      <c r="G1572" s="428"/>
      <c r="H1572" s="434">
        <f>H1571</f>
        <v>0</v>
      </c>
      <c r="I1572" s="69"/>
      <c r="J1572" s="434">
        <f>J1571</f>
        <v>0</v>
      </c>
      <c r="K1572" s="69"/>
      <c r="L1572" s="434">
        <f>L1571-AO1572</f>
        <v>0</v>
      </c>
      <c r="M1572" s="69"/>
      <c r="N1572" s="434">
        <f>N1571</f>
        <v>0</v>
      </c>
      <c r="O1572" s="69"/>
      <c r="P1572" s="434">
        <f>P1571</f>
        <v>0</v>
      </c>
      <c r="Q1572" s="69"/>
      <c r="R1572" s="429"/>
      <c r="S1572" s="430"/>
      <c r="T1572" s="434">
        <f>AO1572</f>
        <v>0</v>
      </c>
      <c r="U1572" s="428">
        <f>Q1571</f>
        <v>0</v>
      </c>
      <c r="V1572" s="434">
        <f>V1571</f>
        <v>0</v>
      </c>
      <c r="W1572" s="69">
        <f>S1571</f>
        <v>0</v>
      </c>
      <c r="X1572" s="434">
        <f>X1571</f>
        <v>0</v>
      </c>
      <c r="Y1572" s="69">
        <f>U1571</f>
        <v>0</v>
      </c>
      <c r="Z1572" s="434">
        <f>Z1571-AN1572</f>
        <v>0</v>
      </c>
      <c r="AA1572" s="69">
        <f>W1571</f>
        <v>0</v>
      </c>
      <c r="AB1572" s="434">
        <f>AB1571</f>
        <v>0</v>
      </c>
      <c r="AC1572" s="69">
        <f>Y1571</f>
        <v>0</v>
      </c>
      <c r="AD1572" s="434">
        <f>AD1571</f>
        <v>0</v>
      </c>
      <c r="AE1572" s="69"/>
      <c r="AF1572" s="429"/>
      <c r="AG1572" s="430"/>
      <c r="AH1572" s="431"/>
      <c r="AI1572" s="432"/>
      <c r="AJ1572" s="65"/>
      <c r="AN1572" s="695">
        <f>SUM(AF1566:AF1570)*AQ1572</f>
        <v>0</v>
      </c>
      <c r="AO1572" s="742">
        <f>SUM(R1566:R1570)*AQ1572</f>
        <v>0</v>
      </c>
      <c r="AP1572" s="742"/>
      <c r="AQ1572" s="693">
        <v>0.15</v>
      </c>
      <c r="AS1572" s="716">
        <f>SUM(AL1566:AL1570)</f>
        <v>0</v>
      </c>
      <c r="AT1572" s="461">
        <f>F1572+H1572+J1572+L1572+N1572+P1572+T1572+V1572+X1572+Z1572+AB1572+AD1572</f>
        <v>0</v>
      </c>
      <c r="AU1572" s="745">
        <f>AT1572-AS1572</f>
        <v>0</v>
      </c>
      <c r="AV1572" s="56"/>
    </row>
    <row r="1573" spans="1:48" ht="13.5" customHeight="1" outlineLevel="2" thickBot="1">
      <c r="B1573" s="82">
        <f>B1566+1</f>
        <v>18</v>
      </c>
      <c r="C1573" s="1233">
        <f>C132</f>
        <v>0</v>
      </c>
      <c r="D1573" s="1233">
        <f>D132</f>
        <v>0</v>
      </c>
      <c r="E1573" s="83" t="str">
        <f>'Terms and Turnovers'!$J$12</f>
        <v>FLIP-FLOPS</v>
      </c>
      <c r="F1573" s="118">
        <f>$R1573*G1573</f>
        <v>0</v>
      </c>
      <c r="G1573" s="69"/>
      <c r="H1573" s="314">
        <f>$R1573*I1573</f>
        <v>0</v>
      </c>
      <c r="I1573" s="69">
        <v>0</v>
      </c>
      <c r="J1573" s="118">
        <f>$R1573*K1573</f>
        <v>0</v>
      </c>
      <c r="K1573" s="69">
        <v>0.3</v>
      </c>
      <c r="L1573" s="314">
        <f>$R1573*M1573</f>
        <v>0</v>
      </c>
      <c r="M1573" s="69">
        <v>0.4</v>
      </c>
      <c r="N1573" s="314">
        <f>$R1573*O1573</f>
        <v>0</v>
      </c>
      <c r="O1573" s="69">
        <v>0.3</v>
      </c>
      <c r="P1573" s="118">
        <f>$R1573*Q1573</f>
        <v>0</v>
      </c>
      <c r="Q1573" s="69">
        <v>0</v>
      </c>
      <c r="R1573" s="87">
        <f>'Terms and Turnovers'!K149</f>
        <v>0</v>
      </c>
      <c r="S1573" s="160">
        <f>SUM(G1573,I1573,K1573,M1573,O1573,Q1573)</f>
        <v>1</v>
      </c>
      <c r="T1573" s="118">
        <f>$AF1573*U1573</f>
        <v>0</v>
      </c>
      <c r="U1573" s="69">
        <v>0</v>
      </c>
      <c r="V1573" s="314">
        <f>$AF1573*W1573</f>
        <v>0</v>
      </c>
      <c r="W1573" s="69">
        <v>0.4</v>
      </c>
      <c r="X1573" s="118">
        <f>$AF1573*Y1573</f>
        <v>0</v>
      </c>
      <c r="Y1573" s="69">
        <v>0.4</v>
      </c>
      <c r="Z1573" s="314">
        <f>$AF1573*AA1573</f>
        <v>0</v>
      </c>
      <c r="AA1573" s="69">
        <v>0.2</v>
      </c>
      <c r="AB1573" s="314">
        <f>$AF1573*AC1573</f>
        <v>0</v>
      </c>
      <c r="AC1573" s="69">
        <v>0</v>
      </c>
      <c r="AD1573" s="118">
        <f>$AF1573*AE1573</f>
        <v>0</v>
      </c>
      <c r="AE1573" s="69">
        <v>0</v>
      </c>
      <c r="AF1573" s="87">
        <f>'Terms and Turnovers'!P149</f>
        <v>0</v>
      </c>
      <c r="AG1573" s="160">
        <f>SUM(U1573,W1573,Y1573,AA1573,AC1573,AE1573)</f>
        <v>1</v>
      </c>
      <c r="AH1573" s="157">
        <f>SUM(R1573,AF1573)</f>
        <v>0</v>
      </c>
      <c r="AI1573" s="131">
        <f>S1573+AG1573</f>
        <v>2</v>
      </c>
      <c r="AJ1573" s="65"/>
      <c r="AL1573" s="461">
        <f>SUM(F1573,H1573,J1573,L1573,N1573,P1573,T1573,V1573,X1573,Z1573,AB1573,AD1573)</f>
        <v>0</v>
      </c>
      <c r="AM1573" s="462">
        <f>AL1573-AH1573</f>
        <v>0</v>
      </c>
      <c r="AO1573" s="692"/>
      <c r="AP1573" s="692"/>
      <c r="AV1573" s="56"/>
    </row>
    <row r="1574" spans="1:48" ht="13.5" customHeight="1" outlineLevel="2" thickBot="1">
      <c r="B1574" s="82"/>
      <c r="C1574" s="1234"/>
      <c r="D1574" s="1234"/>
      <c r="E1574" s="84" t="str">
        <f>'Terms and Turnovers'!$T$12</f>
        <v>ORIGINALS</v>
      </c>
      <c r="F1574" s="120">
        <f>$R1574*G1574</f>
        <v>0</v>
      </c>
      <c r="G1574" s="723"/>
      <c r="H1574" s="120">
        <f>$R1574*I1574</f>
        <v>0</v>
      </c>
      <c r="I1574" s="69">
        <v>0</v>
      </c>
      <c r="J1574" s="120">
        <f>$R1574*K1574</f>
        <v>0</v>
      </c>
      <c r="K1574" s="69">
        <v>0.5</v>
      </c>
      <c r="L1574" s="120">
        <f>$R1574*M1574</f>
        <v>0</v>
      </c>
      <c r="M1574" s="69">
        <v>0.5</v>
      </c>
      <c r="N1574" s="315">
        <f>$R1574*O1574</f>
        <v>0</v>
      </c>
      <c r="O1574" s="69">
        <v>0</v>
      </c>
      <c r="P1574" s="120">
        <f>$R1574*Q1574</f>
        <v>0</v>
      </c>
      <c r="Q1574" s="69">
        <v>0</v>
      </c>
      <c r="R1574" s="88">
        <f>'Terms and Turnovers'!U149</f>
        <v>0</v>
      </c>
      <c r="S1574" s="161">
        <f>SUM(G1574,I1574,K1574,M1574,O1574,Q1574)</f>
        <v>1</v>
      </c>
      <c r="T1574" s="120">
        <f>$AF1574*U1574</f>
        <v>0</v>
      </c>
      <c r="U1574" s="723">
        <v>0</v>
      </c>
      <c r="V1574" s="120">
        <f>$AF1574*W1574</f>
        <v>0</v>
      </c>
      <c r="W1574" s="69">
        <v>0.5</v>
      </c>
      <c r="X1574" s="120">
        <f>$AF1574*Y1574</f>
        <v>0</v>
      </c>
      <c r="Y1574" s="69">
        <v>0.5</v>
      </c>
      <c r="Z1574" s="120">
        <f>$AF1574*AA1574</f>
        <v>0</v>
      </c>
      <c r="AA1574" s="69">
        <v>0</v>
      </c>
      <c r="AB1574" s="315">
        <f>$AF1574*AC1574</f>
        <v>0</v>
      </c>
      <c r="AC1574" s="69">
        <v>0</v>
      </c>
      <c r="AD1574" s="120">
        <f>$AF1574*AE1574</f>
        <v>0</v>
      </c>
      <c r="AE1574" s="69">
        <v>0</v>
      </c>
      <c r="AF1574" s="88">
        <f>'Terms and Turnovers'!Z149</f>
        <v>0</v>
      </c>
      <c r="AG1574" s="161">
        <f>SUM(U1574,W1574,Y1574,AA1574,AC1574,AE1574)</f>
        <v>1</v>
      </c>
      <c r="AH1574" s="158">
        <f>SUM(R1574,AF1574)</f>
        <v>0</v>
      </c>
      <c r="AI1574" s="134">
        <f>S1574+AG1574</f>
        <v>2</v>
      </c>
      <c r="AJ1574" s="65"/>
      <c r="AL1574" s="461">
        <f>SUM(F1574,H1574,J1574,L1574,N1574,P1574,T1574,V1574,X1574,Z1574,AB1574,AD1574)</f>
        <v>0</v>
      </c>
      <c r="AM1574" s="462">
        <f>AL1574-AH1574</f>
        <v>0</v>
      </c>
      <c r="AO1574" s="692"/>
      <c r="AP1574" s="692"/>
      <c r="AV1574" s="56"/>
    </row>
    <row r="1575" spans="1:48" ht="13.5" customHeight="1" outlineLevel="2" thickBot="1">
      <c r="B1575" s="82"/>
      <c r="C1575" s="1234"/>
      <c r="D1575" s="1234"/>
      <c r="E1575" s="84" t="str">
        <f>'Terms and Turnovers'!$AD$12</f>
        <v>ACCESSORIES</v>
      </c>
      <c r="F1575" s="120">
        <f>$R1575*G1575</f>
        <v>0</v>
      </c>
      <c r="G1575" s="723"/>
      <c r="H1575" s="120">
        <f>$R1575*I1575</f>
        <v>0</v>
      </c>
      <c r="I1575" s="69">
        <v>0</v>
      </c>
      <c r="J1575" s="120">
        <f>$R1575*K1575</f>
        <v>0</v>
      </c>
      <c r="K1575" s="69">
        <v>0.5</v>
      </c>
      <c r="L1575" s="120">
        <f>$R1575*M1575</f>
        <v>0</v>
      </c>
      <c r="M1575" s="69">
        <v>0.5</v>
      </c>
      <c r="N1575" s="315">
        <f>$R1575*O1575</f>
        <v>0</v>
      </c>
      <c r="O1575" s="69">
        <v>0</v>
      </c>
      <c r="P1575" s="120">
        <f>$R1575*Q1575</f>
        <v>0</v>
      </c>
      <c r="Q1575" s="69">
        <v>0</v>
      </c>
      <c r="R1575" s="88">
        <f>'Terms and Turnovers'!AE149</f>
        <v>0</v>
      </c>
      <c r="S1575" s="161">
        <f>SUM(G1575,I1575,K1575,M1575,O1575,Q1575)</f>
        <v>1</v>
      </c>
      <c r="T1575" s="120">
        <f>$AF1575*U1575</f>
        <v>0</v>
      </c>
      <c r="U1575" s="723">
        <v>0</v>
      </c>
      <c r="V1575" s="120">
        <f>$AF1575*W1575</f>
        <v>0</v>
      </c>
      <c r="W1575" s="69">
        <v>0.5</v>
      </c>
      <c r="X1575" s="120">
        <f>$AF1575*Y1575</f>
        <v>0</v>
      </c>
      <c r="Y1575" s="69">
        <v>0.5</v>
      </c>
      <c r="Z1575" s="120">
        <f>$AF1575*AA1575</f>
        <v>0</v>
      </c>
      <c r="AA1575" s="69">
        <v>0</v>
      </c>
      <c r="AB1575" s="315">
        <f>$AF1575*AC1575</f>
        <v>0</v>
      </c>
      <c r="AC1575" s="69">
        <v>0</v>
      </c>
      <c r="AD1575" s="120">
        <f>$AF1575*AE1575</f>
        <v>0</v>
      </c>
      <c r="AE1575" s="69">
        <v>0</v>
      </c>
      <c r="AF1575" s="88">
        <f>'Terms and Turnovers'!AJ149</f>
        <v>0</v>
      </c>
      <c r="AG1575" s="161">
        <f>SUM(U1575,W1575,Y1575,AA1575,AC1575,AE1575)</f>
        <v>1</v>
      </c>
      <c r="AH1575" s="158">
        <f>SUM(R1575,AF1575)</f>
        <v>0</v>
      </c>
      <c r="AI1575" s="134">
        <f>S1575+AG1575</f>
        <v>2</v>
      </c>
      <c r="AJ1575" s="65"/>
      <c r="AL1575" s="461">
        <f>SUM(F1575,H1575,J1575,L1575,N1575,P1575,T1575,V1575,X1575,Z1575,AB1575,AD1575)</f>
        <v>0</v>
      </c>
      <c r="AM1575" s="462">
        <f>AL1575-AH1575</f>
        <v>0</v>
      </c>
      <c r="AO1575" s="692"/>
      <c r="AP1575" s="692"/>
      <c r="AV1575" s="56"/>
    </row>
    <row r="1576" spans="1:48" ht="13.5" customHeight="1" outlineLevel="2" thickBot="1">
      <c r="B1576" s="82"/>
      <c r="C1576" s="1234"/>
      <c r="D1576" s="1234"/>
      <c r="E1576" s="84">
        <f>'Terms and Turnovers'!$AN$12</f>
        <v>0</v>
      </c>
      <c r="F1576" s="120">
        <f>$R1576*G1576</f>
        <v>0</v>
      </c>
      <c r="G1576" s="723"/>
      <c r="H1576" s="120">
        <f>$R1576*I1576</f>
        <v>0</v>
      </c>
      <c r="I1576" s="69">
        <v>0</v>
      </c>
      <c r="J1576" s="120">
        <f>$R1576*K1576</f>
        <v>0</v>
      </c>
      <c r="K1576" s="69">
        <v>0.3</v>
      </c>
      <c r="L1576" s="120">
        <f>$R1576*M1576</f>
        <v>0</v>
      </c>
      <c r="M1576" s="69">
        <v>0.4</v>
      </c>
      <c r="N1576" s="315">
        <f>$R1576*O1576</f>
        <v>0</v>
      </c>
      <c r="O1576" s="69">
        <v>0.3</v>
      </c>
      <c r="P1576" s="120">
        <f>$R1576*Q1576</f>
        <v>0</v>
      </c>
      <c r="Q1576" s="69">
        <v>0</v>
      </c>
      <c r="R1576" s="88">
        <f>'Terms and Turnovers'!AO149</f>
        <v>0</v>
      </c>
      <c r="S1576" s="161">
        <f>SUM(G1576,I1576,K1576,M1576,O1576,Q1576)</f>
        <v>1</v>
      </c>
      <c r="T1576" s="120">
        <f>$AF1576*U1576</f>
        <v>0</v>
      </c>
      <c r="U1576" s="723">
        <v>0</v>
      </c>
      <c r="V1576" s="120">
        <f>$AF1576*W1576</f>
        <v>0</v>
      </c>
      <c r="W1576" s="69">
        <v>0.4</v>
      </c>
      <c r="X1576" s="120">
        <f>$AF1576*Y1576</f>
        <v>0</v>
      </c>
      <c r="Y1576" s="69">
        <v>0.4</v>
      </c>
      <c r="Z1576" s="120">
        <f>$AF1576*AA1576</f>
        <v>0</v>
      </c>
      <c r="AA1576" s="69">
        <v>0.2</v>
      </c>
      <c r="AB1576" s="315">
        <f>$AF1576*AC1576</f>
        <v>0</v>
      </c>
      <c r="AC1576" s="69">
        <v>0</v>
      </c>
      <c r="AD1576" s="120">
        <f>$AF1576*AE1576</f>
        <v>0</v>
      </c>
      <c r="AE1576" s="69">
        <v>0</v>
      </c>
      <c r="AF1576" s="88">
        <f>'Terms and Turnovers'!AT149</f>
        <v>0</v>
      </c>
      <c r="AG1576" s="161">
        <f>SUM(U1576,W1576,Y1576,AA1576,AC1576,AE1576)</f>
        <v>1</v>
      </c>
      <c r="AH1576" s="158">
        <f>SUM(R1576,AF1576)</f>
        <v>0</v>
      </c>
      <c r="AI1576" s="134">
        <f>S1576+AG1576</f>
        <v>2</v>
      </c>
      <c r="AJ1576" s="65"/>
      <c r="AL1576" s="461">
        <f>SUM(F1576,H1576,J1576,L1576,N1576,P1576,T1576,V1576,X1576,Z1576,AB1576,AD1576)</f>
        <v>0</v>
      </c>
      <c r="AM1576" s="462">
        <f>AL1576-AH1576</f>
        <v>0</v>
      </c>
      <c r="AO1576" s="692"/>
      <c r="AP1576" s="692"/>
      <c r="AV1576" s="56"/>
    </row>
    <row r="1577" spans="1:48" ht="13.5" customHeight="1" outlineLevel="2" thickBot="1">
      <c r="B1577" s="82"/>
      <c r="C1577" s="1235"/>
      <c r="D1577" s="1235"/>
      <c r="E1577" s="85">
        <f>'Terms and Turnovers'!$AX$12</f>
        <v>0</v>
      </c>
      <c r="F1577" s="121">
        <f>$R1577*G1577</f>
        <v>0</v>
      </c>
      <c r="G1577" s="72"/>
      <c r="H1577" s="121">
        <f>$R1577*I1577</f>
        <v>0</v>
      </c>
      <c r="I1577" s="69">
        <v>0</v>
      </c>
      <c r="J1577" s="121">
        <f>$R1577*K1577</f>
        <v>0</v>
      </c>
      <c r="K1577" s="69">
        <v>0.3</v>
      </c>
      <c r="L1577" s="121">
        <f>$R1577*M1577</f>
        <v>0</v>
      </c>
      <c r="M1577" s="69">
        <v>0.4</v>
      </c>
      <c r="N1577" s="316">
        <f>$R1577*O1577</f>
        <v>0</v>
      </c>
      <c r="O1577" s="69">
        <v>0.3</v>
      </c>
      <c r="P1577" s="121">
        <f>$R1577*Q1577</f>
        <v>0</v>
      </c>
      <c r="Q1577" s="69">
        <v>0</v>
      </c>
      <c r="R1577" s="89">
        <f>'Terms and Turnovers'!AY149</f>
        <v>0</v>
      </c>
      <c r="S1577" s="162">
        <f>SUM(G1577,I1577,K1577,M1577,O1577,Q1577)</f>
        <v>1</v>
      </c>
      <c r="T1577" s="121">
        <f>$AF1577*U1577</f>
        <v>0</v>
      </c>
      <c r="U1577" s="72">
        <v>0</v>
      </c>
      <c r="V1577" s="121">
        <f>$AF1577*W1577</f>
        <v>0</v>
      </c>
      <c r="W1577" s="69">
        <v>0.4</v>
      </c>
      <c r="X1577" s="121">
        <f>$AF1577*Y1577</f>
        <v>0</v>
      </c>
      <c r="Y1577" s="69">
        <v>0.4</v>
      </c>
      <c r="Z1577" s="121">
        <f>$AF1577*AA1577</f>
        <v>0</v>
      </c>
      <c r="AA1577" s="69">
        <v>0.2</v>
      </c>
      <c r="AB1577" s="316">
        <f>$AF1577*AC1577</f>
        <v>0</v>
      </c>
      <c r="AC1577" s="69">
        <v>0</v>
      </c>
      <c r="AD1577" s="121">
        <f>$AF1577*AE1577</f>
        <v>0</v>
      </c>
      <c r="AE1577" s="69">
        <v>0</v>
      </c>
      <c r="AF1577" s="89">
        <f>'Terms and Turnovers'!BD149</f>
        <v>0</v>
      </c>
      <c r="AG1577" s="162">
        <f>SUM(U1577,W1577,Y1577,AA1577,AC1577,AE1577)</f>
        <v>1</v>
      </c>
      <c r="AH1577" s="159">
        <f>SUM(R1577,AF1577)</f>
        <v>0</v>
      </c>
      <c r="AI1577" s="137">
        <f>S1577+AG1577</f>
        <v>2</v>
      </c>
      <c r="AJ1577" s="65"/>
      <c r="AL1577" s="461">
        <f>SUM(F1577,H1577,J1577,L1577,N1577,P1577,T1577,V1577,X1577,Z1577,AB1577,AD1577)</f>
        <v>0</v>
      </c>
      <c r="AM1577" s="462">
        <f>AL1577-AH1577</f>
        <v>0</v>
      </c>
      <c r="AO1577" s="692"/>
      <c r="AP1577" s="692"/>
      <c r="AV1577" s="56"/>
    </row>
    <row r="1578" spans="1:48" ht="13.5" customHeight="1" outlineLevel="2" thickBot="1">
      <c r="A1578" s="119"/>
      <c r="B1578" s="82"/>
      <c r="C1578" s="425"/>
      <c r="D1578" s="425"/>
      <c r="E1578" s="426"/>
      <c r="F1578" s="427">
        <f>SUM(F1573:F1577)</f>
        <v>0</v>
      </c>
      <c r="G1578" s="428"/>
      <c r="H1578" s="427">
        <f>SUM(H1573:H1577)</f>
        <v>0</v>
      </c>
      <c r="I1578" s="69"/>
      <c r="J1578" s="427">
        <f>SUM(J1573:J1577)</f>
        <v>0</v>
      </c>
      <c r="K1578" s="69"/>
      <c r="L1578" s="427">
        <f>SUM(L1573:L1577)</f>
        <v>0</v>
      </c>
      <c r="M1578" s="69"/>
      <c r="N1578" s="427">
        <f>SUM(N1573:N1577)</f>
        <v>0</v>
      </c>
      <c r="O1578" s="69"/>
      <c r="P1578" s="427">
        <f>SUM(P1573:P1577)</f>
        <v>0</v>
      </c>
      <c r="Q1578" s="69"/>
      <c r="R1578" s="429"/>
      <c r="S1578" s="430"/>
      <c r="T1578" s="427">
        <f>SUM(T1573:T1577)</f>
        <v>0</v>
      </c>
      <c r="U1578" s="428"/>
      <c r="V1578" s="427">
        <f>SUM(V1573:V1577)</f>
        <v>0</v>
      </c>
      <c r="W1578" s="69"/>
      <c r="X1578" s="427">
        <f>SUM(X1573:X1577)</f>
        <v>0</v>
      </c>
      <c r="Y1578" s="69"/>
      <c r="Z1578" s="427">
        <f>SUM(Z1573:Z1577)</f>
        <v>0</v>
      </c>
      <c r="AA1578" s="69"/>
      <c r="AB1578" s="427">
        <f>SUM(AB1573:AB1577)</f>
        <v>0</v>
      </c>
      <c r="AC1578" s="69"/>
      <c r="AD1578" s="427">
        <f>SUM(AD1573:AD1577)</f>
        <v>0</v>
      </c>
      <c r="AE1578" s="69"/>
      <c r="AF1578" s="429"/>
      <c r="AG1578" s="430"/>
      <c r="AH1578" s="431"/>
      <c r="AI1578" s="432"/>
      <c r="AJ1578" s="65"/>
      <c r="AO1578" s="692"/>
      <c r="AP1578" s="692"/>
      <c r="AV1578" s="56"/>
    </row>
    <row r="1579" spans="1:48" ht="13.5" customHeight="1" outlineLevel="2" thickBot="1">
      <c r="A1579" s="119"/>
      <c r="B1579" s="82"/>
      <c r="C1579" s="433" t="s">
        <v>484</v>
      </c>
      <c r="D1579" s="433" t="s">
        <v>460</v>
      </c>
      <c r="E1579" s="426"/>
      <c r="F1579" s="434">
        <f>AN1579</f>
        <v>0</v>
      </c>
      <c r="G1579" s="428"/>
      <c r="H1579" s="434">
        <f>H1578</f>
        <v>0</v>
      </c>
      <c r="I1579" s="69"/>
      <c r="J1579" s="434">
        <f>J1578</f>
        <v>0</v>
      </c>
      <c r="K1579" s="69"/>
      <c r="L1579" s="434">
        <f>L1578</f>
        <v>0</v>
      </c>
      <c r="M1579" s="69"/>
      <c r="N1579" s="434">
        <f>N1578-AO1579</f>
        <v>0</v>
      </c>
      <c r="O1579" s="69"/>
      <c r="P1579" s="434">
        <f>P1578</f>
        <v>0</v>
      </c>
      <c r="Q1579" s="69"/>
      <c r="R1579" s="429"/>
      <c r="S1579" s="430"/>
      <c r="T1579" s="434">
        <f>AO1579</f>
        <v>0</v>
      </c>
      <c r="U1579" s="428">
        <f>Q1578</f>
        <v>0</v>
      </c>
      <c r="V1579" s="434">
        <f>V1578</f>
        <v>0</v>
      </c>
      <c r="W1579" s="69">
        <f>S1578</f>
        <v>0</v>
      </c>
      <c r="X1579" s="434">
        <f>X1578</f>
        <v>0</v>
      </c>
      <c r="Y1579" s="69">
        <f>U1578</f>
        <v>0</v>
      </c>
      <c r="Z1579" s="434">
        <f>Z1578-AN1579</f>
        <v>0</v>
      </c>
      <c r="AA1579" s="69">
        <f>W1578</f>
        <v>0</v>
      </c>
      <c r="AB1579" s="434">
        <f>AB1578</f>
        <v>0</v>
      </c>
      <c r="AC1579" s="69">
        <f>Y1578</f>
        <v>0</v>
      </c>
      <c r="AD1579" s="434">
        <f>AD1578</f>
        <v>0</v>
      </c>
      <c r="AE1579" s="69"/>
      <c r="AF1579" s="429"/>
      <c r="AG1579" s="430"/>
      <c r="AH1579" s="431"/>
      <c r="AI1579" s="432"/>
      <c r="AJ1579" s="65"/>
      <c r="AN1579" s="695">
        <f>SUM(AF1573:AF1577)*AQ1579</f>
        <v>0</v>
      </c>
      <c r="AO1579" s="742">
        <f>SUM(R1573:R1577)*AQ1579</f>
        <v>0</v>
      </c>
      <c r="AP1579" s="742"/>
      <c r="AQ1579" s="693">
        <v>0.15</v>
      </c>
      <c r="AS1579" s="716">
        <f>SUM(AL1573:AL1577)</f>
        <v>0</v>
      </c>
      <c r="AT1579" s="461">
        <f>F1579+H1579+J1579+L1579+N1579+P1579+T1579+V1579+X1579+Z1579+AB1579+AD1579</f>
        <v>0</v>
      </c>
      <c r="AU1579" s="745">
        <f>AT1579-AS1579</f>
        <v>0</v>
      </c>
      <c r="AV1579" s="56"/>
    </row>
    <row r="1580" spans="1:48" ht="13.5" customHeight="1" outlineLevel="2" thickBot="1">
      <c r="B1580" s="82">
        <f>B1573+1</f>
        <v>19</v>
      </c>
      <c r="C1580" s="1233">
        <f>C139</f>
        <v>0</v>
      </c>
      <c r="D1580" s="1233">
        <f>D139</f>
        <v>0</v>
      </c>
      <c r="E1580" s="83" t="str">
        <f>'Terms and Turnovers'!$J$12</f>
        <v>FLIP-FLOPS</v>
      </c>
      <c r="F1580" s="118">
        <f>$R1580*G1580</f>
        <v>0</v>
      </c>
      <c r="G1580" s="69"/>
      <c r="H1580" s="314">
        <f>$R1580*I1580</f>
        <v>0</v>
      </c>
      <c r="I1580" s="69">
        <v>0</v>
      </c>
      <c r="J1580" s="118">
        <f>$R1580*K1580</f>
        <v>0</v>
      </c>
      <c r="K1580" s="69">
        <v>0.25</v>
      </c>
      <c r="L1580" s="314">
        <f>$R1580*M1580</f>
        <v>0</v>
      </c>
      <c r="M1580" s="69">
        <v>0.4</v>
      </c>
      <c r="N1580" s="314">
        <f>$R1580*O1580</f>
        <v>0</v>
      </c>
      <c r="O1580" s="69">
        <v>0.35</v>
      </c>
      <c r="P1580" s="118">
        <f>$R1580*Q1580</f>
        <v>0</v>
      </c>
      <c r="Q1580" s="69">
        <v>0</v>
      </c>
      <c r="R1580" s="87">
        <f>'Terms and Turnovers'!K150</f>
        <v>0</v>
      </c>
      <c r="S1580" s="160">
        <f>SUM(G1580,I1580,K1580,M1580,O1580,Q1580)</f>
        <v>1</v>
      </c>
      <c r="T1580" s="118">
        <f>$AF1580*U1580</f>
        <v>0</v>
      </c>
      <c r="U1580" s="69">
        <v>0</v>
      </c>
      <c r="V1580" s="314">
        <f>$AF1580*W1580</f>
        <v>0</v>
      </c>
      <c r="W1580" s="69">
        <v>0.4</v>
      </c>
      <c r="X1580" s="118">
        <f>$AF1580*Y1580</f>
        <v>0</v>
      </c>
      <c r="Y1580" s="69">
        <v>0.4</v>
      </c>
      <c r="Z1580" s="314">
        <f>$AF1580*AA1580</f>
        <v>0</v>
      </c>
      <c r="AA1580" s="69">
        <v>0.2</v>
      </c>
      <c r="AB1580" s="314">
        <f>$AF1580*AC1580</f>
        <v>0</v>
      </c>
      <c r="AC1580" s="69">
        <v>0</v>
      </c>
      <c r="AD1580" s="118">
        <f>$AF1580*AE1580</f>
        <v>0</v>
      </c>
      <c r="AE1580" s="69">
        <v>0</v>
      </c>
      <c r="AF1580" s="87">
        <f>'Terms and Turnovers'!P150</f>
        <v>0</v>
      </c>
      <c r="AG1580" s="160">
        <f>SUM(U1580,W1580,Y1580,AA1580,AC1580,AE1580)</f>
        <v>1</v>
      </c>
      <c r="AH1580" s="157">
        <f>SUM(R1580,AF1580)</f>
        <v>0</v>
      </c>
      <c r="AI1580" s="131">
        <f>S1580+AG1580</f>
        <v>2</v>
      </c>
      <c r="AJ1580" s="65"/>
      <c r="AL1580" s="461">
        <f>SUM(F1580,H1580,J1580,L1580,N1580,P1580,T1580,V1580,X1580,Z1580,AB1580,AD1580)</f>
        <v>0</v>
      </c>
      <c r="AM1580" s="462">
        <f>AL1580-AH1580</f>
        <v>0</v>
      </c>
      <c r="AO1580" s="692"/>
      <c r="AP1580" s="692"/>
      <c r="AV1580" s="56"/>
    </row>
    <row r="1581" spans="1:48" ht="13.5" customHeight="1" outlineLevel="2" thickBot="1">
      <c r="B1581" s="82"/>
      <c r="C1581" s="1234"/>
      <c r="D1581" s="1234"/>
      <c r="E1581" s="84" t="str">
        <f>'Terms and Turnovers'!$T$12</f>
        <v>ORIGINALS</v>
      </c>
      <c r="F1581" s="120">
        <f>$R1581*G1581</f>
        <v>0</v>
      </c>
      <c r="G1581" s="723"/>
      <c r="H1581" s="120">
        <f>$R1581*I1581</f>
        <v>0</v>
      </c>
      <c r="I1581" s="69">
        <v>0</v>
      </c>
      <c r="J1581" s="120">
        <f>$R1581*K1581</f>
        <v>0</v>
      </c>
      <c r="K1581" s="69">
        <v>0.25</v>
      </c>
      <c r="L1581" s="120">
        <f>$R1581*M1581</f>
        <v>0</v>
      </c>
      <c r="M1581" s="69">
        <v>0.4</v>
      </c>
      <c r="N1581" s="315">
        <f>$R1581*O1581</f>
        <v>0</v>
      </c>
      <c r="O1581" s="69">
        <v>0.35</v>
      </c>
      <c r="P1581" s="120">
        <f>$R1581*Q1581</f>
        <v>0</v>
      </c>
      <c r="Q1581" s="69">
        <v>0</v>
      </c>
      <c r="R1581" s="88">
        <f>'Terms and Turnovers'!U150</f>
        <v>0</v>
      </c>
      <c r="S1581" s="161">
        <f>SUM(G1581,I1581,K1581,M1581,O1581,Q1581)</f>
        <v>1</v>
      </c>
      <c r="T1581" s="120">
        <f>$AF1581*U1581</f>
        <v>0</v>
      </c>
      <c r="U1581" s="723">
        <v>0</v>
      </c>
      <c r="V1581" s="120">
        <f>$AF1581*W1581</f>
        <v>0</v>
      </c>
      <c r="W1581" s="69">
        <v>0.5</v>
      </c>
      <c r="X1581" s="120">
        <f>$AF1581*Y1581</f>
        <v>0</v>
      </c>
      <c r="Y1581" s="69">
        <v>0.5</v>
      </c>
      <c r="Z1581" s="120">
        <f>$AF1581*AA1581</f>
        <v>0</v>
      </c>
      <c r="AA1581" s="69">
        <v>0</v>
      </c>
      <c r="AB1581" s="315">
        <f>$AF1581*AC1581</f>
        <v>0</v>
      </c>
      <c r="AC1581" s="69">
        <v>0</v>
      </c>
      <c r="AD1581" s="120">
        <f>$AF1581*AE1581</f>
        <v>0</v>
      </c>
      <c r="AE1581" s="69">
        <v>0</v>
      </c>
      <c r="AF1581" s="88">
        <f>'Terms and Turnovers'!Z150</f>
        <v>0</v>
      </c>
      <c r="AG1581" s="161">
        <f>SUM(U1581,W1581,Y1581,AA1581,AC1581,AE1581)</f>
        <v>1</v>
      </c>
      <c r="AH1581" s="158">
        <f>SUM(R1581,AF1581)</f>
        <v>0</v>
      </c>
      <c r="AI1581" s="134">
        <f>S1581+AG1581</f>
        <v>2</v>
      </c>
      <c r="AJ1581" s="65"/>
      <c r="AL1581" s="461">
        <f>SUM(F1581,H1581,J1581,L1581,N1581,P1581,T1581,V1581,X1581,Z1581,AB1581,AD1581)</f>
        <v>0</v>
      </c>
      <c r="AM1581" s="462">
        <f>AL1581-AH1581</f>
        <v>0</v>
      </c>
      <c r="AO1581" s="692"/>
      <c r="AP1581" s="692"/>
      <c r="AV1581" s="56"/>
    </row>
    <row r="1582" spans="1:48" ht="13.5" customHeight="1" outlineLevel="2" thickBot="1">
      <c r="B1582" s="82"/>
      <c r="C1582" s="1234"/>
      <c r="D1582" s="1234"/>
      <c r="E1582" s="84" t="str">
        <f>'Terms and Turnovers'!$AD$12</f>
        <v>ACCESSORIES</v>
      </c>
      <c r="F1582" s="120">
        <f>$R1582*G1582</f>
        <v>0</v>
      </c>
      <c r="G1582" s="723"/>
      <c r="H1582" s="120">
        <f>$R1582*I1582</f>
        <v>0</v>
      </c>
      <c r="I1582" s="69">
        <v>0</v>
      </c>
      <c r="J1582" s="120">
        <f>$R1582*K1582</f>
        <v>0</v>
      </c>
      <c r="K1582" s="69">
        <v>0.25</v>
      </c>
      <c r="L1582" s="120">
        <f>$R1582*M1582</f>
        <v>0</v>
      </c>
      <c r="M1582" s="69">
        <v>0.4</v>
      </c>
      <c r="N1582" s="315">
        <f>$R1582*O1582</f>
        <v>0</v>
      </c>
      <c r="O1582" s="69">
        <v>0.35</v>
      </c>
      <c r="P1582" s="120">
        <f>$R1582*Q1582</f>
        <v>0</v>
      </c>
      <c r="Q1582" s="69">
        <v>0</v>
      </c>
      <c r="R1582" s="88">
        <f>'Terms and Turnovers'!AE150</f>
        <v>0</v>
      </c>
      <c r="S1582" s="161">
        <f>SUM(G1582,I1582,K1582,M1582,O1582,Q1582)</f>
        <v>1</v>
      </c>
      <c r="T1582" s="120">
        <f>$AF1582*U1582</f>
        <v>0</v>
      </c>
      <c r="U1582" s="723">
        <v>0</v>
      </c>
      <c r="V1582" s="120">
        <f>$AF1582*W1582</f>
        <v>0</v>
      </c>
      <c r="W1582" s="69">
        <v>0.5</v>
      </c>
      <c r="X1582" s="120">
        <f>$AF1582*Y1582</f>
        <v>0</v>
      </c>
      <c r="Y1582" s="69">
        <v>0.5</v>
      </c>
      <c r="Z1582" s="120">
        <f>$AF1582*AA1582</f>
        <v>0</v>
      </c>
      <c r="AA1582" s="69">
        <v>0</v>
      </c>
      <c r="AB1582" s="315">
        <f>$AF1582*AC1582</f>
        <v>0</v>
      </c>
      <c r="AC1582" s="69">
        <v>0</v>
      </c>
      <c r="AD1582" s="120">
        <f>$AF1582*AE1582</f>
        <v>0</v>
      </c>
      <c r="AE1582" s="69">
        <v>0</v>
      </c>
      <c r="AF1582" s="88">
        <f>'Terms and Turnovers'!AJ150</f>
        <v>0</v>
      </c>
      <c r="AG1582" s="161">
        <f>SUM(U1582,W1582,Y1582,AA1582,AC1582,AE1582)</f>
        <v>1</v>
      </c>
      <c r="AH1582" s="158">
        <f>SUM(R1582,AF1582)</f>
        <v>0</v>
      </c>
      <c r="AI1582" s="134">
        <f>S1582+AG1582</f>
        <v>2</v>
      </c>
      <c r="AJ1582" s="65"/>
      <c r="AL1582" s="461">
        <f>SUM(F1582,H1582,J1582,L1582,N1582,P1582,T1582,V1582,X1582,Z1582,AB1582,AD1582)</f>
        <v>0</v>
      </c>
      <c r="AM1582" s="462">
        <f>AL1582-AH1582</f>
        <v>0</v>
      </c>
      <c r="AO1582" s="692"/>
      <c r="AP1582" s="692"/>
      <c r="AV1582" s="56"/>
    </row>
    <row r="1583" spans="1:48" ht="13.5" customHeight="1" outlineLevel="2" thickBot="1">
      <c r="B1583" s="82"/>
      <c r="C1583" s="1234"/>
      <c r="D1583" s="1234"/>
      <c r="E1583" s="84">
        <f>'Terms and Turnovers'!$AN$12</f>
        <v>0</v>
      </c>
      <c r="F1583" s="120">
        <f>$R1583*G1583</f>
        <v>0</v>
      </c>
      <c r="G1583" s="723"/>
      <c r="H1583" s="120">
        <f>$R1583*I1583</f>
        <v>0</v>
      </c>
      <c r="I1583" s="69">
        <v>0</v>
      </c>
      <c r="J1583" s="120">
        <f>$R1583*K1583</f>
        <v>0</v>
      </c>
      <c r="K1583" s="69">
        <v>0.25</v>
      </c>
      <c r="L1583" s="120">
        <f>$R1583*M1583</f>
        <v>0</v>
      </c>
      <c r="M1583" s="69">
        <v>0.4</v>
      </c>
      <c r="N1583" s="315">
        <f>$R1583*O1583</f>
        <v>0</v>
      </c>
      <c r="O1583" s="69">
        <v>0.35</v>
      </c>
      <c r="P1583" s="120">
        <f>$R1583*Q1583</f>
        <v>0</v>
      </c>
      <c r="Q1583" s="69">
        <v>0</v>
      </c>
      <c r="R1583" s="88">
        <f>'Terms and Turnovers'!AO150</f>
        <v>0</v>
      </c>
      <c r="S1583" s="161">
        <f>SUM(G1583,I1583,K1583,M1583,O1583,Q1583)</f>
        <v>1</v>
      </c>
      <c r="T1583" s="120">
        <f>$AF1583*U1583</f>
        <v>0</v>
      </c>
      <c r="U1583" s="723">
        <v>0</v>
      </c>
      <c r="V1583" s="120">
        <f>$AF1583*W1583</f>
        <v>0</v>
      </c>
      <c r="W1583" s="69">
        <v>0.4</v>
      </c>
      <c r="X1583" s="120">
        <f>$AF1583*Y1583</f>
        <v>0</v>
      </c>
      <c r="Y1583" s="69">
        <v>0.4</v>
      </c>
      <c r="Z1583" s="120">
        <f>$AF1583*AA1583</f>
        <v>0</v>
      </c>
      <c r="AA1583" s="69">
        <v>0.2</v>
      </c>
      <c r="AB1583" s="315">
        <f>$AF1583*AC1583</f>
        <v>0</v>
      </c>
      <c r="AC1583" s="69">
        <v>0</v>
      </c>
      <c r="AD1583" s="120">
        <f>$AF1583*AE1583</f>
        <v>0</v>
      </c>
      <c r="AE1583" s="69">
        <v>0</v>
      </c>
      <c r="AF1583" s="88">
        <f>'Terms and Turnovers'!AT150</f>
        <v>0</v>
      </c>
      <c r="AG1583" s="161">
        <f>SUM(U1583,W1583,Y1583,AA1583,AC1583,AE1583)</f>
        <v>1</v>
      </c>
      <c r="AH1583" s="158">
        <f>SUM(R1583,AF1583)</f>
        <v>0</v>
      </c>
      <c r="AI1583" s="134">
        <f>S1583+AG1583</f>
        <v>2</v>
      </c>
      <c r="AJ1583" s="65"/>
      <c r="AL1583" s="461">
        <f>SUM(F1583,H1583,J1583,L1583,N1583,P1583,T1583,V1583,X1583,Z1583,AB1583,AD1583)</f>
        <v>0</v>
      </c>
      <c r="AM1583" s="462">
        <f>AL1583-AH1583</f>
        <v>0</v>
      </c>
      <c r="AO1583" s="692"/>
      <c r="AP1583" s="692"/>
      <c r="AV1583" s="56"/>
    </row>
    <row r="1584" spans="1:48" ht="13.5" customHeight="1" outlineLevel="2" thickBot="1">
      <c r="B1584" s="82"/>
      <c r="C1584" s="1235"/>
      <c r="D1584" s="1235"/>
      <c r="E1584" s="85">
        <f>'Terms and Turnovers'!$AX$12</f>
        <v>0</v>
      </c>
      <c r="F1584" s="121">
        <f>$R1584*G1584</f>
        <v>0</v>
      </c>
      <c r="G1584" s="72"/>
      <c r="H1584" s="121">
        <f>$R1584*I1584</f>
        <v>0</v>
      </c>
      <c r="I1584" s="69">
        <v>0</v>
      </c>
      <c r="J1584" s="121">
        <f>$R1584*K1584</f>
        <v>0</v>
      </c>
      <c r="K1584" s="69">
        <v>0.25</v>
      </c>
      <c r="L1584" s="121">
        <f>$R1584*M1584</f>
        <v>0</v>
      </c>
      <c r="M1584" s="69">
        <v>0.4</v>
      </c>
      <c r="N1584" s="316">
        <f>$R1584*O1584</f>
        <v>0</v>
      </c>
      <c r="O1584" s="69">
        <v>0.35</v>
      </c>
      <c r="P1584" s="121">
        <f>$R1584*Q1584</f>
        <v>0</v>
      </c>
      <c r="Q1584" s="69">
        <v>0</v>
      </c>
      <c r="R1584" s="89">
        <f>'Terms and Turnovers'!AY150</f>
        <v>0</v>
      </c>
      <c r="S1584" s="162">
        <f>SUM(G1584,I1584,K1584,M1584,O1584,Q1584)</f>
        <v>1</v>
      </c>
      <c r="T1584" s="121">
        <f>$AF1584*U1584</f>
        <v>0</v>
      </c>
      <c r="U1584" s="72">
        <v>0</v>
      </c>
      <c r="V1584" s="121">
        <f>$AF1584*W1584</f>
        <v>0</v>
      </c>
      <c r="W1584" s="69">
        <v>0.4</v>
      </c>
      <c r="X1584" s="121">
        <f>$AF1584*Y1584</f>
        <v>0</v>
      </c>
      <c r="Y1584" s="69">
        <v>0.4</v>
      </c>
      <c r="Z1584" s="121">
        <f>$AF1584*AA1584</f>
        <v>0</v>
      </c>
      <c r="AA1584" s="69">
        <v>0.2</v>
      </c>
      <c r="AB1584" s="316">
        <f>$AF1584*AC1584</f>
        <v>0</v>
      </c>
      <c r="AC1584" s="69">
        <v>0</v>
      </c>
      <c r="AD1584" s="121">
        <f>$AF1584*AE1584</f>
        <v>0</v>
      </c>
      <c r="AE1584" s="69">
        <v>0</v>
      </c>
      <c r="AF1584" s="89">
        <f>'Terms and Turnovers'!BD150</f>
        <v>0</v>
      </c>
      <c r="AG1584" s="162">
        <f>SUM(U1584,W1584,Y1584,AA1584,AC1584,AE1584)</f>
        <v>1</v>
      </c>
      <c r="AH1584" s="159">
        <f>SUM(R1584,AF1584)</f>
        <v>0</v>
      </c>
      <c r="AI1584" s="137">
        <f>S1584+AG1584</f>
        <v>2</v>
      </c>
      <c r="AJ1584" s="65"/>
      <c r="AL1584" s="461">
        <f>SUM(F1584,H1584,J1584,L1584,N1584,P1584,T1584,V1584,X1584,Z1584,AB1584,AD1584)</f>
        <v>0</v>
      </c>
      <c r="AM1584" s="462">
        <f>AL1584-AH1584</f>
        <v>0</v>
      </c>
      <c r="AO1584" s="692"/>
      <c r="AP1584" s="692"/>
      <c r="AV1584" s="56"/>
    </row>
    <row r="1585" spans="1:48" ht="13.5" customHeight="1" outlineLevel="2" thickBot="1">
      <c r="A1585" s="119"/>
      <c r="B1585" s="82"/>
      <c r="C1585" s="425"/>
      <c r="D1585" s="425"/>
      <c r="E1585" s="426"/>
      <c r="F1585" s="427">
        <f>SUM(F1580:F1584)</f>
        <v>0</v>
      </c>
      <c r="G1585" s="428"/>
      <c r="H1585" s="427">
        <f>SUM(H1580:H1584)</f>
        <v>0</v>
      </c>
      <c r="I1585" s="69"/>
      <c r="J1585" s="427">
        <f>SUM(J1580:J1584)</f>
        <v>0</v>
      </c>
      <c r="K1585" s="69"/>
      <c r="L1585" s="427">
        <f>SUM(L1580:L1584)</f>
        <v>0</v>
      </c>
      <c r="M1585" s="69"/>
      <c r="N1585" s="427">
        <f>SUM(N1580:N1584)</f>
        <v>0</v>
      </c>
      <c r="O1585" s="69"/>
      <c r="P1585" s="427">
        <f>SUM(P1580:P1584)</f>
        <v>0</v>
      </c>
      <c r="Q1585" s="69"/>
      <c r="R1585" s="429"/>
      <c r="S1585" s="430"/>
      <c r="T1585" s="427">
        <f>SUM(T1580:T1584)</f>
        <v>0</v>
      </c>
      <c r="U1585" s="428"/>
      <c r="V1585" s="427">
        <f>SUM(V1580:V1584)</f>
        <v>0</v>
      </c>
      <c r="W1585" s="69"/>
      <c r="X1585" s="427">
        <f>SUM(X1580:X1584)</f>
        <v>0</v>
      </c>
      <c r="Y1585" s="69"/>
      <c r="Z1585" s="427">
        <f>SUM(Z1580:Z1584)</f>
        <v>0</v>
      </c>
      <c r="AA1585" s="69"/>
      <c r="AB1585" s="427">
        <f>SUM(AB1580:AB1584)</f>
        <v>0</v>
      </c>
      <c r="AC1585" s="69"/>
      <c r="AD1585" s="427">
        <f>SUM(AD1580:AD1584)</f>
        <v>0</v>
      </c>
      <c r="AE1585" s="69"/>
      <c r="AF1585" s="429"/>
      <c r="AG1585" s="430"/>
      <c r="AH1585" s="431"/>
      <c r="AI1585" s="432"/>
      <c r="AJ1585" s="65"/>
      <c r="AO1585" s="692"/>
      <c r="AP1585" s="692"/>
      <c r="AV1585" s="56"/>
    </row>
    <row r="1586" spans="1:48" ht="13.5" customHeight="1" outlineLevel="2" thickBot="1">
      <c r="A1586" s="119"/>
      <c r="B1586" s="82"/>
      <c r="C1586" s="433" t="s">
        <v>484</v>
      </c>
      <c r="D1586" s="433" t="s">
        <v>342</v>
      </c>
      <c r="E1586" s="426"/>
      <c r="F1586" s="434">
        <f>AN1586</f>
        <v>0</v>
      </c>
      <c r="G1586" s="428"/>
      <c r="H1586" s="434">
        <f>H1585</f>
        <v>0</v>
      </c>
      <c r="I1586" s="69"/>
      <c r="J1586" s="434">
        <f>J1585</f>
        <v>0</v>
      </c>
      <c r="K1586" s="69"/>
      <c r="L1586" s="434">
        <f>L1585</f>
        <v>0</v>
      </c>
      <c r="M1586" s="69"/>
      <c r="N1586" s="434">
        <f>N1585-AO1586</f>
        <v>0</v>
      </c>
      <c r="O1586" s="69"/>
      <c r="P1586" s="434">
        <f>P1585</f>
        <v>0</v>
      </c>
      <c r="Q1586" s="69"/>
      <c r="R1586" s="429"/>
      <c r="S1586" s="430"/>
      <c r="T1586" s="434">
        <f>AO1586</f>
        <v>0</v>
      </c>
      <c r="U1586" s="428">
        <f>Q1585</f>
        <v>0</v>
      </c>
      <c r="V1586" s="434">
        <f>V1585</f>
        <v>0</v>
      </c>
      <c r="W1586" s="69">
        <f>S1585</f>
        <v>0</v>
      </c>
      <c r="X1586" s="434">
        <f>X1585</f>
        <v>0</v>
      </c>
      <c r="Y1586" s="69">
        <f>U1585</f>
        <v>0</v>
      </c>
      <c r="Z1586" s="434">
        <f>Z1585</f>
        <v>0</v>
      </c>
      <c r="AA1586" s="69">
        <f>W1585</f>
        <v>0</v>
      </c>
      <c r="AB1586" s="434">
        <f>AB1585</f>
        <v>0</v>
      </c>
      <c r="AC1586" s="69">
        <f>Y1585</f>
        <v>0</v>
      </c>
      <c r="AD1586" s="434">
        <f>AD1585</f>
        <v>0</v>
      </c>
      <c r="AE1586" s="69"/>
      <c r="AF1586" s="429"/>
      <c r="AG1586" s="430"/>
      <c r="AH1586" s="431"/>
      <c r="AI1586" s="432"/>
      <c r="AJ1586" s="65"/>
      <c r="AN1586" s="695">
        <f>SUM(AF1580:AF1584)*AQ1586</f>
        <v>0</v>
      </c>
      <c r="AO1586" s="742">
        <f>SUM(R1580:R1584)*AQ1586</f>
        <v>0</v>
      </c>
      <c r="AP1586" s="742"/>
      <c r="AQ1586" s="693">
        <v>0.15</v>
      </c>
      <c r="AS1586" s="716">
        <f>SUM(AL1580:AL1584)</f>
        <v>0</v>
      </c>
      <c r="AT1586" s="461">
        <f>F1586+H1586+J1586+L1586+N1586+P1586+T1586+V1586+X1586+Z1586+AB1586+AD1586</f>
        <v>0</v>
      </c>
      <c r="AU1586" s="745">
        <f>AT1586-AS1586</f>
        <v>0</v>
      </c>
      <c r="AV1586" s="56"/>
    </row>
    <row r="1587" spans="1:48" ht="13.5" customHeight="1" outlineLevel="2" thickBot="1">
      <c r="B1587" s="82">
        <f>B1580+1</f>
        <v>20</v>
      </c>
      <c r="C1587" s="1233">
        <f>C146</f>
        <v>0</v>
      </c>
      <c r="D1587" s="1233">
        <f>D146</f>
        <v>0</v>
      </c>
      <c r="E1587" s="83" t="str">
        <f>'Terms and Turnovers'!$J$12</f>
        <v>FLIP-FLOPS</v>
      </c>
      <c r="F1587" s="118">
        <f>$R1587*G1587</f>
        <v>0</v>
      </c>
      <c r="G1587" s="69"/>
      <c r="H1587" s="314">
        <f>$R1587*I1587</f>
        <v>0</v>
      </c>
      <c r="I1587" s="69">
        <v>0</v>
      </c>
      <c r="J1587" s="118">
        <f>$R1587*K1587</f>
        <v>0</v>
      </c>
      <c r="K1587" s="69">
        <v>0.5</v>
      </c>
      <c r="L1587" s="314">
        <f>$R1587*M1587</f>
        <v>0</v>
      </c>
      <c r="M1587" s="69">
        <v>0.5</v>
      </c>
      <c r="N1587" s="314">
        <f>$R1587*O1587</f>
        <v>0</v>
      </c>
      <c r="O1587" s="69">
        <v>0</v>
      </c>
      <c r="P1587" s="118">
        <f>$R1587*Q1587</f>
        <v>0</v>
      </c>
      <c r="Q1587" s="69">
        <v>0</v>
      </c>
      <c r="R1587" s="87">
        <f>'Terms and Turnovers'!K151</f>
        <v>0</v>
      </c>
      <c r="S1587" s="160">
        <f>SUM(G1587,I1587,K1587,M1587,O1587,Q1587)</f>
        <v>1</v>
      </c>
      <c r="T1587" s="118">
        <f>$AF1587*U1587</f>
        <v>0</v>
      </c>
      <c r="U1587" s="69">
        <v>0</v>
      </c>
      <c r="V1587" s="314">
        <f>$AF1587*W1587</f>
        <v>0</v>
      </c>
      <c r="W1587" s="69">
        <v>0.4</v>
      </c>
      <c r="X1587" s="118">
        <f>$AF1587*Y1587</f>
        <v>0</v>
      </c>
      <c r="Y1587" s="69">
        <v>0.4</v>
      </c>
      <c r="Z1587" s="314">
        <f>$AF1587*AA1587</f>
        <v>0</v>
      </c>
      <c r="AA1587" s="69">
        <v>0.2</v>
      </c>
      <c r="AB1587" s="314">
        <f>$AF1587*AC1587</f>
        <v>0</v>
      </c>
      <c r="AC1587" s="69">
        <v>0</v>
      </c>
      <c r="AD1587" s="118">
        <f>$AF1587*AE1587</f>
        <v>0</v>
      </c>
      <c r="AE1587" s="69">
        <v>0</v>
      </c>
      <c r="AF1587" s="87">
        <f>'Terms and Turnovers'!P151</f>
        <v>0</v>
      </c>
      <c r="AG1587" s="160">
        <f>SUM(U1587,W1587,Y1587,AA1587,AC1587,AE1587)</f>
        <v>1</v>
      </c>
      <c r="AH1587" s="157">
        <f>SUM(R1587,AF1587)</f>
        <v>0</v>
      </c>
      <c r="AI1587" s="131">
        <f>S1587+AG1587</f>
        <v>2</v>
      </c>
      <c r="AJ1587" s="65"/>
      <c r="AL1587" s="461">
        <f>SUM(F1587,H1587,J1587,L1587,N1587,P1587,T1587,V1587,X1587,Z1587,AB1587,AD1587)</f>
        <v>0</v>
      </c>
      <c r="AM1587" s="462">
        <f>AL1587-AH1587</f>
        <v>0</v>
      </c>
      <c r="AO1587" s="692"/>
      <c r="AP1587" s="692"/>
      <c r="AV1587" s="56"/>
    </row>
    <row r="1588" spans="1:48" ht="13.5" customHeight="1" outlineLevel="2" thickBot="1">
      <c r="B1588" s="82"/>
      <c r="C1588" s="1234"/>
      <c r="D1588" s="1234"/>
      <c r="E1588" s="84" t="str">
        <f>'Terms and Turnovers'!$T$12</f>
        <v>ORIGINALS</v>
      </c>
      <c r="F1588" s="120">
        <f>$R1588*G1588</f>
        <v>0</v>
      </c>
      <c r="G1588" s="723"/>
      <c r="H1588" s="120">
        <f>$R1588*I1588</f>
        <v>0</v>
      </c>
      <c r="I1588" s="69">
        <v>0</v>
      </c>
      <c r="J1588" s="120">
        <f>$R1588*K1588</f>
        <v>0</v>
      </c>
      <c r="K1588" s="69">
        <v>0.5</v>
      </c>
      <c r="L1588" s="120">
        <f>$R1588*M1588</f>
        <v>0</v>
      </c>
      <c r="M1588" s="69">
        <v>0.5</v>
      </c>
      <c r="N1588" s="315">
        <f>$R1588*O1588</f>
        <v>0</v>
      </c>
      <c r="O1588" s="69">
        <v>0</v>
      </c>
      <c r="P1588" s="120">
        <f>$R1588*Q1588</f>
        <v>0</v>
      </c>
      <c r="Q1588" s="69">
        <v>0</v>
      </c>
      <c r="R1588" s="88">
        <f>'Terms and Turnovers'!U151</f>
        <v>0</v>
      </c>
      <c r="S1588" s="161">
        <f>SUM(G1588,I1588,K1588,M1588,O1588,Q1588)</f>
        <v>1</v>
      </c>
      <c r="T1588" s="120">
        <f>$AF1588*U1588</f>
        <v>0</v>
      </c>
      <c r="U1588" s="723">
        <v>0</v>
      </c>
      <c r="V1588" s="120">
        <f>$AF1588*W1588</f>
        <v>0</v>
      </c>
      <c r="W1588" s="69">
        <v>0.5</v>
      </c>
      <c r="X1588" s="120">
        <f>$AF1588*Y1588</f>
        <v>0</v>
      </c>
      <c r="Y1588" s="69">
        <v>0.5</v>
      </c>
      <c r="Z1588" s="120">
        <f>$AF1588*AA1588</f>
        <v>0</v>
      </c>
      <c r="AA1588" s="69">
        <v>0</v>
      </c>
      <c r="AB1588" s="315">
        <f>$AF1588*AC1588</f>
        <v>0</v>
      </c>
      <c r="AC1588" s="69">
        <v>0</v>
      </c>
      <c r="AD1588" s="120">
        <f>$AF1588*AE1588</f>
        <v>0</v>
      </c>
      <c r="AE1588" s="69">
        <v>0</v>
      </c>
      <c r="AF1588" s="88">
        <f>'Terms and Turnovers'!Z151</f>
        <v>0</v>
      </c>
      <c r="AG1588" s="161">
        <f>SUM(U1588,W1588,Y1588,AA1588,AC1588,AE1588)</f>
        <v>1</v>
      </c>
      <c r="AH1588" s="158">
        <f>SUM(R1588,AF1588)</f>
        <v>0</v>
      </c>
      <c r="AI1588" s="134">
        <f>S1588+AG1588</f>
        <v>2</v>
      </c>
      <c r="AJ1588" s="65"/>
      <c r="AL1588" s="461">
        <f>SUM(F1588,H1588,J1588,L1588,N1588,P1588,T1588,V1588,X1588,Z1588,AB1588,AD1588)</f>
        <v>0</v>
      </c>
      <c r="AM1588" s="462">
        <f>AL1588-AH1588</f>
        <v>0</v>
      </c>
      <c r="AO1588" s="692"/>
      <c r="AP1588" s="692"/>
      <c r="AV1588" s="56"/>
    </row>
    <row r="1589" spans="1:48" ht="13.5" customHeight="1" outlineLevel="2" thickBot="1">
      <c r="B1589" s="82"/>
      <c r="C1589" s="1234"/>
      <c r="D1589" s="1234"/>
      <c r="E1589" s="84" t="str">
        <f>'Terms and Turnovers'!$AD$12</f>
        <v>ACCESSORIES</v>
      </c>
      <c r="F1589" s="120">
        <f>$R1589*G1589</f>
        <v>0</v>
      </c>
      <c r="G1589" s="723"/>
      <c r="H1589" s="120">
        <f>$R1589*I1589</f>
        <v>0</v>
      </c>
      <c r="I1589" s="69">
        <v>0</v>
      </c>
      <c r="J1589" s="120">
        <f>$R1589*K1589</f>
        <v>0</v>
      </c>
      <c r="K1589" s="69">
        <v>0.5</v>
      </c>
      <c r="L1589" s="120">
        <f>$R1589*M1589</f>
        <v>0</v>
      </c>
      <c r="M1589" s="69">
        <v>0.5</v>
      </c>
      <c r="N1589" s="315">
        <f>$R1589*O1589</f>
        <v>0</v>
      </c>
      <c r="O1589" s="69">
        <v>0</v>
      </c>
      <c r="P1589" s="120">
        <f>$R1589*Q1589</f>
        <v>0</v>
      </c>
      <c r="Q1589" s="69">
        <v>0</v>
      </c>
      <c r="R1589" s="88">
        <f>'Terms and Turnovers'!AE151</f>
        <v>0</v>
      </c>
      <c r="S1589" s="161">
        <f>SUM(G1589,I1589,K1589,M1589,O1589,Q1589)</f>
        <v>1</v>
      </c>
      <c r="T1589" s="120">
        <f>$AF1589*U1589</f>
        <v>0</v>
      </c>
      <c r="U1589" s="723">
        <v>0</v>
      </c>
      <c r="V1589" s="120">
        <f>$AF1589*W1589</f>
        <v>0</v>
      </c>
      <c r="W1589" s="69">
        <v>0.5</v>
      </c>
      <c r="X1589" s="120">
        <f>$AF1589*Y1589</f>
        <v>0</v>
      </c>
      <c r="Y1589" s="69">
        <v>0.5</v>
      </c>
      <c r="Z1589" s="120">
        <f>$AF1589*AA1589</f>
        <v>0</v>
      </c>
      <c r="AA1589" s="69">
        <v>0</v>
      </c>
      <c r="AB1589" s="315">
        <f>$AF1589*AC1589</f>
        <v>0</v>
      </c>
      <c r="AC1589" s="69">
        <v>0</v>
      </c>
      <c r="AD1589" s="120">
        <f>$AF1589*AE1589</f>
        <v>0</v>
      </c>
      <c r="AE1589" s="69">
        <v>0</v>
      </c>
      <c r="AF1589" s="88">
        <f>'Terms and Turnovers'!AJ151</f>
        <v>0</v>
      </c>
      <c r="AG1589" s="161">
        <f>SUM(U1589,W1589,Y1589,AA1589,AC1589,AE1589)</f>
        <v>1</v>
      </c>
      <c r="AH1589" s="158">
        <f>SUM(R1589,AF1589)</f>
        <v>0</v>
      </c>
      <c r="AI1589" s="134">
        <f>S1589+AG1589</f>
        <v>2</v>
      </c>
      <c r="AJ1589" s="65"/>
      <c r="AL1589" s="461">
        <f>SUM(F1589,H1589,J1589,L1589,N1589,P1589,T1589,V1589,X1589,Z1589,AB1589,AD1589)</f>
        <v>0</v>
      </c>
      <c r="AM1589" s="462">
        <f>AL1589-AH1589</f>
        <v>0</v>
      </c>
      <c r="AO1589" s="692"/>
      <c r="AP1589" s="692"/>
      <c r="AV1589" s="56"/>
    </row>
    <row r="1590" spans="1:48" ht="13.5" customHeight="1" outlineLevel="2" thickBot="1">
      <c r="B1590" s="82"/>
      <c r="C1590" s="1234"/>
      <c r="D1590" s="1234"/>
      <c r="E1590" s="84">
        <f>'Terms and Turnovers'!$AN$12</f>
        <v>0</v>
      </c>
      <c r="F1590" s="120">
        <f>$R1590*G1590</f>
        <v>0</v>
      </c>
      <c r="G1590" s="723"/>
      <c r="H1590" s="120">
        <f>$R1590*I1590</f>
        <v>0</v>
      </c>
      <c r="I1590" s="69">
        <v>0</v>
      </c>
      <c r="J1590" s="120">
        <f>$R1590*K1590</f>
        <v>0</v>
      </c>
      <c r="K1590" s="69">
        <v>0.5</v>
      </c>
      <c r="L1590" s="120">
        <f>$R1590*M1590</f>
        <v>0</v>
      </c>
      <c r="M1590" s="69">
        <v>0.5</v>
      </c>
      <c r="N1590" s="315">
        <f>$R1590*O1590</f>
        <v>0</v>
      </c>
      <c r="O1590" s="69">
        <v>0</v>
      </c>
      <c r="P1590" s="120">
        <f>$R1590*Q1590</f>
        <v>0</v>
      </c>
      <c r="Q1590" s="69">
        <v>0</v>
      </c>
      <c r="R1590" s="88">
        <f>'Terms and Turnovers'!AO151</f>
        <v>0</v>
      </c>
      <c r="S1590" s="161">
        <f>SUM(G1590,I1590,K1590,M1590,O1590,Q1590)</f>
        <v>1</v>
      </c>
      <c r="T1590" s="120">
        <f>$AF1590*U1590</f>
        <v>0</v>
      </c>
      <c r="U1590" s="723">
        <v>0</v>
      </c>
      <c r="V1590" s="120">
        <f>$AF1590*W1590</f>
        <v>0</v>
      </c>
      <c r="W1590" s="69">
        <v>0.4</v>
      </c>
      <c r="X1590" s="120">
        <f>$AF1590*Y1590</f>
        <v>0</v>
      </c>
      <c r="Y1590" s="69">
        <v>0.4</v>
      </c>
      <c r="Z1590" s="120">
        <f>$AF1590*AA1590</f>
        <v>0</v>
      </c>
      <c r="AA1590" s="69">
        <v>0.2</v>
      </c>
      <c r="AB1590" s="315">
        <f>$AF1590*AC1590</f>
        <v>0</v>
      </c>
      <c r="AC1590" s="69">
        <v>0</v>
      </c>
      <c r="AD1590" s="120">
        <f>$AF1590*AE1590</f>
        <v>0</v>
      </c>
      <c r="AE1590" s="69">
        <v>0</v>
      </c>
      <c r="AF1590" s="88">
        <f>'Terms and Turnovers'!AT151</f>
        <v>0</v>
      </c>
      <c r="AG1590" s="161">
        <f>SUM(U1590,W1590,Y1590,AA1590,AC1590,AE1590)</f>
        <v>1</v>
      </c>
      <c r="AH1590" s="158">
        <f>SUM(R1590,AF1590)</f>
        <v>0</v>
      </c>
      <c r="AI1590" s="134">
        <f>S1590+AG1590</f>
        <v>2</v>
      </c>
      <c r="AJ1590" s="65"/>
      <c r="AL1590" s="461">
        <f>SUM(F1590,H1590,J1590,L1590,N1590,P1590,T1590,V1590,X1590,Z1590,AB1590,AD1590)</f>
        <v>0</v>
      </c>
      <c r="AM1590" s="462">
        <f>AL1590-AH1590</f>
        <v>0</v>
      </c>
      <c r="AO1590" s="692"/>
      <c r="AP1590" s="692"/>
      <c r="AV1590" s="56"/>
    </row>
    <row r="1591" spans="1:48" ht="13.5" customHeight="1" outlineLevel="2" thickBot="1">
      <c r="B1591" s="82"/>
      <c r="C1591" s="1235"/>
      <c r="D1591" s="1235"/>
      <c r="E1591" s="85">
        <f>'Terms and Turnovers'!$AX$12</f>
        <v>0</v>
      </c>
      <c r="F1591" s="121">
        <f>$R1591*G1591</f>
        <v>0</v>
      </c>
      <c r="G1591" s="72"/>
      <c r="H1591" s="121">
        <f>$R1591*I1591</f>
        <v>0</v>
      </c>
      <c r="I1591" s="69">
        <v>0</v>
      </c>
      <c r="J1591" s="121">
        <f>$R1591*K1591</f>
        <v>0</v>
      </c>
      <c r="K1591" s="69">
        <v>0.5</v>
      </c>
      <c r="L1591" s="121">
        <f>$R1591*M1591</f>
        <v>0</v>
      </c>
      <c r="M1591" s="69">
        <v>0.5</v>
      </c>
      <c r="N1591" s="316">
        <f>$R1591*O1591</f>
        <v>0</v>
      </c>
      <c r="O1591" s="69">
        <v>0</v>
      </c>
      <c r="P1591" s="121">
        <f>$R1591*Q1591</f>
        <v>0</v>
      </c>
      <c r="Q1591" s="69">
        <v>0</v>
      </c>
      <c r="R1591" s="89">
        <f>'Terms and Turnovers'!AY151</f>
        <v>0</v>
      </c>
      <c r="S1591" s="162">
        <f>SUM(G1591,I1591,K1591,M1591,O1591,Q1591)</f>
        <v>1</v>
      </c>
      <c r="T1591" s="121">
        <f>$AF1591*U1591</f>
        <v>0</v>
      </c>
      <c r="U1591" s="72">
        <v>0</v>
      </c>
      <c r="V1591" s="121">
        <f>$AF1591*W1591</f>
        <v>0</v>
      </c>
      <c r="W1591" s="69">
        <v>0.4</v>
      </c>
      <c r="X1591" s="121">
        <f>$AF1591*Y1591</f>
        <v>0</v>
      </c>
      <c r="Y1591" s="69">
        <v>0.4</v>
      </c>
      <c r="Z1591" s="121">
        <f>$AF1591*AA1591</f>
        <v>0</v>
      </c>
      <c r="AA1591" s="69">
        <v>0.2</v>
      </c>
      <c r="AB1591" s="316">
        <f>$AF1591*AC1591</f>
        <v>0</v>
      </c>
      <c r="AC1591" s="69">
        <v>0</v>
      </c>
      <c r="AD1591" s="121">
        <f>$AF1591*AE1591</f>
        <v>0</v>
      </c>
      <c r="AE1591" s="69">
        <v>0</v>
      </c>
      <c r="AF1591" s="89">
        <f>'Terms and Turnovers'!BD151</f>
        <v>0</v>
      </c>
      <c r="AG1591" s="162">
        <f>SUM(U1591,W1591,Y1591,AA1591,AC1591,AE1591)</f>
        <v>1</v>
      </c>
      <c r="AH1591" s="159">
        <f>SUM(R1591,AF1591)</f>
        <v>0</v>
      </c>
      <c r="AI1591" s="137">
        <f>S1591+AG1591</f>
        <v>2</v>
      </c>
      <c r="AJ1591" s="65"/>
      <c r="AL1591" s="461">
        <f>SUM(F1591,H1591,J1591,L1591,N1591,P1591,T1591,V1591,X1591,Z1591,AB1591,AD1591)</f>
        <v>0</v>
      </c>
      <c r="AM1591" s="462">
        <f>AL1591-AH1591</f>
        <v>0</v>
      </c>
      <c r="AO1591" s="692"/>
      <c r="AP1591" s="692"/>
      <c r="AV1591" s="56"/>
    </row>
    <row r="1592" spans="1:48" ht="13.5" customHeight="1" outlineLevel="2" thickBot="1">
      <c r="A1592" s="119"/>
      <c r="B1592" s="82"/>
      <c r="C1592" s="425"/>
      <c r="D1592" s="425"/>
      <c r="E1592" s="426"/>
      <c r="F1592" s="427">
        <f>SUM(F1587:F1591)</f>
        <v>0</v>
      </c>
      <c r="G1592" s="428"/>
      <c r="H1592" s="427">
        <f>SUM(H1587:H1591)</f>
        <v>0</v>
      </c>
      <c r="I1592" s="69"/>
      <c r="J1592" s="427">
        <f>SUM(J1587:J1591)</f>
        <v>0</v>
      </c>
      <c r="K1592" s="69"/>
      <c r="L1592" s="427">
        <f>SUM(L1587:L1591)</f>
        <v>0</v>
      </c>
      <c r="M1592" s="69"/>
      <c r="N1592" s="427">
        <f>SUM(N1587:N1591)</f>
        <v>0</v>
      </c>
      <c r="O1592" s="69"/>
      <c r="P1592" s="427">
        <f>SUM(P1587:P1591)</f>
        <v>0</v>
      </c>
      <c r="Q1592" s="69"/>
      <c r="R1592" s="429"/>
      <c r="S1592" s="430"/>
      <c r="T1592" s="427">
        <f>SUM(T1587:T1591)</f>
        <v>0</v>
      </c>
      <c r="U1592" s="428"/>
      <c r="V1592" s="427">
        <f>SUM(V1587:V1591)</f>
        <v>0</v>
      </c>
      <c r="W1592" s="69"/>
      <c r="X1592" s="427">
        <f>SUM(X1587:X1591)</f>
        <v>0</v>
      </c>
      <c r="Y1592" s="69"/>
      <c r="Z1592" s="427">
        <f>SUM(Z1587:Z1591)</f>
        <v>0</v>
      </c>
      <c r="AA1592" s="69"/>
      <c r="AB1592" s="427">
        <f>SUM(AB1587:AB1591)</f>
        <v>0</v>
      </c>
      <c r="AC1592" s="69"/>
      <c r="AD1592" s="427">
        <f>SUM(AD1587:AD1591)</f>
        <v>0</v>
      </c>
      <c r="AE1592" s="69"/>
      <c r="AF1592" s="429"/>
      <c r="AG1592" s="430"/>
      <c r="AH1592" s="431"/>
      <c r="AI1592" s="432"/>
      <c r="AJ1592" s="65"/>
      <c r="AO1592" s="692"/>
      <c r="AP1592" s="692"/>
      <c r="AV1592" s="56"/>
    </row>
    <row r="1593" spans="1:48" ht="13.5" customHeight="1" outlineLevel="2" thickBot="1">
      <c r="A1593" s="119"/>
      <c r="B1593" s="82"/>
      <c r="C1593" s="433" t="s">
        <v>484</v>
      </c>
      <c r="D1593" s="433" t="s">
        <v>461</v>
      </c>
      <c r="E1593" s="426"/>
      <c r="F1593" s="434">
        <f>AN1593</f>
        <v>0</v>
      </c>
      <c r="G1593" s="428"/>
      <c r="H1593" s="434">
        <f>H1592</f>
        <v>0</v>
      </c>
      <c r="I1593" s="69"/>
      <c r="J1593" s="434">
        <f>J1592</f>
        <v>0</v>
      </c>
      <c r="K1593" s="69"/>
      <c r="L1593" s="434">
        <f>L1592-AO1593</f>
        <v>0</v>
      </c>
      <c r="M1593" s="69"/>
      <c r="N1593" s="434">
        <f>N1592</f>
        <v>0</v>
      </c>
      <c r="O1593" s="69"/>
      <c r="P1593" s="434">
        <f>P1592</f>
        <v>0</v>
      </c>
      <c r="Q1593" s="69"/>
      <c r="R1593" s="429"/>
      <c r="S1593" s="430"/>
      <c r="T1593" s="434">
        <f>AO1593</f>
        <v>0</v>
      </c>
      <c r="U1593" s="428">
        <f>Q1592</f>
        <v>0</v>
      </c>
      <c r="V1593" s="434">
        <f>V1592</f>
        <v>0</v>
      </c>
      <c r="W1593" s="69">
        <f>S1592</f>
        <v>0</v>
      </c>
      <c r="X1593" s="434">
        <f>X1592</f>
        <v>0</v>
      </c>
      <c r="Y1593" s="69">
        <f>U1592</f>
        <v>0</v>
      </c>
      <c r="Z1593" s="434">
        <f>Z1592</f>
        <v>0</v>
      </c>
      <c r="AA1593" s="69">
        <f>W1592</f>
        <v>0</v>
      </c>
      <c r="AB1593" s="434">
        <f>AB1592</f>
        <v>0</v>
      </c>
      <c r="AC1593" s="69">
        <f>Y1592</f>
        <v>0</v>
      </c>
      <c r="AD1593" s="434">
        <f>AD1592</f>
        <v>0</v>
      </c>
      <c r="AE1593" s="69"/>
      <c r="AF1593" s="429"/>
      <c r="AG1593" s="430"/>
      <c r="AH1593" s="431"/>
      <c r="AI1593" s="432"/>
      <c r="AJ1593" s="65"/>
      <c r="AN1593" s="695">
        <f>SUM(AF1587:AF1591)*AQ1593</f>
        <v>0</v>
      </c>
      <c r="AO1593" s="742">
        <f>SUM(R1587:R1591)*AQ1593</f>
        <v>0</v>
      </c>
      <c r="AP1593" s="742"/>
      <c r="AQ1593" s="693">
        <v>0.15</v>
      </c>
      <c r="AS1593" s="716">
        <f>SUM(AL1587:AL1591)</f>
        <v>0</v>
      </c>
      <c r="AT1593" s="461">
        <f>F1593+H1593+J1593+L1593+N1593+P1593+T1593+V1593+X1593+Z1593+AB1593+AD1593</f>
        <v>0</v>
      </c>
      <c r="AU1593" s="745">
        <f>AT1593-AS1593</f>
        <v>0</v>
      </c>
      <c r="AV1593" s="56"/>
    </row>
    <row r="1594" spans="1:48" ht="13.5" customHeight="1" outlineLevel="2" thickBot="1">
      <c r="B1594" s="82">
        <f>B1587+1</f>
        <v>21</v>
      </c>
      <c r="C1594" s="1233">
        <f>C153</f>
        <v>0</v>
      </c>
      <c r="D1594" s="1233">
        <f>D153</f>
        <v>0</v>
      </c>
      <c r="E1594" s="83" t="str">
        <f>'Terms and Turnovers'!$J$12</f>
        <v>FLIP-FLOPS</v>
      </c>
      <c r="F1594" s="118">
        <f>$R1594*G1594</f>
        <v>0</v>
      </c>
      <c r="G1594" s="69"/>
      <c r="H1594" s="314">
        <f>$R1594*I1594</f>
        <v>0</v>
      </c>
      <c r="I1594" s="69">
        <v>0</v>
      </c>
      <c r="J1594" s="118">
        <f>$R1594*K1594</f>
        <v>0</v>
      </c>
      <c r="K1594" s="69">
        <v>0.25</v>
      </c>
      <c r="L1594" s="314">
        <f>$R1594*M1594</f>
        <v>0</v>
      </c>
      <c r="M1594" s="69">
        <v>0.4</v>
      </c>
      <c r="N1594" s="314">
        <f>$R1594*O1594</f>
        <v>0</v>
      </c>
      <c r="O1594" s="69">
        <v>0.35</v>
      </c>
      <c r="P1594" s="118">
        <f>$R1594*Q1594</f>
        <v>0</v>
      </c>
      <c r="Q1594" s="69">
        <v>0</v>
      </c>
      <c r="R1594" s="87">
        <f>'Terms and Turnovers'!K152</f>
        <v>0</v>
      </c>
      <c r="S1594" s="160">
        <f>SUM(G1594,I1594,K1594,M1594,O1594,Q1594)</f>
        <v>1</v>
      </c>
      <c r="T1594" s="118">
        <f>$AF1594*U1594</f>
        <v>0</v>
      </c>
      <c r="U1594" s="69">
        <v>0</v>
      </c>
      <c r="V1594" s="314">
        <f>$AF1594*W1594</f>
        <v>0</v>
      </c>
      <c r="W1594" s="69">
        <v>0.4</v>
      </c>
      <c r="X1594" s="118">
        <f>$AF1594*Y1594</f>
        <v>0</v>
      </c>
      <c r="Y1594" s="69">
        <v>0.4</v>
      </c>
      <c r="Z1594" s="314">
        <f>$AF1594*AA1594</f>
        <v>0</v>
      </c>
      <c r="AA1594" s="69">
        <v>0.2</v>
      </c>
      <c r="AB1594" s="314">
        <f>$AF1594*AC1594</f>
        <v>0</v>
      </c>
      <c r="AC1594" s="69">
        <v>0</v>
      </c>
      <c r="AD1594" s="118">
        <f>$AF1594*AE1594</f>
        <v>0</v>
      </c>
      <c r="AE1594" s="69">
        <v>0</v>
      </c>
      <c r="AF1594" s="87">
        <f>'Terms and Turnovers'!P152</f>
        <v>0</v>
      </c>
      <c r="AG1594" s="160">
        <f>SUM(U1594,W1594,Y1594,AA1594,AC1594,AE1594)</f>
        <v>1</v>
      </c>
      <c r="AH1594" s="157">
        <f>SUM(R1594,AF1594)</f>
        <v>0</v>
      </c>
      <c r="AI1594" s="131">
        <f>S1594+AG1594</f>
        <v>2</v>
      </c>
      <c r="AJ1594" s="65"/>
      <c r="AL1594" s="461">
        <f>SUM(F1594,H1594,J1594,L1594,N1594,P1594,T1594,V1594,X1594,Z1594,AB1594,AD1594)</f>
        <v>0</v>
      </c>
      <c r="AM1594" s="462">
        <f>AL1594-AH1594</f>
        <v>0</v>
      </c>
      <c r="AO1594" s="692"/>
      <c r="AP1594" s="692"/>
      <c r="AV1594" s="56"/>
    </row>
    <row r="1595" spans="1:48" ht="13.5" customHeight="1" outlineLevel="2" thickBot="1">
      <c r="B1595" s="82"/>
      <c r="C1595" s="1234"/>
      <c r="D1595" s="1234"/>
      <c r="E1595" s="84" t="str">
        <f>'Terms and Turnovers'!$T$12</f>
        <v>ORIGINALS</v>
      </c>
      <c r="F1595" s="120">
        <f>$R1595*G1595</f>
        <v>0</v>
      </c>
      <c r="G1595" s="723"/>
      <c r="H1595" s="120">
        <f>$R1595*I1595</f>
        <v>0</v>
      </c>
      <c r="I1595" s="69">
        <v>0</v>
      </c>
      <c r="J1595" s="120">
        <f>$R1595*K1595</f>
        <v>0</v>
      </c>
      <c r="K1595" s="69">
        <v>0.25</v>
      </c>
      <c r="L1595" s="120">
        <f>$R1595*M1595</f>
        <v>0</v>
      </c>
      <c r="M1595" s="69">
        <v>0.4</v>
      </c>
      <c r="N1595" s="315">
        <f>$R1595*O1595</f>
        <v>0</v>
      </c>
      <c r="O1595" s="69">
        <v>0.35</v>
      </c>
      <c r="P1595" s="120">
        <f>$R1595*Q1595</f>
        <v>0</v>
      </c>
      <c r="Q1595" s="69">
        <v>0</v>
      </c>
      <c r="R1595" s="88">
        <f>'Terms and Turnovers'!U152</f>
        <v>0</v>
      </c>
      <c r="S1595" s="161">
        <f>SUM(G1595,I1595,K1595,M1595,O1595,Q1595)</f>
        <v>1</v>
      </c>
      <c r="T1595" s="120">
        <f>$AF1595*U1595</f>
        <v>0</v>
      </c>
      <c r="U1595" s="723">
        <v>0</v>
      </c>
      <c r="V1595" s="120">
        <f>$AF1595*W1595</f>
        <v>0</v>
      </c>
      <c r="W1595" s="69">
        <v>0.5</v>
      </c>
      <c r="X1595" s="120">
        <f>$AF1595*Y1595</f>
        <v>0</v>
      </c>
      <c r="Y1595" s="69">
        <v>0.5</v>
      </c>
      <c r="Z1595" s="120">
        <f>$AF1595*AA1595</f>
        <v>0</v>
      </c>
      <c r="AA1595" s="69">
        <v>0</v>
      </c>
      <c r="AB1595" s="315">
        <f>$AF1595*AC1595</f>
        <v>0</v>
      </c>
      <c r="AC1595" s="69">
        <v>0</v>
      </c>
      <c r="AD1595" s="120">
        <f>$AF1595*AE1595</f>
        <v>0</v>
      </c>
      <c r="AE1595" s="69">
        <v>0</v>
      </c>
      <c r="AF1595" s="88">
        <f>'Terms and Turnovers'!Z152</f>
        <v>0</v>
      </c>
      <c r="AG1595" s="161">
        <f>SUM(U1595,W1595,Y1595,AA1595,AC1595,AE1595)</f>
        <v>1</v>
      </c>
      <c r="AH1595" s="158">
        <f>SUM(R1595,AF1595)</f>
        <v>0</v>
      </c>
      <c r="AI1595" s="134">
        <f>S1595+AG1595</f>
        <v>2</v>
      </c>
      <c r="AJ1595" s="65"/>
      <c r="AL1595" s="461">
        <f>SUM(F1595,H1595,J1595,L1595,N1595,P1595,T1595,V1595,X1595,Z1595,AB1595,AD1595)</f>
        <v>0</v>
      </c>
      <c r="AM1595" s="462">
        <f>AL1595-AH1595</f>
        <v>0</v>
      </c>
      <c r="AO1595" s="692"/>
      <c r="AP1595" s="692"/>
      <c r="AV1595" s="56"/>
    </row>
    <row r="1596" spans="1:48" ht="13.5" customHeight="1" outlineLevel="2" thickBot="1">
      <c r="B1596" s="82"/>
      <c r="C1596" s="1234"/>
      <c r="D1596" s="1234"/>
      <c r="E1596" s="84" t="str">
        <f>'Terms and Turnovers'!$AD$12</f>
        <v>ACCESSORIES</v>
      </c>
      <c r="F1596" s="120">
        <f>$R1596*G1596</f>
        <v>0</v>
      </c>
      <c r="G1596" s="723"/>
      <c r="H1596" s="120">
        <f>$R1596*I1596</f>
        <v>0</v>
      </c>
      <c r="I1596" s="69">
        <v>0</v>
      </c>
      <c r="J1596" s="120">
        <f>$R1596*K1596</f>
        <v>0</v>
      </c>
      <c r="K1596" s="69">
        <v>0.25</v>
      </c>
      <c r="L1596" s="120">
        <f>$R1596*M1596</f>
        <v>0</v>
      </c>
      <c r="M1596" s="69">
        <v>0.4</v>
      </c>
      <c r="N1596" s="315">
        <f>$R1596*O1596</f>
        <v>0</v>
      </c>
      <c r="O1596" s="69">
        <v>0.35</v>
      </c>
      <c r="P1596" s="120">
        <f>$R1596*Q1596</f>
        <v>0</v>
      </c>
      <c r="Q1596" s="69">
        <v>0</v>
      </c>
      <c r="R1596" s="88">
        <f>'Terms and Turnovers'!AE152</f>
        <v>0</v>
      </c>
      <c r="S1596" s="161">
        <f>SUM(G1596,I1596,K1596,M1596,O1596,Q1596)</f>
        <v>1</v>
      </c>
      <c r="T1596" s="120">
        <f>$AF1596*U1596</f>
        <v>0</v>
      </c>
      <c r="U1596" s="723">
        <v>0</v>
      </c>
      <c r="V1596" s="120">
        <f>$AF1596*W1596</f>
        <v>0</v>
      </c>
      <c r="W1596" s="69">
        <v>0.5</v>
      </c>
      <c r="X1596" s="120">
        <f>$AF1596*Y1596</f>
        <v>0</v>
      </c>
      <c r="Y1596" s="69">
        <v>0.5</v>
      </c>
      <c r="Z1596" s="120">
        <f>$AF1596*AA1596</f>
        <v>0</v>
      </c>
      <c r="AA1596" s="69">
        <v>0</v>
      </c>
      <c r="AB1596" s="315">
        <f>$AF1596*AC1596</f>
        <v>0</v>
      </c>
      <c r="AC1596" s="69">
        <v>0</v>
      </c>
      <c r="AD1596" s="120">
        <f>$AF1596*AE1596</f>
        <v>0</v>
      </c>
      <c r="AE1596" s="69">
        <v>0</v>
      </c>
      <c r="AF1596" s="88">
        <f>'Terms and Turnovers'!AJ152</f>
        <v>0</v>
      </c>
      <c r="AG1596" s="161">
        <f>SUM(U1596,W1596,Y1596,AA1596,AC1596,AE1596)</f>
        <v>1</v>
      </c>
      <c r="AH1596" s="158">
        <f>SUM(R1596,AF1596)</f>
        <v>0</v>
      </c>
      <c r="AI1596" s="134">
        <f>S1596+AG1596</f>
        <v>2</v>
      </c>
      <c r="AJ1596" s="65"/>
      <c r="AL1596" s="461">
        <f>SUM(F1596,H1596,J1596,L1596,N1596,P1596,T1596,V1596,X1596,Z1596,AB1596,AD1596)</f>
        <v>0</v>
      </c>
      <c r="AM1596" s="462">
        <f>AL1596-AH1596</f>
        <v>0</v>
      </c>
      <c r="AO1596" s="692"/>
      <c r="AP1596" s="692"/>
      <c r="AV1596" s="56"/>
    </row>
    <row r="1597" spans="1:48" ht="13.5" customHeight="1" outlineLevel="2" thickBot="1">
      <c r="B1597" s="82"/>
      <c r="C1597" s="1234"/>
      <c r="D1597" s="1234"/>
      <c r="E1597" s="84">
        <f>'Terms and Turnovers'!$AN$12</f>
        <v>0</v>
      </c>
      <c r="F1597" s="120">
        <f>$R1597*G1597</f>
        <v>0</v>
      </c>
      <c r="G1597" s="723"/>
      <c r="H1597" s="120">
        <f>$R1597*I1597</f>
        <v>0</v>
      </c>
      <c r="I1597" s="69">
        <v>0</v>
      </c>
      <c r="J1597" s="120">
        <f>$R1597*K1597</f>
        <v>0</v>
      </c>
      <c r="K1597" s="69">
        <v>0.25</v>
      </c>
      <c r="L1597" s="120">
        <f>$R1597*M1597</f>
        <v>0</v>
      </c>
      <c r="M1597" s="69">
        <v>0.4</v>
      </c>
      <c r="N1597" s="315">
        <f>$R1597*O1597</f>
        <v>0</v>
      </c>
      <c r="O1597" s="69">
        <v>0.35</v>
      </c>
      <c r="P1597" s="120">
        <f>$R1597*Q1597</f>
        <v>0</v>
      </c>
      <c r="Q1597" s="69">
        <v>0</v>
      </c>
      <c r="R1597" s="88">
        <f>'Terms and Turnovers'!AO152</f>
        <v>0</v>
      </c>
      <c r="S1597" s="161">
        <f>SUM(G1597,I1597,K1597,M1597,O1597,Q1597)</f>
        <v>1</v>
      </c>
      <c r="T1597" s="120">
        <f>$AF1597*U1597</f>
        <v>0</v>
      </c>
      <c r="U1597" s="723">
        <v>0</v>
      </c>
      <c r="V1597" s="120">
        <f>$AF1597*W1597</f>
        <v>0</v>
      </c>
      <c r="W1597" s="69">
        <v>0.4</v>
      </c>
      <c r="X1597" s="120">
        <f>$AF1597*Y1597</f>
        <v>0</v>
      </c>
      <c r="Y1597" s="69">
        <v>0.4</v>
      </c>
      <c r="Z1597" s="120">
        <f>$AF1597*AA1597</f>
        <v>0</v>
      </c>
      <c r="AA1597" s="69">
        <v>0.2</v>
      </c>
      <c r="AB1597" s="315">
        <f>$AF1597*AC1597</f>
        <v>0</v>
      </c>
      <c r="AC1597" s="69">
        <v>0</v>
      </c>
      <c r="AD1597" s="120">
        <f>$AF1597*AE1597</f>
        <v>0</v>
      </c>
      <c r="AE1597" s="69">
        <v>0</v>
      </c>
      <c r="AF1597" s="88">
        <f>'Terms and Turnovers'!AT152</f>
        <v>0</v>
      </c>
      <c r="AG1597" s="161">
        <f>SUM(U1597,W1597,Y1597,AA1597,AC1597,AE1597)</f>
        <v>1</v>
      </c>
      <c r="AH1597" s="158">
        <f>SUM(R1597,AF1597)</f>
        <v>0</v>
      </c>
      <c r="AI1597" s="134">
        <f>S1597+AG1597</f>
        <v>2</v>
      </c>
      <c r="AJ1597" s="65"/>
      <c r="AL1597" s="461">
        <f>SUM(F1597,H1597,J1597,L1597,N1597,P1597,T1597,V1597,X1597,Z1597,AB1597,AD1597)</f>
        <v>0</v>
      </c>
      <c r="AM1597" s="462">
        <f>AL1597-AH1597</f>
        <v>0</v>
      </c>
      <c r="AO1597" s="692"/>
      <c r="AP1597" s="692"/>
      <c r="AV1597" s="56"/>
    </row>
    <row r="1598" spans="1:48" ht="13.5" customHeight="1" outlineLevel="2" thickBot="1">
      <c r="B1598" s="82"/>
      <c r="C1598" s="1235"/>
      <c r="D1598" s="1235"/>
      <c r="E1598" s="85">
        <f>'Terms and Turnovers'!$AX$12</f>
        <v>0</v>
      </c>
      <c r="F1598" s="121">
        <f>$R1598*G1598</f>
        <v>0</v>
      </c>
      <c r="G1598" s="72"/>
      <c r="H1598" s="121">
        <f>$R1598*I1598</f>
        <v>0</v>
      </c>
      <c r="I1598" s="69">
        <v>0</v>
      </c>
      <c r="J1598" s="121">
        <f>$R1598*K1598</f>
        <v>0</v>
      </c>
      <c r="K1598" s="69">
        <v>0.25</v>
      </c>
      <c r="L1598" s="121">
        <f>$R1598*M1598</f>
        <v>0</v>
      </c>
      <c r="M1598" s="69">
        <v>0.4</v>
      </c>
      <c r="N1598" s="316">
        <f>$R1598*O1598</f>
        <v>0</v>
      </c>
      <c r="O1598" s="69">
        <v>0.35</v>
      </c>
      <c r="P1598" s="121">
        <f>$R1598*Q1598</f>
        <v>0</v>
      </c>
      <c r="Q1598" s="69">
        <v>0</v>
      </c>
      <c r="R1598" s="89">
        <f>'Terms and Turnovers'!AY152</f>
        <v>0</v>
      </c>
      <c r="S1598" s="162">
        <f>SUM(G1598,I1598,K1598,M1598,O1598,Q1598)</f>
        <v>1</v>
      </c>
      <c r="T1598" s="121">
        <f>$AF1598*U1598</f>
        <v>0</v>
      </c>
      <c r="U1598" s="72">
        <v>0</v>
      </c>
      <c r="V1598" s="121">
        <f>$AF1598*W1598</f>
        <v>0</v>
      </c>
      <c r="W1598" s="69">
        <v>0.4</v>
      </c>
      <c r="X1598" s="121">
        <f>$AF1598*Y1598</f>
        <v>0</v>
      </c>
      <c r="Y1598" s="69">
        <v>0.4</v>
      </c>
      <c r="Z1598" s="121">
        <f>$AF1598*AA1598</f>
        <v>0</v>
      </c>
      <c r="AA1598" s="69">
        <v>0.2</v>
      </c>
      <c r="AB1598" s="316">
        <f>$AF1598*AC1598</f>
        <v>0</v>
      </c>
      <c r="AC1598" s="69">
        <v>0</v>
      </c>
      <c r="AD1598" s="121">
        <f>$AF1598*AE1598</f>
        <v>0</v>
      </c>
      <c r="AE1598" s="69">
        <v>0</v>
      </c>
      <c r="AF1598" s="89">
        <f>'Terms and Turnovers'!BD152</f>
        <v>0</v>
      </c>
      <c r="AG1598" s="162">
        <f>SUM(U1598,W1598,Y1598,AA1598,AC1598,AE1598)</f>
        <v>1</v>
      </c>
      <c r="AH1598" s="159">
        <f>SUM(R1598,AF1598)</f>
        <v>0</v>
      </c>
      <c r="AI1598" s="137">
        <f>S1598+AG1598</f>
        <v>2</v>
      </c>
      <c r="AJ1598" s="65"/>
      <c r="AL1598" s="461">
        <f>SUM(F1598,H1598,J1598,L1598,N1598,P1598,T1598,V1598,X1598,Z1598,AB1598,AD1598)</f>
        <v>0</v>
      </c>
      <c r="AM1598" s="462">
        <f>AL1598-AH1598</f>
        <v>0</v>
      </c>
      <c r="AO1598" s="692"/>
      <c r="AP1598" s="692"/>
      <c r="AV1598" s="56"/>
    </row>
    <row r="1599" spans="1:48" ht="13.5" customHeight="1" outlineLevel="2" thickBot="1">
      <c r="A1599" s="119"/>
      <c r="B1599" s="82"/>
      <c r="C1599" s="425"/>
      <c r="D1599" s="425"/>
      <c r="E1599" s="426"/>
      <c r="F1599" s="427">
        <f>SUM(F1594:F1598)</f>
        <v>0</v>
      </c>
      <c r="G1599" s="428"/>
      <c r="H1599" s="427">
        <f>SUM(H1594:H1598)</f>
        <v>0</v>
      </c>
      <c r="I1599" s="69"/>
      <c r="J1599" s="427">
        <f>SUM(J1594:J1598)</f>
        <v>0</v>
      </c>
      <c r="K1599" s="69"/>
      <c r="L1599" s="427">
        <f>SUM(L1594:L1598)</f>
        <v>0</v>
      </c>
      <c r="M1599" s="69"/>
      <c r="N1599" s="427">
        <f>SUM(N1594:N1598)</f>
        <v>0</v>
      </c>
      <c r="O1599" s="69"/>
      <c r="P1599" s="427">
        <f>SUM(P1594:P1598)</f>
        <v>0</v>
      </c>
      <c r="Q1599" s="69"/>
      <c r="R1599" s="429"/>
      <c r="S1599" s="430"/>
      <c r="T1599" s="427">
        <f>SUM(T1594:T1598)</f>
        <v>0</v>
      </c>
      <c r="U1599" s="428"/>
      <c r="V1599" s="427">
        <f>SUM(V1594:V1598)</f>
        <v>0</v>
      </c>
      <c r="W1599" s="69"/>
      <c r="X1599" s="427">
        <f>SUM(X1594:X1598)</f>
        <v>0</v>
      </c>
      <c r="Y1599" s="69"/>
      <c r="Z1599" s="427">
        <f>SUM(Z1594:Z1598)</f>
        <v>0</v>
      </c>
      <c r="AA1599" s="69"/>
      <c r="AB1599" s="427">
        <f>SUM(AB1594:AB1598)</f>
        <v>0</v>
      </c>
      <c r="AC1599" s="69"/>
      <c r="AD1599" s="427">
        <f>SUM(AD1594:AD1598)</f>
        <v>0</v>
      </c>
      <c r="AE1599" s="69"/>
      <c r="AF1599" s="429"/>
      <c r="AG1599" s="430"/>
      <c r="AH1599" s="431"/>
      <c r="AI1599" s="432"/>
      <c r="AJ1599" s="65"/>
      <c r="AO1599" s="692"/>
      <c r="AP1599" s="692"/>
      <c r="AV1599" s="56"/>
    </row>
    <row r="1600" spans="1:48" ht="13.5" customHeight="1" outlineLevel="2" thickBot="1">
      <c r="A1600" s="119"/>
      <c r="B1600" s="82"/>
      <c r="C1600" s="433" t="s">
        <v>484</v>
      </c>
      <c r="D1600" s="433" t="s">
        <v>343</v>
      </c>
      <c r="E1600" s="426"/>
      <c r="F1600" s="434">
        <f>AN1600</f>
        <v>0</v>
      </c>
      <c r="G1600" s="428"/>
      <c r="H1600" s="434">
        <f>H1599</f>
        <v>0</v>
      </c>
      <c r="I1600" s="69"/>
      <c r="J1600" s="434">
        <f>J1599</f>
        <v>0</v>
      </c>
      <c r="K1600" s="69"/>
      <c r="L1600" s="434">
        <f>L1599</f>
        <v>0</v>
      </c>
      <c r="M1600" s="69"/>
      <c r="N1600" s="434">
        <f>N1599-AO1600</f>
        <v>0</v>
      </c>
      <c r="O1600" s="69"/>
      <c r="P1600" s="434">
        <f>P1599</f>
        <v>0</v>
      </c>
      <c r="Q1600" s="69"/>
      <c r="R1600" s="429"/>
      <c r="S1600" s="430"/>
      <c r="T1600" s="434">
        <f>AO1600</f>
        <v>0</v>
      </c>
      <c r="U1600" s="428">
        <f>Q1599</f>
        <v>0</v>
      </c>
      <c r="V1600" s="434">
        <f>V1599</f>
        <v>0</v>
      </c>
      <c r="W1600" s="69">
        <f>S1599</f>
        <v>0</v>
      </c>
      <c r="X1600" s="434">
        <f>X1599</f>
        <v>0</v>
      </c>
      <c r="Y1600" s="69">
        <f>U1599</f>
        <v>0</v>
      </c>
      <c r="Z1600" s="434">
        <f>Z1599-AN1600</f>
        <v>0</v>
      </c>
      <c r="AA1600" s="69">
        <f>W1599</f>
        <v>0</v>
      </c>
      <c r="AB1600" s="434">
        <f>AB1599</f>
        <v>0</v>
      </c>
      <c r="AC1600" s="69">
        <f>Y1599</f>
        <v>0</v>
      </c>
      <c r="AD1600" s="434">
        <f>AD1599</f>
        <v>0</v>
      </c>
      <c r="AE1600" s="69"/>
      <c r="AF1600" s="429"/>
      <c r="AG1600" s="430"/>
      <c r="AH1600" s="431"/>
      <c r="AI1600" s="432"/>
      <c r="AJ1600" s="65"/>
      <c r="AN1600" s="695">
        <f>SUM(AF1594:AF1598)*AQ1600</f>
        <v>0</v>
      </c>
      <c r="AO1600" s="742">
        <f>SUM(R1594:R1598)*AQ1600</f>
        <v>0</v>
      </c>
      <c r="AP1600" s="742"/>
      <c r="AQ1600" s="693">
        <v>0.15</v>
      </c>
      <c r="AS1600" s="716">
        <f>SUM(AL1594:AL1598)</f>
        <v>0</v>
      </c>
      <c r="AT1600" s="461">
        <f>F1600+H1600+J1600+L1600+N1600+P1600+T1600+V1600+X1600+Z1600+AB1600+AD1600</f>
        <v>0</v>
      </c>
      <c r="AU1600" s="745">
        <f>AT1600-AS1600</f>
        <v>0</v>
      </c>
      <c r="AV1600" s="56"/>
    </row>
    <row r="1601" spans="1:48" ht="13.5" customHeight="1" outlineLevel="2" thickBot="1">
      <c r="B1601" s="82">
        <f>B1594+1</f>
        <v>22</v>
      </c>
      <c r="C1601" s="1233">
        <f>C160</f>
        <v>0</v>
      </c>
      <c r="D1601" s="1233">
        <f>D160</f>
        <v>0</v>
      </c>
      <c r="E1601" s="83" t="str">
        <f>'Terms and Turnovers'!$J$12</f>
        <v>FLIP-FLOPS</v>
      </c>
      <c r="F1601" s="118">
        <f>$R1601*G1601</f>
        <v>0</v>
      </c>
      <c r="G1601" s="69"/>
      <c r="H1601" s="314">
        <f>$R1601*I1601</f>
        <v>0</v>
      </c>
      <c r="I1601" s="69">
        <v>0</v>
      </c>
      <c r="J1601" s="118">
        <f>$R1601*K1601</f>
        <v>0</v>
      </c>
      <c r="K1601" s="69">
        <v>0.25</v>
      </c>
      <c r="L1601" s="314">
        <f>$R1601*M1601</f>
        <v>0</v>
      </c>
      <c r="M1601" s="69">
        <v>0.4</v>
      </c>
      <c r="N1601" s="314">
        <f>$R1601*O1601</f>
        <v>0</v>
      </c>
      <c r="O1601" s="69">
        <v>0.35</v>
      </c>
      <c r="P1601" s="118">
        <f>$R1601*Q1601</f>
        <v>0</v>
      </c>
      <c r="Q1601" s="69">
        <v>0</v>
      </c>
      <c r="R1601" s="87">
        <f>'Terms and Turnovers'!K153</f>
        <v>0</v>
      </c>
      <c r="S1601" s="160">
        <f>SUM(G1601,I1601,K1601,M1601,O1601,Q1601)</f>
        <v>1</v>
      </c>
      <c r="T1601" s="118">
        <f>$AF1601*U1601</f>
        <v>0</v>
      </c>
      <c r="U1601" s="69">
        <v>0</v>
      </c>
      <c r="V1601" s="314">
        <f>$AF1601*W1601</f>
        <v>0</v>
      </c>
      <c r="W1601" s="69">
        <v>0.4</v>
      </c>
      <c r="X1601" s="118">
        <f>$AF1601*Y1601</f>
        <v>0</v>
      </c>
      <c r="Y1601" s="69">
        <v>0.4</v>
      </c>
      <c r="Z1601" s="314">
        <f>$AF1601*AA1601</f>
        <v>0</v>
      </c>
      <c r="AA1601" s="69">
        <v>0.2</v>
      </c>
      <c r="AB1601" s="314">
        <f>$AF1601*AC1601</f>
        <v>0</v>
      </c>
      <c r="AC1601" s="69">
        <v>0</v>
      </c>
      <c r="AD1601" s="118">
        <f>$AF1601*AE1601</f>
        <v>0</v>
      </c>
      <c r="AE1601" s="69">
        <v>0</v>
      </c>
      <c r="AF1601" s="87">
        <f>'Terms and Turnovers'!P153</f>
        <v>0</v>
      </c>
      <c r="AG1601" s="160">
        <f>SUM(U1601,W1601,Y1601,AA1601,AC1601,AE1601)</f>
        <v>1</v>
      </c>
      <c r="AH1601" s="157">
        <f>SUM(R1601,AF1601)</f>
        <v>0</v>
      </c>
      <c r="AI1601" s="131">
        <f>S1601+AG1601</f>
        <v>2</v>
      </c>
      <c r="AJ1601" s="65"/>
      <c r="AL1601" s="461">
        <f>SUM(F1601,H1601,J1601,L1601,N1601,P1601,T1601,V1601,X1601,Z1601,AB1601,AD1601)</f>
        <v>0</v>
      </c>
      <c r="AM1601" s="462">
        <f>AL1601-AH1601</f>
        <v>0</v>
      </c>
      <c r="AO1601" s="692"/>
      <c r="AP1601" s="692"/>
      <c r="AV1601" s="56"/>
    </row>
    <row r="1602" spans="1:48" ht="13.5" customHeight="1" outlineLevel="2" thickBot="1">
      <c r="B1602" s="82"/>
      <c r="C1602" s="1234"/>
      <c r="D1602" s="1234"/>
      <c r="E1602" s="84" t="str">
        <f>'Terms and Turnovers'!$T$12</f>
        <v>ORIGINALS</v>
      </c>
      <c r="F1602" s="120">
        <f>$R1602*G1602</f>
        <v>0</v>
      </c>
      <c r="G1602" s="723"/>
      <c r="H1602" s="120">
        <f>$R1602*I1602</f>
        <v>0</v>
      </c>
      <c r="I1602" s="69">
        <v>0</v>
      </c>
      <c r="J1602" s="120">
        <f>$R1602*K1602</f>
        <v>0</v>
      </c>
      <c r="K1602" s="69">
        <v>0.25</v>
      </c>
      <c r="L1602" s="120">
        <f>$R1602*M1602</f>
        <v>0</v>
      </c>
      <c r="M1602" s="69">
        <v>0.4</v>
      </c>
      <c r="N1602" s="315">
        <f>$R1602*O1602</f>
        <v>0</v>
      </c>
      <c r="O1602" s="69">
        <v>0.35</v>
      </c>
      <c r="P1602" s="120">
        <f>$R1602*Q1602</f>
        <v>0</v>
      </c>
      <c r="Q1602" s="69">
        <v>0</v>
      </c>
      <c r="R1602" s="88">
        <f>'Terms and Turnovers'!U153</f>
        <v>0</v>
      </c>
      <c r="S1602" s="161">
        <f>SUM(G1602,I1602,K1602,M1602,O1602,Q1602)</f>
        <v>1</v>
      </c>
      <c r="T1602" s="120">
        <f>$AF1602*U1602</f>
        <v>0</v>
      </c>
      <c r="U1602" s="723">
        <v>0</v>
      </c>
      <c r="V1602" s="120">
        <f>$AF1602*W1602</f>
        <v>0</v>
      </c>
      <c r="W1602" s="69">
        <v>0.5</v>
      </c>
      <c r="X1602" s="120">
        <f>$AF1602*Y1602</f>
        <v>0</v>
      </c>
      <c r="Y1602" s="69">
        <v>0.5</v>
      </c>
      <c r="Z1602" s="120">
        <f>$AF1602*AA1602</f>
        <v>0</v>
      </c>
      <c r="AA1602" s="69">
        <v>0</v>
      </c>
      <c r="AB1602" s="315">
        <f>$AF1602*AC1602</f>
        <v>0</v>
      </c>
      <c r="AC1602" s="69">
        <v>0</v>
      </c>
      <c r="AD1602" s="120">
        <f>$AF1602*AE1602</f>
        <v>0</v>
      </c>
      <c r="AE1602" s="69">
        <v>0</v>
      </c>
      <c r="AF1602" s="88">
        <f>'Terms and Turnovers'!Z153</f>
        <v>0</v>
      </c>
      <c r="AG1602" s="161">
        <f>SUM(U1602,W1602,Y1602,AA1602,AC1602,AE1602)</f>
        <v>1</v>
      </c>
      <c r="AH1602" s="158">
        <f>SUM(R1602,AF1602)</f>
        <v>0</v>
      </c>
      <c r="AI1602" s="134">
        <f>S1602+AG1602</f>
        <v>2</v>
      </c>
      <c r="AJ1602" s="65"/>
      <c r="AL1602" s="461">
        <f>SUM(F1602,H1602,J1602,L1602,N1602,P1602,T1602,V1602,X1602,Z1602,AB1602,AD1602)</f>
        <v>0</v>
      </c>
      <c r="AM1602" s="462">
        <f>AL1602-AH1602</f>
        <v>0</v>
      </c>
      <c r="AO1602" s="692"/>
      <c r="AP1602" s="692"/>
      <c r="AV1602" s="56"/>
    </row>
    <row r="1603" spans="1:48" ht="13.5" customHeight="1" outlineLevel="2" thickBot="1">
      <c r="B1603" s="82"/>
      <c r="C1603" s="1234"/>
      <c r="D1603" s="1234"/>
      <c r="E1603" s="84" t="str">
        <f>'Terms and Turnovers'!$AD$12</f>
        <v>ACCESSORIES</v>
      </c>
      <c r="F1603" s="120">
        <f>$R1603*G1603</f>
        <v>0</v>
      </c>
      <c r="G1603" s="723"/>
      <c r="H1603" s="120">
        <f>$R1603*I1603</f>
        <v>0</v>
      </c>
      <c r="I1603" s="69">
        <v>0</v>
      </c>
      <c r="J1603" s="120">
        <f>$R1603*K1603</f>
        <v>0</v>
      </c>
      <c r="K1603" s="69">
        <v>0.25</v>
      </c>
      <c r="L1603" s="120">
        <f>$R1603*M1603</f>
        <v>0</v>
      </c>
      <c r="M1603" s="69">
        <v>0.4</v>
      </c>
      <c r="N1603" s="315">
        <f>$R1603*O1603</f>
        <v>0</v>
      </c>
      <c r="O1603" s="69">
        <v>0.35</v>
      </c>
      <c r="P1603" s="120">
        <f>$R1603*Q1603</f>
        <v>0</v>
      </c>
      <c r="Q1603" s="69">
        <v>0</v>
      </c>
      <c r="R1603" s="88">
        <f>'Terms and Turnovers'!AE153</f>
        <v>0</v>
      </c>
      <c r="S1603" s="161">
        <f>SUM(G1603,I1603,K1603,M1603,O1603,Q1603)</f>
        <v>1</v>
      </c>
      <c r="T1603" s="120">
        <f>$AF1603*U1603</f>
        <v>0</v>
      </c>
      <c r="U1603" s="723">
        <v>0</v>
      </c>
      <c r="V1603" s="120">
        <f>$AF1603*W1603</f>
        <v>0</v>
      </c>
      <c r="W1603" s="69">
        <v>0.5</v>
      </c>
      <c r="X1603" s="120">
        <f>$AF1603*Y1603</f>
        <v>0</v>
      </c>
      <c r="Y1603" s="69">
        <v>0.5</v>
      </c>
      <c r="Z1603" s="120">
        <f>$AF1603*AA1603</f>
        <v>0</v>
      </c>
      <c r="AA1603" s="69">
        <v>0</v>
      </c>
      <c r="AB1603" s="315">
        <f>$AF1603*AC1603</f>
        <v>0</v>
      </c>
      <c r="AC1603" s="69">
        <v>0</v>
      </c>
      <c r="AD1603" s="120">
        <f>$AF1603*AE1603</f>
        <v>0</v>
      </c>
      <c r="AE1603" s="69">
        <v>0</v>
      </c>
      <c r="AF1603" s="88">
        <f>'Terms and Turnovers'!AJ153</f>
        <v>0</v>
      </c>
      <c r="AG1603" s="161">
        <f>SUM(U1603,W1603,Y1603,AA1603,AC1603,AE1603)</f>
        <v>1</v>
      </c>
      <c r="AH1603" s="158">
        <f>SUM(R1603,AF1603)</f>
        <v>0</v>
      </c>
      <c r="AI1603" s="134">
        <f>S1603+AG1603</f>
        <v>2</v>
      </c>
      <c r="AJ1603" s="65"/>
      <c r="AL1603" s="461">
        <f>SUM(F1603,H1603,J1603,L1603,N1603,P1603,T1603,V1603,X1603,Z1603,AB1603,AD1603)</f>
        <v>0</v>
      </c>
      <c r="AM1603" s="462">
        <f>AL1603-AH1603</f>
        <v>0</v>
      </c>
      <c r="AO1603" s="692"/>
      <c r="AP1603" s="692"/>
      <c r="AV1603" s="56"/>
    </row>
    <row r="1604" spans="1:48" ht="13.5" customHeight="1" outlineLevel="2" thickBot="1">
      <c r="B1604" s="82"/>
      <c r="C1604" s="1234"/>
      <c r="D1604" s="1234"/>
      <c r="E1604" s="84">
        <f>'Terms and Turnovers'!$AN$12</f>
        <v>0</v>
      </c>
      <c r="F1604" s="120">
        <f>$R1604*G1604</f>
        <v>0</v>
      </c>
      <c r="G1604" s="723"/>
      <c r="H1604" s="120">
        <f>$R1604*I1604</f>
        <v>0</v>
      </c>
      <c r="I1604" s="69">
        <v>0</v>
      </c>
      <c r="J1604" s="120">
        <f>$R1604*K1604</f>
        <v>0</v>
      </c>
      <c r="K1604" s="69">
        <v>0.25</v>
      </c>
      <c r="L1604" s="120">
        <f>$R1604*M1604</f>
        <v>0</v>
      </c>
      <c r="M1604" s="69">
        <v>0.4</v>
      </c>
      <c r="N1604" s="315">
        <f>$R1604*O1604</f>
        <v>0</v>
      </c>
      <c r="O1604" s="69">
        <v>0.35</v>
      </c>
      <c r="P1604" s="120">
        <f>$R1604*Q1604</f>
        <v>0</v>
      </c>
      <c r="Q1604" s="69">
        <v>0</v>
      </c>
      <c r="R1604" s="88">
        <f>'Terms and Turnovers'!AO153</f>
        <v>0</v>
      </c>
      <c r="S1604" s="161">
        <f>SUM(G1604,I1604,K1604,M1604,O1604,Q1604)</f>
        <v>1</v>
      </c>
      <c r="T1604" s="120">
        <f>$AF1604*U1604</f>
        <v>0</v>
      </c>
      <c r="U1604" s="723">
        <v>0</v>
      </c>
      <c r="V1604" s="120">
        <f>$AF1604*W1604</f>
        <v>0</v>
      </c>
      <c r="W1604" s="69">
        <v>0.4</v>
      </c>
      <c r="X1604" s="120">
        <f>$AF1604*Y1604</f>
        <v>0</v>
      </c>
      <c r="Y1604" s="69">
        <v>0.4</v>
      </c>
      <c r="Z1604" s="120">
        <f>$AF1604*AA1604</f>
        <v>0</v>
      </c>
      <c r="AA1604" s="69">
        <v>0.2</v>
      </c>
      <c r="AB1604" s="315">
        <f>$AF1604*AC1604</f>
        <v>0</v>
      </c>
      <c r="AC1604" s="69">
        <v>0</v>
      </c>
      <c r="AD1604" s="120">
        <f>$AF1604*AE1604</f>
        <v>0</v>
      </c>
      <c r="AE1604" s="69">
        <v>0</v>
      </c>
      <c r="AF1604" s="88">
        <f>'Terms and Turnovers'!AT153</f>
        <v>0</v>
      </c>
      <c r="AG1604" s="161">
        <f>SUM(U1604,W1604,Y1604,AA1604,AC1604,AE1604)</f>
        <v>1</v>
      </c>
      <c r="AH1604" s="158">
        <f>SUM(R1604,AF1604)</f>
        <v>0</v>
      </c>
      <c r="AI1604" s="134">
        <f>S1604+AG1604</f>
        <v>2</v>
      </c>
      <c r="AJ1604" s="65"/>
      <c r="AL1604" s="461">
        <f>SUM(F1604,H1604,J1604,L1604,N1604,P1604,T1604,V1604,X1604,Z1604,AB1604,AD1604)</f>
        <v>0</v>
      </c>
      <c r="AM1604" s="462">
        <f>AL1604-AH1604</f>
        <v>0</v>
      </c>
      <c r="AO1604" s="692"/>
      <c r="AP1604" s="692"/>
      <c r="AV1604" s="56"/>
    </row>
    <row r="1605" spans="1:48" ht="13.5" customHeight="1" outlineLevel="2" thickBot="1">
      <c r="B1605" s="82"/>
      <c r="C1605" s="1235"/>
      <c r="D1605" s="1235"/>
      <c r="E1605" s="85">
        <f>'Terms and Turnovers'!$AX$12</f>
        <v>0</v>
      </c>
      <c r="F1605" s="121">
        <f>$R1605*G1605</f>
        <v>0</v>
      </c>
      <c r="G1605" s="72"/>
      <c r="H1605" s="121">
        <f>$R1605*I1605</f>
        <v>0</v>
      </c>
      <c r="I1605" s="69">
        <v>0</v>
      </c>
      <c r="J1605" s="121">
        <f>$R1605*K1605</f>
        <v>0</v>
      </c>
      <c r="K1605" s="69">
        <v>0.25</v>
      </c>
      <c r="L1605" s="121">
        <f>$R1605*M1605</f>
        <v>0</v>
      </c>
      <c r="M1605" s="69">
        <v>0.4</v>
      </c>
      <c r="N1605" s="316">
        <f>$R1605*O1605</f>
        <v>0</v>
      </c>
      <c r="O1605" s="69">
        <v>0.35</v>
      </c>
      <c r="P1605" s="121">
        <f>$R1605*Q1605</f>
        <v>0</v>
      </c>
      <c r="Q1605" s="69">
        <v>0</v>
      </c>
      <c r="R1605" s="89">
        <f>'Terms and Turnovers'!AY153</f>
        <v>0</v>
      </c>
      <c r="S1605" s="162">
        <f>SUM(G1605,I1605,K1605,M1605,O1605,Q1605)</f>
        <v>1</v>
      </c>
      <c r="T1605" s="121">
        <f>$AF1605*U1605</f>
        <v>0</v>
      </c>
      <c r="U1605" s="72">
        <v>0</v>
      </c>
      <c r="V1605" s="121">
        <f>$AF1605*W1605</f>
        <v>0</v>
      </c>
      <c r="W1605" s="69">
        <v>0.4</v>
      </c>
      <c r="X1605" s="121">
        <f>$AF1605*Y1605</f>
        <v>0</v>
      </c>
      <c r="Y1605" s="69">
        <v>0.4</v>
      </c>
      <c r="Z1605" s="121">
        <f>$AF1605*AA1605</f>
        <v>0</v>
      </c>
      <c r="AA1605" s="69">
        <v>0.2</v>
      </c>
      <c r="AB1605" s="316">
        <f>$AF1605*AC1605</f>
        <v>0</v>
      </c>
      <c r="AC1605" s="69">
        <v>0</v>
      </c>
      <c r="AD1605" s="121">
        <f>$AF1605*AE1605</f>
        <v>0</v>
      </c>
      <c r="AE1605" s="69">
        <v>0</v>
      </c>
      <c r="AF1605" s="89">
        <f>'Terms and Turnovers'!BD153</f>
        <v>0</v>
      </c>
      <c r="AG1605" s="162">
        <f>SUM(U1605,W1605,Y1605,AA1605,AC1605,AE1605)</f>
        <v>1</v>
      </c>
      <c r="AH1605" s="159">
        <f>SUM(R1605,AF1605)</f>
        <v>0</v>
      </c>
      <c r="AI1605" s="137">
        <f>S1605+AG1605</f>
        <v>2</v>
      </c>
      <c r="AJ1605" s="65"/>
      <c r="AL1605" s="461">
        <f>SUM(F1605,H1605,J1605,L1605,N1605,P1605,T1605,V1605,X1605,Z1605,AB1605,AD1605)</f>
        <v>0</v>
      </c>
      <c r="AM1605" s="462">
        <f>AL1605-AH1605</f>
        <v>0</v>
      </c>
      <c r="AO1605" s="692"/>
      <c r="AP1605" s="692"/>
      <c r="AV1605" s="56"/>
    </row>
    <row r="1606" spans="1:48" ht="13.5" customHeight="1" outlineLevel="2" thickBot="1">
      <c r="A1606" s="119"/>
      <c r="B1606" s="82"/>
      <c r="C1606" s="425"/>
      <c r="D1606" s="425"/>
      <c r="E1606" s="426"/>
      <c r="F1606" s="427">
        <f>SUM(F1601:F1605)</f>
        <v>0</v>
      </c>
      <c r="G1606" s="428"/>
      <c r="H1606" s="427">
        <f>SUM(H1601:H1605)</f>
        <v>0</v>
      </c>
      <c r="I1606" s="69"/>
      <c r="J1606" s="427">
        <f>SUM(J1601:J1605)</f>
        <v>0</v>
      </c>
      <c r="K1606" s="69"/>
      <c r="L1606" s="427">
        <f>SUM(L1601:L1605)</f>
        <v>0</v>
      </c>
      <c r="M1606" s="69"/>
      <c r="N1606" s="427">
        <f>SUM(N1601:N1605)</f>
        <v>0</v>
      </c>
      <c r="O1606" s="69"/>
      <c r="P1606" s="427">
        <f>SUM(P1601:P1605)</f>
        <v>0</v>
      </c>
      <c r="Q1606" s="69"/>
      <c r="R1606" s="429"/>
      <c r="S1606" s="430"/>
      <c r="T1606" s="427">
        <f>SUM(T1601:T1605)</f>
        <v>0</v>
      </c>
      <c r="U1606" s="428"/>
      <c r="V1606" s="427">
        <f>SUM(V1601:V1605)</f>
        <v>0</v>
      </c>
      <c r="W1606" s="69"/>
      <c r="X1606" s="427">
        <f>SUM(X1601:X1605)</f>
        <v>0</v>
      </c>
      <c r="Y1606" s="69"/>
      <c r="Z1606" s="427">
        <f>SUM(Z1601:Z1605)</f>
        <v>0</v>
      </c>
      <c r="AA1606" s="69"/>
      <c r="AB1606" s="427">
        <f>SUM(AB1601:AB1605)</f>
        <v>0</v>
      </c>
      <c r="AC1606" s="69"/>
      <c r="AD1606" s="427">
        <f>SUM(AD1601:AD1605)</f>
        <v>0</v>
      </c>
      <c r="AE1606" s="69"/>
      <c r="AF1606" s="429"/>
      <c r="AG1606" s="430"/>
      <c r="AH1606" s="431"/>
      <c r="AI1606" s="432"/>
      <c r="AJ1606" s="65"/>
      <c r="AO1606" s="692"/>
      <c r="AP1606" s="692"/>
      <c r="AV1606" s="56"/>
    </row>
    <row r="1607" spans="1:48" ht="13.5" customHeight="1" outlineLevel="2" thickBot="1">
      <c r="A1607" s="119"/>
      <c r="B1607" s="82"/>
      <c r="C1607" s="433" t="s">
        <v>484</v>
      </c>
      <c r="D1607" s="433" t="s">
        <v>462</v>
      </c>
      <c r="E1607" s="426"/>
      <c r="F1607" s="434">
        <f>AN1607</f>
        <v>0</v>
      </c>
      <c r="G1607" s="428"/>
      <c r="H1607" s="434">
        <f>H1606</f>
        <v>0</v>
      </c>
      <c r="I1607" s="69"/>
      <c r="J1607" s="434">
        <f>J1606</f>
        <v>0</v>
      </c>
      <c r="K1607" s="69"/>
      <c r="L1607" s="434">
        <f>L1606</f>
        <v>0</v>
      </c>
      <c r="M1607" s="69"/>
      <c r="N1607" s="434">
        <f>N1606-AO1607</f>
        <v>0</v>
      </c>
      <c r="O1607" s="69"/>
      <c r="P1607" s="434">
        <f>P1606</f>
        <v>0</v>
      </c>
      <c r="Q1607" s="69"/>
      <c r="R1607" s="429"/>
      <c r="S1607" s="430"/>
      <c r="T1607" s="434">
        <f>AO1607</f>
        <v>0</v>
      </c>
      <c r="U1607" s="428">
        <f>Q1606</f>
        <v>0</v>
      </c>
      <c r="V1607" s="434">
        <f>V1606</f>
        <v>0</v>
      </c>
      <c r="W1607" s="69">
        <f>S1606</f>
        <v>0</v>
      </c>
      <c r="X1607" s="434">
        <f>X1606</f>
        <v>0</v>
      </c>
      <c r="Y1607" s="69">
        <f>U1606</f>
        <v>0</v>
      </c>
      <c r="Z1607" s="434">
        <f>Z1606-AN1607</f>
        <v>0</v>
      </c>
      <c r="AA1607" s="69">
        <f>W1606</f>
        <v>0</v>
      </c>
      <c r="AB1607" s="434">
        <f>AB1606</f>
        <v>0</v>
      </c>
      <c r="AC1607" s="69">
        <f>Y1606</f>
        <v>0</v>
      </c>
      <c r="AD1607" s="434">
        <f>AD1606</f>
        <v>0</v>
      </c>
      <c r="AE1607" s="69"/>
      <c r="AF1607" s="429"/>
      <c r="AG1607" s="430"/>
      <c r="AH1607" s="431"/>
      <c r="AI1607" s="432"/>
      <c r="AJ1607" s="65"/>
      <c r="AN1607" s="695">
        <f>SUM(AF1601:AF1605)*AQ1607</f>
        <v>0</v>
      </c>
      <c r="AO1607" s="742">
        <f>SUM(R1601:R1605)*AQ1607</f>
        <v>0</v>
      </c>
      <c r="AP1607" s="742"/>
      <c r="AQ1607" s="693">
        <v>0.15</v>
      </c>
      <c r="AS1607" s="716">
        <f>SUM(AL1601:AL1605)</f>
        <v>0</v>
      </c>
      <c r="AT1607" s="461">
        <f>F1607+H1607+J1607+L1607+N1607+P1607+T1607+V1607+X1607+Z1607+AB1607+AD1607</f>
        <v>0</v>
      </c>
      <c r="AU1607" s="745">
        <f>AT1607-AS1607</f>
        <v>0</v>
      </c>
      <c r="AV1607" s="56"/>
    </row>
    <row r="1608" spans="1:48" ht="13.5" customHeight="1" outlineLevel="2" thickBot="1">
      <c r="B1608" s="82">
        <f>B1601+1</f>
        <v>23</v>
      </c>
      <c r="C1608" s="1233">
        <f>C167</f>
        <v>0</v>
      </c>
      <c r="D1608" s="1233">
        <f>D167</f>
        <v>0</v>
      </c>
      <c r="E1608" s="83" t="str">
        <f>'Terms and Turnovers'!$J$12</f>
        <v>FLIP-FLOPS</v>
      </c>
      <c r="F1608" s="118">
        <f>$R1608*G1608</f>
        <v>0</v>
      </c>
      <c r="G1608" s="69"/>
      <c r="H1608" s="314">
        <f>$R1608*I1608</f>
        <v>0</v>
      </c>
      <c r="I1608" s="69">
        <v>0</v>
      </c>
      <c r="J1608" s="118">
        <f>$R1608*K1608</f>
        <v>0</v>
      </c>
      <c r="K1608" s="69">
        <v>0</v>
      </c>
      <c r="L1608" s="314">
        <f>$R1608*M1608</f>
        <v>0</v>
      </c>
      <c r="M1608" s="69">
        <v>1</v>
      </c>
      <c r="N1608" s="314">
        <f>$R1608*O1608</f>
        <v>0</v>
      </c>
      <c r="O1608" s="69">
        <v>0</v>
      </c>
      <c r="P1608" s="118">
        <f>$R1608*Q1608</f>
        <v>0</v>
      </c>
      <c r="Q1608" s="69">
        <v>0</v>
      </c>
      <c r="R1608" s="87">
        <f>'Terms and Turnovers'!K154</f>
        <v>0</v>
      </c>
      <c r="S1608" s="160">
        <f>SUM(G1608,I1608,K1608,M1608,O1608,Q1608)</f>
        <v>1</v>
      </c>
      <c r="T1608" s="118">
        <f>$AF1608*U1608</f>
        <v>0</v>
      </c>
      <c r="U1608" s="69">
        <v>0</v>
      </c>
      <c r="V1608" s="314">
        <f>$AF1608*W1608</f>
        <v>0</v>
      </c>
      <c r="W1608" s="69">
        <v>0.4</v>
      </c>
      <c r="X1608" s="118">
        <f>$AF1608*Y1608</f>
        <v>0</v>
      </c>
      <c r="Y1608" s="69">
        <v>0.45</v>
      </c>
      <c r="Z1608" s="314">
        <f>$AF1608*AA1608</f>
        <v>0</v>
      </c>
      <c r="AA1608" s="69">
        <v>0.15</v>
      </c>
      <c r="AB1608" s="314">
        <f>$AF1608*AC1608</f>
        <v>0</v>
      </c>
      <c r="AC1608" s="69">
        <v>0</v>
      </c>
      <c r="AD1608" s="118">
        <f>$AF1608*AE1608</f>
        <v>0</v>
      </c>
      <c r="AE1608" s="69">
        <v>0</v>
      </c>
      <c r="AF1608" s="87">
        <f>'Terms and Turnovers'!P154</f>
        <v>0</v>
      </c>
      <c r="AG1608" s="160">
        <f>SUM(U1608,W1608,Y1608,AA1608,AC1608,AE1608)</f>
        <v>1</v>
      </c>
      <c r="AH1608" s="157">
        <f>SUM(R1608,AF1608)</f>
        <v>0</v>
      </c>
      <c r="AI1608" s="131">
        <f>S1608+AG1608</f>
        <v>2</v>
      </c>
      <c r="AJ1608" s="65"/>
      <c r="AL1608" s="461">
        <f>SUM(F1608,H1608,J1608,L1608,N1608,P1608,T1608,V1608,X1608,Z1608,AB1608,AD1608)</f>
        <v>0</v>
      </c>
      <c r="AM1608" s="462">
        <f>AL1608-AH1608</f>
        <v>0</v>
      </c>
      <c r="AO1608" s="692"/>
      <c r="AP1608" s="692"/>
      <c r="AV1608" s="56"/>
    </row>
    <row r="1609" spans="1:48" ht="13.5" customHeight="1" outlineLevel="2" thickBot="1">
      <c r="B1609" s="82"/>
      <c r="C1609" s="1234"/>
      <c r="D1609" s="1234"/>
      <c r="E1609" s="84" t="str">
        <f>'Terms and Turnovers'!$T$12</f>
        <v>ORIGINALS</v>
      </c>
      <c r="F1609" s="120">
        <f>$R1609*G1609</f>
        <v>0</v>
      </c>
      <c r="G1609" s="723"/>
      <c r="H1609" s="120">
        <f>$R1609*I1609</f>
        <v>0</v>
      </c>
      <c r="I1609" s="69">
        <v>0</v>
      </c>
      <c r="J1609" s="120">
        <f>$R1609*K1609</f>
        <v>0</v>
      </c>
      <c r="K1609" s="69">
        <v>0</v>
      </c>
      <c r="L1609" s="120">
        <f>$R1609*M1609</f>
        <v>0</v>
      </c>
      <c r="M1609" s="69">
        <v>1</v>
      </c>
      <c r="N1609" s="315">
        <f>$R1609*O1609</f>
        <v>0</v>
      </c>
      <c r="O1609" s="69">
        <v>0</v>
      </c>
      <c r="P1609" s="120">
        <f>$R1609*Q1609</f>
        <v>0</v>
      </c>
      <c r="Q1609" s="69">
        <v>0</v>
      </c>
      <c r="R1609" s="88">
        <f>'Terms and Turnovers'!U154</f>
        <v>0</v>
      </c>
      <c r="S1609" s="161">
        <f>SUM(G1609,I1609,K1609,M1609,O1609,Q1609)</f>
        <v>1</v>
      </c>
      <c r="T1609" s="120">
        <f>$AF1609*U1609</f>
        <v>0</v>
      </c>
      <c r="U1609" s="723">
        <v>0</v>
      </c>
      <c r="V1609" s="120">
        <f>$AF1609*W1609</f>
        <v>0</v>
      </c>
      <c r="W1609" s="69">
        <v>0.5</v>
      </c>
      <c r="X1609" s="120">
        <f>$AF1609*Y1609</f>
        <v>0</v>
      </c>
      <c r="Y1609" s="69">
        <v>0.5</v>
      </c>
      <c r="Z1609" s="120">
        <f>$AF1609*AA1609</f>
        <v>0</v>
      </c>
      <c r="AA1609" s="69">
        <v>0</v>
      </c>
      <c r="AB1609" s="315">
        <f>$AF1609*AC1609</f>
        <v>0</v>
      </c>
      <c r="AC1609" s="69">
        <v>0</v>
      </c>
      <c r="AD1609" s="120">
        <f>$AF1609*AE1609</f>
        <v>0</v>
      </c>
      <c r="AE1609" s="69">
        <v>0</v>
      </c>
      <c r="AF1609" s="88">
        <f>'Terms and Turnovers'!Z154</f>
        <v>0</v>
      </c>
      <c r="AG1609" s="161">
        <f>SUM(U1609,W1609,Y1609,AA1609,AC1609,AE1609)</f>
        <v>1</v>
      </c>
      <c r="AH1609" s="158">
        <f>SUM(R1609,AF1609)</f>
        <v>0</v>
      </c>
      <c r="AI1609" s="134">
        <f>S1609+AG1609</f>
        <v>2</v>
      </c>
      <c r="AJ1609" s="65"/>
      <c r="AL1609" s="461">
        <f>SUM(F1609,H1609,J1609,L1609,N1609,P1609,T1609,V1609,X1609,Z1609,AB1609,AD1609)</f>
        <v>0</v>
      </c>
      <c r="AM1609" s="462">
        <f>AL1609-AH1609</f>
        <v>0</v>
      </c>
      <c r="AO1609" s="692"/>
      <c r="AP1609" s="692"/>
      <c r="AV1609" s="56"/>
    </row>
    <row r="1610" spans="1:48" ht="13.5" customHeight="1" outlineLevel="2" thickBot="1">
      <c r="B1610" s="82"/>
      <c r="C1610" s="1234"/>
      <c r="D1610" s="1234"/>
      <c r="E1610" s="84" t="str">
        <f>'Terms and Turnovers'!$AD$12</f>
        <v>ACCESSORIES</v>
      </c>
      <c r="F1610" s="120">
        <f>$R1610*G1610</f>
        <v>0</v>
      </c>
      <c r="G1610" s="723"/>
      <c r="H1610" s="120">
        <f>$R1610*I1610</f>
        <v>0</v>
      </c>
      <c r="I1610" s="69">
        <v>0</v>
      </c>
      <c r="J1610" s="120">
        <f>$R1610*K1610</f>
        <v>0</v>
      </c>
      <c r="K1610" s="69">
        <v>0</v>
      </c>
      <c r="L1610" s="120">
        <f>$R1610*M1610</f>
        <v>0</v>
      </c>
      <c r="M1610" s="69">
        <v>1</v>
      </c>
      <c r="N1610" s="315">
        <f>$R1610*O1610</f>
        <v>0</v>
      </c>
      <c r="O1610" s="69">
        <v>0</v>
      </c>
      <c r="P1610" s="120">
        <f>$R1610*Q1610</f>
        <v>0</v>
      </c>
      <c r="Q1610" s="69">
        <v>0</v>
      </c>
      <c r="R1610" s="88">
        <f>'Terms and Turnovers'!AE154</f>
        <v>0</v>
      </c>
      <c r="S1610" s="161">
        <f>SUM(G1610,I1610,K1610,M1610,O1610,Q1610)</f>
        <v>1</v>
      </c>
      <c r="T1610" s="120">
        <f>$AF1610*U1610</f>
        <v>0</v>
      </c>
      <c r="U1610" s="723">
        <v>0</v>
      </c>
      <c r="V1610" s="120">
        <f>$AF1610*W1610</f>
        <v>0</v>
      </c>
      <c r="W1610" s="69">
        <v>0.5</v>
      </c>
      <c r="X1610" s="120">
        <f>$AF1610*Y1610</f>
        <v>0</v>
      </c>
      <c r="Y1610" s="69">
        <v>0.5</v>
      </c>
      <c r="Z1610" s="120">
        <f>$AF1610*AA1610</f>
        <v>0</v>
      </c>
      <c r="AA1610" s="69">
        <v>0</v>
      </c>
      <c r="AB1610" s="315">
        <f>$AF1610*AC1610</f>
        <v>0</v>
      </c>
      <c r="AC1610" s="69">
        <v>0</v>
      </c>
      <c r="AD1610" s="120">
        <f>$AF1610*AE1610</f>
        <v>0</v>
      </c>
      <c r="AE1610" s="69">
        <v>0</v>
      </c>
      <c r="AF1610" s="88">
        <f>'Terms and Turnovers'!AJ154</f>
        <v>0</v>
      </c>
      <c r="AG1610" s="161">
        <f>SUM(U1610,W1610,Y1610,AA1610,AC1610,AE1610)</f>
        <v>1</v>
      </c>
      <c r="AH1610" s="158">
        <f>SUM(R1610,AF1610)</f>
        <v>0</v>
      </c>
      <c r="AI1610" s="134">
        <f>S1610+AG1610</f>
        <v>2</v>
      </c>
      <c r="AJ1610" s="65"/>
      <c r="AL1610" s="461">
        <f>SUM(F1610,H1610,J1610,L1610,N1610,P1610,T1610,V1610,X1610,Z1610,AB1610,AD1610)</f>
        <v>0</v>
      </c>
      <c r="AM1610" s="462">
        <f>AL1610-AH1610</f>
        <v>0</v>
      </c>
      <c r="AO1610" s="692"/>
      <c r="AP1610" s="692"/>
      <c r="AV1610" s="56"/>
    </row>
    <row r="1611" spans="1:48" ht="13.5" customHeight="1" outlineLevel="2" thickBot="1">
      <c r="B1611" s="82"/>
      <c r="C1611" s="1234"/>
      <c r="D1611" s="1234"/>
      <c r="E1611" s="84">
        <f>'Terms and Turnovers'!$AN$12</f>
        <v>0</v>
      </c>
      <c r="F1611" s="120">
        <f>$R1611*G1611</f>
        <v>0</v>
      </c>
      <c r="G1611" s="723"/>
      <c r="H1611" s="120">
        <f>$R1611*I1611</f>
        <v>0</v>
      </c>
      <c r="I1611" s="69">
        <v>0</v>
      </c>
      <c r="J1611" s="120">
        <f>$R1611*K1611</f>
        <v>0</v>
      </c>
      <c r="K1611" s="69">
        <v>0</v>
      </c>
      <c r="L1611" s="120">
        <f>$R1611*M1611</f>
        <v>0</v>
      </c>
      <c r="M1611" s="69">
        <v>1</v>
      </c>
      <c r="N1611" s="315">
        <f>$R1611*O1611</f>
        <v>0</v>
      </c>
      <c r="O1611" s="69">
        <v>0</v>
      </c>
      <c r="P1611" s="120">
        <f>$R1611*Q1611</f>
        <v>0</v>
      </c>
      <c r="Q1611" s="69">
        <v>0</v>
      </c>
      <c r="R1611" s="88">
        <f>'Terms and Turnovers'!AO154</f>
        <v>0</v>
      </c>
      <c r="S1611" s="161">
        <f>SUM(G1611,I1611,K1611,M1611,O1611,Q1611)</f>
        <v>1</v>
      </c>
      <c r="T1611" s="120">
        <f>$AF1611*U1611</f>
        <v>0</v>
      </c>
      <c r="U1611" s="723">
        <v>0</v>
      </c>
      <c r="V1611" s="120">
        <f>$AF1611*W1611</f>
        <v>0</v>
      </c>
      <c r="W1611" s="69">
        <v>0.4</v>
      </c>
      <c r="X1611" s="120">
        <f>$AF1611*Y1611</f>
        <v>0</v>
      </c>
      <c r="Y1611" s="69">
        <v>0.45</v>
      </c>
      <c r="Z1611" s="120">
        <f>$AF1611*AA1611</f>
        <v>0</v>
      </c>
      <c r="AA1611" s="69">
        <v>0.15</v>
      </c>
      <c r="AB1611" s="315">
        <f>$AF1611*AC1611</f>
        <v>0</v>
      </c>
      <c r="AC1611" s="69">
        <v>0</v>
      </c>
      <c r="AD1611" s="120">
        <f>$AF1611*AE1611</f>
        <v>0</v>
      </c>
      <c r="AE1611" s="69">
        <v>0</v>
      </c>
      <c r="AF1611" s="88">
        <f>'Terms and Turnovers'!AT154</f>
        <v>0</v>
      </c>
      <c r="AG1611" s="161">
        <f>SUM(U1611,W1611,Y1611,AA1611,AC1611,AE1611)</f>
        <v>1</v>
      </c>
      <c r="AH1611" s="158">
        <f>SUM(R1611,AF1611)</f>
        <v>0</v>
      </c>
      <c r="AI1611" s="134">
        <f>S1611+AG1611</f>
        <v>2</v>
      </c>
      <c r="AJ1611" s="65"/>
      <c r="AL1611" s="461">
        <f>SUM(F1611,H1611,J1611,L1611,N1611,P1611,T1611,V1611,X1611,Z1611,AB1611,AD1611)</f>
        <v>0</v>
      </c>
      <c r="AM1611" s="462">
        <f>AL1611-AH1611</f>
        <v>0</v>
      </c>
      <c r="AO1611" s="692"/>
      <c r="AP1611" s="692"/>
      <c r="AV1611" s="56"/>
    </row>
    <row r="1612" spans="1:48" ht="13.5" customHeight="1" outlineLevel="2" thickBot="1">
      <c r="B1612" s="82"/>
      <c r="C1612" s="1235"/>
      <c r="D1612" s="1235"/>
      <c r="E1612" s="85">
        <f>'Terms and Turnovers'!$AX$12</f>
        <v>0</v>
      </c>
      <c r="F1612" s="121">
        <f>$R1612*G1612</f>
        <v>0</v>
      </c>
      <c r="G1612" s="72"/>
      <c r="H1612" s="121">
        <f>$R1612*I1612</f>
        <v>0</v>
      </c>
      <c r="I1612" s="69">
        <v>0</v>
      </c>
      <c r="J1612" s="121">
        <f>$R1612*K1612</f>
        <v>0</v>
      </c>
      <c r="K1612" s="69">
        <v>0</v>
      </c>
      <c r="L1612" s="121">
        <f>$R1612*M1612</f>
        <v>0</v>
      </c>
      <c r="M1612" s="69">
        <v>1</v>
      </c>
      <c r="N1612" s="316">
        <f>$R1612*O1612</f>
        <v>0</v>
      </c>
      <c r="O1612" s="69">
        <v>0</v>
      </c>
      <c r="P1612" s="121">
        <f>$R1612*Q1612</f>
        <v>0</v>
      </c>
      <c r="Q1612" s="69">
        <v>0</v>
      </c>
      <c r="R1612" s="89">
        <f>'Terms and Turnovers'!AY154</f>
        <v>0</v>
      </c>
      <c r="S1612" s="162">
        <f>SUM(G1612,I1612,K1612,M1612,O1612,Q1612)</f>
        <v>1</v>
      </c>
      <c r="T1612" s="121">
        <f>$AF1612*U1612</f>
        <v>0</v>
      </c>
      <c r="U1612" s="72">
        <v>0</v>
      </c>
      <c r="V1612" s="121">
        <f>$AF1612*W1612</f>
        <v>0</v>
      </c>
      <c r="W1612" s="69">
        <v>0.4</v>
      </c>
      <c r="X1612" s="121">
        <f>$AF1612*Y1612</f>
        <v>0</v>
      </c>
      <c r="Y1612" s="69">
        <v>0.45</v>
      </c>
      <c r="Z1612" s="121">
        <f>$AF1612*AA1612</f>
        <v>0</v>
      </c>
      <c r="AA1612" s="69">
        <v>0.15</v>
      </c>
      <c r="AB1612" s="316">
        <f>$AF1612*AC1612</f>
        <v>0</v>
      </c>
      <c r="AC1612" s="69">
        <v>0</v>
      </c>
      <c r="AD1612" s="121">
        <f>$AF1612*AE1612</f>
        <v>0</v>
      </c>
      <c r="AE1612" s="69">
        <v>0</v>
      </c>
      <c r="AF1612" s="89">
        <f>'Terms and Turnovers'!BD154</f>
        <v>0</v>
      </c>
      <c r="AG1612" s="162">
        <f>SUM(U1612,W1612,Y1612,AA1612,AC1612,AE1612)</f>
        <v>1</v>
      </c>
      <c r="AH1612" s="159">
        <f>SUM(R1612,AF1612)</f>
        <v>0</v>
      </c>
      <c r="AI1612" s="137">
        <f>S1612+AG1612</f>
        <v>2</v>
      </c>
      <c r="AJ1612" s="65"/>
      <c r="AL1612" s="461">
        <f>SUM(F1612,H1612,J1612,L1612,N1612,P1612,T1612,V1612,X1612,Z1612,AB1612,AD1612)</f>
        <v>0</v>
      </c>
      <c r="AM1612" s="462">
        <f>AL1612-AH1612</f>
        <v>0</v>
      </c>
      <c r="AO1612" s="692"/>
      <c r="AP1612" s="692"/>
      <c r="AV1612" s="56"/>
    </row>
    <row r="1613" spans="1:48" ht="13.5" customHeight="1" outlineLevel="2" thickBot="1">
      <c r="A1613" s="119"/>
      <c r="B1613" s="82"/>
      <c r="C1613" s="425"/>
      <c r="D1613" s="425"/>
      <c r="E1613" s="426"/>
      <c r="F1613" s="427">
        <f>SUM(F1608:F1612)</f>
        <v>0</v>
      </c>
      <c r="G1613" s="428"/>
      <c r="H1613" s="427">
        <f>SUM(H1608:H1612)</f>
        <v>0</v>
      </c>
      <c r="I1613" s="69"/>
      <c r="J1613" s="427">
        <f>SUM(J1608:J1612)</f>
        <v>0</v>
      </c>
      <c r="K1613" s="69"/>
      <c r="L1613" s="427">
        <f>SUM(L1608:L1612)</f>
        <v>0</v>
      </c>
      <c r="M1613" s="69"/>
      <c r="N1613" s="427">
        <f>SUM(N1608:N1612)</f>
        <v>0</v>
      </c>
      <c r="O1613" s="69"/>
      <c r="P1613" s="427">
        <f>SUM(P1608:P1612)</f>
        <v>0</v>
      </c>
      <c r="Q1613" s="69"/>
      <c r="R1613" s="429"/>
      <c r="S1613" s="430"/>
      <c r="T1613" s="427">
        <f>SUM(T1608:T1612)</f>
        <v>0</v>
      </c>
      <c r="U1613" s="428"/>
      <c r="V1613" s="427">
        <f>SUM(V1608:V1612)</f>
        <v>0</v>
      </c>
      <c r="W1613" s="69"/>
      <c r="X1613" s="427">
        <f>SUM(X1608:X1612)</f>
        <v>0</v>
      </c>
      <c r="Y1613" s="69"/>
      <c r="Z1613" s="427">
        <f>SUM(Z1608:Z1612)</f>
        <v>0</v>
      </c>
      <c r="AA1613" s="69"/>
      <c r="AB1613" s="427">
        <f>SUM(AB1608:AB1612)</f>
        <v>0</v>
      </c>
      <c r="AC1613" s="69"/>
      <c r="AD1613" s="427">
        <f>SUM(AD1608:AD1612)</f>
        <v>0</v>
      </c>
      <c r="AE1613" s="69"/>
      <c r="AF1613" s="429"/>
      <c r="AG1613" s="430"/>
      <c r="AH1613" s="431"/>
      <c r="AI1613" s="432"/>
      <c r="AJ1613" s="65"/>
      <c r="AO1613" s="692"/>
      <c r="AP1613" s="692"/>
      <c r="AV1613" s="56"/>
    </row>
    <row r="1614" spans="1:48" ht="13.5" customHeight="1" outlineLevel="2" thickBot="1">
      <c r="A1614" s="119"/>
      <c r="B1614" s="82"/>
      <c r="C1614" s="433" t="s">
        <v>484</v>
      </c>
      <c r="D1614" s="433" t="s">
        <v>344</v>
      </c>
      <c r="E1614" s="426"/>
      <c r="F1614" s="434">
        <f>AN1614</f>
        <v>0</v>
      </c>
      <c r="G1614" s="428"/>
      <c r="H1614" s="434">
        <f>H1613</f>
        <v>0</v>
      </c>
      <c r="I1614" s="69"/>
      <c r="J1614" s="434">
        <f>J1613</f>
        <v>0</v>
      </c>
      <c r="K1614" s="69"/>
      <c r="L1614" s="434">
        <f>L1613-AO1614</f>
        <v>0</v>
      </c>
      <c r="M1614" s="69"/>
      <c r="N1614" s="434">
        <f>N1613</f>
        <v>0</v>
      </c>
      <c r="O1614" s="69"/>
      <c r="P1614" s="434">
        <f>P1613</f>
        <v>0</v>
      </c>
      <c r="Q1614" s="69"/>
      <c r="R1614" s="429"/>
      <c r="S1614" s="430"/>
      <c r="T1614" s="434">
        <f>AO1614</f>
        <v>0</v>
      </c>
      <c r="U1614" s="428">
        <f>Q1613</f>
        <v>0</v>
      </c>
      <c r="V1614" s="434">
        <f>V1613</f>
        <v>0</v>
      </c>
      <c r="W1614" s="69">
        <f>S1613</f>
        <v>0</v>
      </c>
      <c r="X1614" s="434">
        <f>X1613</f>
        <v>0</v>
      </c>
      <c r="Y1614" s="69">
        <f>U1613</f>
        <v>0</v>
      </c>
      <c r="Z1614" s="434">
        <f>Z1613</f>
        <v>0</v>
      </c>
      <c r="AA1614" s="69">
        <f>W1613</f>
        <v>0</v>
      </c>
      <c r="AB1614" s="434">
        <f>AB1613</f>
        <v>0</v>
      </c>
      <c r="AC1614" s="69">
        <f>Y1613</f>
        <v>0</v>
      </c>
      <c r="AD1614" s="434">
        <f>AD1613</f>
        <v>0</v>
      </c>
      <c r="AE1614" s="69"/>
      <c r="AF1614" s="429"/>
      <c r="AG1614" s="430"/>
      <c r="AH1614" s="431"/>
      <c r="AI1614" s="432"/>
      <c r="AJ1614" s="65"/>
      <c r="AN1614" s="695">
        <f>SUM(AF1608:AF1612)*AQ1614</f>
        <v>0</v>
      </c>
      <c r="AO1614" s="742">
        <f>SUM(R1608:R1612)*AQ1614</f>
        <v>0</v>
      </c>
      <c r="AP1614" s="742"/>
      <c r="AQ1614" s="693">
        <v>0.15</v>
      </c>
      <c r="AS1614" s="716">
        <f>SUM(AL1608:AL1612)</f>
        <v>0</v>
      </c>
      <c r="AT1614" s="461">
        <f>F1614+H1614+J1614+L1614+N1614+P1614+T1614+V1614+X1614+Z1614+AB1614+AD1614</f>
        <v>0</v>
      </c>
      <c r="AU1614" s="745">
        <f>AT1614-AS1614</f>
        <v>0</v>
      </c>
      <c r="AV1614" s="56"/>
    </row>
    <row r="1615" spans="1:48" ht="13.5" customHeight="1" outlineLevel="2" thickBot="1">
      <c r="B1615" s="82">
        <f>B1608+1</f>
        <v>24</v>
      </c>
      <c r="C1615" s="1233">
        <f>C174</f>
        <v>0</v>
      </c>
      <c r="D1615" s="1233">
        <f>D174</f>
        <v>0</v>
      </c>
      <c r="E1615" s="83" t="str">
        <f>'Terms and Turnovers'!$J$12</f>
        <v>FLIP-FLOPS</v>
      </c>
      <c r="F1615" s="118">
        <f>$R1615*G1615</f>
        <v>0</v>
      </c>
      <c r="G1615" s="69"/>
      <c r="H1615" s="314">
        <f>$R1615*I1615</f>
        <v>0</v>
      </c>
      <c r="I1615" s="69">
        <v>0</v>
      </c>
      <c r="J1615" s="118">
        <f>$R1615*K1615</f>
        <v>0</v>
      </c>
      <c r="K1615" s="69">
        <v>0.35</v>
      </c>
      <c r="L1615" s="314">
        <f>$R1615*M1615</f>
        <v>0</v>
      </c>
      <c r="M1615" s="69">
        <v>0.4</v>
      </c>
      <c r="N1615" s="314">
        <f>$R1615*O1615</f>
        <v>0</v>
      </c>
      <c r="O1615" s="69">
        <v>0.25</v>
      </c>
      <c r="P1615" s="118">
        <f>$R1615*Q1615</f>
        <v>0</v>
      </c>
      <c r="Q1615" s="69">
        <v>0</v>
      </c>
      <c r="R1615" s="87">
        <f>'Terms and Turnovers'!K155</f>
        <v>0</v>
      </c>
      <c r="S1615" s="160">
        <f>SUM(G1615,I1615,K1615,M1615,O1615,Q1615)</f>
        <v>1</v>
      </c>
      <c r="T1615" s="118">
        <f>$AF1615*U1615</f>
        <v>0</v>
      </c>
      <c r="U1615" s="69">
        <v>0</v>
      </c>
      <c r="V1615" s="314">
        <f>$AF1615*W1615</f>
        <v>0</v>
      </c>
      <c r="W1615" s="69">
        <v>0.4</v>
      </c>
      <c r="X1615" s="118">
        <f>$AF1615*Y1615</f>
        <v>0</v>
      </c>
      <c r="Y1615" s="69">
        <v>0.4</v>
      </c>
      <c r="Z1615" s="314">
        <f>$AF1615*AA1615</f>
        <v>0</v>
      </c>
      <c r="AA1615" s="69">
        <v>0.2</v>
      </c>
      <c r="AB1615" s="314">
        <f>$AF1615*AC1615</f>
        <v>0</v>
      </c>
      <c r="AC1615" s="69">
        <v>0</v>
      </c>
      <c r="AD1615" s="118">
        <f>$AF1615*AE1615</f>
        <v>0</v>
      </c>
      <c r="AE1615" s="69">
        <v>0</v>
      </c>
      <c r="AF1615" s="87">
        <f>'Terms and Turnovers'!P155</f>
        <v>0</v>
      </c>
      <c r="AG1615" s="160">
        <f>SUM(U1615,W1615,Y1615,AA1615,AC1615,AE1615)</f>
        <v>1</v>
      </c>
      <c r="AH1615" s="157">
        <f>SUM(R1615,AF1615)</f>
        <v>0</v>
      </c>
      <c r="AI1615" s="131">
        <f>S1615+AG1615</f>
        <v>2</v>
      </c>
      <c r="AJ1615" s="65"/>
      <c r="AL1615" s="461">
        <f>SUM(F1615,H1615,J1615,L1615,N1615,P1615,T1615,V1615,X1615,Z1615,AB1615,AD1615)</f>
        <v>0</v>
      </c>
      <c r="AM1615" s="462">
        <f>AL1615-AH1615</f>
        <v>0</v>
      </c>
      <c r="AO1615" s="692"/>
      <c r="AP1615" s="692"/>
      <c r="AV1615" s="56"/>
    </row>
    <row r="1616" spans="1:48" ht="13.5" customHeight="1" outlineLevel="2" thickBot="1">
      <c r="B1616" s="82"/>
      <c r="C1616" s="1234"/>
      <c r="D1616" s="1234"/>
      <c r="E1616" s="84" t="str">
        <f>'Terms and Turnovers'!$T$12</f>
        <v>ORIGINALS</v>
      </c>
      <c r="F1616" s="120">
        <f>$R1616*G1616</f>
        <v>0</v>
      </c>
      <c r="G1616" s="723"/>
      <c r="H1616" s="120">
        <f>$R1616*I1616</f>
        <v>0</v>
      </c>
      <c r="I1616" s="69">
        <v>0</v>
      </c>
      <c r="J1616" s="120">
        <f>$R1616*K1616</f>
        <v>0</v>
      </c>
      <c r="K1616" s="69">
        <v>0.35</v>
      </c>
      <c r="L1616" s="120">
        <f>$R1616*M1616</f>
        <v>0</v>
      </c>
      <c r="M1616" s="69">
        <v>0.4</v>
      </c>
      <c r="N1616" s="315">
        <f>$R1616*O1616</f>
        <v>0</v>
      </c>
      <c r="O1616" s="69">
        <v>0.25</v>
      </c>
      <c r="P1616" s="120">
        <f>$R1616*Q1616</f>
        <v>0</v>
      </c>
      <c r="Q1616" s="69">
        <v>0</v>
      </c>
      <c r="R1616" s="88">
        <f>'Terms and Turnovers'!U155</f>
        <v>0</v>
      </c>
      <c r="S1616" s="161">
        <f>SUM(G1616,I1616,K1616,M1616,O1616,Q1616)</f>
        <v>1</v>
      </c>
      <c r="T1616" s="120">
        <f>$AF1616*U1616</f>
        <v>0</v>
      </c>
      <c r="U1616" s="723">
        <v>0</v>
      </c>
      <c r="V1616" s="120">
        <f>$AF1616*W1616</f>
        <v>0</v>
      </c>
      <c r="W1616" s="69">
        <v>0.5</v>
      </c>
      <c r="X1616" s="120">
        <f>$AF1616*Y1616</f>
        <v>0</v>
      </c>
      <c r="Y1616" s="69">
        <v>0.5</v>
      </c>
      <c r="Z1616" s="120">
        <f>$AF1616*AA1616</f>
        <v>0</v>
      </c>
      <c r="AA1616" s="69">
        <v>0</v>
      </c>
      <c r="AB1616" s="315">
        <f>$AF1616*AC1616</f>
        <v>0</v>
      </c>
      <c r="AC1616" s="69">
        <v>0</v>
      </c>
      <c r="AD1616" s="120">
        <f>$AF1616*AE1616</f>
        <v>0</v>
      </c>
      <c r="AE1616" s="69">
        <v>0</v>
      </c>
      <c r="AF1616" s="88">
        <f>'Terms and Turnovers'!Z155</f>
        <v>0</v>
      </c>
      <c r="AG1616" s="161">
        <f>SUM(U1616,W1616,Y1616,AA1616,AC1616,AE1616)</f>
        <v>1</v>
      </c>
      <c r="AH1616" s="158">
        <f>SUM(R1616,AF1616)</f>
        <v>0</v>
      </c>
      <c r="AI1616" s="134">
        <f>S1616+AG1616</f>
        <v>2</v>
      </c>
      <c r="AJ1616" s="65"/>
      <c r="AL1616" s="461">
        <f>SUM(F1616,H1616,J1616,L1616,N1616,P1616,T1616,V1616,X1616,Z1616,AB1616,AD1616)</f>
        <v>0</v>
      </c>
      <c r="AM1616" s="462">
        <f>AL1616-AH1616</f>
        <v>0</v>
      </c>
      <c r="AO1616" s="692"/>
      <c r="AP1616" s="692"/>
      <c r="AV1616" s="56"/>
    </row>
    <row r="1617" spans="1:48" ht="13.5" customHeight="1" outlineLevel="2" thickBot="1">
      <c r="B1617" s="82"/>
      <c r="C1617" s="1234"/>
      <c r="D1617" s="1234"/>
      <c r="E1617" s="84" t="str">
        <f>'Terms and Turnovers'!$AD$12</f>
        <v>ACCESSORIES</v>
      </c>
      <c r="F1617" s="120">
        <f>$R1617*G1617</f>
        <v>0</v>
      </c>
      <c r="G1617" s="723"/>
      <c r="H1617" s="120">
        <f>$R1617*I1617</f>
        <v>0</v>
      </c>
      <c r="I1617" s="69">
        <v>0</v>
      </c>
      <c r="J1617" s="120">
        <f>$R1617*K1617</f>
        <v>0</v>
      </c>
      <c r="K1617" s="69">
        <v>0.35</v>
      </c>
      <c r="L1617" s="120">
        <f>$R1617*M1617</f>
        <v>0</v>
      </c>
      <c r="M1617" s="69">
        <v>0.4</v>
      </c>
      <c r="N1617" s="315">
        <f>$R1617*O1617</f>
        <v>0</v>
      </c>
      <c r="O1617" s="69">
        <v>0.25</v>
      </c>
      <c r="P1617" s="120">
        <f>$R1617*Q1617</f>
        <v>0</v>
      </c>
      <c r="Q1617" s="69">
        <v>0</v>
      </c>
      <c r="R1617" s="88">
        <f>'Terms and Turnovers'!AE155</f>
        <v>0</v>
      </c>
      <c r="S1617" s="161">
        <f>SUM(G1617,I1617,K1617,M1617,O1617,Q1617)</f>
        <v>1</v>
      </c>
      <c r="T1617" s="120">
        <f>$AF1617*U1617</f>
        <v>0</v>
      </c>
      <c r="U1617" s="723">
        <v>0</v>
      </c>
      <c r="V1617" s="120">
        <f>$AF1617*W1617</f>
        <v>0</v>
      </c>
      <c r="W1617" s="69">
        <v>0.5</v>
      </c>
      <c r="X1617" s="120">
        <f>$AF1617*Y1617</f>
        <v>0</v>
      </c>
      <c r="Y1617" s="69">
        <v>0.5</v>
      </c>
      <c r="Z1617" s="120">
        <f>$AF1617*AA1617</f>
        <v>0</v>
      </c>
      <c r="AA1617" s="69">
        <v>0</v>
      </c>
      <c r="AB1617" s="315">
        <f>$AF1617*AC1617</f>
        <v>0</v>
      </c>
      <c r="AC1617" s="69">
        <v>0</v>
      </c>
      <c r="AD1617" s="120">
        <f>$AF1617*AE1617</f>
        <v>0</v>
      </c>
      <c r="AE1617" s="69">
        <v>0</v>
      </c>
      <c r="AF1617" s="88">
        <f>'Terms and Turnovers'!AJ155</f>
        <v>0</v>
      </c>
      <c r="AG1617" s="161">
        <f>SUM(U1617,W1617,Y1617,AA1617,AC1617,AE1617)</f>
        <v>1</v>
      </c>
      <c r="AH1617" s="158">
        <f>SUM(R1617,AF1617)</f>
        <v>0</v>
      </c>
      <c r="AI1617" s="134">
        <f>S1617+AG1617</f>
        <v>2</v>
      </c>
      <c r="AJ1617" s="65"/>
      <c r="AL1617" s="461">
        <f>SUM(F1617,H1617,J1617,L1617,N1617,P1617,T1617,V1617,X1617,Z1617,AB1617,AD1617)</f>
        <v>0</v>
      </c>
      <c r="AM1617" s="462">
        <f>AL1617-AH1617</f>
        <v>0</v>
      </c>
      <c r="AO1617" s="692"/>
      <c r="AP1617" s="692"/>
      <c r="AV1617" s="56"/>
    </row>
    <row r="1618" spans="1:48" ht="13.5" customHeight="1" outlineLevel="2" thickBot="1">
      <c r="B1618" s="82"/>
      <c r="C1618" s="1234"/>
      <c r="D1618" s="1234"/>
      <c r="E1618" s="84">
        <f>'Terms and Turnovers'!$AN$12</f>
        <v>0</v>
      </c>
      <c r="F1618" s="120">
        <f>$R1618*G1618</f>
        <v>0</v>
      </c>
      <c r="G1618" s="723"/>
      <c r="H1618" s="120">
        <f>$R1618*I1618</f>
        <v>0</v>
      </c>
      <c r="I1618" s="69">
        <v>0</v>
      </c>
      <c r="J1618" s="120">
        <f>$R1618*K1618</f>
        <v>0</v>
      </c>
      <c r="K1618" s="69">
        <v>0.35</v>
      </c>
      <c r="L1618" s="120">
        <f>$R1618*M1618</f>
        <v>0</v>
      </c>
      <c r="M1618" s="69">
        <v>0.4</v>
      </c>
      <c r="N1618" s="315">
        <f>$R1618*O1618</f>
        <v>0</v>
      </c>
      <c r="O1618" s="69">
        <v>0.25</v>
      </c>
      <c r="P1618" s="120">
        <f>$R1618*Q1618</f>
        <v>0</v>
      </c>
      <c r="Q1618" s="69">
        <v>0</v>
      </c>
      <c r="R1618" s="88">
        <f>'Terms and Turnovers'!AO155</f>
        <v>0</v>
      </c>
      <c r="S1618" s="161">
        <f>SUM(G1618,I1618,K1618,M1618,O1618,Q1618)</f>
        <v>1</v>
      </c>
      <c r="T1618" s="120">
        <f>$AF1618*U1618</f>
        <v>0</v>
      </c>
      <c r="U1618" s="723">
        <v>0</v>
      </c>
      <c r="V1618" s="120">
        <f>$AF1618*W1618</f>
        <v>0</v>
      </c>
      <c r="W1618" s="69">
        <v>0.4</v>
      </c>
      <c r="X1618" s="120">
        <f>$AF1618*Y1618</f>
        <v>0</v>
      </c>
      <c r="Y1618" s="69">
        <v>0.4</v>
      </c>
      <c r="Z1618" s="120">
        <f>$AF1618*AA1618</f>
        <v>0</v>
      </c>
      <c r="AA1618" s="69">
        <v>0.2</v>
      </c>
      <c r="AB1618" s="315">
        <f>$AF1618*AC1618</f>
        <v>0</v>
      </c>
      <c r="AC1618" s="69">
        <v>0</v>
      </c>
      <c r="AD1618" s="120">
        <f>$AF1618*AE1618</f>
        <v>0</v>
      </c>
      <c r="AE1618" s="69">
        <v>0</v>
      </c>
      <c r="AF1618" s="88">
        <f>'Terms and Turnovers'!AT155</f>
        <v>0</v>
      </c>
      <c r="AG1618" s="161">
        <f>SUM(U1618,W1618,Y1618,AA1618,AC1618,AE1618)</f>
        <v>1</v>
      </c>
      <c r="AH1618" s="158">
        <f>SUM(R1618,AF1618)</f>
        <v>0</v>
      </c>
      <c r="AI1618" s="134">
        <f>S1618+AG1618</f>
        <v>2</v>
      </c>
      <c r="AJ1618" s="65"/>
      <c r="AL1618" s="461">
        <f>SUM(F1618,H1618,J1618,L1618,N1618,P1618,T1618,V1618,X1618,Z1618,AB1618,AD1618)</f>
        <v>0</v>
      </c>
      <c r="AM1618" s="462">
        <f>AL1618-AH1618</f>
        <v>0</v>
      </c>
      <c r="AO1618" s="692"/>
      <c r="AP1618" s="692"/>
      <c r="AV1618" s="56"/>
    </row>
    <row r="1619" spans="1:48" ht="13.5" customHeight="1" outlineLevel="2" thickBot="1">
      <c r="B1619" s="82"/>
      <c r="C1619" s="1235"/>
      <c r="D1619" s="1235"/>
      <c r="E1619" s="85">
        <f>'Terms and Turnovers'!$AX$12</f>
        <v>0</v>
      </c>
      <c r="F1619" s="121">
        <f>$R1619*G1619</f>
        <v>0</v>
      </c>
      <c r="G1619" s="72"/>
      <c r="H1619" s="121">
        <f>$R1619*I1619</f>
        <v>0</v>
      </c>
      <c r="I1619" s="69">
        <v>0</v>
      </c>
      <c r="J1619" s="121">
        <f>$R1619*K1619</f>
        <v>0</v>
      </c>
      <c r="K1619" s="69">
        <v>0.35</v>
      </c>
      <c r="L1619" s="121">
        <f>$R1619*M1619</f>
        <v>0</v>
      </c>
      <c r="M1619" s="69">
        <v>0.4</v>
      </c>
      <c r="N1619" s="316">
        <f>$R1619*O1619</f>
        <v>0</v>
      </c>
      <c r="O1619" s="69">
        <v>0.25</v>
      </c>
      <c r="P1619" s="121">
        <f>$R1619*Q1619</f>
        <v>0</v>
      </c>
      <c r="Q1619" s="69">
        <v>0</v>
      </c>
      <c r="R1619" s="89">
        <f>'Terms and Turnovers'!AY155</f>
        <v>0</v>
      </c>
      <c r="S1619" s="162">
        <f>SUM(G1619,I1619,K1619,M1619,O1619,Q1619)</f>
        <v>1</v>
      </c>
      <c r="T1619" s="121">
        <f>$AF1619*U1619</f>
        <v>0</v>
      </c>
      <c r="U1619" s="72">
        <v>0</v>
      </c>
      <c r="V1619" s="121">
        <f>$AF1619*W1619</f>
        <v>0</v>
      </c>
      <c r="W1619" s="69">
        <v>0.4</v>
      </c>
      <c r="X1619" s="121">
        <f>$AF1619*Y1619</f>
        <v>0</v>
      </c>
      <c r="Y1619" s="69">
        <v>0.4</v>
      </c>
      <c r="Z1619" s="121">
        <f>$AF1619*AA1619</f>
        <v>0</v>
      </c>
      <c r="AA1619" s="69">
        <v>0.2</v>
      </c>
      <c r="AB1619" s="316">
        <f>$AF1619*AC1619</f>
        <v>0</v>
      </c>
      <c r="AC1619" s="69">
        <v>0</v>
      </c>
      <c r="AD1619" s="121">
        <f>$AF1619*AE1619</f>
        <v>0</v>
      </c>
      <c r="AE1619" s="69">
        <v>0</v>
      </c>
      <c r="AF1619" s="89">
        <f>'Terms and Turnovers'!BD155</f>
        <v>0</v>
      </c>
      <c r="AG1619" s="162">
        <f>SUM(U1619,W1619,Y1619,AA1619,AC1619,AE1619)</f>
        <v>1</v>
      </c>
      <c r="AH1619" s="159">
        <f>SUM(R1619,AF1619)</f>
        <v>0</v>
      </c>
      <c r="AI1619" s="137">
        <f>S1619+AG1619</f>
        <v>2</v>
      </c>
      <c r="AJ1619" s="65"/>
      <c r="AL1619" s="461">
        <f>SUM(F1619,H1619,J1619,L1619,N1619,P1619,T1619,V1619,X1619,Z1619,AB1619,AD1619)</f>
        <v>0</v>
      </c>
      <c r="AM1619" s="462">
        <f>AL1619-AH1619</f>
        <v>0</v>
      </c>
      <c r="AO1619" s="692"/>
      <c r="AP1619" s="692"/>
      <c r="AV1619" s="56"/>
    </row>
    <row r="1620" spans="1:48" ht="13.5" customHeight="1" outlineLevel="2" thickBot="1">
      <c r="A1620" s="119"/>
      <c r="B1620" s="82"/>
      <c r="C1620" s="425"/>
      <c r="D1620" s="425"/>
      <c r="E1620" s="426"/>
      <c r="F1620" s="427">
        <f>SUM(F1615:F1619)</f>
        <v>0</v>
      </c>
      <c r="G1620" s="428"/>
      <c r="H1620" s="427">
        <f>SUM(H1615:H1619)</f>
        <v>0</v>
      </c>
      <c r="I1620" s="69"/>
      <c r="J1620" s="427">
        <f>SUM(J1615:J1619)</f>
        <v>0</v>
      </c>
      <c r="K1620" s="69"/>
      <c r="L1620" s="427">
        <f>SUM(L1615:L1619)</f>
        <v>0</v>
      </c>
      <c r="M1620" s="69"/>
      <c r="N1620" s="427">
        <f>SUM(N1615:N1619)</f>
        <v>0</v>
      </c>
      <c r="O1620" s="69"/>
      <c r="P1620" s="427">
        <f>SUM(P1615:P1619)</f>
        <v>0</v>
      </c>
      <c r="Q1620" s="69"/>
      <c r="R1620" s="429"/>
      <c r="S1620" s="430"/>
      <c r="T1620" s="427">
        <f>SUM(T1615:T1619)</f>
        <v>0</v>
      </c>
      <c r="U1620" s="428"/>
      <c r="V1620" s="427">
        <f>SUM(V1615:V1619)</f>
        <v>0</v>
      </c>
      <c r="W1620" s="69"/>
      <c r="X1620" s="427">
        <f>SUM(X1615:X1619)</f>
        <v>0</v>
      </c>
      <c r="Y1620" s="69"/>
      <c r="Z1620" s="427">
        <f>SUM(Z1615:Z1619)</f>
        <v>0</v>
      </c>
      <c r="AA1620" s="69"/>
      <c r="AB1620" s="427">
        <f>SUM(AB1615:AB1619)</f>
        <v>0</v>
      </c>
      <c r="AC1620" s="69"/>
      <c r="AD1620" s="427">
        <f>SUM(AD1615:AD1619)</f>
        <v>0</v>
      </c>
      <c r="AE1620" s="69"/>
      <c r="AF1620" s="429"/>
      <c r="AG1620" s="430"/>
      <c r="AH1620" s="431"/>
      <c r="AI1620" s="432"/>
      <c r="AJ1620" s="65"/>
      <c r="AO1620" s="692"/>
      <c r="AP1620" s="692"/>
      <c r="AV1620" s="56"/>
    </row>
    <row r="1621" spans="1:48" ht="13.5" customHeight="1" outlineLevel="2" thickBot="1">
      <c r="A1621" s="119"/>
      <c r="B1621" s="82"/>
      <c r="C1621" s="433" t="s">
        <v>484</v>
      </c>
      <c r="D1621" s="433" t="s">
        <v>345</v>
      </c>
      <c r="E1621" s="426"/>
      <c r="F1621" s="434">
        <f>AN1621</f>
        <v>0</v>
      </c>
      <c r="G1621" s="428"/>
      <c r="H1621" s="434">
        <f>H1620</f>
        <v>0</v>
      </c>
      <c r="I1621" s="69"/>
      <c r="J1621" s="434">
        <f>J1620</f>
        <v>0</v>
      </c>
      <c r="K1621" s="69"/>
      <c r="L1621" s="434">
        <f>L1620</f>
        <v>0</v>
      </c>
      <c r="M1621" s="69"/>
      <c r="N1621" s="434">
        <f>N1620-AO1621</f>
        <v>0</v>
      </c>
      <c r="O1621" s="69"/>
      <c r="P1621" s="434">
        <f>P1620</f>
        <v>0</v>
      </c>
      <c r="Q1621" s="69"/>
      <c r="R1621" s="429"/>
      <c r="S1621" s="430"/>
      <c r="T1621" s="434">
        <f>AO1621</f>
        <v>0</v>
      </c>
      <c r="U1621" s="428">
        <f>Q1620</f>
        <v>0</v>
      </c>
      <c r="V1621" s="434">
        <f>V1620</f>
        <v>0</v>
      </c>
      <c r="W1621" s="69">
        <f>S1620</f>
        <v>0</v>
      </c>
      <c r="X1621" s="434">
        <f>X1620</f>
        <v>0</v>
      </c>
      <c r="Y1621" s="69">
        <f>U1620</f>
        <v>0</v>
      </c>
      <c r="Z1621" s="434">
        <f>Z1620</f>
        <v>0</v>
      </c>
      <c r="AA1621" s="69">
        <f>W1620</f>
        <v>0</v>
      </c>
      <c r="AB1621" s="434">
        <f>AB1620</f>
        <v>0</v>
      </c>
      <c r="AC1621" s="69">
        <f>Y1620</f>
        <v>0</v>
      </c>
      <c r="AD1621" s="434">
        <f>AD1620</f>
        <v>0</v>
      </c>
      <c r="AE1621" s="69"/>
      <c r="AF1621" s="429"/>
      <c r="AG1621" s="430"/>
      <c r="AH1621" s="431"/>
      <c r="AI1621" s="432"/>
      <c r="AJ1621" s="65"/>
      <c r="AN1621" s="695">
        <f>SUM(AF1615:AF1619)*AQ1621</f>
        <v>0</v>
      </c>
      <c r="AO1621" s="742">
        <f>SUM(R1615:R1619)*AQ1621</f>
        <v>0</v>
      </c>
      <c r="AP1621" s="742"/>
      <c r="AQ1621" s="693">
        <v>0.15</v>
      </c>
      <c r="AS1621" s="716">
        <f>SUM(AL1615:AL1619)</f>
        <v>0</v>
      </c>
      <c r="AT1621" s="461">
        <f>F1621+H1621+J1621+L1621+N1621+P1621+T1621+V1621+X1621+Z1621+AB1621+AD1621</f>
        <v>0</v>
      </c>
      <c r="AU1621" s="745">
        <f>AT1621-AS1621</f>
        <v>0</v>
      </c>
      <c r="AV1621" s="56"/>
    </row>
    <row r="1622" spans="1:48" ht="13.5" customHeight="1" outlineLevel="2" thickBot="1">
      <c r="B1622" s="82">
        <f>B1615+1</f>
        <v>25</v>
      </c>
      <c r="C1622" s="1233">
        <f>C181</f>
        <v>0</v>
      </c>
      <c r="D1622" s="1233">
        <f>D181</f>
        <v>0</v>
      </c>
      <c r="E1622" s="83" t="str">
        <f>'Terms and Turnovers'!$J$12</f>
        <v>FLIP-FLOPS</v>
      </c>
      <c r="F1622" s="118">
        <f>$R1622*G1622</f>
        <v>0</v>
      </c>
      <c r="G1622" s="69"/>
      <c r="H1622" s="314">
        <f>$R1622*I1622</f>
        <v>0</v>
      </c>
      <c r="I1622" s="69">
        <v>0</v>
      </c>
      <c r="J1622" s="118">
        <f>$R1622*K1622</f>
        <v>0</v>
      </c>
      <c r="K1622" s="69">
        <v>0.25</v>
      </c>
      <c r="L1622" s="314">
        <f>$R1622*M1622</f>
        <v>0</v>
      </c>
      <c r="M1622" s="69">
        <v>0.4</v>
      </c>
      <c r="N1622" s="314">
        <f>$R1622*O1622</f>
        <v>0</v>
      </c>
      <c r="O1622" s="69">
        <v>0.35</v>
      </c>
      <c r="P1622" s="118">
        <f>$R1622*Q1622</f>
        <v>0</v>
      </c>
      <c r="Q1622" s="69">
        <v>0</v>
      </c>
      <c r="R1622" s="87">
        <f>'Terms and Turnovers'!K156</f>
        <v>0</v>
      </c>
      <c r="S1622" s="160">
        <f>SUM(G1622,I1622,K1622,M1622,O1622,Q1622)</f>
        <v>1</v>
      </c>
      <c r="T1622" s="118">
        <f>$AF1622*U1622</f>
        <v>0</v>
      </c>
      <c r="U1622" s="69">
        <v>0</v>
      </c>
      <c r="V1622" s="314">
        <f>$AF1622*W1622</f>
        <v>0</v>
      </c>
      <c r="W1622" s="69">
        <v>0.4</v>
      </c>
      <c r="X1622" s="118">
        <f>$AF1622*Y1622</f>
        <v>0</v>
      </c>
      <c r="Y1622" s="69">
        <v>0.4</v>
      </c>
      <c r="Z1622" s="314">
        <f>$AF1622*AA1622</f>
        <v>0</v>
      </c>
      <c r="AA1622" s="69">
        <v>0.2</v>
      </c>
      <c r="AB1622" s="314">
        <f>$AF1622*AC1622</f>
        <v>0</v>
      </c>
      <c r="AC1622" s="69">
        <v>0</v>
      </c>
      <c r="AD1622" s="118">
        <f>$AF1622*AE1622</f>
        <v>0</v>
      </c>
      <c r="AE1622" s="69">
        <v>0</v>
      </c>
      <c r="AF1622" s="87">
        <f>'Terms and Turnovers'!P156</f>
        <v>0</v>
      </c>
      <c r="AG1622" s="160">
        <f>SUM(U1622,W1622,Y1622,AA1622,AC1622,AE1622)</f>
        <v>1</v>
      </c>
      <c r="AH1622" s="157">
        <f>SUM(R1622,AF1622)</f>
        <v>0</v>
      </c>
      <c r="AI1622" s="131">
        <f>S1622+AG1622</f>
        <v>2</v>
      </c>
      <c r="AJ1622" s="65"/>
      <c r="AL1622" s="461">
        <f>SUM(F1622,H1622,J1622,L1622,N1622,P1622,T1622,V1622,X1622,Z1622,AB1622,AD1622)</f>
        <v>0</v>
      </c>
      <c r="AM1622" s="462">
        <f>AL1622-AH1622</f>
        <v>0</v>
      </c>
      <c r="AO1622" s="692"/>
      <c r="AP1622" s="692"/>
      <c r="AV1622" s="56"/>
    </row>
    <row r="1623" spans="1:48" ht="13.5" customHeight="1" outlineLevel="2" thickBot="1">
      <c r="B1623" s="82"/>
      <c r="C1623" s="1234"/>
      <c r="D1623" s="1234"/>
      <c r="E1623" s="84" t="str">
        <f>'Terms and Turnovers'!$T$12</f>
        <v>ORIGINALS</v>
      </c>
      <c r="F1623" s="120">
        <f>$R1623*G1623</f>
        <v>0</v>
      </c>
      <c r="G1623" s="723"/>
      <c r="H1623" s="120">
        <f>$R1623*I1623</f>
        <v>0</v>
      </c>
      <c r="I1623" s="69">
        <v>0</v>
      </c>
      <c r="J1623" s="120">
        <f>$R1623*K1623</f>
        <v>0</v>
      </c>
      <c r="K1623" s="69">
        <v>0.5</v>
      </c>
      <c r="L1623" s="120">
        <f>$R1623*M1623</f>
        <v>0</v>
      </c>
      <c r="M1623" s="69">
        <v>0.5</v>
      </c>
      <c r="N1623" s="315">
        <f>$R1623*O1623</f>
        <v>0</v>
      </c>
      <c r="O1623" s="69">
        <v>0</v>
      </c>
      <c r="P1623" s="120">
        <f>$R1623*Q1623</f>
        <v>0</v>
      </c>
      <c r="Q1623" s="69">
        <v>0</v>
      </c>
      <c r="R1623" s="88">
        <f>'Terms and Turnovers'!U156</f>
        <v>0</v>
      </c>
      <c r="S1623" s="161">
        <f>SUM(G1623,I1623,K1623,M1623,O1623,Q1623)</f>
        <v>1</v>
      </c>
      <c r="T1623" s="120">
        <f>$AF1623*U1623</f>
        <v>0</v>
      </c>
      <c r="U1623" s="723">
        <v>0</v>
      </c>
      <c r="V1623" s="120">
        <f>$AF1623*W1623</f>
        <v>0</v>
      </c>
      <c r="W1623" s="69">
        <v>0.5</v>
      </c>
      <c r="X1623" s="120">
        <f>$AF1623*Y1623</f>
        <v>0</v>
      </c>
      <c r="Y1623" s="69">
        <v>0.5</v>
      </c>
      <c r="Z1623" s="120">
        <f>$AF1623*AA1623</f>
        <v>0</v>
      </c>
      <c r="AA1623" s="69">
        <v>0</v>
      </c>
      <c r="AB1623" s="315">
        <f>$AF1623*AC1623</f>
        <v>0</v>
      </c>
      <c r="AC1623" s="69">
        <v>0</v>
      </c>
      <c r="AD1623" s="120">
        <f>$AF1623*AE1623</f>
        <v>0</v>
      </c>
      <c r="AE1623" s="69">
        <v>0</v>
      </c>
      <c r="AF1623" s="88">
        <f>'Terms and Turnovers'!Z156</f>
        <v>0</v>
      </c>
      <c r="AG1623" s="161">
        <f>SUM(U1623,W1623,Y1623,AA1623,AC1623,AE1623)</f>
        <v>1</v>
      </c>
      <c r="AH1623" s="158">
        <f>SUM(R1623,AF1623)</f>
        <v>0</v>
      </c>
      <c r="AI1623" s="134">
        <f>S1623+AG1623</f>
        <v>2</v>
      </c>
      <c r="AJ1623" s="65"/>
      <c r="AL1623" s="461">
        <f>SUM(F1623,H1623,J1623,L1623,N1623,P1623,T1623,V1623,X1623,Z1623,AB1623,AD1623)</f>
        <v>0</v>
      </c>
      <c r="AM1623" s="462">
        <f>AL1623-AH1623</f>
        <v>0</v>
      </c>
      <c r="AO1623" s="692"/>
      <c r="AP1623" s="692"/>
      <c r="AV1623" s="56"/>
    </row>
    <row r="1624" spans="1:48" ht="13.5" customHeight="1" outlineLevel="2" thickBot="1">
      <c r="B1624" s="82"/>
      <c r="C1624" s="1234"/>
      <c r="D1624" s="1234"/>
      <c r="E1624" s="84" t="str">
        <f>'Terms and Turnovers'!$AD$12</f>
        <v>ACCESSORIES</v>
      </c>
      <c r="F1624" s="120">
        <f>$R1624*G1624</f>
        <v>0</v>
      </c>
      <c r="G1624" s="723"/>
      <c r="H1624" s="120">
        <f>$R1624*I1624</f>
        <v>0</v>
      </c>
      <c r="I1624" s="69">
        <v>0</v>
      </c>
      <c r="J1624" s="120">
        <f>$R1624*K1624</f>
        <v>0</v>
      </c>
      <c r="K1624" s="69">
        <v>0.5</v>
      </c>
      <c r="L1624" s="120">
        <f>$R1624*M1624</f>
        <v>0</v>
      </c>
      <c r="M1624" s="69">
        <v>0.5</v>
      </c>
      <c r="N1624" s="315">
        <f>$R1624*O1624</f>
        <v>0</v>
      </c>
      <c r="O1624" s="69">
        <v>0</v>
      </c>
      <c r="P1624" s="120">
        <f>$R1624*Q1624</f>
        <v>0</v>
      </c>
      <c r="Q1624" s="69">
        <v>0</v>
      </c>
      <c r="R1624" s="88">
        <f>'Terms and Turnovers'!AE156</f>
        <v>0</v>
      </c>
      <c r="S1624" s="161">
        <f>SUM(G1624,I1624,K1624,M1624,O1624,Q1624)</f>
        <v>1</v>
      </c>
      <c r="T1624" s="120">
        <f>$AF1624*U1624</f>
        <v>0</v>
      </c>
      <c r="U1624" s="723">
        <v>0</v>
      </c>
      <c r="V1624" s="120">
        <f>$AF1624*W1624</f>
        <v>0</v>
      </c>
      <c r="W1624" s="69">
        <v>0.5</v>
      </c>
      <c r="X1624" s="120">
        <f>$AF1624*Y1624</f>
        <v>0</v>
      </c>
      <c r="Y1624" s="69">
        <v>0.5</v>
      </c>
      <c r="Z1624" s="120">
        <f>$AF1624*AA1624</f>
        <v>0</v>
      </c>
      <c r="AA1624" s="69">
        <v>0</v>
      </c>
      <c r="AB1624" s="315">
        <f>$AF1624*AC1624</f>
        <v>0</v>
      </c>
      <c r="AC1624" s="69">
        <v>0</v>
      </c>
      <c r="AD1624" s="120">
        <f>$AF1624*AE1624</f>
        <v>0</v>
      </c>
      <c r="AE1624" s="69">
        <v>0</v>
      </c>
      <c r="AF1624" s="88">
        <f>'Terms and Turnovers'!AJ156</f>
        <v>0</v>
      </c>
      <c r="AG1624" s="161">
        <f>SUM(U1624,W1624,Y1624,AA1624,AC1624,AE1624)</f>
        <v>1</v>
      </c>
      <c r="AH1624" s="158">
        <f>SUM(R1624,AF1624)</f>
        <v>0</v>
      </c>
      <c r="AI1624" s="134">
        <f>S1624+AG1624</f>
        <v>2</v>
      </c>
      <c r="AJ1624" s="65"/>
      <c r="AL1624" s="461">
        <f>SUM(F1624,H1624,J1624,L1624,N1624,P1624,T1624,V1624,X1624,Z1624,AB1624,AD1624)</f>
        <v>0</v>
      </c>
      <c r="AM1624" s="462">
        <f>AL1624-AH1624</f>
        <v>0</v>
      </c>
      <c r="AO1624" s="692"/>
      <c r="AP1624" s="692"/>
      <c r="AV1624" s="56"/>
    </row>
    <row r="1625" spans="1:48" ht="13.5" customHeight="1" outlineLevel="2" thickBot="1">
      <c r="B1625" s="82"/>
      <c r="C1625" s="1234"/>
      <c r="D1625" s="1234"/>
      <c r="E1625" s="84">
        <f>'Terms and Turnovers'!$AN$12</f>
        <v>0</v>
      </c>
      <c r="F1625" s="120">
        <f>$R1625*G1625</f>
        <v>0</v>
      </c>
      <c r="G1625" s="723"/>
      <c r="H1625" s="120">
        <f>$R1625*I1625</f>
        <v>0</v>
      </c>
      <c r="I1625" s="69">
        <v>0</v>
      </c>
      <c r="J1625" s="120">
        <f>$R1625*K1625</f>
        <v>0</v>
      </c>
      <c r="K1625" s="69">
        <v>0.25</v>
      </c>
      <c r="L1625" s="120">
        <f>$R1625*M1625</f>
        <v>0</v>
      </c>
      <c r="M1625" s="69">
        <v>0.4</v>
      </c>
      <c r="N1625" s="315">
        <f>$R1625*O1625</f>
        <v>0</v>
      </c>
      <c r="O1625" s="69">
        <v>0.35</v>
      </c>
      <c r="P1625" s="120">
        <f>$R1625*Q1625</f>
        <v>0</v>
      </c>
      <c r="Q1625" s="69">
        <v>0</v>
      </c>
      <c r="R1625" s="88">
        <f>'Terms and Turnovers'!AO156</f>
        <v>0</v>
      </c>
      <c r="S1625" s="161">
        <f>SUM(G1625,I1625,K1625,M1625,O1625,Q1625)</f>
        <v>1</v>
      </c>
      <c r="T1625" s="120">
        <f>$AF1625*U1625</f>
        <v>0</v>
      </c>
      <c r="U1625" s="723">
        <v>0</v>
      </c>
      <c r="V1625" s="120">
        <f>$AF1625*W1625</f>
        <v>0</v>
      </c>
      <c r="W1625" s="69">
        <v>0.4</v>
      </c>
      <c r="X1625" s="120">
        <f>$AF1625*Y1625</f>
        <v>0</v>
      </c>
      <c r="Y1625" s="69">
        <v>0.4</v>
      </c>
      <c r="Z1625" s="120">
        <f>$AF1625*AA1625</f>
        <v>0</v>
      </c>
      <c r="AA1625" s="69">
        <v>0.2</v>
      </c>
      <c r="AB1625" s="315">
        <f>$AF1625*AC1625</f>
        <v>0</v>
      </c>
      <c r="AC1625" s="69">
        <v>0</v>
      </c>
      <c r="AD1625" s="120">
        <f>$AF1625*AE1625</f>
        <v>0</v>
      </c>
      <c r="AE1625" s="69">
        <v>0</v>
      </c>
      <c r="AF1625" s="88">
        <f>'Terms and Turnovers'!AT156</f>
        <v>0</v>
      </c>
      <c r="AG1625" s="161">
        <f>SUM(U1625,W1625,Y1625,AA1625,AC1625,AE1625)</f>
        <v>1</v>
      </c>
      <c r="AH1625" s="158">
        <f>SUM(R1625,AF1625)</f>
        <v>0</v>
      </c>
      <c r="AI1625" s="134">
        <f>S1625+AG1625</f>
        <v>2</v>
      </c>
      <c r="AJ1625" s="65"/>
      <c r="AL1625" s="461">
        <f>SUM(F1625,H1625,J1625,L1625,N1625,P1625,T1625,V1625,X1625,Z1625,AB1625,AD1625)</f>
        <v>0</v>
      </c>
      <c r="AM1625" s="462">
        <f>AL1625-AH1625</f>
        <v>0</v>
      </c>
      <c r="AO1625" s="692"/>
      <c r="AP1625" s="692"/>
      <c r="AV1625" s="56"/>
    </row>
    <row r="1626" spans="1:48" ht="13.5" customHeight="1" outlineLevel="2" thickBot="1">
      <c r="B1626" s="82"/>
      <c r="C1626" s="1235"/>
      <c r="D1626" s="1235"/>
      <c r="E1626" s="85">
        <f>'Terms and Turnovers'!$AX$12</f>
        <v>0</v>
      </c>
      <c r="F1626" s="121">
        <f>$R1626*G1626</f>
        <v>0</v>
      </c>
      <c r="G1626" s="72"/>
      <c r="H1626" s="121">
        <f>$R1626*I1626</f>
        <v>0</v>
      </c>
      <c r="I1626" s="69">
        <v>0</v>
      </c>
      <c r="J1626" s="121">
        <f>$R1626*K1626</f>
        <v>0</v>
      </c>
      <c r="K1626" s="69">
        <v>0.25</v>
      </c>
      <c r="L1626" s="121">
        <f>$R1626*M1626</f>
        <v>0</v>
      </c>
      <c r="M1626" s="69">
        <v>0.4</v>
      </c>
      <c r="N1626" s="316">
        <f>$R1626*O1626</f>
        <v>0</v>
      </c>
      <c r="O1626" s="69">
        <v>0.35</v>
      </c>
      <c r="P1626" s="121">
        <f>$R1626*Q1626</f>
        <v>0</v>
      </c>
      <c r="Q1626" s="69">
        <v>0</v>
      </c>
      <c r="R1626" s="89">
        <f>'Terms and Turnovers'!AY156</f>
        <v>0</v>
      </c>
      <c r="S1626" s="162">
        <f>SUM(G1626,I1626,K1626,M1626,O1626,Q1626)</f>
        <v>1</v>
      </c>
      <c r="T1626" s="121">
        <f>$AF1626*U1626</f>
        <v>0</v>
      </c>
      <c r="U1626" s="72">
        <v>0</v>
      </c>
      <c r="V1626" s="121">
        <f>$AF1626*W1626</f>
        <v>0</v>
      </c>
      <c r="W1626" s="69">
        <v>0.4</v>
      </c>
      <c r="X1626" s="121">
        <f>$AF1626*Y1626</f>
        <v>0</v>
      </c>
      <c r="Y1626" s="69">
        <v>0.4</v>
      </c>
      <c r="Z1626" s="121">
        <f>$AF1626*AA1626</f>
        <v>0</v>
      </c>
      <c r="AA1626" s="69">
        <v>0.2</v>
      </c>
      <c r="AB1626" s="316">
        <f>$AF1626*AC1626</f>
        <v>0</v>
      </c>
      <c r="AC1626" s="69">
        <v>0</v>
      </c>
      <c r="AD1626" s="121">
        <f>$AF1626*AE1626</f>
        <v>0</v>
      </c>
      <c r="AE1626" s="69">
        <v>0</v>
      </c>
      <c r="AF1626" s="89">
        <f>'Terms and Turnovers'!BD156</f>
        <v>0</v>
      </c>
      <c r="AG1626" s="162">
        <f>SUM(U1626,W1626,Y1626,AA1626,AC1626,AE1626)</f>
        <v>1</v>
      </c>
      <c r="AH1626" s="159">
        <f>SUM(R1626,AF1626)</f>
        <v>0</v>
      </c>
      <c r="AI1626" s="137">
        <f>S1626+AG1626</f>
        <v>2</v>
      </c>
      <c r="AJ1626" s="65"/>
      <c r="AL1626" s="461">
        <f>SUM(F1626,H1626,J1626,L1626,N1626,P1626,T1626,V1626,X1626,Z1626,AB1626,AD1626)</f>
        <v>0</v>
      </c>
      <c r="AM1626" s="462">
        <f>AL1626-AH1626</f>
        <v>0</v>
      </c>
      <c r="AO1626" s="692"/>
      <c r="AP1626" s="692"/>
      <c r="AV1626" s="56"/>
    </row>
    <row r="1627" spans="1:48" ht="13.5" customHeight="1" outlineLevel="2" thickBot="1">
      <c r="A1627" s="119"/>
      <c r="B1627" s="82"/>
      <c r="C1627" s="425"/>
      <c r="D1627" s="425"/>
      <c r="E1627" s="426"/>
      <c r="F1627" s="427">
        <f>SUM(F1622:F1626)</f>
        <v>0</v>
      </c>
      <c r="G1627" s="428"/>
      <c r="H1627" s="427">
        <f>SUM(H1622:H1626)</f>
        <v>0</v>
      </c>
      <c r="I1627" s="69"/>
      <c r="J1627" s="427">
        <f>SUM(J1622:J1626)</f>
        <v>0</v>
      </c>
      <c r="K1627" s="69"/>
      <c r="L1627" s="427">
        <f>SUM(L1622:L1626)</f>
        <v>0</v>
      </c>
      <c r="M1627" s="69"/>
      <c r="N1627" s="427">
        <f>SUM(N1622:N1626)</f>
        <v>0</v>
      </c>
      <c r="O1627" s="69"/>
      <c r="P1627" s="427">
        <f>SUM(P1622:P1626)</f>
        <v>0</v>
      </c>
      <c r="Q1627" s="69"/>
      <c r="R1627" s="429"/>
      <c r="S1627" s="430"/>
      <c r="T1627" s="427">
        <f>SUM(T1622:T1626)</f>
        <v>0</v>
      </c>
      <c r="U1627" s="428"/>
      <c r="V1627" s="427">
        <f>SUM(V1622:V1626)</f>
        <v>0</v>
      </c>
      <c r="W1627" s="69"/>
      <c r="X1627" s="427">
        <f>SUM(X1622:X1626)</f>
        <v>0</v>
      </c>
      <c r="Y1627" s="69"/>
      <c r="Z1627" s="427">
        <f>SUM(Z1622:Z1626)</f>
        <v>0</v>
      </c>
      <c r="AA1627" s="69"/>
      <c r="AB1627" s="427">
        <f>SUM(AB1622:AB1626)</f>
        <v>0</v>
      </c>
      <c r="AC1627" s="69"/>
      <c r="AD1627" s="427">
        <f>SUM(AD1622:AD1626)</f>
        <v>0</v>
      </c>
      <c r="AE1627" s="69"/>
      <c r="AF1627" s="429"/>
      <c r="AG1627" s="430"/>
      <c r="AH1627" s="431"/>
      <c r="AI1627" s="432"/>
      <c r="AJ1627" s="65"/>
      <c r="AO1627" s="692"/>
      <c r="AP1627" s="692"/>
      <c r="AV1627" s="56"/>
    </row>
    <row r="1628" spans="1:48" ht="13.5" customHeight="1" outlineLevel="2" thickBot="1">
      <c r="A1628" s="119"/>
      <c r="B1628" s="82"/>
      <c r="C1628" s="433" t="s">
        <v>484</v>
      </c>
      <c r="D1628" s="433" t="s">
        <v>463</v>
      </c>
      <c r="E1628" s="426"/>
      <c r="F1628" s="434">
        <f>AN1628</f>
        <v>0</v>
      </c>
      <c r="G1628" s="428"/>
      <c r="H1628" s="434">
        <f>H1627</f>
        <v>0</v>
      </c>
      <c r="I1628" s="69"/>
      <c r="J1628" s="434">
        <f>J1627</f>
        <v>0</v>
      </c>
      <c r="K1628" s="69"/>
      <c r="L1628" s="434">
        <f>L1627</f>
        <v>0</v>
      </c>
      <c r="M1628" s="69"/>
      <c r="N1628" s="434">
        <f>N1627-AO1628</f>
        <v>0</v>
      </c>
      <c r="O1628" s="69"/>
      <c r="P1628" s="434">
        <f>P1627</f>
        <v>0</v>
      </c>
      <c r="Q1628" s="69"/>
      <c r="R1628" s="429"/>
      <c r="S1628" s="430"/>
      <c r="T1628" s="434">
        <f>AO1628</f>
        <v>0</v>
      </c>
      <c r="U1628" s="428">
        <f>Q1627</f>
        <v>0</v>
      </c>
      <c r="V1628" s="434">
        <f>V1627</f>
        <v>0</v>
      </c>
      <c r="W1628" s="69">
        <f>S1627</f>
        <v>0</v>
      </c>
      <c r="X1628" s="434">
        <f>X1627</f>
        <v>0</v>
      </c>
      <c r="Y1628" s="69">
        <f>U1627</f>
        <v>0</v>
      </c>
      <c r="Z1628" s="434">
        <f>Z1627-AN1628</f>
        <v>0</v>
      </c>
      <c r="AA1628" s="69">
        <f>W1627</f>
        <v>0</v>
      </c>
      <c r="AB1628" s="434">
        <f>AB1627</f>
        <v>0</v>
      </c>
      <c r="AC1628" s="69">
        <f>Y1627</f>
        <v>0</v>
      </c>
      <c r="AD1628" s="434">
        <f>AD1627</f>
        <v>0</v>
      </c>
      <c r="AE1628" s="69"/>
      <c r="AF1628" s="429"/>
      <c r="AG1628" s="430"/>
      <c r="AH1628" s="431"/>
      <c r="AI1628" s="432"/>
      <c r="AJ1628" s="65"/>
      <c r="AN1628" s="695">
        <f>SUM(AF1622:AF1626)*AQ1628</f>
        <v>0</v>
      </c>
      <c r="AO1628" s="742">
        <f>SUM(R1622:R1626)*AQ1628</f>
        <v>0</v>
      </c>
      <c r="AP1628" s="742"/>
      <c r="AQ1628" s="693">
        <v>0.15</v>
      </c>
      <c r="AS1628" s="716">
        <f>SUM(AL1622:AL1626)</f>
        <v>0</v>
      </c>
      <c r="AT1628" s="461">
        <f>F1628+H1628+J1628+L1628+N1628+P1628+T1628+V1628+X1628+Z1628+AB1628+AD1628</f>
        <v>0</v>
      </c>
      <c r="AU1628" s="745">
        <f>AT1628-AS1628</f>
        <v>0</v>
      </c>
      <c r="AV1628" s="56"/>
    </row>
    <row r="1629" spans="1:48" ht="13.5" customHeight="1" outlineLevel="2" thickBot="1">
      <c r="B1629" s="82">
        <f>B1622+1</f>
        <v>26</v>
      </c>
      <c r="C1629" s="1233">
        <f>C188</f>
        <v>0</v>
      </c>
      <c r="D1629" s="1233">
        <f>D188</f>
        <v>0</v>
      </c>
      <c r="E1629" s="83" t="str">
        <f>'Terms and Turnovers'!$J$12</f>
        <v>FLIP-FLOPS</v>
      </c>
      <c r="F1629" s="118">
        <f>$R1629*G1629</f>
        <v>0</v>
      </c>
      <c r="G1629" s="69"/>
      <c r="H1629" s="314">
        <f>$R1629*I1629</f>
        <v>0</v>
      </c>
      <c r="I1629" s="69">
        <v>0</v>
      </c>
      <c r="J1629" s="118">
        <f>$R1629*K1629</f>
        <v>0</v>
      </c>
      <c r="K1629" s="69">
        <v>0.3</v>
      </c>
      <c r="L1629" s="314">
        <f>$R1629*M1629</f>
        <v>0</v>
      </c>
      <c r="M1629" s="69">
        <v>0.4</v>
      </c>
      <c r="N1629" s="314">
        <f>$R1629*O1629</f>
        <v>0</v>
      </c>
      <c r="O1629" s="69">
        <v>0.3</v>
      </c>
      <c r="P1629" s="118">
        <f>$R1629*Q1629</f>
        <v>0</v>
      </c>
      <c r="Q1629" s="69">
        <v>0</v>
      </c>
      <c r="R1629" s="87">
        <f>'Terms and Turnovers'!K157</f>
        <v>0</v>
      </c>
      <c r="S1629" s="160">
        <f>SUM(G1629,I1629,K1629,M1629,O1629,Q1629)</f>
        <v>1</v>
      </c>
      <c r="T1629" s="118">
        <f>$AF1629*U1629</f>
        <v>0</v>
      </c>
      <c r="U1629" s="69">
        <v>0</v>
      </c>
      <c r="V1629" s="314">
        <f>$AF1629*W1629</f>
        <v>0</v>
      </c>
      <c r="W1629" s="69">
        <v>0.4</v>
      </c>
      <c r="X1629" s="118">
        <f>$AF1629*Y1629</f>
        <v>0</v>
      </c>
      <c r="Y1629" s="69">
        <v>0.4</v>
      </c>
      <c r="Z1629" s="314">
        <f>$AF1629*AA1629</f>
        <v>0</v>
      </c>
      <c r="AA1629" s="69">
        <v>0.2</v>
      </c>
      <c r="AB1629" s="314">
        <f>$AF1629*AC1629</f>
        <v>0</v>
      </c>
      <c r="AC1629" s="69">
        <v>0</v>
      </c>
      <c r="AD1629" s="118">
        <f>$AF1629*AE1629</f>
        <v>0</v>
      </c>
      <c r="AE1629" s="69">
        <v>0</v>
      </c>
      <c r="AF1629" s="87">
        <f>'Terms and Turnovers'!P157</f>
        <v>0</v>
      </c>
      <c r="AG1629" s="160">
        <f>SUM(U1629,W1629,Y1629,AA1629,AC1629,AE1629)</f>
        <v>1</v>
      </c>
      <c r="AH1629" s="157">
        <f>SUM(R1629,AF1629)</f>
        <v>0</v>
      </c>
      <c r="AI1629" s="131">
        <f>S1629+AG1629</f>
        <v>2</v>
      </c>
      <c r="AJ1629" s="65"/>
      <c r="AL1629" s="461">
        <f>SUM(F1629,H1629,J1629,L1629,N1629,P1629,T1629,V1629,X1629,Z1629,AB1629,AD1629)</f>
        <v>0</v>
      </c>
      <c r="AM1629" s="462">
        <f>AL1629-AH1629</f>
        <v>0</v>
      </c>
      <c r="AO1629" s="692"/>
      <c r="AP1629" s="692"/>
      <c r="AV1629" s="56"/>
    </row>
    <row r="1630" spans="1:48" ht="13.5" customHeight="1" outlineLevel="2" thickBot="1">
      <c r="B1630" s="82"/>
      <c r="C1630" s="1234"/>
      <c r="D1630" s="1234"/>
      <c r="E1630" s="84" t="str">
        <f>'Terms and Turnovers'!$T$12</f>
        <v>ORIGINALS</v>
      </c>
      <c r="F1630" s="120">
        <f>$R1630*G1630</f>
        <v>0</v>
      </c>
      <c r="G1630" s="723"/>
      <c r="H1630" s="120">
        <f>$R1630*I1630</f>
        <v>0</v>
      </c>
      <c r="I1630" s="69">
        <v>0</v>
      </c>
      <c r="J1630" s="120">
        <f>$R1630*K1630</f>
        <v>0</v>
      </c>
      <c r="K1630" s="69">
        <v>0.5</v>
      </c>
      <c r="L1630" s="120">
        <f>$R1630*M1630</f>
        <v>0</v>
      </c>
      <c r="M1630" s="69">
        <v>0.5</v>
      </c>
      <c r="N1630" s="315">
        <f>$R1630*O1630</f>
        <v>0</v>
      </c>
      <c r="O1630" s="69">
        <v>0</v>
      </c>
      <c r="P1630" s="120">
        <f>$R1630*Q1630</f>
        <v>0</v>
      </c>
      <c r="Q1630" s="69">
        <v>0</v>
      </c>
      <c r="R1630" s="88">
        <f>'Terms and Turnovers'!U157</f>
        <v>0</v>
      </c>
      <c r="S1630" s="161">
        <f>SUM(G1630,I1630,K1630,M1630,O1630,Q1630)</f>
        <v>1</v>
      </c>
      <c r="T1630" s="120">
        <f>$AF1630*U1630</f>
        <v>0</v>
      </c>
      <c r="U1630" s="723">
        <v>0</v>
      </c>
      <c r="V1630" s="120">
        <f>$AF1630*W1630</f>
        <v>0</v>
      </c>
      <c r="W1630" s="69">
        <v>0.5</v>
      </c>
      <c r="X1630" s="120">
        <f>$AF1630*Y1630</f>
        <v>0</v>
      </c>
      <c r="Y1630" s="69">
        <v>0.5</v>
      </c>
      <c r="Z1630" s="120">
        <f>$AF1630*AA1630</f>
        <v>0</v>
      </c>
      <c r="AA1630" s="69">
        <v>0</v>
      </c>
      <c r="AB1630" s="315">
        <f>$AF1630*AC1630</f>
        <v>0</v>
      </c>
      <c r="AC1630" s="69">
        <v>0</v>
      </c>
      <c r="AD1630" s="120">
        <f>$AF1630*AE1630</f>
        <v>0</v>
      </c>
      <c r="AE1630" s="69">
        <v>0</v>
      </c>
      <c r="AF1630" s="88">
        <f>'Terms and Turnovers'!Z157</f>
        <v>0</v>
      </c>
      <c r="AG1630" s="161">
        <f>SUM(U1630,W1630,Y1630,AA1630,AC1630,AE1630)</f>
        <v>1</v>
      </c>
      <c r="AH1630" s="158">
        <f>SUM(R1630,AF1630)</f>
        <v>0</v>
      </c>
      <c r="AI1630" s="134">
        <f>S1630+AG1630</f>
        <v>2</v>
      </c>
      <c r="AJ1630" s="65"/>
      <c r="AL1630" s="461">
        <f>SUM(F1630,H1630,J1630,L1630,N1630,P1630,T1630,V1630,X1630,Z1630,AB1630,AD1630)</f>
        <v>0</v>
      </c>
      <c r="AM1630" s="462">
        <f>AL1630-AH1630</f>
        <v>0</v>
      </c>
      <c r="AO1630" s="692"/>
      <c r="AP1630" s="692"/>
      <c r="AV1630" s="56"/>
    </row>
    <row r="1631" spans="1:48" ht="13.5" customHeight="1" outlineLevel="2" thickBot="1">
      <c r="B1631" s="82"/>
      <c r="C1631" s="1234"/>
      <c r="D1631" s="1234"/>
      <c r="E1631" s="84" t="str">
        <f>'Terms and Turnovers'!$AD$12</f>
        <v>ACCESSORIES</v>
      </c>
      <c r="F1631" s="120">
        <f>$R1631*G1631</f>
        <v>0</v>
      </c>
      <c r="G1631" s="723"/>
      <c r="H1631" s="120">
        <f>$R1631*I1631</f>
        <v>0</v>
      </c>
      <c r="I1631" s="69">
        <v>0</v>
      </c>
      <c r="J1631" s="120">
        <f>$R1631*K1631</f>
        <v>0</v>
      </c>
      <c r="K1631" s="69">
        <v>0.5</v>
      </c>
      <c r="L1631" s="120">
        <f>$R1631*M1631</f>
        <v>0</v>
      </c>
      <c r="M1631" s="69">
        <v>0.5</v>
      </c>
      <c r="N1631" s="315">
        <f>$R1631*O1631</f>
        <v>0</v>
      </c>
      <c r="O1631" s="69">
        <v>0</v>
      </c>
      <c r="P1631" s="120">
        <f>$R1631*Q1631</f>
        <v>0</v>
      </c>
      <c r="Q1631" s="69">
        <v>0</v>
      </c>
      <c r="R1631" s="88">
        <f>'Terms and Turnovers'!AE157</f>
        <v>0</v>
      </c>
      <c r="S1631" s="161">
        <f>SUM(G1631,I1631,K1631,M1631,O1631,Q1631)</f>
        <v>1</v>
      </c>
      <c r="T1631" s="120">
        <f>$AF1631*U1631</f>
        <v>0</v>
      </c>
      <c r="U1631" s="723">
        <v>0</v>
      </c>
      <c r="V1631" s="120">
        <f>$AF1631*W1631</f>
        <v>0</v>
      </c>
      <c r="W1631" s="69">
        <v>0.5</v>
      </c>
      <c r="X1631" s="120">
        <f>$AF1631*Y1631</f>
        <v>0</v>
      </c>
      <c r="Y1631" s="69">
        <v>0.5</v>
      </c>
      <c r="Z1631" s="120">
        <f>$AF1631*AA1631</f>
        <v>0</v>
      </c>
      <c r="AA1631" s="69">
        <v>0</v>
      </c>
      <c r="AB1631" s="315">
        <f>$AF1631*AC1631</f>
        <v>0</v>
      </c>
      <c r="AC1631" s="69">
        <v>0</v>
      </c>
      <c r="AD1631" s="120">
        <f>$AF1631*AE1631</f>
        <v>0</v>
      </c>
      <c r="AE1631" s="69">
        <v>0</v>
      </c>
      <c r="AF1631" s="88">
        <f>'Terms and Turnovers'!AJ157</f>
        <v>0</v>
      </c>
      <c r="AG1631" s="161">
        <f>SUM(U1631,W1631,Y1631,AA1631,AC1631,AE1631)</f>
        <v>1</v>
      </c>
      <c r="AH1631" s="158">
        <f>SUM(R1631,AF1631)</f>
        <v>0</v>
      </c>
      <c r="AI1631" s="134">
        <f>S1631+AG1631</f>
        <v>2</v>
      </c>
      <c r="AJ1631" s="65"/>
      <c r="AL1631" s="461">
        <f>SUM(F1631,H1631,J1631,L1631,N1631,P1631,T1631,V1631,X1631,Z1631,AB1631,AD1631)</f>
        <v>0</v>
      </c>
      <c r="AM1631" s="462">
        <f>AL1631-AH1631</f>
        <v>0</v>
      </c>
      <c r="AO1631" s="692"/>
      <c r="AP1631" s="692"/>
      <c r="AV1631" s="56"/>
    </row>
    <row r="1632" spans="1:48" ht="13.5" customHeight="1" outlineLevel="2" thickBot="1">
      <c r="B1632" s="82"/>
      <c r="C1632" s="1234"/>
      <c r="D1632" s="1234"/>
      <c r="E1632" s="84">
        <f>'Terms and Turnovers'!$AN$12</f>
        <v>0</v>
      </c>
      <c r="F1632" s="120">
        <f>$R1632*G1632</f>
        <v>0</v>
      </c>
      <c r="G1632" s="723"/>
      <c r="H1632" s="120">
        <f>$R1632*I1632</f>
        <v>0</v>
      </c>
      <c r="I1632" s="69">
        <v>0</v>
      </c>
      <c r="J1632" s="120">
        <f>$R1632*K1632</f>
        <v>0</v>
      </c>
      <c r="K1632" s="69">
        <v>0.3</v>
      </c>
      <c r="L1632" s="120">
        <f>$R1632*M1632</f>
        <v>0</v>
      </c>
      <c r="M1632" s="69">
        <v>0.4</v>
      </c>
      <c r="N1632" s="315">
        <f>$R1632*O1632</f>
        <v>0</v>
      </c>
      <c r="O1632" s="69">
        <v>0.3</v>
      </c>
      <c r="P1632" s="120">
        <f>$R1632*Q1632</f>
        <v>0</v>
      </c>
      <c r="Q1632" s="69">
        <v>0</v>
      </c>
      <c r="R1632" s="88">
        <f>'Terms and Turnovers'!AO157</f>
        <v>0</v>
      </c>
      <c r="S1632" s="161">
        <f>SUM(G1632,I1632,K1632,M1632,O1632,Q1632)</f>
        <v>1</v>
      </c>
      <c r="T1632" s="120">
        <f>$AF1632*U1632</f>
        <v>0</v>
      </c>
      <c r="U1632" s="723">
        <v>0</v>
      </c>
      <c r="V1632" s="120">
        <f>$AF1632*W1632</f>
        <v>0</v>
      </c>
      <c r="W1632" s="69">
        <v>0.4</v>
      </c>
      <c r="X1632" s="120">
        <f>$AF1632*Y1632</f>
        <v>0</v>
      </c>
      <c r="Y1632" s="69">
        <v>0.4</v>
      </c>
      <c r="Z1632" s="120">
        <f>$AF1632*AA1632</f>
        <v>0</v>
      </c>
      <c r="AA1632" s="69">
        <v>0.2</v>
      </c>
      <c r="AB1632" s="315">
        <f>$AF1632*AC1632</f>
        <v>0</v>
      </c>
      <c r="AC1632" s="69">
        <v>0</v>
      </c>
      <c r="AD1632" s="120">
        <f>$AF1632*AE1632</f>
        <v>0</v>
      </c>
      <c r="AE1632" s="69">
        <v>0</v>
      </c>
      <c r="AF1632" s="88">
        <f>'Terms and Turnovers'!AT157</f>
        <v>0</v>
      </c>
      <c r="AG1632" s="161">
        <f>SUM(U1632,W1632,Y1632,AA1632,AC1632,AE1632)</f>
        <v>1</v>
      </c>
      <c r="AH1632" s="158">
        <f>SUM(R1632,AF1632)</f>
        <v>0</v>
      </c>
      <c r="AI1632" s="134">
        <f>S1632+AG1632</f>
        <v>2</v>
      </c>
      <c r="AJ1632" s="65"/>
      <c r="AL1632" s="461">
        <f>SUM(F1632,H1632,J1632,L1632,N1632,P1632,T1632,V1632,X1632,Z1632,AB1632,AD1632)</f>
        <v>0</v>
      </c>
      <c r="AM1632" s="462">
        <f>AL1632-AH1632</f>
        <v>0</v>
      </c>
      <c r="AO1632" s="692"/>
      <c r="AP1632" s="692"/>
      <c r="AV1632" s="56"/>
    </row>
    <row r="1633" spans="1:48" ht="13.5" customHeight="1" outlineLevel="2" thickBot="1">
      <c r="B1633" s="82"/>
      <c r="C1633" s="1235"/>
      <c r="D1633" s="1235"/>
      <c r="E1633" s="85">
        <f>'Terms and Turnovers'!$AX$12</f>
        <v>0</v>
      </c>
      <c r="F1633" s="121">
        <f>$R1633*G1633</f>
        <v>0</v>
      </c>
      <c r="G1633" s="72"/>
      <c r="H1633" s="121">
        <f>$R1633*I1633</f>
        <v>0</v>
      </c>
      <c r="I1633" s="69">
        <v>0</v>
      </c>
      <c r="J1633" s="121">
        <f>$R1633*K1633</f>
        <v>0</v>
      </c>
      <c r="K1633" s="69">
        <v>0.3</v>
      </c>
      <c r="L1633" s="121">
        <f>$R1633*M1633</f>
        <v>0</v>
      </c>
      <c r="M1633" s="69">
        <v>0.4</v>
      </c>
      <c r="N1633" s="316">
        <f>$R1633*O1633</f>
        <v>0</v>
      </c>
      <c r="O1633" s="69">
        <v>0.3</v>
      </c>
      <c r="P1633" s="121">
        <f>$R1633*Q1633</f>
        <v>0</v>
      </c>
      <c r="Q1633" s="69">
        <v>0</v>
      </c>
      <c r="R1633" s="89">
        <f>'Terms and Turnovers'!AY157</f>
        <v>0</v>
      </c>
      <c r="S1633" s="162">
        <f>SUM(G1633,I1633,K1633,M1633,O1633,Q1633)</f>
        <v>1</v>
      </c>
      <c r="T1633" s="121">
        <f>$AF1633*U1633</f>
        <v>0</v>
      </c>
      <c r="U1633" s="72">
        <v>0</v>
      </c>
      <c r="V1633" s="121">
        <f>$AF1633*W1633</f>
        <v>0</v>
      </c>
      <c r="W1633" s="69">
        <v>0.4</v>
      </c>
      <c r="X1633" s="121">
        <f>$AF1633*Y1633</f>
        <v>0</v>
      </c>
      <c r="Y1633" s="69">
        <v>0.4</v>
      </c>
      <c r="Z1633" s="121">
        <f>$AF1633*AA1633</f>
        <v>0</v>
      </c>
      <c r="AA1633" s="69">
        <v>0.2</v>
      </c>
      <c r="AB1633" s="316">
        <f>$AF1633*AC1633</f>
        <v>0</v>
      </c>
      <c r="AC1633" s="69">
        <v>0</v>
      </c>
      <c r="AD1633" s="121">
        <f>$AF1633*AE1633</f>
        <v>0</v>
      </c>
      <c r="AE1633" s="69">
        <v>0</v>
      </c>
      <c r="AF1633" s="89">
        <f>'Terms and Turnovers'!BD157</f>
        <v>0</v>
      </c>
      <c r="AG1633" s="162">
        <f>SUM(U1633,W1633,Y1633,AA1633,AC1633,AE1633)</f>
        <v>1</v>
      </c>
      <c r="AH1633" s="159">
        <f>SUM(R1633,AF1633)</f>
        <v>0</v>
      </c>
      <c r="AI1633" s="137">
        <f>S1633+AG1633</f>
        <v>2</v>
      </c>
      <c r="AJ1633" s="65"/>
      <c r="AL1633" s="461">
        <f>SUM(F1633,H1633,J1633,L1633,N1633,P1633,T1633,V1633,X1633,Z1633,AB1633,AD1633)</f>
        <v>0</v>
      </c>
      <c r="AM1633" s="462">
        <f>AL1633-AH1633</f>
        <v>0</v>
      </c>
      <c r="AO1633" s="692"/>
      <c r="AP1633" s="692"/>
      <c r="AV1633" s="56"/>
    </row>
    <row r="1634" spans="1:48" ht="13.5" customHeight="1" outlineLevel="2" thickBot="1">
      <c r="A1634" s="119"/>
      <c r="B1634" s="82"/>
      <c r="C1634" s="425"/>
      <c r="D1634" s="425"/>
      <c r="E1634" s="426"/>
      <c r="F1634" s="427">
        <f>SUM(F1629:F1633)</f>
        <v>0</v>
      </c>
      <c r="G1634" s="428"/>
      <c r="H1634" s="427">
        <f>SUM(H1629:H1633)</f>
        <v>0</v>
      </c>
      <c r="I1634" s="69"/>
      <c r="J1634" s="427">
        <f>SUM(J1629:J1633)</f>
        <v>0</v>
      </c>
      <c r="K1634" s="69"/>
      <c r="L1634" s="427">
        <f>SUM(L1629:L1633)</f>
        <v>0</v>
      </c>
      <c r="M1634" s="69"/>
      <c r="N1634" s="427">
        <f>SUM(N1629:N1633)</f>
        <v>0</v>
      </c>
      <c r="O1634" s="69"/>
      <c r="P1634" s="427">
        <f>SUM(P1629:P1633)</f>
        <v>0</v>
      </c>
      <c r="Q1634" s="69"/>
      <c r="R1634" s="429"/>
      <c r="S1634" s="430"/>
      <c r="T1634" s="427">
        <f>SUM(T1629:T1633)</f>
        <v>0</v>
      </c>
      <c r="U1634" s="428"/>
      <c r="V1634" s="427">
        <f>SUM(V1629:V1633)</f>
        <v>0</v>
      </c>
      <c r="W1634" s="69"/>
      <c r="X1634" s="427">
        <f>SUM(X1629:X1633)</f>
        <v>0</v>
      </c>
      <c r="Y1634" s="69"/>
      <c r="Z1634" s="427">
        <f>SUM(Z1629:Z1633)</f>
        <v>0</v>
      </c>
      <c r="AA1634" s="69"/>
      <c r="AB1634" s="427">
        <f>SUM(AB1629:AB1633)</f>
        <v>0</v>
      </c>
      <c r="AC1634" s="69"/>
      <c r="AD1634" s="427">
        <f>SUM(AD1629:AD1633)</f>
        <v>0</v>
      </c>
      <c r="AE1634" s="69"/>
      <c r="AF1634" s="429"/>
      <c r="AG1634" s="430"/>
      <c r="AH1634" s="431"/>
      <c r="AI1634" s="432"/>
      <c r="AJ1634" s="65"/>
      <c r="AO1634" s="692"/>
      <c r="AP1634" s="692"/>
      <c r="AV1634" s="56"/>
    </row>
    <row r="1635" spans="1:48" ht="13.5" customHeight="1" outlineLevel="2" thickBot="1">
      <c r="A1635" s="119"/>
      <c r="B1635" s="82"/>
      <c r="C1635" s="433" t="s">
        <v>484</v>
      </c>
      <c r="D1635" s="433" t="s">
        <v>346</v>
      </c>
      <c r="E1635" s="426"/>
      <c r="F1635" s="434">
        <f>AN1635</f>
        <v>0</v>
      </c>
      <c r="G1635" s="428"/>
      <c r="H1635" s="434">
        <f>H1634</f>
        <v>0</v>
      </c>
      <c r="I1635" s="69"/>
      <c r="J1635" s="434">
        <f>J1634</f>
        <v>0</v>
      </c>
      <c r="K1635" s="69"/>
      <c r="L1635" s="434">
        <f>L1634</f>
        <v>0</v>
      </c>
      <c r="M1635" s="69"/>
      <c r="N1635" s="434">
        <f>N1634-AO1635</f>
        <v>0</v>
      </c>
      <c r="O1635" s="69"/>
      <c r="P1635" s="434">
        <f>P1634</f>
        <v>0</v>
      </c>
      <c r="Q1635" s="69"/>
      <c r="R1635" s="429"/>
      <c r="S1635" s="430"/>
      <c r="T1635" s="434">
        <f>AO1635</f>
        <v>0</v>
      </c>
      <c r="U1635" s="428">
        <f>Q1634</f>
        <v>0</v>
      </c>
      <c r="V1635" s="434">
        <f>V1634</f>
        <v>0</v>
      </c>
      <c r="W1635" s="69">
        <f>S1634</f>
        <v>0</v>
      </c>
      <c r="X1635" s="434">
        <f>X1634</f>
        <v>0</v>
      </c>
      <c r="Y1635" s="69">
        <f>U1634</f>
        <v>0</v>
      </c>
      <c r="Z1635" s="434">
        <f>Z1634</f>
        <v>0</v>
      </c>
      <c r="AA1635" s="69">
        <f>W1634</f>
        <v>0</v>
      </c>
      <c r="AB1635" s="434">
        <f>AB1634</f>
        <v>0</v>
      </c>
      <c r="AC1635" s="69">
        <f>Y1634</f>
        <v>0</v>
      </c>
      <c r="AD1635" s="434">
        <f>AD1634</f>
        <v>0</v>
      </c>
      <c r="AE1635" s="69"/>
      <c r="AF1635" s="429"/>
      <c r="AG1635" s="430"/>
      <c r="AH1635" s="431"/>
      <c r="AI1635" s="432"/>
      <c r="AJ1635" s="65"/>
      <c r="AN1635" s="695">
        <f>SUM(AF1629:AF1633)*AQ1635</f>
        <v>0</v>
      </c>
      <c r="AO1635" s="742">
        <f>SUM(R1629:R1633)*AQ1635</f>
        <v>0</v>
      </c>
      <c r="AP1635" s="742"/>
      <c r="AQ1635" s="693">
        <v>0.15</v>
      </c>
      <c r="AS1635" s="716">
        <f>SUM(AL1629:AL1633)</f>
        <v>0</v>
      </c>
      <c r="AT1635" s="461">
        <f>F1635+H1635+J1635+L1635+N1635+P1635+T1635+V1635+X1635+Z1635+AB1635+AD1635</f>
        <v>0</v>
      </c>
      <c r="AU1635" s="745">
        <f>AT1635-AS1635</f>
        <v>0</v>
      </c>
      <c r="AV1635" s="56"/>
    </row>
    <row r="1636" spans="1:48" ht="13.5" customHeight="1" outlineLevel="2" thickBot="1">
      <c r="B1636" s="82">
        <f>B1629+1</f>
        <v>27</v>
      </c>
      <c r="C1636" s="1233">
        <f>C195</f>
        <v>0</v>
      </c>
      <c r="D1636" s="1233">
        <f>D195</f>
        <v>0</v>
      </c>
      <c r="E1636" s="83" t="str">
        <f>'Terms and Turnovers'!$J$12</f>
        <v>FLIP-FLOPS</v>
      </c>
      <c r="F1636" s="118">
        <f>$R1636*G1636</f>
        <v>0</v>
      </c>
      <c r="G1636" s="69"/>
      <c r="H1636" s="314">
        <f>$R1636*I1636</f>
        <v>0</v>
      </c>
      <c r="I1636" s="69">
        <v>0</v>
      </c>
      <c r="J1636" s="118">
        <f>$R1636*K1636</f>
        <v>0</v>
      </c>
      <c r="K1636" s="69">
        <v>0.3</v>
      </c>
      <c r="L1636" s="314">
        <f>$R1636*M1636</f>
        <v>0</v>
      </c>
      <c r="M1636" s="69">
        <v>0.4</v>
      </c>
      <c r="N1636" s="314">
        <f>$R1636*O1636</f>
        <v>0</v>
      </c>
      <c r="O1636" s="69">
        <v>0.3</v>
      </c>
      <c r="P1636" s="118">
        <f>$R1636*Q1636</f>
        <v>0</v>
      </c>
      <c r="Q1636" s="69">
        <v>0</v>
      </c>
      <c r="R1636" s="87">
        <f>'Terms and Turnovers'!K158</f>
        <v>0</v>
      </c>
      <c r="S1636" s="160">
        <f>SUM(G1636,I1636,K1636,M1636,O1636,Q1636)</f>
        <v>1</v>
      </c>
      <c r="T1636" s="118">
        <f>$AF1636*U1636</f>
        <v>0</v>
      </c>
      <c r="U1636" s="69">
        <v>0</v>
      </c>
      <c r="V1636" s="314">
        <f>$AF1636*W1636</f>
        <v>0</v>
      </c>
      <c r="W1636" s="69">
        <v>0.4</v>
      </c>
      <c r="X1636" s="118">
        <f>$AF1636*Y1636</f>
        <v>0</v>
      </c>
      <c r="Y1636" s="69">
        <v>0.4</v>
      </c>
      <c r="Z1636" s="314">
        <f>$AF1636*AA1636</f>
        <v>0</v>
      </c>
      <c r="AA1636" s="69">
        <v>0.2</v>
      </c>
      <c r="AB1636" s="314">
        <f>$AF1636*AC1636</f>
        <v>0</v>
      </c>
      <c r="AC1636" s="69">
        <v>0</v>
      </c>
      <c r="AD1636" s="118">
        <f>$AF1636*AE1636</f>
        <v>0</v>
      </c>
      <c r="AE1636" s="69">
        <v>0</v>
      </c>
      <c r="AF1636" s="87">
        <f>'Terms and Turnovers'!P158</f>
        <v>0</v>
      </c>
      <c r="AG1636" s="160">
        <f>SUM(U1636,W1636,Y1636,AA1636,AC1636,AE1636)</f>
        <v>1</v>
      </c>
      <c r="AH1636" s="157">
        <f>SUM(R1636,AF1636)</f>
        <v>0</v>
      </c>
      <c r="AI1636" s="131">
        <f>S1636+AG1636</f>
        <v>2</v>
      </c>
      <c r="AJ1636" s="65"/>
      <c r="AL1636" s="461">
        <f>SUM(F1636,H1636,J1636,L1636,N1636,P1636,T1636,V1636,X1636,Z1636,AB1636,AD1636)</f>
        <v>0</v>
      </c>
      <c r="AM1636" s="462">
        <f>AL1636-AH1636</f>
        <v>0</v>
      </c>
      <c r="AO1636" s="692"/>
      <c r="AP1636" s="692"/>
      <c r="AV1636" s="56"/>
    </row>
    <row r="1637" spans="1:48" ht="13.5" customHeight="1" outlineLevel="2" thickBot="1">
      <c r="B1637" s="82"/>
      <c r="C1637" s="1234"/>
      <c r="D1637" s="1234"/>
      <c r="E1637" s="84" t="str">
        <f>'Terms and Turnovers'!$T$12</f>
        <v>ORIGINALS</v>
      </c>
      <c r="F1637" s="120">
        <f>$R1637*G1637</f>
        <v>0</v>
      </c>
      <c r="G1637" s="723"/>
      <c r="H1637" s="120">
        <f>$R1637*I1637</f>
        <v>0</v>
      </c>
      <c r="I1637" s="69">
        <v>0</v>
      </c>
      <c r="J1637" s="120">
        <f>$R1637*K1637</f>
        <v>0</v>
      </c>
      <c r="K1637" s="69">
        <v>0.5</v>
      </c>
      <c r="L1637" s="120">
        <f>$R1637*M1637</f>
        <v>0</v>
      </c>
      <c r="M1637" s="69">
        <v>0.5</v>
      </c>
      <c r="N1637" s="315">
        <f>$R1637*O1637</f>
        <v>0</v>
      </c>
      <c r="O1637" s="69">
        <v>0</v>
      </c>
      <c r="P1637" s="120">
        <f>$R1637*Q1637</f>
        <v>0</v>
      </c>
      <c r="Q1637" s="69">
        <v>0</v>
      </c>
      <c r="R1637" s="88">
        <f>'Terms and Turnovers'!U158</f>
        <v>0</v>
      </c>
      <c r="S1637" s="161">
        <f>SUM(G1637,I1637,K1637,M1637,O1637,Q1637)</f>
        <v>1</v>
      </c>
      <c r="T1637" s="120">
        <f>$AF1637*U1637</f>
        <v>0</v>
      </c>
      <c r="U1637" s="723">
        <v>0</v>
      </c>
      <c r="V1637" s="120">
        <f>$AF1637*W1637</f>
        <v>0</v>
      </c>
      <c r="W1637" s="69">
        <v>0.5</v>
      </c>
      <c r="X1637" s="120">
        <f>$AF1637*Y1637</f>
        <v>0</v>
      </c>
      <c r="Y1637" s="69">
        <v>0.5</v>
      </c>
      <c r="Z1637" s="120">
        <f>$AF1637*AA1637</f>
        <v>0</v>
      </c>
      <c r="AA1637" s="69">
        <v>0</v>
      </c>
      <c r="AB1637" s="315">
        <f>$AF1637*AC1637</f>
        <v>0</v>
      </c>
      <c r="AC1637" s="69">
        <v>0</v>
      </c>
      <c r="AD1637" s="120">
        <f>$AF1637*AE1637</f>
        <v>0</v>
      </c>
      <c r="AE1637" s="69">
        <v>0</v>
      </c>
      <c r="AF1637" s="88">
        <f>'Terms and Turnovers'!Z158</f>
        <v>0</v>
      </c>
      <c r="AG1637" s="161">
        <f>SUM(U1637,W1637,Y1637,AA1637,AC1637,AE1637)</f>
        <v>1</v>
      </c>
      <c r="AH1637" s="158">
        <f>SUM(R1637,AF1637)</f>
        <v>0</v>
      </c>
      <c r="AI1637" s="134">
        <f>S1637+AG1637</f>
        <v>2</v>
      </c>
      <c r="AJ1637" s="65"/>
      <c r="AL1637" s="461">
        <f>SUM(F1637,H1637,J1637,L1637,N1637,P1637,T1637,V1637,X1637,Z1637,AB1637,AD1637)</f>
        <v>0</v>
      </c>
      <c r="AM1637" s="462">
        <f>AL1637-AH1637</f>
        <v>0</v>
      </c>
      <c r="AO1637" s="692"/>
      <c r="AP1637" s="692"/>
      <c r="AV1637" s="56"/>
    </row>
    <row r="1638" spans="1:48" ht="13.5" customHeight="1" outlineLevel="2" thickBot="1">
      <c r="B1638" s="82"/>
      <c r="C1638" s="1234"/>
      <c r="D1638" s="1234"/>
      <c r="E1638" s="84" t="str">
        <f>'Terms and Turnovers'!$AD$12</f>
        <v>ACCESSORIES</v>
      </c>
      <c r="F1638" s="120">
        <f>$R1638*G1638</f>
        <v>0</v>
      </c>
      <c r="G1638" s="723"/>
      <c r="H1638" s="120">
        <f>$R1638*I1638</f>
        <v>0</v>
      </c>
      <c r="I1638" s="69">
        <v>0</v>
      </c>
      <c r="J1638" s="120">
        <f>$R1638*K1638</f>
        <v>0</v>
      </c>
      <c r="K1638" s="69">
        <v>0.5</v>
      </c>
      <c r="L1638" s="120">
        <f>$R1638*M1638</f>
        <v>0</v>
      </c>
      <c r="M1638" s="69">
        <v>0.5</v>
      </c>
      <c r="N1638" s="315">
        <f>$R1638*O1638</f>
        <v>0</v>
      </c>
      <c r="O1638" s="69">
        <v>0</v>
      </c>
      <c r="P1638" s="120">
        <f>$R1638*Q1638</f>
        <v>0</v>
      </c>
      <c r="Q1638" s="69">
        <v>0</v>
      </c>
      <c r="R1638" s="88">
        <f>'Terms and Turnovers'!AE158</f>
        <v>0</v>
      </c>
      <c r="S1638" s="161">
        <f>SUM(G1638,I1638,K1638,M1638,O1638,Q1638)</f>
        <v>1</v>
      </c>
      <c r="T1638" s="120">
        <f>$AF1638*U1638</f>
        <v>0</v>
      </c>
      <c r="U1638" s="723">
        <v>0</v>
      </c>
      <c r="V1638" s="120">
        <f>$AF1638*W1638</f>
        <v>0</v>
      </c>
      <c r="W1638" s="69">
        <v>0.5</v>
      </c>
      <c r="X1638" s="120">
        <f>$AF1638*Y1638</f>
        <v>0</v>
      </c>
      <c r="Y1638" s="69">
        <v>0.5</v>
      </c>
      <c r="Z1638" s="120">
        <f>$AF1638*AA1638</f>
        <v>0</v>
      </c>
      <c r="AA1638" s="69">
        <v>0</v>
      </c>
      <c r="AB1638" s="315">
        <f>$AF1638*AC1638</f>
        <v>0</v>
      </c>
      <c r="AC1638" s="69">
        <v>0</v>
      </c>
      <c r="AD1638" s="120">
        <f>$AF1638*AE1638</f>
        <v>0</v>
      </c>
      <c r="AE1638" s="69">
        <v>0</v>
      </c>
      <c r="AF1638" s="88">
        <f>'Terms and Turnovers'!AJ158</f>
        <v>0</v>
      </c>
      <c r="AG1638" s="161">
        <f>SUM(U1638,W1638,Y1638,AA1638,AC1638,AE1638)</f>
        <v>1</v>
      </c>
      <c r="AH1638" s="158">
        <f>SUM(R1638,AF1638)</f>
        <v>0</v>
      </c>
      <c r="AI1638" s="134">
        <f>S1638+AG1638</f>
        <v>2</v>
      </c>
      <c r="AJ1638" s="65"/>
      <c r="AL1638" s="461">
        <f>SUM(F1638,H1638,J1638,L1638,N1638,P1638,T1638,V1638,X1638,Z1638,AB1638,AD1638)</f>
        <v>0</v>
      </c>
      <c r="AM1638" s="462">
        <f>AL1638-AH1638</f>
        <v>0</v>
      </c>
      <c r="AO1638" s="692"/>
      <c r="AP1638" s="692"/>
      <c r="AV1638" s="56"/>
    </row>
    <row r="1639" spans="1:48" ht="13.5" customHeight="1" outlineLevel="2" thickBot="1">
      <c r="B1639" s="82"/>
      <c r="C1639" s="1234"/>
      <c r="D1639" s="1234"/>
      <c r="E1639" s="84">
        <f>'Terms and Turnovers'!$AN$12</f>
        <v>0</v>
      </c>
      <c r="F1639" s="120">
        <f>$R1639*G1639</f>
        <v>0</v>
      </c>
      <c r="G1639" s="723"/>
      <c r="H1639" s="120">
        <f>$R1639*I1639</f>
        <v>0</v>
      </c>
      <c r="I1639" s="69">
        <v>0</v>
      </c>
      <c r="J1639" s="120">
        <f>$R1639*K1639</f>
        <v>0</v>
      </c>
      <c r="K1639" s="69">
        <v>0.3</v>
      </c>
      <c r="L1639" s="120">
        <f>$R1639*M1639</f>
        <v>0</v>
      </c>
      <c r="M1639" s="69">
        <v>0.4</v>
      </c>
      <c r="N1639" s="315">
        <f>$R1639*O1639</f>
        <v>0</v>
      </c>
      <c r="O1639" s="69">
        <v>0.3</v>
      </c>
      <c r="P1639" s="120">
        <f>$R1639*Q1639</f>
        <v>0</v>
      </c>
      <c r="Q1639" s="69">
        <v>0</v>
      </c>
      <c r="R1639" s="88">
        <f>'Terms and Turnovers'!AO158</f>
        <v>0</v>
      </c>
      <c r="S1639" s="161">
        <f>SUM(G1639,I1639,K1639,M1639,O1639,Q1639)</f>
        <v>1</v>
      </c>
      <c r="T1639" s="120">
        <f>$AF1639*U1639</f>
        <v>0</v>
      </c>
      <c r="U1639" s="723">
        <v>0</v>
      </c>
      <c r="V1639" s="120">
        <f>$AF1639*W1639</f>
        <v>0</v>
      </c>
      <c r="W1639" s="69">
        <v>0.4</v>
      </c>
      <c r="X1639" s="120">
        <f>$AF1639*Y1639</f>
        <v>0</v>
      </c>
      <c r="Y1639" s="69">
        <v>0.4</v>
      </c>
      <c r="Z1639" s="120">
        <f>$AF1639*AA1639</f>
        <v>0</v>
      </c>
      <c r="AA1639" s="69">
        <v>0.2</v>
      </c>
      <c r="AB1639" s="315">
        <f>$AF1639*AC1639</f>
        <v>0</v>
      </c>
      <c r="AC1639" s="69">
        <v>0</v>
      </c>
      <c r="AD1639" s="120">
        <f>$AF1639*AE1639</f>
        <v>0</v>
      </c>
      <c r="AE1639" s="69">
        <v>0</v>
      </c>
      <c r="AF1639" s="88">
        <f>'Terms and Turnovers'!AT158</f>
        <v>0</v>
      </c>
      <c r="AG1639" s="161">
        <f>SUM(U1639,W1639,Y1639,AA1639,AC1639,AE1639)</f>
        <v>1</v>
      </c>
      <c r="AH1639" s="158">
        <f>SUM(R1639,AF1639)</f>
        <v>0</v>
      </c>
      <c r="AI1639" s="134">
        <f>S1639+AG1639</f>
        <v>2</v>
      </c>
      <c r="AJ1639" s="65"/>
      <c r="AL1639" s="461">
        <f>SUM(F1639,H1639,J1639,L1639,N1639,P1639,T1639,V1639,X1639,Z1639,AB1639,AD1639)</f>
        <v>0</v>
      </c>
      <c r="AM1639" s="462">
        <f>AL1639-AH1639</f>
        <v>0</v>
      </c>
      <c r="AO1639" s="692"/>
      <c r="AP1639" s="692"/>
      <c r="AV1639" s="56"/>
    </row>
    <row r="1640" spans="1:48" ht="13.5" customHeight="1" outlineLevel="2" thickBot="1">
      <c r="B1640" s="82"/>
      <c r="C1640" s="1235"/>
      <c r="D1640" s="1235"/>
      <c r="E1640" s="85">
        <f>'Terms and Turnovers'!$AX$12</f>
        <v>0</v>
      </c>
      <c r="F1640" s="121">
        <f>$R1640*G1640</f>
        <v>0</v>
      </c>
      <c r="G1640" s="72"/>
      <c r="H1640" s="121">
        <f>$R1640*I1640</f>
        <v>0</v>
      </c>
      <c r="I1640" s="69">
        <v>0</v>
      </c>
      <c r="J1640" s="121">
        <f>$R1640*K1640</f>
        <v>0</v>
      </c>
      <c r="K1640" s="69">
        <v>0.3</v>
      </c>
      <c r="L1640" s="121">
        <f>$R1640*M1640</f>
        <v>0</v>
      </c>
      <c r="M1640" s="69">
        <v>0.4</v>
      </c>
      <c r="N1640" s="316">
        <f>$R1640*O1640</f>
        <v>0</v>
      </c>
      <c r="O1640" s="69">
        <v>0.3</v>
      </c>
      <c r="P1640" s="121">
        <f>$R1640*Q1640</f>
        <v>0</v>
      </c>
      <c r="Q1640" s="69">
        <v>0</v>
      </c>
      <c r="R1640" s="89">
        <f>'Terms and Turnovers'!AY158</f>
        <v>0</v>
      </c>
      <c r="S1640" s="162">
        <f>SUM(G1640,I1640,K1640,M1640,O1640,Q1640)</f>
        <v>1</v>
      </c>
      <c r="T1640" s="121">
        <f>$AF1640*U1640</f>
        <v>0</v>
      </c>
      <c r="U1640" s="72">
        <v>0</v>
      </c>
      <c r="V1640" s="121">
        <f>$AF1640*W1640</f>
        <v>0</v>
      </c>
      <c r="W1640" s="69">
        <v>0.4</v>
      </c>
      <c r="X1640" s="121">
        <f>$AF1640*Y1640</f>
        <v>0</v>
      </c>
      <c r="Y1640" s="69">
        <v>0.4</v>
      </c>
      <c r="Z1640" s="121">
        <f>$AF1640*AA1640</f>
        <v>0</v>
      </c>
      <c r="AA1640" s="69">
        <v>0.2</v>
      </c>
      <c r="AB1640" s="316">
        <f>$AF1640*AC1640</f>
        <v>0</v>
      </c>
      <c r="AC1640" s="69">
        <v>0</v>
      </c>
      <c r="AD1640" s="121">
        <f>$AF1640*AE1640</f>
        <v>0</v>
      </c>
      <c r="AE1640" s="69">
        <v>0</v>
      </c>
      <c r="AF1640" s="89">
        <f>'Terms and Turnovers'!BD158</f>
        <v>0</v>
      </c>
      <c r="AG1640" s="162">
        <f>SUM(U1640,W1640,Y1640,AA1640,AC1640,AE1640)</f>
        <v>1</v>
      </c>
      <c r="AH1640" s="159">
        <f>SUM(R1640,AF1640)</f>
        <v>0</v>
      </c>
      <c r="AI1640" s="137">
        <f>S1640+AG1640</f>
        <v>2</v>
      </c>
      <c r="AJ1640" s="65"/>
      <c r="AL1640" s="461">
        <f>SUM(F1640,H1640,J1640,L1640,N1640,P1640,T1640,V1640,X1640,Z1640,AB1640,AD1640)</f>
        <v>0</v>
      </c>
      <c r="AM1640" s="462">
        <f>AL1640-AH1640</f>
        <v>0</v>
      </c>
      <c r="AO1640" s="692"/>
      <c r="AP1640" s="692"/>
      <c r="AV1640" s="56"/>
    </row>
    <row r="1641" spans="1:48" ht="13.5" customHeight="1" outlineLevel="2" thickBot="1">
      <c r="A1641" s="119"/>
      <c r="B1641" s="82"/>
      <c r="C1641" s="425"/>
      <c r="D1641" s="425"/>
      <c r="E1641" s="426"/>
      <c r="F1641" s="427">
        <f>SUM(F1636:F1640)</f>
        <v>0</v>
      </c>
      <c r="G1641" s="428"/>
      <c r="H1641" s="427">
        <f>SUM(H1636:H1640)</f>
        <v>0</v>
      </c>
      <c r="I1641" s="69"/>
      <c r="J1641" s="427">
        <f>SUM(J1636:J1640)</f>
        <v>0</v>
      </c>
      <c r="K1641" s="69"/>
      <c r="L1641" s="427">
        <f>SUM(L1636:L1640)</f>
        <v>0</v>
      </c>
      <c r="M1641" s="69"/>
      <c r="N1641" s="427">
        <f>SUM(N1636:N1640)</f>
        <v>0</v>
      </c>
      <c r="O1641" s="69"/>
      <c r="P1641" s="427">
        <f>SUM(P1636:P1640)</f>
        <v>0</v>
      </c>
      <c r="Q1641" s="69"/>
      <c r="R1641" s="429"/>
      <c r="S1641" s="430"/>
      <c r="T1641" s="427">
        <f>SUM(T1636:T1640)</f>
        <v>0</v>
      </c>
      <c r="U1641" s="428"/>
      <c r="V1641" s="427">
        <f>SUM(V1636:V1640)</f>
        <v>0</v>
      </c>
      <c r="W1641" s="69"/>
      <c r="X1641" s="427">
        <f>SUM(X1636:X1640)</f>
        <v>0</v>
      </c>
      <c r="Y1641" s="69"/>
      <c r="Z1641" s="427">
        <f>SUM(Z1636:Z1640)</f>
        <v>0</v>
      </c>
      <c r="AA1641" s="69"/>
      <c r="AB1641" s="427">
        <f>SUM(AB1636:AB1640)</f>
        <v>0</v>
      </c>
      <c r="AC1641" s="69"/>
      <c r="AD1641" s="427">
        <f>SUM(AD1636:AD1640)</f>
        <v>0</v>
      </c>
      <c r="AE1641" s="69"/>
      <c r="AF1641" s="429"/>
      <c r="AG1641" s="430"/>
      <c r="AH1641" s="431"/>
      <c r="AI1641" s="432"/>
      <c r="AJ1641" s="65"/>
      <c r="AO1641" s="692"/>
      <c r="AP1641" s="692"/>
      <c r="AV1641" s="56"/>
    </row>
    <row r="1642" spans="1:48" ht="13.5" customHeight="1" outlineLevel="2" thickBot="1">
      <c r="A1642" s="119"/>
      <c r="B1642" s="82"/>
      <c r="C1642" s="433" t="s">
        <v>484</v>
      </c>
      <c r="D1642" s="433" t="s">
        <v>464</v>
      </c>
      <c r="E1642" s="426"/>
      <c r="F1642" s="434">
        <f>AN1642</f>
        <v>0</v>
      </c>
      <c r="G1642" s="428"/>
      <c r="H1642" s="434">
        <f>H1641</f>
        <v>0</v>
      </c>
      <c r="I1642" s="69"/>
      <c r="J1642" s="434">
        <f>J1641</f>
        <v>0</v>
      </c>
      <c r="K1642" s="69"/>
      <c r="L1642" s="434">
        <f>L1641</f>
        <v>0</v>
      </c>
      <c r="M1642" s="69"/>
      <c r="N1642" s="434">
        <f>N1641-AO1642</f>
        <v>0</v>
      </c>
      <c r="O1642" s="69"/>
      <c r="P1642" s="434">
        <f>P1641</f>
        <v>0</v>
      </c>
      <c r="Q1642" s="69"/>
      <c r="R1642" s="429"/>
      <c r="S1642" s="430"/>
      <c r="T1642" s="434">
        <f>AO1642</f>
        <v>0</v>
      </c>
      <c r="U1642" s="428">
        <f>Q1641</f>
        <v>0</v>
      </c>
      <c r="V1642" s="434">
        <f>V1641</f>
        <v>0</v>
      </c>
      <c r="W1642" s="69">
        <f>S1641</f>
        <v>0</v>
      </c>
      <c r="X1642" s="434">
        <f>X1641</f>
        <v>0</v>
      </c>
      <c r="Y1642" s="69">
        <f>U1641</f>
        <v>0</v>
      </c>
      <c r="Z1642" s="434">
        <f>Z1641-AN1642</f>
        <v>0</v>
      </c>
      <c r="AA1642" s="69">
        <f>W1641</f>
        <v>0</v>
      </c>
      <c r="AB1642" s="434">
        <f>AB1641</f>
        <v>0</v>
      </c>
      <c r="AC1642" s="69">
        <f>Y1641</f>
        <v>0</v>
      </c>
      <c r="AD1642" s="434">
        <f>AD1641</f>
        <v>0</v>
      </c>
      <c r="AE1642" s="69"/>
      <c r="AF1642" s="429"/>
      <c r="AG1642" s="430"/>
      <c r="AH1642" s="431"/>
      <c r="AI1642" s="432"/>
      <c r="AJ1642" s="65"/>
      <c r="AN1642" s="695">
        <f>SUM(AF1636:AF1640)*AQ1642</f>
        <v>0</v>
      </c>
      <c r="AO1642" s="742">
        <f>SUM(R1636:R1640)*AQ1642</f>
        <v>0</v>
      </c>
      <c r="AP1642" s="742"/>
      <c r="AQ1642" s="693">
        <v>0.15</v>
      </c>
      <c r="AS1642" s="716">
        <f>SUM(AL1636:AL1640)</f>
        <v>0</v>
      </c>
      <c r="AT1642" s="461">
        <f>F1642+H1642+J1642+L1642+N1642+P1642+T1642+V1642+X1642+Z1642+AB1642+AD1642</f>
        <v>0</v>
      </c>
      <c r="AU1642" s="745">
        <f>AT1642-AS1642</f>
        <v>0</v>
      </c>
      <c r="AV1642" s="56"/>
    </row>
    <row r="1643" spans="1:48" ht="13.5" customHeight="1" outlineLevel="2" thickBot="1">
      <c r="B1643" s="82">
        <f>B1636+1</f>
        <v>28</v>
      </c>
      <c r="C1643" s="1233">
        <f>C202</f>
        <v>0</v>
      </c>
      <c r="D1643" s="1233">
        <f>D202</f>
        <v>0</v>
      </c>
      <c r="E1643" s="83" t="str">
        <f>'Terms and Turnovers'!$J$12</f>
        <v>FLIP-FLOPS</v>
      </c>
      <c r="F1643" s="118">
        <f>$R1643*G1643</f>
        <v>0</v>
      </c>
      <c r="G1643" s="69"/>
      <c r="H1643" s="314">
        <f>$R1643*I1643</f>
        <v>0</v>
      </c>
      <c r="I1643" s="69">
        <v>0</v>
      </c>
      <c r="J1643" s="118">
        <f>$R1643*K1643</f>
        <v>0</v>
      </c>
      <c r="K1643" s="69">
        <v>0.3</v>
      </c>
      <c r="L1643" s="314">
        <f>$R1643*M1643</f>
        <v>0</v>
      </c>
      <c r="M1643" s="69">
        <v>0.45</v>
      </c>
      <c r="N1643" s="314">
        <f>$R1643*O1643</f>
        <v>0</v>
      </c>
      <c r="O1643" s="69">
        <v>0.25</v>
      </c>
      <c r="P1643" s="118">
        <f>$R1643*Q1643</f>
        <v>0</v>
      </c>
      <c r="Q1643" s="69">
        <v>0</v>
      </c>
      <c r="R1643" s="87">
        <f>'Terms and Turnovers'!K159</f>
        <v>0</v>
      </c>
      <c r="S1643" s="160">
        <f>SUM(G1643,I1643,K1643,M1643,O1643,Q1643)</f>
        <v>1</v>
      </c>
      <c r="T1643" s="118">
        <f>$AF1643*U1643</f>
        <v>0</v>
      </c>
      <c r="U1643" s="69">
        <v>0</v>
      </c>
      <c r="V1643" s="314">
        <f>$AF1643*W1643</f>
        <v>0</v>
      </c>
      <c r="W1643" s="69">
        <v>0.4</v>
      </c>
      <c r="X1643" s="118">
        <f>$AF1643*Y1643</f>
        <v>0</v>
      </c>
      <c r="Y1643" s="69">
        <v>0.4</v>
      </c>
      <c r="Z1643" s="314">
        <f>$AF1643*AA1643</f>
        <v>0</v>
      </c>
      <c r="AA1643" s="69">
        <v>0.2</v>
      </c>
      <c r="AB1643" s="314">
        <f>$AF1643*AC1643</f>
        <v>0</v>
      </c>
      <c r="AC1643" s="69">
        <v>0</v>
      </c>
      <c r="AD1643" s="118">
        <f>$AF1643*AE1643</f>
        <v>0</v>
      </c>
      <c r="AE1643" s="69">
        <v>0</v>
      </c>
      <c r="AF1643" s="87">
        <f>'Terms and Turnovers'!P159</f>
        <v>0</v>
      </c>
      <c r="AG1643" s="160">
        <f>SUM(U1643,W1643,Y1643,AA1643,AC1643,AE1643)</f>
        <v>1</v>
      </c>
      <c r="AH1643" s="157">
        <f>SUM(R1643,AF1643)</f>
        <v>0</v>
      </c>
      <c r="AI1643" s="131">
        <f>S1643+AG1643</f>
        <v>2</v>
      </c>
      <c r="AJ1643" s="65"/>
      <c r="AL1643" s="461">
        <f>SUM(F1643,H1643,J1643,L1643,N1643,P1643,T1643,V1643,X1643,Z1643,AB1643,AD1643)</f>
        <v>0</v>
      </c>
      <c r="AM1643" s="462">
        <f>AL1643-AH1643</f>
        <v>0</v>
      </c>
      <c r="AO1643" s="692"/>
      <c r="AP1643" s="692"/>
      <c r="AV1643" s="56"/>
    </row>
    <row r="1644" spans="1:48" ht="13.5" customHeight="1" outlineLevel="2" thickBot="1">
      <c r="B1644" s="82"/>
      <c r="C1644" s="1234"/>
      <c r="D1644" s="1234"/>
      <c r="E1644" s="84" t="str">
        <f>'Terms and Turnovers'!$T$12</f>
        <v>ORIGINALS</v>
      </c>
      <c r="F1644" s="120">
        <f>$R1644*G1644</f>
        <v>0</v>
      </c>
      <c r="G1644" s="723"/>
      <c r="H1644" s="120">
        <f>$R1644*I1644</f>
        <v>0</v>
      </c>
      <c r="I1644" s="69">
        <v>0</v>
      </c>
      <c r="J1644" s="120">
        <f>$R1644*K1644</f>
        <v>0</v>
      </c>
      <c r="K1644" s="69">
        <v>0.3</v>
      </c>
      <c r="L1644" s="120">
        <f>$R1644*M1644</f>
        <v>0</v>
      </c>
      <c r="M1644" s="69">
        <v>0.45</v>
      </c>
      <c r="N1644" s="315">
        <f>$R1644*O1644</f>
        <v>0</v>
      </c>
      <c r="O1644" s="69">
        <v>0.25</v>
      </c>
      <c r="P1644" s="120">
        <f>$R1644*Q1644</f>
        <v>0</v>
      </c>
      <c r="Q1644" s="69">
        <v>0</v>
      </c>
      <c r="R1644" s="88">
        <f>'Terms and Turnovers'!U159</f>
        <v>0</v>
      </c>
      <c r="S1644" s="161">
        <f>SUM(G1644,I1644,K1644,M1644,O1644,Q1644)</f>
        <v>1</v>
      </c>
      <c r="T1644" s="120">
        <f>$AF1644*U1644</f>
        <v>0</v>
      </c>
      <c r="U1644" s="723">
        <v>0</v>
      </c>
      <c r="V1644" s="120">
        <f>$AF1644*W1644</f>
        <v>0</v>
      </c>
      <c r="W1644" s="69">
        <v>0.5</v>
      </c>
      <c r="X1644" s="120">
        <f>$AF1644*Y1644</f>
        <v>0</v>
      </c>
      <c r="Y1644" s="69">
        <v>0.5</v>
      </c>
      <c r="Z1644" s="120">
        <f>$AF1644*AA1644</f>
        <v>0</v>
      </c>
      <c r="AA1644" s="69">
        <v>0</v>
      </c>
      <c r="AB1644" s="315">
        <f>$AF1644*AC1644</f>
        <v>0</v>
      </c>
      <c r="AC1644" s="69">
        <v>0</v>
      </c>
      <c r="AD1644" s="120">
        <f>$AF1644*AE1644</f>
        <v>0</v>
      </c>
      <c r="AE1644" s="69">
        <v>0</v>
      </c>
      <c r="AF1644" s="88">
        <f>'Terms and Turnovers'!Z159</f>
        <v>0</v>
      </c>
      <c r="AG1644" s="161">
        <f>SUM(U1644,W1644,Y1644,AA1644,AC1644,AE1644)</f>
        <v>1</v>
      </c>
      <c r="AH1644" s="158">
        <f>SUM(R1644,AF1644)</f>
        <v>0</v>
      </c>
      <c r="AI1644" s="134">
        <f>S1644+AG1644</f>
        <v>2</v>
      </c>
      <c r="AJ1644" s="65"/>
      <c r="AL1644" s="461">
        <f>SUM(F1644,H1644,J1644,L1644,N1644,P1644,T1644,V1644,X1644,Z1644,AB1644,AD1644)</f>
        <v>0</v>
      </c>
      <c r="AM1644" s="462">
        <f>AL1644-AH1644</f>
        <v>0</v>
      </c>
      <c r="AO1644" s="692"/>
      <c r="AP1644" s="692"/>
      <c r="AV1644" s="56"/>
    </row>
    <row r="1645" spans="1:48" ht="13.5" customHeight="1" outlineLevel="2" thickBot="1">
      <c r="B1645" s="82"/>
      <c r="C1645" s="1234"/>
      <c r="D1645" s="1234"/>
      <c r="E1645" s="84" t="str">
        <f>'Terms and Turnovers'!$AD$12</f>
        <v>ACCESSORIES</v>
      </c>
      <c r="F1645" s="120">
        <f>$R1645*G1645</f>
        <v>0</v>
      </c>
      <c r="G1645" s="723"/>
      <c r="H1645" s="120">
        <f>$R1645*I1645</f>
        <v>0</v>
      </c>
      <c r="I1645" s="69">
        <v>0</v>
      </c>
      <c r="J1645" s="120">
        <f>$R1645*K1645</f>
        <v>0</v>
      </c>
      <c r="K1645" s="69">
        <v>0.3</v>
      </c>
      <c r="L1645" s="120">
        <f>$R1645*M1645</f>
        <v>0</v>
      </c>
      <c r="M1645" s="69">
        <v>0.45</v>
      </c>
      <c r="N1645" s="315">
        <f>$R1645*O1645</f>
        <v>0</v>
      </c>
      <c r="O1645" s="69">
        <v>0.25</v>
      </c>
      <c r="P1645" s="120">
        <f>$R1645*Q1645</f>
        <v>0</v>
      </c>
      <c r="Q1645" s="69">
        <v>0</v>
      </c>
      <c r="R1645" s="88">
        <f>'Terms and Turnovers'!AE159</f>
        <v>0</v>
      </c>
      <c r="S1645" s="161">
        <f>SUM(G1645,I1645,K1645,M1645,O1645,Q1645)</f>
        <v>1</v>
      </c>
      <c r="T1645" s="120">
        <f>$AF1645*U1645</f>
        <v>0</v>
      </c>
      <c r="U1645" s="723">
        <v>0</v>
      </c>
      <c r="V1645" s="120">
        <f>$AF1645*W1645</f>
        <v>0</v>
      </c>
      <c r="W1645" s="69">
        <v>0.5</v>
      </c>
      <c r="X1645" s="120">
        <f>$AF1645*Y1645</f>
        <v>0</v>
      </c>
      <c r="Y1645" s="69">
        <v>0.5</v>
      </c>
      <c r="Z1645" s="120">
        <f>$AF1645*AA1645</f>
        <v>0</v>
      </c>
      <c r="AA1645" s="69">
        <v>0</v>
      </c>
      <c r="AB1645" s="315">
        <f>$AF1645*AC1645</f>
        <v>0</v>
      </c>
      <c r="AC1645" s="69">
        <v>0</v>
      </c>
      <c r="AD1645" s="120">
        <f>$AF1645*AE1645</f>
        <v>0</v>
      </c>
      <c r="AE1645" s="69">
        <v>0</v>
      </c>
      <c r="AF1645" s="88">
        <f>'Terms and Turnovers'!AJ159</f>
        <v>0</v>
      </c>
      <c r="AG1645" s="161">
        <f>SUM(U1645,W1645,Y1645,AA1645,AC1645,AE1645)</f>
        <v>1</v>
      </c>
      <c r="AH1645" s="158">
        <f>SUM(R1645,AF1645)</f>
        <v>0</v>
      </c>
      <c r="AI1645" s="134">
        <f>S1645+AG1645</f>
        <v>2</v>
      </c>
      <c r="AJ1645" s="65"/>
      <c r="AL1645" s="461">
        <f>SUM(F1645,H1645,J1645,L1645,N1645,P1645,T1645,V1645,X1645,Z1645,AB1645,AD1645)</f>
        <v>0</v>
      </c>
      <c r="AM1645" s="462">
        <f>AL1645-AH1645</f>
        <v>0</v>
      </c>
      <c r="AO1645" s="692"/>
      <c r="AP1645" s="692"/>
      <c r="AV1645" s="56"/>
    </row>
    <row r="1646" spans="1:48" ht="13.5" customHeight="1" outlineLevel="2" thickBot="1">
      <c r="B1646" s="82"/>
      <c r="C1646" s="1234"/>
      <c r="D1646" s="1234"/>
      <c r="E1646" s="84">
        <f>'Terms and Turnovers'!$AN$12</f>
        <v>0</v>
      </c>
      <c r="F1646" s="120">
        <f>$R1646*G1646</f>
        <v>0</v>
      </c>
      <c r="G1646" s="723"/>
      <c r="H1646" s="120">
        <f>$R1646*I1646</f>
        <v>0</v>
      </c>
      <c r="I1646" s="69">
        <v>0</v>
      </c>
      <c r="J1646" s="120">
        <f>$R1646*K1646</f>
        <v>0</v>
      </c>
      <c r="K1646" s="69">
        <v>0.3</v>
      </c>
      <c r="L1646" s="120">
        <f>$R1646*M1646</f>
        <v>0</v>
      </c>
      <c r="M1646" s="69">
        <v>0.45</v>
      </c>
      <c r="N1646" s="315">
        <f>$R1646*O1646</f>
        <v>0</v>
      </c>
      <c r="O1646" s="69">
        <v>0.25</v>
      </c>
      <c r="P1646" s="120">
        <f>$R1646*Q1646</f>
        <v>0</v>
      </c>
      <c r="Q1646" s="69">
        <v>0</v>
      </c>
      <c r="R1646" s="88">
        <f>'Terms and Turnovers'!AO159</f>
        <v>0</v>
      </c>
      <c r="S1646" s="161">
        <f>SUM(G1646,I1646,K1646,M1646,O1646,Q1646)</f>
        <v>1</v>
      </c>
      <c r="T1646" s="120">
        <f>$AF1646*U1646</f>
        <v>0</v>
      </c>
      <c r="U1646" s="723">
        <v>0</v>
      </c>
      <c r="V1646" s="120">
        <f>$AF1646*W1646</f>
        <v>0</v>
      </c>
      <c r="W1646" s="69">
        <v>0.4</v>
      </c>
      <c r="X1646" s="120">
        <f>$AF1646*Y1646</f>
        <v>0</v>
      </c>
      <c r="Y1646" s="69">
        <v>0.4</v>
      </c>
      <c r="Z1646" s="120">
        <f>$AF1646*AA1646</f>
        <v>0</v>
      </c>
      <c r="AA1646" s="69">
        <v>0.2</v>
      </c>
      <c r="AB1646" s="315">
        <f>$AF1646*AC1646</f>
        <v>0</v>
      </c>
      <c r="AC1646" s="69">
        <v>0</v>
      </c>
      <c r="AD1646" s="120">
        <f>$AF1646*AE1646</f>
        <v>0</v>
      </c>
      <c r="AE1646" s="69">
        <v>0</v>
      </c>
      <c r="AF1646" s="88">
        <f>'Terms and Turnovers'!AT159</f>
        <v>0</v>
      </c>
      <c r="AG1646" s="161">
        <f>SUM(U1646,W1646,Y1646,AA1646,AC1646,AE1646)</f>
        <v>1</v>
      </c>
      <c r="AH1646" s="158">
        <f>SUM(R1646,AF1646)</f>
        <v>0</v>
      </c>
      <c r="AI1646" s="134">
        <f>S1646+AG1646</f>
        <v>2</v>
      </c>
      <c r="AJ1646" s="65"/>
      <c r="AL1646" s="461">
        <f>SUM(F1646,H1646,J1646,L1646,N1646,P1646,T1646,V1646,X1646,Z1646,AB1646,AD1646)</f>
        <v>0</v>
      </c>
      <c r="AM1646" s="462">
        <f>AL1646-AH1646</f>
        <v>0</v>
      </c>
      <c r="AO1646" s="692"/>
      <c r="AP1646" s="692"/>
      <c r="AV1646" s="56"/>
    </row>
    <row r="1647" spans="1:48" ht="13.5" customHeight="1" outlineLevel="2" thickBot="1">
      <c r="B1647" s="82"/>
      <c r="C1647" s="1235"/>
      <c r="D1647" s="1235"/>
      <c r="E1647" s="85">
        <f>'Terms and Turnovers'!$AX$12</f>
        <v>0</v>
      </c>
      <c r="F1647" s="121">
        <f>$R1647*G1647</f>
        <v>0</v>
      </c>
      <c r="G1647" s="72"/>
      <c r="H1647" s="121">
        <f>$R1647*I1647</f>
        <v>0</v>
      </c>
      <c r="I1647" s="69">
        <v>0</v>
      </c>
      <c r="J1647" s="121">
        <f>$R1647*K1647</f>
        <v>0</v>
      </c>
      <c r="K1647" s="69">
        <v>0.3</v>
      </c>
      <c r="L1647" s="121">
        <f>$R1647*M1647</f>
        <v>0</v>
      </c>
      <c r="M1647" s="69">
        <v>0.45</v>
      </c>
      <c r="N1647" s="316">
        <f>$R1647*O1647</f>
        <v>0</v>
      </c>
      <c r="O1647" s="69">
        <v>0.25</v>
      </c>
      <c r="P1647" s="121">
        <f>$R1647*Q1647</f>
        <v>0</v>
      </c>
      <c r="Q1647" s="69">
        <v>0</v>
      </c>
      <c r="R1647" s="89">
        <f>'Terms and Turnovers'!AY159</f>
        <v>0</v>
      </c>
      <c r="S1647" s="162">
        <f>SUM(G1647,I1647,K1647,M1647,O1647,Q1647)</f>
        <v>1</v>
      </c>
      <c r="T1647" s="121">
        <f>$AF1647*U1647</f>
        <v>0</v>
      </c>
      <c r="U1647" s="72">
        <v>0</v>
      </c>
      <c r="V1647" s="121">
        <f>$AF1647*W1647</f>
        <v>0</v>
      </c>
      <c r="W1647" s="69">
        <v>0.4</v>
      </c>
      <c r="X1647" s="121">
        <f>$AF1647*Y1647</f>
        <v>0</v>
      </c>
      <c r="Y1647" s="69">
        <v>0.4</v>
      </c>
      <c r="Z1647" s="121">
        <f>$AF1647*AA1647</f>
        <v>0</v>
      </c>
      <c r="AA1647" s="69">
        <v>0.2</v>
      </c>
      <c r="AB1647" s="316">
        <f>$AF1647*AC1647</f>
        <v>0</v>
      </c>
      <c r="AC1647" s="69">
        <v>0</v>
      </c>
      <c r="AD1647" s="121">
        <f>$AF1647*AE1647</f>
        <v>0</v>
      </c>
      <c r="AE1647" s="69">
        <v>0</v>
      </c>
      <c r="AF1647" s="89">
        <f>'Terms and Turnovers'!BD159</f>
        <v>0</v>
      </c>
      <c r="AG1647" s="162">
        <f>SUM(U1647,W1647,Y1647,AA1647,AC1647,AE1647)</f>
        <v>1</v>
      </c>
      <c r="AH1647" s="159">
        <f>SUM(R1647,AF1647)</f>
        <v>0</v>
      </c>
      <c r="AI1647" s="137">
        <f>S1647+AG1647</f>
        <v>2</v>
      </c>
      <c r="AJ1647" s="65"/>
      <c r="AL1647" s="461">
        <f>SUM(F1647,H1647,J1647,L1647,N1647,P1647,T1647,V1647,X1647,Z1647,AB1647,AD1647)</f>
        <v>0</v>
      </c>
      <c r="AM1647" s="462">
        <f>AL1647-AH1647</f>
        <v>0</v>
      </c>
      <c r="AO1647" s="692"/>
      <c r="AP1647" s="692"/>
      <c r="AV1647" s="56"/>
    </row>
    <row r="1648" spans="1:48" ht="13.5" customHeight="1" outlineLevel="2" thickBot="1">
      <c r="A1648" s="119"/>
      <c r="B1648" s="82"/>
      <c r="C1648" s="425"/>
      <c r="D1648" s="425"/>
      <c r="E1648" s="426"/>
      <c r="F1648" s="427">
        <f>SUM(F1643:F1647)</f>
        <v>0</v>
      </c>
      <c r="G1648" s="428"/>
      <c r="H1648" s="427">
        <f>SUM(H1643:H1647)</f>
        <v>0</v>
      </c>
      <c r="I1648" s="69"/>
      <c r="J1648" s="427">
        <f>SUM(J1643:J1647)</f>
        <v>0</v>
      </c>
      <c r="K1648" s="69"/>
      <c r="L1648" s="427">
        <f>SUM(L1643:L1647)</f>
        <v>0</v>
      </c>
      <c r="M1648" s="69"/>
      <c r="N1648" s="427">
        <f>SUM(N1643:N1647)</f>
        <v>0</v>
      </c>
      <c r="O1648" s="69"/>
      <c r="P1648" s="427">
        <f>SUM(P1643:P1647)</f>
        <v>0</v>
      </c>
      <c r="Q1648" s="69"/>
      <c r="R1648" s="429"/>
      <c r="S1648" s="430"/>
      <c r="T1648" s="427">
        <f>SUM(T1643:T1647)</f>
        <v>0</v>
      </c>
      <c r="U1648" s="428"/>
      <c r="V1648" s="427">
        <f>SUM(V1643:V1647)</f>
        <v>0</v>
      </c>
      <c r="W1648" s="69"/>
      <c r="X1648" s="427">
        <f>SUM(X1643:X1647)</f>
        <v>0</v>
      </c>
      <c r="Y1648" s="69"/>
      <c r="Z1648" s="427">
        <f>SUM(Z1643:Z1647)</f>
        <v>0</v>
      </c>
      <c r="AA1648" s="69"/>
      <c r="AB1648" s="427">
        <f>SUM(AB1643:AB1647)</f>
        <v>0</v>
      </c>
      <c r="AC1648" s="69"/>
      <c r="AD1648" s="427">
        <f>SUM(AD1643:AD1647)</f>
        <v>0</v>
      </c>
      <c r="AE1648" s="69"/>
      <c r="AF1648" s="429"/>
      <c r="AG1648" s="430"/>
      <c r="AH1648" s="431"/>
      <c r="AI1648" s="432"/>
      <c r="AJ1648" s="65"/>
      <c r="AO1648" s="692"/>
      <c r="AP1648" s="692"/>
      <c r="AV1648" s="56"/>
    </row>
    <row r="1649" spans="1:48" ht="13.5" customHeight="1" outlineLevel="2" thickBot="1">
      <c r="A1649" s="119"/>
      <c r="B1649" s="82"/>
      <c r="C1649" s="433" t="s">
        <v>484</v>
      </c>
      <c r="D1649" s="433" t="s">
        <v>465</v>
      </c>
      <c r="E1649" s="426"/>
      <c r="F1649" s="434">
        <f>AN1649</f>
        <v>0</v>
      </c>
      <c r="G1649" s="428"/>
      <c r="H1649" s="434">
        <f>H1648</f>
        <v>0</v>
      </c>
      <c r="I1649" s="69"/>
      <c r="J1649" s="434">
        <f>J1648</f>
        <v>0</v>
      </c>
      <c r="K1649" s="69"/>
      <c r="L1649" s="434">
        <f>L1648</f>
        <v>0</v>
      </c>
      <c r="M1649" s="69"/>
      <c r="N1649" s="434">
        <f>N1648-AO1649</f>
        <v>0</v>
      </c>
      <c r="O1649" s="69"/>
      <c r="P1649" s="434">
        <f>P1648</f>
        <v>0</v>
      </c>
      <c r="Q1649" s="69"/>
      <c r="R1649" s="429"/>
      <c r="S1649" s="430"/>
      <c r="T1649" s="434">
        <f>AO1649</f>
        <v>0</v>
      </c>
      <c r="U1649" s="428">
        <f>Q1648</f>
        <v>0</v>
      </c>
      <c r="V1649" s="434">
        <f>V1648</f>
        <v>0</v>
      </c>
      <c r="W1649" s="69">
        <f>S1648</f>
        <v>0</v>
      </c>
      <c r="X1649" s="434">
        <f>X1648</f>
        <v>0</v>
      </c>
      <c r="Y1649" s="69">
        <f>U1648</f>
        <v>0</v>
      </c>
      <c r="Z1649" s="434">
        <f>Z1648</f>
        <v>0</v>
      </c>
      <c r="AA1649" s="69">
        <f>W1648</f>
        <v>0</v>
      </c>
      <c r="AB1649" s="434">
        <f>AB1648</f>
        <v>0</v>
      </c>
      <c r="AC1649" s="69">
        <f>Y1648</f>
        <v>0</v>
      </c>
      <c r="AD1649" s="434">
        <f>AD1648</f>
        <v>0</v>
      </c>
      <c r="AE1649" s="69"/>
      <c r="AF1649" s="429"/>
      <c r="AG1649" s="430"/>
      <c r="AH1649" s="431"/>
      <c r="AI1649" s="432"/>
      <c r="AJ1649" s="65"/>
      <c r="AN1649" s="695">
        <f>SUM(AF1643:AF1647)*AQ1649</f>
        <v>0</v>
      </c>
      <c r="AO1649" s="742">
        <f>SUM(R1643:R1647)*AQ1649</f>
        <v>0</v>
      </c>
      <c r="AP1649" s="742"/>
      <c r="AQ1649" s="693">
        <v>0.15</v>
      </c>
      <c r="AS1649" s="716">
        <f>SUM(AL1643:AL1647)</f>
        <v>0</v>
      </c>
      <c r="AT1649" s="461">
        <f>F1649+H1649+J1649+L1649+N1649+P1649+T1649+V1649+X1649+Z1649+AB1649+AD1649</f>
        <v>0</v>
      </c>
      <c r="AU1649" s="745">
        <f>AT1649-AS1649</f>
        <v>0</v>
      </c>
      <c r="AV1649" s="56"/>
    </row>
    <row r="1650" spans="1:48" ht="13.5" customHeight="1" outlineLevel="2" thickBot="1">
      <c r="B1650" s="82">
        <f>B1643+1</f>
        <v>29</v>
      </c>
      <c r="C1650" s="1233">
        <f>C209</f>
        <v>0</v>
      </c>
      <c r="D1650" s="1233">
        <f>D209</f>
        <v>0</v>
      </c>
      <c r="E1650" s="83" t="str">
        <f>'Terms and Turnovers'!$J$12</f>
        <v>FLIP-FLOPS</v>
      </c>
      <c r="F1650" s="118">
        <f>$R1650*G1650</f>
        <v>0</v>
      </c>
      <c r="G1650" s="69"/>
      <c r="H1650" s="314">
        <f>$R1650*I1650</f>
        <v>0</v>
      </c>
      <c r="I1650" s="69">
        <v>0</v>
      </c>
      <c r="J1650" s="118">
        <f>$R1650*K1650</f>
        <v>0</v>
      </c>
      <c r="K1650" s="69">
        <v>0.25</v>
      </c>
      <c r="L1650" s="314">
        <f>$R1650*M1650</f>
        <v>0</v>
      </c>
      <c r="M1650" s="69">
        <v>0.4</v>
      </c>
      <c r="N1650" s="314">
        <f>$R1650*O1650</f>
        <v>0</v>
      </c>
      <c r="O1650" s="69">
        <v>0.35</v>
      </c>
      <c r="P1650" s="118">
        <f>$R1650*Q1650</f>
        <v>0</v>
      </c>
      <c r="Q1650" s="69">
        <v>0</v>
      </c>
      <c r="R1650" s="87">
        <f>'Terms and Turnovers'!K160</f>
        <v>0</v>
      </c>
      <c r="S1650" s="160">
        <f>SUM(G1650,I1650,K1650,M1650,O1650,Q1650)</f>
        <v>1</v>
      </c>
      <c r="T1650" s="118">
        <f>$AF1650*U1650</f>
        <v>0</v>
      </c>
      <c r="U1650" s="69">
        <v>0</v>
      </c>
      <c r="V1650" s="314">
        <f>$AF1650*W1650</f>
        <v>0</v>
      </c>
      <c r="W1650" s="69">
        <v>0.4</v>
      </c>
      <c r="X1650" s="118">
        <f>$AF1650*Y1650</f>
        <v>0</v>
      </c>
      <c r="Y1650" s="69">
        <v>0.6</v>
      </c>
      <c r="Z1650" s="314">
        <f>$AF1650*AA1650</f>
        <v>0</v>
      </c>
      <c r="AA1650" s="69">
        <v>0</v>
      </c>
      <c r="AB1650" s="314">
        <f>$AF1650*AC1650</f>
        <v>0</v>
      </c>
      <c r="AC1650" s="69">
        <v>0</v>
      </c>
      <c r="AD1650" s="118">
        <f>$AF1650*AE1650</f>
        <v>0</v>
      </c>
      <c r="AE1650" s="69">
        <v>0</v>
      </c>
      <c r="AF1650" s="87">
        <f>'Terms and Turnovers'!P160</f>
        <v>0</v>
      </c>
      <c r="AG1650" s="160">
        <f>SUM(U1650,W1650,Y1650,AA1650,AC1650,AE1650)</f>
        <v>1</v>
      </c>
      <c r="AH1650" s="157">
        <f>SUM(R1650,AF1650)</f>
        <v>0</v>
      </c>
      <c r="AI1650" s="131">
        <f>S1650+AG1650</f>
        <v>2</v>
      </c>
      <c r="AJ1650" s="65"/>
      <c r="AL1650" s="461">
        <f>SUM(F1650,H1650,J1650,L1650,N1650,P1650,T1650,V1650,X1650,Z1650,AB1650,AD1650)</f>
        <v>0</v>
      </c>
      <c r="AM1650" s="462">
        <f>AL1650-AH1650</f>
        <v>0</v>
      </c>
      <c r="AO1650" s="692"/>
      <c r="AP1650" s="692"/>
      <c r="AV1650" s="56"/>
    </row>
    <row r="1651" spans="1:48" ht="13.5" customHeight="1" outlineLevel="2" thickBot="1">
      <c r="B1651" s="82"/>
      <c r="C1651" s="1234"/>
      <c r="D1651" s="1234"/>
      <c r="E1651" s="84" t="str">
        <f>'Terms and Turnovers'!$T$12</f>
        <v>ORIGINALS</v>
      </c>
      <c r="F1651" s="120">
        <f>$R1651*G1651</f>
        <v>0</v>
      </c>
      <c r="G1651" s="723"/>
      <c r="H1651" s="120">
        <f>$R1651*I1651</f>
        <v>0</v>
      </c>
      <c r="I1651" s="69">
        <v>0</v>
      </c>
      <c r="J1651" s="120">
        <f>$R1651*K1651</f>
        <v>0</v>
      </c>
      <c r="K1651" s="69">
        <v>0.25</v>
      </c>
      <c r="L1651" s="120">
        <f>$R1651*M1651</f>
        <v>0</v>
      </c>
      <c r="M1651" s="69">
        <v>0.4</v>
      </c>
      <c r="N1651" s="315">
        <f>$R1651*O1651</f>
        <v>0</v>
      </c>
      <c r="O1651" s="69">
        <v>0.35</v>
      </c>
      <c r="P1651" s="120">
        <f>$R1651*Q1651</f>
        <v>0</v>
      </c>
      <c r="Q1651" s="69">
        <v>0</v>
      </c>
      <c r="R1651" s="88">
        <f>'Terms and Turnovers'!U160</f>
        <v>0</v>
      </c>
      <c r="S1651" s="161">
        <f>SUM(G1651,I1651,K1651,M1651,O1651,Q1651)</f>
        <v>1</v>
      </c>
      <c r="T1651" s="120">
        <f>$AF1651*U1651</f>
        <v>0</v>
      </c>
      <c r="U1651" s="723">
        <v>0</v>
      </c>
      <c r="V1651" s="120">
        <f>$AF1651*W1651</f>
        <v>0</v>
      </c>
      <c r="W1651" s="69">
        <v>0.5</v>
      </c>
      <c r="X1651" s="120">
        <f>$AF1651*Y1651</f>
        <v>0</v>
      </c>
      <c r="Y1651" s="69">
        <v>0.5</v>
      </c>
      <c r="Z1651" s="120">
        <f>$AF1651*AA1651</f>
        <v>0</v>
      </c>
      <c r="AA1651" s="69">
        <v>0</v>
      </c>
      <c r="AB1651" s="315">
        <f>$AF1651*AC1651</f>
        <v>0</v>
      </c>
      <c r="AC1651" s="69">
        <v>0</v>
      </c>
      <c r="AD1651" s="120">
        <f>$AF1651*AE1651</f>
        <v>0</v>
      </c>
      <c r="AE1651" s="69">
        <v>0</v>
      </c>
      <c r="AF1651" s="88">
        <f>'Terms and Turnovers'!Z160</f>
        <v>0</v>
      </c>
      <c r="AG1651" s="161">
        <f>SUM(U1651,W1651,Y1651,AA1651,AC1651,AE1651)</f>
        <v>1</v>
      </c>
      <c r="AH1651" s="158">
        <f>SUM(R1651,AF1651)</f>
        <v>0</v>
      </c>
      <c r="AI1651" s="134">
        <f>S1651+AG1651</f>
        <v>2</v>
      </c>
      <c r="AJ1651" s="65"/>
      <c r="AL1651" s="461">
        <f>SUM(F1651,H1651,J1651,L1651,N1651,P1651,T1651,V1651,X1651,Z1651,AB1651,AD1651)</f>
        <v>0</v>
      </c>
      <c r="AM1651" s="462">
        <f>AL1651-AH1651</f>
        <v>0</v>
      </c>
      <c r="AO1651" s="692"/>
      <c r="AP1651" s="692"/>
      <c r="AV1651" s="56"/>
    </row>
    <row r="1652" spans="1:48" ht="13.5" customHeight="1" outlineLevel="2" thickBot="1">
      <c r="B1652" s="82"/>
      <c r="C1652" s="1234"/>
      <c r="D1652" s="1234"/>
      <c r="E1652" s="84" t="str">
        <f>'Terms and Turnovers'!$AD$12</f>
        <v>ACCESSORIES</v>
      </c>
      <c r="F1652" s="120">
        <f>$R1652*G1652</f>
        <v>0</v>
      </c>
      <c r="G1652" s="723"/>
      <c r="H1652" s="120">
        <f>$R1652*I1652</f>
        <v>0</v>
      </c>
      <c r="I1652" s="69">
        <v>0</v>
      </c>
      <c r="J1652" s="120">
        <f>$R1652*K1652</f>
        <v>0</v>
      </c>
      <c r="K1652" s="69">
        <v>0.25</v>
      </c>
      <c r="L1652" s="120">
        <f>$R1652*M1652</f>
        <v>0</v>
      </c>
      <c r="M1652" s="69">
        <v>0.4</v>
      </c>
      <c r="N1652" s="315">
        <f>$R1652*O1652</f>
        <v>0</v>
      </c>
      <c r="O1652" s="69">
        <v>0.35</v>
      </c>
      <c r="P1652" s="120">
        <f>$R1652*Q1652</f>
        <v>0</v>
      </c>
      <c r="Q1652" s="69">
        <v>0</v>
      </c>
      <c r="R1652" s="88">
        <f>'Terms and Turnovers'!AE160</f>
        <v>0</v>
      </c>
      <c r="S1652" s="161">
        <f>SUM(G1652,I1652,K1652,M1652,O1652,Q1652)</f>
        <v>1</v>
      </c>
      <c r="T1652" s="120">
        <f>$AF1652*U1652</f>
        <v>0</v>
      </c>
      <c r="U1652" s="723">
        <v>0</v>
      </c>
      <c r="V1652" s="120">
        <f>$AF1652*W1652</f>
        <v>0</v>
      </c>
      <c r="W1652" s="69">
        <v>0.5</v>
      </c>
      <c r="X1652" s="120">
        <f>$AF1652*Y1652</f>
        <v>0</v>
      </c>
      <c r="Y1652" s="69">
        <v>0.5</v>
      </c>
      <c r="Z1652" s="120">
        <f>$AF1652*AA1652</f>
        <v>0</v>
      </c>
      <c r="AA1652" s="69">
        <v>0</v>
      </c>
      <c r="AB1652" s="315">
        <f>$AF1652*AC1652</f>
        <v>0</v>
      </c>
      <c r="AC1652" s="69">
        <v>0</v>
      </c>
      <c r="AD1652" s="120">
        <f>$AF1652*AE1652</f>
        <v>0</v>
      </c>
      <c r="AE1652" s="69">
        <v>0</v>
      </c>
      <c r="AF1652" s="88">
        <f>'Terms and Turnovers'!AJ160</f>
        <v>0</v>
      </c>
      <c r="AG1652" s="161">
        <f>SUM(U1652,W1652,Y1652,AA1652,AC1652,AE1652)</f>
        <v>1</v>
      </c>
      <c r="AH1652" s="158">
        <f>SUM(R1652,AF1652)</f>
        <v>0</v>
      </c>
      <c r="AI1652" s="134">
        <f>S1652+AG1652</f>
        <v>2</v>
      </c>
      <c r="AJ1652" s="65"/>
      <c r="AL1652" s="461">
        <f>SUM(F1652,H1652,J1652,L1652,N1652,P1652,T1652,V1652,X1652,Z1652,AB1652,AD1652)</f>
        <v>0</v>
      </c>
      <c r="AM1652" s="462">
        <f>AL1652-AH1652</f>
        <v>0</v>
      </c>
      <c r="AO1652" s="692"/>
      <c r="AP1652" s="692"/>
      <c r="AV1652" s="56"/>
    </row>
    <row r="1653" spans="1:48" ht="13.5" customHeight="1" outlineLevel="2" thickBot="1">
      <c r="B1653" s="82"/>
      <c r="C1653" s="1234"/>
      <c r="D1653" s="1234"/>
      <c r="E1653" s="84">
        <f>'Terms and Turnovers'!$AN$12</f>
        <v>0</v>
      </c>
      <c r="F1653" s="120">
        <f>$R1653*G1653</f>
        <v>0</v>
      </c>
      <c r="G1653" s="723"/>
      <c r="H1653" s="120">
        <f>$R1653*I1653</f>
        <v>0</v>
      </c>
      <c r="I1653" s="69">
        <v>0</v>
      </c>
      <c r="J1653" s="120">
        <f>$R1653*K1653</f>
        <v>0</v>
      </c>
      <c r="K1653" s="69">
        <v>0.25</v>
      </c>
      <c r="L1653" s="120">
        <f>$R1653*M1653</f>
        <v>0</v>
      </c>
      <c r="M1653" s="69">
        <v>0.4</v>
      </c>
      <c r="N1653" s="315">
        <f>$R1653*O1653</f>
        <v>0</v>
      </c>
      <c r="O1653" s="69">
        <v>0.35</v>
      </c>
      <c r="P1653" s="120">
        <f>$R1653*Q1653</f>
        <v>0</v>
      </c>
      <c r="Q1653" s="69">
        <v>0</v>
      </c>
      <c r="R1653" s="88">
        <f>'Terms and Turnovers'!AO160</f>
        <v>0</v>
      </c>
      <c r="S1653" s="161">
        <f>SUM(G1653,I1653,K1653,M1653,O1653,Q1653)</f>
        <v>1</v>
      </c>
      <c r="T1653" s="120">
        <f>$AF1653*U1653</f>
        <v>0</v>
      </c>
      <c r="U1653" s="723">
        <v>0</v>
      </c>
      <c r="V1653" s="120">
        <f>$AF1653*W1653</f>
        <v>0</v>
      </c>
      <c r="W1653" s="69">
        <v>0.4</v>
      </c>
      <c r="X1653" s="120">
        <f>$AF1653*Y1653</f>
        <v>0</v>
      </c>
      <c r="Y1653" s="69">
        <v>0.6</v>
      </c>
      <c r="Z1653" s="120">
        <f>$AF1653*AA1653</f>
        <v>0</v>
      </c>
      <c r="AA1653" s="69">
        <v>0</v>
      </c>
      <c r="AB1653" s="315">
        <f>$AF1653*AC1653</f>
        <v>0</v>
      </c>
      <c r="AC1653" s="69">
        <v>0</v>
      </c>
      <c r="AD1653" s="120">
        <f>$AF1653*AE1653</f>
        <v>0</v>
      </c>
      <c r="AE1653" s="69">
        <v>0</v>
      </c>
      <c r="AF1653" s="88">
        <f>'Terms and Turnovers'!AT160</f>
        <v>0</v>
      </c>
      <c r="AG1653" s="161">
        <f>SUM(U1653,W1653,Y1653,AA1653,AC1653,AE1653)</f>
        <v>1</v>
      </c>
      <c r="AH1653" s="158">
        <f>SUM(R1653,AF1653)</f>
        <v>0</v>
      </c>
      <c r="AI1653" s="134">
        <f>S1653+AG1653</f>
        <v>2</v>
      </c>
      <c r="AJ1653" s="65"/>
      <c r="AL1653" s="461">
        <f>SUM(F1653,H1653,J1653,L1653,N1653,P1653,T1653,V1653,X1653,Z1653,AB1653,AD1653)</f>
        <v>0</v>
      </c>
      <c r="AM1653" s="462">
        <f>AL1653-AH1653</f>
        <v>0</v>
      </c>
      <c r="AO1653" s="692"/>
      <c r="AP1653" s="692"/>
      <c r="AV1653" s="56"/>
    </row>
    <row r="1654" spans="1:48" ht="13.5" customHeight="1" outlineLevel="2" thickBot="1">
      <c r="B1654" s="82"/>
      <c r="C1654" s="1235"/>
      <c r="D1654" s="1235"/>
      <c r="E1654" s="85">
        <f>'Terms and Turnovers'!$AX$12</f>
        <v>0</v>
      </c>
      <c r="F1654" s="121">
        <f>$R1654*G1654</f>
        <v>0</v>
      </c>
      <c r="G1654" s="72"/>
      <c r="H1654" s="121">
        <f>$R1654*I1654</f>
        <v>0</v>
      </c>
      <c r="I1654" s="69">
        <v>0</v>
      </c>
      <c r="J1654" s="121">
        <f>$R1654*K1654</f>
        <v>0</v>
      </c>
      <c r="K1654" s="69">
        <v>0.25</v>
      </c>
      <c r="L1654" s="121">
        <f>$R1654*M1654</f>
        <v>0</v>
      </c>
      <c r="M1654" s="69">
        <v>0.4</v>
      </c>
      <c r="N1654" s="316">
        <f>$R1654*O1654</f>
        <v>0</v>
      </c>
      <c r="O1654" s="69">
        <v>0.35</v>
      </c>
      <c r="P1654" s="121">
        <f>$R1654*Q1654</f>
        <v>0</v>
      </c>
      <c r="Q1654" s="69">
        <v>0</v>
      </c>
      <c r="R1654" s="89">
        <f>'Terms and Turnovers'!AY160</f>
        <v>0</v>
      </c>
      <c r="S1654" s="162">
        <f>SUM(G1654,I1654,K1654,M1654,O1654,Q1654)</f>
        <v>1</v>
      </c>
      <c r="T1654" s="121">
        <f>$AF1654*U1654</f>
        <v>0</v>
      </c>
      <c r="U1654" s="72">
        <v>0</v>
      </c>
      <c r="V1654" s="121">
        <f>$AF1654*W1654</f>
        <v>0</v>
      </c>
      <c r="W1654" s="69">
        <v>0.4</v>
      </c>
      <c r="X1654" s="121">
        <f>$AF1654*Y1654</f>
        <v>0</v>
      </c>
      <c r="Y1654" s="69">
        <v>0.6</v>
      </c>
      <c r="Z1654" s="121">
        <f>$AF1654*AA1654</f>
        <v>0</v>
      </c>
      <c r="AA1654" s="69">
        <v>0</v>
      </c>
      <c r="AB1654" s="316">
        <f>$AF1654*AC1654</f>
        <v>0</v>
      </c>
      <c r="AC1654" s="69">
        <v>0</v>
      </c>
      <c r="AD1654" s="121">
        <f>$AF1654*AE1654</f>
        <v>0</v>
      </c>
      <c r="AE1654" s="69">
        <v>0</v>
      </c>
      <c r="AF1654" s="89">
        <f>'Terms and Turnovers'!BD160</f>
        <v>0</v>
      </c>
      <c r="AG1654" s="162">
        <f>SUM(U1654,W1654,Y1654,AA1654,AC1654,AE1654)</f>
        <v>1</v>
      </c>
      <c r="AH1654" s="159">
        <f>SUM(R1654,AF1654)</f>
        <v>0</v>
      </c>
      <c r="AI1654" s="137">
        <f>S1654+AG1654</f>
        <v>2</v>
      </c>
      <c r="AJ1654" s="65"/>
      <c r="AL1654" s="461">
        <f>SUM(F1654,H1654,J1654,L1654,N1654,P1654,T1654,V1654,X1654,Z1654,AB1654,AD1654)</f>
        <v>0</v>
      </c>
      <c r="AM1654" s="462">
        <f>AL1654-AH1654</f>
        <v>0</v>
      </c>
      <c r="AO1654" s="692"/>
      <c r="AP1654" s="692"/>
      <c r="AV1654" s="56"/>
    </row>
    <row r="1655" spans="1:48" ht="13.5" customHeight="1" outlineLevel="2" thickBot="1">
      <c r="A1655" s="119"/>
      <c r="B1655" s="82"/>
      <c r="C1655" s="425"/>
      <c r="D1655" s="425"/>
      <c r="E1655" s="426"/>
      <c r="F1655" s="427">
        <f>SUM(F1650:F1654)</f>
        <v>0</v>
      </c>
      <c r="G1655" s="428"/>
      <c r="H1655" s="427">
        <f>SUM(H1650:H1654)</f>
        <v>0</v>
      </c>
      <c r="I1655" s="69"/>
      <c r="J1655" s="427">
        <f>SUM(J1650:J1654)</f>
        <v>0</v>
      </c>
      <c r="K1655" s="69"/>
      <c r="L1655" s="427">
        <f>SUM(L1650:L1654)</f>
        <v>0</v>
      </c>
      <c r="M1655" s="69"/>
      <c r="N1655" s="427">
        <f>SUM(N1650:N1654)</f>
        <v>0</v>
      </c>
      <c r="O1655" s="69"/>
      <c r="P1655" s="427">
        <f>SUM(P1650:P1654)</f>
        <v>0</v>
      </c>
      <c r="Q1655" s="69"/>
      <c r="R1655" s="429"/>
      <c r="S1655" s="430"/>
      <c r="T1655" s="427">
        <f>SUM(T1650:T1654)</f>
        <v>0</v>
      </c>
      <c r="U1655" s="428"/>
      <c r="V1655" s="427">
        <f>SUM(V1650:V1654)</f>
        <v>0</v>
      </c>
      <c r="W1655" s="69"/>
      <c r="X1655" s="427">
        <f>SUM(X1650:X1654)</f>
        <v>0</v>
      </c>
      <c r="Y1655" s="69"/>
      <c r="Z1655" s="427">
        <f>SUM(Z1650:Z1654)</f>
        <v>0</v>
      </c>
      <c r="AA1655" s="69"/>
      <c r="AB1655" s="427">
        <f>SUM(AB1650:AB1654)</f>
        <v>0</v>
      </c>
      <c r="AC1655" s="69"/>
      <c r="AD1655" s="427">
        <f>SUM(AD1650:AD1654)</f>
        <v>0</v>
      </c>
      <c r="AE1655" s="69"/>
      <c r="AF1655" s="429"/>
      <c r="AG1655" s="430"/>
      <c r="AH1655" s="431"/>
      <c r="AI1655" s="432"/>
      <c r="AJ1655" s="65"/>
      <c r="AO1655" s="692"/>
      <c r="AP1655" s="692"/>
      <c r="AV1655" s="56"/>
    </row>
    <row r="1656" spans="1:48" ht="13.5" customHeight="1" outlineLevel="2" thickBot="1">
      <c r="A1656" s="119"/>
      <c r="B1656" s="82"/>
      <c r="C1656" s="433" t="s">
        <v>484</v>
      </c>
      <c r="D1656" s="433" t="s">
        <v>466</v>
      </c>
      <c r="E1656" s="426"/>
      <c r="F1656" s="434">
        <f>AN1656</f>
        <v>0</v>
      </c>
      <c r="G1656" s="428"/>
      <c r="H1656" s="434">
        <f>H1655</f>
        <v>0</v>
      </c>
      <c r="I1656" s="69"/>
      <c r="J1656" s="434">
        <f>J1655</f>
        <v>0</v>
      </c>
      <c r="K1656" s="69"/>
      <c r="L1656" s="434">
        <f>L1655</f>
        <v>0</v>
      </c>
      <c r="M1656" s="69"/>
      <c r="N1656" s="434">
        <f>N1655-AO1656</f>
        <v>0</v>
      </c>
      <c r="O1656" s="69"/>
      <c r="P1656" s="434">
        <f>P1655</f>
        <v>0</v>
      </c>
      <c r="Q1656" s="69"/>
      <c r="R1656" s="429"/>
      <c r="S1656" s="430"/>
      <c r="T1656" s="434">
        <f>AO1656</f>
        <v>0</v>
      </c>
      <c r="U1656" s="428">
        <f>Q1655</f>
        <v>0</v>
      </c>
      <c r="V1656" s="434">
        <f>V1655</f>
        <v>0</v>
      </c>
      <c r="W1656" s="69">
        <f>S1655</f>
        <v>0</v>
      </c>
      <c r="X1656" s="434">
        <f>X1655-AN1656</f>
        <v>0</v>
      </c>
      <c r="Y1656" s="69">
        <f>U1655</f>
        <v>0</v>
      </c>
      <c r="Z1656" s="434">
        <f>Z1655</f>
        <v>0</v>
      </c>
      <c r="AA1656" s="69">
        <f>W1655</f>
        <v>0</v>
      </c>
      <c r="AB1656" s="434">
        <f>AB1655</f>
        <v>0</v>
      </c>
      <c r="AC1656" s="69">
        <f>Y1655</f>
        <v>0</v>
      </c>
      <c r="AD1656" s="434">
        <f>AD1655</f>
        <v>0</v>
      </c>
      <c r="AE1656" s="69"/>
      <c r="AF1656" s="429"/>
      <c r="AG1656" s="430"/>
      <c r="AH1656" s="431"/>
      <c r="AI1656" s="432"/>
      <c r="AJ1656" s="65"/>
      <c r="AN1656" s="695">
        <f>SUM(AF1650:AF1654)*AQ1656</f>
        <v>0</v>
      </c>
      <c r="AO1656" s="742">
        <f>SUM(R1650:R1654)*AQ1656</f>
        <v>0</v>
      </c>
      <c r="AP1656" s="742"/>
      <c r="AQ1656" s="693">
        <v>0.15</v>
      </c>
      <c r="AS1656" s="716">
        <f>SUM(AL1650:AL1654)</f>
        <v>0</v>
      </c>
      <c r="AT1656" s="461">
        <f>F1656+H1656+J1656+L1656+N1656+P1656+T1656+V1656+X1656+Z1656+AB1656+AD1656</f>
        <v>0</v>
      </c>
      <c r="AU1656" s="745">
        <f>AT1656-AS1656</f>
        <v>0</v>
      </c>
      <c r="AV1656" s="56"/>
    </row>
    <row r="1657" spans="1:48" ht="13.5" customHeight="1" outlineLevel="2" thickBot="1">
      <c r="B1657" s="82">
        <f>B1650+1</f>
        <v>30</v>
      </c>
      <c r="C1657" s="1233">
        <f>C216</f>
        <v>0</v>
      </c>
      <c r="D1657" s="1233">
        <f>D216</f>
        <v>0</v>
      </c>
      <c r="E1657" s="83" t="str">
        <f>'Terms and Turnovers'!$J$12</f>
        <v>FLIP-FLOPS</v>
      </c>
      <c r="F1657" s="118">
        <f>$R1657*G1657</f>
        <v>0</v>
      </c>
      <c r="G1657" s="69"/>
      <c r="H1657" s="314">
        <f>$R1657*I1657</f>
        <v>0</v>
      </c>
      <c r="I1657" s="69">
        <v>0.35</v>
      </c>
      <c r="J1657" s="118">
        <f>$R1657*K1657</f>
        <v>0</v>
      </c>
      <c r="K1657" s="69">
        <v>0.4</v>
      </c>
      <c r="L1657" s="314">
        <f>$R1657*M1657</f>
        <v>0</v>
      </c>
      <c r="M1657" s="69">
        <v>0.25</v>
      </c>
      <c r="N1657" s="314">
        <f>$R1657*O1657</f>
        <v>0</v>
      </c>
      <c r="O1657" s="69">
        <v>0</v>
      </c>
      <c r="P1657" s="118">
        <f>$R1657*Q1657</f>
        <v>0</v>
      </c>
      <c r="Q1657" s="69">
        <v>0</v>
      </c>
      <c r="R1657" s="87">
        <f>'Terms and Turnovers'!K161</f>
        <v>0</v>
      </c>
      <c r="S1657" s="160">
        <f>SUM(G1657,I1657,K1657,M1657,O1657,Q1657)</f>
        <v>1</v>
      </c>
      <c r="T1657" s="118">
        <f>$AF1657*U1657</f>
        <v>0</v>
      </c>
      <c r="U1657" s="69">
        <v>0</v>
      </c>
      <c r="V1657" s="314">
        <f>$AF1657*W1657</f>
        <v>0</v>
      </c>
      <c r="W1657" s="69">
        <v>0.5</v>
      </c>
      <c r="X1657" s="118">
        <f>$AF1657*Y1657</f>
        <v>0</v>
      </c>
      <c r="Y1657" s="69">
        <v>0.5</v>
      </c>
      <c r="Z1657" s="314">
        <f>$AF1657*AA1657</f>
        <v>0</v>
      </c>
      <c r="AA1657" s="69">
        <v>0</v>
      </c>
      <c r="AB1657" s="314">
        <f>$AF1657*AC1657</f>
        <v>0</v>
      </c>
      <c r="AC1657" s="69">
        <v>0</v>
      </c>
      <c r="AD1657" s="118">
        <f>$AF1657*AE1657</f>
        <v>0</v>
      </c>
      <c r="AE1657" s="69">
        <v>0</v>
      </c>
      <c r="AF1657" s="87">
        <f>'Terms and Turnovers'!P161</f>
        <v>0</v>
      </c>
      <c r="AG1657" s="160">
        <f>SUM(U1657,W1657,Y1657,AA1657,AC1657,AE1657)</f>
        <v>1</v>
      </c>
      <c r="AH1657" s="157">
        <f>SUM(R1657,AF1657)</f>
        <v>0</v>
      </c>
      <c r="AI1657" s="131">
        <f>S1657+AG1657</f>
        <v>2</v>
      </c>
      <c r="AJ1657" s="65"/>
      <c r="AL1657" s="461">
        <f>SUM(F1657,H1657,J1657,L1657,N1657,P1657,T1657,V1657,X1657,Z1657,AB1657,AD1657)</f>
        <v>0</v>
      </c>
      <c r="AM1657" s="462">
        <f>AL1657-AH1657</f>
        <v>0</v>
      </c>
      <c r="AO1657" s="692"/>
      <c r="AP1657" s="692"/>
      <c r="AV1657" s="56"/>
    </row>
    <row r="1658" spans="1:48" ht="13.5" customHeight="1" outlineLevel="2" thickBot="1">
      <c r="B1658" s="82"/>
      <c r="C1658" s="1234"/>
      <c r="D1658" s="1234"/>
      <c r="E1658" s="84" t="str">
        <f>'Terms and Turnovers'!$T$12</f>
        <v>ORIGINALS</v>
      </c>
      <c r="F1658" s="120">
        <f>$R1658*G1658</f>
        <v>0</v>
      </c>
      <c r="G1658" s="723"/>
      <c r="H1658" s="120">
        <f>$R1658*I1658</f>
        <v>0</v>
      </c>
      <c r="I1658" s="69">
        <v>0.35</v>
      </c>
      <c r="J1658" s="120">
        <f>$R1658*K1658</f>
        <v>0</v>
      </c>
      <c r="K1658" s="69">
        <v>0.4</v>
      </c>
      <c r="L1658" s="120">
        <f>$R1658*M1658</f>
        <v>0</v>
      </c>
      <c r="M1658" s="69">
        <v>0.25</v>
      </c>
      <c r="N1658" s="315">
        <f>$R1658*O1658</f>
        <v>0</v>
      </c>
      <c r="O1658" s="69">
        <v>0</v>
      </c>
      <c r="P1658" s="120">
        <f>$R1658*Q1658</f>
        <v>0</v>
      </c>
      <c r="Q1658" s="69">
        <v>0</v>
      </c>
      <c r="R1658" s="88">
        <f>'Terms and Turnovers'!U161</f>
        <v>0</v>
      </c>
      <c r="S1658" s="161">
        <f>SUM(G1658,I1658,K1658,M1658,O1658,Q1658)</f>
        <v>1</v>
      </c>
      <c r="T1658" s="120">
        <f>$AF1658*U1658</f>
        <v>0</v>
      </c>
      <c r="U1658" s="723">
        <v>0</v>
      </c>
      <c r="V1658" s="120">
        <f>$AF1658*W1658</f>
        <v>0</v>
      </c>
      <c r="W1658" s="69">
        <v>0.5</v>
      </c>
      <c r="X1658" s="120">
        <f>$AF1658*Y1658</f>
        <v>0</v>
      </c>
      <c r="Y1658" s="69">
        <v>0.5</v>
      </c>
      <c r="Z1658" s="120">
        <f>$AF1658*AA1658</f>
        <v>0</v>
      </c>
      <c r="AA1658" s="69">
        <v>0</v>
      </c>
      <c r="AB1658" s="315">
        <f>$AF1658*AC1658</f>
        <v>0</v>
      </c>
      <c r="AC1658" s="69">
        <v>0</v>
      </c>
      <c r="AD1658" s="120">
        <f>$AF1658*AE1658</f>
        <v>0</v>
      </c>
      <c r="AE1658" s="69">
        <v>0</v>
      </c>
      <c r="AF1658" s="88">
        <f>'Terms and Turnovers'!Z161</f>
        <v>0</v>
      </c>
      <c r="AG1658" s="161">
        <f>SUM(U1658,W1658,Y1658,AA1658,AC1658,AE1658)</f>
        <v>1</v>
      </c>
      <c r="AH1658" s="158">
        <f>SUM(R1658,AF1658)</f>
        <v>0</v>
      </c>
      <c r="AI1658" s="134">
        <f>S1658+AG1658</f>
        <v>2</v>
      </c>
      <c r="AJ1658" s="65"/>
      <c r="AL1658" s="461">
        <f>SUM(F1658,H1658,J1658,L1658,N1658,P1658,T1658,V1658,X1658,Z1658,AB1658,AD1658)</f>
        <v>0</v>
      </c>
      <c r="AM1658" s="462">
        <f>AL1658-AH1658</f>
        <v>0</v>
      </c>
      <c r="AO1658" s="692"/>
      <c r="AP1658" s="692"/>
      <c r="AV1658" s="56"/>
    </row>
    <row r="1659" spans="1:48" ht="13.5" customHeight="1" outlineLevel="2" thickBot="1">
      <c r="B1659" s="82"/>
      <c r="C1659" s="1234"/>
      <c r="D1659" s="1234"/>
      <c r="E1659" s="84" t="str">
        <f>'Terms and Turnovers'!$AD$12</f>
        <v>ACCESSORIES</v>
      </c>
      <c r="F1659" s="120">
        <f>$R1659*G1659</f>
        <v>0</v>
      </c>
      <c r="G1659" s="723"/>
      <c r="H1659" s="120">
        <f>$R1659*I1659</f>
        <v>0</v>
      </c>
      <c r="I1659" s="69">
        <v>0.35</v>
      </c>
      <c r="J1659" s="120">
        <f>$R1659*K1659</f>
        <v>0</v>
      </c>
      <c r="K1659" s="69">
        <v>0.4</v>
      </c>
      <c r="L1659" s="120">
        <f>$R1659*M1659</f>
        <v>0</v>
      </c>
      <c r="M1659" s="69">
        <v>0.25</v>
      </c>
      <c r="N1659" s="315">
        <f>$R1659*O1659</f>
        <v>0</v>
      </c>
      <c r="O1659" s="69">
        <v>0</v>
      </c>
      <c r="P1659" s="120">
        <f>$R1659*Q1659</f>
        <v>0</v>
      </c>
      <c r="Q1659" s="69">
        <v>0</v>
      </c>
      <c r="R1659" s="88">
        <f>'Terms and Turnovers'!AE161</f>
        <v>0</v>
      </c>
      <c r="S1659" s="161">
        <f>SUM(G1659,I1659,K1659,M1659,O1659,Q1659)</f>
        <v>1</v>
      </c>
      <c r="T1659" s="120">
        <f>$AF1659*U1659</f>
        <v>0</v>
      </c>
      <c r="U1659" s="723">
        <v>0</v>
      </c>
      <c r="V1659" s="120">
        <f>$AF1659*W1659</f>
        <v>0</v>
      </c>
      <c r="W1659" s="69">
        <v>0.5</v>
      </c>
      <c r="X1659" s="120">
        <f>$AF1659*Y1659</f>
        <v>0</v>
      </c>
      <c r="Y1659" s="69">
        <v>0.5</v>
      </c>
      <c r="Z1659" s="120">
        <f>$AF1659*AA1659</f>
        <v>0</v>
      </c>
      <c r="AA1659" s="69">
        <v>0</v>
      </c>
      <c r="AB1659" s="315">
        <f>$AF1659*AC1659</f>
        <v>0</v>
      </c>
      <c r="AC1659" s="69">
        <v>0</v>
      </c>
      <c r="AD1659" s="120">
        <f>$AF1659*AE1659</f>
        <v>0</v>
      </c>
      <c r="AE1659" s="69">
        <v>0</v>
      </c>
      <c r="AF1659" s="88">
        <f>'Terms and Turnovers'!AJ161</f>
        <v>0</v>
      </c>
      <c r="AG1659" s="161">
        <f>SUM(U1659,W1659,Y1659,AA1659,AC1659,AE1659)</f>
        <v>1</v>
      </c>
      <c r="AH1659" s="158">
        <f>SUM(R1659,AF1659)</f>
        <v>0</v>
      </c>
      <c r="AI1659" s="134">
        <f>S1659+AG1659</f>
        <v>2</v>
      </c>
      <c r="AJ1659" s="65"/>
      <c r="AL1659" s="461">
        <f>SUM(F1659,H1659,J1659,L1659,N1659,P1659,T1659,V1659,X1659,Z1659,AB1659,AD1659)</f>
        <v>0</v>
      </c>
      <c r="AM1659" s="462">
        <f>AL1659-AH1659</f>
        <v>0</v>
      </c>
      <c r="AO1659" s="692"/>
      <c r="AP1659" s="692"/>
      <c r="AV1659" s="56"/>
    </row>
    <row r="1660" spans="1:48" ht="13.5" customHeight="1" outlineLevel="2" thickBot="1">
      <c r="B1660" s="82"/>
      <c r="C1660" s="1234"/>
      <c r="D1660" s="1234"/>
      <c r="E1660" s="84">
        <f>'Terms and Turnovers'!$AN$12</f>
        <v>0</v>
      </c>
      <c r="F1660" s="120">
        <f>$R1660*G1660</f>
        <v>0</v>
      </c>
      <c r="G1660" s="723"/>
      <c r="H1660" s="120">
        <f>$R1660*I1660</f>
        <v>0</v>
      </c>
      <c r="I1660" s="69">
        <v>0.35</v>
      </c>
      <c r="J1660" s="120">
        <f>$R1660*K1660</f>
        <v>0</v>
      </c>
      <c r="K1660" s="69">
        <v>0.4</v>
      </c>
      <c r="L1660" s="120">
        <f>$R1660*M1660</f>
        <v>0</v>
      </c>
      <c r="M1660" s="69">
        <v>0.25</v>
      </c>
      <c r="N1660" s="315">
        <f>$R1660*O1660</f>
        <v>0</v>
      </c>
      <c r="O1660" s="69">
        <v>0</v>
      </c>
      <c r="P1660" s="120">
        <f>$R1660*Q1660</f>
        <v>0</v>
      </c>
      <c r="Q1660" s="69">
        <v>0</v>
      </c>
      <c r="R1660" s="88">
        <f>'Terms and Turnovers'!AO161</f>
        <v>0</v>
      </c>
      <c r="S1660" s="161">
        <f>SUM(G1660,I1660,K1660,M1660,O1660,Q1660)</f>
        <v>1</v>
      </c>
      <c r="T1660" s="120">
        <f>$AF1660*U1660</f>
        <v>0</v>
      </c>
      <c r="U1660" s="723">
        <v>0</v>
      </c>
      <c r="V1660" s="120">
        <f>$AF1660*W1660</f>
        <v>0</v>
      </c>
      <c r="W1660" s="69">
        <v>0.5</v>
      </c>
      <c r="X1660" s="120">
        <f>$AF1660*Y1660</f>
        <v>0</v>
      </c>
      <c r="Y1660" s="69">
        <v>0.5</v>
      </c>
      <c r="Z1660" s="120">
        <f>$AF1660*AA1660</f>
        <v>0</v>
      </c>
      <c r="AA1660" s="69">
        <v>0</v>
      </c>
      <c r="AB1660" s="315">
        <f>$AF1660*AC1660</f>
        <v>0</v>
      </c>
      <c r="AC1660" s="69">
        <v>0</v>
      </c>
      <c r="AD1660" s="120">
        <f>$AF1660*AE1660</f>
        <v>0</v>
      </c>
      <c r="AE1660" s="69">
        <v>0</v>
      </c>
      <c r="AF1660" s="88">
        <f>'Terms and Turnovers'!AT161</f>
        <v>0</v>
      </c>
      <c r="AG1660" s="161">
        <f>SUM(U1660,W1660,Y1660,AA1660,AC1660,AE1660)</f>
        <v>1</v>
      </c>
      <c r="AH1660" s="158">
        <f>SUM(R1660,AF1660)</f>
        <v>0</v>
      </c>
      <c r="AI1660" s="134">
        <f>S1660+AG1660</f>
        <v>2</v>
      </c>
      <c r="AJ1660" s="65"/>
      <c r="AL1660" s="461">
        <f>SUM(F1660,H1660,J1660,L1660,N1660,P1660,T1660,V1660,X1660,Z1660,AB1660,AD1660)</f>
        <v>0</v>
      </c>
      <c r="AM1660" s="462">
        <f>AL1660-AH1660</f>
        <v>0</v>
      </c>
      <c r="AO1660" s="692"/>
      <c r="AP1660" s="692"/>
      <c r="AV1660" s="56"/>
    </row>
    <row r="1661" spans="1:48" ht="13.5" customHeight="1" outlineLevel="2" thickBot="1">
      <c r="B1661" s="82"/>
      <c r="C1661" s="1235"/>
      <c r="D1661" s="1235"/>
      <c r="E1661" s="85">
        <f>'Terms and Turnovers'!$AX$12</f>
        <v>0</v>
      </c>
      <c r="F1661" s="121">
        <f>$R1661*G1661</f>
        <v>0</v>
      </c>
      <c r="G1661" s="72"/>
      <c r="H1661" s="121">
        <f>$R1661*I1661</f>
        <v>0</v>
      </c>
      <c r="I1661" s="69">
        <v>0.35</v>
      </c>
      <c r="J1661" s="121">
        <f>$R1661*K1661</f>
        <v>0</v>
      </c>
      <c r="K1661" s="69">
        <v>0.4</v>
      </c>
      <c r="L1661" s="121">
        <f>$R1661*M1661</f>
        <v>0</v>
      </c>
      <c r="M1661" s="69">
        <v>0.25</v>
      </c>
      <c r="N1661" s="316">
        <f>$R1661*O1661</f>
        <v>0</v>
      </c>
      <c r="O1661" s="69">
        <v>0</v>
      </c>
      <c r="P1661" s="121">
        <f>$R1661*Q1661</f>
        <v>0</v>
      </c>
      <c r="Q1661" s="69">
        <v>0</v>
      </c>
      <c r="R1661" s="89">
        <f>'Terms and Turnovers'!AY161</f>
        <v>0</v>
      </c>
      <c r="S1661" s="162">
        <f>SUM(G1661,I1661,K1661,M1661,O1661,Q1661)</f>
        <v>1</v>
      </c>
      <c r="T1661" s="121">
        <f>$AF1661*U1661</f>
        <v>0</v>
      </c>
      <c r="U1661" s="72">
        <v>0</v>
      </c>
      <c r="V1661" s="121">
        <f>$AF1661*W1661</f>
        <v>0</v>
      </c>
      <c r="W1661" s="69">
        <v>0.5</v>
      </c>
      <c r="X1661" s="121">
        <f>$AF1661*Y1661</f>
        <v>0</v>
      </c>
      <c r="Y1661" s="69">
        <v>0.5</v>
      </c>
      <c r="Z1661" s="121">
        <f>$AF1661*AA1661</f>
        <v>0</v>
      </c>
      <c r="AA1661" s="69">
        <v>0</v>
      </c>
      <c r="AB1661" s="316">
        <f>$AF1661*AC1661</f>
        <v>0</v>
      </c>
      <c r="AC1661" s="69">
        <v>0</v>
      </c>
      <c r="AD1661" s="121">
        <f>$AF1661*AE1661</f>
        <v>0</v>
      </c>
      <c r="AE1661" s="69">
        <v>0</v>
      </c>
      <c r="AF1661" s="89">
        <f>'Terms and Turnovers'!BD161</f>
        <v>0</v>
      </c>
      <c r="AG1661" s="162">
        <f>SUM(U1661,W1661,Y1661,AA1661,AC1661,AE1661)</f>
        <v>1</v>
      </c>
      <c r="AH1661" s="159">
        <f>SUM(R1661,AF1661)</f>
        <v>0</v>
      </c>
      <c r="AI1661" s="137">
        <f>S1661+AG1661</f>
        <v>2</v>
      </c>
      <c r="AJ1661" s="65"/>
      <c r="AL1661" s="461">
        <f>SUM(F1661,H1661,J1661,L1661,N1661,P1661,T1661,V1661,X1661,Z1661,AB1661,AD1661)</f>
        <v>0</v>
      </c>
      <c r="AM1661" s="462">
        <f>AL1661-AH1661</f>
        <v>0</v>
      </c>
      <c r="AO1661" s="692"/>
      <c r="AP1661" s="692"/>
      <c r="AV1661" s="56"/>
    </row>
    <row r="1662" spans="1:48" ht="13.5" customHeight="1" outlineLevel="2" thickBot="1">
      <c r="A1662" s="119"/>
      <c r="B1662" s="82"/>
      <c r="C1662" s="425"/>
      <c r="D1662" s="425"/>
      <c r="E1662" s="426"/>
      <c r="F1662" s="427">
        <f>SUM(F1657:F1661)</f>
        <v>0</v>
      </c>
      <c r="G1662" s="428"/>
      <c r="H1662" s="427">
        <f>SUM(H1657:H1661)</f>
        <v>0</v>
      </c>
      <c r="I1662" s="69"/>
      <c r="J1662" s="427">
        <f>SUM(J1657:J1661)</f>
        <v>0</v>
      </c>
      <c r="K1662" s="69"/>
      <c r="L1662" s="427">
        <f>SUM(L1657:L1661)</f>
        <v>0</v>
      </c>
      <c r="M1662" s="69"/>
      <c r="N1662" s="427">
        <f>SUM(N1657:N1661)</f>
        <v>0</v>
      </c>
      <c r="O1662" s="69"/>
      <c r="P1662" s="427">
        <f>SUM(P1657:P1661)</f>
        <v>0</v>
      </c>
      <c r="Q1662" s="69"/>
      <c r="R1662" s="429"/>
      <c r="S1662" s="430"/>
      <c r="T1662" s="427">
        <f>SUM(T1657:T1661)</f>
        <v>0</v>
      </c>
      <c r="U1662" s="428"/>
      <c r="V1662" s="427">
        <f>SUM(V1657:V1661)</f>
        <v>0</v>
      </c>
      <c r="W1662" s="69"/>
      <c r="X1662" s="427">
        <f>SUM(X1657:X1661)</f>
        <v>0</v>
      </c>
      <c r="Y1662" s="69"/>
      <c r="Z1662" s="427">
        <f>SUM(Z1657:Z1661)</f>
        <v>0</v>
      </c>
      <c r="AA1662" s="69"/>
      <c r="AB1662" s="427">
        <f>SUM(AB1657:AB1661)</f>
        <v>0</v>
      </c>
      <c r="AC1662" s="69"/>
      <c r="AD1662" s="427">
        <f>SUM(AD1657:AD1661)</f>
        <v>0</v>
      </c>
      <c r="AE1662" s="69"/>
      <c r="AF1662" s="429"/>
      <c r="AG1662" s="430"/>
      <c r="AH1662" s="431"/>
      <c r="AI1662" s="432"/>
      <c r="AJ1662" s="65"/>
      <c r="AO1662" s="692"/>
      <c r="AP1662" s="692"/>
      <c r="AV1662" s="56"/>
    </row>
    <row r="1663" spans="1:48" ht="13.5" customHeight="1" outlineLevel="2" thickBot="1">
      <c r="A1663" s="119"/>
      <c r="B1663" s="82"/>
      <c r="C1663" s="433" t="s">
        <v>484</v>
      </c>
      <c r="D1663" s="433" t="s">
        <v>347</v>
      </c>
      <c r="E1663" s="426"/>
      <c r="F1663" s="434">
        <f>AN1663</f>
        <v>0</v>
      </c>
      <c r="G1663" s="428"/>
      <c r="H1663" s="434">
        <f>H1662</f>
        <v>0</v>
      </c>
      <c r="I1663" s="69"/>
      <c r="J1663" s="434">
        <f>J1662</f>
        <v>0</v>
      </c>
      <c r="K1663" s="69"/>
      <c r="L1663" s="434">
        <f>L1662-AO1663</f>
        <v>0</v>
      </c>
      <c r="M1663" s="69"/>
      <c r="N1663" s="434">
        <f>N1662</f>
        <v>0</v>
      </c>
      <c r="O1663" s="69"/>
      <c r="P1663" s="434">
        <f>P1662</f>
        <v>0</v>
      </c>
      <c r="Q1663" s="69"/>
      <c r="R1663" s="429"/>
      <c r="S1663" s="430"/>
      <c r="T1663" s="434">
        <f>AO1663</f>
        <v>0</v>
      </c>
      <c r="U1663" s="428">
        <f>Q1662</f>
        <v>0</v>
      </c>
      <c r="V1663" s="434">
        <f>V1662</f>
        <v>0</v>
      </c>
      <c r="W1663" s="69">
        <f>S1662</f>
        <v>0</v>
      </c>
      <c r="X1663" s="434">
        <f>X1662</f>
        <v>0</v>
      </c>
      <c r="Y1663" s="69">
        <f>U1662</f>
        <v>0</v>
      </c>
      <c r="Z1663" s="434">
        <f>Z1662</f>
        <v>0</v>
      </c>
      <c r="AA1663" s="69">
        <f>W1662</f>
        <v>0</v>
      </c>
      <c r="AB1663" s="434">
        <f>AB1662</f>
        <v>0</v>
      </c>
      <c r="AC1663" s="69">
        <f>Y1662</f>
        <v>0</v>
      </c>
      <c r="AD1663" s="434">
        <f>AD1662</f>
        <v>0</v>
      </c>
      <c r="AE1663" s="69"/>
      <c r="AF1663" s="429"/>
      <c r="AG1663" s="430"/>
      <c r="AH1663" s="431"/>
      <c r="AI1663" s="432"/>
      <c r="AJ1663" s="65"/>
      <c r="AN1663" s="695">
        <f>SUM(AF1657:AF1661)*AQ1663</f>
        <v>0</v>
      </c>
      <c r="AO1663" s="742">
        <f>SUM(R1657:R1661)*AQ1663</f>
        <v>0</v>
      </c>
      <c r="AP1663" s="742"/>
      <c r="AQ1663" s="693">
        <v>0.1</v>
      </c>
      <c r="AS1663" s="716">
        <f>SUM(AL1657:AL1661)</f>
        <v>0</v>
      </c>
      <c r="AT1663" s="461">
        <f>F1663+H1663+J1663+L1663+N1663+P1663+T1663+V1663+X1663+Z1663+AB1663+AD1663</f>
        <v>0</v>
      </c>
      <c r="AU1663" s="745">
        <f>AT1663-AS1663</f>
        <v>0</v>
      </c>
      <c r="AV1663" s="56"/>
    </row>
    <row r="1664" spans="1:48" ht="13.5" customHeight="1" outlineLevel="2" thickBot="1">
      <c r="B1664" s="82">
        <f>B1657+1</f>
        <v>31</v>
      </c>
      <c r="C1664" s="1233">
        <f>C223</f>
        <v>0</v>
      </c>
      <c r="D1664" s="1233">
        <f>D223</f>
        <v>0</v>
      </c>
      <c r="E1664" s="83" t="str">
        <f>'Terms and Turnovers'!$J$12</f>
        <v>FLIP-FLOPS</v>
      </c>
      <c r="F1664" s="118">
        <f>$R1664*G1664</f>
        <v>0</v>
      </c>
      <c r="G1664" s="69"/>
      <c r="H1664" s="314">
        <f>$R1664*I1664</f>
        <v>0</v>
      </c>
      <c r="I1664" s="69">
        <v>0</v>
      </c>
      <c r="J1664" s="118">
        <f>$R1664*K1664</f>
        <v>0</v>
      </c>
      <c r="K1664" s="69">
        <v>0.3</v>
      </c>
      <c r="L1664" s="314">
        <f>$R1664*M1664</f>
        <v>0</v>
      </c>
      <c r="M1664" s="69">
        <v>0.4</v>
      </c>
      <c r="N1664" s="314">
        <f>$R1664*O1664</f>
        <v>0</v>
      </c>
      <c r="O1664" s="69">
        <v>0.3</v>
      </c>
      <c r="P1664" s="118">
        <f>$R1664*Q1664</f>
        <v>0</v>
      </c>
      <c r="Q1664" s="69">
        <v>0</v>
      </c>
      <c r="R1664" s="87">
        <f>'Terms and Turnovers'!K162</f>
        <v>0</v>
      </c>
      <c r="S1664" s="160">
        <f>SUM(G1664,I1664,K1664,M1664,O1664,Q1664)</f>
        <v>1</v>
      </c>
      <c r="T1664" s="118">
        <f>$AF1664*U1664</f>
        <v>0</v>
      </c>
      <c r="U1664" s="69">
        <v>0</v>
      </c>
      <c r="V1664" s="314">
        <f>$AF1664*W1664</f>
        <v>0</v>
      </c>
      <c r="W1664" s="69">
        <v>0.4</v>
      </c>
      <c r="X1664" s="118">
        <f>$AF1664*Y1664</f>
        <v>0</v>
      </c>
      <c r="Y1664" s="69">
        <v>0.4</v>
      </c>
      <c r="Z1664" s="314">
        <f>$AF1664*AA1664</f>
        <v>0</v>
      </c>
      <c r="AA1664" s="69">
        <v>0.2</v>
      </c>
      <c r="AB1664" s="314">
        <f>$AF1664*AC1664</f>
        <v>0</v>
      </c>
      <c r="AC1664" s="69">
        <v>0</v>
      </c>
      <c r="AD1664" s="118">
        <f>$AF1664*AE1664</f>
        <v>0</v>
      </c>
      <c r="AE1664" s="69">
        <v>0</v>
      </c>
      <c r="AF1664" s="87">
        <f>'Terms and Turnovers'!P162</f>
        <v>0</v>
      </c>
      <c r="AG1664" s="160">
        <f>SUM(U1664,W1664,Y1664,AA1664,AC1664,AE1664)</f>
        <v>1</v>
      </c>
      <c r="AH1664" s="157">
        <f>SUM(R1664,AF1664)</f>
        <v>0</v>
      </c>
      <c r="AI1664" s="131">
        <f>S1664+AG1664</f>
        <v>2</v>
      </c>
      <c r="AJ1664" s="65"/>
      <c r="AL1664" s="461">
        <f>SUM(F1664,H1664,J1664,L1664,N1664,P1664,T1664,V1664,X1664,Z1664,AB1664,AD1664)</f>
        <v>0</v>
      </c>
      <c r="AM1664" s="462">
        <f>AL1664-AH1664</f>
        <v>0</v>
      </c>
      <c r="AO1664" s="692"/>
      <c r="AP1664" s="692"/>
      <c r="AV1664" s="56"/>
    </row>
    <row r="1665" spans="1:48" ht="13.5" customHeight="1" outlineLevel="2" thickBot="1">
      <c r="B1665" s="82"/>
      <c r="C1665" s="1234"/>
      <c r="D1665" s="1234"/>
      <c r="E1665" s="84" t="str">
        <f>'Terms and Turnovers'!$T$12</f>
        <v>ORIGINALS</v>
      </c>
      <c r="F1665" s="120">
        <f>$R1665*G1665</f>
        <v>0</v>
      </c>
      <c r="G1665" s="723"/>
      <c r="H1665" s="120">
        <f>$R1665*I1665</f>
        <v>0</v>
      </c>
      <c r="I1665" s="69">
        <v>0</v>
      </c>
      <c r="J1665" s="120">
        <f>$R1665*K1665</f>
        <v>0</v>
      </c>
      <c r="K1665" s="69">
        <v>0.3</v>
      </c>
      <c r="L1665" s="120">
        <f>$R1665*M1665</f>
        <v>0</v>
      </c>
      <c r="M1665" s="69">
        <v>0.4</v>
      </c>
      <c r="N1665" s="315">
        <f>$R1665*O1665</f>
        <v>0</v>
      </c>
      <c r="O1665" s="69">
        <v>0.3</v>
      </c>
      <c r="P1665" s="120">
        <f>$R1665*Q1665</f>
        <v>0</v>
      </c>
      <c r="Q1665" s="69">
        <v>0</v>
      </c>
      <c r="R1665" s="88">
        <f>'Terms and Turnovers'!U162</f>
        <v>0</v>
      </c>
      <c r="S1665" s="161">
        <f>SUM(G1665,I1665,K1665,M1665,O1665,Q1665)</f>
        <v>1</v>
      </c>
      <c r="T1665" s="120">
        <f>$AF1665*U1665</f>
        <v>0</v>
      </c>
      <c r="U1665" s="723">
        <v>0</v>
      </c>
      <c r="V1665" s="120">
        <f>$AF1665*W1665</f>
        <v>0</v>
      </c>
      <c r="W1665" s="69">
        <v>0.5</v>
      </c>
      <c r="X1665" s="120">
        <f>$AF1665*Y1665</f>
        <v>0</v>
      </c>
      <c r="Y1665" s="69">
        <v>0.5</v>
      </c>
      <c r="Z1665" s="120">
        <f>$AF1665*AA1665</f>
        <v>0</v>
      </c>
      <c r="AA1665" s="69">
        <v>0</v>
      </c>
      <c r="AB1665" s="315">
        <f>$AF1665*AC1665</f>
        <v>0</v>
      </c>
      <c r="AC1665" s="69">
        <v>0</v>
      </c>
      <c r="AD1665" s="120">
        <f>$AF1665*AE1665</f>
        <v>0</v>
      </c>
      <c r="AE1665" s="69">
        <v>0</v>
      </c>
      <c r="AF1665" s="88">
        <f>'Terms and Turnovers'!Z162</f>
        <v>0</v>
      </c>
      <c r="AG1665" s="161">
        <f>SUM(U1665,W1665,Y1665,AA1665,AC1665,AE1665)</f>
        <v>1</v>
      </c>
      <c r="AH1665" s="158">
        <f>SUM(R1665,AF1665)</f>
        <v>0</v>
      </c>
      <c r="AI1665" s="134">
        <f>S1665+AG1665</f>
        <v>2</v>
      </c>
      <c r="AJ1665" s="65"/>
      <c r="AL1665" s="461">
        <f>SUM(F1665,H1665,J1665,L1665,N1665,P1665,T1665,V1665,X1665,Z1665,AB1665,AD1665)</f>
        <v>0</v>
      </c>
      <c r="AM1665" s="462">
        <f>AL1665-AH1665</f>
        <v>0</v>
      </c>
      <c r="AO1665" s="692"/>
      <c r="AP1665" s="692"/>
      <c r="AV1665" s="56"/>
    </row>
    <row r="1666" spans="1:48" ht="13.5" customHeight="1" outlineLevel="2" thickBot="1">
      <c r="B1666" s="82"/>
      <c r="C1666" s="1234"/>
      <c r="D1666" s="1234"/>
      <c r="E1666" s="84" t="str">
        <f>'Terms and Turnovers'!$AD$12</f>
        <v>ACCESSORIES</v>
      </c>
      <c r="F1666" s="120">
        <f>$R1666*G1666</f>
        <v>0</v>
      </c>
      <c r="G1666" s="723"/>
      <c r="H1666" s="120">
        <f>$R1666*I1666</f>
        <v>0</v>
      </c>
      <c r="I1666" s="69">
        <v>0</v>
      </c>
      <c r="J1666" s="120">
        <f>$R1666*K1666</f>
        <v>0</v>
      </c>
      <c r="K1666" s="69">
        <v>0.3</v>
      </c>
      <c r="L1666" s="120">
        <f>$R1666*M1666</f>
        <v>0</v>
      </c>
      <c r="M1666" s="69">
        <v>0.4</v>
      </c>
      <c r="N1666" s="315">
        <f>$R1666*O1666</f>
        <v>0</v>
      </c>
      <c r="O1666" s="69">
        <v>0.3</v>
      </c>
      <c r="P1666" s="120">
        <f>$R1666*Q1666</f>
        <v>0</v>
      </c>
      <c r="Q1666" s="69">
        <v>0</v>
      </c>
      <c r="R1666" s="88">
        <f>'Terms and Turnovers'!AE162</f>
        <v>0</v>
      </c>
      <c r="S1666" s="161">
        <f>SUM(G1666,I1666,K1666,M1666,O1666,Q1666)</f>
        <v>1</v>
      </c>
      <c r="T1666" s="120">
        <f>$AF1666*U1666</f>
        <v>0</v>
      </c>
      <c r="U1666" s="723">
        <v>0</v>
      </c>
      <c r="V1666" s="120">
        <f>$AF1666*W1666</f>
        <v>0</v>
      </c>
      <c r="W1666" s="69">
        <v>0.5</v>
      </c>
      <c r="X1666" s="120">
        <f>$AF1666*Y1666</f>
        <v>0</v>
      </c>
      <c r="Y1666" s="69">
        <v>0.5</v>
      </c>
      <c r="Z1666" s="120">
        <f>$AF1666*AA1666</f>
        <v>0</v>
      </c>
      <c r="AA1666" s="69">
        <v>0</v>
      </c>
      <c r="AB1666" s="315">
        <f>$AF1666*AC1666</f>
        <v>0</v>
      </c>
      <c r="AC1666" s="69">
        <v>0</v>
      </c>
      <c r="AD1666" s="120">
        <f>$AF1666*AE1666</f>
        <v>0</v>
      </c>
      <c r="AE1666" s="69">
        <v>0</v>
      </c>
      <c r="AF1666" s="88">
        <f>'Terms and Turnovers'!AJ162</f>
        <v>0</v>
      </c>
      <c r="AG1666" s="161">
        <f>SUM(U1666,W1666,Y1666,AA1666,AC1666,AE1666)</f>
        <v>1</v>
      </c>
      <c r="AH1666" s="158">
        <f>SUM(R1666,AF1666)</f>
        <v>0</v>
      </c>
      <c r="AI1666" s="134">
        <f>S1666+AG1666</f>
        <v>2</v>
      </c>
      <c r="AJ1666" s="65"/>
      <c r="AL1666" s="461">
        <f>SUM(F1666,H1666,J1666,L1666,N1666,P1666,T1666,V1666,X1666,Z1666,AB1666,AD1666)</f>
        <v>0</v>
      </c>
      <c r="AM1666" s="462">
        <f>AL1666-AH1666</f>
        <v>0</v>
      </c>
      <c r="AO1666" s="692"/>
      <c r="AP1666" s="692"/>
      <c r="AV1666" s="56"/>
    </row>
    <row r="1667" spans="1:48" ht="13.5" customHeight="1" outlineLevel="2" thickBot="1">
      <c r="B1667" s="82"/>
      <c r="C1667" s="1234"/>
      <c r="D1667" s="1234"/>
      <c r="E1667" s="84">
        <f>'Terms and Turnovers'!$AN$12</f>
        <v>0</v>
      </c>
      <c r="F1667" s="120">
        <f>$R1667*G1667</f>
        <v>0</v>
      </c>
      <c r="G1667" s="723"/>
      <c r="H1667" s="120">
        <f>$R1667*I1667</f>
        <v>0</v>
      </c>
      <c r="I1667" s="69">
        <v>0</v>
      </c>
      <c r="J1667" s="120">
        <f>$R1667*K1667</f>
        <v>0</v>
      </c>
      <c r="K1667" s="69">
        <v>0.3</v>
      </c>
      <c r="L1667" s="120">
        <f>$R1667*M1667</f>
        <v>0</v>
      </c>
      <c r="M1667" s="69">
        <v>0.4</v>
      </c>
      <c r="N1667" s="315">
        <f>$R1667*O1667</f>
        <v>0</v>
      </c>
      <c r="O1667" s="69">
        <v>0.3</v>
      </c>
      <c r="P1667" s="120">
        <f>$R1667*Q1667</f>
        <v>0</v>
      </c>
      <c r="Q1667" s="69">
        <v>0</v>
      </c>
      <c r="R1667" s="88">
        <f>'Terms and Turnovers'!AO162</f>
        <v>0</v>
      </c>
      <c r="S1667" s="161">
        <f>SUM(G1667,I1667,K1667,M1667,O1667,Q1667)</f>
        <v>1</v>
      </c>
      <c r="T1667" s="120">
        <f>$AF1667*U1667</f>
        <v>0</v>
      </c>
      <c r="U1667" s="723">
        <v>0</v>
      </c>
      <c r="V1667" s="120">
        <f>$AF1667*W1667</f>
        <v>0</v>
      </c>
      <c r="W1667" s="69">
        <v>0.4</v>
      </c>
      <c r="X1667" s="120">
        <f>$AF1667*Y1667</f>
        <v>0</v>
      </c>
      <c r="Y1667" s="69">
        <v>0.4</v>
      </c>
      <c r="Z1667" s="120">
        <f>$AF1667*AA1667</f>
        <v>0</v>
      </c>
      <c r="AA1667" s="69">
        <v>0.2</v>
      </c>
      <c r="AB1667" s="315">
        <f>$AF1667*AC1667</f>
        <v>0</v>
      </c>
      <c r="AC1667" s="69">
        <v>0</v>
      </c>
      <c r="AD1667" s="120">
        <f>$AF1667*AE1667</f>
        <v>0</v>
      </c>
      <c r="AE1667" s="69">
        <v>0</v>
      </c>
      <c r="AF1667" s="88">
        <f>'Terms and Turnovers'!AT162</f>
        <v>0</v>
      </c>
      <c r="AG1667" s="161">
        <f>SUM(U1667,W1667,Y1667,AA1667,AC1667,AE1667)</f>
        <v>1</v>
      </c>
      <c r="AH1667" s="158">
        <f>SUM(R1667,AF1667)</f>
        <v>0</v>
      </c>
      <c r="AI1667" s="134">
        <f>S1667+AG1667</f>
        <v>2</v>
      </c>
      <c r="AJ1667" s="65"/>
      <c r="AL1667" s="461">
        <f>SUM(F1667,H1667,J1667,L1667,N1667,P1667,T1667,V1667,X1667,Z1667,AB1667,AD1667)</f>
        <v>0</v>
      </c>
      <c r="AM1667" s="462">
        <f>AL1667-AH1667</f>
        <v>0</v>
      </c>
      <c r="AO1667" s="692"/>
      <c r="AP1667" s="692"/>
      <c r="AV1667" s="56"/>
    </row>
    <row r="1668" spans="1:48" ht="13.5" customHeight="1" outlineLevel="2" thickBot="1">
      <c r="B1668" s="82"/>
      <c r="C1668" s="1235"/>
      <c r="D1668" s="1235"/>
      <c r="E1668" s="85">
        <f>'Terms and Turnovers'!$AX$12</f>
        <v>0</v>
      </c>
      <c r="F1668" s="121">
        <f>$R1668*G1668</f>
        <v>0</v>
      </c>
      <c r="G1668" s="72"/>
      <c r="H1668" s="121">
        <f>$R1668*I1668</f>
        <v>0</v>
      </c>
      <c r="I1668" s="69">
        <v>0</v>
      </c>
      <c r="J1668" s="121">
        <f>$R1668*K1668</f>
        <v>0</v>
      </c>
      <c r="K1668" s="69">
        <v>0.3</v>
      </c>
      <c r="L1668" s="121">
        <f>$R1668*M1668</f>
        <v>0</v>
      </c>
      <c r="M1668" s="69">
        <v>0.4</v>
      </c>
      <c r="N1668" s="316">
        <f>$R1668*O1668</f>
        <v>0</v>
      </c>
      <c r="O1668" s="69">
        <v>0.3</v>
      </c>
      <c r="P1668" s="121">
        <f>$R1668*Q1668</f>
        <v>0</v>
      </c>
      <c r="Q1668" s="69">
        <v>0</v>
      </c>
      <c r="R1668" s="89">
        <f>'Terms and Turnovers'!AY162</f>
        <v>0</v>
      </c>
      <c r="S1668" s="162">
        <f>SUM(G1668,I1668,K1668,M1668,O1668,Q1668)</f>
        <v>1</v>
      </c>
      <c r="T1668" s="121">
        <f>$AF1668*U1668</f>
        <v>0</v>
      </c>
      <c r="U1668" s="72">
        <v>0</v>
      </c>
      <c r="V1668" s="121">
        <f>$AF1668*W1668</f>
        <v>0</v>
      </c>
      <c r="W1668" s="69">
        <v>0.4</v>
      </c>
      <c r="X1668" s="121">
        <f>$AF1668*Y1668</f>
        <v>0</v>
      </c>
      <c r="Y1668" s="69">
        <v>0.4</v>
      </c>
      <c r="Z1668" s="121">
        <f>$AF1668*AA1668</f>
        <v>0</v>
      </c>
      <c r="AA1668" s="69">
        <v>0.2</v>
      </c>
      <c r="AB1668" s="316">
        <f>$AF1668*AC1668</f>
        <v>0</v>
      </c>
      <c r="AC1668" s="69">
        <v>0</v>
      </c>
      <c r="AD1668" s="121">
        <f>$AF1668*AE1668</f>
        <v>0</v>
      </c>
      <c r="AE1668" s="69">
        <v>0</v>
      </c>
      <c r="AF1668" s="89">
        <f>'Terms and Turnovers'!BD162</f>
        <v>0</v>
      </c>
      <c r="AG1668" s="162">
        <f>SUM(U1668,W1668,Y1668,AA1668,AC1668,AE1668)</f>
        <v>1</v>
      </c>
      <c r="AH1668" s="159">
        <f>SUM(R1668,AF1668)</f>
        <v>0</v>
      </c>
      <c r="AI1668" s="137">
        <f>S1668+AG1668</f>
        <v>2</v>
      </c>
      <c r="AJ1668" s="65"/>
      <c r="AL1668" s="461">
        <f>SUM(F1668,H1668,J1668,L1668,N1668,P1668,T1668,V1668,X1668,Z1668,AB1668,AD1668)</f>
        <v>0</v>
      </c>
      <c r="AM1668" s="462">
        <f>AL1668-AH1668</f>
        <v>0</v>
      </c>
      <c r="AO1668" s="692"/>
      <c r="AP1668" s="692"/>
      <c r="AV1668" s="56"/>
    </row>
    <row r="1669" spans="1:48" ht="13.5" customHeight="1" outlineLevel="2" thickBot="1">
      <c r="A1669" s="119"/>
      <c r="B1669" s="82"/>
      <c r="C1669" s="425"/>
      <c r="D1669" s="425"/>
      <c r="E1669" s="426"/>
      <c r="F1669" s="427">
        <f>SUM(F1664:F1668)</f>
        <v>0</v>
      </c>
      <c r="G1669" s="428"/>
      <c r="H1669" s="427">
        <f>SUM(H1664:H1668)</f>
        <v>0</v>
      </c>
      <c r="I1669" s="69"/>
      <c r="J1669" s="427">
        <f>SUM(J1664:J1668)</f>
        <v>0</v>
      </c>
      <c r="K1669" s="69"/>
      <c r="L1669" s="427">
        <f>SUM(L1664:L1668)</f>
        <v>0</v>
      </c>
      <c r="M1669" s="69"/>
      <c r="N1669" s="427">
        <f>SUM(N1664:N1668)</f>
        <v>0</v>
      </c>
      <c r="O1669" s="69"/>
      <c r="P1669" s="427">
        <f>SUM(P1664:P1668)</f>
        <v>0</v>
      </c>
      <c r="Q1669" s="69"/>
      <c r="R1669" s="429"/>
      <c r="S1669" s="430"/>
      <c r="T1669" s="427">
        <f>SUM(T1664:T1668)</f>
        <v>0</v>
      </c>
      <c r="U1669" s="428"/>
      <c r="V1669" s="427">
        <f>SUM(V1664:V1668)</f>
        <v>0</v>
      </c>
      <c r="W1669" s="69"/>
      <c r="X1669" s="427">
        <f>SUM(X1664:X1668)</f>
        <v>0</v>
      </c>
      <c r="Y1669" s="69"/>
      <c r="Z1669" s="427">
        <f>SUM(Z1664:Z1668)</f>
        <v>0</v>
      </c>
      <c r="AA1669" s="69"/>
      <c r="AB1669" s="427">
        <f>SUM(AB1664:AB1668)</f>
        <v>0</v>
      </c>
      <c r="AC1669" s="69"/>
      <c r="AD1669" s="427">
        <f>SUM(AD1664:AD1668)</f>
        <v>0</v>
      </c>
      <c r="AE1669" s="69"/>
      <c r="AF1669" s="429"/>
      <c r="AG1669" s="430"/>
      <c r="AH1669" s="431"/>
      <c r="AI1669" s="432"/>
      <c r="AJ1669" s="65"/>
      <c r="AO1669" s="692"/>
      <c r="AP1669" s="692"/>
      <c r="AV1669" s="56"/>
    </row>
    <row r="1670" spans="1:48" ht="13.5" customHeight="1" outlineLevel="2" thickBot="1">
      <c r="A1670" s="119"/>
      <c r="B1670" s="82"/>
      <c r="C1670" s="433" t="s">
        <v>484</v>
      </c>
      <c r="D1670" s="433" t="s">
        <v>348</v>
      </c>
      <c r="E1670" s="426"/>
      <c r="F1670" s="434">
        <f>AN1670</f>
        <v>0</v>
      </c>
      <c r="G1670" s="428"/>
      <c r="H1670" s="434">
        <f>H1669</f>
        <v>0</v>
      </c>
      <c r="I1670" s="69"/>
      <c r="J1670" s="434">
        <f>J1669</f>
        <v>0</v>
      </c>
      <c r="K1670" s="69"/>
      <c r="L1670" s="434">
        <f>L1669</f>
        <v>0</v>
      </c>
      <c r="M1670" s="69"/>
      <c r="N1670" s="434">
        <f>N1669-AO1670</f>
        <v>0</v>
      </c>
      <c r="O1670" s="69"/>
      <c r="P1670" s="434">
        <f>P1669</f>
        <v>0</v>
      </c>
      <c r="Q1670" s="69"/>
      <c r="R1670" s="429"/>
      <c r="S1670" s="430"/>
      <c r="T1670" s="434">
        <f>AO1670</f>
        <v>0</v>
      </c>
      <c r="U1670" s="428">
        <f>Q1669</f>
        <v>0</v>
      </c>
      <c r="V1670" s="434">
        <f>V1669</f>
        <v>0</v>
      </c>
      <c r="W1670" s="69">
        <f>S1669</f>
        <v>0</v>
      </c>
      <c r="X1670" s="434">
        <f>X1669</f>
        <v>0</v>
      </c>
      <c r="Y1670" s="69">
        <f>U1669</f>
        <v>0</v>
      </c>
      <c r="Z1670" s="434">
        <f>Z1669-AN1670</f>
        <v>0</v>
      </c>
      <c r="AA1670" s="69">
        <f>W1669</f>
        <v>0</v>
      </c>
      <c r="AB1670" s="434">
        <f>AB1669</f>
        <v>0</v>
      </c>
      <c r="AC1670" s="69">
        <f>Y1669</f>
        <v>0</v>
      </c>
      <c r="AD1670" s="434">
        <f>AD1669</f>
        <v>0</v>
      </c>
      <c r="AE1670" s="69"/>
      <c r="AF1670" s="429"/>
      <c r="AG1670" s="430"/>
      <c r="AH1670" s="431"/>
      <c r="AI1670" s="432"/>
      <c r="AJ1670" s="65"/>
      <c r="AN1670" s="695">
        <f>SUM(AF1664:AF1668)*AQ1670</f>
        <v>0</v>
      </c>
      <c r="AO1670" s="742">
        <f>SUM(R1664:R1668)*AQ1670</f>
        <v>0</v>
      </c>
      <c r="AP1670" s="742"/>
      <c r="AQ1670" s="693">
        <v>0.15</v>
      </c>
      <c r="AS1670" s="716">
        <f>SUM(AL1664:AL1668)</f>
        <v>0</v>
      </c>
      <c r="AT1670" s="461">
        <f>F1670+H1670+J1670+L1670+N1670+P1670+T1670+V1670+X1670+Z1670+AB1670+AD1670</f>
        <v>0</v>
      </c>
      <c r="AU1670" s="745">
        <f>AT1670-AS1670</f>
        <v>0</v>
      </c>
      <c r="AV1670" s="56"/>
    </row>
    <row r="1671" spans="1:48" ht="13.5" customHeight="1" outlineLevel="2" thickBot="1">
      <c r="B1671" s="82">
        <f>B1664+1</f>
        <v>32</v>
      </c>
      <c r="C1671" s="1233">
        <f>C230</f>
        <v>0</v>
      </c>
      <c r="D1671" s="1233">
        <f>D230</f>
        <v>0</v>
      </c>
      <c r="E1671" s="83" t="str">
        <f>'Terms and Turnovers'!$J$12</f>
        <v>FLIP-FLOPS</v>
      </c>
      <c r="F1671" s="118">
        <f>$R1671*G1671</f>
        <v>0</v>
      </c>
      <c r="G1671" s="69"/>
      <c r="H1671" s="314">
        <f>$R1671*I1671</f>
        <v>0</v>
      </c>
      <c r="I1671" s="69">
        <v>0</v>
      </c>
      <c r="J1671" s="118">
        <f>$R1671*K1671</f>
        <v>0</v>
      </c>
      <c r="K1671" s="69">
        <v>0.25</v>
      </c>
      <c r="L1671" s="314">
        <f>$R1671*M1671</f>
        <v>0</v>
      </c>
      <c r="M1671" s="69">
        <v>0.4</v>
      </c>
      <c r="N1671" s="314">
        <f>$R1671*O1671</f>
        <v>0</v>
      </c>
      <c r="O1671" s="69">
        <v>0.35</v>
      </c>
      <c r="P1671" s="118">
        <f>$R1671*Q1671</f>
        <v>0</v>
      </c>
      <c r="Q1671" s="69">
        <v>0</v>
      </c>
      <c r="R1671" s="87">
        <f>'Terms and Turnovers'!K163</f>
        <v>0</v>
      </c>
      <c r="S1671" s="160">
        <f>SUM(G1671,I1671,K1671,M1671,O1671,Q1671)</f>
        <v>1</v>
      </c>
      <c r="T1671" s="118">
        <f>$AF1671*U1671</f>
        <v>0</v>
      </c>
      <c r="U1671" s="69">
        <v>0</v>
      </c>
      <c r="V1671" s="314">
        <f>$AF1671*W1671</f>
        <v>0</v>
      </c>
      <c r="W1671" s="69">
        <v>0.4</v>
      </c>
      <c r="X1671" s="118">
        <f>$AF1671*Y1671</f>
        <v>0</v>
      </c>
      <c r="Y1671" s="69">
        <v>0.6</v>
      </c>
      <c r="Z1671" s="314">
        <f>$AF1671*AA1671</f>
        <v>0</v>
      </c>
      <c r="AA1671" s="69">
        <v>0</v>
      </c>
      <c r="AB1671" s="314">
        <f>$AF1671*AC1671</f>
        <v>0</v>
      </c>
      <c r="AC1671" s="69">
        <v>0</v>
      </c>
      <c r="AD1671" s="118">
        <f>$AF1671*AE1671</f>
        <v>0</v>
      </c>
      <c r="AE1671" s="69">
        <v>0</v>
      </c>
      <c r="AF1671" s="87">
        <f>'Terms and Turnovers'!P163</f>
        <v>0</v>
      </c>
      <c r="AG1671" s="160">
        <f>SUM(U1671,W1671,Y1671,AA1671,AC1671,AE1671)</f>
        <v>1</v>
      </c>
      <c r="AH1671" s="157">
        <f>SUM(R1671,AF1671)</f>
        <v>0</v>
      </c>
      <c r="AI1671" s="131">
        <f>S1671+AG1671</f>
        <v>2</v>
      </c>
      <c r="AJ1671" s="65"/>
      <c r="AL1671" s="461">
        <f>SUM(F1671,H1671,J1671,L1671,N1671,P1671,T1671,V1671,X1671,Z1671,AB1671,AD1671)</f>
        <v>0</v>
      </c>
      <c r="AM1671" s="462">
        <f>AL1671-AH1671</f>
        <v>0</v>
      </c>
      <c r="AO1671" s="692"/>
      <c r="AP1671" s="692"/>
      <c r="AV1671" s="56"/>
    </row>
    <row r="1672" spans="1:48" ht="13.5" customHeight="1" outlineLevel="2" thickBot="1">
      <c r="B1672" s="82"/>
      <c r="C1672" s="1234"/>
      <c r="D1672" s="1234"/>
      <c r="E1672" s="84" t="str">
        <f>'Terms and Turnovers'!$T$12</f>
        <v>ORIGINALS</v>
      </c>
      <c r="F1672" s="120">
        <f>$R1672*G1672</f>
        <v>0</v>
      </c>
      <c r="G1672" s="723"/>
      <c r="H1672" s="120">
        <f>$R1672*I1672</f>
        <v>0</v>
      </c>
      <c r="I1672" s="69">
        <v>0</v>
      </c>
      <c r="J1672" s="120">
        <f>$R1672*K1672</f>
        <v>0</v>
      </c>
      <c r="K1672" s="69">
        <v>0.3</v>
      </c>
      <c r="L1672" s="120">
        <f>$R1672*M1672</f>
        <v>0</v>
      </c>
      <c r="M1672" s="69">
        <v>0.6</v>
      </c>
      <c r="N1672" s="315">
        <f>$R1672*O1672</f>
        <v>0</v>
      </c>
      <c r="O1672" s="69">
        <v>0.1</v>
      </c>
      <c r="P1672" s="120">
        <f>$R1672*Q1672</f>
        <v>0</v>
      </c>
      <c r="Q1672" s="69">
        <v>0</v>
      </c>
      <c r="R1672" s="88">
        <f>'Terms and Turnovers'!U163</f>
        <v>0</v>
      </c>
      <c r="S1672" s="161">
        <f>SUM(G1672,I1672,K1672,M1672,O1672,Q1672)</f>
        <v>0.99999999999999989</v>
      </c>
      <c r="T1672" s="120">
        <f>$AF1672*U1672</f>
        <v>0</v>
      </c>
      <c r="U1672" s="723">
        <v>0</v>
      </c>
      <c r="V1672" s="120">
        <f>$AF1672*W1672</f>
        <v>0</v>
      </c>
      <c r="W1672" s="69">
        <v>0.5</v>
      </c>
      <c r="X1672" s="120">
        <f>$AF1672*Y1672</f>
        <v>0</v>
      </c>
      <c r="Y1672" s="69">
        <v>0.5</v>
      </c>
      <c r="Z1672" s="120">
        <f>$AF1672*AA1672</f>
        <v>0</v>
      </c>
      <c r="AA1672" s="69">
        <v>0</v>
      </c>
      <c r="AB1672" s="315">
        <f>$AF1672*AC1672</f>
        <v>0</v>
      </c>
      <c r="AC1672" s="69">
        <v>0</v>
      </c>
      <c r="AD1672" s="120">
        <f>$AF1672*AE1672</f>
        <v>0</v>
      </c>
      <c r="AE1672" s="69">
        <v>0</v>
      </c>
      <c r="AF1672" s="88">
        <f>'Terms and Turnovers'!Z163</f>
        <v>0</v>
      </c>
      <c r="AG1672" s="161">
        <f>SUM(U1672,W1672,Y1672,AA1672,AC1672,AE1672)</f>
        <v>1</v>
      </c>
      <c r="AH1672" s="158">
        <f>SUM(R1672,AF1672)</f>
        <v>0</v>
      </c>
      <c r="AI1672" s="134">
        <f>S1672+AG1672</f>
        <v>2</v>
      </c>
      <c r="AJ1672" s="65"/>
      <c r="AL1672" s="461">
        <f>SUM(F1672,H1672,J1672,L1672,N1672,P1672,T1672,V1672,X1672,Z1672,AB1672,AD1672)</f>
        <v>0</v>
      </c>
      <c r="AM1672" s="462">
        <f>AL1672-AH1672</f>
        <v>0</v>
      </c>
      <c r="AO1672" s="692"/>
      <c r="AP1672" s="692"/>
      <c r="AV1672" s="56"/>
    </row>
    <row r="1673" spans="1:48" ht="13.5" customHeight="1" outlineLevel="2" thickBot="1">
      <c r="B1673" s="82"/>
      <c r="C1673" s="1234"/>
      <c r="D1673" s="1234"/>
      <c r="E1673" s="84" t="str">
        <f>'Terms and Turnovers'!$AD$12</f>
        <v>ACCESSORIES</v>
      </c>
      <c r="F1673" s="120">
        <f>$R1673*G1673</f>
        <v>0</v>
      </c>
      <c r="G1673" s="723"/>
      <c r="H1673" s="120">
        <f>$R1673*I1673</f>
        <v>0</v>
      </c>
      <c r="I1673" s="69">
        <v>0</v>
      </c>
      <c r="J1673" s="120">
        <f>$R1673*K1673</f>
        <v>0</v>
      </c>
      <c r="K1673" s="69">
        <v>0.3</v>
      </c>
      <c r="L1673" s="120">
        <f>$R1673*M1673</f>
        <v>0</v>
      </c>
      <c r="M1673" s="69">
        <v>0.6</v>
      </c>
      <c r="N1673" s="315">
        <f>$R1673*O1673</f>
        <v>0</v>
      </c>
      <c r="O1673" s="69">
        <v>0.1</v>
      </c>
      <c r="P1673" s="120">
        <f>$R1673*Q1673</f>
        <v>0</v>
      </c>
      <c r="Q1673" s="69">
        <v>0</v>
      </c>
      <c r="R1673" s="88">
        <f>'Terms and Turnovers'!AE163</f>
        <v>0</v>
      </c>
      <c r="S1673" s="161">
        <f>SUM(G1673,I1673,K1673,M1673,O1673,Q1673)</f>
        <v>0.99999999999999989</v>
      </c>
      <c r="T1673" s="120">
        <f>$AF1673*U1673</f>
        <v>0</v>
      </c>
      <c r="U1673" s="723">
        <v>0</v>
      </c>
      <c r="V1673" s="120">
        <f>$AF1673*W1673</f>
        <v>0</v>
      </c>
      <c r="W1673" s="69">
        <v>0.5</v>
      </c>
      <c r="X1673" s="120">
        <f>$AF1673*Y1673</f>
        <v>0</v>
      </c>
      <c r="Y1673" s="69">
        <v>0.5</v>
      </c>
      <c r="Z1673" s="120">
        <f>$AF1673*AA1673</f>
        <v>0</v>
      </c>
      <c r="AA1673" s="69">
        <v>0</v>
      </c>
      <c r="AB1673" s="315">
        <f>$AF1673*AC1673</f>
        <v>0</v>
      </c>
      <c r="AC1673" s="69">
        <v>0</v>
      </c>
      <c r="AD1673" s="120">
        <f>$AF1673*AE1673</f>
        <v>0</v>
      </c>
      <c r="AE1673" s="69">
        <v>0</v>
      </c>
      <c r="AF1673" s="88">
        <f>'Terms and Turnovers'!AJ163</f>
        <v>0</v>
      </c>
      <c r="AG1673" s="161">
        <f>SUM(U1673,W1673,Y1673,AA1673,AC1673,AE1673)</f>
        <v>1</v>
      </c>
      <c r="AH1673" s="158">
        <f>SUM(R1673,AF1673)</f>
        <v>0</v>
      </c>
      <c r="AI1673" s="134">
        <f>S1673+AG1673</f>
        <v>2</v>
      </c>
      <c r="AJ1673" s="65"/>
      <c r="AL1673" s="461">
        <f>SUM(F1673,H1673,J1673,L1673,N1673,P1673,T1673,V1673,X1673,Z1673,AB1673,AD1673)</f>
        <v>0</v>
      </c>
      <c r="AM1673" s="462">
        <f>AL1673-AH1673</f>
        <v>0</v>
      </c>
      <c r="AO1673" s="692"/>
      <c r="AP1673" s="692"/>
      <c r="AV1673" s="56"/>
    </row>
    <row r="1674" spans="1:48" ht="13.5" customHeight="1" outlineLevel="2" thickBot="1">
      <c r="B1674" s="82"/>
      <c r="C1674" s="1234"/>
      <c r="D1674" s="1234"/>
      <c r="E1674" s="84">
        <f>'Terms and Turnovers'!$AN$12</f>
        <v>0</v>
      </c>
      <c r="F1674" s="120">
        <f>$R1674*G1674</f>
        <v>0</v>
      </c>
      <c r="G1674" s="723"/>
      <c r="H1674" s="120">
        <f>$R1674*I1674</f>
        <v>0</v>
      </c>
      <c r="I1674" s="69">
        <v>0</v>
      </c>
      <c r="J1674" s="120">
        <f>$R1674*K1674</f>
        <v>0</v>
      </c>
      <c r="K1674" s="69">
        <v>0.3</v>
      </c>
      <c r="L1674" s="120">
        <f>$R1674*M1674</f>
        <v>0</v>
      </c>
      <c r="M1674" s="69">
        <v>0.6</v>
      </c>
      <c r="N1674" s="315">
        <f>$R1674*O1674</f>
        <v>0</v>
      </c>
      <c r="O1674" s="69">
        <v>0.1</v>
      </c>
      <c r="P1674" s="120">
        <f>$R1674*Q1674</f>
        <v>0</v>
      </c>
      <c r="Q1674" s="69">
        <v>0</v>
      </c>
      <c r="R1674" s="88">
        <f>'Terms and Turnovers'!AO163</f>
        <v>0</v>
      </c>
      <c r="S1674" s="161">
        <f>SUM(G1674,I1674,K1674,M1674,O1674,Q1674)</f>
        <v>0.99999999999999989</v>
      </c>
      <c r="T1674" s="120">
        <f>$AF1674*U1674</f>
        <v>0</v>
      </c>
      <c r="U1674" s="723">
        <v>0</v>
      </c>
      <c r="V1674" s="120">
        <f>$AF1674*W1674</f>
        <v>0</v>
      </c>
      <c r="W1674" s="69">
        <v>0.4</v>
      </c>
      <c r="X1674" s="120">
        <f>$AF1674*Y1674</f>
        <v>0</v>
      </c>
      <c r="Y1674" s="69">
        <v>0.6</v>
      </c>
      <c r="Z1674" s="120">
        <f>$AF1674*AA1674</f>
        <v>0</v>
      </c>
      <c r="AA1674" s="69">
        <v>0</v>
      </c>
      <c r="AB1674" s="315">
        <f>$AF1674*AC1674</f>
        <v>0</v>
      </c>
      <c r="AC1674" s="69">
        <v>0</v>
      </c>
      <c r="AD1674" s="120">
        <f>$AF1674*AE1674</f>
        <v>0</v>
      </c>
      <c r="AE1674" s="69">
        <v>0</v>
      </c>
      <c r="AF1674" s="88">
        <f>'Terms and Turnovers'!AT163</f>
        <v>0</v>
      </c>
      <c r="AG1674" s="161">
        <f>SUM(U1674,W1674,Y1674,AA1674,AC1674,AE1674)</f>
        <v>1</v>
      </c>
      <c r="AH1674" s="158">
        <f>SUM(R1674,AF1674)</f>
        <v>0</v>
      </c>
      <c r="AI1674" s="134">
        <f>S1674+AG1674</f>
        <v>2</v>
      </c>
      <c r="AJ1674" s="65"/>
      <c r="AL1674" s="461">
        <f>SUM(F1674,H1674,J1674,L1674,N1674,P1674,T1674,V1674,X1674,Z1674,AB1674,AD1674)</f>
        <v>0</v>
      </c>
      <c r="AM1674" s="462">
        <f>AL1674-AH1674</f>
        <v>0</v>
      </c>
      <c r="AO1674" s="692"/>
      <c r="AP1674" s="692"/>
      <c r="AV1674" s="56"/>
    </row>
    <row r="1675" spans="1:48" ht="13.5" customHeight="1" outlineLevel="2" thickBot="1">
      <c r="B1675" s="82"/>
      <c r="C1675" s="1235"/>
      <c r="D1675" s="1235"/>
      <c r="E1675" s="85">
        <f>'Terms and Turnovers'!$AX$12</f>
        <v>0</v>
      </c>
      <c r="F1675" s="121">
        <f>$R1675*G1675</f>
        <v>0</v>
      </c>
      <c r="G1675" s="72"/>
      <c r="H1675" s="121">
        <f>$R1675*I1675</f>
        <v>0</v>
      </c>
      <c r="I1675" s="69">
        <v>0</v>
      </c>
      <c r="J1675" s="121">
        <f>$R1675*K1675</f>
        <v>0</v>
      </c>
      <c r="K1675" s="69">
        <v>0.3</v>
      </c>
      <c r="L1675" s="121">
        <f>$R1675*M1675</f>
        <v>0</v>
      </c>
      <c r="M1675" s="69">
        <v>0.6</v>
      </c>
      <c r="N1675" s="316">
        <f>$R1675*O1675</f>
        <v>0</v>
      </c>
      <c r="O1675" s="69">
        <v>0.1</v>
      </c>
      <c r="P1675" s="121">
        <f>$R1675*Q1675</f>
        <v>0</v>
      </c>
      <c r="Q1675" s="69">
        <v>0</v>
      </c>
      <c r="R1675" s="89">
        <f>'Terms and Turnovers'!AY163</f>
        <v>0</v>
      </c>
      <c r="S1675" s="162">
        <f>SUM(G1675,I1675,K1675,M1675,O1675,Q1675)</f>
        <v>0.99999999999999989</v>
      </c>
      <c r="T1675" s="121">
        <f>$AF1675*U1675</f>
        <v>0</v>
      </c>
      <c r="U1675" s="72">
        <v>0</v>
      </c>
      <c r="V1675" s="121">
        <f>$AF1675*W1675</f>
        <v>0</v>
      </c>
      <c r="W1675" s="69">
        <v>0.4</v>
      </c>
      <c r="X1675" s="121">
        <f>$AF1675*Y1675</f>
        <v>0</v>
      </c>
      <c r="Y1675" s="69">
        <v>0.4</v>
      </c>
      <c r="Z1675" s="121">
        <f>$AF1675*AA1675</f>
        <v>0</v>
      </c>
      <c r="AA1675" s="69">
        <v>0.2</v>
      </c>
      <c r="AB1675" s="316">
        <f>$AF1675*AC1675</f>
        <v>0</v>
      </c>
      <c r="AC1675" s="69">
        <v>0</v>
      </c>
      <c r="AD1675" s="121">
        <f>$AF1675*AE1675</f>
        <v>0</v>
      </c>
      <c r="AE1675" s="69">
        <v>0</v>
      </c>
      <c r="AF1675" s="89">
        <f>'Terms and Turnovers'!BD163</f>
        <v>0</v>
      </c>
      <c r="AG1675" s="162">
        <f>SUM(U1675,W1675,Y1675,AA1675,AC1675,AE1675)</f>
        <v>1</v>
      </c>
      <c r="AH1675" s="159">
        <f>SUM(R1675,AF1675)</f>
        <v>0</v>
      </c>
      <c r="AI1675" s="137">
        <f>S1675+AG1675</f>
        <v>2</v>
      </c>
      <c r="AJ1675" s="65"/>
      <c r="AL1675" s="461">
        <f>SUM(F1675,H1675,J1675,L1675,N1675,P1675,T1675,V1675,X1675,Z1675,AB1675,AD1675)</f>
        <v>0</v>
      </c>
      <c r="AM1675" s="462">
        <f>AL1675-AH1675</f>
        <v>0</v>
      </c>
      <c r="AO1675" s="692"/>
      <c r="AP1675" s="692"/>
      <c r="AV1675" s="56"/>
    </row>
    <row r="1676" spans="1:48" ht="13.5" customHeight="1" outlineLevel="2" thickBot="1">
      <c r="A1676" s="119"/>
      <c r="B1676" s="82"/>
      <c r="C1676" s="425"/>
      <c r="D1676" s="425"/>
      <c r="E1676" s="426"/>
      <c r="F1676" s="427">
        <f>SUM(F1671:F1675)</f>
        <v>0</v>
      </c>
      <c r="G1676" s="428"/>
      <c r="H1676" s="427">
        <f>SUM(H1671:H1675)</f>
        <v>0</v>
      </c>
      <c r="I1676" s="69"/>
      <c r="J1676" s="427">
        <f>SUM(J1671:J1675)</f>
        <v>0</v>
      </c>
      <c r="K1676" s="69"/>
      <c r="L1676" s="427">
        <f>SUM(L1671:L1675)</f>
        <v>0</v>
      </c>
      <c r="M1676" s="69"/>
      <c r="N1676" s="427">
        <f>SUM(N1671:N1675)</f>
        <v>0</v>
      </c>
      <c r="O1676" s="69"/>
      <c r="P1676" s="427">
        <f>SUM(P1671:P1675)</f>
        <v>0</v>
      </c>
      <c r="Q1676" s="69"/>
      <c r="R1676" s="429"/>
      <c r="S1676" s="430"/>
      <c r="T1676" s="427">
        <f>SUM(T1671:T1675)</f>
        <v>0</v>
      </c>
      <c r="U1676" s="428"/>
      <c r="V1676" s="427">
        <f>SUM(V1671:V1675)</f>
        <v>0</v>
      </c>
      <c r="W1676" s="69"/>
      <c r="X1676" s="427">
        <f>SUM(X1671:X1675)</f>
        <v>0</v>
      </c>
      <c r="Y1676" s="69"/>
      <c r="Z1676" s="427">
        <f>SUM(Z1671:Z1675)</f>
        <v>0</v>
      </c>
      <c r="AA1676" s="69"/>
      <c r="AB1676" s="427">
        <f>SUM(AB1671:AB1675)</f>
        <v>0</v>
      </c>
      <c r="AC1676" s="69"/>
      <c r="AD1676" s="427">
        <f>SUM(AD1671:AD1675)</f>
        <v>0</v>
      </c>
      <c r="AE1676" s="69"/>
      <c r="AF1676" s="429"/>
      <c r="AG1676" s="430"/>
      <c r="AH1676" s="431"/>
      <c r="AI1676" s="432"/>
      <c r="AJ1676" s="65"/>
      <c r="AO1676" s="692"/>
      <c r="AP1676" s="692"/>
      <c r="AV1676" s="56"/>
    </row>
    <row r="1677" spans="1:48" ht="13.5" customHeight="1" outlineLevel="2" thickBot="1">
      <c r="A1677" s="119"/>
      <c r="B1677" s="82"/>
      <c r="C1677" s="433" t="s">
        <v>484</v>
      </c>
      <c r="D1677" s="433" t="s">
        <v>349</v>
      </c>
      <c r="E1677" s="426"/>
      <c r="F1677" s="434">
        <f>AN1677</f>
        <v>0</v>
      </c>
      <c r="G1677" s="428"/>
      <c r="H1677" s="434">
        <f>H1676</f>
        <v>0</v>
      </c>
      <c r="I1677" s="69"/>
      <c r="J1677" s="434">
        <f>J1676</f>
        <v>0</v>
      </c>
      <c r="K1677" s="69"/>
      <c r="L1677" s="434">
        <f>L1676-AO1677</f>
        <v>0</v>
      </c>
      <c r="M1677" s="69"/>
      <c r="N1677" s="434">
        <f>N1676</f>
        <v>0</v>
      </c>
      <c r="O1677" s="69"/>
      <c r="P1677" s="434">
        <f>P1676</f>
        <v>0</v>
      </c>
      <c r="Q1677" s="69"/>
      <c r="R1677" s="429"/>
      <c r="S1677" s="430"/>
      <c r="T1677" s="434">
        <f>AO1677</f>
        <v>0</v>
      </c>
      <c r="U1677" s="428">
        <f>Q1676</f>
        <v>0</v>
      </c>
      <c r="V1677" s="434">
        <f>V1676</f>
        <v>0</v>
      </c>
      <c r="W1677" s="69">
        <f>S1676</f>
        <v>0</v>
      </c>
      <c r="X1677" s="434">
        <f>X1676-AN1677</f>
        <v>0</v>
      </c>
      <c r="Y1677" s="69">
        <f>U1676</f>
        <v>0</v>
      </c>
      <c r="Z1677" s="434">
        <f>Z1676</f>
        <v>0</v>
      </c>
      <c r="AA1677" s="69">
        <f>W1676</f>
        <v>0</v>
      </c>
      <c r="AB1677" s="434">
        <f>AB1676</f>
        <v>0</v>
      </c>
      <c r="AC1677" s="69">
        <f>Y1676</f>
        <v>0</v>
      </c>
      <c r="AD1677" s="434">
        <f>AD1676</f>
        <v>0</v>
      </c>
      <c r="AE1677" s="69"/>
      <c r="AF1677" s="429"/>
      <c r="AG1677" s="430"/>
      <c r="AH1677" s="431"/>
      <c r="AI1677" s="432"/>
      <c r="AJ1677" s="65"/>
      <c r="AN1677" s="695">
        <f>SUM(AF1671:AF1675)*AQ1677</f>
        <v>0</v>
      </c>
      <c r="AO1677" s="742">
        <f>SUM(R1671:R1675)*AQ1677</f>
        <v>0</v>
      </c>
      <c r="AP1677" s="742"/>
      <c r="AQ1677" s="693">
        <v>0.15</v>
      </c>
      <c r="AS1677" s="716">
        <f>SUM(AL1671:AL1675)</f>
        <v>0</v>
      </c>
      <c r="AT1677" s="461">
        <f>F1677+H1677+J1677+L1677+N1677+P1677+T1677+V1677+X1677+Z1677+AB1677+AD1677</f>
        <v>0</v>
      </c>
      <c r="AU1677" s="745">
        <f>AT1677-AS1677</f>
        <v>0</v>
      </c>
      <c r="AV1677" s="56"/>
    </row>
    <row r="1678" spans="1:48" ht="13.5" customHeight="1" outlineLevel="2" thickBot="1">
      <c r="B1678" s="82">
        <f>B1671+1</f>
        <v>33</v>
      </c>
      <c r="C1678" s="1233">
        <f>C237</f>
        <v>0</v>
      </c>
      <c r="D1678" s="1233">
        <f>D237</f>
        <v>0</v>
      </c>
      <c r="E1678" s="83" t="str">
        <f>'Terms and Turnovers'!$J$12</f>
        <v>FLIP-FLOPS</v>
      </c>
      <c r="F1678" s="118">
        <f>$R1678*G1678</f>
        <v>0</v>
      </c>
      <c r="G1678" s="69"/>
      <c r="H1678" s="314">
        <f>$R1678*I1678</f>
        <v>0</v>
      </c>
      <c r="I1678" s="69">
        <v>0</v>
      </c>
      <c r="J1678" s="118">
        <f>$R1678*K1678</f>
        <v>0</v>
      </c>
      <c r="K1678" s="69">
        <v>0.35</v>
      </c>
      <c r="L1678" s="314">
        <f>$R1678*M1678</f>
        <v>0</v>
      </c>
      <c r="M1678" s="69">
        <v>0.4</v>
      </c>
      <c r="N1678" s="314">
        <f>$R1678*O1678</f>
        <v>0</v>
      </c>
      <c r="O1678" s="69">
        <v>0.25</v>
      </c>
      <c r="P1678" s="118">
        <f>$R1678*Q1678</f>
        <v>0</v>
      </c>
      <c r="Q1678" s="69">
        <v>0</v>
      </c>
      <c r="R1678" s="87">
        <f>'Terms and Turnovers'!K164</f>
        <v>0</v>
      </c>
      <c r="S1678" s="160">
        <f>SUM(G1678,I1678,K1678,M1678,O1678,Q1678)</f>
        <v>1</v>
      </c>
      <c r="T1678" s="118">
        <f>$AF1678*U1678</f>
        <v>0</v>
      </c>
      <c r="U1678" s="69">
        <v>0</v>
      </c>
      <c r="V1678" s="314">
        <f>$AF1678*W1678</f>
        <v>0</v>
      </c>
      <c r="W1678" s="69">
        <v>0.4</v>
      </c>
      <c r="X1678" s="118">
        <f>$AF1678*Y1678</f>
        <v>0</v>
      </c>
      <c r="Y1678" s="69">
        <v>0.4</v>
      </c>
      <c r="Z1678" s="314">
        <f>$AF1678*AA1678</f>
        <v>0</v>
      </c>
      <c r="AA1678" s="69">
        <v>0.2</v>
      </c>
      <c r="AB1678" s="314">
        <f>$AF1678*AC1678</f>
        <v>0</v>
      </c>
      <c r="AC1678" s="69">
        <v>0</v>
      </c>
      <c r="AD1678" s="118">
        <f>$AF1678*AE1678</f>
        <v>0</v>
      </c>
      <c r="AE1678" s="69">
        <v>0</v>
      </c>
      <c r="AF1678" s="87">
        <f>'Terms and Turnovers'!P164</f>
        <v>0</v>
      </c>
      <c r="AG1678" s="160">
        <f>SUM(U1678,W1678,Y1678,AA1678,AC1678,AE1678)</f>
        <v>1</v>
      </c>
      <c r="AH1678" s="157">
        <f>SUM(R1678,AF1678)</f>
        <v>0</v>
      </c>
      <c r="AI1678" s="131">
        <f>S1678+AG1678</f>
        <v>2</v>
      </c>
      <c r="AJ1678" s="65"/>
      <c r="AL1678" s="461">
        <f>SUM(F1678,H1678,J1678,L1678,N1678,P1678,T1678,V1678,X1678,Z1678,AB1678,AD1678)</f>
        <v>0</v>
      </c>
      <c r="AM1678" s="462">
        <f>AL1678-AH1678</f>
        <v>0</v>
      </c>
      <c r="AO1678" s="692"/>
      <c r="AP1678" s="692"/>
      <c r="AV1678" s="56"/>
    </row>
    <row r="1679" spans="1:48" ht="13.5" customHeight="1" outlineLevel="2" thickBot="1">
      <c r="B1679" s="82"/>
      <c r="C1679" s="1234"/>
      <c r="D1679" s="1234"/>
      <c r="E1679" s="84" t="str">
        <f>'Terms and Turnovers'!$T$12</f>
        <v>ORIGINALS</v>
      </c>
      <c r="F1679" s="120">
        <f>$R1679*G1679</f>
        <v>0</v>
      </c>
      <c r="G1679" s="723"/>
      <c r="H1679" s="120">
        <f>$R1679*I1679</f>
        <v>0</v>
      </c>
      <c r="I1679" s="69">
        <v>0</v>
      </c>
      <c r="J1679" s="120">
        <f>$R1679*K1679</f>
        <v>0</v>
      </c>
      <c r="K1679" s="69">
        <v>0.5</v>
      </c>
      <c r="L1679" s="120">
        <f>$R1679*M1679</f>
        <v>0</v>
      </c>
      <c r="M1679" s="69">
        <v>0.5</v>
      </c>
      <c r="N1679" s="315">
        <f>$R1679*O1679</f>
        <v>0</v>
      </c>
      <c r="O1679" s="69">
        <v>0</v>
      </c>
      <c r="P1679" s="120">
        <f>$R1679*Q1679</f>
        <v>0</v>
      </c>
      <c r="Q1679" s="69">
        <v>0</v>
      </c>
      <c r="R1679" s="88">
        <f>'Terms and Turnovers'!U164</f>
        <v>0</v>
      </c>
      <c r="S1679" s="161">
        <f>SUM(G1679,I1679,K1679,M1679,O1679,Q1679)</f>
        <v>1</v>
      </c>
      <c r="T1679" s="120">
        <f>$AF1679*U1679</f>
        <v>0</v>
      </c>
      <c r="U1679" s="723">
        <v>0</v>
      </c>
      <c r="V1679" s="120">
        <f>$AF1679*W1679</f>
        <v>0</v>
      </c>
      <c r="W1679" s="69">
        <v>0.5</v>
      </c>
      <c r="X1679" s="120">
        <f>$AF1679*Y1679</f>
        <v>0</v>
      </c>
      <c r="Y1679" s="69">
        <v>0.5</v>
      </c>
      <c r="Z1679" s="120">
        <f>$AF1679*AA1679</f>
        <v>0</v>
      </c>
      <c r="AA1679" s="69">
        <v>0</v>
      </c>
      <c r="AB1679" s="315">
        <f>$AF1679*AC1679</f>
        <v>0</v>
      </c>
      <c r="AC1679" s="69">
        <v>0</v>
      </c>
      <c r="AD1679" s="120">
        <f>$AF1679*AE1679</f>
        <v>0</v>
      </c>
      <c r="AE1679" s="69">
        <v>0</v>
      </c>
      <c r="AF1679" s="88">
        <f>'Terms and Turnovers'!Z164</f>
        <v>0</v>
      </c>
      <c r="AG1679" s="161">
        <f>SUM(U1679,W1679,Y1679,AA1679,AC1679,AE1679)</f>
        <v>1</v>
      </c>
      <c r="AH1679" s="158">
        <f>SUM(R1679,AF1679)</f>
        <v>0</v>
      </c>
      <c r="AI1679" s="134">
        <f>S1679+AG1679</f>
        <v>2</v>
      </c>
      <c r="AJ1679" s="65"/>
      <c r="AL1679" s="461">
        <f>SUM(F1679,H1679,J1679,L1679,N1679,P1679,T1679,V1679,X1679,Z1679,AB1679,AD1679)</f>
        <v>0</v>
      </c>
      <c r="AM1679" s="462">
        <f>AL1679-AH1679</f>
        <v>0</v>
      </c>
      <c r="AO1679" s="692"/>
      <c r="AP1679" s="692"/>
      <c r="AV1679" s="56"/>
    </row>
    <row r="1680" spans="1:48" ht="13.5" customHeight="1" outlineLevel="2" thickBot="1">
      <c r="B1680" s="82"/>
      <c r="C1680" s="1234"/>
      <c r="D1680" s="1234"/>
      <c r="E1680" s="84" t="str">
        <f>'Terms and Turnovers'!$AD$12</f>
        <v>ACCESSORIES</v>
      </c>
      <c r="F1680" s="120">
        <f>$R1680*G1680</f>
        <v>0</v>
      </c>
      <c r="G1680" s="723"/>
      <c r="H1680" s="120">
        <f>$R1680*I1680</f>
        <v>0</v>
      </c>
      <c r="I1680" s="69">
        <v>0</v>
      </c>
      <c r="J1680" s="120">
        <f>$R1680*K1680</f>
        <v>0</v>
      </c>
      <c r="K1680" s="69">
        <v>0.5</v>
      </c>
      <c r="L1680" s="120">
        <f>$R1680*M1680</f>
        <v>0</v>
      </c>
      <c r="M1680" s="69">
        <v>0.5</v>
      </c>
      <c r="N1680" s="315">
        <f>$R1680*O1680</f>
        <v>0</v>
      </c>
      <c r="O1680" s="69">
        <v>0</v>
      </c>
      <c r="P1680" s="120">
        <f>$R1680*Q1680</f>
        <v>0</v>
      </c>
      <c r="Q1680" s="69">
        <v>0</v>
      </c>
      <c r="R1680" s="88">
        <f>'Terms and Turnovers'!AE164</f>
        <v>0</v>
      </c>
      <c r="S1680" s="161">
        <f>SUM(G1680,I1680,K1680,M1680,O1680,Q1680)</f>
        <v>1</v>
      </c>
      <c r="T1680" s="120">
        <f>$AF1680*U1680</f>
        <v>0</v>
      </c>
      <c r="U1680" s="723">
        <v>0</v>
      </c>
      <c r="V1680" s="120">
        <f>$AF1680*W1680</f>
        <v>0</v>
      </c>
      <c r="W1680" s="69">
        <v>0.5</v>
      </c>
      <c r="X1680" s="120">
        <f>$AF1680*Y1680</f>
        <v>0</v>
      </c>
      <c r="Y1680" s="69">
        <v>0.5</v>
      </c>
      <c r="Z1680" s="120">
        <f>$AF1680*AA1680</f>
        <v>0</v>
      </c>
      <c r="AA1680" s="69">
        <v>0</v>
      </c>
      <c r="AB1680" s="315">
        <f>$AF1680*AC1680</f>
        <v>0</v>
      </c>
      <c r="AC1680" s="69">
        <v>0</v>
      </c>
      <c r="AD1680" s="120">
        <f>$AF1680*AE1680</f>
        <v>0</v>
      </c>
      <c r="AE1680" s="69">
        <v>0</v>
      </c>
      <c r="AF1680" s="88">
        <f>'Terms and Turnovers'!AJ164</f>
        <v>0</v>
      </c>
      <c r="AG1680" s="161">
        <f>SUM(U1680,W1680,Y1680,AA1680,AC1680,AE1680)</f>
        <v>1</v>
      </c>
      <c r="AH1680" s="158">
        <f>SUM(R1680,AF1680)</f>
        <v>0</v>
      </c>
      <c r="AI1680" s="134">
        <f>S1680+AG1680</f>
        <v>2</v>
      </c>
      <c r="AJ1680" s="65"/>
      <c r="AL1680" s="461">
        <f>SUM(F1680,H1680,J1680,L1680,N1680,P1680,T1680,V1680,X1680,Z1680,AB1680,AD1680)</f>
        <v>0</v>
      </c>
      <c r="AM1680" s="462">
        <f>AL1680-AH1680</f>
        <v>0</v>
      </c>
      <c r="AO1680" s="692"/>
      <c r="AP1680" s="692"/>
      <c r="AV1680" s="56"/>
    </row>
    <row r="1681" spans="1:48" ht="13.5" customHeight="1" outlineLevel="2" thickBot="1">
      <c r="B1681" s="82"/>
      <c r="C1681" s="1234"/>
      <c r="D1681" s="1234"/>
      <c r="E1681" s="84">
        <f>'Terms and Turnovers'!$AN$12</f>
        <v>0</v>
      </c>
      <c r="F1681" s="120">
        <f>$R1681*G1681</f>
        <v>0</v>
      </c>
      <c r="G1681" s="723"/>
      <c r="H1681" s="120">
        <f>$R1681*I1681</f>
        <v>0</v>
      </c>
      <c r="I1681" s="69">
        <v>0</v>
      </c>
      <c r="J1681" s="120">
        <f>$R1681*K1681</f>
        <v>0</v>
      </c>
      <c r="K1681" s="69">
        <v>0.35</v>
      </c>
      <c r="L1681" s="120">
        <f>$R1681*M1681</f>
        <v>0</v>
      </c>
      <c r="M1681" s="69">
        <v>0.4</v>
      </c>
      <c r="N1681" s="315">
        <f>$R1681*O1681</f>
        <v>0</v>
      </c>
      <c r="O1681" s="69">
        <v>0.25</v>
      </c>
      <c r="P1681" s="120">
        <f>$R1681*Q1681</f>
        <v>0</v>
      </c>
      <c r="Q1681" s="69">
        <v>0</v>
      </c>
      <c r="R1681" s="88">
        <f>'Terms and Turnovers'!AO164</f>
        <v>0</v>
      </c>
      <c r="S1681" s="161">
        <f>SUM(G1681,I1681,K1681,M1681,O1681,Q1681)</f>
        <v>1</v>
      </c>
      <c r="T1681" s="120">
        <f>$AF1681*U1681</f>
        <v>0</v>
      </c>
      <c r="U1681" s="723">
        <v>0</v>
      </c>
      <c r="V1681" s="120">
        <f>$AF1681*W1681</f>
        <v>0</v>
      </c>
      <c r="W1681" s="69">
        <v>0.4</v>
      </c>
      <c r="X1681" s="120">
        <f>$AF1681*Y1681</f>
        <v>0</v>
      </c>
      <c r="Y1681" s="69">
        <v>0.4</v>
      </c>
      <c r="Z1681" s="120">
        <f>$AF1681*AA1681</f>
        <v>0</v>
      </c>
      <c r="AA1681" s="69">
        <v>0.2</v>
      </c>
      <c r="AB1681" s="315">
        <f>$AF1681*AC1681</f>
        <v>0</v>
      </c>
      <c r="AC1681" s="69">
        <v>0</v>
      </c>
      <c r="AD1681" s="120">
        <f>$AF1681*AE1681</f>
        <v>0</v>
      </c>
      <c r="AE1681" s="69">
        <v>0</v>
      </c>
      <c r="AF1681" s="88">
        <f>'Terms and Turnovers'!AT164</f>
        <v>0</v>
      </c>
      <c r="AG1681" s="161">
        <f>SUM(U1681,W1681,Y1681,AA1681,AC1681,AE1681)</f>
        <v>1</v>
      </c>
      <c r="AH1681" s="158">
        <f>SUM(R1681,AF1681)</f>
        <v>0</v>
      </c>
      <c r="AI1681" s="134">
        <f>S1681+AG1681</f>
        <v>2</v>
      </c>
      <c r="AJ1681" s="65"/>
      <c r="AL1681" s="461">
        <f>SUM(F1681,H1681,J1681,L1681,N1681,P1681,T1681,V1681,X1681,Z1681,AB1681,AD1681)</f>
        <v>0</v>
      </c>
      <c r="AM1681" s="462">
        <f>AL1681-AH1681</f>
        <v>0</v>
      </c>
      <c r="AO1681" s="692"/>
      <c r="AP1681" s="692"/>
      <c r="AV1681" s="56"/>
    </row>
    <row r="1682" spans="1:48" ht="13.5" customHeight="1" outlineLevel="2" thickBot="1">
      <c r="B1682" s="82"/>
      <c r="C1682" s="1235"/>
      <c r="D1682" s="1235"/>
      <c r="E1682" s="85">
        <f>'Terms and Turnovers'!$AX$12</f>
        <v>0</v>
      </c>
      <c r="F1682" s="121">
        <f>$R1682*G1682</f>
        <v>0</v>
      </c>
      <c r="G1682" s="72"/>
      <c r="H1682" s="121">
        <f>$R1682*I1682</f>
        <v>0</v>
      </c>
      <c r="I1682" s="69">
        <v>0</v>
      </c>
      <c r="J1682" s="121">
        <f>$R1682*K1682</f>
        <v>0</v>
      </c>
      <c r="K1682" s="69">
        <v>0.35</v>
      </c>
      <c r="L1682" s="121">
        <f>$R1682*M1682</f>
        <v>0</v>
      </c>
      <c r="M1682" s="69">
        <v>0.4</v>
      </c>
      <c r="N1682" s="316">
        <f>$R1682*O1682</f>
        <v>0</v>
      </c>
      <c r="O1682" s="69">
        <v>0.25</v>
      </c>
      <c r="P1682" s="121">
        <f>$R1682*Q1682</f>
        <v>0</v>
      </c>
      <c r="Q1682" s="69">
        <v>0</v>
      </c>
      <c r="R1682" s="89">
        <f>'Terms and Turnovers'!AY164</f>
        <v>0</v>
      </c>
      <c r="S1682" s="162">
        <f>SUM(G1682,I1682,K1682,M1682,O1682,Q1682)</f>
        <v>1</v>
      </c>
      <c r="T1682" s="121">
        <f>$AF1682*U1682</f>
        <v>0</v>
      </c>
      <c r="U1682" s="72">
        <v>0</v>
      </c>
      <c r="V1682" s="121">
        <f>$AF1682*W1682</f>
        <v>0</v>
      </c>
      <c r="W1682" s="69">
        <v>0.4</v>
      </c>
      <c r="X1682" s="121">
        <f>$AF1682*Y1682</f>
        <v>0</v>
      </c>
      <c r="Y1682" s="69">
        <v>0.4</v>
      </c>
      <c r="Z1682" s="121">
        <f>$AF1682*AA1682</f>
        <v>0</v>
      </c>
      <c r="AA1682" s="69">
        <v>0.2</v>
      </c>
      <c r="AB1682" s="316">
        <f>$AF1682*AC1682</f>
        <v>0</v>
      </c>
      <c r="AC1682" s="69">
        <v>0</v>
      </c>
      <c r="AD1682" s="121">
        <f>$AF1682*AE1682</f>
        <v>0</v>
      </c>
      <c r="AE1682" s="69">
        <v>0</v>
      </c>
      <c r="AF1682" s="89">
        <f>'Terms and Turnovers'!BD164</f>
        <v>0</v>
      </c>
      <c r="AG1682" s="162">
        <f>SUM(U1682,W1682,Y1682,AA1682,AC1682,AE1682)</f>
        <v>1</v>
      </c>
      <c r="AH1682" s="159">
        <f>SUM(R1682,AF1682)</f>
        <v>0</v>
      </c>
      <c r="AI1682" s="137">
        <f>S1682+AG1682</f>
        <v>2</v>
      </c>
      <c r="AJ1682" s="65"/>
      <c r="AL1682" s="461">
        <f>SUM(F1682,H1682,J1682,L1682,N1682,P1682,T1682,V1682,X1682,Z1682,AB1682,AD1682)</f>
        <v>0</v>
      </c>
      <c r="AM1682" s="462">
        <f>AL1682-AH1682</f>
        <v>0</v>
      </c>
      <c r="AO1682" s="692"/>
      <c r="AP1682" s="692"/>
      <c r="AV1682" s="56"/>
    </row>
    <row r="1683" spans="1:48" ht="13.5" customHeight="1" outlineLevel="2" thickBot="1">
      <c r="A1683" s="119"/>
      <c r="B1683" s="82"/>
      <c r="C1683" s="425"/>
      <c r="D1683" s="425"/>
      <c r="E1683" s="426"/>
      <c r="F1683" s="427">
        <f>SUM(F1678:F1682)</f>
        <v>0</v>
      </c>
      <c r="G1683" s="428"/>
      <c r="H1683" s="427">
        <f>SUM(H1678:H1682)</f>
        <v>0</v>
      </c>
      <c r="I1683" s="69"/>
      <c r="J1683" s="427">
        <f>SUM(J1678:J1682)</f>
        <v>0</v>
      </c>
      <c r="K1683" s="69"/>
      <c r="L1683" s="427">
        <f>SUM(L1678:L1682)</f>
        <v>0</v>
      </c>
      <c r="M1683" s="69"/>
      <c r="N1683" s="427">
        <f>SUM(N1678:N1682)</f>
        <v>0</v>
      </c>
      <c r="O1683" s="69"/>
      <c r="P1683" s="427">
        <f>SUM(P1678:P1682)</f>
        <v>0</v>
      </c>
      <c r="Q1683" s="69"/>
      <c r="R1683" s="429"/>
      <c r="S1683" s="430"/>
      <c r="T1683" s="427">
        <f>SUM(T1678:T1682)</f>
        <v>0</v>
      </c>
      <c r="U1683" s="428"/>
      <c r="V1683" s="427">
        <f>SUM(V1678:V1682)</f>
        <v>0</v>
      </c>
      <c r="W1683" s="69"/>
      <c r="X1683" s="427">
        <f>SUM(X1678:X1682)</f>
        <v>0</v>
      </c>
      <c r="Y1683" s="69"/>
      <c r="Z1683" s="427">
        <f>SUM(Z1678:Z1682)</f>
        <v>0</v>
      </c>
      <c r="AA1683" s="69"/>
      <c r="AB1683" s="427">
        <f>SUM(AB1678:AB1682)</f>
        <v>0</v>
      </c>
      <c r="AC1683" s="69"/>
      <c r="AD1683" s="427">
        <f>SUM(AD1678:AD1682)</f>
        <v>0</v>
      </c>
      <c r="AE1683" s="69"/>
      <c r="AF1683" s="429"/>
      <c r="AG1683" s="430"/>
      <c r="AH1683" s="431"/>
      <c r="AI1683" s="432"/>
      <c r="AJ1683" s="65"/>
      <c r="AO1683" s="692"/>
      <c r="AP1683" s="692"/>
      <c r="AV1683" s="56"/>
    </row>
    <row r="1684" spans="1:48" ht="13.5" customHeight="1" outlineLevel="2" thickBot="1">
      <c r="A1684" s="119"/>
      <c r="B1684" s="82"/>
      <c r="C1684" s="433" t="s">
        <v>484</v>
      </c>
      <c r="D1684" s="433" t="s">
        <v>467</v>
      </c>
      <c r="E1684" s="426"/>
      <c r="F1684" s="434">
        <f>AN1684</f>
        <v>0</v>
      </c>
      <c r="G1684" s="428"/>
      <c r="H1684" s="434">
        <f>H1683</f>
        <v>0</v>
      </c>
      <c r="I1684" s="69"/>
      <c r="J1684" s="434">
        <f>J1683</f>
        <v>0</v>
      </c>
      <c r="K1684" s="69"/>
      <c r="L1684" s="434">
        <f>L1683</f>
        <v>0</v>
      </c>
      <c r="M1684" s="69"/>
      <c r="N1684" s="434">
        <f>N1683-AO1684</f>
        <v>0</v>
      </c>
      <c r="O1684" s="69"/>
      <c r="P1684" s="434">
        <f>P1683</f>
        <v>0</v>
      </c>
      <c r="Q1684" s="69"/>
      <c r="R1684" s="429"/>
      <c r="S1684" s="430"/>
      <c r="T1684" s="434">
        <f>AO1684</f>
        <v>0</v>
      </c>
      <c r="U1684" s="428">
        <f>Q1683</f>
        <v>0</v>
      </c>
      <c r="V1684" s="434">
        <f>V1683</f>
        <v>0</v>
      </c>
      <c r="W1684" s="69">
        <f>S1683</f>
        <v>0</v>
      </c>
      <c r="X1684" s="434">
        <f>X1683-AN1684</f>
        <v>0</v>
      </c>
      <c r="Y1684" s="69">
        <f>U1683</f>
        <v>0</v>
      </c>
      <c r="Z1684" s="434">
        <f>Z1683</f>
        <v>0</v>
      </c>
      <c r="AA1684" s="69">
        <f>W1683</f>
        <v>0</v>
      </c>
      <c r="AB1684" s="434">
        <f>AB1683</f>
        <v>0</v>
      </c>
      <c r="AC1684" s="69">
        <f>Y1683</f>
        <v>0</v>
      </c>
      <c r="AD1684" s="434">
        <f>AD1683</f>
        <v>0</v>
      </c>
      <c r="AE1684" s="69"/>
      <c r="AF1684" s="429"/>
      <c r="AG1684" s="430"/>
      <c r="AH1684" s="431"/>
      <c r="AI1684" s="432"/>
      <c r="AJ1684" s="65"/>
      <c r="AN1684" s="695">
        <f>SUM(AF1678:AF1682)*AQ1684</f>
        <v>0</v>
      </c>
      <c r="AO1684" s="742">
        <f>SUM(R1678:R1682)*AQ1684</f>
        <v>0</v>
      </c>
      <c r="AP1684" s="742"/>
      <c r="AQ1684" s="693">
        <v>0.15</v>
      </c>
      <c r="AS1684" s="716">
        <f>SUM(AL1678:AL1682)</f>
        <v>0</v>
      </c>
      <c r="AT1684" s="461">
        <f>F1684+H1684+J1684+L1684+N1684+P1684+T1684+V1684+X1684+Z1684+AB1684+AD1684</f>
        <v>0</v>
      </c>
      <c r="AU1684" s="745">
        <f>AT1684-AS1684</f>
        <v>0</v>
      </c>
      <c r="AV1684" s="56"/>
    </row>
    <row r="1685" spans="1:48" ht="13.5" customHeight="1" outlineLevel="2" thickBot="1">
      <c r="B1685" s="82">
        <f>B1678+1</f>
        <v>34</v>
      </c>
      <c r="C1685" s="1233">
        <f>C244</f>
        <v>0</v>
      </c>
      <c r="D1685" s="1233">
        <f>D244</f>
        <v>0</v>
      </c>
      <c r="E1685" s="83" t="str">
        <f>'Terms and Turnovers'!$J$12</f>
        <v>FLIP-FLOPS</v>
      </c>
      <c r="F1685" s="118">
        <f>$R1685*G1685</f>
        <v>0</v>
      </c>
      <c r="G1685" s="69"/>
      <c r="H1685" s="314">
        <f>$R1685*I1685</f>
        <v>0</v>
      </c>
      <c r="I1685" s="69">
        <v>0</v>
      </c>
      <c r="J1685" s="118">
        <f>$R1685*K1685</f>
        <v>0</v>
      </c>
      <c r="K1685" s="69">
        <v>0.5</v>
      </c>
      <c r="L1685" s="314">
        <f>$R1685*M1685</f>
        <v>0</v>
      </c>
      <c r="M1685" s="69">
        <v>0.5</v>
      </c>
      <c r="N1685" s="314">
        <f>$R1685*O1685</f>
        <v>0</v>
      </c>
      <c r="O1685" s="69">
        <v>0</v>
      </c>
      <c r="P1685" s="118">
        <f>$R1685*Q1685</f>
        <v>0</v>
      </c>
      <c r="Q1685" s="69">
        <v>0</v>
      </c>
      <c r="R1685" s="87">
        <f>'Terms and Turnovers'!K165</f>
        <v>0</v>
      </c>
      <c r="S1685" s="160">
        <f>SUM(G1685,I1685,K1685,M1685,O1685,Q1685)</f>
        <v>1</v>
      </c>
      <c r="T1685" s="118">
        <f>$AF1685*U1685</f>
        <v>0</v>
      </c>
      <c r="U1685" s="69">
        <v>0</v>
      </c>
      <c r="V1685" s="314">
        <f>$AF1685*W1685</f>
        <v>0</v>
      </c>
      <c r="W1685" s="69">
        <v>0.4</v>
      </c>
      <c r="X1685" s="118">
        <f>$AF1685*Y1685</f>
        <v>0</v>
      </c>
      <c r="Y1685" s="69">
        <v>0.43</v>
      </c>
      <c r="Z1685" s="314">
        <f>$AF1685*AA1685</f>
        <v>0</v>
      </c>
      <c r="AA1685" s="69">
        <v>0.2</v>
      </c>
      <c r="AB1685" s="314">
        <f>$AF1685*AC1685</f>
        <v>0</v>
      </c>
      <c r="AC1685" s="69">
        <v>0</v>
      </c>
      <c r="AD1685" s="118">
        <f>$AF1685*AE1685</f>
        <v>0</v>
      </c>
      <c r="AE1685" s="69">
        <v>0</v>
      </c>
      <c r="AF1685" s="87">
        <f>'Terms and Turnovers'!P165</f>
        <v>0</v>
      </c>
      <c r="AG1685" s="160">
        <f>SUM(U1685,W1685,Y1685,AA1685,AC1685,AE1685)</f>
        <v>1.03</v>
      </c>
      <c r="AH1685" s="157">
        <f>SUM(R1685,AF1685)</f>
        <v>0</v>
      </c>
      <c r="AI1685" s="131">
        <f>S1685+AG1685</f>
        <v>2.0300000000000002</v>
      </c>
      <c r="AJ1685" s="65"/>
      <c r="AL1685" s="461">
        <f>SUM(F1685,H1685,J1685,L1685,N1685,P1685,T1685,V1685,X1685,Z1685,AB1685,AD1685)</f>
        <v>0</v>
      </c>
      <c r="AM1685" s="462">
        <f>AL1685-AH1685</f>
        <v>0</v>
      </c>
      <c r="AO1685" s="692"/>
      <c r="AP1685" s="692"/>
      <c r="AV1685" s="56"/>
    </row>
    <row r="1686" spans="1:48" ht="13.5" customHeight="1" outlineLevel="2" thickBot="1">
      <c r="B1686" s="82"/>
      <c r="C1686" s="1234"/>
      <c r="D1686" s="1234"/>
      <c r="E1686" s="84" t="str">
        <f>'Terms and Turnovers'!$T$12</f>
        <v>ORIGINALS</v>
      </c>
      <c r="F1686" s="120">
        <f>$R1686*G1686</f>
        <v>0</v>
      </c>
      <c r="G1686" s="723"/>
      <c r="H1686" s="120">
        <f>$R1686*I1686</f>
        <v>0</v>
      </c>
      <c r="I1686" s="69">
        <v>0</v>
      </c>
      <c r="J1686" s="120">
        <f>$R1686*K1686</f>
        <v>0</v>
      </c>
      <c r="K1686" s="69">
        <v>0.5</v>
      </c>
      <c r="L1686" s="120">
        <f>$R1686*M1686</f>
        <v>0</v>
      </c>
      <c r="M1686" s="69">
        <v>0.5</v>
      </c>
      <c r="N1686" s="315">
        <f>$R1686*O1686</f>
        <v>0</v>
      </c>
      <c r="O1686" s="69">
        <v>0</v>
      </c>
      <c r="P1686" s="120">
        <f>$R1686*Q1686</f>
        <v>0</v>
      </c>
      <c r="Q1686" s="69">
        <v>0</v>
      </c>
      <c r="R1686" s="88">
        <f>'Terms and Turnovers'!U165</f>
        <v>0</v>
      </c>
      <c r="S1686" s="161">
        <f>SUM(G1686,I1686,K1686,M1686,O1686,Q1686)</f>
        <v>1</v>
      </c>
      <c r="T1686" s="120">
        <f>$AF1686*U1686</f>
        <v>0</v>
      </c>
      <c r="U1686" s="723">
        <v>0</v>
      </c>
      <c r="V1686" s="120">
        <f>$AF1686*W1686</f>
        <v>0</v>
      </c>
      <c r="W1686" s="69">
        <v>0.5</v>
      </c>
      <c r="X1686" s="120">
        <f>$AF1686*Y1686</f>
        <v>0</v>
      </c>
      <c r="Y1686" s="69">
        <v>0.5</v>
      </c>
      <c r="Z1686" s="120">
        <f>$AF1686*AA1686</f>
        <v>0</v>
      </c>
      <c r="AA1686" s="69">
        <v>0</v>
      </c>
      <c r="AB1686" s="315">
        <f>$AF1686*AC1686</f>
        <v>0</v>
      </c>
      <c r="AC1686" s="69">
        <v>0</v>
      </c>
      <c r="AD1686" s="120">
        <f>$AF1686*AE1686</f>
        <v>0</v>
      </c>
      <c r="AE1686" s="69">
        <v>0</v>
      </c>
      <c r="AF1686" s="88">
        <f>'Terms and Turnovers'!Z165</f>
        <v>0</v>
      </c>
      <c r="AG1686" s="161">
        <f>SUM(U1686,W1686,Y1686,AA1686,AC1686,AE1686)</f>
        <v>1</v>
      </c>
      <c r="AH1686" s="158">
        <f>SUM(R1686,AF1686)</f>
        <v>0</v>
      </c>
      <c r="AI1686" s="134">
        <f>S1686+AG1686</f>
        <v>2</v>
      </c>
      <c r="AJ1686" s="65"/>
      <c r="AL1686" s="461">
        <f>SUM(F1686,H1686,J1686,L1686,N1686,P1686,T1686,V1686,X1686,Z1686,AB1686,AD1686)</f>
        <v>0</v>
      </c>
      <c r="AM1686" s="462">
        <f>AL1686-AH1686</f>
        <v>0</v>
      </c>
      <c r="AO1686" s="692"/>
      <c r="AP1686" s="692"/>
      <c r="AV1686" s="56"/>
    </row>
    <row r="1687" spans="1:48" ht="13.5" customHeight="1" outlineLevel="2" thickBot="1">
      <c r="B1687" s="82"/>
      <c r="C1687" s="1234"/>
      <c r="D1687" s="1234"/>
      <c r="E1687" s="84" t="str">
        <f>'Terms and Turnovers'!$AD$12</f>
        <v>ACCESSORIES</v>
      </c>
      <c r="F1687" s="120">
        <f>$R1687*G1687</f>
        <v>0</v>
      </c>
      <c r="G1687" s="723"/>
      <c r="H1687" s="120">
        <f>$R1687*I1687</f>
        <v>0</v>
      </c>
      <c r="I1687" s="69">
        <v>0</v>
      </c>
      <c r="J1687" s="120">
        <f>$R1687*K1687</f>
        <v>0</v>
      </c>
      <c r="K1687" s="69">
        <v>0.5</v>
      </c>
      <c r="L1687" s="120">
        <f>$R1687*M1687</f>
        <v>0</v>
      </c>
      <c r="M1687" s="69">
        <v>0.5</v>
      </c>
      <c r="N1687" s="315">
        <f>$R1687*O1687</f>
        <v>0</v>
      </c>
      <c r="O1687" s="69">
        <v>0</v>
      </c>
      <c r="P1687" s="120">
        <f>$R1687*Q1687</f>
        <v>0</v>
      </c>
      <c r="Q1687" s="69">
        <v>0</v>
      </c>
      <c r="R1687" s="88">
        <f>'Terms and Turnovers'!AE165</f>
        <v>0</v>
      </c>
      <c r="S1687" s="161">
        <f>SUM(G1687,I1687,K1687,M1687,O1687,Q1687)</f>
        <v>1</v>
      </c>
      <c r="T1687" s="120">
        <f>$AF1687*U1687</f>
        <v>0</v>
      </c>
      <c r="U1687" s="723">
        <v>0</v>
      </c>
      <c r="V1687" s="120">
        <f>$AF1687*W1687</f>
        <v>0</v>
      </c>
      <c r="W1687" s="69">
        <v>0.5</v>
      </c>
      <c r="X1687" s="120">
        <f>$AF1687*Y1687</f>
        <v>0</v>
      </c>
      <c r="Y1687" s="69">
        <v>0.5</v>
      </c>
      <c r="Z1687" s="120">
        <f>$AF1687*AA1687</f>
        <v>0</v>
      </c>
      <c r="AA1687" s="69">
        <v>0</v>
      </c>
      <c r="AB1687" s="315">
        <f>$AF1687*AC1687</f>
        <v>0</v>
      </c>
      <c r="AC1687" s="69">
        <v>0</v>
      </c>
      <c r="AD1687" s="120">
        <f>$AF1687*AE1687</f>
        <v>0</v>
      </c>
      <c r="AE1687" s="69">
        <v>0</v>
      </c>
      <c r="AF1687" s="88">
        <f>'Terms and Turnovers'!AJ165</f>
        <v>0</v>
      </c>
      <c r="AG1687" s="161">
        <f>SUM(U1687,W1687,Y1687,AA1687,AC1687,AE1687)</f>
        <v>1</v>
      </c>
      <c r="AH1687" s="158">
        <f>SUM(R1687,AF1687)</f>
        <v>0</v>
      </c>
      <c r="AI1687" s="134">
        <f>S1687+AG1687</f>
        <v>2</v>
      </c>
      <c r="AJ1687" s="65"/>
      <c r="AL1687" s="461">
        <f>SUM(F1687,H1687,J1687,L1687,N1687,P1687,T1687,V1687,X1687,Z1687,AB1687,AD1687)</f>
        <v>0</v>
      </c>
      <c r="AM1687" s="462">
        <f>AL1687-AH1687</f>
        <v>0</v>
      </c>
      <c r="AO1687" s="692"/>
      <c r="AP1687" s="692"/>
      <c r="AV1687" s="56"/>
    </row>
    <row r="1688" spans="1:48" ht="13.5" customHeight="1" outlineLevel="2" thickBot="1">
      <c r="B1688" s="82"/>
      <c r="C1688" s="1234"/>
      <c r="D1688" s="1234"/>
      <c r="E1688" s="84">
        <f>'Terms and Turnovers'!$AN$12</f>
        <v>0</v>
      </c>
      <c r="F1688" s="120">
        <f>$R1688*G1688</f>
        <v>0</v>
      </c>
      <c r="G1688" s="723"/>
      <c r="H1688" s="120">
        <f>$R1688*I1688</f>
        <v>0</v>
      </c>
      <c r="I1688" s="69">
        <v>0</v>
      </c>
      <c r="J1688" s="120">
        <f>$R1688*K1688</f>
        <v>0</v>
      </c>
      <c r="K1688" s="69">
        <v>0.5</v>
      </c>
      <c r="L1688" s="120">
        <f>$R1688*M1688</f>
        <v>0</v>
      </c>
      <c r="M1688" s="69">
        <v>0.5</v>
      </c>
      <c r="N1688" s="315">
        <f>$R1688*O1688</f>
        <v>0</v>
      </c>
      <c r="O1688" s="69">
        <v>0</v>
      </c>
      <c r="P1688" s="120">
        <f>$R1688*Q1688</f>
        <v>0</v>
      </c>
      <c r="Q1688" s="69">
        <v>0</v>
      </c>
      <c r="R1688" s="88">
        <f>'Terms and Turnovers'!AO165</f>
        <v>0</v>
      </c>
      <c r="S1688" s="161">
        <f>SUM(G1688,I1688,K1688,M1688,O1688,Q1688)</f>
        <v>1</v>
      </c>
      <c r="T1688" s="120">
        <f>$AF1688*U1688</f>
        <v>0</v>
      </c>
      <c r="U1688" s="723">
        <v>0</v>
      </c>
      <c r="V1688" s="120">
        <f>$AF1688*W1688</f>
        <v>0</v>
      </c>
      <c r="W1688" s="69">
        <v>0.4</v>
      </c>
      <c r="X1688" s="120">
        <f>$AF1688*Y1688</f>
        <v>0</v>
      </c>
      <c r="Y1688" s="69">
        <v>0.4</v>
      </c>
      <c r="Z1688" s="120">
        <f>$AF1688*AA1688</f>
        <v>0</v>
      </c>
      <c r="AA1688" s="69">
        <v>0.2</v>
      </c>
      <c r="AB1688" s="315">
        <f>$AF1688*AC1688</f>
        <v>0</v>
      </c>
      <c r="AC1688" s="69">
        <v>0</v>
      </c>
      <c r="AD1688" s="120">
        <f>$AF1688*AE1688</f>
        <v>0</v>
      </c>
      <c r="AE1688" s="69">
        <v>0</v>
      </c>
      <c r="AF1688" s="88">
        <f>'Terms and Turnovers'!AT165</f>
        <v>0</v>
      </c>
      <c r="AG1688" s="161">
        <f>SUM(U1688,W1688,Y1688,AA1688,AC1688,AE1688)</f>
        <v>1</v>
      </c>
      <c r="AH1688" s="158">
        <f>SUM(R1688,AF1688)</f>
        <v>0</v>
      </c>
      <c r="AI1688" s="134">
        <f>S1688+AG1688</f>
        <v>2</v>
      </c>
      <c r="AJ1688" s="65"/>
      <c r="AL1688" s="461">
        <f>SUM(F1688,H1688,J1688,L1688,N1688,P1688,T1688,V1688,X1688,Z1688,AB1688,AD1688)</f>
        <v>0</v>
      </c>
      <c r="AM1688" s="462">
        <f>AL1688-AH1688</f>
        <v>0</v>
      </c>
      <c r="AO1688" s="692"/>
      <c r="AP1688" s="692"/>
      <c r="AV1688" s="56"/>
    </row>
    <row r="1689" spans="1:48" ht="13.5" customHeight="1" outlineLevel="2" thickBot="1">
      <c r="B1689" s="82"/>
      <c r="C1689" s="1235"/>
      <c r="D1689" s="1235"/>
      <c r="E1689" s="85">
        <f>'Terms and Turnovers'!$AX$12</f>
        <v>0</v>
      </c>
      <c r="F1689" s="121">
        <f>$R1689*G1689</f>
        <v>0</v>
      </c>
      <c r="G1689" s="72"/>
      <c r="H1689" s="121">
        <f>$R1689*I1689</f>
        <v>0</v>
      </c>
      <c r="I1689" s="69">
        <v>0</v>
      </c>
      <c r="J1689" s="121">
        <f>$R1689*K1689</f>
        <v>0</v>
      </c>
      <c r="K1689" s="69">
        <v>0.5</v>
      </c>
      <c r="L1689" s="121">
        <f>$R1689*M1689</f>
        <v>0</v>
      </c>
      <c r="M1689" s="69">
        <v>0.5</v>
      </c>
      <c r="N1689" s="316">
        <f>$R1689*O1689</f>
        <v>0</v>
      </c>
      <c r="O1689" s="69">
        <v>0</v>
      </c>
      <c r="P1689" s="121">
        <f>$R1689*Q1689</f>
        <v>0</v>
      </c>
      <c r="Q1689" s="69">
        <v>0</v>
      </c>
      <c r="R1689" s="89">
        <f>'Terms and Turnovers'!AY165</f>
        <v>0</v>
      </c>
      <c r="S1689" s="162">
        <f>SUM(G1689,I1689,K1689,M1689,O1689,Q1689)</f>
        <v>1</v>
      </c>
      <c r="T1689" s="121">
        <f>$AF1689*U1689</f>
        <v>0</v>
      </c>
      <c r="U1689" s="72">
        <v>0</v>
      </c>
      <c r="V1689" s="121">
        <f>$AF1689*W1689</f>
        <v>0</v>
      </c>
      <c r="W1689" s="69">
        <v>0.4</v>
      </c>
      <c r="X1689" s="121">
        <f>$AF1689*Y1689</f>
        <v>0</v>
      </c>
      <c r="Y1689" s="69">
        <v>0.4</v>
      </c>
      <c r="Z1689" s="121">
        <f>$AF1689*AA1689</f>
        <v>0</v>
      </c>
      <c r="AA1689" s="69">
        <v>0.2</v>
      </c>
      <c r="AB1689" s="316">
        <f>$AF1689*AC1689</f>
        <v>0</v>
      </c>
      <c r="AC1689" s="69">
        <v>0</v>
      </c>
      <c r="AD1689" s="121">
        <f>$AF1689*AE1689</f>
        <v>0</v>
      </c>
      <c r="AE1689" s="69">
        <v>0</v>
      </c>
      <c r="AF1689" s="89">
        <f>'Terms and Turnovers'!BD165</f>
        <v>0</v>
      </c>
      <c r="AG1689" s="162">
        <f>SUM(U1689,W1689,Y1689,AA1689,AC1689,AE1689)</f>
        <v>1</v>
      </c>
      <c r="AH1689" s="159">
        <f>SUM(R1689,AF1689)</f>
        <v>0</v>
      </c>
      <c r="AI1689" s="137">
        <f>S1689+AG1689</f>
        <v>2</v>
      </c>
      <c r="AJ1689" s="65"/>
      <c r="AL1689" s="461">
        <f>SUM(F1689,H1689,J1689,L1689,N1689,P1689,T1689,V1689,X1689,Z1689,AB1689,AD1689)</f>
        <v>0</v>
      </c>
      <c r="AM1689" s="462">
        <f>AL1689-AH1689</f>
        <v>0</v>
      </c>
      <c r="AO1689" s="692"/>
      <c r="AP1689" s="692"/>
      <c r="AV1689" s="56"/>
    </row>
    <row r="1690" spans="1:48" ht="13.5" customHeight="1" outlineLevel="2" thickBot="1">
      <c r="A1690" s="119"/>
      <c r="B1690" s="82"/>
      <c r="C1690" s="425"/>
      <c r="D1690" s="425"/>
      <c r="E1690" s="426"/>
      <c r="F1690" s="427">
        <f>SUM(F1685:F1689)</f>
        <v>0</v>
      </c>
      <c r="G1690" s="428"/>
      <c r="H1690" s="427">
        <f>SUM(H1685:H1689)</f>
        <v>0</v>
      </c>
      <c r="I1690" s="69"/>
      <c r="J1690" s="427">
        <f>SUM(J1685:J1689)</f>
        <v>0</v>
      </c>
      <c r="K1690" s="69"/>
      <c r="L1690" s="427">
        <f>SUM(L1685:L1689)</f>
        <v>0</v>
      </c>
      <c r="M1690" s="69"/>
      <c r="N1690" s="427">
        <f>SUM(N1685:N1689)</f>
        <v>0</v>
      </c>
      <c r="O1690" s="69"/>
      <c r="P1690" s="427">
        <f>SUM(P1685:P1689)</f>
        <v>0</v>
      </c>
      <c r="Q1690" s="69"/>
      <c r="R1690" s="429"/>
      <c r="S1690" s="430"/>
      <c r="T1690" s="427">
        <f>SUM(T1685:T1689)</f>
        <v>0</v>
      </c>
      <c r="U1690" s="428"/>
      <c r="V1690" s="427">
        <f>SUM(V1685:V1689)</f>
        <v>0</v>
      </c>
      <c r="W1690" s="69"/>
      <c r="X1690" s="427">
        <f>SUM(X1685:X1689)</f>
        <v>0</v>
      </c>
      <c r="Y1690" s="69"/>
      <c r="Z1690" s="427">
        <f>SUM(Z1685:Z1689)</f>
        <v>0</v>
      </c>
      <c r="AA1690" s="69"/>
      <c r="AB1690" s="427">
        <f>SUM(AB1685:AB1689)</f>
        <v>0</v>
      </c>
      <c r="AC1690" s="69"/>
      <c r="AD1690" s="427">
        <f>SUM(AD1685:AD1689)</f>
        <v>0</v>
      </c>
      <c r="AE1690" s="69"/>
      <c r="AF1690" s="429"/>
      <c r="AG1690" s="430"/>
      <c r="AH1690" s="431"/>
      <c r="AI1690" s="432"/>
      <c r="AJ1690" s="65"/>
      <c r="AO1690" s="692"/>
      <c r="AP1690" s="692"/>
      <c r="AV1690" s="56"/>
    </row>
    <row r="1691" spans="1:48" ht="13.5" customHeight="1" outlineLevel="2" thickBot="1">
      <c r="A1691" s="119"/>
      <c r="B1691" s="82"/>
      <c r="C1691" s="433" t="s">
        <v>484</v>
      </c>
      <c r="D1691" s="433" t="s">
        <v>350</v>
      </c>
      <c r="E1691" s="426"/>
      <c r="F1691" s="434">
        <f>AN1691</f>
        <v>0</v>
      </c>
      <c r="G1691" s="428"/>
      <c r="H1691" s="434">
        <f>H1690</f>
        <v>0</v>
      </c>
      <c r="I1691" s="69"/>
      <c r="J1691" s="434">
        <f>J1690</f>
        <v>0</v>
      </c>
      <c r="K1691" s="69"/>
      <c r="L1691" s="434">
        <f>L1690-AO1691</f>
        <v>0</v>
      </c>
      <c r="M1691" s="69"/>
      <c r="N1691" s="434">
        <f>N1690</f>
        <v>0</v>
      </c>
      <c r="O1691" s="69"/>
      <c r="P1691" s="434">
        <f>P1690</f>
        <v>0</v>
      </c>
      <c r="Q1691" s="69"/>
      <c r="R1691" s="429"/>
      <c r="S1691" s="430"/>
      <c r="T1691" s="434">
        <f>AO1691</f>
        <v>0</v>
      </c>
      <c r="U1691" s="428">
        <f>Q1690</f>
        <v>0</v>
      </c>
      <c r="V1691" s="434">
        <f>V1690</f>
        <v>0</v>
      </c>
      <c r="W1691" s="69">
        <f>S1690</f>
        <v>0</v>
      </c>
      <c r="X1691" s="434">
        <f>X1690</f>
        <v>0</v>
      </c>
      <c r="Y1691" s="69">
        <f>U1690</f>
        <v>0</v>
      </c>
      <c r="Z1691" s="434">
        <f>Z1690</f>
        <v>0</v>
      </c>
      <c r="AA1691" s="69">
        <f>W1690</f>
        <v>0</v>
      </c>
      <c r="AB1691" s="434">
        <f>AB1690</f>
        <v>0</v>
      </c>
      <c r="AC1691" s="69">
        <f>Y1690</f>
        <v>0</v>
      </c>
      <c r="AD1691" s="434">
        <f>AD1690</f>
        <v>0</v>
      </c>
      <c r="AE1691" s="69"/>
      <c r="AF1691" s="429"/>
      <c r="AG1691" s="430"/>
      <c r="AH1691" s="431"/>
      <c r="AI1691" s="432"/>
      <c r="AJ1691" s="65"/>
      <c r="AN1691" s="695">
        <f>SUM(AF1685:AF1689)*AQ1691</f>
        <v>0</v>
      </c>
      <c r="AO1691" s="742">
        <f>SUM(R1685:R1689)*AQ1691</f>
        <v>0</v>
      </c>
      <c r="AP1691" s="742"/>
      <c r="AQ1691" s="693">
        <v>0.15</v>
      </c>
      <c r="AS1691" s="716">
        <f>SUM(AL1685:AL1689)</f>
        <v>0</v>
      </c>
      <c r="AT1691" s="461">
        <f>F1691+H1691+J1691+L1691+N1691+P1691+T1691+V1691+X1691+Z1691+AB1691+AD1691</f>
        <v>0</v>
      </c>
      <c r="AU1691" s="745">
        <f>AT1691-AS1691</f>
        <v>0</v>
      </c>
      <c r="AV1691" s="56"/>
    </row>
    <row r="1692" spans="1:48" ht="13.5" customHeight="1" outlineLevel="2" thickBot="1">
      <c r="B1692" s="82">
        <f>B1685+1</f>
        <v>35</v>
      </c>
      <c r="C1692" s="1233">
        <f>C251</f>
        <v>0</v>
      </c>
      <c r="D1692" s="1233">
        <f>D251</f>
        <v>0</v>
      </c>
      <c r="E1692" s="83" t="str">
        <f>'Terms and Turnovers'!$J$12</f>
        <v>FLIP-FLOPS</v>
      </c>
      <c r="F1692" s="118">
        <f>$R1692*G1692</f>
        <v>0</v>
      </c>
      <c r="G1692" s="69"/>
      <c r="H1692" s="314">
        <f>$R1692*I1692</f>
        <v>0</v>
      </c>
      <c r="I1692" s="69">
        <v>0</v>
      </c>
      <c r="J1692" s="118">
        <f>$R1692*K1692</f>
        <v>0</v>
      </c>
      <c r="K1692" s="69">
        <v>0.3</v>
      </c>
      <c r="L1692" s="314">
        <f>$R1692*M1692</f>
        <v>0</v>
      </c>
      <c r="M1692" s="69">
        <v>0.4</v>
      </c>
      <c r="N1692" s="314">
        <f>$R1692*O1692</f>
        <v>0</v>
      </c>
      <c r="O1692" s="69">
        <v>0.3</v>
      </c>
      <c r="P1692" s="118">
        <f>$R1692*Q1692</f>
        <v>0</v>
      </c>
      <c r="Q1692" s="69">
        <v>0</v>
      </c>
      <c r="R1692" s="87">
        <f>'Terms and Turnovers'!K166</f>
        <v>0</v>
      </c>
      <c r="S1692" s="160">
        <f>SUM(G1692,I1692,K1692,M1692,O1692,Q1692)</f>
        <v>1</v>
      </c>
      <c r="T1692" s="118">
        <f>$AF1692*U1692</f>
        <v>0</v>
      </c>
      <c r="U1692" s="69">
        <v>0</v>
      </c>
      <c r="V1692" s="314">
        <f>$AF1692*W1692</f>
        <v>0</v>
      </c>
      <c r="W1692" s="69">
        <v>0.4</v>
      </c>
      <c r="X1692" s="118">
        <f>$AF1692*Y1692</f>
        <v>0</v>
      </c>
      <c r="Y1692" s="69">
        <v>0.45</v>
      </c>
      <c r="Z1692" s="314">
        <f>$AF1692*AA1692</f>
        <v>0</v>
      </c>
      <c r="AA1692" s="69">
        <v>0.15</v>
      </c>
      <c r="AB1692" s="314">
        <f>$AF1692*AC1692</f>
        <v>0</v>
      </c>
      <c r="AC1692" s="69">
        <v>0</v>
      </c>
      <c r="AD1692" s="118">
        <f>$AF1692*AE1692</f>
        <v>0</v>
      </c>
      <c r="AE1692" s="69">
        <v>0</v>
      </c>
      <c r="AF1692" s="87">
        <f>'Terms and Turnovers'!P166</f>
        <v>0</v>
      </c>
      <c r="AG1692" s="160">
        <f>SUM(U1692,W1692,Y1692,AA1692,AC1692,AE1692)</f>
        <v>1</v>
      </c>
      <c r="AH1692" s="157">
        <f>SUM(R1692,AF1692)</f>
        <v>0</v>
      </c>
      <c r="AI1692" s="131">
        <f>S1692+AG1692</f>
        <v>2</v>
      </c>
      <c r="AJ1692" s="65"/>
      <c r="AL1692" s="461">
        <f>SUM(F1692,H1692,J1692,L1692,N1692,P1692,T1692,V1692,X1692,Z1692,AB1692,AD1692)</f>
        <v>0</v>
      </c>
      <c r="AM1692" s="462">
        <f>AL1692-AH1692</f>
        <v>0</v>
      </c>
      <c r="AO1692" s="692"/>
      <c r="AP1692" s="692"/>
      <c r="AV1692" s="56"/>
    </row>
    <row r="1693" spans="1:48" ht="13.5" customHeight="1" outlineLevel="2" thickBot="1">
      <c r="B1693" s="82"/>
      <c r="C1693" s="1234"/>
      <c r="D1693" s="1234"/>
      <c r="E1693" s="84" t="str">
        <f>'Terms and Turnovers'!$T$12</f>
        <v>ORIGINALS</v>
      </c>
      <c r="F1693" s="120">
        <f>$R1693*G1693</f>
        <v>0</v>
      </c>
      <c r="G1693" s="723"/>
      <c r="H1693" s="120">
        <f>$R1693*I1693</f>
        <v>0</v>
      </c>
      <c r="I1693" s="69">
        <v>0</v>
      </c>
      <c r="J1693" s="120">
        <f>$R1693*K1693</f>
        <v>0</v>
      </c>
      <c r="K1693" s="69">
        <v>0.5</v>
      </c>
      <c r="L1693" s="120">
        <f>$R1693*M1693</f>
        <v>0</v>
      </c>
      <c r="M1693" s="69">
        <v>0.5</v>
      </c>
      <c r="N1693" s="315">
        <f>$R1693*O1693</f>
        <v>0</v>
      </c>
      <c r="O1693" s="69">
        <v>0</v>
      </c>
      <c r="P1693" s="120">
        <f>$R1693*Q1693</f>
        <v>0</v>
      </c>
      <c r="Q1693" s="69">
        <v>0</v>
      </c>
      <c r="R1693" s="88">
        <f>'Terms and Turnovers'!U166</f>
        <v>0</v>
      </c>
      <c r="S1693" s="161">
        <f>SUM(G1693,I1693,K1693,M1693,O1693,Q1693)</f>
        <v>1</v>
      </c>
      <c r="T1693" s="120">
        <f>$AF1693*U1693</f>
        <v>0</v>
      </c>
      <c r="U1693" s="723">
        <v>0</v>
      </c>
      <c r="V1693" s="120">
        <f>$AF1693*W1693</f>
        <v>0</v>
      </c>
      <c r="W1693" s="69">
        <v>0.5</v>
      </c>
      <c r="X1693" s="120">
        <f>$AF1693*Y1693</f>
        <v>0</v>
      </c>
      <c r="Y1693" s="69">
        <v>0.5</v>
      </c>
      <c r="Z1693" s="120">
        <f>$AF1693*AA1693</f>
        <v>0</v>
      </c>
      <c r="AA1693" s="69">
        <v>0</v>
      </c>
      <c r="AB1693" s="315">
        <f>$AF1693*AC1693</f>
        <v>0</v>
      </c>
      <c r="AC1693" s="69">
        <v>0</v>
      </c>
      <c r="AD1693" s="120">
        <f>$AF1693*AE1693</f>
        <v>0</v>
      </c>
      <c r="AE1693" s="69">
        <v>0</v>
      </c>
      <c r="AF1693" s="88">
        <f>'Terms and Turnovers'!Z166</f>
        <v>0</v>
      </c>
      <c r="AG1693" s="161">
        <f>SUM(U1693,W1693,Y1693,AA1693,AC1693,AE1693)</f>
        <v>1</v>
      </c>
      <c r="AH1693" s="158">
        <f>SUM(R1693,AF1693)</f>
        <v>0</v>
      </c>
      <c r="AI1693" s="134">
        <f>S1693+AG1693</f>
        <v>2</v>
      </c>
      <c r="AJ1693" s="65"/>
      <c r="AL1693" s="461">
        <f>SUM(F1693,H1693,J1693,L1693,N1693,P1693,T1693,V1693,X1693,Z1693,AB1693,AD1693)</f>
        <v>0</v>
      </c>
      <c r="AM1693" s="462">
        <f>AL1693-AH1693</f>
        <v>0</v>
      </c>
      <c r="AO1693" s="692"/>
      <c r="AP1693" s="692"/>
      <c r="AV1693" s="56"/>
    </row>
    <row r="1694" spans="1:48" ht="13.5" customHeight="1" outlineLevel="2" thickBot="1">
      <c r="B1694" s="82"/>
      <c r="C1694" s="1234"/>
      <c r="D1694" s="1234"/>
      <c r="E1694" s="84" t="str">
        <f>'Terms and Turnovers'!$AD$12</f>
        <v>ACCESSORIES</v>
      </c>
      <c r="F1694" s="120">
        <f>$R1694*G1694</f>
        <v>0</v>
      </c>
      <c r="G1694" s="723"/>
      <c r="H1694" s="120">
        <f>$R1694*I1694</f>
        <v>0</v>
      </c>
      <c r="I1694" s="69">
        <v>0</v>
      </c>
      <c r="J1694" s="120">
        <f>$R1694*K1694</f>
        <v>0</v>
      </c>
      <c r="K1694" s="69">
        <v>0.5</v>
      </c>
      <c r="L1694" s="120">
        <f>$R1694*M1694</f>
        <v>0</v>
      </c>
      <c r="M1694" s="69">
        <v>0.5</v>
      </c>
      <c r="N1694" s="315">
        <f>$R1694*O1694</f>
        <v>0</v>
      </c>
      <c r="O1694" s="69">
        <v>0</v>
      </c>
      <c r="P1694" s="120">
        <f>$R1694*Q1694</f>
        <v>0</v>
      </c>
      <c r="Q1694" s="69">
        <v>0</v>
      </c>
      <c r="R1694" s="88">
        <f>'Terms and Turnovers'!AE166</f>
        <v>0</v>
      </c>
      <c r="S1694" s="161">
        <f>SUM(G1694,I1694,K1694,M1694,O1694,Q1694)</f>
        <v>1</v>
      </c>
      <c r="T1694" s="120">
        <f>$AF1694*U1694</f>
        <v>0</v>
      </c>
      <c r="U1694" s="723">
        <v>0</v>
      </c>
      <c r="V1694" s="120">
        <f>$AF1694*W1694</f>
        <v>0</v>
      </c>
      <c r="W1694" s="69">
        <v>0.5</v>
      </c>
      <c r="X1694" s="120">
        <f>$AF1694*Y1694</f>
        <v>0</v>
      </c>
      <c r="Y1694" s="69">
        <v>0.5</v>
      </c>
      <c r="Z1694" s="120">
        <f>$AF1694*AA1694</f>
        <v>0</v>
      </c>
      <c r="AA1694" s="69">
        <v>0</v>
      </c>
      <c r="AB1694" s="315">
        <f>$AF1694*AC1694</f>
        <v>0</v>
      </c>
      <c r="AC1694" s="69">
        <v>0</v>
      </c>
      <c r="AD1694" s="120">
        <f>$AF1694*AE1694</f>
        <v>0</v>
      </c>
      <c r="AE1694" s="69">
        <v>0</v>
      </c>
      <c r="AF1694" s="88">
        <f>'Terms and Turnovers'!AJ166</f>
        <v>0</v>
      </c>
      <c r="AG1694" s="161">
        <f>SUM(U1694,W1694,Y1694,AA1694,AC1694,AE1694)</f>
        <v>1</v>
      </c>
      <c r="AH1694" s="158">
        <f>SUM(R1694,AF1694)</f>
        <v>0</v>
      </c>
      <c r="AI1694" s="134">
        <f>S1694+AG1694</f>
        <v>2</v>
      </c>
      <c r="AJ1694" s="65"/>
      <c r="AL1694" s="461">
        <f>SUM(F1694,H1694,J1694,L1694,N1694,P1694,T1694,V1694,X1694,Z1694,AB1694,AD1694)</f>
        <v>0</v>
      </c>
      <c r="AM1694" s="462">
        <f>AL1694-AH1694</f>
        <v>0</v>
      </c>
      <c r="AO1694" s="692"/>
      <c r="AP1694" s="692"/>
      <c r="AV1694" s="56"/>
    </row>
    <row r="1695" spans="1:48" ht="13.5" customHeight="1" outlineLevel="2" thickBot="1">
      <c r="B1695" s="82"/>
      <c r="C1695" s="1234"/>
      <c r="D1695" s="1234"/>
      <c r="E1695" s="84">
        <f>'Terms and Turnovers'!$AN$12</f>
        <v>0</v>
      </c>
      <c r="F1695" s="120">
        <f>$R1695*G1695</f>
        <v>0</v>
      </c>
      <c r="G1695" s="723"/>
      <c r="H1695" s="120">
        <f>$R1695*I1695</f>
        <v>0</v>
      </c>
      <c r="I1695" s="69">
        <v>0</v>
      </c>
      <c r="J1695" s="120">
        <f>$R1695*K1695</f>
        <v>0</v>
      </c>
      <c r="K1695" s="69">
        <v>0.3</v>
      </c>
      <c r="L1695" s="120">
        <f>$R1695*M1695</f>
        <v>0</v>
      </c>
      <c r="M1695" s="69">
        <v>0.4</v>
      </c>
      <c r="N1695" s="315">
        <f>$R1695*O1695</f>
        <v>0</v>
      </c>
      <c r="O1695" s="69">
        <v>0.3</v>
      </c>
      <c r="P1695" s="120">
        <f>$R1695*Q1695</f>
        <v>0</v>
      </c>
      <c r="Q1695" s="69">
        <v>0</v>
      </c>
      <c r="R1695" s="88">
        <f>'Terms and Turnovers'!AO166</f>
        <v>0</v>
      </c>
      <c r="S1695" s="161">
        <f>SUM(G1695,I1695,K1695,M1695,O1695,Q1695)</f>
        <v>1</v>
      </c>
      <c r="T1695" s="120">
        <f>$AF1695*U1695</f>
        <v>0</v>
      </c>
      <c r="U1695" s="723">
        <v>0</v>
      </c>
      <c r="V1695" s="120">
        <f>$AF1695*W1695</f>
        <v>0</v>
      </c>
      <c r="W1695" s="69">
        <v>0.4</v>
      </c>
      <c r="X1695" s="120">
        <f>$AF1695*Y1695</f>
        <v>0</v>
      </c>
      <c r="Y1695" s="69">
        <v>0.45</v>
      </c>
      <c r="Z1695" s="120">
        <f>$AF1695*AA1695</f>
        <v>0</v>
      </c>
      <c r="AA1695" s="69">
        <v>0.15</v>
      </c>
      <c r="AB1695" s="315">
        <f>$AF1695*AC1695</f>
        <v>0</v>
      </c>
      <c r="AC1695" s="69">
        <v>0</v>
      </c>
      <c r="AD1695" s="120">
        <f>$AF1695*AE1695</f>
        <v>0</v>
      </c>
      <c r="AE1695" s="69">
        <v>0</v>
      </c>
      <c r="AF1695" s="88">
        <f>'Terms and Turnovers'!AT166</f>
        <v>0</v>
      </c>
      <c r="AG1695" s="161">
        <f>SUM(U1695,W1695,Y1695,AA1695,AC1695,AE1695)</f>
        <v>1</v>
      </c>
      <c r="AH1695" s="158">
        <f>SUM(R1695,AF1695)</f>
        <v>0</v>
      </c>
      <c r="AI1695" s="134">
        <f>S1695+AG1695</f>
        <v>2</v>
      </c>
      <c r="AJ1695" s="65"/>
      <c r="AL1695" s="461">
        <f>SUM(F1695,H1695,J1695,L1695,N1695,P1695,T1695,V1695,X1695,Z1695,AB1695,AD1695)</f>
        <v>0</v>
      </c>
      <c r="AM1695" s="462">
        <f>AL1695-AH1695</f>
        <v>0</v>
      </c>
      <c r="AO1695" s="692"/>
      <c r="AP1695" s="692"/>
      <c r="AV1695" s="56"/>
    </row>
    <row r="1696" spans="1:48" ht="13.5" customHeight="1" outlineLevel="2" thickBot="1">
      <c r="B1696" s="82"/>
      <c r="C1696" s="1235"/>
      <c r="D1696" s="1235"/>
      <c r="E1696" s="85">
        <f>'Terms and Turnovers'!$AX$12</f>
        <v>0</v>
      </c>
      <c r="F1696" s="121">
        <f>$R1696*G1696</f>
        <v>0</v>
      </c>
      <c r="G1696" s="72"/>
      <c r="H1696" s="121">
        <f>$R1696*I1696</f>
        <v>0</v>
      </c>
      <c r="I1696" s="69">
        <v>0</v>
      </c>
      <c r="J1696" s="121">
        <f>$R1696*K1696</f>
        <v>0</v>
      </c>
      <c r="K1696" s="69">
        <v>0.3</v>
      </c>
      <c r="L1696" s="121">
        <f>$R1696*M1696</f>
        <v>0</v>
      </c>
      <c r="M1696" s="69">
        <v>0.4</v>
      </c>
      <c r="N1696" s="316">
        <f>$R1696*O1696</f>
        <v>0</v>
      </c>
      <c r="O1696" s="69">
        <v>0.3</v>
      </c>
      <c r="P1696" s="121">
        <f>$R1696*Q1696</f>
        <v>0</v>
      </c>
      <c r="Q1696" s="69">
        <v>0</v>
      </c>
      <c r="R1696" s="89">
        <f>'Terms and Turnovers'!AY166</f>
        <v>0</v>
      </c>
      <c r="S1696" s="162">
        <f>SUM(G1696,I1696,K1696,M1696,O1696,Q1696)</f>
        <v>1</v>
      </c>
      <c r="T1696" s="121">
        <f>$AF1696*U1696</f>
        <v>0</v>
      </c>
      <c r="U1696" s="72">
        <v>0</v>
      </c>
      <c r="V1696" s="121">
        <f>$AF1696*W1696</f>
        <v>0</v>
      </c>
      <c r="W1696" s="69">
        <v>0.4</v>
      </c>
      <c r="X1696" s="121">
        <f>$AF1696*Y1696</f>
        <v>0</v>
      </c>
      <c r="Y1696" s="69">
        <v>0.45</v>
      </c>
      <c r="Z1696" s="121">
        <f>$AF1696*AA1696</f>
        <v>0</v>
      </c>
      <c r="AA1696" s="69">
        <v>0.15</v>
      </c>
      <c r="AB1696" s="316">
        <f>$AF1696*AC1696</f>
        <v>0</v>
      </c>
      <c r="AC1696" s="69">
        <v>0</v>
      </c>
      <c r="AD1696" s="121">
        <f>$AF1696*AE1696</f>
        <v>0</v>
      </c>
      <c r="AE1696" s="69">
        <v>0</v>
      </c>
      <c r="AF1696" s="89">
        <f>'Terms and Turnovers'!BD166</f>
        <v>0</v>
      </c>
      <c r="AG1696" s="162">
        <f>SUM(U1696,W1696,Y1696,AA1696,AC1696,AE1696)</f>
        <v>1</v>
      </c>
      <c r="AH1696" s="159">
        <f>SUM(R1696,AF1696)</f>
        <v>0</v>
      </c>
      <c r="AI1696" s="137">
        <f>S1696+AG1696</f>
        <v>2</v>
      </c>
      <c r="AJ1696" s="65"/>
      <c r="AL1696" s="461">
        <f>SUM(F1696,H1696,J1696,L1696,N1696,P1696,T1696,V1696,X1696,Z1696,AB1696,AD1696)</f>
        <v>0</v>
      </c>
      <c r="AM1696" s="462">
        <f>AL1696-AH1696</f>
        <v>0</v>
      </c>
      <c r="AO1696" s="692"/>
      <c r="AP1696" s="692"/>
      <c r="AV1696" s="56"/>
    </row>
    <row r="1697" spans="1:48" ht="13.5" customHeight="1" outlineLevel="2" thickBot="1">
      <c r="A1697" s="119"/>
      <c r="B1697" s="82"/>
      <c r="C1697" s="425"/>
      <c r="D1697" s="425"/>
      <c r="E1697" s="426"/>
      <c r="F1697" s="427">
        <f>SUM(F1692:F1696)</f>
        <v>0</v>
      </c>
      <c r="G1697" s="428"/>
      <c r="H1697" s="427">
        <f>SUM(H1692:H1696)</f>
        <v>0</v>
      </c>
      <c r="I1697" s="69"/>
      <c r="J1697" s="427">
        <f>SUM(J1692:J1696)</f>
        <v>0</v>
      </c>
      <c r="K1697" s="69"/>
      <c r="L1697" s="427">
        <f>SUM(L1692:L1696)</f>
        <v>0</v>
      </c>
      <c r="M1697" s="69"/>
      <c r="N1697" s="427">
        <f>SUM(N1692:N1696)</f>
        <v>0</v>
      </c>
      <c r="O1697" s="69"/>
      <c r="P1697" s="427">
        <f>SUM(P1692:P1696)</f>
        <v>0</v>
      </c>
      <c r="Q1697" s="69"/>
      <c r="R1697" s="429"/>
      <c r="S1697" s="430"/>
      <c r="T1697" s="427">
        <f>SUM(T1692:T1696)</f>
        <v>0</v>
      </c>
      <c r="U1697" s="428"/>
      <c r="V1697" s="427">
        <f>SUM(V1692:V1696)</f>
        <v>0</v>
      </c>
      <c r="W1697" s="69"/>
      <c r="X1697" s="427">
        <f>SUM(X1692:X1696)</f>
        <v>0</v>
      </c>
      <c r="Y1697" s="69"/>
      <c r="Z1697" s="427">
        <f>SUM(Z1692:Z1696)</f>
        <v>0</v>
      </c>
      <c r="AA1697" s="69"/>
      <c r="AB1697" s="427">
        <f>SUM(AB1692:AB1696)</f>
        <v>0</v>
      </c>
      <c r="AC1697" s="69"/>
      <c r="AD1697" s="427">
        <f>SUM(AD1692:AD1696)</f>
        <v>0</v>
      </c>
      <c r="AE1697" s="69"/>
      <c r="AF1697" s="429"/>
      <c r="AG1697" s="430"/>
      <c r="AH1697" s="431"/>
      <c r="AI1697" s="432"/>
      <c r="AJ1697" s="65"/>
      <c r="AO1697" s="692"/>
      <c r="AP1697" s="692"/>
      <c r="AV1697" s="56"/>
    </row>
    <row r="1698" spans="1:48" ht="13.5" customHeight="1" outlineLevel="2" thickBot="1">
      <c r="A1698" s="119"/>
      <c r="B1698" s="82"/>
      <c r="C1698" s="433" t="s">
        <v>484</v>
      </c>
      <c r="D1698" s="433" t="s">
        <v>351</v>
      </c>
      <c r="E1698" s="426"/>
      <c r="F1698" s="434">
        <f>AN1698</f>
        <v>0</v>
      </c>
      <c r="G1698" s="428"/>
      <c r="H1698" s="434">
        <f>H1697</f>
        <v>0</v>
      </c>
      <c r="I1698" s="69"/>
      <c r="J1698" s="434">
        <f>J1697</f>
        <v>0</v>
      </c>
      <c r="K1698" s="69"/>
      <c r="L1698" s="434">
        <f>L1697</f>
        <v>0</v>
      </c>
      <c r="M1698" s="69"/>
      <c r="N1698" s="434">
        <f>N1697-AO1698</f>
        <v>0</v>
      </c>
      <c r="O1698" s="69"/>
      <c r="P1698" s="434">
        <f>P1697</f>
        <v>0</v>
      </c>
      <c r="Q1698" s="69"/>
      <c r="R1698" s="429"/>
      <c r="S1698" s="430"/>
      <c r="T1698" s="434">
        <f>AO1698</f>
        <v>0</v>
      </c>
      <c r="U1698" s="428">
        <f>Q1697</f>
        <v>0</v>
      </c>
      <c r="V1698" s="434">
        <f>V1697</f>
        <v>0</v>
      </c>
      <c r="W1698" s="69">
        <f>S1697</f>
        <v>0</v>
      </c>
      <c r="X1698" s="434">
        <f>X1697-AN1698</f>
        <v>0</v>
      </c>
      <c r="Y1698" s="69">
        <f>U1697</f>
        <v>0</v>
      </c>
      <c r="Z1698" s="434">
        <f>Z1697</f>
        <v>0</v>
      </c>
      <c r="AA1698" s="69">
        <f>W1697</f>
        <v>0</v>
      </c>
      <c r="AB1698" s="434">
        <f>AB1697</f>
        <v>0</v>
      </c>
      <c r="AC1698" s="69">
        <f>Y1697</f>
        <v>0</v>
      </c>
      <c r="AD1698" s="434">
        <f>AD1697</f>
        <v>0</v>
      </c>
      <c r="AE1698" s="69"/>
      <c r="AF1698" s="429"/>
      <c r="AG1698" s="430"/>
      <c r="AH1698" s="431"/>
      <c r="AI1698" s="432"/>
      <c r="AJ1698" s="65"/>
      <c r="AN1698" s="695">
        <f>SUM(AF1692:AF1696)*AQ1698</f>
        <v>0</v>
      </c>
      <c r="AO1698" s="742">
        <f>SUM(R1692:R1696)*AQ1698</f>
        <v>0</v>
      </c>
      <c r="AP1698" s="742"/>
      <c r="AQ1698" s="693">
        <v>0.15</v>
      </c>
      <c r="AS1698" s="716">
        <f>SUM(AL1692:AL1696)</f>
        <v>0</v>
      </c>
      <c r="AT1698" s="461">
        <f>F1698+H1698+J1698+L1698+N1698+P1698+T1698+V1698+X1698+Z1698+AB1698+AD1698</f>
        <v>0</v>
      </c>
      <c r="AU1698" s="745">
        <f>AT1698-AS1698</f>
        <v>0</v>
      </c>
      <c r="AV1698" s="56"/>
    </row>
    <row r="1699" spans="1:48" ht="13.5" customHeight="1" outlineLevel="1" thickBot="1">
      <c r="B1699" s="82">
        <f>B1692+1</f>
        <v>36</v>
      </c>
      <c r="C1699" s="1233">
        <f>C258</f>
        <v>0</v>
      </c>
      <c r="D1699" s="1245">
        <f>D258</f>
        <v>0</v>
      </c>
      <c r="E1699" s="83" t="str">
        <f>'Terms and Turnovers'!$J$12</f>
        <v>FLIP-FLOPS</v>
      </c>
      <c r="F1699" s="118">
        <f>$R1699*G1699</f>
        <v>0</v>
      </c>
      <c r="G1699" s="69"/>
      <c r="H1699" s="314">
        <f>$R1699*I1699</f>
        <v>0</v>
      </c>
      <c r="I1699" s="69">
        <v>0.3</v>
      </c>
      <c r="J1699" s="118">
        <f>$R1699*K1699</f>
        <v>0</v>
      </c>
      <c r="K1699" s="69">
        <v>0</v>
      </c>
      <c r="L1699" s="314">
        <f>$R1699*M1699</f>
        <v>0</v>
      </c>
      <c r="M1699" s="69">
        <v>0</v>
      </c>
      <c r="N1699" s="314">
        <f>$R1699*O1699</f>
        <v>0</v>
      </c>
      <c r="O1699" s="69">
        <v>0</v>
      </c>
      <c r="P1699" s="118">
        <f>$R1699*Q1699</f>
        <v>0</v>
      </c>
      <c r="Q1699" s="69">
        <v>1</v>
      </c>
      <c r="R1699" s="87">
        <f>'Terms and Turnovers'!K167</f>
        <v>0</v>
      </c>
      <c r="S1699" s="160">
        <f>SUM(G1699,I1699,K1699,M1699,O1699,Q1699)</f>
        <v>1.3</v>
      </c>
      <c r="T1699" s="118">
        <f>$AF1699*U1699</f>
        <v>0</v>
      </c>
      <c r="U1699" s="69">
        <v>0</v>
      </c>
      <c r="V1699" s="314">
        <f>$AF1699*W1699</f>
        <v>0</v>
      </c>
      <c r="W1699" s="69">
        <v>0.4</v>
      </c>
      <c r="X1699" s="118">
        <f>$AF1699*Y1699</f>
        <v>0</v>
      </c>
      <c r="Y1699" s="69">
        <v>0.4</v>
      </c>
      <c r="Z1699" s="314">
        <f>$AF1699*AA1699</f>
        <v>0</v>
      </c>
      <c r="AA1699" s="69">
        <v>0.2</v>
      </c>
      <c r="AB1699" s="314">
        <f>$AF1699*AC1699</f>
        <v>0</v>
      </c>
      <c r="AC1699" s="69">
        <v>0</v>
      </c>
      <c r="AD1699" s="118">
        <f>$AF1699*AE1699</f>
        <v>0</v>
      </c>
      <c r="AE1699" s="69">
        <v>0</v>
      </c>
      <c r="AF1699" s="87">
        <f>'Terms and Turnovers'!P167</f>
        <v>0</v>
      </c>
      <c r="AG1699" s="160">
        <f>SUM(U1699,W1699,Y1699,AA1699,AC1699,AE1699)</f>
        <v>1</v>
      </c>
      <c r="AH1699" s="157">
        <f>SUM(R1699,AF1699)</f>
        <v>0</v>
      </c>
      <c r="AI1699" s="131">
        <f>S1699+AG1699</f>
        <v>2.2999999999999998</v>
      </c>
      <c r="AJ1699" s="65"/>
      <c r="AL1699" s="461">
        <f>SUM(F1699,H1699,J1699,L1699,N1699,P1699,T1699,V1699,X1699,Z1699,AB1699,AD1699)</f>
        <v>0</v>
      </c>
      <c r="AM1699" s="462">
        <f>AL1699-AH1699</f>
        <v>0</v>
      </c>
      <c r="AO1699" s="692"/>
      <c r="AP1699" s="692"/>
    </row>
    <row r="1700" spans="1:48" ht="13.5" customHeight="1" outlineLevel="1" thickBot="1">
      <c r="B1700" s="82"/>
      <c r="C1700" s="1234"/>
      <c r="D1700" s="1246"/>
      <c r="E1700" s="84" t="str">
        <f>'Terms and Turnovers'!$T$12</f>
        <v>ORIGINALS</v>
      </c>
      <c r="F1700" s="120">
        <f>$R1700*G1700</f>
        <v>0</v>
      </c>
      <c r="G1700" s="723"/>
      <c r="H1700" s="120">
        <f>$R1700*I1700</f>
        <v>0</v>
      </c>
      <c r="I1700" s="69">
        <v>0</v>
      </c>
      <c r="J1700" s="120">
        <f>$R1700*K1700</f>
        <v>0</v>
      </c>
      <c r="K1700" s="69">
        <v>0</v>
      </c>
      <c r="L1700" s="120">
        <f>$R1700*M1700</f>
        <v>0</v>
      </c>
      <c r="M1700" s="69">
        <v>0</v>
      </c>
      <c r="N1700" s="315">
        <f>$R1700*O1700</f>
        <v>0</v>
      </c>
      <c r="O1700" s="69">
        <v>0</v>
      </c>
      <c r="P1700" s="120">
        <f>$R1700*Q1700</f>
        <v>0</v>
      </c>
      <c r="Q1700" s="69">
        <v>1</v>
      </c>
      <c r="R1700" s="88">
        <f>'Terms and Turnovers'!U167</f>
        <v>0</v>
      </c>
      <c r="S1700" s="161">
        <f>SUM(G1700,I1700,K1700,M1700,O1700,Q1700)</f>
        <v>1</v>
      </c>
      <c r="T1700" s="120">
        <f>$AF1700*U1700</f>
        <v>0</v>
      </c>
      <c r="U1700" s="723">
        <v>0</v>
      </c>
      <c r="V1700" s="120">
        <f>$AF1700*W1700</f>
        <v>0</v>
      </c>
      <c r="W1700" s="69">
        <v>0.5</v>
      </c>
      <c r="X1700" s="120">
        <f>$AF1700*Y1700</f>
        <v>0</v>
      </c>
      <c r="Y1700" s="69">
        <v>0.5</v>
      </c>
      <c r="Z1700" s="120">
        <f>$AF1700*AA1700</f>
        <v>0</v>
      </c>
      <c r="AA1700" s="69">
        <v>0</v>
      </c>
      <c r="AB1700" s="315">
        <f>$AF1700*AC1700</f>
        <v>0</v>
      </c>
      <c r="AC1700" s="69">
        <v>0</v>
      </c>
      <c r="AD1700" s="120">
        <f>$AF1700*AE1700</f>
        <v>0</v>
      </c>
      <c r="AE1700" s="69">
        <v>0</v>
      </c>
      <c r="AF1700" s="88">
        <f>'Terms and Turnovers'!Z167</f>
        <v>0</v>
      </c>
      <c r="AG1700" s="161">
        <f>SUM(U1700,W1700,Y1700,AA1700,AC1700,AE1700)</f>
        <v>1</v>
      </c>
      <c r="AH1700" s="158">
        <f>SUM(R1700,AF1700)</f>
        <v>0</v>
      </c>
      <c r="AI1700" s="134">
        <f>S1700+AG1700</f>
        <v>2</v>
      </c>
      <c r="AJ1700" s="65"/>
      <c r="AL1700" s="461">
        <f>SUM(F1700,H1700,J1700,L1700,N1700,P1700,T1700,V1700,X1700,Z1700,AB1700,AD1700)</f>
        <v>0</v>
      </c>
      <c r="AM1700" s="462">
        <f>AL1700-AH1700</f>
        <v>0</v>
      </c>
      <c r="AO1700" s="692"/>
      <c r="AP1700" s="692"/>
    </row>
    <row r="1701" spans="1:48" ht="13.5" customHeight="1" outlineLevel="1" thickBot="1">
      <c r="B1701" s="82"/>
      <c r="C1701" s="1234"/>
      <c r="D1701" s="1246"/>
      <c r="E1701" s="84" t="str">
        <f>'Terms and Turnovers'!$AD$12</f>
        <v>ACCESSORIES</v>
      </c>
      <c r="F1701" s="120">
        <f>$R1701*G1701</f>
        <v>0</v>
      </c>
      <c r="G1701" s="723"/>
      <c r="H1701" s="120">
        <f>$R1701*I1701</f>
        <v>0</v>
      </c>
      <c r="I1701" s="69">
        <v>0</v>
      </c>
      <c r="J1701" s="120">
        <f>$R1701*K1701</f>
        <v>0</v>
      </c>
      <c r="K1701" s="69">
        <v>0</v>
      </c>
      <c r="L1701" s="120">
        <f>$R1701*M1701</f>
        <v>0</v>
      </c>
      <c r="M1701" s="69">
        <v>0</v>
      </c>
      <c r="N1701" s="315">
        <f>$R1701*O1701</f>
        <v>0</v>
      </c>
      <c r="O1701" s="69">
        <v>0</v>
      </c>
      <c r="P1701" s="120">
        <f>$R1701*Q1701</f>
        <v>0</v>
      </c>
      <c r="Q1701" s="69">
        <v>1</v>
      </c>
      <c r="R1701" s="88">
        <f>'Terms and Turnovers'!AE167</f>
        <v>0</v>
      </c>
      <c r="S1701" s="161">
        <f>SUM(G1701,I1701,K1701,M1701,O1701,Q1701)</f>
        <v>1</v>
      </c>
      <c r="T1701" s="120">
        <f>$AF1701*U1701</f>
        <v>0</v>
      </c>
      <c r="U1701" s="723">
        <v>0</v>
      </c>
      <c r="V1701" s="120">
        <f>$AF1701*W1701</f>
        <v>0</v>
      </c>
      <c r="W1701" s="69">
        <v>0.5</v>
      </c>
      <c r="X1701" s="120">
        <f>$AF1701*Y1701</f>
        <v>0</v>
      </c>
      <c r="Y1701" s="69">
        <v>0.5</v>
      </c>
      <c r="Z1701" s="120">
        <f>$AF1701*AA1701</f>
        <v>0</v>
      </c>
      <c r="AA1701" s="69">
        <v>0</v>
      </c>
      <c r="AB1701" s="315">
        <f>$AF1701*AC1701</f>
        <v>0</v>
      </c>
      <c r="AC1701" s="69">
        <v>0</v>
      </c>
      <c r="AD1701" s="120">
        <f>$AF1701*AE1701</f>
        <v>0</v>
      </c>
      <c r="AE1701" s="69">
        <v>0</v>
      </c>
      <c r="AF1701" s="88">
        <f>'Terms and Turnovers'!AJ167</f>
        <v>0</v>
      </c>
      <c r="AG1701" s="161">
        <f>SUM(U1701,W1701,Y1701,AA1701,AC1701,AE1701)</f>
        <v>1</v>
      </c>
      <c r="AH1701" s="158">
        <f>SUM(R1701,AF1701)</f>
        <v>0</v>
      </c>
      <c r="AI1701" s="134">
        <f>S1701+AG1701</f>
        <v>2</v>
      </c>
      <c r="AJ1701" s="65"/>
      <c r="AL1701" s="461">
        <f>SUM(F1701,H1701,J1701,L1701,N1701,P1701,T1701,V1701,X1701,Z1701,AB1701,AD1701)</f>
        <v>0</v>
      </c>
      <c r="AM1701" s="462">
        <f>AL1701-AH1701</f>
        <v>0</v>
      </c>
      <c r="AO1701" s="692"/>
      <c r="AP1701" s="692"/>
    </row>
    <row r="1702" spans="1:48" ht="13.5" customHeight="1" outlineLevel="1" thickBot="1">
      <c r="B1702" s="82"/>
      <c r="C1702" s="1234"/>
      <c r="D1702" s="1246"/>
      <c r="E1702" s="84">
        <f>'Terms and Turnovers'!$AN$12</f>
        <v>0</v>
      </c>
      <c r="F1702" s="120">
        <f>$R1702*G1702</f>
        <v>0</v>
      </c>
      <c r="G1702" s="723"/>
      <c r="H1702" s="120">
        <f>$R1702*I1702</f>
        <v>0</v>
      </c>
      <c r="I1702" s="69">
        <v>0.3</v>
      </c>
      <c r="J1702" s="120">
        <f>$R1702*K1702</f>
        <v>0</v>
      </c>
      <c r="K1702" s="69">
        <v>0</v>
      </c>
      <c r="L1702" s="120">
        <f>$R1702*M1702</f>
        <v>0</v>
      </c>
      <c r="M1702" s="69">
        <v>0</v>
      </c>
      <c r="N1702" s="315">
        <f>$R1702*O1702</f>
        <v>0</v>
      </c>
      <c r="O1702" s="69">
        <v>0</v>
      </c>
      <c r="P1702" s="120">
        <f>$R1702*Q1702</f>
        <v>0</v>
      </c>
      <c r="Q1702" s="69">
        <v>1</v>
      </c>
      <c r="R1702" s="88">
        <f>'Terms and Turnovers'!AO167</f>
        <v>0</v>
      </c>
      <c r="S1702" s="161">
        <f>SUM(G1702,I1702,K1702,M1702,O1702,Q1702)</f>
        <v>1.3</v>
      </c>
      <c r="T1702" s="120">
        <f>$AF1702*U1702</f>
        <v>0</v>
      </c>
      <c r="U1702" s="723">
        <v>0</v>
      </c>
      <c r="V1702" s="120">
        <f>$AF1702*W1702</f>
        <v>0</v>
      </c>
      <c r="W1702" s="69">
        <v>0.4</v>
      </c>
      <c r="X1702" s="120">
        <f>$AF1702*Y1702</f>
        <v>0</v>
      </c>
      <c r="Y1702" s="69">
        <v>0.4</v>
      </c>
      <c r="Z1702" s="120">
        <f>$AF1702*AA1702</f>
        <v>0</v>
      </c>
      <c r="AA1702" s="69">
        <v>0.2</v>
      </c>
      <c r="AB1702" s="315">
        <f>$AF1702*AC1702</f>
        <v>0</v>
      </c>
      <c r="AC1702" s="69">
        <v>0</v>
      </c>
      <c r="AD1702" s="120">
        <f>$AF1702*AE1702</f>
        <v>0</v>
      </c>
      <c r="AE1702" s="69">
        <v>0</v>
      </c>
      <c r="AF1702" s="88">
        <f>'Terms and Turnovers'!AT167</f>
        <v>0</v>
      </c>
      <c r="AG1702" s="161">
        <f>SUM(U1702,W1702,Y1702,AA1702,AC1702,AE1702)</f>
        <v>1</v>
      </c>
      <c r="AH1702" s="158">
        <f>SUM(R1702,AF1702)</f>
        <v>0</v>
      </c>
      <c r="AI1702" s="134">
        <f>S1702+AG1702</f>
        <v>2.2999999999999998</v>
      </c>
      <c r="AJ1702" s="65"/>
      <c r="AL1702" s="461">
        <f>SUM(F1702,H1702,J1702,L1702,N1702,P1702,T1702,V1702,X1702,Z1702,AB1702,AD1702)</f>
        <v>0</v>
      </c>
      <c r="AM1702" s="462">
        <f>AL1702-AH1702</f>
        <v>0</v>
      </c>
      <c r="AO1702" s="692"/>
      <c r="AP1702" s="692"/>
    </row>
    <row r="1703" spans="1:48" ht="13.5" customHeight="1" outlineLevel="1" thickBot="1">
      <c r="B1703" s="82"/>
      <c r="C1703" s="1235"/>
      <c r="D1703" s="1247"/>
      <c r="E1703" s="85">
        <f>'Terms and Turnovers'!$AX$12</f>
        <v>0</v>
      </c>
      <c r="F1703" s="121">
        <f>$R1703*G1703</f>
        <v>0</v>
      </c>
      <c r="G1703" s="72"/>
      <c r="H1703" s="121">
        <f>$R1703*I1703</f>
        <v>0</v>
      </c>
      <c r="I1703" s="69">
        <v>0.3</v>
      </c>
      <c r="J1703" s="121">
        <f>$R1703*K1703</f>
        <v>0</v>
      </c>
      <c r="K1703" s="69">
        <v>0</v>
      </c>
      <c r="L1703" s="121">
        <f>$R1703*M1703</f>
        <v>0</v>
      </c>
      <c r="M1703" s="69">
        <v>0</v>
      </c>
      <c r="N1703" s="316">
        <f>$R1703*O1703</f>
        <v>0</v>
      </c>
      <c r="O1703" s="69">
        <v>0</v>
      </c>
      <c r="P1703" s="121">
        <f>$R1703*Q1703</f>
        <v>0</v>
      </c>
      <c r="Q1703" s="69">
        <v>1</v>
      </c>
      <c r="R1703" s="89">
        <f>'Terms and Turnovers'!AY167</f>
        <v>0</v>
      </c>
      <c r="S1703" s="162">
        <f>SUM(G1703,I1703,K1703,M1703,O1703,Q1703)</f>
        <v>1.3</v>
      </c>
      <c r="T1703" s="121">
        <f>$AF1703*U1703</f>
        <v>0</v>
      </c>
      <c r="U1703" s="72">
        <v>0</v>
      </c>
      <c r="V1703" s="121">
        <f>$AF1703*W1703</f>
        <v>0</v>
      </c>
      <c r="W1703" s="69">
        <v>0.4</v>
      </c>
      <c r="X1703" s="121">
        <f>$AF1703*Y1703</f>
        <v>0</v>
      </c>
      <c r="Y1703" s="69">
        <v>0.4</v>
      </c>
      <c r="Z1703" s="121">
        <f>$AF1703*AA1703</f>
        <v>0</v>
      </c>
      <c r="AA1703" s="69">
        <v>0.2</v>
      </c>
      <c r="AB1703" s="316">
        <f>$AF1703*AC1703</f>
        <v>0</v>
      </c>
      <c r="AC1703" s="69">
        <v>0</v>
      </c>
      <c r="AD1703" s="121">
        <f>$AF1703*AE1703</f>
        <v>0</v>
      </c>
      <c r="AE1703" s="69">
        <v>0</v>
      </c>
      <c r="AF1703" s="89">
        <f>'Terms and Turnovers'!BD167</f>
        <v>0</v>
      </c>
      <c r="AG1703" s="162">
        <f>SUM(U1703,W1703,Y1703,AA1703,AC1703,AE1703)</f>
        <v>1</v>
      </c>
      <c r="AH1703" s="159">
        <f>SUM(R1703,AF1703)</f>
        <v>0</v>
      </c>
      <c r="AI1703" s="137">
        <f>S1703+AG1703</f>
        <v>2.2999999999999998</v>
      </c>
      <c r="AJ1703" s="65"/>
      <c r="AL1703" s="461">
        <f>SUM(F1703,H1703,J1703,L1703,N1703,P1703,T1703,V1703,X1703,Z1703,AB1703,AD1703)</f>
        <v>0</v>
      </c>
      <c r="AM1703" s="462">
        <f>AL1703-AH1703</f>
        <v>0</v>
      </c>
      <c r="AO1703" s="692"/>
      <c r="AP1703" s="692"/>
    </row>
    <row r="1704" spans="1:48" ht="13.5" customHeight="1" outlineLevel="1" thickBot="1">
      <c r="A1704" s="119"/>
      <c r="B1704" s="82"/>
      <c r="C1704" s="425"/>
      <c r="D1704" s="425"/>
      <c r="E1704" s="426"/>
      <c r="F1704" s="427">
        <f>SUM(F1699:F1703)</f>
        <v>0</v>
      </c>
      <c r="G1704" s="428"/>
      <c r="H1704" s="427">
        <f>SUM(H1699:H1703)</f>
        <v>0</v>
      </c>
      <c r="I1704" s="69"/>
      <c r="J1704" s="427">
        <f>SUM(J1699:J1703)</f>
        <v>0</v>
      </c>
      <c r="K1704" s="69"/>
      <c r="L1704" s="427">
        <f>SUM(L1699:L1703)</f>
        <v>0</v>
      </c>
      <c r="M1704" s="69"/>
      <c r="N1704" s="427">
        <f>SUM(N1699:N1703)</f>
        <v>0</v>
      </c>
      <c r="O1704" s="69"/>
      <c r="P1704" s="427">
        <f>SUM(P1699:P1703)</f>
        <v>0</v>
      </c>
      <c r="Q1704" s="69"/>
      <c r="R1704" s="429"/>
      <c r="S1704" s="430"/>
      <c r="T1704" s="427">
        <f>SUM(T1699:T1703)</f>
        <v>0</v>
      </c>
      <c r="U1704" s="428"/>
      <c r="V1704" s="427">
        <f>SUM(V1699:V1703)</f>
        <v>0</v>
      </c>
      <c r="W1704" s="69"/>
      <c r="X1704" s="427">
        <f>SUM(X1699:X1703)</f>
        <v>0</v>
      </c>
      <c r="Y1704" s="69"/>
      <c r="Z1704" s="427">
        <f>SUM(Z1699:Z1703)</f>
        <v>0</v>
      </c>
      <c r="AA1704" s="69"/>
      <c r="AB1704" s="427">
        <f>SUM(AB1699:AB1703)</f>
        <v>0</v>
      </c>
      <c r="AC1704" s="69"/>
      <c r="AD1704" s="427">
        <f>SUM(AD1699:AD1703)</f>
        <v>0</v>
      </c>
      <c r="AE1704" s="69"/>
      <c r="AF1704" s="429"/>
      <c r="AG1704" s="430"/>
      <c r="AH1704" s="431"/>
      <c r="AI1704" s="432"/>
      <c r="AJ1704" s="65"/>
      <c r="AO1704" s="692"/>
      <c r="AP1704" s="692"/>
    </row>
    <row r="1705" spans="1:48" ht="13.5" customHeight="1" outlineLevel="2" thickBot="1">
      <c r="A1705" s="119"/>
      <c r="B1705" s="82"/>
      <c r="C1705" s="433" t="s">
        <v>484</v>
      </c>
      <c r="D1705" s="433" t="s">
        <v>360</v>
      </c>
      <c r="E1705" s="426"/>
      <c r="F1705" s="434">
        <f>AN1705</f>
        <v>0</v>
      </c>
      <c r="G1705" s="428"/>
      <c r="H1705" s="434">
        <f>H1704</f>
        <v>0</v>
      </c>
      <c r="I1705" s="69"/>
      <c r="J1705" s="434">
        <f>J1704</f>
        <v>0</v>
      </c>
      <c r="K1705" s="69"/>
      <c r="L1705" s="434">
        <f>L1704</f>
        <v>0</v>
      </c>
      <c r="M1705" s="69"/>
      <c r="N1705" s="434">
        <f>N1704</f>
        <v>0</v>
      </c>
      <c r="O1705" s="69"/>
      <c r="P1705" s="434"/>
      <c r="Q1705" s="69"/>
      <c r="R1705" s="429"/>
      <c r="S1705" s="430"/>
      <c r="T1705" s="434">
        <f>T1704</f>
        <v>0</v>
      </c>
      <c r="U1705" s="428">
        <f>Q1704</f>
        <v>0</v>
      </c>
      <c r="V1705" s="434">
        <f>V1704</f>
        <v>0</v>
      </c>
      <c r="W1705" s="69">
        <f>S1704</f>
        <v>0</v>
      </c>
      <c r="X1705" s="434">
        <f>X1704</f>
        <v>0</v>
      </c>
      <c r="Y1705" s="69">
        <f>U1704</f>
        <v>0</v>
      </c>
      <c r="Z1705" s="434">
        <f>Z1704</f>
        <v>0</v>
      </c>
      <c r="AA1705" s="69">
        <f>W1704</f>
        <v>0</v>
      </c>
      <c r="AB1705" s="434">
        <f>AB1704</f>
        <v>0</v>
      </c>
      <c r="AC1705" s="69">
        <f>Y1704</f>
        <v>0</v>
      </c>
      <c r="AD1705" s="434">
        <f>AD1704</f>
        <v>0</v>
      </c>
      <c r="AE1705" s="69"/>
      <c r="AF1705" s="429"/>
      <c r="AG1705" s="430"/>
      <c r="AH1705" s="431"/>
      <c r="AI1705" s="432"/>
      <c r="AJ1705" s="65"/>
      <c r="AN1705" s="695">
        <f>SUM(AF1699:AF1703)*AQ1705</f>
        <v>0</v>
      </c>
      <c r="AO1705" s="742">
        <f>SUM(R1699:R1703)*AQ1705</f>
        <v>0</v>
      </c>
      <c r="AP1705" s="742"/>
      <c r="AQ1705" s="693">
        <v>0.1</v>
      </c>
      <c r="AS1705" s="716">
        <f>SUM(AL1699:AL1703)</f>
        <v>0</v>
      </c>
      <c r="AT1705" s="461">
        <f>F1705+H1705+J1705+L1705+N1705+P1705+T1705+V1705+X1705+Z1705+AB1705+AD1705</f>
        <v>0</v>
      </c>
      <c r="AU1705" s="745">
        <f>AT1705-AS1705</f>
        <v>0</v>
      </c>
      <c r="AV1705" s="56"/>
    </row>
    <row r="1706" spans="1:48" ht="13.5" customHeight="1" outlineLevel="2" thickBot="1">
      <c r="B1706" s="82">
        <f>B1699+1</f>
        <v>37</v>
      </c>
      <c r="C1706" s="1233">
        <f>C265</f>
        <v>0</v>
      </c>
      <c r="D1706" s="1233">
        <f>D265</f>
        <v>0</v>
      </c>
      <c r="E1706" s="83" t="str">
        <f>'Terms and Turnovers'!$J$12</f>
        <v>FLIP-FLOPS</v>
      </c>
      <c r="F1706" s="118">
        <f>$R1706*G1706</f>
        <v>0</v>
      </c>
      <c r="G1706" s="69"/>
      <c r="H1706" s="314">
        <f>$R1706*I1706</f>
        <v>0</v>
      </c>
      <c r="I1706" s="69">
        <v>0.15</v>
      </c>
      <c r="J1706" s="118">
        <f>$R1706*K1706</f>
        <v>0</v>
      </c>
      <c r="K1706" s="69">
        <v>0.3</v>
      </c>
      <c r="L1706" s="314">
        <f>$R1706*M1706</f>
        <v>0</v>
      </c>
      <c r="M1706" s="69">
        <v>0.35</v>
      </c>
      <c r="N1706" s="314">
        <f>$R1706*O1706</f>
        <v>0</v>
      </c>
      <c r="O1706" s="69">
        <v>0.2</v>
      </c>
      <c r="P1706" s="118">
        <f>$R1706*Q1706</f>
        <v>0</v>
      </c>
      <c r="Q1706" s="69">
        <v>0</v>
      </c>
      <c r="R1706" s="87">
        <f>'Terms and Turnovers'!K168</f>
        <v>0</v>
      </c>
      <c r="S1706" s="160">
        <f>SUM(G1706,I1706,K1706,M1706,O1706,Q1706)</f>
        <v>1</v>
      </c>
      <c r="T1706" s="118">
        <f>$AF1706*U1706</f>
        <v>0</v>
      </c>
      <c r="U1706" s="69">
        <v>0</v>
      </c>
      <c r="V1706" s="314">
        <f>$AF1706*W1706</f>
        <v>0</v>
      </c>
      <c r="W1706" s="69">
        <v>0.4</v>
      </c>
      <c r="X1706" s="118">
        <f>$AF1706*Y1706</f>
        <v>0</v>
      </c>
      <c r="Y1706" s="69">
        <v>0.4</v>
      </c>
      <c r="Z1706" s="314">
        <f>$AF1706*AA1706</f>
        <v>0</v>
      </c>
      <c r="AA1706" s="69">
        <v>0.2</v>
      </c>
      <c r="AB1706" s="314">
        <f>$AF1706*AC1706</f>
        <v>0</v>
      </c>
      <c r="AC1706" s="69">
        <v>0</v>
      </c>
      <c r="AD1706" s="118">
        <f>$AF1706*AE1706</f>
        <v>0</v>
      </c>
      <c r="AE1706" s="69">
        <v>0</v>
      </c>
      <c r="AF1706" s="87">
        <f>'Terms and Turnovers'!P168</f>
        <v>0</v>
      </c>
      <c r="AG1706" s="160">
        <f>SUM(U1706,W1706,Y1706,AA1706,AC1706,AE1706)</f>
        <v>1</v>
      </c>
      <c r="AH1706" s="157">
        <f>SUM(R1706,AF1706)</f>
        <v>0</v>
      </c>
      <c r="AI1706" s="131">
        <f>S1706+AG1706</f>
        <v>2</v>
      </c>
      <c r="AJ1706" s="65"/>
      <c r="AL1706" s="461">
        <f>SUM(F1706,H1706,J1706,L1706,N1706,P1706,T1706,V1706,X1706,Z1706,AB1706,AD1706)</f>
        <v>0</v>
      </c>
      <c r="AM1706" s="462">
        <f>AL1706-AH1706</f>
        <v>0</v>
      </c>
      <c r="AO1706" s="692"/>
      <c r="AP1706" s="692"/>
      <c r="AV1706" s="56"/>
    </row>
    <row r="1707" spans="1:48" ht="13.5" customHeight="1" outlineLevel="2" thickBot="1">
      <c r="B1707" s="82"/>
      <c r="C1707" s="1234"/>
      <c r="D1707" s="1234"/>
      <c r="E1707" s="84" t="str">
        <f>'Terms and Turnovers'!$T$12</f>
        <v>ORIGINALS</v>
      </c>
      <c r="F1707" s="120">
        <f>$R1707*G1707</f>
        <v>0</v>
      </c>
      <c r="G1707" s="723"/>
      <c r="H1707" s="120">
        <f>$R1707*I1707</f>
        <v>0</v>
      </c>
      <c r="I1707" s="69">
        <v>0</v>
      </c>
      <c r="J1707" s="120">
        <f>$R1707*K1707</f>
        <v>0</v>
      </c>
      <c r="K1707" s="69">
        <v>0.5</v>
      </c>
      <c r="L1707" s="120">
        <f>$R1707*M1707</f>
        <v>0</v>
      </c>
      <c r="M1707" s="69">
        <v>0.5</v>
      </c>
      <c r="N1707" s="315">
        <f>$R1707*O1707</f>
        <v>0</v>
      </c>
      <c r="O1707" s="69">
        <v>0</v>
      </c>
      <c r="P1707" s="120">
        <f>$R1707*Q1707</f>
        <v>0</v>
      </c>
      <c r="Q1707" s="69">
        <v>0</v>
      </c>
      <c r="R1707" s="88">
        <f>'Terms and Turnovers'!U168</f>
        <v>0</v>
      </c>
      <c r="S1707" s="161">
        <f>SUM(G1707,I1707,K1707,M1707,O1707,Q1707)</f>
        <v>1</v>
      </c>
      <c r="T1707" s="120">
        <f>$AF1707*U1707</f>
        <v>0</v>
      </c>
      <c r="U1707" s="723">
        <v>0</v>
      </c>
      <c r="V1707" s="120">
        <f>$AF1707*W1707</f>
        <v>0</v>
      </c>
      <c r="W1707" s="69">
        <v>0.5</v>
      </c>
      <c r="X1707" s="120">
        <f>$AF1707*Y1707</f>
        <v>0</v>
      </c>
      <c r="Y1707" s="69">
        <v>0.5</v>
      </c>
      <c r="Z1707" s="120">
        <f>$AF1707*AA1707</f>
        <v>0</v>
      </c>
      <c r="AA1707" s="69">
        <v>0</v>
      </c>
      <c r="AB1707" s="315">
        <f>$AF1707*AC1707</f>
        <v>0</v>
      </c>
      <c r="AC1707" s="69">
        <v>0</v>
      </c>
      <c r="AD1707" s="120">
        <f>$AF1707*AE1707</f>
        <v>0</v>
      </c>
      <c r="AE1707" s="69">
        <v>0</v>
      </c>
      <c r="AF1707" s="88">
        <f>'Terms and Turnovers'!Z168</f>
        <v>0</v>
      </c>
      <c r="AG1707" s="161">
        <f>SUM(U1707,W1707,Y1707,AA1707,AC1707,AE1707)</f>
        <v>1</v>
      </c>
      <c r="AH1707" s="158">
        <f>SUM(R1707,AF1707)</f>
        <v>0</v>
      </c>
      <c r="AI1707" s="134">
        <f>S1707+AG1707</f>
        <v>2</v>
      </c>
      <c r="AJ1707" s="65"/>
      <c r="AL1707" s="461">
        <f>SUM(F1707,H1707,J1707,L1707,N1707,P1707,T1707,V1707,X1707,Z1707,AB1707,AD1707)</f>
        <v>0</v>
      </c>
      <c r="AM1707" s="462">
        <f>AL1707-AH1707</f>
        <v>0</v>
      </c>
      <c r="AO1707" s="692"/>
      <c r="AP1707" s="692"/>
      <c r="AV1707" s="56"/>
    </row>
    <row r="1708" spans="1:48" ht="13.5" customHeight="1" outlineLevel="2" thickBot="1">
      <c r="B1708" s="82"/>
      <c r="C1708" s="1234"/>
      <c r="D1708" s="1234"/>
      <c r="E1708" s="84" t="str">
        <f>'Terms and Turnovers'!$AD$12</f>
        <v>ACCESSORIES</v>
      </c>
      <c r="F1708" s="120">
        <f>$R1708*G1708</f>
        <v>0</v>
      </c>
      <c r="G1708" s="723"/>
      <c r="H1708" s="120">
        <f>$R1708*I1708</f>
        <v>0</v>
      </c>
      <c r="I1708" s="69">
        <v>0</v>
      </c>
      <c r="J1708" s="120">
        <f>$R1708*K1708</f>
        <v>0</v>
      </c>
      <c r="K1708" s="69">
        <v>0.5</v>
      </c>
      <c r="L1708" s="120">
        <f>$R1708*M1708</f>
        <v>0</v>
      </c>
      <c r="M1708" s="69">
        <v>0.5</v>
      </c>
      <c r="N1708" s="315">
        <f>$R1708*O1708</f>
        <v>0</v>
      </c>
      <c r="O1708" s="69">
        <v>0</v>
      </c>
      <c r="P1708" s="120">
        <f>$R1708*Q1708</f>
        <v>0</v>
      </c>
      <c r="Q1708" s="69">
        <v>0</v>
      </c>
      <c r="R1708" s="88">
        <f>'Terms and Turnovers'!AE168</f>
        <v>0</v>
      </c>
      <c r="S1708" s="161">
        <f>SUM(G1708,I1708,K1708,M1708,O1708,Q1708)</f>
        <v>1</v>
      </c>
      <c r="T1708" s="120">
        <f>$AF1708*U1708</f>
        <v>0</v>
      </c>
      <c r="U1708" s="723">
        <v>0</v>
      </c>
      <c r="V1708" s="120">
        <f>$AF1708*W1708</f>
        <v>0</v>
      </c>
      <c r="W1708" s="69">
        <v>0.5</v>
      </c>
      <c r="X1708" s="120">
        <f>$AF1708*Y1708</f>
        <v>0</v>
      </c>
      <c r="Y1708" s="69">
        <v>0.5</v>
      </c>
      <c r="Z1708" s="120">
        <f>$AF1708*AA1708</f>
        <v>0</v>
      </c>
      <c r="AA1708" s="69">
        <v>0</v>
      </c>
      <c r="AB1708" s="315">
        <f>$AF1708*AC1708</f>
        <v>0</v>
      </c>
      <c r="AC1708" s="69">
        <v>0</v>
      </c>
      <c r="AD1708" s="120">
        <f>$AF1708*AE1708</f>
        <v>0</v>
      </c>
      <c r="AE1708" s="69">
        <v>0</v>
      </c>
      <c r="AF1708" s="88">
        <f>'Terms and Turnovers'!AJ168</f>
        <v>0</v>
      </c>
      <c r="AG1708" s="161">
        <f>SUM(U1708,W1708,Y1708,AA1708,AC1708,AE1708)</f>
        <v>1</v>
      </c>
      <c r="AH1708" s="158">
        <f>SUM(R1708,AF1708)</f>
        <v>0</v>
      </c>
      <c r="AI1708" s="134">
        <f>S1708+AG1708</f>
        <v>2</v>
      </c>
      <c r="AJ1708" s="65"/>
      <c r="AL1708" s="461">
        <f>SUM(F1708,H1708,J1708,L1708,N1708,P1708,T1708,V1708,X1708,Z1708,AB1708,AD1708)</f>
        <v>0</v>
      </c>
      <c r="AM1708" s="462">
        <f>AL1708-AH1708</f>
        <v>0</v>
      </c>
      <c r="AO1708" s="692"/>
      <c r="AP1708" s="692"/>
      <c r="AV1708" s="56"/>
    </row>
    <row r="1709" spans="1:48" ht="13.5" customHeight="1" outlineLevel="2" thickBot="1">
      <c r="B1709" s="82"/>
      <c r="C1709" s="1234"/>
      <c r="D1709" s="1234"/>
      <c r="E1709" s="84">
        <f>'Terms and Turnovers'!$AN$12</f>
        <v>0</v>
      </c>
      <c r="F1709" s="120">
        <f>$R1709*G1709</f>
        <v>0</v>
      </c>
      <c r="G1709" s="723"/>
      <c r="H1709" s="120">
        <f>$R1709*I1709</f>
        <v>0</v>
      </c>
      <c r="I1709" s="69">
        <v>0.15</v>
      </c>
      <c r="J1709" s="120">
        <f>$R1709*K1709</f>
        <v>0</v>
      </c>
      <c r="K1709" s="69">
        <v>0.3</v>
      </c>
      <c r="L1709" s="120">
        <f>$R1709*M1709</f>
        <v>0</v>
      </c>
      <c r="M1709" s="69">
        <v>0.35</v>
      </c>
      <c r="N1709" s="315">
        <f>$R1709*O1709</f>
        <v>0</v>
      </c>
      <c r="O1709" s="69">
        <v>0.2</v>
      </c>
      <c r="P1709" s="120">
        <f>$R1709*Q1709</f>
        <v>0</v>
      </c>
      <c r="Q1709" s="69">
        <v>0</v>
      </c>
      <c r="R1709" s="88">
        <f>'Terms and Turnovers'!AO168</f>
        <v>0</v>
      </c>
      <c r="S1709" s="161">
        <f>SUM(G1709,I1709,K1709,M1709,O1709,Q1709)</f>
        <v>1</v>
      </c>
      <c r="T1709" s="120">
        <f>$AF1709*U1709</f>
        <v>0</v>
      </c>
      <c r="U1709" s="723">
        <v>0</v>
      </c>
      <c r="V1709" s="120">
        <f>$AF1709*W1709</f>
        <v>0</v>
      </c>
      <c r="W1709" s="69">
        <v>0.4</v>
      </c>
      <c r="X1709" s="120">
        <f>$AF1709*Y1709</f>
        <v>0</v>
      </c>
      <c r="Y1709" s="69">
        <v>0.4</v>
      </c>
      <c r="Z1709" s="120">
        <f>$AF1709*AA1709</f>
        <v>0</v>
      </c>
      <c r="AA1709" s="69">
        <v>0.2</v>
      </c>
      <c r="AB1709" s="315">
        <f>$AF1709*AC1709</f>
        <v>0</v>
      </c>
      <c r="AC1709" s="69">
        <v>0</v>
      </c>
      <c r="AD1709" s="120">
        <f>$AF1709*AE1709</f>
        <v>0</v>
      </c>
      <c r="AE1709" s="69">
        <v>0</v>
      </c>
      <c r="AF1709" s="88">
        <f>'Terms and Turnovers'!AT168</f>
        <v>0</v>
      </c>
      <c r="AG1709" s="161">
        <f>SUM(U1709,W1709,Y1709,AA1709,AC1709,AE1709)</f>
        <v>1</v>
      </c>
      <c r="AH1709" s="158">
        <f>SUM(R1709,AF1709)</f>
        <v>0</v>
      </c>
      <c r="AI1709" s="134">
        <f>S1709+AG1709</f>
        <v>2</v>
      </c>
      <c r="AJ1709" s="65"/>
      <c r="AL1709" s="461">
        <f>SUM(F1709,H1709,J1709,L1709,N1709,P1709,T1709,V1709,X1709,Z1709,AB1709,AD1709)</f>
        <v>0</v>
      </c>
      <c r="AM1709" s="462">
        <f>AL1709-AH1709</f>
        <v>0</v>
      </c>
      <c r="AO1709" s="692"/>
      <c r="AP1709" s="692"/>
      <c r="AV1709" s="56"/>
    </row>
    <row r="1710" spans="1:48" ht="13.5" customHeight="1" outlineLevel="2" thickBot="1">
      <c r="B1710" s="82"/>
      <c r="C1710" s="1235"/>
      <c r="D1710" s="1235"/>
      <c r="E1710" s="85">
        <f>'Terms and Turnovers'!$AX$12</f>
        <v>0</v>
      </c>
      <c r="F1710" s="121">
        <f>$R1710*G1710</f>
        <v>0</v>
      </c>
      <c r="G1710" s="72"/>
      <c r="H1710" s="121">
        <f>$R1710*I1710</f>
        <v>0</v>
      </c>
      <c r="I1710" s="69">
        <v>0.15</v>
      </c>
      <c r="J1710" s="121">
        <f>$R1710*K1710</f>
        <v>0</v>
      </c>
      <c r="K1710" s="69">
        <v>0.3</v>
      </c>
      <c r="L1710" s="121">
        <f>$R1710*M1710</f>
        <v>0</v>
      </c>
      <c r="M1710" s="69">
        <v>0.35</v>
      </c>
      <c r="N1710" s="316">
        <f>$R1710*O1710</f>
        <v>0</v>
      </c>
      <c r="O1710" s="69">
        <v>0.2</v>
      </c>
      <c r="P1710" s="121">
        <f>$R1710*Q1710</f>
        <v>0</v>
      </c>
      <c r="Q1710" s="69">
        <v>0</v>
      </c>
      <c r="R1710" s="89">
        <f>'Terms and Turnovers'!AY168</f>
        <v>0</v>
      </c>
      <c r="S1710" s="162">
        <f>SUM(G1710,I1710,K1710,M1710,O1710,Q1710)</f>
        <v>1</v>
      </c>
      <c r="T1710" s="121">
        <f>$AF1710*U1710</f>
        <v>0</v>
      </c>
      <c r="U1710" s="72">
        <v>0</v>
      </c>
      <c r="V1710" s="121">
        <f>$AF1710*W1710</f>
        <v>0</v>
      </c>
      <c r="W1710" s="69">
        <v>0.4</v>
      </c>
      <c r="X1710" s="121">
        <f>$AF1710*Y1710</f>
        <v>0</v>
      </c>
      <c r="Y1710" s="69">
        <v>0.4</v>
      </c>
      <c r="Z1710" s="121">
        <f>$AF1710*AA1710</f>
        <v>0</v>
      </c>
      <c r="AA1710" s="69">
        <v>0.2</v>
      </c>
      <c r="AB1710" s="316">
        <f>$AF1710*AC1710</f>
        <v>0</v>
      </c>
      <c r="AC1710" s="69">
        <v>0</v>
      </c>
      <c r="AD1710" s="121">
        <f>$AF1710*AE1710</f>
        <v>0</v>
      </c>
      <c r="AE1710" s="69">
        <v>0</v>
      </c>
      <c r="AF1710" s="89">
        <f>'Terms and Turnovers'!BD168</f>
        <v>0</v>
      </c>
      <c r="AG1710" s="162">
        <f>SUM(U1710,W1710,Y1710,AA1710,AC1710,AE1710)</f>
        <v>1</v>
      </c>
      <c r="AH1710" s="159">
        <f>SUM(R1710,AF1710)</f>
        <v>0</v>
      </c>
      <c r="AI1710" s="137">
        <f>S1710+AG1710</f>
        <v>2</v>
      </c>
      <c r="AJ1710" s="65"/>
      <c r="AL1710" s="461">
        <f>SUM(F1710,H1710,J1710,L1710,N1710,P1710,T1710,V1710,X1710,Z1710,AB1710,AD1710)</f>
        <v>0</v>
      </c>
      <c r="AM1710" s="462">
        <f>AL1710-AH1710</f>
        <v>0</v>
      </c>
      <c r="AO1710" s="692"/>
      <c r="AP1710" s="692"/>
      <c r="AV1710" s="56"/>
    </row>
    <row r="1711" spans="1:48" ht="13.5" customHeight="1" outlineLevel="2" thickBot="1">
      <c r="A1711" s="119"/>
      <c r="B1711" s="82"/>
      <c r="C1711" s="425"/>
      <c r="D1711" s="425"/>
      <c r="E1711" s="426"/>
      <c r="F1711" s="427">
        <f>SUM(F1706:F1710)</f>
        <v>0</v>
      </c>
      <c r="G1711" s="428"/>
      <c r="H1711" s="427">
        <f>SUM(H1706:H1710)</f>
        <v>0</v>
      </c>
      <c r="I1711" s="69"/>
      <c r="J1711" s="427">
        <f>SUM(J1706:J1710)</f>
        <v>0</v>
      </c>
      <c r="K1711" s="69"/>
      <c r="L1711" s="427">
        <f>SUM(L1706:L1710)</f>
        <v>0</v>
      </c>
      <c r="M1711" s="69"/>
      <c r="N1711" s="427">
        <f>SUM(N1706:N1710)</f>
        <v>0</v>
      </c>
      <c r="O1711" s="69"/>
      <c r="P1711" s="427">
        <f>SUM(P1706:P1710)</f>
        <v>0</v>
      </c>
      <c r="Q1711" s="69"/>
      <c r="R1711" s="429"/>
      <c r="S1711" s="430"/>
      <c r="T1711" s="427">
        <f>SUM(T1706:T1710)</f>
        <v>0</v>
      </c>
      <c r="U1711" s="428"/>
      <c r="V1711" s="427">
        <f>SUM(V1706:V1710)</f>
        <v>0</v>
      </c>
      <c r="W1711" s="69"/>
      <c r="X1711" s="427">
        <f>SUM(X1706:X1710)</f>
        <v>0</v>
      </c>
      <c r="Y1711" s="69"/>
      <c r="Z1711" s="427">
        <f>SUM(Z1706:Z1710)</f>
        <v>0</v>
      </c>
      <c r="AA1711" s="69"/>
      <c r="AB1711" s="427">
        <f>SUM(AB1706:AB1710)</f>
        <v>0</v>
      </c>
      <c r="AC1711" s="69"/>
      <c r="AD1711" s="427">
        <f>SUM(AD1706:AD1710)</f>
        <v>0</v>
      </c>
      <c r="AE1711" s="69"/>
      <c r="AF1711" s="429"/>
      <c r="AG1711" s="430"/>
      <c r="AH1711" s="431"/>
      <c r="AI1711" s="432"/>
      <c r="AJ1711" s="65"/>
      <c r="AO1711" s="692"/>
      <c r="AP1711" s="692"/>
      <c r="AV1711" s="56"/>
    </row>
    <row r="1712" spans="1:48" ht="13.5" customHeight="1" outlineLevel="2" thickBot="1">
      <c r="A1712" s="119"/>
      <c r="B1712" s="82"/>
      <c r="C1712" s="433" t="s">
        <v>484</v>
      </c>
      <c r="D1712" s="433" t="s">
        <v>414</v>
      </c>
      <c r="E1712" s="426"/>
      <c r="F1712" s="434">
        <f>AN1712</f>
        <v>0</v>
      </c>
      <c r="G1712" s="428"/>
      <c r="H1712" s="434">
        <f>H1711</f>
        <v>0</v>
      </c>
      <c r="I1712" s="69"/>
      <c r="J1712" s="434">
        <f>J1711</f>
        <v>0</v>
      </c>
      <c r="K1712" s="69"/>
      <c r="L1712" s="434">
        <f>L1711</f>
        <v>0</v>
      </c>
      <c r="M1712" s="69"/>
      <c r="N1712" s="434">
        <f>N1711-AO1712</f>
        <v>0</v>
      </c>
      <c r="O1712" s="69"/>
      <c r="P1712" s="434">
        <f>P1711</f>
        <v>0</v>
      </c>
      <c r="Q1712" s="69"/>
      <c r="R1712" s="429"/>
      <c r="S1712" s="430"/>
      <c r="T1712" s="434">
        <f>AO1712</f>
        <v>0</v>
      </c>
      <c r="U1712" s="428">
        <f>Q1711</f>
        <v>0</v>
      </c>
      <c r="V1712" s="434">
        <f>V1711</f>
        <v>0</v>
      </c>
      <c r="W1712" s="69">
        <f>S1711</f>
        <v>0</v>
      </c>
      <c r="X1712" s="434">
        <f>X1711</f>
        <v>0</v>
      </c>
      <c r="Y1712" s="69">
        <f>U1711</f>
        <v>0</v>
      </c>
      <c r="Z1712" s="434">
        <f>Z1711-AN1712</f>
        <v>0</v>
      </c>
      <c r="AA1712" s="69">
        <f>W1711</f>
        <v>0</v>
      </c>
      <c r="AB1712" s="434">
        <f>AB1711</f>
        <v>0</v>
      </c>
      <c r="AC1712" s="69">
        <f>Y1711</f>
        <v>0</v>
      </c>
      <c r="AD1712" s="434">
        <f>AD1711</f>
        <v>0</v>
      </c>
      <c r="AE1712" s="69"/>
      <c r="AF1712" s="429"/>
      <c r="AG1712" s="430"/>
      <c r="AH1712" s="431"/>
      <c r="AI1712" s="432"/>
      <c r="AJ1712" s="65"/>
      <c r="AN1712" s="695">
        <f>SUM(AF1706:AF1710)*AQ1712</f>
        <v>0</v>
      </c>
      <c r="AO1712" s="742">
        <f>SUM(R1706:R1710)*AQ1712</f>
        <v>0</v>
      </c>
      <c r="AP1712" s="742"/>
      <c r="AQ1712" s="693">
        <v>0.15</v>
      </c>
      <c r="AS1712" s="716">
        <f>SUM(AL1706:AL1710)</f>
        <v>0</v>
      </c>
      <c r="AT1712" s="461">
        <f>F1712+H1712+J1712+L1712+N1712+P1712+T1712+V1712+X1712+Z1712+AB1712+AD1712</f>
        <v>0</v>
      </c>
      <c r="AU1712" s="745">
        <f>AT1712-AS1712</f>
        <v>0</v>
      </c>
      <c r="AV1712" s="56"/>
    </row>
    <row r="1713" spans="1:48" ht="13.5" customHeight="1" outlineLevel="2" thickBot="1">
      <c r="B1713" s="82">
        <f>B1706+1</f>
        <v>38</v>
      </c>
      <c r="C1713" s="1233">
        <f>C272</f>
        <v>0</v>
      </c>
      <c r="D1713" s="1233">
        <f>D272</f>
        <v>0</v>
      </c>
      <c r="E1713" s="83" t="str">
        <f>'Terms and Turnovers'!$J$12</f>
        <v>FLIP-FLOPS</v>
      </c>
      <c r="F1713" s="118">
        <f>$R1713*G1713</f>
        <v>0</v>
      </c>
      <c r="G1713" s="69"/>
      <c r="H1713" s="314">
        <f>$R1713*I1713</f>
        <v>0</v>
      </c>
      <c r="I1713" s="69">
        <v>0.3</v>
      </c>
      <c r="J1713" s="118">
        <f>$R1713*K1713</f>
        <v>0</v>
      </c>
      <c r="K1713" s="69">
        <v>0.35</v>
      </c>
      <c r="L1713" s="314">
        <f>$R1713*M1713</f>
        <v>0</v>
      </c>
      <c r="M1713" s="69">
        <v>0.28999999999999998</v>
      </c>
      <c r="N1713" s="314">
        <f>$R1713*O1713</f>
        <v>0</v>
      </c>
      <c r="O1713" s="69">
        <v>0.06</v>
      </c>
      <c r="P1713" s="118">
        <f>$R1713*Q1713</f>
        <v>0</v>
      </c>
      <c r="Q1713" s="69">
        <v>0</v>
      </c>
      <c r="R1713" s="87">
        <f>'Terms and Turnovers'!K169</f>
        <v>0</v>
      </c>
      <c r="S1713" s="160">
        <f>SUM(G1713,I1713,K1713,M1713,O1713,Q1713)</f>
        <v>1</v>
      </c>
      <c r="T1713" s="118">
        <f>$AF1713*U1713</f>
        <v>0</v>
      </c>
      <c r="U1713" s="69">
        <v>0</v>
      </c>
      <c r="V1713" s="314">
        <f>$AF1713*W1713</f>
        <v>0</v>
      </c>
      <c r="W1713" s="69">
        <v>0.6</v>
      </c>
      <c r="X1713" s="118">
        <f>$AF1713*Y1713</f>
        <v>0</v>
      </c>
      <c r="Y1713" s="69">
        <v>0.3</v>
      </c>
      <c r="Z1713" s="314">
        <f>$AF1713*AA1713</f>
        <v>0</v>
      </c>
      <c r="AA1713" s="69">
        <v>0.1</v>
      </c>
      <c r="AB1713" s="314">
        <f>$AF1713*AC1713</f>
        <v>0</v>
      </c>
      <c r="AC1713" s="69">
        <v>0</v>
      </c>
      <c r="AD1713" s="118">
        <f>$AF1713*AE1713</f>
        <v>0</v>
      </c>
      <c r="AE1713" s="69">
        <v>0</v>
      </c>
      <c r="AF1713" s="87">
        <f>'Terms and Turnovers'!P169</f>
        <v>0</v>
      </c>
      <c r="AG1713" s="160">
        <f>SUM(U1713,W1713,Y1713,AA1713,AC1713,AE1713)</f>
        <v>0.99999999999999989</v>
      </c>
      <c r="AH1713" s="157">
        <f>SUM(R1713,AF1713)</f>
        <v>0</v>
      </c>
      <c r="AI1713" s="131">
        <f>S1713+AG1713</f>
        <v>2</v>
      </c>
      <c r="AJ1713" s="65"/>
      <c r="AL1713" s="461">
        <f>SUM(F1713,H1713,J1713,L1713,N1713,P1713,T1713,V1713,X1713,Z1713,AB1713,AD1713)</f>
        <v>0</v>
      </c>
      <c r="AM1713" s="462">
        <f>AL1713-AH1713</f>
        <v>0</v>
      </c>
      <c r="AO1713" s="692"/>
      <c r="AP1713" s="692"/>
      <c r="AV1713" s="56"/>
    </row>
    <row r="1714" spans="1:48" ht="13.5" customHeight="1" outlineLevel="2" thickBot="1">
      <c r="B1714" s="82"/>
      <c r="C1714" s="1234"/>
      <c r="D1714" s="1234"/>
      <c r="E1714" s="84" t="str">
        <f>'Terms and Turnovers'!$T$12</f>
        <v>ORIGINALS</v>
      </c>
      <c r="F1714" s="120">
        <f>$R1714*G1714</f>
        <v>0</v>
      </c>
      <c r="G1714" s="723"/>
      <c r="H1714" s="120">
        <f>$R1714*I1714</f>
        <v>0</v>
      </c>
      <c r="I1714" s="69">
        <v>0</v>
      </c>
      <c r="J1714" s="120">
        <f>$R1714*K1714</f>
        <v>0</v>
      </c>
      <c r="K1714" s="69">
        <v>0.5</v>
      </c>
      <c r="L1714" s="120">
        <f>$R1714*M1714</f>
        <v>0</v>
      </c>
      <c r="M1714" s="69">
        <v>0.5</v>
      </c>
      <c r="N1714" s="315">
        <f>$R1714*O1714</f>
        <v>0</v>
      </c>
      <c r="O1714" s="69">
        <v>0</v>
      </c>
      <c r="P1714" s="120">
        <f>$R1714*Q1714</f>
        <v>0</v>
      </c>
      <c r="Q1714" s="69">
        <v>0</v>
      </c>
      <c r="R1714" s="88">
        <f>'Terms and Turnovers'!U169</f>
        <v>0</v>
      </c>
      <c r="S1714" s="161">
        <f>SUM(G1714,I1714,K1714,M1714,O1714,Q1714)</f>
        <v>1</v>
      </c>
      <c r="T1714" s="120">
        <f>$AF1714*U1714</f>
        <v>0</v>
      </c>
      <c r="U1714" s="723">
        <v>0</v>
      </c>
      <c r="V1714" s="120">
        <f>$AF1714*W1714</f>
        <v>0</v>
      </c>
      <c r="W1714" s="69">
        <v>0.5</v>
      </c>
      <c r="X1714" s="120">
        <f>$AF1714*Y1714</f>
        <v>0</v>
      </c>
      <c r="Y1714" s="69">
        <v>0.5</v>
      </c>
      <c r="Z1714" s="120">
        <f>$AF1714*AA1714</f>
        <v>0</v>
      </c>
      <c r="AA1714" s="69">
        <v>0</v>
      </c>
      <c r="AB1714" s="315">
        <f>$AF1714*AC1714</f>
        <v>0</v>
      </c>
      <c r="AC1714" s="69">
        <v>0</v>
      </c>
      <c r="AD1714" s="120">
        <f>$AF1714*AE1714</f>
        <v>0</v>
      </c>
      <c r="AE1714" s="69">
        <v>0</v>
      </c>
      <c r="AF1714" s="88">
        <f>'Terms and Turnovers'!Z169</f>
        <v>0</v>
      </c>
      <c r="AG1714" s="161">
        <f>SUM(U1714,W1714,Y1714,AA1714,AC1714,AE1714)</f>
        <v>1</v>
      </c>
      <c r="AH1714" s="158">
        <f>SUM(R1714,AF1714)</f>
        <v>0</v>
      </c>
      <c r="AI1714" s="134">
        <f>S1714+AG1714</f>
        <v>2</v>
      </c>
      <c r="AJ1714" s="65"/>
      <c r="AL1714" s="461">
        <f>SUM(F1714,H1714,J1714,L1714,N1714,P1714,T1714,V1714,X1714,Z1714,AB1714,AD1714)</f>
        <v>0</v>
      </c>
      <c r="AM1714" s="462">
        <f>AL1714-AH1714</f>
        <v>0</v>
      </c>
      <c r="AO1714" s="692"/>
      <c r="AP1714" s="692"/>
      <c r="AV1714" s="56"/>
    </row>
    <row r="1715" spans="1:48" ht="13.5" customHeight="1" outlineLevel="2" thickBot="1">
      <c r="B1715" s="82"/>
      <c r="C1715" s="1234"/>
      <c r="D1715" s="1234"/>
      <c r="E1715" s="84" t="str">
        <f>'Terms and Turnovers'!$AD$12</f>
        <v>ACCESSORIES</v>
      </c>
      <c r="F1715" s="120">
        <f>$R1715*G1715</f>
        <v>0</v>
      </c>
      <c r="G1715" s="723"/>
      <c r="H1715" s="120">
        <f>$R1715*I1715</f>
        <v>0</v>
      </c>
      <c r="I1715" s="69">
        <v>0</v>
      </c>
      <c r="J1715" s="120">
        <f>$R1715*K1715</f>
        <v>0</v>
      </c>
      <c r="K1715" s="69">
        <v>0.4</v>
      </c>
      <c r="L1715" s="120">
        <f>$R1715*M1715</f>
        <v>0</v>
      </c>
      <c r="M1715" s="69">
        <v>0.5</v>
      </c>
      <c r="N1715" s="315">
        <f>$R1715*O1715</f>
        <v>0</v>
      </c>
      <c r="O1715" s="69">
        <v>0</v>
      </c>
      <c r="P1715" s="120">
        <f>$R1715*Q1715</f>
        <v>0</v>
      </c>
      <c r="Q1715" s="69">
        <v>0</v>
      </c>
      <c r="R1715" s="88">
        <f>'Terms and Turnovers'!AE169</f>
        <v>0</v>
      </c>
      <c r="S1715" s="161">
        <f>SUM(G1715,I1715,K1715,M1715,O1715,Q1715)</f>
        <v>0.9</v>
      </c>
      <c r="T1715" s="120">
        <f>$AF1715*U1715</f>
        <v>0</v>
      </c>
      <c r="U1715" s="723">
        <v>0</v>
      </c>
      <c r="V1715" s="120">
        <f>$AF1715*W1715</f>
        <v>0</v>
      </c>
      <c r="W1715" s="69">
        <v>0.5</v>
      </c>
      <c r="X1715" s="120">
        <f>$AF1715*Y1715</f>
        <v>0</v>
      </c>
      <c r="Y1715" s="69">
        <v>0.5</v>
      </c>
      <c r="Z1715" s="120">
        <f>$AF1715*AA1715</f>
        <v>0</v>
      </c>
      <c r="AA1715" s="69">
        <v>0</v>
      </c>
      <c r="AB1715" s="315">
        <f>$AF1715*AC1715</f>
        <v>0</v>
      </c>
      <c r="AC1715" s="69">
        <v>0</v>
      </c>
      <c r="AD1715" s="120">
        <f>$AF1715*AE1715</f>
        <v>0</v>
      </c>
      <c r="AE1715" s="69">
        <v>0</v>
      </c>
      <c r="AF1715" s="88">
        <f>'Terms and Turnovers'!AJ169</f>
        <v>0</v>
      </c>
      <c r="AG1715" s="161">
        <f>SUM(U1715,W1715,Y1715,AA1715,AC1715,AE1715)</f>
        <v>1</v>
      </c>
      <c r="AH1715" s="158">
        <f>SUM(R1715,AF1715)</f>
        <v>0</v>
      </c>
      <c r="AI1715" s="134">
        <f>S1715+AG1715</f>
        <v>1.9</v>
      </c>
      <c r="AJ1715" s="65"/>
      <c r="AL1715" s="461">
        <f>SUM(F1715,H1715,J1715,L1715,N1715,P1715,T1715,V1715,X1715,Z1715,AB1715,AD1715)</f>
        <v>0</v>
      </c>
      <c r="AM1715" s="462">
        <f>AL1715-AH1715</f>
        <v>0</v>
      </c>
      <c r="AO1715" s="692"/>
      <c r="AP1715" s="692"/>
      <c r="AV1715" s="56"/>
    </row>
    <row r="1716" spans="1:48" ht="13.5" customHeight="1" outlineLevel="2" thickBot="1">
      <c r="B1716" s="82"/>
      <c r="C1716" s="1234"/>
      <c r="D1716" s="1234"/>
      <c r="E1716" s="84">
        <f>'Terms and Turnovers'!$AN$12</f>
        <v>0</v>
      </c>
      <c r="F1716" s="120">
        <f>$R1716*G1716</f>
        <v>0</v>
      </c>
      <c r="G1716" s="723"/>
      <c r="H1716" s="120">
        <f>$R1716*I1716</f>
        <v>0</v>
      </c>
      <c r="I1716" s="69">
        <v>0.3</v>
      </c>
      <c r="J1716" s="120">
        <f>$R1716*K1716</f>
        <v>0</v>
      </c>
      <c r="K1716" s="69">
        <v>0.35</v>
      </c>
      <c r="L1716" s="120">
        <f>$R1716*M1716</f>
        <v>0</v>
      </c>
      <c r="M1716" s="69">
        <v>0.28999999999999998</v>
      </c>
      <c r="N1716" s="315">
        <f>$R1716*O1716</f>
        <v>0</v>
      </c>
      <c r="O1716" s="69">
        <v>0.06</v>
      </c>
      <c r="P1716" s="120">
        <f>$R1716*Q1716</f>
        <v>0</v>
      </c>
      <c r="Q1716" s="69">
        <v>0</v>
      </c>
      <c r="R1716" s="88">
        <f>'Terms and Turnovers'!AO169</f>
        <v>0</v>
      </c>
      <c r="S1716" s="161">
        <f>SUM(G1716,I1716,K1716,M1716,O1716,Q1716)</f>
        <v>1</v>
      </c>
      <c r="T1716" s="120">
        <f>$AF1716*U1716</f>
        <v>0</v>
      </c>
      <c r="U1716" s="723">
        <v>0</v>
      </c>
      <c r="V1716" s="120">
        <f>$AF1716*W1716</f>
        <v>0</v>
      </c>
      <c r="W1716" s="69">
        <v>0.6</v>
      </c>
      <c r="X1716" s="120">
        <f>$AF1716*Y1716</f>
        <v>0</v>
      </c>
      <c r="Y1716" s="69">
        <v>0.3</v>
      </c>
      <c r="Z1716" s="120">
        <f>$AF1716*AA1716</f>
        <v>0</v>
      </c>
      <c r="AA1716" s="69">
        <v>0.1</v>
      </c>
      <c r="AB1716" s="315">
        <f>$AF1716*AC1716</f>
        <v>0</v>
      </c>
      <c r="AC1716" s="69">
        <v>0</v>
      </c>
      <c r="AD1716" s="120">
        <f>$AF1716*AE1716</f>
        <v>0</v>
      </c>
      <c r="AE1716" s="69">
        <v>0</v>
      </c>
      <c r="AF1716" s="88">
        <f>'Terms and Turnovers'!AT169</f>
        <v>0</v>
      </c>
      <c r="AG1716" s="161">
        <f>SUM(U1716,W1716,Y1716,AA1716,AC1716,AE1716)</f>
        <v>0.99999999999999989</v>
      </c>
      <c r="AH1716" s="158">
        <f>SUM(R1716,AF1716)</f>
        <v>0</v>
      </c>
      <c r="AI1716" s="134">
        <f>S1716+AG1716</f>
        <v>2</v>
      </c>
      <c r="AJ1716" s="65"/>
      <c r="AL1716" s="461">
        <f>SUM(F1716,H1716,J1716,L1716,N1716,P1716,T1716,V1716,X1716,Z1716,AB1716,AD1716)</f>
        <v>0</v>
      </c>
      <c r="AM1716" s="462">
        <f>AL1716-AH1716</f>
        <v>0</v>
      </c>
      <c r="AO1716" s="692"/>
      <c r="AP1716" s="692"/>
      <c r="AV1716" s="56"/>
    </row>
    <row r="1717" spans="1:48" ht="13.5" customHeight="1" outlineLevel="2" thickBot="1">
      <c r="B1717" s="82"/>
      <c r="C1717" s="1235"/>
      <c r="D1717" s="1235"/>
      <c r="E1717" s="85">
        <f>'Terms and Turnovers'!$AX$12</f>
        <v>0</v>
      </c>
      <c r="F1717" s="121">
        <f>$R1717*G1717</f>
        <v>0</v>
      </c>
      <c r="G1717" s="72"/>
      <c r="H1717" s="121">
        <f>$R1717*I1717</f>
        <v>0</v>
      </c>
      <c r="I1717" s="69">
        <v>0.3</v>
      </c>
      <c r="J1717" s="121">
        <f>$R1717*K1717</f>
        <v>0</v>
      </c>
      <c r="K1717" s="69">
        <v>0.35</v>
      </c>
      <c r="L1717" s="121">
        <f>$R1717*M1717</f>
        <v>0</v>
      </c>
      <c r="M1717" s="69">
        <v>0.28999999999999998</v>
      </c>
      <c r="N1717" s="316">
        <f>$R1717*O1717</f>
        <v>0</v>
      </c>
      <c r="O1717" s="69">
        <v>0.06</v>
      </c>
      <c r="P1717" s="121">
        <f>$R1717*Q1717</f>
        <v>0</v>
      </c>
      <c r="Q1717" s="69">
        <v>0</v>
      </c>
      <c r="R1717" s="89">
        <f>'Terms and Turnovers'!AY169</f>
        <v>0</v>
      </c>
      <c r="S1717" s="162">
        <f>SUM(G1717,I1717,K1717,M1717,O1717,Q1717)</f>
        <v>1</v>
      </c>
      <c r="T1717" s="121">
        <f>$AF1717*U1717</f>
        <v>0</v>
      </c>
      <c r="U1717" s="72">
        <v>0</v>
      </c>
      <c r="V1717" s="121">
        <f>$AF1717*W1717</f>
        <v>0</v>
      </c>
      <c r="W1717" s="69">
        <v>0.6</v>
      </c>
      <c r="X1717" s="121">
        <f>$AF1717*Y1717</f>
        <v>0</v>
      </c>
      <c r="Y1717" s="69">
        <v>0.3</v>
      </c>
      <c r="Z1717" s="121">
        <f>$AF1717*AA1717</f>
        <v>0</v>
      </c>
      <c r="AA1717" s="69">
        <v>0.1</v>
      </c>
      <c r="AB1717" s="316">
        <f>$AF1717*AC1717</f>
        <v>0</v>
      </c>
      <c r="AC1717" s="69">
        <v>0</v>
      </c>
      <c r="AD1717" s="121">
        <f>$AF1717*AE1717</f>
        <v>0</v>
      </c>
      <c r="AE1717" s="69">
        <v>0</v>
      </c>
      <c r="AF1717" s="89">
        <f>'Terms and Turnovers'!BD169</f>
        <v>0</v>
      </c>
      <c r="AG1717" s="162">
        <f>SUM(U1717,W1717,Y1717,AA1717,AC1717,AE1717)</f>
        <v>0.99999999999999989</v>
      </c>
      <c r="AH1717" s="159">
        <f>SUM(R1717,AF1717)</f>
        <v>0</v>
      </c>
      <c r="AI1717" s="137">
        <f>S1717+AG1717</f>
        <v>2</v>
      </c>
      <c r="AJ1717" s="65"/>
      <c r="AL1717" s="461">
        <f>SUM(F1717,H1717,J1717,L1717,N1717,P1717,T1717,V1717,X1717,Z1717,AB1717,AD1717)</f>
        <v>0</v>
      </c>
      <c r="AM1717" s="462">
        <f>AL1717-AH1717</f>
        <v>0</v>
      </c>
      <c r="AO1717" s="692"/>
      <c r="AP1717" s="692"/>
      <c r="AV1717" s="56"/>
    </row>
    <row r="1718" spans="1:48" ht="13.5" customHeight="1" outlineLevel="2" thickBot="1">
      <c r="A1718" s="119"/>
      <c r="B1718" s="82"/>
      <c r="C1718" s="425"/>
      <c r="D1718" s="425"/>
      <c r="E1718" s="426"/>
      <c r="F1718" s="427">
        <f>SUM(F1713:F1717)</f>
        <v>0</v>
      </c>
      <c r="G1718" s="428"/>
      <c r="H1718" s="427">
        <f>SUM(H1713:H1717)</f>
        <v>0</v>
      </c>
      <c r="I1718" s="69"/>
      <c r="J1718" s="427">
        <f>SUM(J1713:J1717)</f>
        <v>0</v>
      </c>
      <c r="K1718" s="69"/>
      <c r="L1718" s="427">
        <f>SUM(L1713:L1717)</f>
        <v>0</v>
      </c>
      <c r="M1718" s="69"/>
      <c r="N1718" s="427">
        <f>SUM(N1713:N1717)</f>
        <v>0</v>
      </c>
      <c r="O1718" s="69"/>
      <c r="P1718" s="427">
        <f>SUM(P1713:P1717)</f>
        <v>0</v>
      </c>
      <c r="Q1718" s="69"/>
      <c r="R1718" s="429"/>
      <c r="S1718" s="430"/>
      <c r="T1718" s="427">
        <f>SUM(T1713:T1717)</f>
        <v>0</v>
      </c>
      <c r="U1718" s="428"/>
      <c r="V1718" s="427">
        <f>SUM(V1713:V1717)</f>
        <v>0</v>
      </c>
      <c r="W1718" s="69"/>
      <c r="X1718" s="427">
        <f>SUM(X1713:X1717)</f>
        <v>0</v>
      </c>
      <c r="Y1718" s="69"/>
      <c r="Z1718" s="427">
        <f>SUM(Z1713:Z1717)</f>
        <v>0</v>
      </c>
      <c r="AA1718" s="69"/>
      <c r="AB1718" s="427">
        <f>SUM(AB1713:AB1717)</f>
        <v>0</v>
      </c>
      <c r="AC1718" s="69"/>
      <c r="AD1718" s="427">
        <f>SUM(AD1713:AD1717)</f>
        <v>0</v>
      </c>
      <c r="AE1718" s="69"/>
      <c r="AF1718" s="429"/>
      <c r="AG1718" s="430"/>
      <c r="AH1718" s="431"/>
      <c r="AI1718" s="432"/>
      <c r="AJ1718" s="65"/>
      <c r="AO1718" s="692"/>
      <c r="AP1718" s="692"/>
      <c r="AV1718" s="56"/>
    </row>
    <row r="1719" spans="1:48" ht="13.5" customHeight="1" outlineLevel="2" thickBot="1">
      <c r="A1719" s="119"/>
      <c r="B1719" s="82"/>
      <c r="C1719" s="433" t="s">
        <v>484</v>
      </c>
      <c r="D1719" s="433" t="s">
        <v>352</v>
      </c>
      <c r="E1719" s="426"/>
      <c r="F1719" s="434">
        <f>AN1719</f>
        <v>0</v>
      </c>
      <c r="G1719" s="428"/>
      <c r="H1719" s="434">
        <v>0</v>
      </c>
      <c r="I1719" s="69"/>
      <c r="J1719" s="434">
        <v>0</v>
      </c>
      <c r="K1719" s="69"/>
      <c r="L1719" s="434">
        <f>H1718</f>
        <v>0</v>
      </c>
      <c r="M1719" s="69"/>
      <c r="N1719" s="434">
        <f>J1718</f>
        <v>0</v>
      </c>
      <c r="O1719" s="69"/>
      <c r="P1719" s="434">
        <f>L1718</f>
        <v>0</v>
      </c>
      <c r="Q1719" s="69"/>
      <c r="R1719" s="429"/>
      <c r="S1719" s="430"/>
      <c r="T1719" s="434">
        <f>N1718</f>
        <v>0</v>
      </c>
      <c r="U1719" s="428">
        <f>Q1718</f>
        <v>0</v>
      </c>
      <c r="V1719" s="434">
        <v>0</v>
      </c>
      <c r="W1719" s="69">
        <f>S1718</f>
        <v>0</v>
      </c>
      <c r="X1719" s="434">
        <v>0</v>
      </c>
      <c r="Y1719" s="69">
        <f t="shared" ref="Y1719:AD1719" si="162">U1718</f>
        <v>0</v>
      </c>
      <c r="Z1719" s="434">
        <f t="shared" si="162"/>
        <v>0</v>
      </c>
      <c r="AA1719" s="69">
        <f t="shared" si="162"/>
        <v>0</v>
      </c>
      <c r="AB1719" s="434">
        <f t="shared" si="162"/>
        <v>0</v>
      </c>
      <c r="AC1719" s="69">
        <f t="shared" si="162"/>
        <v>0</v>
      </c>
      <c r="AD1719" s="434">
        <f t="shared" si="162"/>
        <v>0</v>
      </c>
      <c r="AE1719" s="69"/>
      <c r="AF1719" s="429"/>
      <c r="AG1719" s="430"/>
      <c r="AH1719" s="431"/>
      <c r="AI1719" s="432"/>
      <c r="AJ1719" s="65"/>
      <c r="AN1719" s="695">
        <v>0</v>
      </c>
      <c r="AO1719" s="742">
        <v>0</v>
      </c>
      <c r="AP1719" s="742"/>
      <c r="AQ1719" s="693">
        <v>0.1</v>
      </c>
      <c r="AR1719" s="696" t="s">
        <v>485</v>
      </c>
      <c r="AS1719" s="716">
        <f>SUM(AL1713:AL1717)</f>
        <v>0</v>
      </c>
      <c r="AT1719" s="461">
        <f>F1719+H1719+J1719+L1719+N1719+P1719+T1719+V1719+X1719+Z1719+AB1719+AD1719</f>
        <v>0</v>
      </c>
      <c r="AU1719" s="745">
        <f>AT1719-AS1719</f>
        <v>0</v>
      </c>
      <c r="AV1719" s="56"/>
    </row>
    <row r="1720" spans="1:48" ht="13.5" customHeight="1" outlineLevel="2" thickBot="1">
      <c r="B1720" s="82">
        <f>B1713+1</f>
        <v>39</v>
      </c>
      <c r="C1720" s="1233">
        <f>C279</f>
        <v>0</v>
      </c>
      <c r="D1720" s="1233">
        <f>D279</f>
        <v>0</v>
      </c>
      <c r="E1720" s="83" t="str">
        <f>'Terms and Turnovers'!$J$12</f>
        <v>FLIP-FLOPS</v>
      </c>
      <c r="F1720" s="118">
        <f>$R1720*G1720</f>
        <v>0</v>
      </c>
      <c r="G1720" s="69"/>
      <c r="H1720" s="314">
        <f>$R1720*I1720</f>
        <v>0</v>
      </c>
      <c r="I1720" s="69">
        <v>0</v>
      </c>
      <c r="J1720" s="118">
        <f>$R1720*K1720</f>
        <v>0</v>
      </c>
      <c r="K1720" s="69">
        <v>0.4</v>
      </c>
      <c r="L1720" s="314">
        <f>$R1720*M1720</f>
        <v>0</v>
      </c>
      <c r="M1720" s="69">
        <v>0.6</v>
      </c>
      <c r="N1720" s="314">
        <f>$R1720*O1720</f>
        <v>0</v>
      </c>
      <c r="O1720" s="69">
        <v>0</v>
      </c>
      <c r="P1720" s="118">
        <f>$R1720*Q1720</f>
        <v>0</v>
      </c>
      <c r="Q1720" s="69">
        <v>0</v>
      </c>
      <c r="R1720" s="87">
        <f>'Terms and Turnovers'!K170</f>
        <v>0</v>
      </c>
      <c r="S1720" s="160">
        <f>SUM(G1720,I1720,K1720,M1720,O1720,Q1720)</f>
        <v>1</v>
      </c>
      <c r="T1720" s="118">
        <f>$AF1720*U1720</f>
        <v>0</v>
      </c>
      <c r="U1720" s="69">
        <v>0</v>
      </c>
      <c r="V1720" s="314">
        <f>$AF1720*W1720</f>
        <v>0</v>
      </c>
      <c r="W1720" s="69">
        <v>0.4</v>
      </c>
      <c r="X1720" s="118">
        <f>$AF1720*Y1720</f>
        <v>0</v>
      </c>
      <c r="Y1720" s="69">
        <v>0.4</v>
      </c>
      <c r="Z1720" s="314">
        <f>$AF1720*AA1720</f>
        <v>0</v>
      </c>
      <c r="AA1720" s="69">
        <v>0.2</v>
      </c>
      <c r="AB1720" s="314">
        <f>$AF1720*AC1720</f>
        <v>0</v>
      </c>
      <c r="AC1720" s="69">
        <v>0</v>
      </c>
      <c r="AD1720" s="118">
        <f>$AF1720*AE1720</f>
        <v>0</v>
      </c>
      <c r="AE1720" s="69">
        <v>0</v>
      </c>
      <c r="AF1720" s="87">
        <f>'Terms and Turnovers'!P170</f>
        <v>0</v>
      </c>
      <c r="AG1720" s="160">
        <f>SUM(U1720,W1720,Y1720,AA1720,AC1720,AE1720)</f>
        <v>1</v>
      </c>
      <c r="AH1720" s="157">
        <f>SUM(R1720,AF1720)</f>
        <v>0</v>
      </c>
      <c r="AI1720" s="131">
        <f>S1720+AG1720</f>
        <v>2</v>
      </c>
      <c r="AJ1720" s="65"/>
      <c r="AL1720" s="461">
        <f>SUM(F1720,H1720,J1720,L1720,N1720,P1720,T1720,V1720,X1720,Z1720,AB1720,AD1720)</f>
        <v>0</v>
      </c>
      <c r="AM1720" s="462">
        <f>AL1720-AH1720</f>
        <v>0</v>
      </c>
      <c r="AO1720" s="692"/>
      <c r="AP1720" s="692"/>
      <c r="AV1720" s="56"/>
    </row>
    <row r="1721" spans="1:48" ht="13.5" customHeight="1" outlineLevel="2" thickBot="1">
      <c r="B1721" s="82"/>
      <c r="C1721" s="1234"/>
      <c r="D1721" s="1234"/>
      <c r="E1721" s="84" t="str">
        <f>'Terms and Turnovers'!$T$12</f>
        <v>ORIGINALS</v>
      </c>
      <c r="F1721" s="120">
        <f>$R1721*G1721</f>
        <v>0</v>
      </c>
      <c r="G1721" s="723"/>
      <c r="H1721" s="120">
        <f>$R1721*I1721</f>
        <v>0</v>
      </c>
      <c r="I1721" s="69">
        <v>0</v>
      </c>
      <c r="J1721" s="120">
        <f>$R1721*K1721</f>
        <v>0</v>
      </c>
      <c r="K1721" s="69">
        <v>0.5</v>
      </c>
      <c r="L1721" s="120">
        <f>$R1721*M1721</f>
        <v>0</v>
      </c>
      <c r="M1721" s="69">
        <v>0.5</v>
      </c>
      <c r="N1721" s="315">
        <f>$R1721*O1721</f>
        <v>0</v>
      </c>
      <c r="O1721" s="69">
        <v>0</v>
      </c>
      <c r="P1721" s="120">
        <f>$R1721*Q1721</f>
        <v>0</v>
      </c>
      <c r="Q1721" s="69">
        <v>0</v>
      </c>
      <c r="R1721" s="88">
        <f>'Terms and Turnovers'!U170</f>
        <v>0</v>
      </c>
      <c r="S1721" s="161">
        <f>SUM(G1721,I1721,K1721,M1721,O1721,Q1721)</f>
        <v>1</v>
      </c>
      <c r="T1721" s="120">
        <f>$AF1721*U1721</f>
        <v>0</v>
      </c>
      <c r="U1721" s="723">
        <v>0</v>
      </c>
      <c r="V1721" s="120">
        <f>$AF1721*W1721</f>
        <v>0</v>
      </c>
      <c r="W1721" s="69">
        <v>0.5</v>
      </c>
      <c r="X1721" s="120">
        <f>$AF1721*Y1721</f>
        <v>0</v>
      </c>
      <c r="Y1721" s="69">
        <v>0.5</v>
      </c>
      <c r="Z1721" s="120">
        <f>$AF1721*AA1721</f>
        <v>0</v>
      </c>
      <c r="AA1721" s="69">
        <v>0</v>
      </c>
      <c r="AB1721" s="315">
        <f>$AF1721*AC1721</f>
        <v>0</v>
      </c>
      <c r="AC1721" s="69">
        <v>0</v>
      </c>
      <c r="AD1721" s="120">
        <f>$AF1721*AE1721</f>
        <v>0</v>
      </c>
      <c r="AE1721" s="69">
        <v>0</v>
      </c>
      <c r="AF1721" s="88">
        <f>'Terms and Turnovers'!Z170</f>
        <v>0</v>
      </c>
      <c r="AG1721" s="161">
        <f>SUM(U1721,W1721,Y1721,AA1721,AC1721,AE1721)</f>
        <v>1</v>
      </c>
      <c r="AH1721" s="158">
        <f>SUM(R1721,AF1721)</f>
        <v>0</v>
      </c>
      <c r="AI1721" s="134">
        <f>S1721+AG1721</f>
        <v>2</v>
      </c>
      <c r="AJ1721" s="65"/>
      <c r="AL1721" s="461">
        <f>SUM(F1721,H1721,J1721,L1721,N1721,P1721,T1721,V1721,X1721,Z1721,AB1721,AD1721)</f>
        <v>0</v>
      </c>
      <c r="AM1721" s="462">
        <f>AL1721-AH1721</f>
        <v>0</v>
      </c>
      <c r="AO1721" s="692"/>
      <c r="AP1721" s="692"/>
      <c r="AV1721" s="56"/>
    </row>
    <row r="1722" spans="1:48" ht="13.5" customHeight="1" outlineLevel="2" thickBot="1">
      <c r="B1722" s="82"/>
      <c r="C1722" s="1234"/>
      <c r="D1722" s="1234"/>
      <c r="E1722" s="84" t="str">
        <f>'Terms and Turnovers'!$AD$12</f>
        <v>ACCESSORIES</v>
      </c>
      <c r="F1722" s="120">
        <f>$R1722*G1722</f>
        <v>0</v>
      </c>
      <c r="G1722" s="723"/>
      <c r="H1722" s="120">
        <f>$R1722*I1722</f>
        <v>0</v>
      </c>
      <c r="I1722" s="69">
        <v>0</v>
      </c>
      <c r="J1722" s="120">
        <f>$R1722*K1722</f>
        <v>0</v>
      </c>
      <c r="K1722" s="69">
        <v>0.5</v>
      </c>
      <c r="L1722" s="120">
        <f>$R1722*M1722</f>
        <v>0</v>
      </c>
      <c r="M1722" s="69">
        <v>0.5</v>
      </c>
      <c r="N1722" s="315">
        <f>$R1722*O1722</f>
        <v>0</v>
      </c>
      <c r="O1722" s="69">
        <v>0</v>
      </c>
      <c r="P1722" s="120">
        <f>$R1722*Q1722</f>
        <v>0</v>
      </c>
      <c r="Q1722" s="69">
        <v>0</v>
      </c>
      <c r="R1722" s="88">
        <f>'Terms and Turnovers'!AE170</f>
        <v>0</v>
      </c>
      <c r="S1722" s="161">
        <f>SUM(G1722,I1722,K1722,M1722,O1722,Q1722)</f>
        <v>1</v>
      </c>
      <c r="T1722" s="120">
        <f>$AF1722*U1722</f>
        <v>0</v>
      </c>
      <c r="U1722" s="723">
        <v>0</v>
      </c>
      <c r="V1722" s="120">
        <f>$AF1722*W1722</f>
        <v>0</v>
      </c>
      <c r="W1722" s="69">
        <v>0.5</v>
      </c>
      <c r="X1722" s="120">
        <f>$AF1722*Y1722</f>
        <v>0</v>
      </c>
      <c r="Y1722" s="69">
        <v>0.5</v>
      </c>
      <c r="Z1722" s="120">
        <f>$AF1722*AA1722</f>
        <v>0</v>
      </c>
      <c r="AA1722" s="69">
        <v>0</v>
      </c>
      <c r="AB1722" s="315">
        <f>$AF1722*AC1722</f>
        <v>0</v>
      </c>
      <c r="AC1722" s="69">
        <v>0</v>
      </c>
      <c r="AD1722" s="120">
        <f>$AF1722*AE1722</f>
        <v>0</v>
      </c>
      <c r="AE1722" s="69">
        <v>0</v>
      </c>
      <c r="AF1722" s="88">
        <f>'Terms and Turnovers'!AJ170</f>
        <v>0</v>
      </c>
      <c r="AG1722" s="161">
        <f>SUM(U1722,W1722,Y1722,AA1722,AC1722,AE1722)</f>
        <v>1</v>
      </c>
      <c r="AH1722" s="158">
        <f>SUM(R1722,AF1722)</f>
        <v>0</v>
      </c>
      <c r="AI1722" s="134">
        <f>S1722+AG1722</f>
        <v>2</v>
      </c>
      <c r="AJ1722" s="65"/>
      <c r="AL1722" s="461">
        <f>SUM(F1722,H1722,J1722,L1722,N1722,P1722,T1722,V1722,X1722,Z1722,AB1722,AD1722)</f>
        <v>0</v>
      </c>
      <c r="AM1722" s="462">
        <f>AL1722-AH1722</f>
        <v>0</v>
      </c>
      <c r="AO1722" s="692"/>
      <c r="AP1722" s="692"/>
      <c r="AV1722" s="56"/>
    </row>
    <row r="1723" spans="1:48" ht="13.5" customHeight="1" outlineLevel="2" thickBot="1">
      <c r="B1723" s="82"/>
      <c r="C1723" s="1234"/>
      <c r="D1723" s="1234"/>
      <c r="E1723" s="84">
        <f>'Terms and Turnovers'!$AN$12</f>
        <v>0</v>
      </c>
      <c r="F1723" s="120">
        <f>$R1723*G1723</f>
        <v>0</v>
      </c>
      <c r="G1723" s="723"/>
      <c r="H1723" s="120">
        <f>$R1723*I1723</f>
        <v>0</v>
      </c>
      <c r="I1723" s="69">
        <v>0</v>
      </c>
      <c r="J1723" s="120">
        <f>$R1723*K1723</f>
        <v>0</v>
      </c>
      <c r="K1723" s="69">
        <v>0.4</v>
      </c>
      <c r="L1723" s="120">
        <f>$R1723*M1723</f>
        <v>0</v>
      </c>
      <c r="M1723" s="69">
        <v>0.6</v>
      </c>
      <c r="N1723" s="315">
        <f>$R1723*O1723</f>
        <v>0</v>
      </c>
      <c r="O1723" s="69">
        <v>0</v>
      </c>
      <c r="P1723" s="120">
        <f>$R1723*Q1723</f>
        <v>0</v>
      </c>
      <c r="Q1723" s="69">
        <v>0</v>
      </c>
      <c r="R1723" s="88">
        <f>'Terms and Turnovers'!AO170</f>
        <v>0</v>
      </c>
      <c r="S1723" s="161">
        <f>SUM(G1723,I1723,K1723,M1723,O1723,Q1723)</f>
        <v>1</v>
      </c>
      <c r="T1723" s="120">
        <f>$AF1723*U1723</f>
        <v>0</v>
      </c>
      <c r="U1723" s="723">
        <v>0</v>
      </c>
      <c r="V1723" s="120">
        <f>$AF1723*W1723</f>
        <v>0</v>
      </c>
      <c r="W1723" s="69">
        <v>0.4</v>
      </c>
      <c r="X1723" s="120">
        <f>$AF1723*Y1723</f>
        <v>0</v>
      </c>
      <c r="Y1723" s="69">
        <v>0.4</v>
      </c>
      <c r="Z1723" s="120">
        <f>$AF1723*AA1723</f>
        <v>0</v>
      </c>
      <c r="AA1723" s="69">
        <v>0.2</v>
      </c>
      <c r="AB1723" s="315">
        <f>$AF1723*AC1723</f>
        <v>0</v>
      </c>
      <c r="AC1723" s="69">
        <v>0</v>
      </c>
      <c r="AD1723" s="120">
        <f>$AF1723*AE1723</f>
        <v>0</v>
      </c>
      <c r="AE1723" s="69">
        <v>0</v>
      </c>
      <c r="AF1723" s="88">
        <f>'Terms and Turnovers'!AT170</f>
        <v>0</v>
      </c>
      <c r="AG1723" s="161">
        <f>SUM(U1723,W1723,Y1723,AA1723,AC1723,AE1723)</f>
        <v>1</v>
      </c>
      <c r="AH1723" s="158">
        <f>SUM(R1723,AF1723)</f>
        <v>0</v>
      </c>
      <c r="AI1723" s="134">
        <f>S1723+AG1723</f>
        <v>2</v>
      </c>
      <c r="AJ1723" s="65"/>
      <c r="AL1723" s="461">
        <f>SUM(F1723,H1723,J1723,L1723,N1723,P1723,T1723,V1723,X1723,Z1723,AB1723,AD1723)</f>
        <v>0</v>
      </c>
      <c r="AM1723" s="462">
        <f>AL1723-AH1723</f>
        <v>0</v>
      </c>
      <c r="AO1723" s="692"/>
      <c r="AP1723" s="692"/>
      <c r="AV1723" s="56"/>
    </row>
    <row r="1724" spans="1:48" ht="13.5" customHeight="1" outlineLevel="2" thickBot="1">
      <c r="B1724" s="82"/>
      <c r="C1724" s="1235"/>
      <c r="D1724" s="1235"/>
      <c r="E1724" s="85">
        <f>'Terms and Turnovers'!$AX$12</f>
        <v>0</v>
      </c>
      <c r="F1724" s="121">
        <f>$R1724*G1724</f>
        <v>0</v>
      </c>
      <c r="G1724" s="72"/>
      <c r="H1724" s="121">
        <f>$R1724*I1724</f>
        <v>0</v>
      </c>
      <c r="I1724" s="69">
        <v>0</v>
      </c>
      <c r="J1724" s="121">
        <f>$R1724*K1724</f>
        <v>0</v>
      </c>
      <c r="K1724" s="69">
        <v>0.4</v>
      </c>
      <c r="L1724" s="121">
        <f>$R1724*M1724</f>
        <v>0</v>
      </c>
      <c r="M1724" s="69">
        <v>0.6</v>
      </c>
      <c r="N1724" s="316">
        <f>$R1724*O1724</f>
        <v>0</v>
      </c>
      <c r="O1724" s="69">
        <v>0</v>
      </c>
      <c r="P1724" s="121">
        <f>$R1724*Q1724</f>
        <v>0</v>
      </c>
      <c r="Q1724" s="69">
        <v>0</v>
      </c>
      <c r="R1724" s="89">
        <f>'Terms and Turnovers'!AY170</f>
        <v>0</v>
      </c>
      <c r="S1724" s="162">
        <f>SUM(G1724,I1724,K1724,M1724,O1724,Q1724)</f>
        <v>1</v>
      </c>
      <c r="T1724" s="121">
        <f>$AF1724*U1724</f>
        <v>0</v>
      </c>
      <c r="U1724" s="72">
        <v>0</v>
      </c>
      <c r="V1724" s="121">
        <f>$AF1724*W1724</f>
        <v>0</v>
      </c>
      <c r="W1724" s="69">
        <v>0.4</v>
      </c>
      <c r="X1724" s="121">
        <f>$AF1724*Y1724</f>
        <v>0</v>
      </c>
      <c r="Y1724" s="69">
        <v>0.4</v>
      </c>
      <c r="Z1724" s="121">
        <f>$AF1724*AA1724</f>
        <v>0</v>
      </c>
      <c r="AA1724" s="69">
        <v>0.2</v>
      </c>
      <c r="AB1724" s="316">
        <f>$AF1724*AC1724</f>
        <v>0</v>
      </c>
      <c r="AC1724" s="69">
        <v>0</v>
      </c>
      <c r="AD1724" s="121">
        <f>$AF1724*AE1724</f>
        <v>0</v>
      </c>
      <c r="AE1724" s="69">
        <v>0</v>
      </c>
      <c r="AF1724" s="89">
        <f>'Terms and Turnovers'!BD170</f>
        <v>0</v>
      </c>
      <c r="AG1724" s="162">
        <f>SUM(U1724,W1724,Y1724,AA1724,AC1724,AE1724)</f>
        <v>1</v>
      </c>
      <c r="AH1724" s="159">
        <f>SUM(R1724,AF1724)</f>
        <v>0</v>
      </c>
      <c r="AI1724" s="137">
        <f>S1724+AG1724</f>
        <v>2</v>
      </c>
      <c r="AJ1724" s="65"/>
      <c r="AL1724" s="461">
        <f>SUM(F1724,H1724,J1724,L1724,N1724,P1724,T1724,V1724,X1724,Z1724,AB1724,AD1724)</f>
        <v>0</v>
      </c>
      <c r="AM1724" s="462">
        <f>AL1724-AH1724</f>
        <v>0</v>
      </c>
      <c r="AO1724" s="692"/>
      <c r="AP1724" s="692"/>
      <c r="AV1724" s="56"/>
    </row>
    <row r="1725" spans="1:48" ht="13.5" customHeight="1" outlineLevel="2" thickBot="1">
      <c r="A1725" s="119"/>
      <c r="B1725" s="82"/>
      <c r="C1725" s="425"/>
      <c r="D1725" s="425"/>
      <c r="E1725" s="426"/>
      <c r="F1725" s="427">
        <f>SUM(F1720:F1724)</f>
        <v>0</v>
      </c>
      <c r="G1725" s="428"/>
      <c r="H1725" s="427">
        <f>SUM(H1720:H1724)</f>
        <v>0</v>
      </c>
      <c r="I1725" s="69"/>
      <c r="J1725" s="427">
        <f>SUM(J1720:J1724)</f>
        <v>0</v>
      </c>
      <c r="K1725" s="69"/>
      <c r="L1725" s="427">
        <f>SUM(L1720:L1724)</f>
        <v>0</v>
      </c>
      <c r="M1725" s="69"/>
      <c r="N1725" s="427">
        <f>SUM(N1720:N1724)</f>
        <v>0</v>
      </c>
      <c r="O1725" s="69"/>
      <c r="P1725" s="427">
        <f>SUM(P1720:P1724)</f>
        <v>0</v>
      </c>
      <c r="Q1725" s="69"/>
      <c r="R1725" s="429"/>
      <c r="S1725" s="430"/>
      <c r="T1725" s="427">
        <f>SUM(T1720:T1724)</f>
        <v>0</v>
      </c>
      <c r="U1725" s="428"/>
      <c r="V1725" s="427">
        <f>SUM(V1720:V1724)</f>
        <v>0</v>
      </c>
      <c r="W1725" s="69"/>
      <c r="X1725" s="427">
        <f>SUM(X1720:X1724)</f>
        <v>0</v>
      </c>
      <c r="Y1725" s="69"/>
      <c r="Z1725" s="427">
        <f>SUM(Z1720:Z1724)</f>
        <v>0</v>
      </c>
      <c r="AA1725" s="69"/>
      <c r="AB1725" s="427">
        <f>SUM(AB1720:AB1724)</f>
        <v>0</v>
      </c>
      <c r="AC1725" s="69"/>
      <c r="AD1725" s="427">
        <f>SUM(AD1720:AD1724)</f>
        <v>0</v>
      </c>
      <c r="AE1725" s="69"/>
      <c r="AF1725" s="429"/>
      <c r="AG1725" s="430"/>
      <c r="AH1725" s="431"/>
      <c r="AI1725" s="432"/>
      <c r="AJ1725" s="65"/>
      <c r="AO1725" s="692"/>
      <c r="AP1725" s="692"/>
      <c r="AV1725" s="56"/>
    </row>
    <row r="1726" spans="1:48" ht="13.5" customHeight="1" outlineLevel="2" thickBot="1">
      <c r="A1726" s="119"/>
      <c r="B1726" s="82"/>
      <c r="C1726" s="433" t="s">
        <v>484</v>
      </c>
      <c r="D1726" s="433" t="s">
        <v>468</v>
      </c>
      <c r="E1726" s="426"/>
      <c r="F1726" s="434">
        <f>AN1726</f>
        <v>0</v>
      </c>
      <c r="G1726" s="428"/>
      <c r="H1726" s="434">
        <f>H1725</f>
        <v>0</v>
      </c>
      <c r="I1726" s="69"/>
      <c r="J1726" s="434">
        <f>J1725</f>
        <v>0</v>
      </c>
      <c r="K1726" s="69"/>
      <c r="L1726" s="434">
        <f>L1725-AO1726</f>
        <v>0</v>
      </c>
      <c r="M1726" s="69"/>
      <c r="N1726" s="434">
        <f>N1725</f>
        <v>0</v>
      </c>
      <c r="O1726" s="69"/>
      <c r="P1726" s="434">
        <f>P1725</f>
        <v>0</v>
      </c>
      <c r="Q1726" s="69"/>
      <c r="R1726" s="429"/>
      <c r="S1726" s="430"/>
      <c r="T1726" s="434">
        <f>AO1726</f>
        <v>0</v>
      </c>
      <c r="U1726" s="428"/>
      <c r="V1726" s="434">
        <f t="shared" ref="V1726:AD1726" si="163">V1725</f>
        <v>0</v>
      </c>
      <c r="W1726" s="69">
        <f t="shared" si="163"/>
        <v>0</v>
      </c>
      <c r="X1726" s="434">
        <f t="shared" si="163"/>
        <v>0</v>
      </c>
      <c r="Y1726" s="69">
        <f t="shared" si="163"/>
        <v>0</v>
      </c>
      <c r="Z1726" s="434">
        <f t="shared" si="163"/>
        <v>0</v>
      </c>
      <c r="AA1726" s="69">
        <f t="shared" si="163"/>
        <v>0</v>
      </c>
      <c r="AB1726" s="434">
        <f t="shared" si="163"/>
        <v>0</v>
      </c>
      <c r="AC1726" s="69">
        <f t="shared" si="163"/>
        <v>0</v>
      </c>
      <c r="AD1726" s="434">
        <f t="shared" si="163"/>
        <v>0</v>
      </c>
      <c r="AE1726" s="69"/>
      <c r="AF1726" s="429"/>
      <c r="AG1726" s="430"/>
      <c r="AH1726" s="431"/>
      <c r="AI1726" s="432"/>
      <c r="AJ1726" s="65"/>
      <c r="AN1726" s="695">
        <f>SUM(AF1720:AF1724)*AQ1726</f>
        <v>0</v>
      </c>
      <c r="AO1726" s="742">
        <f>SUM(R1720:R1724)*AQ1726</f>
        <v>0</v>
      </c>
      <c r="AP1726" s="742"/>
      <c r="AQ1726" s="693">
        <v>0.15</v>
      </c>
      <c r="AS1726" s="716">
        <f>SUM(AL1720:AL1724)</f>
        <v>0</v>
      </c>
      <c r="AT1726" s="461">
        <f>F1726+H1726+J1726+L1726+N1726+P1726+T1726+V1726+X1726+Z1726+AB1726+AD1726</f>
        <v>0</v>
      </c>
      <c r="AU1726" s="745">
        <f>AT1726-AS1726</f>
        <v>0</v>
      </c>
      <c r="AV1726" s="56"/>
    </row>
    <row r="1727" spans="1:48" ht="13.5" customHeight="1" outlineLevel="2" thickBot="1">
      <c r="B1727" s="82">
        <f>B1720+1</f>
        <v>40</v>
      </c>
      <c r="C1727" s="1233">
        <f>C286</f>
        <v>0</v>
      </c>
      <c r="D1727" s="1233">
        <f>D286</f>
        <v>0</v>
      </c>
      <c r="E1727" s="83" t="str">
        <f>'Terms and Turnovers'!$J$12</f>
        <v>FLIP-FLOPS</v>
      </c>
      <c r="F1727" s="118">
        <f>$R1727*G1727</f>
        <v>0</v>
      </c>
      <c r="G1727" s="69"/>
      <c r="H1727" s="314">
        <f>$R1727*I1727</f>
        <v>0</v>
      </c>
      <c r="I1727" s="69">
        <v>0</v>
      </c>
      <c r="J1727" s="118">
        <f>$R1727*K1727</f>
        <v>0</v>
      </c>
      <c r="K1727" s="69">
        <v>0.4</v>
      </c>
      <c r="L1727" s="314">
        <f>$R1727*M1727</f>
        <v>0</v>
      </c>
      <c r="M1727" s="69">
        <v>0.6</v>
      </c>
      <c r="N1727" s="314">
        <f>$R1727*O1727</f>
        <v>0</v>
      </c>
      <c r="O1727" s="69">
        <v>0</v>
      </c>
      <c r="P1727" s="118">
        <f>$R1727*Q1727</f>
        <v>0</v>
      </c>
      <c r="Q1727" s="69">
        <v>0</v>
      </c>
      <c r="R1727" s="87">
        <f>'Terms and Turnovers'!K171</f>
        <v>0</v>
      </c>
      <c r="S1727" s="160">
        <f>SUM(G1727,I1727,K1727,M1727,O1727,Q1727)</f>
        <v>1</v>
      </c>
      <c r="T1727" s="118">
        <f>$AF1727*U1727</f>
        <v>0</v>
      </c>
      <c r="U1727" s="69">
        <v>0</v>
      </c>
      <c r="V1727" s="314">
        <f>$AF1727*W1727</f>
        <v>0</v>
      </c>
      <c r="W1727" s="69">
        <v>0.4</v>
      </c>
      <c r="X1727" s="118">
        <f>$AF1727*Y1727</f>
        <v>0</v>
      </c>
      <c r="Y1727" s="69">
        <v>0.4</v>
      </c>
      <c r="Z1727" s="314">
        <f>$AF1727*AA1727</f>
        <v>0</v>
      </c>
      <c r="AA1727" s="69">
        <v>0.2</v>
      </c>
      <c r="AB1727" s="314">
        <f>$AF1727*AC1727</f>
        <v>0</v>
      </c>
      <c r="AC1727" s="69">
        <v>0</v>
      </c>
      <c r="AD1727" s="118">
        <f>$AF1727*AE1727</f>
        <v>0</v>
      </c>
      <c r="AE1727" s="69">
        <v>0</v>
      </c>
      <c r="AF1727" s="87">
        <f>'Terms and Turnovers'!P171</f>
        <v>0</v>
      </c>
      <c r="AG1727" s="160">
        <f>SUM(U1727,W1727,Y1727,AA1727,AC1727,AE1727)</f>
        <v>1</v>
      </c>
      <c r="AH1727" s="157">
        <f>SUM(R1727,AF1727)</f>
        <v>0</v>
      </c>
      <c r="AI1727" s="131">
        <f>S1727+AG1727</f>
        <v>2</v>
      </c>
      <c r="AJ1727" s="65"/>
      <c r="AL1727" s="461">
        <f>SUM(F1727,H1727,J1727,L1727,N1727,P1727,T1727,V1727,X1727,Z1727,AB1727,AD1727)</f>
        <v>0</v>
      </c>
      <c r="AM1727" s="462">
        <f>AL1727-AH1727</f>
        <v>0</v>
      </c>
      <c r="AO1727" s="692"/>
      <c r="AP1727" s="692"/>
      <c r="AV1727" s="56"/>
    </row>
    <row r="1728" spans="1:48" ht="13.5" customHeight="1" outlineLevel="2" thickBot="1">
      <c r="B1728" s="82"/>
      <c r="C1728" s="1234"/>
      <c r="D1728" s="1234"/>
      <c r="E1728" s="84" t="str">
        <f>'Terms and Turnovers'!$T$12</f>
        <v>ORIGINALS</v>
      </c>
      <c r="F1728" s="120">
        <f>$R1728*G1728</f>
        <v>0</v>
      </c>
      <c r="G1728" s="723"/>
      <c r="H1728" s="120">
        <f>$R1728*I1728</f>
        <v>0</v>
      </c>
      <c r="I1728" s="69">
        <v>0</v>
      </c>
      <c r="J1728" s="120">
        <f>$R1728*K1728</f>
        <v>0</v>
      </c>
      <c r="K1728" s="69">
        <v>0.5</v>
      </c>
      <c r="L1728" s="120">
        <f>$R1728*M1728</f>
        <v>0</v>
      </c>
      <c r="M1728" s="69">
        <v>0.5</v>
      </c>
      <c r="N1728" s="315">
        <f>$R1728*O1728</f>
        <v>0</v>
      </c>
      <c r="O1728" s="69">
        <v>0</v>
      </c>
      <c r="P1728" s="120">
        <f>$R1728*Q1728</f>
        <v>0</v>
      </c>
      <c r="Q1728" s="69">
        <v>0</v>
      </c>
      <c r="R1728" s="88">
        <f>'Terms and Turnovers'!U171</f>
        <v>0</v>
      </c>
      <c r="S1728" s="161">
        <f>SUM(G1728,I1728,K1728,M1728,O1728,Q1728)</f>
        <v>1</v>
      </c>
      <c r="T1728" s="120">
        <f>$AF1728*U1728</f>
        <v>0</v>
      </c>
      <c r="U1728" s="723">
        <v>0</v>
      </c>
      <c r="V1728" s="120">
        <f>$AF1728*W1728</f>
        <v>0</v>
      </c>
      <c r="W1728" s="69">
        <v>0.5</v>
      </c>
      <c r="X1728" s="120">
        <f>$AF1728*Y1728</f>
        <v>0</v>
      </c>
      <c r="Y1728" s="69">
        <v>0.5</v>
      </c>
      <c r="Z1728" s="120">
        <f>$AF1728*AA1728</f>
        <v>0</v>
      </c>
      <c r="AA1728" s="69">
        <v>0</v>
      </c>
      <c r="AB1728" s="315">
        <f>$AF1728*AC1728</f>
        <v>0</v>
      </c>
      <c r="AC1728" s="69">
        <v>0</v>
      </c>
      <c r="AD1728" s="120">
        <f>$AF1728*AE1728</f>
        <v>0</v>
      </c>
      <c r="AE1728" s="69">
        <v>0</v>
      </c>
      <c r="AF1728" s="88">
        <f>'Terms and Turnovers'!Z171</f>
        <v>0</v>
      </c>
      <c r="AG1728" s="161">
        <f>SUM(U1728,W1728,Y1728,AA1728,AC1728,AE1728)</f>
        <v>1</v>
      </c>
      <c r="AH1728" s="158">
        <f>SUM(R1728,AF1728)</f>
        <v>0</v>
      </c>
      <c r="AI1728" s="134">
        <f>S1728+AG1728</f>
        <v>2</v>
      </c>
      <c r="AJ1728" s="65"/>
      <c r="AL1728" s="461">
        <f>SUM(F1728,H1728,J1728,L1728,N1728,P1728,T1728,V1728,X1728,Z1728,AB1728,AD1728)</f>
        <v>0</v>
      </c>
      <c r="AM1728" s="462">
        <f>AL1728-AH1728</f>
        <v>0</v>
      </c>
      <c r="AO1728" s="692"/>
      <c r="AP1728" s="692"/>
      <c r="AV1728" s="56"/>
    </row>
    <row r="1729" spans="1:48" ht="13.5" customHeight="1" outlineLevel="2" thickBot="1">
      <c r="B1729" s="82"/>
      <c r="C1729" s="1234"/>
      <c r="D1729" s="1234"/>
      <c r="E1729" s="84" t="str">
        <f>'Terms and Turnovers'!$AD$12</f>
        <v>ACCESSORIES</v>
      </c>
      <c r="F1729" s="120">
        <f>$R1729*G1729</f>
        <v>0</v>
      </c>
      <c r="G1729" s="723"/>
      <c r="H1729" s="120">
        <f>$R1729*I1729</f>
        <v>0</v>
      </c>
      <c r="I1729" s="69">
        <v>0</v>
      </c>
      <c r="J1729" s="120">
        <f>$R1729*K1729</f>
        <v>0</v>
      </c>
      <c r="K1729" s="69">
        <v>0.5</v>
      </c>
      <c r="L1729" s="120">
        <f>$R1729*M1729</f>
        <v>0</v>
      </c>
      <c r="M1729" s="69">
        <v>0.5</v>
      </c>
      <c r="N1729" s="315">
        <f>$R1729*O1729</f>
        <v>0</v>
      </c>
      <c r="O1729" s="69">
        <v>0</v>
      </c>
      <c r="P1729" s="120">
        <f>$R1729*Q1729</f>
        <v>0</v>
      </c>
      <c r="Q1729" s="69">
        <v>0</v>
      </c>
      <c r="R1729" s="88">
        <f>'Terms and Turnovers'!AE171</f>
        <v>0</v>
      </c>
      <c r="S1729" s="161">
        <f>SUM(G1729,I1729,K1729,M1729,O1729,Q1729)</f>
        <v>1</v>
      </c>
      <c r="T1729" s="120">
        <f>$AF1729*U1729</f>
        <v>0</v>
      </c>
      <c r="U1729" s="723">
        <v>0</v>
      </c>
      <c r="V1729" s="120">
        <f>$AF1729*W1729</f>
        <v>0</v>
      </c>
      <c r="W1729" s="69">
        <v>0.5</v>
      </c>
      <c r="X1729" s="120">
        <f>$AF1729*Y1729</f>
        <v>0</v>
      </c>
      <c r="Y1729" s="69">
        <v>0.5</v>
      </c>
      <c r="Z1729" s="120">
        <f>$AF1729*AA1729</f>
        <v>0</v>
      </c>
      <c r="AA1729" s="69">
        <v>0</v>
      </c>
      <c r="AB1729" s="315">
        <f>$AF1729*AC1729</f>
        <v>0</v>
      </c>
      <c r="AC1729" s="69">
        <v>0</v>
      </c>
      <c r="AD1729" s="120">
        <f>$AF1729*AE1729</f>
        <v>0</v>
      </c>
      <c r="AE1729" s="69">
        <v>0</v>
      </c>
      <c r="AF1729" s="88">
        <f>'Terms and Turnovers'!AJ171</f>
        <v>0</v>
      </c>
      <c r="AG1729" s="161">
        <f>SUM(U1729,W1729,Y1729,AA1729,AC1729,AE1729)</f>
        <v>1</v>
      </c>
      <c r="AH1729" s="158">
        <f>SUM(R1729,AF1729)</f>
        <v>0</v>
      </c>
      <c r="AI1729" s="134">
        <f>S1729+AG1729</f>
        <v>2</v>
      </c>
      <c r="AJ1729" s="65"/>
      <c r="AL1729" s="461">
        <f>SUM(F1729,H1729,J1729,L1729,N1729,P1729,T1729,V1729,X1729,Z1729,AB1729,AD1729)</f>
        <v>0</v>
      </c>
      <c r="AM1729" s="462">
        <f>AL1729-AH1729</f>
        <v>0</v>
      </c>
      <c r="AO1729" s="692"/>
      <c r="AP1729" s="692"/>
      <c r="AV1729" s="56"/>
    </row>
    <row r="1730" spans="1:48" ht="13.5" customHeight="1" outlineLevel="2" thickBot="1">
      <c r="B1730" s="82"/>
      <c r="C1730" s="1234"/>
      <c r="D1730" s="1234"/>
      <c r="E1730" s="84">
        <f>'Terms and Turnovers'!$AN$12</f>
        <v>0</v>
      </c>
      <c r="F1730" s="120">
        <f>$R1730*G1730</f>
        <v>0</v>
      </c>
      <c r="G1730" s="723"/>
      <c r="H1730" s="120">
        <f>$R1730*I1730</f>
        <v>0</v>
      </c>
      <c r="I1730" s="69">
        <v>0</v>
      </c>
      <c r="J1730" s="120">
        <f>$R1730*K1730</f>
        <v>0</v>
      </c>
      <c r="K1730" s="69">
        <v>0.4</v>
      </c>
      <c r="L1730" s="120">
        <f>$R1730*M1730</f>
        <v>0</v>
      </c>
      <c r="M1730" s="69">
        <v>0.6</v>
      </c>
      <c r="N1730" s="315">
        <f>$R1730*O1730</f>
        <v>0</v>
      </c>
      <c r="O1730" s="69">
        <v>0</v>
      </c>
      <c r="P1730" s="120">
        <f>$R1730*Q1730</f>
        <v>0</v>
      </c>
      <c r="Q1730" s="69">
        <v>0</v>
      </c>
      <c r="R1730" s="88">
        <f>'Terms and Turnovers'!AO171</f>
        <v>0</v>
      </c>
      <c r="S1730" s="161">
        <f>SUM(G1730,I1730,K1730,M1730,O1730,Q1730)</f>
        <v>1</v>
      </c>
      <c r="T1730" s="120">
        <f>$AF1730*U1730</f>
        <v>0</v>
      </c>
      <c r="U1730" s="723">
        <v>0</v>
      </c>
      <c r="V1730" s="120">
        <f>$AF1730*W1730</f>
        <v>0</v>
      </c>
      <c r="W1730" s="69">
        <v>0.4</v>
      </c>
      <c r="X1730" s="120">
        <f>$AF1730*Y1730</f>
        <v>0</v>
      </c>
      <c r="Y1730" s="69">
        <v>0.4</v>
      </c>
      <c r="Z1730" s="120">
        <f>$AF1730*AA1730</f>
        <v>0</v>
      </c>
      <c r="AA1730" s="69">
        <v>0.2</v>
      </c>
      <c r="AB1730" s="315">
        <f>$AF1730*AC1730</f>
        <v>0</v>
      </c>
      <c r="AC1730" s="69">
        <v>0</v>
      </c>
      <c r="AD1730" s="120">
        <f>$AF1730*AE1730</f>
        <v>0</v>
      </c>
      <c r="AE1730" s="69">
        <v>0</v>
      </c>
      <c r="AF1730" s="88">
        <f>'Terms and Turnovers'!AT171</f>
        <v>0</v>
      </c>
      <c r="AG1730" s="161">
        <f>SUM(U1730,W1730,Y1730,AA1730,AC1730,AE1730)</f>
        <v>1</v>
      </c>
      <c r="AH1730" s="158">
        <f>SUM(R1730,AF1730)</f>
        <v>0</v>
      </c>
      <c r="AI1730" s="134">
        <f>S1730+AG1730</f>
        <v>2</v>
      </c>
      <c r="AJ1730" s="65"/>
      <c r="AL1730" s="461">
        <f>SUM(F1730,H1730,J1730,L1730,N1730,P1730,T1730,V1730,X1730,Z1730,AB1730,AD1730)</f>
        <v>0</v>
      </c>
      <c r="AM1730" s="462">
        <f>AL1730-AH1730</f>
        <v>0</v>
      </c>
      <c r="AO1730" s="692"/>
      <c r="AP1730" s="692"/>
      <c r="AV1730" s="56"/>
    </row>
    <row r="1731" spans="1:48" ht="13.5" customHeight="1" outlineLevel="2" thickBot="1">
      <c r="B1731" s="82"/>
      <c r="C1731" s="1235"/>
      <c r="D1731" s="1235"/>
      <c r="E1731" s="85">
        <f>'Terms and Turnovers'!$AX$12</f>
        <v>0</v>
      </c>
      <c r="F1731" s="121">
        <f>$R1731*G1731</f>
        <v>0</v>
      </c>
      <c r="G1731" s="72"/>
      <c r="H1731" s="121">
        <f>$R1731*I1731</f>
        <v>0</v>
      </c>
      <c r="I1731" s="69">
        <v>0</v>
      </c>
      <c r="J1731" s="121">
        <f>$R1731*K1731</f>
        <v>0</v>
      </c>
      <c r="K1731" s="69">
        <v>0.4</v>
      </c>
      <c r="L1731" s="121">
        <f>$R1731*M1731</f>
        <v>0</v>
      </c>
      <c r="M1731" s="69">
        <v>0.6</v>
      </c>
      <c r="N1731" s="316">
        <f>$R1731*O1731</f>
        <v>0</v>
      </c>
      <c r="O1731" s="69">
        <v>0</v>
      </c>
      <c r="P1731" s="121">
        <f>$R1731*Q1731</f>
        <v>0</v>
      </c>
      <c r="Q1731" s="69">
        <v>0</v>
      </c>
      <c r="R1731" s="89">
        <f>'Terms and Turnovers'!AY171</f>
        <v>0</v>
      </c>
      <c r="S1731" s="162">
        <f>SUM(G1731,I1731,K1731,M1731,O1731,Q1731)</f>
        <v>1</v>
      </c>
      <c r="T1731" s="121">
        <f>$AF1731*U1731</f>
        <v>0</v>
      </c>
      <c r="U1731" s="72">
        <v>0</v>
      </c>
      <c r="V1731" s="121">
        <f>$AF1731*W1731</f>
        <v>0</v>
      </c>
      <c r="W1731" s="69">
        <v>0.4</v>
      </c>
      <c r="X1731" s="121">
        <f>$AF1731*Y1731</f>
        <v>0</v>
      </c>
      <c r="Y1731" s="69">
        <v>0.4</v>
      </c>
      <c r="Z1731" s="121">
        <f>$AF1731*AA1731</f>
        <v>0</v>
      </c>
      <c r="AA1731" s="69">
        <v>0.2</v>
      </c>
      <c r="AB1731" s="316">
        <f>$AF1731*AC1731</f>
        <v>0</v>
      </c>
      <c r="AC1731" s="69">
        <v>0</v>
      </c>
      <c r="AD1731" s="121">
        <f>$AF1731*AE1731</f>
        <v>0</v>
      </c>
      <c r="AE1731" s="69">
        <v>0</v>
      </c>
      <c r="AF1731" s="89">
        <f>'Terms and Turnovers'!BD171</f>
        <v>0</v>
      </c>
      <c r="AG1731" s="162">
        <f>SUM(U1731,W1731,Y1731,AA1731,AC1731,AE1731)</f>
        <v>1</v>
      </c>
      <c r="AH1731" s="159">
        <f>SUM(R1731,AF1731)</f>
        <v>0</v>
      </c>
      <c r="AI1731" s="137">
        <f>S1731+AG1731</f>
        <v>2</v>
      </c>
      <c r="AJ1731" s="65"/>
      <c r="AL1731" s="461">
        <f>SUM(F1731,H1731,J1731,L1731,N1731,P1731,T1731,V1731,X1731,Z1731,AB1731,AD1731)</f>
        <v>0</v>
      </c>
      <c r="AM1731" s="462">
        <f>AL1731-AH1731</f>
        <v>0</v>
      </c>
      <c r="AO1731" s="692"/>
      <c r="AP1731" s="692"/>
      <c r="AV1731" s="56"/>
    </row>
    <row r="1732" spans="1:48" ht="13.5" customHeight="1" outlineLevel="2" thickBot="1">
      <c r="A1732" s="119"/>
      <c r="B1732" s="82"/>
      <c r="C1732" s="425"/>
      <c r="D1732" s="425"/>
      <c r="E1732" s="426"/>
      <c r="F1732" s="427">
        <f>SUM(F1727:F1731)</f>
        <v>0</v>
      </c>
      <c r="G1732" s="428"/>
      <c r="H1732" s="427">
        <f>SUM(H1727:H1731)</f>
        <v>0</v>
      </c>
      <c r="I1732" s="69"/>
      <c r="J1732" s="427">
        <f>SUM(J1727:J1731)</f>
        <v>0</v>
      </c>
      <c r="K1732" s="69"/>
      <c r="L1732" s="427">
        <f>SUM(L1727:L1731)</f>
        <v>0</v>
      </c>
      <c r="M1732" s="69"/>
      <c r="N1732" s="427">
        <f>SUM(N1727:N1731)</f>
        <v>0</v>
      </c>
      <c r="O1732" s="69"/>
      <c r="P1732" s="427">
        <f>SUM(P1727:P1731)</f>
        <v>0</v>
      </c>
      <c r="Q1732" s="69"/>
      <c r="R1732" s="429"/>
      <c r="S1732" s="430"/>
      <c r="T1732" s="427">
        <f>SUM(T1727:T1731)</f>
        <v>0</v>
      </c>
      <c r="U1732" s="428"/>
      <c r="V1732" s="427">
        <f>SUM(V1727:V1731)</f>
        <v>0</v>
      </c>
      <c r="W1732" s="69"/>
      <c r="X1732" s="427">
        <f>SUM(X1727:X1731)</f>
        <v>0</v>
      </c>
      <c r="Y1732" s="69"/>
      <c r="Z1732" s="427">
        <f>SUM(Z1727:Z1731)</f>
        <v>0</v>
      </c>
      <c r="AA1732" s="69"/>
      <c r="AB1732" s="427">
        <f>SUM(AB1727:AB1731)</f>
        <v>0</v>
      </c>
      <c r="AC1732" s="69"/>
      <c r="AD1732" s="427">
        <f>SUM(AD1727:AD1731)</f>
        <v>0</v>
      </c>
      <c r="AE1732" s="69"/>
      <c r="AF1732" s="429"/>
      <c r="AG1732" s="430"/>
      <c r="AH1732" s="431"/>
      <c r="AI1732" s="432"/>
      <c r="AJ1732" s="65"/>
      <c r="AO1732" s="692"/>
      <c r="AP1732" s="692"/>
      <c r="AV1732" s="56"/>
    </row>
    <row r="1733" spans="1:48" ht="13.5" customHeight="1" outlineLevel="2" thickBot="1">
      <c r="A1733" s="119"/>
      <c r="B1733" s="82"/>
      <c r="C1733" s="433" t="s">
        <v>484</v>
      </c>
      <c r="D1733" s="433" t="s">
        <v>469</v>
      </c>
      <c r="E1733" s="426"/>
      <c r="F1733" s="434">
        <f>AN1733</f>
        <v>0</v>
      </c>
      <c r="G1733" s="428"/>
      <c r="H1733" s="434">
        <f>H1732</f>
        <v>0</v>
      </c>
      <c r="I1733" s="69"/>
      <c r="J1733" s="434">
        <f>J1732</f>
        <v>0</v>
      </c>
      <c r="K1733" s="69"/>
      <c r="L1733" s="434">
        <f>L1732-AO1733</f>
        <v>0</v>
      </c>
      <c r="M1733" s="69"/>
      <c r="N1733" s="434">
        <f>N1732</f>
        <v>0</v>
      </c>
      <c r="O1733" s="69"/>
      <c r="P1733" s="434">
        <f>P1732</f>
        <v>0</v>
      </c>
      <c r="Q1733" s="69"/>
      <c r="R1733" s="429"/>
      <c r="S1733" s="430"/>
      <c r="T1733" s="434">
        <f>AO1733</f>
        <v>0</v>
      </c>
      <c r="U1733" s="428">
        <f>Q1732</f>
        <v>0</v>
      </c>
      <c r="V1733" s="434">
        <f>V1732</f>
        <v>0</v>
      </c>
      <c r="W1733" s="69">
        <f>S1732</f>
        <v>0</v>
      </c>
      <c r="X1733" s="434">
        <f>X1732</f>
        <v>0</v>
      </c>
      <c r="Y1733" s="69">
        <f>U1732</f>
        <v>0</v>
      </c>
      <c r="Z1733" s="434">
        <f>Z1732-AN1733</f>
        <v>0</v>
      </c>
      <c r="AA1733" s="69">
        <f>W1732</f>
        <v>0</v>
      </c>
      <c r="AB1733" s="434">
        <f>AB1732</f>
        <v>0</v>
      </c>
      <c r="AC1733" s="69">
        <f>Y1732</f>
        <v>0</v>
      </c>
      <c r="AD1733" s="434">
        <f>AD1732</f>
        <v>0</v>
      </c>
      <c r="AE1733" s="69"/>
      <c r="AF1733" s="429"/>
      <c r="AG1733" s="430"/>
      <c r="AH1733" s="431"/>
      <c r="AI1733" s="432"/>
      <c r="AJ1733" s="65"/>
      <c r="AN1733" s="695">
        <f>SUM(AF1727:AF1731)*AQ1733</f>
        <v>0</v>
      </c>
      <c r="AO1733" s="742">
        <f>SUM(R1727:R1731)*AQ1733</f>
        <v>0</v>
      </c>
      <c r="AP1733" s="742"/>
      <c r="AQ1733" s="693">
        <v>0.15</v>
      </c>
      <c r="AS1733" s="716">
        <f>SUM(AL1727:AL1731)</f>
        <v>0</v>
      </c>
      <c r="AT1733" s="461">
        <f>F1733+H1733+J1733+L1733+N1733+P1733+T1733+V1733+X1733+Z1733+AB1733+AD1733</f>
        <v>0</v>
      </c>
      <c r="AU1733" s="745">
        <f>AT1733-AS1733</f>
        <v>0</v>
      </c>
      <c r="AV1733" s="56"/>
    </row>
    <row r="1734" spans="1:48" ht="13.5" customHeight="1" outlineLevel="2" thickBot="1">
      <c r="B1734" s="82">
        <f>B1727+1</f>
        <v>41</v>
      </c>
      <c r="C1734" s="1233">
        <f>C293</f>
        <v>0</v>
      </c>
      <c r="D1734" s="1233">
        <f>D293</f>
        <v>0</v>
      </c>
      <c r="E1734" s="83" t="str">
        <f>'Terms and Turnovers'!$J$12</f>
        <v>FLIP-FLOPS</v>
      </c>
      <c r="F1734" s="118">
        <f>$R1734*G1734</f>
        <v>0</v>
      </c>
      <c r="G1734" s="69"/>
      <c r="H1734" s="314">
        <f>$R1734*I1734</f>
        <v>0</v>
      </c>
      <c r="I1734" s="69">
        <v>0</v>
      </c>
      <c r="J1734" s="118">
        <f>$R1734*K1734</f>
        <v>0</v>
      </c>
      <c r="K1734" s="69">
        <v>0.5</v>
      </c>
      <c r="L1734" s="314">
        <f>$R1734*M1734</f>
        <v>0</v>
      </c>
      <c r="M1734" s="69">
        <v>0.5</v>
      </c>
      <c r="N1734" s="314">
        <f>$R1734*O1734</f>
        <v>0</v>
      </c>
      <c r="O1734" s="69">
        <v>0</v>
      </c>
      <c r="P1734" s="118">
        <f>$R1734*Q1734</f>
        <v>0</v>
      </c>
      <c r="Q1734" s="69">
        <v>0</v>
      </c>
      <c r="R1734" s="87">
        <f>'Terms and Turnovers'!K172</f>
        <v>0</v>
      </c>
      <c r="S1734" s="160">
        <f>SUM(G1734,I1734,K1734,M1734,O1734,Q1734)</f>
        <v>1</v>
      </c>
      <c r="T1734" s="118">
        <f>$AF1734*U1734</f>
        <v>0</v>
      </c>
      <c r="U1734" s="69">
        <v>0</v>
      </c>
      <c r="V1734" s="314">
        <f>$AF1734*W1734</f>
        <v>0</v>
      </c>
      <c r="W1734" s="69">
        <v>0.4</v>
      </c>
      <c r="X1734" s="118">
        <f>$AF1734*Y1734</f>
        <v>0</v>
      </c>
      <c r="Y1734" s="69">
        <v>0.4</v>
      </c>
      <c r="Z1734" s="314">
        <f>$AF1734*AA1734</f>
        <v>0</v>
      </c>
      <c r="AA1734" s="69">
        <v>0.2</v>
      </c>
      <c r="AB1734" s="314">
        <f>$AF1734*AC1734</f>
        <v>0</v>
      </c>
      <c r="AC1734" s="69">
        <v>0</v>
      </c>
      <c r="AD1734" s="118">
        <f>$AF1734*AE1734</f>
        <v>0</v>
      </c>
      <c r="AE1734" s="69">
        <v>0</v>
      </c>
      <c r="AF1734" s="87">
        <f>'Terms and Turnovers'!P172</f>
        <v>0</v>
      </c>
      <c r="AG1734" s="160">
        <f>SUM(U1734,W1734,Y1734,AA1734,AC1734,AE1734)</f>
        <v>1</v>
      </c>
      <c r="AH1734" s="157">
        <f>SUM(R1734,AF1734)</f>
        <v>0</v>
      </c>
      <c r="AI1734" s="131">
        <f>S1734+AG1734</f>
        <v>2</v>
      </c>
      <c r="AJ1734" s="65"/>
      <c r="AL1734" s="461">
        <f>SUM(F1734,H1734,J1734,L1734,N1734,P1734,T1734,V1734,X1734,Z1734,AB1734,AD1734)</f>
        <v>0</v>
      </c>
      <c r="AM1734" s="462">
        <f>AL1734-AH1734</f>
        <v>0</v>
      </c>
      <c r="AO1734" s="692"/>
      <c r="AP1734" s="692"/>
      <c r="AV1734" s="56"/>
    </row>
    <row r="1735" spans="1:48" ht="13.5" customHeight="1" outlineLevel="2" thickBot="1">
      <c r="B1735" s="82"/>
      <c r="C1735" s="1234"/>
      <c r="D1735" s="1234"/>
      <c r="E1735" s="84" t="str">
        <f>'Terms and Turnovers'!$T$12</f>
        <v>ORIGINALS</v>
      </c>
      <c r="F1735" s="120">
        <f>$R1735*G1735</f>
        <v>0</v>
      </c>
      <c r="G1735" s="723"/>
      <c r="H1735" s="120">
        <f>$R1735*I1735</f>
        <v>0</v>
      </c>
      <c r="I1735" s="69">
        <v>0</v>
      </c>
      <c r="J1735" s="120">
        <f>$R1735*K1735</f>
        <v>0</v>
      </c>
      <c r="K1735" s="69">
        <v>0.5</v>
      </c>
      <c r="L1735" s="120">
        <f>$R1735*M1735</f>
        <v>0</v>
      </c>
      <c r="M1735" s="69">
        <v>0.5</v>
      </c>
      <c r="N1735" s="315">
        <f>$R1735*O1735</f>
        <v>0</v>
      </c>
      <c r="O1735" s="69">
        <v>0</v>
      </c>
      <c r="P1735" s="120">
        <f>$R1735*Q1735</f>
        <v>0</v>
      </c>
      <c r="Q1735" s="69">
        <v>0</v>
      </c>
      <c r="R1735" s="88">
        <f>'Terms and Turnovers'!U172</f>
        <v>0</v>
      </c>
      <c r="S1735" s="161">
        <f>SUM(G1735,I1735,K1735,M1735,O1735,Q1735)</f>
        <v>1</v>
      </c>
      <c r="T1735" s="120">
        <f>$AF1735*U1735</f>
        <v>0</v>
      </c>
      <c r="U1735" s="723">
        <v>0</v>
      </c>
      <c r="V1735" s="120">
        <f>$AF1735*W1735</f>
        <v>0</v>
      </c>
      <c r="W1735" s="69">
        <v>0.5</v>
      </c>
      <c r="X1735" s="120">
        <f>$AF1735*Y1735</f>
        <v>0</v>
      </c>
      <c r="Y1735" s="69">
        <v>0.5</v>
      </c>
      <c r="Z1735" s="120">
        <f>$AF1735*AA1735</f>
        <v>0</v>
      </c>
      <c r="AA1735" s="69">
        <v>0</v>
      </c>
      <c r="AB1735" s="315">
        <f>$AF1735*AC1735</f>
        <v>0</v>
      </c>
      <c r="AC1735" s="69">
        <v>0</v>
      </c>
      <c r="AD1735" s="120">
        <f>$AF1735*AE1735</f>
        <v>0</v>
      </c>
      <c r="AE1735" s="69">
        <v>0</v>
      </c>
      <c r="AF1735" s="88">
        <f>'Terms and Turnovers'!Z172</f>
        <v>0</v>
      </c>
      <c r="AG1735" s="161">
        <f>SUM(U1735,W1735,Y1735,AA1735,AC1735,AE1735)</f>
        <v>1</v>
      </c>
      <c r="AH1735" s="158">
        <f>SUM(R1735,AF1735)</f>
        <v>0</v>
      </c>
      <c r="AI1735" s="134">
        <f>S1735+AG1735</f>
        <v>2</v>
      </c>
      <c r="AJ1735" s="65"/>
      <c r="AL1735" s="461">
        <f>SUM(F1735,H1735,J1735,L1735,N1735,P1735,T1735,V1735,X1735,Z1735,AB1735,AD1735)</f>
        <v>0</v>
      </c>
      <c r="AM1735" s="462">
        <f>AL1735-AH1735</f>
        <v>0</v>
      </c>
      <c r="AO1735" s="692"/>
      <c r="AP1735" s="692"/>
      <c r="AV1735" s="56"/>
    </row>
    <row r="1736" spans="1:48" ht="13.5" customHeight="1" outlineLevel="2" thickBot="1">
      <c r="B1736" s="82"/>
      <c r="C1736" s="1234"/>
      <c r="D1736" s="1234"/>
      <c r="E1736" s="84" t="str">
        <f>'Terms and Turnovers'!$AD$12</f>
        <v>ACCESSORIES</v>
      </c>
      <c r="F1736" s="120">
        <f>$R1736*G1736</f>
        <v>0</v>
      </c>
      <c r="G1736" s="723"/>
      <c r="H1736" s="120">
        <f>$R1736*I1736</f>
        <v>0</v>
      </c>
      <c r="I1736" s="69">
        <v>0</v>
      </c>
      <c r="J1736" s="120">
        <f>$R1736*K1736</f>
        <v>0</v>
      </c>
      <c r="K1736" s="69">
        <v>0.5</v>
      </c>
      <c r="L1736" s="120">
        <f>$R1736*M1736</f>
        <v>0</v>
      </c>
      <c r="M1736" s="69">
        <v>0.5</v>
      </c>
      <c r="N1736" s="315">
        <f>$R1736*O1736</f>
        <v>0</v>
      </c>
      <c r="O1736" s="69">
        <v>0</v>
      </c>
      <c r="P1736" s="120">
        <f>$R1736*Q1736</f>
        <v>0</v>
      </c>
      <c r="Q1736" s="69">
        <v>0</v>
      </c>
      <c r="R1736" s="88">
        <f>'Terms and Turnovers'!AE172</f>
        <v>0</v>
      </c>
      <c r="S1736" s="161">
        <f>SUM(G1736,I1736,K1736,M1736,O1736,Q1736)</f>
        <v>1</v>
      </c>
      <c r="T1736" s="120">
        <f>$AF1736*U1736</f>
        <v>0</v>
      </c>
      <c r="U1736" s="723">
        <v>0</v>
      </c>
      <c r="V1736" s="120">
        <f>$AF1736*W1736</f>
        <v>0</v>
      </c>
      <c r="W1736" s="69">
        <v>0.5</v>
      </c>
      <c r="X1736" s="120">
        <f>$AF1736*Y1736</f>
        <v>0</v>
      </c>
      <c r="Y1736" s="69">
        <v>0.5</v>
      </c>
      <c r="Z1736" s="120">
        <f>$AF1736*AA1736</f>
        <v>0</v>
      </c>
      <c r="AA1736" s="69">
        <v>0</v>
      </c>
      <c r="AB1736" s="315">
        <f>$AF1736*AC1736</f>
        <v>0</v>
      </c>
      <c r="AC1736" s="69">
        <v>0</v>
      </c>
      <c r="AD1736" s="120">
        <f>$AF1736*AE1736</f>
        <v>0</v>
      </c>
      <c r="AE1736" s="69">
        <v>0</v>
      </c>
      <c r="AF1736" s="88">
        <f>'Terms and Turnovers'!AJ172</f>
        <v>0</v>
      </c>
      <c r="AG1736" s="161">
        <f>SUM(U1736,W1736,Y1736,AA1736,AC1736,AE1736)</f>
        <v>1</v>
      </c>
      <c r="AH1736" s="158">
        <f>SUM(R1736,AF1736)</f>
        <v>0</v>
      </c>
      <c r="AI1736" s="134">
        <f>S1736+AG1736</f>
        <v>2</v>
      </c>
      <c r="AJ1736" s="65"/>
      <c r="AL1736" s="461">
        <f>SUM(F1736,H1736,J1736,L1736,N1736,P1736,T1736,V1736,X1736,Z1736,AB1736,AD1736)</f>
        <v>0</v>
      </c>
      <c r="AM1736" s="462">
        <f>AL1736-AH1736</f>
        <v>0</v>
      </c>
      <c r="AO1736" s="692"/>
      <c r="AP1736" s="692"/>
      <c r="AV1736" s="56"/>
    </row>
    <row r="1737" spans="1:48" ht="13.5" customHeight="1" outlineLevel="2" thickBot="1">
      <c r="B1737" s="82"/>
      <c r="C1737" s="1234"/>
      <c r="D1737" s="1234"/>
      <c r="E1737" s="84">
        <f>'Terms and Turnovers'!$AN$12</f>
        <v>0</v>
      </c>
      <c r="F1737" s="120">
        <f>$R1737*G1737</f>
        <v>0</v>
      </c>
      <c r="G1737" s="723"/>
      <c r="H1737" s="120">
        <f>$R1737*I1737</f>
        <v>0</v>
      </c>
      <c r="I1737" s="69">
        <v>0</v>
      </c>
      <c r="J1737" s="120">
        <f>$R1737*K1737</f>
        <v>0</v>
      </c>
      <c r="K1737" s="69">
        <v>0.5</v>
      </c>
      <c r="L1737" s="120">
        <f>$R1737*M1737</f>
        <v>0</v>
      </c>
      <c r="M1737" s="69">
        <v>0.5</v>
      </c>
      <c r="N1737" s="315">
        <f>$R1737*O1737</f>
        <v>0</v>
      </c>
      <c r="O1737" s="69">
        <v>0</v>
      </c>
      <c r="P1737" s="120">
        <f>$R1737*Q1737</f>
        <v>0</v>
      </c>
      <c r="Q1737" s="69">
        <v>0</v>
      </c>
      <c r="R1737" s="88">
        <f>'Terms and Turnovers'!AO172</f>
        <v>0</v>
      </c>
      <c r="S1737" s="161">
        <f>SUM(G1737,I1737,K1737,M1737,O1737,Q1737)</f>
        <v>1</v>
      </c>
      <c r="T1737" s="120">
        <f>$AF1737*U1737</f>
        <v>0</v>
      </c>
      <c r="U1737" s="723">
        <v>0</v>
      </c>
      <c r="V1737" s="120">
        <f>$AF1737*W1737</f>
        <v>0</v>
      </c>
      <c r="W1737" s="69">
        <v>0.4</v>
      </c>
      <c r="X1737" s="120">
        <f>$AF1737*Y1737</f>
        <v>0</v>
      </c>
      <c r="Y1737" s="69">
        <v>0.4</v>
      </c>
      <c r="Z1737" s="120">
        <f>$AF1737*AA1737</f>
        <v>0</v>
      </c>
      <c r="AA1737" s="69">
        <v>0.2</v>
      </c>
      <c r="AB1737" s="315">
        <f>$AF1737*AC1737</f>
        <v>0</v>
      </c>
      <c r="AC1737" s="69">
        <v>0</v>
      </c>
      <c r="AD1737" s="120">
        <f>$AF1737*AE1737</f>
        <v>0</v>
      </c>
      <c r="AE1737" s="69">
        <v>0</v>
      </c>
      <c r="AF1737" s="88">
        <f>'Terms and Turnovers'!AT172</f>
        <v>0</v>
      </c>
      <c r="AG1737" s="161">
        <f>SUM(U1737,W1737,Y1737,AA1737,AC1737,AE1737)</f>
        <v>1</v>
      </c>
      <c r="AH1737" s="158">
        <f>SUM(R1737,AF1737)</f>
        <v>0</v>
      </c>
      <c r="AI1737" s="134">
        <f>S1737+AG1737</f>
        <v>2</v>
      </c>
      <c r="AJ1737" s="65"/>
      <c r="AL1737" s="461">
        <f>SUM(F1737,H1737,J1737,L1737,N1737,P1737,T1737,V1737,X1737,Z1737,AB1737,AD1737)</f>
        <v>0</v>
      </c>
      <c r="AM1737" s="462">
        <f>AL1737-AH1737</f>
        <v>0</v>
      </c>
      <c r="AO1737" s="692"/>
      <c r="AP1737" s="692"/>
      <c r="AV1737" s="56"/>
    </row>
    <row r="1738" spans="1:48" ht="13.5" customHeight="1" outlineLevel="2" thickBot="1">
      <c r="B1738" s="82"/>
      <c r="C1738" s="1235"/>
      <c r="D1738" s="1235"/>
      <c r="E1738" s="85">
        <f>'Terms and Turnovers'!$AX$12</f>
        <v>0</v>
      </c>
      <c r="F1738" s="121">
        <f>$R1738*G1738</f>
        <v>0</v>
      </c>
      <c r="G1738" s="72"/>
      <c r="H1738" s="121">
        <f>$R1738*I1738</f>
        <v>0</v>
      </c>
      <c r="I1738" s="69">
        <v>0</v>
      </c>
      <c r="J1738" s="121">
        <f>$R1738*K1738</f>
        <v>0</v>
      </c>
      <c r="K1738" s="69">
        <v>0.5</v>
      </c>
      <c r="L1738" s="121">
        <f>$R1738*M1738</f>
        <v>0</v>
      </c>
      <c r="M1738" s="69">
        <v>0.5</v>
      </c>
      <c r="N1738" s="316">
        <f>$R1738*O1738</f>
        <v>0</v>
      </c>
      <c r="O1738" s="69">
        <v>0</v>
      </c>
      <c r="P1738" s="121">
        <f>$R1738*Q1738</f>
        <v>0</v>
      </c>
      <c r="Q1738" s="69">
        <v>0</v>
      </c>
      <c r="R1738" s="89">
        <f>'Terms and Turnovers'!AY172</f>
        <v>0</v>
      </c>
      <c r="S1738" s="162">
        <f>SUM(G1738,I1738,K1738,M1738,O1738,Q1738)</f>
        <v>1</v>
      </c>
      <c r="T1738" s="121">
        <f>$AF1738*U1738</f>
        <v>0</v>
      </c>
      <c r="U1738" s="72">
        <v>0</v>
      </c>
      <c r="V1738" s="121">
        <f>$AF1738*W1738</f>
        <v>0</v>
      </c>
      <c r="W1738" s="69">
        <v>0.4</v>
      </c>
      <c r="X1738" s="121">
        <f>$AF1738*Y1738</f>
        <v>0</v>
      </c>
      <c r="Y1738" s="69">
        <v>0.4</v>
      </c>
      <c r="Z1738" s="121">
        <f>$AF1738*AA1738</f>
        <v>0</v>
      </c>
      <c r="AA1738" s="69">
        <v>0.2</v>
      </c>
      <c r="AB1738" s="316">
        <f>$AF1738*AC1738</f>
        <v>0</v>
      </c>
      <c r="AC1738" s="69">
        <v>0</v>
      </c>
      <c r="AD1738" s="121">
        <f>$AF1738*AE1738</f>
        <v>0</v>
      </c>
      <c r="AE1738" s="69">
        <v>0</v>
      </c>
      <c r="AF1738" s="89">
        <f>'Terms and Turnovers'!BD172</f>
        <v>0</v>
      </c>
      <c r="AG1738" s="162">
        <f>SUM(U1738,W1738,Y1738,AA1738,AC1738,AE1738)</f>
        <v>1</v>
      </c>
      <c r="AH1738" s="159">
        <f>SUM(R1738,AF1738)</f>
        <v>0</v>
      </c>
      <c r="AI1738" s="137">
        <f>S1738+AG1738</f>
        <v>2</v>
      </c>
      <c r="AJ1738" s="65"/>
      <c r="AL1738" s="461">
        <f>SUM(F1738,H1738,J1738,L1738,N1738,P1738,T1738,V1738,X1738,Z1738,AB1738,AD1738)</f>
        <v>0</v>
      </c>
      <c r="AM1738" s="462">
        <f>AL1738-AH1738</f>
        <v>0</v>
      </c>
      <c r="AO1738" s="692"/>
      <c r="AP1738" s="692"/>
      <c r="AV1738" s="56"/>
    </row>
    <row r="1739" spans="1:48" ht="13.5" customHeight="1" outlineLevel="2" thickBot="1">
      <c r="A1739" s="119"/>
      <c r="B1739" s="82"/>
      <c r="C1739" s="425"/>
      <c r="D1739" s="425"/>
      <c r="E1739" s="426"/>
      <c r="F1739" s="427">
        <f>SUM(F1734:F1738)</f>
        <v>0</v>
      </c>
      <c r="G1739" s="428"/>
      <c r="H1739" s="427">
        <f>SUM(H1734:H1738)</f>
        <v>0</v>
      </c>
      <c r="I1739" s="69"/>
      <c r="J1739" s="427">
        <f>SUM(J1734:J1738)</f>
        <v>0</v>
      </c>
      <c r="K1739" s="69"/>
      <c r="L1739" s="427">
        <f>SUM(L1734:L1738)</f>
        <v>0</v>
      </c>
      <c r="M1739" s="69"/>
      <c r="N1739" s="427">
        <f>SUM(N1734:N1738)</f>
        <v>0</v>
      </c>
      <c r="O1739" s="69"/>
      <c r="P1739" s="427">
        <f>SUM(P1734:P1738)</f>
        <v>0</v>
      </c>
      <c r="Q1739" s="69"/>
      <c r="R1739" s="429"/>
      <c r="S1739" s="430"/>
      <c r="T1739" s="427">
        <f>SUM(T1734:T1738)</f>
        <v>0</v>
      </c>
      <c r="U1739" s="428"/>
      <c r="V1739" s="427">
        <f>SUM(V1734:V1738)</f>
        <v>0</v>
      </c>
      <c r="W1739" s="69"/>
      <c r="X1739" s="427">
        <f>SUM(X1734:X1738)</f>
        <v>0</v>
      </c>
      <c r="Y1739" s="69"/>
      <c r="Z1739" s="427">
        <f>SUM(Z1734:Z1738)</f>
        <v>0</v>
      </c>
      <c r="AA1739" s="69"/>
      <c r="AB1739" s="427">
        <f>SUM(AB1734:AB1738)</f>
        <v>0</v>
      </c>
      <c r="AC1739" s="69"/>
      <c r="AD1739" s="427">
        <f>SUM(AD1734:AD1738)</f>
        <v>0</v>
      </c>
      <c r="AE1739" s="69"/>
      <c r="AF1739" s="429"/>
      <c r="AG1739" s="430"/>
      <c r="AH1739" s="431"/>
      <c r="AI1739" s="432"/>
      <c r="AJ1739" s="65"/>
      <c r="AO1739" s="692"/>
      <c r="AP1739" s="692"/>
      <c r="AV1739" s="56"/>
    </row>
    <row r="1740" spans="1:48" ht="13.5" customHeight="1" outlineLevel="2" thickBot="1">
      <c r="A1740" s="119"/>
      <c r="B1740" s="82"/>
      <c r="C1740" s="433" t="s">
        <v>484</v>
      </c>
      <c r="D1740" s="433" t="s">
        <v>470</v>
      </c>
      <c r="E1740" s="426"/>
      <c r="F1740" s="434">
        <f>AN1740</f>
        <v>0</v>
      </c>
      <c r="G1740" s="428"/>
      <c r="H1740" s="434">
        <f>H1739</f>
        <v>0</v>
      </c>
      <c r="I1740" s="69"/>
      <c r="J1740" s="434">
        <f>J1739</f>
        <v>0</v>
      </c>
      <c r="K1740" s="69"/>
      <c r="L1740" s="434">
        <f>L1739-(AO1740)</f>
        <v>0</v>
      </c>
      <c r="M1740" s="69"/>
      <c r="N1740" s="434">
        <f>N1739</f>
        <v>0</v>
      </c>
      <c r="O1740" s="69"/>
      <c r="P1740" s="434">
        <f>P1739</f>
        <v>0</v>
      </c>
      <c r="Q1740" s="69"/>
      <c r="R1740" s="429"/>
      <c r="S1740" s="430"/>
      <c r="T1740" s="434">
        <f>AO1740</f>
        <v>0</v>
      </c>
      <c r="U1740" s="428"/>
      <c r="V1740" s="434">
        <f>V1739</f>
        <v>0</v>
      </c>
      <c r="W1740" s="69"/>
      <c r="X1740" s="434">
        <f>X1739</f>
        <v>0</v>
      </c>
      <c r="Y1740" s="69">
        <f>W1739</f>
        <v>0</v>
      </c>
      <c r="Z1740" s="434">
        <f>Z1739</f>
        <v>0</v>
      </c>
      <c r="AA1740" s="69">
        <f>Y1739</f>
        <v>0</v>
      </c>
      <c r="AB1740" s="434">
        <f>AB1739</f>
        <v>0</v>
      </c>
      <c r="AC1740" s="69">
        <f>AA1739</f>
        <v>0</v>
      </c>
      <c r="AD1740" s="434">
        <f>AD1739</f>
        <v>0</v>
      </c>
      <c r="AE1740" s="69"/>
      <c r="AF1740" s="429"/>
      <c r="AG1740" s="430"/>
      <c r="AH1740" s="431"/>
      <c r="AI1740" s="432"/>
      <c r="AJ1740" s="65"/>
      <c r="AN1740" s="695">
        <f>SUM(AF1734:AF1738)*AQ1740</f>
        <v>0</v>
      </c>
      <c r="AO1740" s="742">
        <f>SUM(R1734:R1738)*AQ1740</f>
        <v>0</v>
      </c>
      <c r="AP1740" s="742"/>
      <c r="AQ1740" s="693">
        <v>0.15</v>
      </c>
      <c r="AS1740" s="716">
        <f>SUM(AL1734:AL1738)</f>
        <v>0</v>
      </c>
      <c r="AT1740" s="461">
        <f>F1740+H1740+J1740+L1740+N1740+P1740+T1740+V1740+X1740+Z1740+AB1740+AD1740</f>
        <v>0</v>
      </c>
      <c r="AU1740" s="745">
        <f>AT1740-AS1740</f>
        <v>0</v>
      </c>
      <c r="AV1740" s="56"/>
    </row>
    <row r="1741" spans="1:48" ht="13.5" customHeight="1" outlineLevel="2" thickBot="1">
      <c r="B1741" s="82">
        <f>B1734+1</f>
        <v>42</v>
      </c>
      <c r="C1741" s="1233">
        <f>C300</f>
        <v>0</v>
      </c>
      <c r="D1741" s="1233">
        <f>D300</f>
        <v>0</v>
      </c>
      <c r="E1741" s="83" t="str">
        <f>'Terms and Turnovers'!$J$12</f>
        <v>FLIP-FLOPS</v>
      </c>
      <c r="F1741" s="118">
        <f>$R1741*G1741</f>
        <v>0</v>
      </c>
      <c r="G1741" s="69"/>
      <c r="H1741" s="314">
        <f>$R1741*I1741</f>
        <v>0</v>
      </c>
      <c r="I1741" s="69">
        <v>0</v>
      </c>
      <c r="J1741" s="118">
        <f>$R1741*K1741</f>
        <v>0</v>
      </c>
      <c r="K1741" s="69">
        <v>0.5</v>
      </c>
      <c r="L1741" s="314">
        <f>$R1741*M1741</f>
        <v>0</v>
      </c>
      <c r="M1741" s="69">
        <v>0.5</v>
      </c>
      <c r="N1741" s="314">
        <f>$R1741*O1741</f>
        <v>0</v>
      </c>
      <c r="O1741" s="69">
        <v>0</v>
      </c>
      <c r="P1741" s="118">
        <f>$R1741*Q1741</f>
        <v>0</v>
      </c>
      <c r="Q1741" s="69">
        <v>0</v>
      </c>
      <c r="R1741" s="87">
        <f>'Terms and Turnovers'!K173</f>
        <v>0</v>
      </c>
      <c r="S1741" s="160">
        <f>SUM(G1741,I1741,K1741,M1741,O1741,Q1741)</f>
        <v>1</v>
      </c>
      <c r="T1741" s="118">
        <f>$AF1741*U1741</f>
        <v>0</v>
      </c>
      <c r="U1741" s="69">
        <v>0</v>
      </c>
      <c r="V1741" s="314">
        <f>$AF1741*W1741</f>
        <v>0</v>
      </c>
      <c r="W1741" s="69">
        <v>0.5</v>
      </c>
      <c r="X1741" s="118">
        <f>$AF1741*Y1741</f>
        <v>0</v>
      </c>
      <c r="Y1741" s="69">
        <v>0.5</v>
      </c>
      <c r="Z1741" s="314">
        <f>$AF1741*AA1741</f>
        <v>0</v>
      </c>
      <c r="AA1741" s="69">
        <v>0</v>
      </c>
      <c r="AB1741" s="314">
        <f>$AF1741*AC1741</f>
        <v>0</v>
      </c>
      <c r="AC1741" s="69">
        <v>0</v>
      </c>
      <c r="AD1741" s="118">
        <f>$AF1741*AE1741</f>
        <v>0</v>
      </c>
      <c r="AE1741" s="69">
        <v>0</v>
      </c>
      <c r="AF1741" s="87">
        <f>'Terms and Turnovers'!P173</f>
        <v>0</v>
      </c>
      <c r="AG1741" s="160">
        <f>SUM(U1741,W1741,Y1741,AA1741,AC1741,AE1741)</f>
        <v>1</v>
      </c>
      <c r="AH1741" s="157">
        <f>SUM(R1741,AF1741)</f>
        <v>0</v>
      </c>
      <c r="AI1741" s="131">
        <f>S1741+AG1741</f>
        <v>2</v>
      </c>
      <c r="AJ1741" s="65"/>
      <c r="AL1741" s="461">
        <f>SUM(F1741,H1741,J1741,L1741,N1741,P1741,T1741,V1741,X1741,Z1741,AB1741,AD1741)</f>
        <v>0</v>
      </c>
      <c r="AM1741" s="462">
        <f>AL1741-AH1741</f>
        <v>0</v>
      </c>
      <c r="AO1741" s="692"/>
      <c r="AP1741" s="692"/>
      <c r="AV1741" s="56"/>
    </row>
    <row r="1742" spans="1:48" ht="13.5" customHeight="1" outlineLevel="2" thickBot="1">
      <c r="B1742" s="82"/>
      <c r="C1742" s="1234"/>
      <c r="D1742" s="1234"/>
      <c r="E1742" s="84" t="str">
        <f>'Terms and Turnovers'!$T$12</f>
        <v>ORIGINALS</v>
      </c>
      <c r="F1742" s="120">
        <f>$R1742*G1742</f>
        <v>0</v>
      </c>
      <c r="G1742" s="723"/>
      <c r="H1742" s="120">
        <f>$R1742*I1742</f>
        <v>0</v>
      </c>
      <c r="I1742" s="69">
        <v>0</v>
      </c>
      <c r="J1742" s="120">
        <f>$R1742*K1742</f>
        <v>0</v>
      </c>
      <c r="K1742" s="69">
        <v>0.5</v>
      </c>
      <c r="L1742" s="120">
        <f>$R1742*M1742</f>
        <v>0</v>
      </c>
      <c r="M1742" s="69">
        <v>0.5</v>
      </c>
      <c r="N1742" s="315">
        <f>$R1742*O1742</f>
        <v>0</v>
      </c>
      <c r="O1742" s="69">
        <v>0</v>
      </c>
      <c r="P1742" s="120">
        <f>$R1742*Q1742</f>
        <v>0</v>
      </c>
      <c r="Q1742" s="69">
        <v>0</v>
      </c>
      <c r="R1742" s="88">
        <f>'Terms and Turnovers'!U173</f>
        <v>0</v>
      </c>
      <c r="S1742" s="161">
        <f>SUM(G1742,I1742,K1742,M1742,O1742,Q1742)</f>
        <v>1</v>
      </c>
      <c r="T1742" s="120">
        <f>$AF1742*U1742</f>
        <v>0</v>
      </c>
      <c r="U1742" s="723">
        <v>0</v>
      </c>
      <c r="V1742" s="120">
        <f>$AF1742*W1742</f>
        <v>0</v>
      </c>
      <c r="W1742" s="69">
        <v>0.5</v>
      </c>
      <c r="X1742" s="120">
        <f>$AF1742*Y1742</f>
        <v>0</v>
      </c>
      <c r="Y1742" s="69">
        <v>0.5</v>
      </c>
      <c r="Z1742" s="120">
        <f>$AF1742*AA1742</f>
        <v>0</v>
      </c>
      <c r="AA1742" s="69">
        <v>0</v>
      </c>
      <c r="AB1742" s="315">
        <f>$AF1742*AC1742</f>
        <v>0</v>
      </c>
      <c r="AC1742" s="69">
        <v>0</v>
      </c>
      <c r="AD1742" s="120">
        <f>$AF1742*AE1742</f>
        <v>0</v>
      </c>
      <c r="AE1742" s="69">
        <v>0</v>
      </c>
      <c r="AF1742" s="88">
        <f>'Terms and Turnovers'!Z173</f>
        <v>0</v>
      </c>
      <c r="AG1742" s="161">
        <f>SUM(U1742,W1742,Y1742,AA1742,AC1742,AE1742)</f>
        <v>1</v>
      </c>
      <c r="AH1742" s="158">
        <f>SUM(R1742,AF1742)</f>
        <v>0</v>
      </c>
      <c r="AI1742" s="134">
        <f>S1742+AG1742</f>
        <v>2</v>
      </c>
      <c r="AJ1742" s="65"/>
      <c r="AL1742" s="461">
        <f>SUM(F1742,H1742,J1742,L1742,N1742,P1742,T1742,V1742,X1742,Z1742,AB1742,AD1742)</f>
        <v>0</v>
      </c>
      <c r="AM1742" s="462">
        <f>AL1742-AH1742</f>
        <v>0</v>
      </c>
      <c r="AO1742" s="692"/>
      <c r="AP1742" s="692"/>
      <c r="AV1742" s="56"/>
    </row>
    <row r="1743" spans="1:48" ht="13.5" customHeight="1" outlineLevel="2" thickBot="1">
      <c r="B1743" s="82"/>
      <c r="C1743" s="1234"/>
      <c r="D1743" s="1234"/>
      <c r="E1743" s="84" t="str">
        <f>'Terms and Turnovers'!$AD$12</f>
        <v>ACCESSORIES</v>
      </c>
      <c r="F1743" s="120">
        <f>$R1743*G1743</f>
        <v>0</v>
      </c>
      <c r="G1743" s="723"/>
      <c r="H1743" s="120">
        <f>$R1743*I1743</f>
        <v>0</v>
      </c>
      <c r="I1743" s="69">
        <v>0</v>
      </c>
      <c r="J1743" s="120">
        <f>$R1743*K1743</f>
        <v>0</v>
      </c>
      <c r="K1743" s="69">
        <v>0.5</v>
      </c>
      <c r="L1743" s="120">
        <f>$R1743*M1743</f>
        <v>0</v>
      </c>
      <c r="M1743" s="69">
        <v>0.5</v>
      </c>
      <c r="N1743" s="315">
        <f>$R1743*O1743</f>
        <v>0</v>
      </c>
      <c r="O1743" s="69">
        <v>0</v>
      </c>
      <c r="P1743" s="120">
        <f>$R1743*Q1743</f>
        <v>0</v>
      </c>
      <c r="Q1743" s="69">
        <v>0</v>
      </c>
      <c r="R1743" s="88">
        <f>'Terms and Turnovers'!AE173</f>
        <v>0</v>
      </c>
      <c r="S1743" s="161">
        <f>SUM(G1743,I1743,K1743,M1743,O1743,Q1743)</f>
        <v>1</v>
      </c>
      <c r="T1743" s="120">
        <f>$AF1743*U1743</f>
        <v>0</v>
      </c>
      <c r="U1743" s="723">
        <v>0</v>
      </c>
      <c r="V1743" s="120">
        <f>$AF1743*W1743</f>
        <v>0</v>
      </c>
      <c r="W1743" s="69">
        <v>0.5</v>
      </c>
      <c r="X1743" s="120">
        <f>$AF1743*Y1743</f>
        <v>0</v>
      </c>
      <c r="Y1743" s="69">
        <v>0.5</v>
      </c>
      <c r="Z1743" s="120">
        <f>$AF1743*AA1743</f>
        <v>0</v>
      </c>
      <c r="AA1743" s="69">
        <v>0</v>
      </c>
      <c r="AB1743" s="315">
        <f>$AF1743*AC1743</f>
        <v>0</v>
      </c>
      <c r="AC1743" s="69">
        <v>0</v>
      </c>
      <c r="AD1743" s="120">
        <f>$AF1743*AE1743</f>
        <v>0</v>
      </c>
      <c r="AE1743" s="69">
        <v>0</v>
      </c>
      <c r="AF1743" s="88">
        <f>'Terms and Turnovers'!AJ173</f>
        <v>0</v>
      </c>
      <c r="AG1743" s="161">
        <f>SUM(U1743,W1743,Y1743,AA1743,AC1743,AE1743)</f>
        <v>1</v>
      </c>
      <c r="AH1743" s="158">
        <f>SUM(R1743,AF1743)</f>
        <v>0</v>
      </c>
      <c r="AI1743" s="134">
        <f>S1743+AG1743</f>
        <v>2</v>
      </c>
      <c r="AJ1743" s="65"/>
      <c r="AL1743" s="461">
        <f>SUM(F1743,H1743,J1743,L1743,N1743,P1743,T1743,V1743,X1743,Z1743,AB1743,AD1743)</f>
        <v>0</v>
      </c>
      <c r="AM1743" s="462">
        <f>AL1743-AH1743</f>
        <v>0</v>
      </c>
      <c r="AO1743" s="692"/>
      <c r="AP1743" s="692"/>
      <c r="AV1743" s="56"/>
    </row>
    <row r="1744" spans="1:48" ht="13.5" customHeight="1" outlineLevel="2" thickBot="1">
      <c r="B1744" s="82"/>
      <c r="C1744" s="1234"/>
      <c r="D1744" s="1234"/>
      <c r="E1744" s="84">
        <f>'Terms and Turnovers'!$AN$12</f>
        <v>0</v>
      </c>
      <c r="F1744" s="120">
        <f>$R1744*G1744</f>
        <v>0</v>
      </c>
      <c r="G1744" s="723"/>
      <c r="H1744" s="120">
        <f>$R1744*I1744</f>
        <v>0</v>
      </c>
      <c r="I1744" s="69">
        <v>0</v>
      </c>
      <c r="J1744" s="120">
        <f>$R1744*K1744</f>
        <v>0</v>
      </c>
      <c r="K1744" s="69">
        <v>0.5</v>
      </c>
      <c r="L1744" s="120">
        <f>$R1744*M1744</f>
        <v>0</v>
      </c>
      <c r="M1744" s="69">
        <v>0.5</v>
      </c>
      <c r="N1744" s="315">
        <f>$R1744*O1744</f>
        <v>0</v>
      </c>
      <c r="O1744" s="69">
        <v>0</v>
      </c>
      <c r="P1744" s="120">
        <f>$R1744*Q1744</f>
        <v>0</v>
      </c>
      <c r="Q1744" s="69">
        <v>0</v>
      </c>
      <c r="R1744" s="88">
        <f>'Terms and Turnovers'!AO173</f>
        <v>0</v>
      </c>
      <c r="S1744" s="161">
        <f>SUM(G1744,I1744,K1744,M1744,O1744,Q1744)</f>
        <v>1</v>
      </c>
      <c r="T1744" s="120">
        <f>$AF1744*U1744</f>
        <v>0</v>
      </c>
      <c r="U1744" s="723">
        <v>0</v>
      </c>
      <c r="V1744" s="120">
        <f>$AF1744*W1744</f>
        <v>0</v>
      </c>
      <c r="W1744" s="69">
        <v>0.5</v>
      </c>
      <c r="X1744" s="120">
        <f>$AF1744*Y1744</f>
        <v>0</v>
      </c>
      <c r="Y1744" s="69">
        <v>0.5</v>
      </c>
      <c r="Z1744" s="120">
        <f>$AF1744*AA1744</f>
        <v>0</v>
      </c>
      <c r="AA1744" s="69">
        <v>0</v>
      </c>
      <c r="AB1744" s="315">
        <f>$AF1744*AC1744</f>
        <v>0</v>
      </c>
      <c r="AC1744" s="69">
        <v>0</v>
      </c>
      <c r="AD1744" s="120">
        <f>$AF1744*AE1744</f>
        <v>0</v>
      </c>
      <c r="AE1744" s="69">
        <v>0</v>
      </c>
      <c r="AF1744" s="88">
        <f>'Terms and Turnovers'!AT173</f>
        <v>0</v>
      </c>
      <c r="AG1744" s="161">
        <f>SUM(U1744,W1744,Y1744,AA1744,AC1744,AE1744)</f>
        <v>1</v>
      </c>
      <c r="AH1744" s="158">
        <f>SUM(R1744,AF1744)</f>
        <v>0</v>
      </c>
      <c r="AI1744" s="134">
        <f>S1744+AG1744</f>
        <v>2</v>
      </c>
      <c r="AJ1744" s="65"/>
      <c r="AL1744" s="461">
        <f>SUM(F1744,H1744,J1744,L1744,N1744,P1744,T1744,V1744,X1744,Z1744,AB1744,AD1744)</f>
        <v>0</v>
      </c>
      <c r="AM1744" s="462">
        <f>AL1744-AH1744</f>
        <v>0</v>
      </c>
      <c r="AO1744" s="692"/>
      <c r="AP1744" s="692"/>
      <c r="AV1744" s="56"/>
    </row>
    <row r="1745" spans="1:48" ht="13.5" customHeight="1" outlineLevel="2" thickBot="1">
      <c r="B1745" s="82"/>
      <c r="C1745" s="1235"/>
      <c r="D1745" s="1235"/>
      <c r="E1745" s="85">
        <f>'Terms and Turnovers'!$AX$12</f>
        <v>0</v>
      </c>
      <c r="F1745" s="121">
        <f>$R1745*G1745</f>
        <v>0</v>
      </c>
      <c r="G1745" s="72"/>
      <c r="H1745" s="121">
        <f>$R1745*I1745</f>
        <v>0</v>
      </c>
      <c r="I1745" s="69">
        <v>0</v>
      </c>
      <c r="J1745" s="121">
        <f>$R1745*K1745</f>
        <v>0</v>
      </c>
      <c r="K1745" s="69">
        <v>0.5</v>
      </c>
      <c r="L1745" s="121">
        <f>$R1745*M1745</f>
        <v>0</v>
      </c>
      <c r="M1745" s="69">
        <v>0.5</v>
      </c>
      <c r="N1745" s="316">
        <f>$R1745*O1745</f>
        <v>0</v>
      </c>
      <c r="O1745" s="69">
        <v>0</v>
      </c>
      <c r="P1745" s="121">
        <f>$R1745*Q1745</f>
        <v>0</v>
      </c>
      <c r="Q1745" s="69">
        <v>0</v>
      </c>
      <c r="R1745" s="89">
        <f>'Terms and Turnovers'!AY173</f>
        <v>0</v>
      </c>
      <c r="S1745" s="162">
        <f>SUM(G1745,I1745,K1745,M1745,O1745,Q1745)</f>
        <v>1</v>
      </c>
      <c r="T1745" s="121">
        <f>$AF1745*U1745</f>
        <v>0</v>
      </c>
      <c r="U1745" s="72">
        <v>0</v>
      </c>
      <c r="V1745" s="121">
        <f>$AF1745*W1745</f>
        <v>0</v>
      </c>
      <c r="W1745" s="69">
        <v>0.5</v>
      </c>
      <c r="X1745" s="121">
        <f>$AF1745*Y1745</f>
        <v>0</v>
      </c>
      <c r="Y1745" s="69">
        <v>0.5</v>
      </c>
      <c r="Z1745" s="121">
        <f>$AF1745*AA1745</f>
        <v>0</v>
      </c>
      <c r="AA1745" s="69">
        <v>0</v>
      </c>
      <c r="AB1745" s="316">
        <f>$AF1745*AC1745</f>
        <v>0</v>
      </c>
      <c r="AC1745" s="69">
        <v>0</v>
      </c>
      <c r="AD1745" s="121">
        <f>$AF1745*AE1745</f>
        <v>0</v>
      </c>
      <c r="AE1745" s="69">
        <v>0</v>
      </c>
      <c r="AF1745" s="89">
        <f>'Terms and Turnovers'!BD173</f>
        <v>0</v>
      </c>
      <c r="AG1745" s="162">
        <f>SUM(U1745,W1745,Y1745,AA1745,AC1745,AE1745)</f>
        <v>1</v>
      </c>
      <c r="AH1745" s="159">
        <f>SUM(R1745,AF1745)</f>
        <v>0</v>
      </c>
      <c r="AI1745" s="137">
        <f>S1745+AG1745</f>
        <v>2</v>
      </c>
      <c r="AJ1745" s="65"/>
      <c r="AL1745" s="461">
        <f>SUM(F1745,H1745,J1745,L1745,N1745,P1745,T1745,V1745,X1745,Z1745,AB1745,AD1745)</f>
        <v>0</v>
      </c>
      <c r="AM1745" s="462">
        <f>AL1745-AH1745</f>
        <v>0</v>
      </c>
      <c r="AO1745" s="692"/>
      <c r="AP1745" s="692"/>
      <c r="AV1745" s="56"/>
    </row>
    <row r="1746" spans="1:48" ht="13.5" customHeight="1" outlineLevel="2" thickBot="1">
      <c r="A1746" s="119"/>
      <c r="B1746" s="82"/>
      <c r="C1746" s="425"/>
      <c r="D1746" s="425"/>
      <c r="E1746" s="426"/>
      <c r="F1746" s="427">
        <f>SUM(F1741:F1745)</f>
        <v>0</v>
      </c>
      <c r="G1746" s="428"/>
      <c r="H1746" s="427">
        <f>SUM(H1741:H1745)</f>
        <v>0</v>
      </c>
      <c r="I1746" s="69"/>
      <c r="J1746" s="427">
        <f>SUM(J1741:J1745)</f>
        <v>0</v>
      </c>
      <c r="K1746" s="69"/>
      <c r="L1746" s="427">
        <f>SUM(L1741:L1745)</f>
        <v>0</v>
      </c>
      <c r="M1746" s="69"/>
      <c r="N1746" s="427">
        <f>SUM(N1741:N1745)</f>
        <v>0</v>
      </c>
      <c r="O1746" s="69"/>
      <c r="P1746" s="427">
        <f>SUM(P1741:P1745)</f>
        <v>0</v>
      </c>
      <c r="Q1746" s="69"/>
      <c r="R1746" s="429"/>
      <c r="S1746" s="430"/>
      <c r="T1746" s="427">
        <f>SUM(T1741:T1745)</f>
        <v>0</v>
      </c>
      <c r="U1746" s="428"/>
      <c r="V1746" s="427">
        <f>SUM(V1741:V1745)</f>
        <v>0</v>
      </c>
      <c r="W1746" s="69"/>
      <c r="X1746" s="427">
        <f>SUM(X1741:X1745)</f>
        <v>0</v>
      </c>
      <c r="Y1746" s="69"/>
      <c r="Z1746" s="427">
        <f>SUM(Z1741:Z1745)</f>
        <v>0</v>
      </c>
      <c r="AA1746" s="69"/>
      <c r="AB1746" s="427">
        <f>SUM(AB1741:AB1745)</f>
        <v>0</v>
      </c>
      <c r="AC1746" s="69"/>
      <c r="AD1746" s="427">
        <f>SUM(AD1741:AD1745)</f>
        <v>0</v>
      </c>
      <c r="AE1746" s="69"/>
      <c r="AF1746" s="429"/>
      <c r="AG1746" s="430"/>
      <c r="AH1746" s="431"/>
      <c r="AI1746" s="432"/>
      <c r="AJ1746" s="65"/>
      <c r="AO1746" s="692"/>
      <c r="AP1746" s="692"/>
      <c r="AV1746" s="56"/>
    </row>
    <row r="1747" spans="1:48" ht="13.5" customHeight="1" outlineLevel="2" thickBot="1">
      <c r="A1747" s="119"/>
      <c r="B1747" s="82"/>
      <c r="C1747" s="433" t="s">
        <v>484</v>
      </c>
      <c r="D1747" s="433" t="s">
        <v>471</v>
      </c>
      <c r="E1747" s="426"/>
      <c r="F1747" s="434">
        <f>AN1747</f>
        <v>0</v>
      </c>
      <c r="G1747" s="428"/>
      <c r="H1747" s="434">
        <f>H1746</f>
        <v>0</v>
      </c>
      <c r="I1747" s="69"/>
      <c r="J1747" s="434">
        <f>J1746</f>
        <v>0</v>
      </c>
      <c r="K1747" s="69"/>
      <c r="L1747" s="434">
        <f>L1746-(AO1747)</f>
        <v>0</v>
      </c>
      <c r="M1747" s="69"/>
      <c r="N1747" s="434">
        <f>N1746</f>
        <v>0</v>
      </c>
      <c r="O1747" s="69"/>
      <c r="P1747" s="434">
        <f>P1746</f>
        <v>0</v>
      </c>
      <c r="Q1747" s="69"/>
      <c r="R1747" s="429"/>
      <c r="S1747" s="430"/>
      <c r="T1747" s="434">
        <f>AO1747</f>
        <v>0</v>
      </c>
      <c r="U1747" s="428">
        <f>Q1746</f>
        <v>0</v>
      </c>
      <c r="V1747" s="434">
        <f>V1746</f>
        <v>0</v>
      </c>
      <c r="W1747" s="69">
        <f>S1746</f>
        <v>0</v>
      </c>
      <c r="X1747" s="434">
        <f>X1746-AN1747</f>
        <v>0</v>
      </c>
      <c r="Y1747" s="69">
        <f>U1746</f>
        <v>0</v>
      </c>
      <c r="Z1747" s="434">
        <f>Z1746</f>
        <v>0</v>
      </c>
      <c r="AA1747" s="69">
        <f>W1746</f>
        <v>0</v>
      </c>
      <c r="AB1747" s="434">
        <f>AB1746</f>
        <v>0</v>
      </c>
      <c r="AC1747" s="69">
        <f>Y1746</f>
        <v>0</v>
      </c>
      <c r="AD1747" s="434">
        <f>AD1746</f>
        <v>0</v>
      </c>
      <c r="AE1747" s="69"/>
      <c r="AF1747" s="429"/>
      <c r="AG1747" s="430"/>
      <c r="AH1747" s="431"/>
      <c r="AI1747" s="432"/>
      <c r="AJ1747" s="65"/>
      <c r="AN1747" s="695">
        <f>SUM(AF1741:AF1745)*AQ1747</f>
        <v>0</v>
      </c>
      <c r="AO1747" s="742">
        <f>SUM(R1741:R1745)*AQ1747</f>
        <v>0</v>
      </c>
      <c r="AP1747" s="742"/>
      <c r="AQ1747" s="693">
        <v>0.15</v>
      </c>
      <c r="AS1747" s="716">
        <f>SUM(AL1741:AL1745)</f>
        <v>0</v>
      </c>
      <c r="AT1747" s="461">
        <f>F1747+H1747+J1747+L1747+N1747+P1747+T1747+V1747+X1747+Z1747+AB1747+AD1747</f>
        <v>0</v>
      </c>
      <c r="AU1747" s="745">
        <f>AT1747-AS1747</f>
        <v>0</v>
      </c>
      <c r="AV1747" s="56"/>
    </row>
    <row r="1748" spans="1:48" ht="12.75" customHeight="1" outlineLevel="2" thickBot="1">
      <c r="B1748" s="82">
        <f>B1741+1</f>
        <v>43</v>
      </c>
      <c r="C1748" s="1233">
        <f>C307</f>
        <v>0</v>
      </c>
      <c r="D1748" s="1233">
        <f>D307</f>
        <v>0</v>
      </c>
      <c r="E1748" s="83" t="str">
        <f>'Terms and Turnovers'!$J$12</f>
        <v>FLIP-FLOPS</v>
      </c>
      <c r="F1748" s="118">
        <f>$R1748*G1748</f>
        <v>0</v>
      </c>
      <c r="G1748" s="69"/>
      <c r="H1748" s="314">
        <f>$R1748*I1748</f>
        <v>0</v>
      </c>
      <c r="I1748" s="69">
        <v>0.2</v>
      </c>
      <c r="J1748" s="118">
        <f>$R1748*K1748</f>
        <v>0</v>
      </c>
      <c r="K1748" s="69">
        <v>0.25</v>
      </c>
      <c r="L1748" s="314">
        <f>$R1748*M1748</f>
        <v>0</v>
      </c>
      <c r="M1748" s="69">
        <v>0.3</v>
      </c>
      <c r="N1748" s="314">
        <f>$R1748*O1748</f>
        <v>0</v>
      </c>
      <c r="O1748" s="69">
        <v>0.25</v>
      </c>
      <c r="P1748" s="118">
        <f>$R1748*Q1748</f>
        <v>0</v>
      </c>
      <c r="Q1748" s="69">
        <v>0</v>
      </c>
      <c r="R1748" s="87">
        <f>'Terms and Turnovers'!K174</f>
        <v>0</v>
      </c>
      <c r="S1748" s="160">
        <f>SUM(G1748,I1748,K1748,M1748,O1748,Q1748)</f>
        <v>1</v>
      </c>
      <c r="T1748" s="118">
        <f>$AF1748*U1748</f>
        <v>0</v>
      </c>
      <c r="U1748" s="69">
        <v>0</v>
      </c>
      <c r="V1748" s="314">
        <f>$AF1748*W1748</f>
        <v>0</v>
      </c>
      <c r="W1748" s="69">
        <v>0.4</v>
      </c>
      <c r="X1748" s="118">
        <f>$AF1748*Y1748</f>
        <v>0</v>
      </c>
      <c r="Y1748" s="69">
        <v>0.5</v>
      </c>
      <c r="Z1748" s="314">
        <f>$AF1748*AA1748</f>
        <v>0</v>
      </c>
      <c r="AA1748" s="69">
        <v>0.1</v>
      </c>
      <c r="AB1748" s="314">
        <f>$AF1748*AC1748</f>
        <v>0</v>
      </c>
      <c r="AC1748" s="69">
        <v>0</v>
      </c>
      <c r="AD1748" s="118">
        <f>$AF1748*AE1748</f>
        <v>0</v>
      </c>
      <c r="AE1748" s="69">
        <v>0</v>
      </c>
      <c r="AF1748" s="87">
        <f>'Terms and Turnovers'!P174</f>
        <v>0</v>
      </c>
      <c r="AG1748" s="160">
        <f>SUM(U1748,W1748,Y1748,AA1748,AC1748,AE1748)</f>
        <v>1</v>
      </c>
      <c r="AH1748" s="157">
        <f>SUM(R1748,AF1748)</f>
        <v>0</v>
      </c>
      <c r="AI1748" s="131">
        <f>S1748+AG1748</f>
        <v>2</v>
      </c>
      <c r="AJ1748" s="65"/>
      <c r="AL1748" s="461">
        <f>SUM(F1748,H1748,J1748,L1748,N1748,P1748,T1748,V1748,X1748,Z1748,AB1748,AD1748)</f>
        <v>0</v>
      </c>
      <c r="AM1748" s="462">
        <f>AL1748-AH1748</f>
        <v>0</v>
      </c>
      <c r="AO1748" s="692"/>
      <c r="AP1748" s="692"/>
      <c r="AV1748" s="56"/>
    </row>
    <row r="1749" spans="1:48" ht="12.75" customHeight="1" outlineLevel="2" thickBot="1">
      <c r="B1749" s="82"/>
      <c r="C1749" s="1234"/>
      <c r="D1749" s="1234"/>
      <c r="E1749" s="84" t="str">
        <f>'Terms and Turnovers'!$T$12</f>
        <v>ORIGINALS</v>
      </c>
      <c r="F1749" s="120">
        <f>$R1749*G1749</f>
        <v>0</v>
      </c>
      <c r="G1749" s="723"/>
      <c r="H1749" s="120">
        <f>$R1749*I1749</f>
        <v>0</v>
      </c>
      <c r="I1749" s="69">
        <v>0</v>
      </c>
      <c r="J1749" s="120">
        <f>$R1749*K1749</f>
        <v>0</v>
      </c>
      <c r="K1749" s="69">
        <v>0.5</v>
      </c>
      <c r="L1749" s="120">
        <f>$R1749*M1749</f>
        <v>0</v>
      </c>
      <c r="M1749" s="69">
        <v>0.5</v>
      </c>
      <c r="N1749" s="315">
        <f>$R1749*O1749</f>
        <v>0</v>
      </c>
      <c r="O1749" s="69">
        <v>0</v>
      </c>
      <c r="P1749" s="120">
        <f>$R1749*Q1749</f>
        <v>0</v>
      </c>
      <c r="Q1749" s="69">
        <v>0</v>
      </c>
      <c r="R1749" s="88">
        <f>'Terms and Turnovers'!U174</f>
        <v>0</v>
      </c>
      <c r="S1749" s="161">
        <f>SUM(G1749,I1749,K1749,M1749,O1749,Q1749)</f>
        <v>1</v>
      </c>
      <c r="T1749" s="120">
        <f>$AF1749*U1749</f>
        <v>0</v>
      </c>
      <c r="U1749" s="723">
        <v>0</v>
      </c>
      <c r="V1749" s="120">
        <f>$AF1749*W1749</f>
        <v>0</v>
      </c>
      <c r="W1749" s="69">
        <v>0.5</v>
      </c>
      <c r="X1749" s="120">
        <f>$AF1749*Y1749</f>
        <v>0</v>
      </c>
      <c r="Y1749" s="69">
        <v>0.5</v>
      </c>
      <c r="Z1749" s="120">
        <f>$AF1749*AA1749</f>
        <v>0</v>
      </c>
      <c r="AA1749" s="69">
        <v>0</v>
      </c>
      <c r="AB1749" s="315">
        <f>$AF1749*AC1749</f>
        <v>0</v>
      </c>
      <c r="AC1749" s="69">
        <v>0</v>
      </c>
      <c r="AD1749" s="120">
        <f>$AF1749*AE1749</f>
        <v>0</v>
      </c>
      <c r="AE1749" s="69">
        <v>0</v>
      </c>
      <c r="AF1749" s="88">
        <f>'Terms and Turnovers'!Z174</f>
        <v>0</v>
      </c>
      <c r="AG1749" s="161">
        <f>SUM(U1749,W1749,Y1749,AA1749,AC1749,AE1749)</f>
        <v>1</v>
      </c>
      <c r="AH1749" s="158">
        <f>SUM(R1749,AF1749)</f>
        <v>0</v>
      </c>
      <c r="AI1749" s="134">
        <f>S1749+AG1749</f>
        <v>2</v>
      </c>
      <c r="AJ1749" s="65"/>
      <c r="AL1749" s="461">
        <f>SUM(F1749,H1749,J1749,L1749,N1749,P1749,T1749,V1749,X1749,Z1749,AB1749,AD1749)</f>
        <v>0</v>
      </c>
      <c r="AM1749" s="462">
        <f>AL1749-AH1749</f>
        <v>0</v>
      </c>
      <c r="AO1749" s="692"/>
      <c r="AP1749" s="692"/>
      <c r="AV1749" s="56"/>
    </row>
    <row r="1750" spans="1:48" ht="12.75" customHeight="1" outlineLevel="2" thickBot="1">
      <c r="B1750" s="82"/>
      <c r="C1750" s="1234"/>
      <c r="D1750" s="1234"/>
      <c r="E1750" s="84" t="str">
        <f>'Terms and Turnovers'!$AD$12</f>
        <v>ACCESSORIES</v>
      </c>
      <c r="F1750" s="120">
        <f>$R1750*G1750</f>
        <v>0</v>
      </c>
      <c r="G1750" s="723"/>
      <c r="H1750" s="120">
        <f>$R1750*I1750</f>
        <v>0</v>
      </c>
      <c r="I1750" s="69">
        <v>0</v>
      </c>
      <c r="J1750" s="120">
        <f>$R1750*K1750</f>
        <v>0</v>
      </c>
      <c r="K1750" s="69">
        <v>0.5</v>
      </c>
      <c r="L1750" s="120">
        <f>$R1750*M1750</f>
        <v>0</v>
      </c>
      <c r="M1750" s="69">
        <v>0.5</v>
      </c>
      <c r="N1750" s="315">
        <f>$R1750*O1750</f>
        <v>0</v>
      </c>
      <c r="O1750" s="69">
        <v>0</v>
      </c>
      <c r="P1750" s="120">
        <f>$R1750*Q1750</f>
        <v>0</v>
      </c>
      <c r="Q1750" s="69">
        <v>0</v>
      </c>
      <c r="R1750" s="88">
        <f>'Terms and Turnovers'!AE174</f>
        <v>0</v>
      </c>
      <c r="S1750" s="161">
        <f>SUM(G1750,I1750,K1750,M1750,O1750,Q1750)</f>
        <v>1</v>
      </c>
      <c r="T1750" s="120">
        <f>$AF1750*U1750</f>
        <v>0</v>
      </c>
      <c r="U1750" s="723">
        <v>0</v>
      </c>
      <c r="V1750" s="120">
        <f>$AF1750*W1750</f>
        <v>0</v>
      </c>
      <c r="W1750" s="69">
        <v>0.5</v>
      </c>
      <c r="X1750" s="120">
        <f>$AF1750*Y1750</f>
        <v>0</v>
      </c>
      <c r="Y1750" s="69">
        <v>0.5</v>
      </c>
      <c r="Z1750" s="120">
        <f>$AF1750*AA1750</f>
        <v>0</v>
      </c>
      <c r="AA1750" s="69">
        <v>0</v>
      </c>
      <c r="AB1750" s="315">
        <f>$AF1750*AC1750</f>
        <v>0</v>
      </c>
      <c r="AC1750" s="69">
        <v>0</v>
      </c>
      <c r="AD1750" s="120">
        <f>$AF1750*AE1750</f>
        <v>0</v>
      </c>
      <c r="AE1750" s="69">
        <v>0</v>
      </c>
      <c r="AF1750" s="88">
        <f>'Terms and Turnovers'!AJ174</f>
        <v>0</v>
      </c>
      <c r="AG1750" s="161">
        <f>SUM(U1750,W1750,Y1750,AA1750,AC1750,AE1750)</f>
        <v>1</v>
      </c>
      <c r="AH1750" s="158">
        <f>SUM(R1750,AF1750)</f>
        <v>0</v>
      </c>
      <c r="AI1750" s="134">
        <f>S1750+AG1750</f>
        <v>2</v>
      </c>
      <c r="AJ1750" s="65"/>
      <c r="AL1750" s="461">
        <f>SUM(F1750,H1750,J1750,L1750,N1750,P1750,T1750,V1750,X1750,Z1750,AB1750,AD1750)</f>
        <v>0</v>
      </c>
      <c r="AM1750" s="462">
        <f>AL1750-AH1750</f>
        <v>0</v>
      </c>
      <c r="AO1750" s="692"/>
      <c r="AP1750" s="692"/>
      <c r="AV1750" s="56"/>
    </row>
    <row r="1751" spans="1:48" ht="12.75" customHeight="1" outlineLevel="2" thickBot="1">
      <c r="B1751" s="82"/>
      <c r="C1751" s="1234"/>
      <c r="D1751" s="1234"/>
      <c r="E1751" s="84">
        <f>'Terms and Turnovers'!$AN$12</f>
        <v>0</v>
      </c>
      <c r="F1751" s="120">
        <f>$R1751*G1751</f>
        <v>0</v>
      </c>
      <c r="G1751" s="723"/>
      <c r="H1751" s="120">
        <f>$R1751*I1751</f>
        <v>0</v>
      </c>
      <c r="I1751" s="69">
        <v>0.2</v>
      </c>
      <c r="J1751" s="120">
        <f>$R1751*K1751</f>
        <v>0</v>
      </c>
      <c r="K1751" s="69">
        <v>0.25</v>
      </c>
      <c r="L1751" s="120">
        <f>$R1751*M1751</f>
        <v>0</v>
      </c>
      <c r="M1751" s="69">
        <v>0.3</v>
      </c>
      <c r="N1751" s="315">
        <f>$R1751*O1751</f>
        <v>0</v>
      </c>
      <c r="O1751" s="69">
        <v>0.25</v>
      </c>
      <c r="P1751" s="120">
        <f>$R1751*Q1751</f>
        <v>0</v>
      </c>
      <c r="Q1751" s="69">
        <v>0</v>
      </c>
      <c r="R1751" s="88">
        <f>'Terms and Turnovers'!AO174</f>
        <v>0</v>
      </c>
      <c r="S1751" s="161">
        <f>SUM(G1751,I1751,K1751,M1751,O1751,Q1751)</f>
        <v>1</v>
      </c>
      <c r="T1751" s="120">
        <f>$AF1751*U1751</f>
        <v>0</v>
      </c>
      <c r="U1751" s="723">
        <v>0</v>
      </c>
      <c r="V1751" s="120">
        <f>$AF1751*W1751</f>
        <v>0</v>
      </c>
      <c r="W1751" s="69">
        <v>0.4</v>
      </c>
      <c r="X1751" s="120">
        <f>$AF1751*Y1751</f>
        <v>0</v>
      </c>
      <c r="Y1751" s="69">
        <v>0.5</v>
      </c>
      <c r="Z1751" s="120">
        <f>$AF1751*AA1751</f>
        <v>0</v>
      </c>
      <c r="AA1751" s="69">
        <v>0.1</v>
      </c>
      <c r="AB1751" s="315">
        <f>$AF1751*AC1751</f>
        <v>0</v>
      </c>
      <c r="AC1751" s="69">
        <v>0</v>
      </c>
      <c r="AD1751" s="120">
        <f>$AF1751*AE1751</f>
        <v>0</v>
      </c>
      <c r="AE1751" s="69">
        <v>0</v>
      </c>
      <c r="AF1751" s="88">
        <f>'Terms and Turnovers'!AT174</f>
        <v>0</v>
      </c>
      <c r="AG1751" s="161">
        <f>SUM(U1751,W1751,Y1751,AA1751,AC1751,AE1751)</f>
        <v>1</v>
      </c>
      <c r="AH1751" s="158">
        <f>SUM(R1751,AF1751)</f>
        <v>0</v>
      </c>
      <c r="AI1751" s="134">
        <f>S1751+AG1751</f>
        <v>2</v>
      </c>
      <c r="AJ1751" s="65"/>
      <c r="AL1751" s="461">
        <f>SUM(F1751,H1751,J1751,L1751,N1751,P1751,T1751,V1751,X1751,Z1751,AB1751,AD1751)</f>
        <v>0</v>
      </c>
      <c r="AM1751" s="462">
        <f>AL1751-AH1751</f>
        <v>0</v>
      </c>
      <c r="AO1751" s="692"/>
      <c r="AP1751" s="692"/>
      <c r="AV1751" s="56"/>
    </row>
    <row r="1752" spans="1:48" ht="13.5" customHeight="1" outlineLevel="2" thickBot="1">
      <c r="B1752" s="82"/>
      <c r="C1752" s="1235"/>
      <c r="D1752" s="1235"/>
      <c r="E1752" s="85">
        <f>'Terms and Turnovers'!$AX$12</f>
        <v>0</v>
      </c>
      <c r="F1752" s="121">
        <f>$R1752*G1752</f>
        <v>0</v>
      </c>
      <c r="G1752" s="72"/>
      <c r="H1752" s="121">
        <f>$R1752*I1752</f>
        <v>0</v>
      </c>
      <c r="I1752" s="69">
        <v>0.2</v>
      </c>
      <c r="J1752" s="121">
        <f>$R1752*K1752</f>
        <v>0</v>
      </c>
      <c r="K1752" s="69">
        <v>0.25</v>
      </c>
      <c r="L1752" s="121">
        <f>$R1752*M1752</f>
        <v>0</v>
      </c>
      <c r="M1752" s="69">
        <v>0.3</v>
      </c>
      <c r="N1752" s="316">
        <f>$R1752*O1752</f>
        <v>0</v>
      </c>
      <c r="O1752" s="69">
        <v>0.25</v>
      </c>
      <c r="P1752" s="121">
        <f>$R1752*Q1752</f>
        <v>0</v>
      </c>
      <c r="Q1752" s="69">
        <v>0</v>
      </c>
      <c r="R1752" s="89">
        <f>'Terms and Turnovers'!AY174</f>
        <v>0</v>
      </c>
      <c r="S1752" s="162">
        <f>SUM(G1752,I1752,K1752,M1752,O1752,Q1752)</f>
        <v>1</v>
      </c>
      <c r="T1752" s="121">
        <f>$AF1752*U1752</f>
        <v>0</v>
      </c>
      <c r="U1752" s="72">
        <v>0</v>
      </c>
      <c r="V1752" s="121">
        <f>$AF1752*W1752</f>
        <v>0</v>
      </c>
      <c r="W1752" s="69">
        <v>0.4</v>
      </c>
      <c r="X1752" s="121">
        <f>$AF1752*Y1752</f>
        <v>0</v>
      </c>
      <c r="Y1752" s="69">
        <v>0.5</v>
      </c>
      <c r="Z1752" s="121">
        <f>$AF1752*AA1752</f>
        <v>0</v>
      </c>
      <c r="AA1752" s="69">
        <v>0.1</v>
      </c>
      <c r="AB1752" s="316">
        <f>$AF1752*AC1752</f>
        <v>0</v>
      </c>
      <c r="AC1752" s="69">
        <v>0</v>
      </c>
      <c r="AD1752" s="121">
        <f>$AF1752*AE1752</f>
        <v>0</v>
      </c>
      <c r="AE1752" s="69">
        <v>0</v>
      </c>
      <c r="AF1752" s="89">
        <f>'Terms and Turnovers'!BD174</f>
        <v>0</v>
      </c>
      <c r="AG1752" s="162">
        <f>SUM(U1752,W1752,Y1752,AA1752,AC1752,AE1752)</f>
        <v>1</v>
      </c>
      <c r="AH1752" s="159">
        <f>SUM(R1752,AF1752)</f>
        <v>0</v>
      </c>
      <c r="AI1752" s="137">
        <f>S1752+AG1752</f>
        <v>2</v>
      </c>
      <c r="AJ1752" s="65"/>
      <c r="AL1752" s="461">
        <f>SUM(F1752,H1752,J1752,L1752,N1752,P1752,T1752,V1752,X1752,Z1752,AB1752,AD1752)</f>
        <v>0</v>
      </c>
      <c r="AM1752" s="462">
        <f>AL1752-AH1752</f>
        <v>0</v>
      </c>
      <c r="AO1752" s="692"/>
      <c r="AP1752" s="692"/>
      <c r="AV1752" s="56"/>
    </row>
    <row r="1753" spans="1:48" ht="13.5" customHeight="1" outlineLevel="2" thickBot="1">
      <c r="A1753" s="119"/>
      <c r="B1753" s="82"/>
      <c r="C1753" s="425"/>
      <c r="D1753" s="425"/>
      <c r="E1753" s="426"/>
      <c r="F1753" s="427">
        <f>SUM(F1748:F1752)</f>
        <v>0</v>
      </c>
      <c r="G1753" s="428"/>
      <c r="H1753" s="427">
        <f>SUM(H1748:H1752)</f>
        <v>0</v>
      </c>
      <c r="I1753" s="69"/>
      <c r="J1753" s="427">
        <f>SUM(J1748:J1752)</f>
        <v>0</v>
      </c>
      <c r="K1753" s="69"/>
      <c r="L1753" s="427">
        <f>SUM(L1748:L1752)</f>
        <v>0</v>
      </c>
      <c r="M1753" s="69"/>
      <c r="N1753" s="427">
        <f>SUM(N1748:N1752)</f>
        <v>0</v>
      </c>
      <c r="O1753" s="69"/>
      <c r="P1753" s="427">
        <f>SUM(P1748:P1752)</f>
        <v>0</v>
      </c>
      <c r="Q1753" s="69"/>
      <c r="R1753" s="429"/>
      <c r="S1753" s="430"/>
      <c r="T1753" s="427">
        <f>SUM(T1748:T1752)</f>
        <v>0</v>
      </c>
      <c r="U1753" s="428"/>
      <c r="V1753" s="427">
        <f>SUM(V1748:V1752)</f>
        <v>0</v>
      </c>
      <c r="W1753" s="69"/>
      <c r="X1753" s="427">
        <f>SUM(X1748:X1752)</f>
        <v>0</v>
      </c>
      <c r="Y1753" s="69"/>
      <c r="Z1753" s="427">
        <f>SUM(Z1748:Z1752)</f>
        <v>0</v>
      </c>
      <c r="AA1753" s="69"/>
      <c r="AB1753" s="427">
        <f>SUM(AB1748:AB1752)</f>
        <v>0</v>
      </c>
      <c r="AC1753" s="69"/>
      <c r="AD1753" s="427">
        <f>SUM(AD1748:AD1752)</f>
        <v>0</v>
      </c>
      <c r="AE1753" s="69"/>
      <c r="AF1753" s="429"/>
      <c r="AG1753" s="430"/>
      <c r="AH1753" s="431"/>
      <c r="AI1753" s="432"/>
      <c r="AJ1753" s="65"/>
      <c r="AO1753" s="692"/>
      <c r="AP1753" s="692"/>
      <c r="AV1753" s="56"/>
    </row>
    <row r="1754" spans="1:48" ht="13.5" customHeight="1" outlineLevel="2" thickBot="1">
      <c r="A1754" s="119"/>
      <c r="B1754" s="82"/>
      <c r="C1754" s="433" t="s">
        <v>484</v>
      </c>
      <c r="D1754" s="433" t="s">
        <v>472</v>
      </c>
      <c r="E1754" s="426"/>
      <c r="F1754" s="434">
        <f>AN1754</f>
        <v>0</v>
      </c>
      <c r="G1754" s="428"/>
      <c r="H1754" s="434">
        <v>0</v>
      </c>
      <c r="I1754" s="69"/>
      <c r="J1754" s="434">
        <f>H1753</f>
        <v>0</v>
      </c>
      <c r="K1754" s="69"/>
      <c r="L1754" s="434">
        <f>J1753</f>
        <v>0</v>
      </c>
      <c r="M1754" s="69"/>
      <c r="N1754" s="434">
        <f>L1753</f>
        <v>0</v>
      </c>
      <c r="O1754" s="69"/>
      <c r="P1754" s="434">
        <f>N1753-AO1754</f>
        <v>0</v>
      </c>
      <c r="Q1754" s="69"/>
      <c r="R1754" s="429"/>
      <c r="S1754" s="430"/>
      <c r="T1754" s="434">
        <f>AO1754</f>
        <v>0</v>
      </c>
      <c r="U1754" s="428">
        <f>Q1753</f>
        <v>0</v>
      </c>
      <c r="V1754" s="434">
        <v>0</v>
      </c>
      <c r="W1754" s="69">
        <f>S1753</f>
        <v>0</v>
      </c>
      <c r="X1754" s="434">
        <f>V1753</f>
        <v>0</v>
      </c>
      <c r="Y1754" s="69">
        <f>U1753</f>
        <v>0</v>
      </c>
      <c r="Z1754" s="434">
        <f>X1753-AN1754</f>
        <v>0</v>
      </c>
      <c r="AA1754" s="69">
        <f>W1753</f>
        <v>0</v>
      </c>
      <c r="AB1754" s="434">
        <f>Z1753</f>
        <v>0</v>
      </c>
      <c r="AC1754" s="69">
        <f>Y1753</f>
        <v>0</v>
      </c>
      <c r="AD1754" s="434"/>
      <c r="AE1754" s="69"/>
      <c r="AF1754" s="429"/>
      <c r="AG1754" s="430"/>
      <c r="AH1754" s="431"/>
      <c r="AI1754" s="432"/>
      <c r="AJ1754" s="65"/>
      <c r="AN1754" s="695">
        <f>SUM(AF1748:AF1752)*AQ1754</f>
        <v>0</v>
      </c>
      <c r="AO1754" s="742">
        <f>SUM(R1748:R1752)*AQ1754</f>
        <v>0</v>
      </c>
      <c r="AP1754" s="742"/>
      <c r="AQ1754" s="693">
        <v>0.15</v>
      </c>
      <c r="AS1754" s="716">
        <f>SUM(AL1748:AL1752)</f>
        <v>0</v>
      </c>
      <c r="AT1754" s="461">
        <f>F1754+H1754+J1754+L1754+N1754+P1754+T1754+V1754+X1754+Z1754+AB1754+AD1754</f>
        <v>0</v>
      </c>
      <c r="AU1754" s="745">
        <f>AT1754-AS1754</f>
        <v>0</v>
      </c>
      <c r="AV1754" s="56"/>
    </row>
    <row r="1755" spans="1:48" ht="12.75" customHeight="1" outlineLevel="2" thickBot="1">
      <c r="B1755" s="82">
        <f>B1748+1</f>
        <v>44</v>
      </c>
      <c r="C1755" s="1233">
        <f>C314</f>
        <v>0</v>
      </c>
      <c r="D1755" s="1233">
        <f>D314</f>
        <v>0</v>
      </c>
      <c r="E1755" s="83" t="str">
        <f>'Terms and Turnovers'!$J$12</f>
        <v>FLIP-FLOPS</v>
      </c>
      <c r="F1755" s="118">
        <f>$R1755*G1755</f>
        <v>0</v>
      </c>
      <c r="G1755" s="69"/>
      <c r="H1755" s="314">
        <f>$R1755*I1755</f>
        <v>0</v>
      </c>
      <c r="I1755" s="69">
        <v>0.15</v>
      </c>
      <c r="J1755" s="118">
        <f>$R1755*K1755</f>
        <v>0</v>
      </c>
      <c r="K1755" s="69">
        <v>0.2</v>
      </c>
      <c r="L1755" s="314">
        <f>$R1755*M1755</f>
        <v>0</v>
      </c>
      <c r="M1755" s="69">
        <v>0.25</v>
      </c>
      <c r="N1755" s="314">
        <f>$R1755*O1755</f>
        <v>0</v>
      </c>
      <c r="O1755" s="69">
        <v>0.25</v>
      </c>
      <c r="P1755" s="118">
        <f>$R1755*Q1755</f>
        <v>0</v>
      </c>
      <c r="Q1755" s="69">
        <v>0.1</v>
      </c>
      <c r="R1755" s="87">
        <f>'Terms and Turnovers'!K175</f>
        <v>0</v>
      </c>
      <c r="S1755" s="160">
        <f>SUM(G1755,I1755,K1755,M1755,O1755,Q1755)</f>
        <v>0.95</v>
      </c>
      <c r="T1755" s="118">
        <f>R1755*(1-S1755)</f>
        <v>0</v>
      </c>
      <c r="U1755" s="69" t="e">
        <f>T1755/(V1755+X1755+Z1755+AB1755+AD1755)</f>
        <v>#DIV/0!</v>
      </c>
      <c r="V1755" s="314">
        <f>$AF1755*W1755</f>
        <v>0</v>
      </c>
      <c r="W1755" s="69">
        <v>0.3</v>
      </c>
      <c r="X1755" s="118">
        <f>$AF1755*Y1755</f>
        <v>0</v>
      </c>
      <c r="Y1755" s="69">
        <v>0.3</v>
      </c>
      <c r="Z1755" s="314">
        <f>$AF1755*AA1755</f>
        <v>0</v>
      </c>
      <c r="AA1755" s="69">
        <v>0.25</v>
      </c>
      <c r="AB1755" s="314">
        <f>$AF1755*AC1755</f>
        <v>0</v>
      </c>
      <c r="AC1755" s="69">
        <v>0.1</v>
      </c>
      <c r="AD1755" s="118">
        <f>$AF1755*AE1755</f>
        <v>0</v>
      </c>
      <c r="AE1755" s="69">
        <v>0.05</v>
      </c>
      <c r="AF1755" s="87">
        <f>'Terms and Turnovers'!P175</f>
        <v>0</v>
      </c>
      <c r="AG1755" s="160" t="e">
        <f>SUM(U1755,W1755,Y1755,AA1755,AC1755,AE1755)</f>
        <v>#DIV/0!</v>
      </c>
      <c r="AH1755" s="157">
        <f>SUM(R1755,AF1755)</f>
        <v>0</v>
      </c>
      <c r="AI1755" s="131" t="e">
        <f>S1755+AG1755</f>
        <v>#DIV/0!</v>
      </c>
      <c r="AJ1755" s="65"/>
      <c r="AL1755" s="461">
        <f>SUM(F1755,H1755,J1755,L1755,N1755,P1755,T1755,V1755,X1755,Z1755,AB1755,AD1755)</f>
        <v>0</v>
      </c>
      <c r="AM1755" s="462">
        <f>AL1755-AH1755</f>
        <v>0</v>
      </c>
      <c r="AO1755" s="692"/>
      <c r="AP1755" s="692"/>
      <c r="AV1755" s="56"/>
    </row>
    <row r="1756" spans="1:48" ht="12.75" customHeight="1" outlineLevel="2" thickBot="1">
      <c r="B1756" s="82"/>
      <c r="C1756" s="1234"/>
      <c r="D1756" s="1234"/>
      <c r="E1756" s="84" t="str">
        <f>'Terms and Turnovers'!$T$12</f>
        <v>ORIGINALS</v>
      </c>
      <c r="F1756" s="120">
        <f>$R1756*G1756</f>
        <v>0</v>
      </c>
      <c r="G1756" s="723"/>
      <c r="H1756" s="120">
        <f>$R1756*I1756</f>
        <v>0</v>
      </c>
      <c r="I1756" s="69">
        <v>0</v>
      </c>
      <c r="J1756" s="120">
        <f>$R1756*K1756</f>
        <v>0</v>
      </c>
      <c r="K1756" s="69">
        <v>0.5</v>
      </c>
      <c r="L1756" s="120">
        <f>$R1756*M1756</f>
        <v>0</v>
      </c>
      <c r="M1756" s="69">
        <v>0.5</v>
      </c>
      <c r="N1756" s="315">
        <f>$R1756*O1756</f>
        <v>0</v>
      </c>
      <c r="O1756" s="69">
        <v>0</v>
      </c>
      <c r="P1756" s="120">
        <f>$R1756*Q1756</f>
        <v>0</v>
      </c>
      <c r="Q1756" s="69">
        <v>0</v>
      </c>
      <c r="R1756" s="88">
        <f>'Terms and Turnovers'!U175</f>
        <v>0</v>
      </c>
      <c r="S1756" s="161">
        <f>SUM(G1756,I1756,K1756,M1756,O1756,Q1756)</f>
        <v>1</v>
      </c>
      <c r="T1756" s="120">
        <f>$AF1756*U1756</f>
        <v>0</v>
      </c>
      <c r="U1756" s="723">
        <v>0</v>
      </c>
      <c r="V1756" s="120">
        <f>$AF1756*W1756</f>
        <v>0</v>
      </c>
      <c r="W1756" s="69">
        <v>0.5</v>
      </c>
      <c r="X1756" s="120">
        <f>$AF1756*Y1756</f>
        <v>0</v>
      </c>
      <c r="Y1756" s="69">
        <v>0.5</v>
      </c>
      <c r="Z1756" s="120">
        <f>$AF1756*AA1756</f>
        <v>0</v>
      </c>
      <c r="AA1756" s="69">
        <v>0</v>
      </c>
      <c r="AB1756" s="315">
        <f>$AF1756*AC1756</f>
        <v>0</v>
      </c>
      <c r="AC1756" s="69">
        <v>0</v>
      </c>
      <c r="AD1756" s="120">
        <f>$AF1756*AE1756</f>
        <v>0</v>
      </c>
      <c r="AE1756" s="69">
        <v>0</v>
      </c>
      <c r="AF1756" s="88">
        <f>'Terms and Turnovers'!Z175</f>
        <v>0</v>
      </c>
      <c r="AG1756" s="161">
        <f>SUM(U1756,W1756,Y1756,AA1756,AC1756,AE1756)</f>
        <v>1</v>
      </c>
      <c r="AH1756" s="158">
        <f>SUM(R1756,AF1756)</f>
        <v>0</v>
      </c>
      <c r="AI1756" s="134">
        <f>S1756+AG1756</f>
        <v>2</v>
      </c>
      <c r="AJ1756" s="65"/>
      <c r="AL1756" s="461">
        <f>SUM(F1756,H1756,J1756,L1756,N1756,P1756,T1756,V1756,X1756,Z1756,AB1756,AD1756)</f>
        <v>0</v>
      </c>
      <c r="AM1756" s="462">
        <f>AL1756-AH1756</f>
        <v>0</v>
      </c>
      <c r="AO1756" s="692"/>
      <c r="AP1756" s="692"/>
      <c r="AV1756" s="56"/>
    </row>
    <row r="1757" spans="1:48" ht="12.75" customHeight="1" outlineLevel="2" thickBot="1">
      <c r="B1757" s="82"/>
      <c r="C1757" s="1234"/>
      <c r="D1757" s="1234"/>
      <c r="E1757" s="84" t="str">
        <f>'Terms and Turnovers'!$AD$12</f>
        <v>ACCESSORIES</v>
      </c>
      <c r="F1757" s="120">
        <f>$R1757*G1757</f>
        <v>0</v>
      </c>
      <c r="G1757" s="723"/>
      <c r="H1757" s="120">
        <f>$R1757*I1757</f>
        <v>0</v>
      </c>
      <c r="I1757" s="69">
        <v>0</v>
      </c>
      <c r="J1757" s="120">
        <f>$R1757*K1757</f>
        <v>0</v>
      </c>
      <c r="K1757" s="69">
        <v>0.5</v>
      </c>
      <c r="L1757" s="120">
        <f>$R1757*M1757</f>
        <v>0</v>
      </c>
      <c r="M1757" s="69">
        <v>0.5</v>
      </c>
      <c r="N1757" s="315">
        <f>$R1757*O1757</f>
        <v>0</v>
      </c>
      <c r="O1757" s="69">
        <v>0</v>
      </c>
      <c r="P1757" s="120">
        <f>$R1757*Q1757</f>
        <v>0</v>
      </c>
      <c r="Q1757" s="69">
        <v>0</v>
      </c>
      <c r="R1757" s="88">
        <f>'Terms and Turnovers'!AE175</f>
        <v>0</v>
      </c>
      <c r="S1757" s="161">
        <f>SUM(G1757,I1757,K1757,M1757,O1757,Q1757)</f>
        <v>1</v>
      </c>
      <c r="T1757" s="120">
        <f>$AF1757*U1757</f>
        <v>0</v>
      </c>
      <c r="U1757" s="723">
        <v>0</v>
      </c>
      <c r="V1757" s="120">
        <f>$AF1757*W1757</f>
        <v>0</v>
      </c>
      <c r="W1757" s="69">
        <v>0.5</v>
      </c>
      <c r="X1757" s="120">
        <f>$AF1757*Y1757</f>
        <v>0</v>
      </c>
      <c r="Y1757" s="69">
        <v>0.5</v>
      </c>
      <c r="Z1757" s="120">
        <f>$AF1757*AA1757</f>
        <v>0</v>
      </c>
      <c r="AA1757" s="69">
        <v>0</v>
      </c>
      <c r="AB1757" s="315">
        <f>$AF1757*AC1757</f>
        <v>0</v>
      </c>
      <c r="AC1757" s="69">
        <v>0</v>
      </c>
      <c r="AD1757" s="120">
        <f>$AF1757*AE1757</f>
        <v>0</v>
      </c>
      <c r="AE1757" s="69">
        <v>0</v>
      </c>
      <c r="AF1757" s="88">
        <f>'Terms and Turnovers'!AJ175</f>
        <v>0</v>
      </c>
      <c r="AG1757" s="161">
        <f>SUM(U1757,W1757,Y1757,AA1757,AC1757,AE1757)</f>
        <v>1</v>
      </c>
      <c r="AH1757" s="158">
        <f>SUM(R1757,AF1757)</f>
        <v>0</v>
      </c>
      <c r="AI1757" s="134">
        <f>S1757+AG1757</f>
        <v>2</v>
      </c>
      <c r="AJ1757" s="65"/>
      <c r="AL1757" s="461">
        <f>SUM(F1757,H1757,J1757,L1757,N1757,P1757,T1757,V1757,X1757,Z1757,AB1757,AD1757)</f>
        <v>0</v>
      </c>
      <c r="AM1757" s="462">
        <f>AL1757-AH1757</f>
        <v>0</v>
      </c>
      <c r="AO1757" s="692"/>
      <c r="AP1757" s="692"/>
      <c r="AV1757" s="56"/>
    </row>
    <row r="1758" spans="1:48" ht="12.75" customHeight="1" outlineLevel="2" thickBot="1">
      <c r="B1758" s="82"/>
      <c r="C1758" s="1234"/>
      <c r="D1758" s="1234"/>
      <c r="E1758" s="84">
        <f>'Terms and Turnovers'!$AN$12</f>
        <v>0</v>
      </c>
      <c r="F1758" s="120">
        <f>$R1758*G1758</f>
        <v>0</v>
      </c>
      <c r="G1758" s="723"/>
      <c r="H1758" s="120">
        <f>$R1758*I1758</f>
        <v>0</v>
      </c>
      <c r="I1758" s="69">
        <v>0.15</v>
      </c>
      <c r="J1758" s="120">
        <f>$R1758*K1758</f>
        <v>0</v>
      </c>
      <c r="K1758" s="69">
        <v>0.2</v>
      </c>
      <c r="L1758" s="120">
        <f>$R1758*M1758</f>
        <v>0</v>
      </c>
      <c r="M1758" s="69">
        <v>0.25</v>
      </c>
      <c r="N1758" s="315">
        <f>$R1758*O1758</f>
        <v>0</v>
      </c>
      <c r="O1758" s="69">
        <v>0.25</v>
      </c>
      <c r="P1758" s="120">
        <f>$R1758*Q1758</f>
        <v>0</v>
      </c>
      <c r="Q1758" s="69">
        <v>0.1</v>
      </c>
      <c r="R1758" s="88">
        <f>'Terms and Turnovers'!AO175</f>
        <v>0</v>
      </c>
      <c r="S1758" s="161">
        <f>SUM(G1758,I1758,K1758,M1758,O1758,Q1758)</f>
        <v>0.95</v>
      </c>
      <c r="T1758" s="118">
        <f>R1758*(1-S1758)</f>
        <v>0</v>
      </c>
      <c r="U1758" s="69" t="e">
        <f>T1758/(V1758+X1758+Z1758+AB1758+AD1758)</f>
        <v>#DIV/0!</v>
      </c>
      <c r="V1758" s="120">
        <f>$AF1758*W1758</f>
        <v>0</v>
      </c>
      <c r="W1758" s="69">
        <v>0.3</v>
      </c>
      <c r="X1758" s="120">
        <f>$AF1758*Y1758</f>
        <v>0</v>
      </c>
      <c r="Y1758" s="69">
        <v>0.3</v>
      </c>
      <c r="Z1758" s="120">
        <f>$AF1758*AA1758</f>
        <v>0</v>
      </c>
      <c r="AA1758" s="69">
        <v>0.25</v>
      </c>
      <c r="AB1758" s="315">
        <f>$AF1758*AC1758</f>
        <v>0</v>
      </c>
      <c r="AC1758" s="69">
        <v>0.1</v>
      </c>
      <c r="AD1758" s="120">
        <f>$AF1758*AE1758</f>
        <v>0</v>
      </c>
      <c r="AE1758" s="69">
        <v>0.05</v>
      </c>
      <c r="AF1758" s="88">
        <f>'Terms and Turnovers'!AT175</f>
        <v>0</v>
      </c>
      <c r="AG1758" s="161" t="e">
        <f>SUM(U1758,W1758,Y1758,AA1758,AC1758,AE1758)</f>
        <v>#DIV/0!</v>
      </c>
      <c r="AH1758" s="158">
        <f>SUM(R1758,AF1758)</f>
        <v>0</v>
      </c>
      <c r="AI1758" s="134" t="e">
        <f>S1758+AG1758</f>
        <v>#DIV/0!</v>
      </c>
      <c r="AJ1758" s="65"/>
      <c r="AL1758" s="461">
        <f>SUM(F1758,H1758,J1758,L1758,N1758,P1758,T1758,V1758,X1758,Z1758,AB1758,AD1758)</f>
        <v>0</v>
      </c>
      <c r="AM1758" s="462">
        <f>AL1758-AH1758</f>
        <v>0</v>
      </c>
      <c r="AO1758" s="692"/>
      <c r="AP1758" s="692"/>
      <c r="AV1758" s="56"/>
    </row>
    <row r="1759" spans="1:48" ht="13.5" customHeight="1" outlineLevel="2" thickBot="1">
      <c r="B1759" s="82"/>
      <c r="C1759" s="1235"/>
      <c r="D1759" s="1235"/>
      <c r="E1759" s="85">
        <f>'Terms and Turnovers'!$AX$12</f>
        <v>0</v>
      </c>
      <c r="F1759" s="121">
        <f>$R1759*G1759</f>
        <v>0</v>
      </c>
      <c r="G1759" s="72"/>
      <c r="H1759" s="121">
        <f>$R1759*I1759</f>
        <v>0</v>
      </c>
      <c r="I1759" s="69">
        <v>0.15</v>
      </c>
      <c r="J1759" s="121">
        <f>$R1759*K1759</f>
        <v>0</v>
      </c>
      <c r="K1759" s="69">
        <v>0.2</v>
      </c>
      <c r="L1759" s="121">
        <f>$R1759*M1759</f>
        <v>0</v>
      </c>
      <c r="M1759" s="69">
        <v>0.25</v>
      </c>
      <c r="N1759" s="316">
        <f>$R1759*O1759</f>
        <v>0</v>
      </c>
      <c r="O1759" s="69">
        <v>0.25</v>
      </c>
      <c r="P1759" s="121">
        <f>$R1759*Q1759</f>
        <v>0</v>
      </c>
      <c r="Q1759" s="69">
        <v>0.1</v>
      </c>
      <c r="R1759" s="89">
        <f>'Terms and Turnovers'!AY175</f>
        <v>0</v>
      </c>
      <c r="S1759" s="162">
        <f>SUM(G1759,I1759,K1759,M1759,O1759,Q1759)</f>
        <v>0.95</v>
      </c>
      <c r="T1759" s="118">
        <f>R1759*(1-S1759)</f>
        <v>0</v>
      </c>
      <c r="U1759" s="69" t="e">
        <f>T1759/(V1759+X1759+Z1759+AB1759+AD1759)</f>
        <v>#DIV/0!</v>
      </c>
      <c r="V1759" s="121">
        <f>$AF1759*W1759</f>
        <v>0</v>
      </c>
      <c r="W1759" s="69">
        <v>0.3</v>
      </c>
      <c r="X1759" s="121">
        <f>$AF1759*Y1759</f>
        <v>0</v>
      </c>
      <c r="Y1759" s="69">
        <v>0.35</v>
      </c>
      <c r="Z1759" s="121">
        <f>$AF1759*AA1759</f>
        <v>0</v>
      </c>
      <c r="AA1759" s="69">
        <v>0.35</v>
      </c>
      <c r="AB1759" s="316">
        <f>$AF1759*AC1759</f>
        <v>0</v>
      </c>
      <c r="AC1759" s="69">
        <v>0</v>
      </c>
      <c r="AD1759" s="121">
        <f>$AF1759*AE1759</f>
        <v>0</v>
      </c>
      <c r="AE1759" s="69">
        <v>0</v>
      </c>
      <c r="AF1759" s="89">
        <f>'Terms and Turnovers'!BD175</f>
        <v>0</v>
      </c>
      <c r="AG1759" s="162" t="e">
        <f>SUM(U1759,W1759,Y1759,AA1759,AC1759,AE1759)</f>
        <v>#DIV/0!</v>
      </c>
      <c r="AH1759" s="159">
        <f>SUM(R1759,AF1759)</f>
        <v>0</v>
      </c>
      <c r="AI1759" s="137" t="e">
        <f>S1759+AG1759</f>
        <v>#DIV/0!</v>
      </c>
      <c r="AJ1759" s="65"/>
      <c r="AL1759" s="461">
        <f>SUM(F1759,H1759,J1759,L1759,N1759,P1759,T1759,V1759,X1759,Z1759,AB1759,AD1759)</f>
        <v>0</v>
      </c>
      <c r="AM1759" s="462">
        <f>AL1759-AH1759</f>
        <v>0</v>
      </c>
      <c r="AO1759" s="692"/>
      <c r="AP1759" s="692"/>
      <c r="AV1759" s="56"/>
    </row>
    <row r="1760" spans="1:48" ht="13.5" customHeight="1" outlineLevel="2" thickBot="1">
      <c r="A1760" s="119"/>
      <c r="B1760" s="82"/>
      <c r="C1760" s="425"/>
      <c r="D1760" s="425"/>
      <c r="E1760" s="426"/>
      <c r="F1760" s="427">
        <f>SUM(F1755:F1759)</f>
        <v>0</v>
      </c>
      <c r="G1760" s="428"/>
      <c r="H1760" s="427">
        <f>SUM(H1755:H1759)</f>
        <v>0</v>
      </c>
      <c r="I1760" s="69"/>
      <c r="J1760" s="427">
        <f>SUM(J1755:J1759)</f>
        <v>0</v>
      </c>
      <c r="K1760" s="69"/>
      <c r="L1760" s="427">
        <f>SUM(L1755:L1759)</f>
        <v>0</v>
      </c>
      <c r="M1760" s="69"/>
      <c r="N1760" s="427">
        <f>SUM(N1755:N1759)</f>
        <v>0</v>
      </c>
      <c r="O1760" s="69"/>
      <c r="P1760" s="427">
        <f>SUM(P1755:P1759)</f>
        <v>0</v>
      </c>
      <c r="Q1760" s="69"/>
      <c r="R1760" s="429"/>
      <c r="S1760" s="430"/>
      <c r="T1760" s="427">
        <f>SUM(T1755:T1759)</f>
        <v>0</v>
      </c>
      <c r="U1760" s="428"/>
      <c r="V1760" s="427">
        <f>SUM(V1755:V1759)</f>
        <v>0</v>
      </c>
      <c r="W1760" s="69"/>
      <c r="X1760" s="427">
        <f>SUM(X1755:X1759)</f>
        <v>0</v>
      </c>
      <c r="Y1760" s="69"/>
      <c r="Z1760" s="427">
        <f>SUM(Z1755:Z1759)</f>
        <v>0</v>
      </c>
      <c r="AA1760" s="69"/>
      <c r="AB1760" s="427">
        <f>SUM(AB1755:AB1759)</f>
        <v>0</v>
      </c>
      <c r="AC1760" s="69"/>
      <c r="AD1760" s="427">
        <f>SUM(AD1755:AD1759)</f>
        <v>0</v>
      </c>
      <c r="AE1760" s="69"/>
      <c r="AF1760" s="429"/>
      <c r="AG1760" s="430"/>
      <c r="AH1760" s="431"/>
      <c r="AI1760" s="432"/>
      <c r="AJ1760" s="65"/>
      <c r="AO1760" s="692"/>
      <c r="AP1760" s="692"/>
      <c r="AV1760" s="56"/>
    </row>
    <row r="1761" spans="1:48" ht="13.5" customHeight="1" outlineLevel="2" thickBot="1">
      <c r="A1761" s="119"/>
      <c r="B1761" s="82"/>
      <c r="C1761" s="433" t="s">
        <v>484</v>
      </c>
      <c r="D1761" s="433" t="s">
        <v>361</v>
      </c>
      <c r="E1761" s="426"/>
      <c r="F1761" s="434">
        <f>AN1761</f>
        <v>0</v>
      </c>
      <c r="G1761" s="428"/>
      <c r="H1761" s="434">
        <v>0</v>
      </c>
      <c r="I1761" s="69"/>
      <c r="J1761" s="434">
        <f>J1760</f>
        <v>0</v>
      </c>
      <c r="K1761" s="69"/>
      <c r="L1761" s="434">
        <f>L1760</f>
        <v>0</v>
      </c>
      <c r="M1761" s="69"/>
      <c r="N1761" s="434">
        <f>N1760-AO1761</f>
        <v>0</v>
      </c>
      <c r="O1761" s="69"/>
      <c r="P1761" s="434">
        <f>P1760+(H1760/2)</f>
        <v>0</v>
      </c>
      <c r="Q1761" s="69"/>
      <c r="R1761" s="429"/>
      <c r="S1761" s="430"/>
      <c r="T1761" s="434">
        <f>(R1755+R1756+R1757+R1758+R1759)-J1761-L1761-N1761-P1761</f>
        <v>0</v>
      </c>
      <c r="U1761" s="428">
        <f>Q1760</f>
        <v>0</v>
      </c>
      <c r="V1761" s="434">
        <f>V1760</f>
        <v>0</v>
      </c>
      <c r="W1761" s="69">
        <f>S1760</f>
        <v>0</v>
      </c>
      <c r="X1761" s="434">
        <f>X1760</f>
        <v>0</v>
      </c>
      <c r="Y1761" s="69">
        <f>U1760</f>
        <v>0</v>
      </c>
      <c r="Z1761" s="434">
        <f>Z1760</f>
        <v>0</v>
      </c>
      <c r="AA1761" s="69">
        <f>W1760</f>
        <v>0</v>
      </c>
      <c r="AB1761" s="434">
        <f>AB1760</f>
        <v>0</v>
      </c>
      <c r="AC1761" s="69">
        <f>Y1760</f>
        <v>0</v>
      </c>
      <c r="AD1761" s="434">
        <f>AF1755+AF1756+AF1757+AF1758+AF1759-X1761-Z1761-AB1761</f>
        <v>0</v>
      </c>
      <c r="AE1761" s="69"/>
      <c r="AF1761" s="429"/>
      <c r="AG1761" s="430"/>
      <c r="AH1761" s="431"/>
      <c r="AI1761" s="432"/>
      <c r="AJ1761" s="65"/>
      <c r="AN1761" s="695">
        <v>0</v>
      </c>
      <c r="AO1761" s="742">
        <f>SUM(R1755:R1759)*AQ1761</f>
        <v>0</v>
      </c>
      <c r="AP1761" s="742"/>
      <c r="AQ1761" s="694">
        <v>0.1</v>
      </c>
      <c r="AR1761" s="696"/>
      <c r="AS1761" s="716">
        <f>SUM(AL1755:AL1759)</f>
        <v>0</v>
      </c>
      <c r="AT1761" s="461">
        <f>F1761+H1761+J1761+L1761+N1761+P1761+T1761+V1761+X1761+Z1761+AB1761+AD1761</f>
        <v>0</v>
      </c>
      <c r="AU1761" s="745">
        <f>AT1761-AS1761</f>
        <v>0</v>
      </c>
      <c r="AV1761" s="56"/>
    </row>
    <row r="1762" spans="1:48" ht="12.75" customHeight="1" outlineLevel="2" thickBot="1">
      <c r="B1762" s="82">
        <f>B1755+1</f>
        <v>45</v>
      </c>
      <c r="C1762" s="1233">
        <f>C321</f>
        <v>0</v>
      </c>
      <c r="D1762" s="1233">
        <f>D321</f>
        <v>0</v>
      </c>
      <c r="E1762" s="83" t="str">
        <f>'Terms and Turnovers'!$J$12</f>
        <v>FLIP-FLOPS</v>
      </c>
      <c r="F1762" s="118">
        <f>$R1762*G1762</f>
        <v>0</v>
      </c>
      <c r="G1762" s="69"/>
      <c r="H1762" s="314">
        <f>$R1762*I1762</f>
        <v>0</v>
      </c>
      <c r="I1762" s="69">
        <v>0.25</v>
      </c>
      <c r="J1762" s="118">
        <f>$R1762*K1762</f>
        <v>0</v>
      </c>
      <c r="K1762" s="69">
        <v>0.3</v>
      </c>
      <c r="L1762" s="314">
        <f>$R1762*M1762</f>
        <v>0</v>
      </c>
      <c r="M1762" s="69">
        <v>0.3</v>
      </c>
      <c r="N1762" s="314">
        <f>$R1762*O1762</f>
        <v>0</v>
      </c>
      <c r="O1762" s="69">
        <v>0.15</v>
      </c>
      <c r="P1762" s="118">
        <f>$R1762*Q1762</f>
        <v>0</v>
      </c>
      <c r="Q1762" s="69">
        <v>0</v>
      </c>
      <c r="R1762" s="87">
        <f>'Terms and Turnovers'!K176</f>
        <v>0</v>
      </c>
      <c r="S1762" s="160">
        <f>SUM(G1762,I1762,K1762,M1762,O1762,Q1762)</f>
        <v>1</v>
      </c>
      <c r="T1762" s="118">
        <f>$AF1762*U1762</f>
        <v>0</v>
      </c>
      <c r="U1762" s="69">
        <v>0</v>
      </c>
      <c r="V1762" s="314">
        <f>$AF1762*W1762</f>
        <v>0</v>
      </c>
      <c r="W1762" s="69">
        <v>0.4</v>
      </c>
      <c r="X1762" s="118">
        <f>$AF1762*Y1762</f>
        <v>0</v>
      </c>
      <c r="Y1762" s="69">
        <v>0.4</v>
      </c>
      <c r="Z1762" s="314">
        <f>$AF1762*AA1762</f>
        <v>0</v>
      </c>
      <c r="AA1762" s="69">
        <v>0.2</v>
      </c>
      <c r="AB1762" s="314">
        <f>$AF1762*AC1762</f>
        <v>0</v>
      </c>
      <c r="AC1762" s="69">
        <v>0</v>
      </c>
      <c r="AD1762" s="118">
        <f>$AF1762*AE1762</f>
        <v>0</v>
      </c>
      <c r="AE1762" s="69">
        <v>0</v>
      </c>
      <c r="AF1762" s="87">
        <f>'Terms and Turnovers'!P176</f>
        <v>0</v>
      </c>
      <c r="AG1762" s="160">
        <f>SUM(U1762,W1762,Y1762,AA1762,AC1762,AE1762)</f>
        <v>1</v>
      </c>
      <c r="AH1762" s="157">
        <f>SUM(R1762,AF1762)</f>
        <v>0</v>
      </c>
      <c r="AI1762" s="131">
        <f>S1762+AG1762</f>
        <v>2</v>
      </c>
      <c r="AJ1762" s="65"/>
      <c r="AL1762" s="461">
        <f>SUM(F1762,H1762,J1762,L1762,N1762,P1762,T1762,V1762,X1762,Z1762,AB1762,AD1762)</f>
        <v>0</v>
      </c>
      <c r="AM1762" s="462">
        <f>AL1762-AH1762</f>
        <v>0</v>
      </c>
      <c r="AO1762" s="692"/>
      <c r="AP1762" s="692"/>
      <c r="AV1762" s="56"/>
    </row>
    <row r="1763" spans="1:48" ht="12.75" customHeight="1" outlineLevel="2" thickBot="1">
      <c r="B1763" s="82"/>
      <c r="C1763" s="1234"/>
      <c r="D1763" s="1234"/>
      <c r="E1763" s="84" t="str">
        <f>'Terms and Turnovers'!$T$12</f>
        <v>ORIGINALS</v>
      </c>
      <c r="F1763" s="120">
        <f>$R1763*G1763</f>
        <v>0</v>
      </c>
      <c r="G1763" s="723"/>
      <c r="H1763" s="120">
        <f>$R1763*I1763</f>
        <v>0</v>
      </c>
      <c r="I1763" s="69">
        <v>0</v>
      </c>
      <c r="J1763" s="120">
        <f>$R1763*K1763</f>
        <v>0</v>
      </c>
      <c r="K1763" s="69">
        <v>0.5</v>
      </c>
      <c r="L1763" s="120">
        <f>$R1763*M1763</f>
        <v>0</v>
      </c>
      <c r="M1763" s="69">
        <v>0.5</v>
      </c>
      <c r="N1763" s="315">
        <f>$R1763*O1763</f>
        <v>0</v>
      </c>
      <c r="O1763" s="69">
        <v>0</v>
      </c>
      <c r="P1763" s="120">
        <f>$R1763*Q1763</f>
        <v>0</v>
      </c>
      <c r="Q1763" s="69">
        <v>0</v>
      </c>
      <c r="R1763" s="88">
        <f>'Terms and Turnovers'!U176</f>
        <v>0</v>
      </c>
      <c r="S1763" s="161">
        <f>SUM(G1763,I1763,K1763,M1763,O1763,Q1763)</f>
        <v>1</v>
      </c>
      <c r="T1763" s="120">
        <f>$AF1763*U1763</f>
        <v>0</v>
      </c>
      <c r="U1763" s="723">
        <v>0</v>
      </c>
      <c r="V1763" s="120">
        <f>$AF1763*W1763</f>
        <v>0</v>
      </c>
      <c r="W1763" s="69">
        <v>0.5</v>
      </c>
      <c r="X1763" s="120">
        <f>$AF1763*Y1763</f>
        <v>0</v>
      </c>
      <c r="Y1763" s="69">
        <v>0.5</v>
      </c>
      <c r="Z1763" s="120">
        <f>$AF1763*AA1763</f>
        <v>0</v>
      </c>
      <c r="AA1763" s="69">
        <v>0</v>
      </c>
      <c r="AB1763" s="315">
        <f>$AF1763*AC1763</f>
        <v>0</v>
      </c>
      <c r="AC1763" s="69">
        <v>0</v>
      </c>
      <c r="AD1763" s="120">
        <f>$AF1763*AE1763</f>
        <v>0</v>
      </c>
      <c r="AE1763" s="69">
        <v>0</v>
      </c>
      <c r="AF1763" s="88">
        <f>'Terms and Turnovers'!Z176</f>
        <v>0</v>
      </c>
      <c r="AG1763" s="161">
        <f>SUM(U1763,W1763,Y1763,AA1763,AC1763,AE1763)</f>
        <v>1</v>
      </c>
      <c r="AH1763" s="158">
        <f>SUM(R1763,AF1763)</f>
        <v>0</v>
      </c>
      <c r="AI1763" s="134">
        <f>S1763+AG1763</f>
        <v>2</v>
      </c>
      <c r="AJ1763" s="65"/>
      <c r="AL1763" s="461">
        <f>SUM(F1763,H1763,J1763,L1763,N1763,P1763,T1763,V1763,X1763,Z1763,AB1763,AD1763)</f>
        <v>0</v>
      </c>
      <c r="AM1763" s="462">
        <f>AL1763-AH1763</f>
        <v>0</v>
      </c>
      <c r="AO1763" s="692"/>
      <c r="AP1763" s="692"/>
      <c r="AV1763" s="56"/>
    </row>
    <row r="1764" spans="1:48" ht="12.75" customHeight="1" outlineLevel="2" thickBot="1">
      <c r="B1764" s="82"/>
      <c r="C1764" s="1234"/>
      <c r="D1764" s="1234"/>
      <c r="E1764" s="84" t="str">
        <f>'Terms and Turnovers'!$AD$12</f>
        <v>ACCESSORIES</v>
      </c>
      <c r="F1764" s="120">
        <f>$R1764*G1764</f>
        <v>0</v>
      </c>
      <c r="G1764" s="723"/>
      <c r="H1764" s="120">
        <f>$R1764*I1764</f>
        <v>0</v>
      </c>
      <c r="I1764" s="69">
        <v>0</v>
      </c>
      <c r="J1764" s="120">
        <f>$R1764*K1764</f>
        <v>0</v>
      </c>
      <c r="K1764" s="69">
        <v>0.5</v>
      </c>
      <c r="L1764" s="120">
        <f>$R1764*M1764</f>
        <v>0</v>
      </c>
      <c r="M1764" s="69">
        <v>0.5</v>
      </c>
      <c r="N1764" s="315">
        <f>$R1764*O1764</f>
        <v>0</v>
      </c>
      <c r="O1764" s="69">
        <v>0</v>
      </c>
      <c r="P1764" s="120">
        <f>$R1764*Q1764</f>
        <v>0</v>
      </c>
      <c r="Q1764" s="69">
        <v>0</v>
      </c>
      <c r="R1764" s="88">
        <f>'Terms and Turnovers'!AE176</f>
        <v>0</v>
      </c>
      <c r="S1764" s="161">
        <f>SUM(G1764,I1764,K1764,M1764,O1764,Q1764)</f>
        <v>1</v>
      </c>
      <c r="T1764" s="120">
        <f>$AF1764*U1764</f>
        <v>0</v>
      </c>
      <c r="U1764" s="723">
        <v>0</v>
      </c>
      <c r="V1764" s="120">
        <f>$AF1764*W1764</f>
        <v>0</v>
      </c>
      <c r="W1764" s="69">
        <v>0.5</v>
      </c>
      <c r="X1764" s="120">
        <f>$AF1764*Y1764</f>
        <v>0</v>
      </c>
      <c r="Y1764" s="69">
        <v>0.5</v>
      </c>
      <c r="Z1764" s="120">
        <f>$AF1764*AA1764</f>
        <v>0</v>
      </c>
      <c r="AA1764" s="69">
        <v>0</v>
      </c>
      <c r="AB1764" s="315">
        <f>$AF1764*AC1764</f>
        <v>0</v>
      </c>
      <c r="AC1764" s="69">
        <v>0</v>
      </c>
      <c r="AD1764" s="120">
        <f>$AF1764*AE1764</f>
        <v>0</v>
      </c>
      <c r="AE1764" s="69">
        <v>0</v>
      </c>
      <c r="AF1764" s="88">
        <f>'Terms and Turnovers'!AJ176</f>
        <v>0</v>
      </c>
      <c r="AG1764" s="161">
        <f>SUM(U1764,W1764,Y1764,AA1764,AC1764,AE1764)</f>
        <v>1</v>
      </c>
      <c r="AH1764" s="158">
        <f>SUM(R1764,AF1764)</f>
        <v>0</v>
      </c>
      <c r="AI1764" s="134">
        <f>S1764+AG1764</f>
        <v>2</v>
      </c>
      <c r="AJ1764" s="65"/>
      <c r="AL1764" s="461">
        <f>SUM(F1764,H1764,J1764,L1764,N1764,P1764,T1764,V1764,X1764,Z1764,AB1764,AD1764)</f>
        <v>0</v>
      </c>
      <c r="AM1764" s="462">
        <f>AL1764-AH1764</f>
        <v>0</v>
      </c>
      <c r="AO1764" s="692"/>
      <c r="AP1764" s="692"/>
      <c r="AV1764" s="56"/>
    </row>
    <row r="1765" spans="1:48" ht="12.75" customHeight="1" outlineLevel="2" thickBot="1">
      <c r="B1765" s="82"/>
      <c r="C1765" s="1234"/>
      <c r="D1765" s="1234"/>
      <c r="E1765" s="84">
        <f>'Terms and Turnovers'!$AN$12</f>
        <v>0</v>
      </c>
      <c r="F1765" s="120">
        <f>$R1765*G1765</f>
        <v>0</v>
      </c>
      <c r="G1765" s="723"/>
      <c r="H1765" s="120">
        <f>$R1765*I1765</f>
        <v>0</v>
      </c>
      <c r="I1765" s="69">
        <v>0.25</v>
      </c>
      <c r="J1765" s="120">
        <f>$R1765*K1765</f>
        <v>0</v>
      </c>
      <c r="K1765" s="69">
        <v>0.3</v>
      </c>
      <c r="L1765" s="120">
        <f>$R1765*M1765</f>
        <v>0</v>
      </c>
      <c r="M1765" s="69">
        <v>0.3</v>
      </c>
      <c r="N1765" s="315">
        <f>$R1765*O1765</f>
        <v>0</v>
      </c>
      <c r="O1765" s="69">
        <v>0.15</v>
      </c>
      <c r="P1765" s="120">
        <f>$R1765*Q1765</f>
        <v>0</v>
      </c>
      <c r="Q1765" s="69">
        <v>0</v>
      </c>
      <c r="R1765" s="88">
        <f>'Terms and Turnovers'!AO176</f>
        <v>0</v>
      </c>
      <c r="S1765" s="161">
        <f>SUM(G1765,I1765,K1765,M1765,O1765,Q1765)</f>
        <v>1</v>
      </c>
      <c r="T1765" s="120">
        <f>$AF1765*U1765</f>
        <v>0</v>
      </c>
      <c r="U1765" s="723">
        <v>0</v>
      </c>
      <c r="V1765" s="120">
        <f>$AF1765*W1765</f>
        <v>0</v>
      </c>
      <c r="W1765" s="69">
        <v>0.4</v>
      </c>
      <c r="X1765" s="120">
        <f>$AF1765*Y1765</f>
        <v>0</v>
      </c>
      <c r="Y1765" s="69">
        <v>0.4</v>
      </c>
      <c r="Z1765" s="120">
        <f>$AF1765*AA1765</f>
        <v>0</v>
      </c>
      <c r="AA1765" s="69">
        <v>0.2</v>
      </c>
      <c r="AB1765" s="315">
        <f>$AF1765*AC1765</f>
        <v>0</v>
      </c>
      <c r="AC1765" s="69">
        <v>0</v>
      </c>
      <c r="AD1765" s="120">
        <f>$AF1765*AE1765</f>
        <v>0</v>
      </c>
      <c r="AE1765" s="69">
        <v>0</v>
      </c>
      <c r="AF1765" s="88">
        <f>'Terms and Turnovers'!AT176</f>
        <v>0</v>
      </c>
      <c r="AG1765" s="161">
        <f>SUM(U1765,W1765,Y1765,AA1765,AC1765,AE1765)</f>
        <v>1</v>
      </c>
      <c r="AH1765" s="158">
        <f>SUM(R1765,AF1765)</f>
        <v>0</v>
      </c>
      <c r="AI1765" s="134">
        <f>S1765+AG1765</f>
        <v>2</v>
      </c>
      <c r="AJ1765" s="65"/>
      <c r="AL1765" s="461">
        <f>SUM(F1765,H1765,J1765,L1765,N1765,P1765,T1765,V1765,X1765,Z1765,AB1765,AD1765)</f>
        <v>0</v>
      </c>
      <c r="AM1765" s="462">
        <f>AL1765-AH1765</f>
        <v>0</v>
      </c>
      <c r="AO1765" s="692"/>
      <c r="AP1765" s="692"/>
      <c r="AV1765" s="56"/>
    </row>
    <row r="1766" spans="1:48" ht="13.5" customHeight="1" outlineLevel="2" thickBot="1">
      <c r="B1766" s="82"/>
      <c r="C1766" s="1235"/>
      <c r="D1766" s="1235"/>
      <c r="E1766" s="85">
        <f>'Terms and Turnovers'!$AX$12</f>
        <v>0</v>
      </c>
      <c r="F1766" s="121">
        <f>$R1766*G1766</f>
        <v>0</v>
      </c>
      <c r="G1766" s="72"/>
      <c r="H1766" s="121">
        <f>$R1766*I1766</f>
        <v>0</v>
      </c>
      <c r="I1766" s="69">
        <v>0.25</v>
      </c>
      <c r="J1766" s="121">
        <f>$R1766*K1766</f>
        <v>0</v>
      </c>
      <c r="K1766" s="69">
        <v>0.3</v>
      </c>
      <c r="L1766" s="121">
        <f>$R1766*M1766</f>
        <v>0</v>
      </c>
      <c r="M1766" s="69">
        <v>0.3</v>
      </c>
      <c r="N1766" s="316">
        <f>$R1766*O1766</f>
        <v>0</v>
      </c>
      <c r="O1766" s="69">
        <v>0.15</v>
      </c>
      <c r="P1766" s="121">
        <f>$R1766*Q1766</f>
        <v>0</v>
      </c>
      <c r="Q1766" s="69">
        <v>0</v>
      </c>
      <c r="R1766" s="89">
        <f>'Terms and Turnovers'!AY176</f>
        <v>0</v>
      </c>
      <c r="S1766" s="162">
        <f>SUM(G1766,I1766,K1766,M1766,O1766,Q1766)</f>
        <v>1</v>
      </c>
      <c r="T1766" s="121">
        <f>$AF1766*U1766</f>
        <v>0</v>
      </c>
      <c r="U1766" s="72">
        <v>0</v>
      </c>
      <c r="V1766" s="121">
        <f>$AF1766*W1766</f>
        <v>0</v>
      </c>
      <c r="W1766" s="69">
        <v>0.4</v>
      </c>
      <c r="X1766" s="121">
        <f>$AF1766*Y1766</f>
        <v>0</v>
      </c>
      <c r="Y1766" s="69">
        <v>0.4</v>
      </c>
      <c r="Z1766" s="121">
        <f>$AF1766*AA1766</f>
        <v>0</v>
      </c>
      <c r="AA1766" s="69">
        <v>0.2</v>
      </c>
      <c r="AB1766" s="316">
        <f>$AF1766*AC1766</f>
        <v>0</v>
      </c>
      <c r="AC1766" s="69">
        <v>0</v>
      </c>
      <c r="AD1766" s="121">
        <f>$AF1766*AE1766</f>
        <v>0</v>
      </c>
      <c r="AE1766" s="69">
        <v>0</v>
      </c>
      <c r="AF1766" s="89">
        <f>'Terms and Turnovers'!BD176</f>
        <v>0</v>
      </c>
      <c r="AG1766" s="162">
        <f>SUM(U1766,W1766,Y1766,AA1766,AC1766,AE1766)</f>
        <v>1</v>
      </c>
      <c r="AH1766" s="159">
        <f>SUM(R1766,AF1766)</f>
        <v>0</v>
      </c>
      <c r="AI1766" s="137">
        <f>S1766+AG1766</f>
        <v>2</v>
      </c>
      <c r="AJ1766" s="65"/>
      <c r="AL1766" s="461">
        <f>SUM(F1766,H1766,J1766,L1766,N1766,P1766,T1766,V1766,X1766,Z1766,AB1766,AD1766)</f>
        <v>0</v>
      </c>
      <c r="AM1766" s="462">
        <f>AL1766-AH1766</f>
        <v>0</v>
      </c>
      <c r="AO1766" s="692"/>
      <c r="AP1766" s="692"/>
      <c r="AV1766" s="56"/>
    </row>
    <row r="1767" spans="1:48" ht="13.5" customHeight="1" outlineLevel="2" thickBot="1">
      <c r="A1767" s="119"/>
      <c r="B1767" s="82"/>
      <c r="C1767" s="425"/>
      <c r="D1767" s="425"/>
      <c r="E1767" s="426"/>
      <c r="F1767" s="427">
        <f>SUM(F1762:F1766)</f>
        <v>0</v>
      </c>
      <c r="G1767" s="428"/>
      <c r="H1767" s="427">
        <f>SUM(H1762:H1766)</f>
        <v>0</v>
      </c>
      <c r="I1767" s="69"/>
      <c r="J1767" s="427">
        <f>SUM(J1762:J1766)</f>
        <v>0</v>
      </c>
      <c r="K1767" s="69"/>
      <c r="L1767" s="427">
        <f>SUM(L1762:L1766)</f>
        <v>0</v>
      </c>
      <c r="M1767" s="69"/>
      <c r="N1767" s="427">
        <f>SUM(N1762:N1766)</f>
        <v>0</v>
      </c>
      <c r="O1767" s="69"/>
      <c r="P1767" s="427">
        <f>SUM(P1762:P1766)</f>
        <v>0</v>
      </c>
      <c r="Q1767" s="69"/>
      <c r="R1767" s="429"/>
      <c r="S1767" s="430"/>
      <c r="T1767" s="427">
        <f>SUM(T1762:T1766)</f>
        <v>0</v>
      </c>
      <c r="U1767" s="428"/>
      <c r="V1767" s="427">
        <f>SUM(V1762:V1766)</f>
        <v>0</v>
      </c>
      <c r="W1767" s="69"/>
      <c r="X1767" s="427">
        <f>SUM(X1762:X1766)</f>
        <v>0</v>
      </c>
      <c r="Y1767" s="69"/>
      <c r="Z1767" s="427">
        <f>SUM(Z1762:Z1766)</f>
        <v>0</v>
      </c>
      <c r="AA1767" s="69"/>
      <c r="AB1767" s="427">
        <f>SUM(AB1762:AB1766)</f>
        <v>0</v>
      </c>
      <c r="AC1767" s="69"/>
      <c r="AD1767" s="427">
        <f>SUM(AD1762:AD1766)</f>
        <v>0</v>
      </c>
      <c r="AE1767" s="69"/>
      <c r="AF1767" s="429"/>
      <c r="AG1767" s="430"/>
      <c r="AH1767" s="431"/>
      <c r="AI1767" s="432"/>
      <c r="AJ1767" s="65"/>
      <c r="AO1767" s="692"/>
      <c r="AP1767" s="692"/>
      <c r="AV1767" s="56"/>
    </row>
    <row r="1768" spans="1:48" ht="13.5" customHeight="1" outlineLevel="2" thickBot="1">
      <c r="A1768" s="119"/>
      <c r="B1768" s="82"/>
      <c r="C1768" s="433" t="s">
        <v>484</v>
      </c>
      <c r="D1768" s="433" t="s">
        <v>353</v>
      </c>
      <c r="E1768" s="426"/>
      <c r="F1768" s="434">
        <f>AN1768</f>
        <v>0</v>
      </c>
      <c r="G1768" s="428"/>
      <c r="H1768" s="434">
        <v>0</v>
      </c>
      <c r="I1768" s="69"/>
      <c r="J1768" s="434">
        <f>H1767</f>
        <v>0</v>
      </c>
      <c r="K1768" s="69"/>
      <c r="L1768" s="434">
        <f>L1767</f>
        <v>0</v>
      </c>
      <c r="M1768" s="69"/>
      <c r="N1768" s="434">
        <f>N1767-AO1768</f>
        <v>0</v>
      </c>
      <c r="O1768" s="69"/>
      <c r="P1768" s="434">
        <f>H1767+J1767+L1767+N1767-J1768-L1768-N1768</f>
        <v>0</v>
      </c>
      <c r="Q1768" s="69"/>
      <c r="R1768" s="429"/>
      <c r="S1768" s="430"/>
      <c r="T1768" s="434">
        <f>T1767</f>
        <v>0</v>
      </c>
      <c r="U1768" s="428">
        <f>Q1767</f>
        <v>0</v>
      </c>
      <c r="V1768" s="434"/>
      <c r="W1768" s="69">
        <f>S1767</f>
        <v>0</v>
      </c>
      <c r="X1768" s="434">
        <f>(X1767+V1767)-1500000</f>
        <v>-1500000</v>
      </c>
      <c r="Y1768" s="69">
        <f>U1767</f>
        <v>0</v>
      </c>
      <c r="Z1768" s="434">
        <f>Z1767+(V1767/2)</f>
        <v>0</v>
      </c>
      <c r="AA1768" s="69">
        <f>W1767</f>
        <v>0</v>
      </c>
      <c r="AB1768" s="434">
        <f>V1767+X1767+Z1767-X1768-Z1768</f>
        <v>1500000</v>
      </c>
      <c r="AC1768" s="69">
        <f>Y1767</f>
        <v>0</v>
      </c>
      <c r="AD1768" s="434">
        <f>AD1767</f>
        <v>0</v>
      </c>
      <c r="AE1768" s="69"/>
      <c r="AF1768" s="429"/>
      <c r="AG1768" s="430"/>
      <c r="AH1768" s="431"/>
      <c r="AI1768" s="432"/>
      <c r="AJ1768" s="65"/>
      <c r="AN1768" s="695">
        <v>0</v>
      </c>
      <c r="AO1768" s="742">
        <v>0</v>
      </c>
      <c r="AP1768" s="742"/>
      <c r="AQ1768" s="694">
        <v>0.1</v>
      </c>
      <c r="AR1768" s="696" t="s">
        <v>485</v>
      </c>
      <c r="AS1768" s="716">
        <f>SUM(AL1762:AL1766)</f>
        <v>0</v>
      </c>
      <c r="AT1768" s="461">
        <f>F1768+H1768+J1768+L1768+N1768+P1768+T1768+V1768+X1768+Z1768+AB1768+AD1768</f>
        <v>0</v>
      </c>
      <c r="AU1768" s="745">
        <f>AT1768-AS1768</f>
        <v>0</v>
      </c>
      <c r="AV1768" s="56"/>
    </row>
    <row r="1769" spans="1:48" ht="12.75" customHeight="1" outlineLevel="2" thickBot="1">
      <c r="B1769" s="82">
        <f>B1762+1</f>
        <v>46</v>
      </c>
      <c r="C1769" s="1233">
        <f>C328</f>
        <v>0</v>
      </c>
      <c r="D1769" s="1233">
        <f>D328</f>
        <v>0</v>
      </c>
      <c r="E1769" s="83" t="str">
        <f>'Terms and Turnovers'!$J$12</f>
        <v>FLIP-FLOPS</v>
      </c>
      <c r="F1769" s="118">
        <f>$R1769*G1769</f>
        <v>0</v>
      </c>
      <c r="G1769" s="69"/>
      <c r="H1769" s="314">
        <f>$R1769*I1769</f>
        <v>0</v>
      </c>
      <c r="I1769" s="69">
        <v>0</v>
      </c>
      <c r="J1769" s="118">
        <f>$R1769*K1769</f>
        <v>0</v>
      </c>
      <c r="K1769" s="69">
        <v>0.4</v>
      </c>
      <c r="L1769" s="314">
        <f>$R1769*M1769</f>
        <v>0</v>
      </c>
      <c r="M1769" s="69">
        <v>0.4</v>
      </c>
      <c r="N1769" s="314">
        <f>$R1769*O1769</f>
        <v>0</v>
      </c>
      <c r="O1769" s="69">
        <v>0.2</v>
      </c>
      <c r="P1769" s="118">
        <f>$R1769*Q1769</f>
        <v>0</v>
      </c>
      <c r="Q1769" s="69">
        <v>0</v>
      </c>
      <c r="R1769" s="87">
        <f>'Terms and Turnovers'!K177</f>
        <v>0</v>
      </c>
      <c r="S1769" s="160">
        <f>SUM(G1769,I1769,K1769,M1769,O1769,Q1769)</f>
        <v>1</v>
      </c>
      <c r="T1769" s="118">
        <f>$AF1769*U1769</f>
        <v>0</v>
      </c>
      <c r="U1769" s="69">
        <v>0</v>
      </c>
      <c r="V1769" s="314">
        <f>$AF1769*W1769</f>
        <v>0</v>
      </c>
      <c r="W1769" s="69">
        <v>0.4</v>
      </c>
      <c r="X1769" s="118">
        <f>$AF1769*Y1769</f>
        <v>0</v>
      </c>
      <c r="Y1769" s="69">
        <v>0.5</v>
      </c>
      <c r="Z1769" s="314">
        <f>$AF1769*AA1769</f>
        <v>0</v>
      </c>
      <c r="AA1769" s="69">
        <v>0.1</v>
      </c>
      <c r="AB1769" s="314">
        <f>$AF1769*AC1769</f>
        <v>0</v>
      </c>
      <c r="AC1769" s="69">
        <v>0</v>
      </c>
      <c r="AD1769" s="118">
        <f>$AF1769*AE1769</f>
        <v>0</v>
      </c>
      <c r="AE1769" s="69">
        <v>0</v>
      </c>
      <c r="AF1769" s="87">
        <f>'Terms and Turnovers'!P177</f>
        <v>0</v>
      </c>
      <c r="AG1769" s="160">
        <f>SUM(U1769,W1769,Y1769,AA1769,AC1769,AE1769)</f>
        <v>1</v>
      </c>
      <c r="AH1769" s="157">
        <f>SUM(R1769,AF1769)</f>
        <v>0</v>
      </c>
      <c r="AI1769" s="131">
        <f>S1769+AG1769</f>
        <v>2</v>
      </c>
      <c r="AJ1769" s="65"/>
      <c r="AL1769" s="461">
        <f>SUM(F1769,H1769,J1769,L1769,N1769,P1769,T1769,V1769,X1769,Z1769,AB1769,AD1769)</f>
        <v>0</v>
      </c>
      <c r="AM1769" s="462">
        <f>AL1769-AH1769</f>
        <v>0</v>
      </c>
      <c r="AO1769" s="692"/>
      <c r="AP1769" s="692"/>
      <c r="AV1769" s="56"/>
    </row>
    <row r="1770" spans="1:48" ht="12.75" customHeight="1" outlineLevel="2" thickBot="1">
      <c r="B1770" s="82"/>
      <c r="C1770" s="1234"/>
      <c r="D1770" s="1234"/>
      <c r="E1770" s="84" t="str">
        <f>'Terms and Turnovers'!$T$12</f>
        <v>ORIGINALS</v>
      </c>
      <c r="F1770" s="120">
        <f>$R1770*G1770</f>
        <v>0</v>
      </c>
      <c r="G1770" s="723"/>
      <c r="H1770" s="120">
        <f>$R1770*I1770</f>
        <v>0</v>
      </c>
      <c r="I1770" s="69">
        <v>0</v>
      </c>
      <c r="J1770" s="120">
        <f>$R1770*K1770</f>
        <v>0</v>
      </c>
      <c r="K1770" s="69">
        <v>0.5</v>
      </c>
      <c r="L1770" s="120">
        <f>$R1770*M1770</f>
        <v>0</v>
      </c>
      <c r="M1770" s="69">
        <v>0.5</v>
      </c>
      <c r="N1770" s="315">
        <f>$R1770*O1770</f>
        <v>0</v>
      </c>
      <c r="O1770" s="69">
        <v>0</v>
      </c>
      <c r="P1770" s="120">
        <f>$R1770*Q1770</f>
        <v>0</v>
      </c>
      <c r="Q1770" s="69">
        <v>0</v>
      </c>
      <c r="R1770" s="88">
        <f>'Terms and Turnovers'!U177</f>
        <v>0</v>
      </c>
      <c r="S1770" s="161">
        <f>SUM(G1770,I1770,K1770,M1770,O1770,Q1770)</f>
        <v>1</v>
      </c>
      <c r="T1770" s="120">
        <f>$AF1770*U1770</f>
        <v>0</v>
      </c>
      <c r="U1770" s="723">
        <v>0</v>
      </c>
      <c r="V1770" s="120">
        <f>$AF1770*W1770</f>
        <v>0</v>
      </c>
      <c r="W1770" s="69">
        <v>0.5</v>
      </c>
      <c r="X1770" s="120">
        <f>$AF1770*Y1770</f>
        <v>0</v>
      </c>
      <c r="Y1770" s="69">
        <v>0.5</v>
      </c>
      <c r="Z1770" s="120">
        <f>$AF1770*AA1770</f>
        <v>0</v>
      </c>
      <c r="AA1770" s="69">
        <v>0</v>
      </c>
      <c r="AB1770" s="315">
        <f>$AF1770*AC1770</f>
        <v>0</v>
      </c>
      <c r="AC1770" s="69">
        <v>0</v>
      </c>
      <c r="AD1770" s="120">
        <f>$AF1770*AE1770</f>
        <v>0</v>
      </c>
      <c r="AE1770" s="69">
        <v>0</v>
      </c>
      <c r="AF1770" s="88">
        <f>'Terms and Turnovers'!Z177</f>
        <v>0</v>
      </c>
      <c r="AG1770" s="161">
        <f>SUM(U1770,W1770,Y1770,AA1770,AC1770,AE1770)</f>
        <v>1</v>
      </c>
      <c r="AH1770" s="158">
        <f>SUM(R1770,AF1770)</f>
        <v>0</v>
      </c>
      <c r="AI1770" s="134">
        <f>S1770+AG1770</f>
        <v>2</v>
      </c>
      <c r="AJ1770" s="65"/>
      <c r="AL1770" s="461">
        <f>SUM(F1770,H1770,J1770,L1770,N1770,P1770,T1770,V1770,X1770,Z1770,AB1770,AD1770)</f>
        <v>0</v>
      </c>
      <c r="AM1770" s="462">
        <f>AL1770-AH1770</f>
        <v>0</v>
      </c>
      <c r="AO1770" s="692"/>
      <c r="AP1770" s="692"/>
      <c r="AV1770" s="56"/>
    </row>
    <row r="1771" spans="1:48" ht="12.75" customHeight="1" outlineLevel="2" thickBot="1">
      <c r="B1771" s="82"/>
      <c r="C1771" s="1234"/>
      <c r="D1771" s="1234"/>
      <c r="E1771" s="84" t="str">
        <f>'Terms and Turnovers'!$AD$12</f>
        <v>ACCESSORIES</v>
      </c>
      <c r="F1771" s="120">
        <f>$R1771*G1771</f>
        <v>0</v>
      </c>
      <c r="G1771" s="723"/>
      <c r="H1771" s="120">
        <f>$R1771*I1771</f>
        <v>0</v>
      </c>
      <c r="I1771" s="69">
        <v>0</v>
      </c>
      <c r="J1771" s="120">
        <f>$R1771*K1771</f>
        <v>0</v>
      </c>
      <c r="K1771" s="69">
        <v>0.5</v>
      </c>
      <c r="L1771" s="120">
        <f>$R1771*M1771</f>
        <v>0</v>
      </c>
      <c r="M1771" s="69">
        <v>0.5</v>
      </c>
      <c r="N1771" s="315">
        <f>$R1771*O1771</f>
        <v>0</v>
      </c>
      <c r="O1771" s="69">
        <v>0</v>
      </c>
      <c r="P1771" s="120">
        <f>$R1771*Q1771</f>
        <v>0</v>
      </c>
      <c r="Q1771" s="69">
        <v>0</v>
      </c>
      <c r="R1771" s="88">
        <f>'Terms and Turnovers'!AE177</f>
        <v>0</v>
      </c>
      <c r="S1771" s="161">
        <f>SUM(G1771,I1771,K1771,M1771,O1771,Q1771)</f>
        <v>1</v>
      </c>
      <c r="T1771" s="120">
        <f>$AF1771*U1771</f>
        <v>0</v>
      </c>
      <c r="U1771" s="723">
        <v>0</v>
      </c>
      <c r="V1771" s="120">
        <f>$AF1771*W1771</f>
        <v>0</v>
      </c>
      <c r="W1771" s="69">
        <v>0.5</v>
      </c>
      <c r="X1771" s="120">
        <f>$AF1771*Y1771</f>
        <v>0</v>
      </c>
      <c r="Y1771" s="69">
        <v>0.5</v>
      </c>
      <c r="Z1771" s="120">
        <f>$AF1771*AA1771</f>
        <v>0</v>
      </c>
      <c r="AA1771" s="69">
        <v>0</v>
      </c>
      <c r="AB1771" s="315">
        <f>$AF1771*AC1771</f>
        <v>0</v>
      </c>
      <c r="AC1771" s="69">
        <v>0</v>
      </c>
      <c r="AD1771" s="120">
        <f>$AF1771*AE1771</f>
        <v>0</v>
      </c>
      <c r="AE1771" s="69">
        <v>0</v>
      </c>
      <c r="AF1771" s="88">
        <f>'Terms and Turnovers'!AJ177</f>
        <v>0</v>
      </c>
      <c r="AG1771" s="161">
        <f>SUM(U1771,W1771,Y1771,AA1771,AC1771,AE1771)</f>
        <v>1</v>
      </c>
      <c r="AH1771" s="158">
        <f>SUM(R1771,AF1771)</f>
        <v>0</v>
      </c>
      <c r="AI1771" s="134">
        <f>S1771+AG1771</f>
        <v>2</v>
      </c>
      <c r="AJ1771" s="65"/>
      <c r="AL1771" s="461">
        <f>SUM(F1771,H1771,J1771,L1771,N1771,P1771,T1771,V1771,X1771,Z1771,AB1771,AD1771)</f>
        <v>0</v>
      </c>
      <c r="AM1771" s="462">
        <f>AL1771-AH1771</f>
        <v>0</v>
      </c>
      <c r="AO1771" s="692"/>
      <c r="AP1771" s="692"/>
      <c r="AV1771" s="56"/>
    </row>
    <row r="1772" spans="1:48" ht="12.75" customHeight="1" outlineLevel="2" thickBot="1">
      <c r="B1772" s="82"/>
      <c r="C1772" s="1234"/>
      <c r="D1772" s="1234"/>
      <c r="E1772" s="84">
        <f>'Terms and Turnovers'!$AN$12</f>
        <v>0</v>
      </c>
      <c r="F1772" s="120">
        <f>$R1772*G1772</f>
        <v>0</v>
      </c>
      <c r="G1772" s="723"/>
      <c r="H1772" s="120">
        <f>$R1772*I1772</f>
        <v>0</v>
      </c>
      <c r="I1772" s="69">
        <v>0</v>
      </c>
      <c r="J1772" s="120">
        <f>$R1772*K1772</f>
        <v>0</v>
      </c>
      <c r="K1772" s="69">
        <v>0.4</v>
      </c>
      <c r="L1772" s="120">
        <f>$R1772*M1772</f>
        <v>0</v>
      </c>
      <c r="M1772" s="69">
        <v>0.4</v>
      </c>
      <c r="N1772" s="315">
        <f>$R1772*O1772</f>
        <v>0</v>
      </c>
      <c r="O1772" s="69">
        <v>0.2</v>
      </c>
      <c r="P1772" s="120">
        <f>$R1772*Q1772</f>
        <v>0</v>
      </c>
      <c r="Q1772" s="69">
        <v>0</v>
      </c>
      <c r="R1772" s="88">
        <f>'Terms and Turnovers'!AO177</f>
        <v>0</v>
      </c>
      <c r="S1772" s="161">
        <f>SUM(G1772,I1772,K1772,M1772,O1772,Q1772)</f>
        <v>1</v>
      </c>
      <c r="T1772" s="120">
        <f>$AF1772*U1772</f>
        <v>0</v>
      </c>
      <c r="U1772" s="723">
        <v>0</v>
      </c>
      <c r="V1772" s="120">
        <f>$AF1772*W1772</f>
        <v>0</v>
      </c>
      <c r="W1772" s="69">
        <v>0.4</v>
      </c>
      <c r="X1772" s="120">
        <f>$AF1772*Y1772</f>
        <v>0</v>
      </c>
      <c r="Y1772" s="69">
        <v>0.5</v>
      </c>
      <c r="Z1772" s="120">
        <f>$AF1772*AA1772</f>
        <v>0</v>
      </c>
      <c r="AA1772" s="69">
        <v>0.1</v>
      </c>
      <c r="AB1772" s="315">
        <f>$AF1772*AC1772</f>
        <v>0</v>
      </c>
      <c r="AC1772" s="69">
        <v>0</v>
      </c>
      <c r="AD1772" s="120">
        <f>$AF1772*AE1772</f>
        <v>0</v>
      </c>
      <c r="AE1772" s="69">
        <v>0</v>
      </c>
      <c r="AF1772" s="88">
        <f>'Terms and Turnovers'!AT177</f>
        <v>0</v>
      </c>
      <c r="AG1772" s="161">
        <f>SUM(U1772,W1772,Y1772,AA1772,AC1772,AE1772)</f>
        <v>1</v>
      </c>
      <c r="AH1772" s="158">
        <f>SUM(R1772,AF1772)</f>
        <v>0</v>
      </c>
      <c r="AI1772" s="134">
        <f>S1772+AG1772</f>
        <v>2</v>
      </c>
      <c r="AJ1772" s="65"/>
      <c r="AL1772" s="461">
        <f>SUM(F1772,H1772,J1772,L1772,N1772,P1772,T1772,V1772,X1772,Z1772,AB1772,AD1772)</f>
        <v>0</v>
      </c>
      <c r="AM1772" s="462">
        <f>AL1772-AH1772</f>
        <v>0</v>
      </c>
      <c r="AO1772" s="692"/>
      <c r="AP1772" s="692"/>
      <c r="AV1772" s="56"/>
    </row>
    <row r="1773" spans="1:48" ht="13.5" customHeight="1" outlineLevel="2" thickBot="1">
      <c r="B1773" s="82"/>
      <c r="C1773" s="1235"/>
      <c r="D1773" s="1235"/>
      <c r="E1773" s="85">
        <f>'Terms and Turnovers'!$AX$12</f>
        <v>0</v>
      </c>
      <c r="F1773" s="121">
        <f>$R1773*G1773</f>
        <v>0</v>
      </c>
      <c r="G1773" s="72"/>
      <c r="H1773" s="121">
        <f>$R1773*I1773</f>
        <v>0</v>
      </c>
      <c r="I1773" s="69">
        <v>0</v>
      </c>
      <c r="J1773" s="121">
        <f>$R1773*K1773</f>
        <v>0</v>
      </c>
      <c r="K1773" s="69">
        <v>0.4</v>
      </c>
      <c r="L1773" s="121">
        <f>$R1773*M1773</f>
        <v>0</v>
      </c>
      <c r="M1773" s="69">
        <v>0.4</v>
      </c>
      <c r="N1773" s="316">
        <f>$R1773*O1773</f>
        <v>0</v>
      </c>
      <c r="O1773" s="69">
        <v>0.2</v>
      </c>
      <c r="P1773" s="121">
        <f>$R1773*Q1773</f>
        <v>0</v>
      </c>
      <c r="Q1773" s="69">
        <v>0</v>
      </c>
      <c r="R1773" s="89">
        <f>'Terms and Turnovers'!AY177</f>
        <v>0</v>
      </c>
      <c r="S1773" s="162">
        <f>SUM(G1773,I1773,K1773,M1773,O1773,Q1773)</f>
        <v>1</v>
      </c>
      <c r="T1773" s="121">
        <f>$AF1773*U1773</f>
        <v>0</v>
      </c>
      <c r="U1773" s="72">
        <v>0</v>
      </c>
      <c r="V1773" s="121">
        <f>$AF1773*W1773</f>
        <v>0</v>
      </c>
      <c r="W1773" s="69">
        <v>0.4</v>
      </c>
      <c r="X1773" s="121">
        <f>$AF1773*Y1773</f>
        <v>0</v>
      </c>
      <c r="Y1773" s="69">
        <v>0.5</v>
      </c>
      <c r="Z1773" s="121">
        <f>$AF1773*AA1773</f>
        <v>0</v>
      </c>
      <c r="AA1773" s="69">
        <v>0.1</v>
      </c>
      <c r="AB1773" s="316">
        <f>$AF1773*AC1773</f>
        <v>0</v>
      </c>
      <c r="AC1773" s="69">
        <v>0</v>
      </c>
      <c r="AD1773" s="121">
        <f>$AF1773*AE1773</f>
        <v>0</v>
      </c>
      <c r="AE1773" s="69">
        <v>0</v>
      </c>
      <c r="AF1773" s="89">
        <f>'Terms and Turnovers'!BD177</f>
        <v>0</v>
      </c>
      <c r="AG1773" s="162">
        <f>SUM(U1773,W1773,Y1773,AA1773,AC1773,AE1773)</f>
        <v>1</v>
      </c>
      <c r="AH1773" s="159">
        <f>SUM(R1773,AF1773)</f>
        <v>0</v>
      </c>
      <c r="AI1773" s="137">
        <f>S1773+AG1773</f>
        <v>2</v>
      </c>
      <c r="AJ1773" s="65"/>
      <c r="AL1773" s="461">
        <f>SUM(F1773,H1773,J1773,L1773,N1773,P1773,T1773,V1773,X1773,Z1773,AB1773,AD1773)</f>
        <v>0</v>
      </c>
      <c r="AM1773" s="462">
        <f>AL1773-AH1773</f>
        <v>0</v>
      </c>
      <c r="AO1773" s="692"/>
      <c r="AP1773" s="692"/>
      <c r="AV1773" s="56"/>
    </row>
    <row r="1774" spans="1:48" ht="13.5" customHeight="1" outlineLevel="2" thickBot="1">
      <c r="A1774" s="119"/>
      <c r="B1774" s="82"/>
      <c r="C1774" s="425"/>
      <c r="D1774" s="425"/>
      <c r="E1774" s="426"/>
      <c r="F1774" s="427">
        <f>SUM(F1769:F1773)</f>
        <v>0</v>
      </c>
      <c r="G1774" s="428"/>
      <c r="H1774" s="427">
        <f>SUM(H1769:H1773)</f>
        <v>0</v>
      </c>
      <c r="I1774" s="69"/>
      <c r="J1774" s="427">
        <f>SUM(J1769:J1773)</f>
        <v>0</v>
      </c>
      <c r="K1774" s="69"/>
      <c r="L1774" s="427">
        <f>SUM(L1769:L1773)</f>
        <v>0</v>
      </c>
      <c r="M1774" s="69"/>
      <c r="N1774" s="427">
        <f>SUM(N1769:N1773)</f>
        <v>0</v>
      </c>
      <c r="O1774" s="69"/>
      <c r="P1774" s="427">
        <f>SUM(P1769:P1773)</f>
        <v>0</v>
      </c>
      <c r="Q1774" s="69"/>
      <c r="R1774" s="429"/>
      <c r="S1774" s="430"/>
      <c r="T1774" s="427">
        <f>SUM(T1769:T1773)</f>
        <v>0</v>
      </c>
      <c r="U1774" s="428"/>
      <c r="V1774" s="427">
        <f>SUM(V1769:V1773)</f>
        <v>0</v>
      </c>
      <c r="W1774" s="69"/>
      <c r="X1774" s="427">
        <f>SUM(X1769:X1773)</f>
        <v>0</v>
      </c>
      <c r="Y1774" s="69"/>
      <c r="Z1774" s="427">
        <f>SUM(Z1769:Z1773)</f>
        <v>0</v>
      </c>
      <c r="AA1774" s="69"/>
      <c r="AB1774" s="427">
        <f>SUM(AB1769:AB1773)</f>
        <v>0</v>
      </c>
      <c r="AC1774" s="69"/>
      <c r="AD1774" s="427">
        <f>SUM(AD1769:AD1773)</f>
        <v>0</v>
      </c>
      <c r="AE1774" s="69"/>
      <c r="AF1774" s="429"/>
      <c r="AG1774" s="430"/>
      <c r="AH1774" s="431"/>
      <c r="AI1774" s="432"/>
      <c r="AJ1774" s="65"/>
      <c r="AO1774" s="692"/>
      <c r="AP1774" s="692"/>
      <c r="AV1774" s="56"/>
    </row>
    <row r="1775" spans="1:48" ht="13.5" customHeight="1" outlineLevel="2" thickBot="1">
      <c r="A1775" s="119"/>
      <c r="B1775" s="82"/>
      <c r="C1775" s="433" t="s">
        <v>484</v>
      </c>
      <c r="D1775" s="433" t="s">
        <v>354</v>
      </c>
      <c r="E1775" s="426"/>
      <c r="F1775" s="434">
        <f>AN1775</f>
        <v>0</v>
      </c>
      <c r="G1775" s="428"/>
      <c r="H1775" s="434">
        <f>H1774</f>
        <v>0</v>
      </c>
      <c r="I1775" s="69"/>
      <c r="J1775" s="434">
        <f>J1774</f>
        <v>0</v>
      </c>
      <c r="K1775" s="69"/>
      <c r="L1775" s="434">
        <f>L1774</f>
        <v>0</v>
      </c>
      <c r="M1775" s="69"/>
      <c r="N1775" s="434">
        <f>N1774-AO1775</f>
        <v>0</v>
      </c>
      <c r="O1775" s="69"/>
      <c r="P1775" s="434">
        <f>P1774</f>
        <v>0</v>
      </c>
      <c r="Q1775" s="69"/>
      <c r="R1775" s="429"/>
      <c r="S1775" s="430"/>
      <c r="T1775" s="434">
        <f>AO1775</f>
        <v>0</v>
      </c>
      <c r="U1775" s="428">
        <f>Q1774</f>
        <v>0</v>
      </c>
      <c r="V1775" s="434">
        <f>V1774</f>
        <v>0</v>
      </c>
      <c r="W1775" s="69">
        <f>S1774</f>
        <v>0</v>
      </c>
      <c r="X1775" s="434">
        <f>X1774-AN1775</f>
        <v>0</v>
      </c>
      <c r="Y1775" s="69">
        <f>U1774</f>
        <v>0</v>
      </c>
      <c r="Z1775" s="434">
        <f>Z1774</f>
        <v>0</v>
      </c>
      <c r="AA1775" s="69">
        <f>W1774</f>
        <v>0</v>
      </c>
      <c r="AB1775" s="434">
        <f>AB1774</f>
        <v>0</v>
      </c>
      <c r="AC1775" s="69">
        <f>Y1774</f>
        <v>0</v>
      </c>
      <c r="AD1775" s="434">
        <f>AD1774</f>
        <v>0</v>
      </c>
      <c r="AE1775" s="69"/>
      <c r="AF1775" s="429"/>
      <c r="AG1775" s="430"/>
      <c r="AH1775" s="431"/>
      <c r="AI1775" s="432"/>
      <c r="AJ1775" s="65"/>
      <c r="AN1775" s="695">
        <f>SUM(AF1769:AF1773)*AQ1775</f>
        <v>0</v>
      </c>
      <c r="AO1775" s="742">
        <f>SUM(R1769:R1773)*AQ1775</f>
        <v>0</v>
      </c>
      <c r="AP1775" s="742"/>
      <c r="AQ1775" s="693">
        <v>0.15</v>
      </c>
      <c r="AS1775" s="716">
        <f>SUM(AL1769:AL1773)</f>
        <v>0</v>
      </c>
      <c r="AT1775" s="461">
        <f>F1775+H1775+J1775+L1775+N1775+P1775+T1775+V1775+X1775+Z1775+AB1775+AD1775</f>
        <v>0</v>
      </c>
      <c r="AU1775" s="745">
        <f>AT1775-AS1775</f>
        <v>0</v>
      </c>
      <c r="AV1775" s="56"/>
    </row>
    <row r="1776" spans="1:48" ht="12.75" customHeight="1" outlineLevel="2" thickBot="1">
      <c r="B1776" s="82">
        <f>B1769+1</f>
        <v>47</v>
      </c>
      <c r="C1776" s="1233">
        <f>C335</f>
        <v>0</v>
      </c>
      <c r="D1776" s="1233">
        <f>D335</f>
        <v>0</v>
      </c>
      <c r="E1776" s="83" t="str">
        <f>'Terms and Turnovers'!$J$12</f>
        <v>FLIP-FLOPS</v>
      </c>
      <c r="F1776" s="118">
        <f>$R1776*G1776</f>
        <v>0</v>
      </c>
      <c r="G1776" s="69"/>
      <c r="H1776" s="314">
        <f>$R1776*I1776</f>
        <v>0</v>
      </c>
      <c r="I1776" s="69">
        <v>0.2</v>
      </c>
      <c r="J1776" s="118">
        <f>$R1776*K1776</f>
        <v>0</v>
      </c>
      <c r="K1776" s="69">
        <v>0.35</v>
      </c>
      <c r="L1776" s="314">
        <f>$R1776*M1776</f>
        <v>0</v>
      </c>
      <c r="M1776" s="69">
        <v>0.3</v>
      </c>
      <c r="N1776" s="314">
        <f>$R1776*O1776</f>
        <v>0</v>
      </c>
      <c r="O1776" s="69">
        <v>0.15</v>
      </c>
      <c r="P1776" s="118">
        <f>$R1776*Q1776</f>
        <v>0</v>
      </c>
      <c r="Q1776" s="69">
        <v>0</v>
      </c>
      <c r="R1776" s="87">
        <f>'Terms and Turnovers'!K178</f>
        <v>0</v>
      </c>
      <c r="S1776" s="160">
        <f>SUM(G1776,I1776,K1776,M1776,O1776,Q1776)</f>
        <v>1</v>
      </c>
      <c r="T1776" s="118">
        <f>$AF1776*U1776</f>
        <v>0</v>
      </c>
      <c r="U1776" s="69">
        <v>0</v>
      </c>
      <c r="V1776" s="314">
        <f>$AF1776*W1776</f>
        <v>0</v>
      </c>
      <c r="W1776" s="69">
        <v>0.45</v>
      </c>
      <c r="X1776" s="118">
        <f>$AF1776*Y1776</f>
        <v>0</v>
      </c>
      <c r="Y1776" s="69">
        <v>0.4</v>
      </c>
      <c r="Z1776" s="314">
        <f>$AF1776*AA1776</f>
        <v>0</v>
      </c>
      <c r="AA1776" s="69">
        <v>0.15</v>
      </c>
      <c r="AB1776" s="314">
        <f>$AF1776*AC1776</f>
        <v>0</v>
      </c>
      <c r="AC1776" s="69">
        <v>0</v>
      </c>
      <c r="AD1776" s="118">
        <f>$AF1776*AE1776</f>
        <v>0</v>
      </c>
      <c r="AE1776" s="69">
        <v>0</v>
      </c>
      <c r="AF1776" s="87">
        <f>'Terms and Turnovers'!P178</f>
        <v>0</v>
      </c>
      <c r="AG1776" s="160">
        <f>SUM(U1776,W1776,Y1776,AA1776,AC1776,AE1776)</f>
        <v>1</v>
      </c>
      <c r="AH1776" s="157">
        <f>SUM(R1776,AF1776)</f>
        <v>0</v>
      </c>
      <c r="AI1776" s="131">
        <f>S1776+AG1776</f>
        <v>2</v>
      </c>
      <c r="AJ1776" s="65"/>
      <c r="AL1776" s="461">
        <f>SUM(F1776,H1776,J1776,L1776,N1776,P1776,T1776,V1776,X1776,Z1776,AB1776,AD1776)</f>
        <v>0</v>
      </c>
      <c r="AM1776" s="462">
        <f>AL1776-AH1776</f>
        <v>0</v>
      </c>
      <c r="AO1776" s="692"/>
      <c r="AP1776" s="692"/>
      <c r="AV1776" s="56"/>
    </row>
    <row r="1777" spans="1:48" ht="12.75" customHeight="1" outlineLevel="2" thickBot="1">
      <c r="B1777" s="82"/>
      <c r="C1777" s="1234"/>
      <c r="D1777" s="1234"/>
      <c r="E1777" s="84" t="str">
        <f>'Terms and Turnovers'!$T$12</f>
        <v>ORIGINALS</v>
      </c>
      <c r="F1777" s="120">
        <f>$R1777*G1777</f>
        <v>0</v>
      </c>
      <c r="G1777" s="723"/>
      <c r="H1777" s="120">
        <f>$R1777*I1777</f>
        <v>0</v>
      </c>
      <c r="I1777" s="69">
        <v>0</v>
      </c>
      <c r="J1777" s="120">
        <f>$R1777*K1777</f>
        <v>0</v>
      </c>
      <c r="K1777" s="69">
        <v>0.5</v>
      </c>
      <c r="L1777" s="120">
        <f>$R1777*M1777</f>
        <v>0</v>
      </c>
      <c r="M1777" s="69">
        <v>0.5</v>
      </c>
      <c r="N1777" s="315">
        <f>$R1777*O1777</f>
        <v>0</v>
      </c>
      <c r="O1777" s="69">
        <v>0</v>
      </c>
      <c r="P1777" s="120">
        <f>$R1777*Q1777</f>
        <v>0</v>
      </c>
      <c r="Q1777" s="69">
        <v>0</v>
      </c>
      <c r="R1777" s="88">
        <f>'Terms and Turnovers'!U178</f>
        <v>0</v>
      </c>
      <c r="S1777" s="161">
        <f>SUM(G1777,I1777,K1777,M1777,O1777,Q1777)</f>
        <v>1</v>
      </c>
      <c r="T1777" s="120">
        <f>$AF1777*U1777</f>
        <v>0</v>
      </c>
      <c r="U1777" s="723">
        <v>0</v>
      </c>
      <c r="V1777" s="120">
        <f>$AF1777*W1777</f>
        <v>0</v>
      </c>
      <c r="W1777" s="69">
        <v>0.5</v>
      </c>
      <c r="X1777" s="120">
        <f>$AF1777*Y1777</f>
        <v>0</v>
      </c>
      <c r="Y1777" s="69">
        <v>0.5</v>
      </c>
      <c r="Z1777" s="120">
        <f>$AF1777*AA1777</f>
        <v>0</v>
      </c>
      <c r="AA1777" s="69">
        <v>0</v>
      </c>
      <c r="AB1777" s="315">
        <f>$AF1777*AC1777</f>
        <v>0</v>
      </c>
      <c r="AC1777" s="69">
        <v>0</v>
      </c>
      <c r="AD1777" s="120">
        <f>$AF1777*AE1777</f>
        <v>0</v>
      </c>
      <c r="AE1777" s="69">
        <v>0</v>
      </c>
      <c r="AF1777" s="88">
        <f>'Terms and Turnovers'!Z178</f>
        <v>0</v>
      </c>
      <c r="AG1777" s="161">
        <f>SUM(U1777,W1777,Y1777,AA1777,AC1777,AE1777)</f>
        <v>1</v>
      </c>
      <c r="AH1777" s="158">
        <f>SUM(R1777,AF1777)</f>
        <v>0</v>
      </c>
      <c r="AI1777" s="134">
        <f>S1777+AG1777</f>
        <v>2</v>
      </c>
      <c r="AJ1777" s="65"/>
      <c r="AL1777" s="461">
        <f>SUM(F1777,H1777,J1777,L1777,N1777,P1777,T1777,V1777,X1777,Z1777,AB1777,AD1777)</f>
        <v>0</v>
      </c>
      <c r="AM1777" s="462">
        <f>AL1777-AH1777</f>
        <v>0</v>
      </c>
      <c r="AO1777" s="692"/>
      <c r="AP1777" s="692"/>
      <c r="AV1777" s="56"/>
    </row>
    <row r="1778" spans="1:48" ht="12.75" customHeight="1" outlineLevel="2" thickBot="1">
      <c r="B1778" s="82"/>
      <c r="C1778" s="1234"/>
      <c r="D1778" s="1234"/>
      <c r="E1778" s="84" t="str">
        <f>'Terms and Turnovers'!$AD$12</f>
        <v>ACCESSORIES</v>
      </c>
      <c r="F1778" s="120">
        <f>$R1778*G1778</f>
        <v>0</v>
      </c>
      <c r="G1778" s="723"/>
      <c r="H1778" s="120">
        <f>$R1778*I1778</f>
        <v>0</v>
      </c>
      <c r="I1778" s="69">
        <v>0</v>
      </c>
      <c r="J1778" s="120">
        <f>$R1778*K1778</f>
        <v>0</v>
      </c>
      <c r="K1778" s="69">
        <v>0.5</v>
      </c>
      <c r="L1778" s="120">
        <f>$R1778*M1778</f>
        <v>0</v>
      </c>
      <c r="M1778" s="69">
        <v>0.5</v>
      </c>
      <c r="N1778" s="315">
        <f>$R1778*O1778</f>
        <v>0</v>
      </c>
      <c r="O1778" s="69">
        <v>0</v>
      </c>
      <c r="P1778" s="120">
        <f>$R1778*Q1778</f>
        <v>0</v>
      </c>
      <c r="Q1778" s="69">
        <v>0</v>
      </c>
      <c r="R1778" s="88">
        <f>'Terms and Turnovers'!AE178</f>
        <v>0</v>
      </c>
      <c r="S1778" s="161">
        <f>SUM(G1778,I1778,K1778,M1778,O1778,Q1778)</f>
        <v>1</v>
      </c>
      <c r="T1778" s="120">
        <f>$AF1778*U1778</f>
        <v>0</v>
      </c>
      <c r="U1778" s="723">
        <v>0</v>
      </c>
      <c r="V1778" s="120">
        <f>$AF1778*W1778</f>
        <v>0</v>
      </c>
      <c r="W1778" s="69">
        <v>0.5</v>
      </c>
      <c r="X1778" s="120">
        <f>$AF1778*Y1778</f>
        <v>0</v>
      </c>
      <c r="Y1778" s="69">
        <v>0.5</v>
      </c>
      <c r="Z1778" s="120">
        <f>$AF1778*AA1778</f>
        <v>0</v>
      </c>
      <c r="AA1778" s="69">
        <v>0</v>
      </c>
      <c r="AB1778" s="315">
        <f>$AF1778*AC1778</f>
        <v>0</v>
      </c>
      <c r="AC1778" s="69">
        <v>0</v>
      </c>
      <c r="AD1778" s="120">
        <f>$AF1778*AE1778</f>
        <v>0</v>
      </c>
      <c r="AE1778" s="69">
        <v>0</v>
      </c>
      <c r="AF1778" s="88">
        <f>'Terms and Turnovers'!AJ178</f>
        <v>0</v>
      </c>
      <c r="AG1778" s="161">
        <f>SUM(U1778,W1778,Y1778,AA1778,AC1778,AE1778)</f>
        <v>1</v>
      </c>
      <c r="AH1778" s="158">
        <f>SUM(R1778,AF1778)</f>
        <v>0</v>
      </c>
      <c r="AI1778" s="134">
        <f>S1778+AG1778</f>
        <v>2</v>
      </c>
      <c r="AJ1778" s="65"/>
      <c r="AL1778" s="461">
        <f>SUM(F1778,H1778,J1778,L1778,N1778,P1778,T1778,V1778,X1778,Z1778,AB1778,AD1778)</f>
        <v>0</v>
      </c>
      <c r="AM1778" s="462">
        <f>AL1778-AH1778</f>
        <v>0</v>
      </c>
      <c r="AO1778" s="692"/>
      <c r="AP1778" s="692"/>
      <c r="AV1778" s="56"/>
    </row>
    <row r="1779" spans="1:48" ht="12.75" customHeight="1" outlineLevel="2" thickBot="1">
      <c r="B1779" s="82"/>
      <c r="C1779" s="1234"/>
      <c r="D1779" s="1234"/>
      <c r="E1779" s="84">
        <f>'Terms and Turnovers'!$AN$12</f>
        <v>0</v>
      </c>
      <c r="F1779" s="120">
        <f>$R1779*G1779</f>
        <v>0</v>
      </c>
      <c r="G1779" s="723"/>
      <c r="H1779" s="120">
        <f>$R1779*I1779</f>
        <v>0</v>
      </c>
      <c r="I1779" s="69">
        <v>0.2</v>
      </c>
      <c r="J1779" s="120">
        <f>$R1779*K1779</f>
        <v>0</v>
      </c>
      <c r="K1779" s="69">
        <v>0.35</v>
      </c>
      <c r="L1779" s="120">
        <f>$R1779*M1779</f>
        <v>0</v>
      </c>
      <c r="M1779" s="69">
        <v>0.3</v>
      </c>
      <c r="N1779" s="315">
        <f>$R1779*O1779</f>
        <v>0</v>
      </c>
      <c r="O1779" s="69">
        <v>0.15</v>
      </c>
      <c r="P1779" s="120">
        <f>$R1779*Q1779</f>
        <v>0</v>
      </c>
      <c r="Q1779" s="69">
        <v>0</v>
      </c>
      <c r="R1779" s="88">
        <f>'Terms and Turnovers'!AO178</f>
        <v>0</v>
      </c>
      <c r="S1779" s="161">
        <f>SUM(G1779,I1779,K1779,M1779,O1779,Q1779)</f>
        <v>1</v>
      </c>
      <c r="T1779" s="120">
        <f>$AF1779*U1779</f>
        <v>0</v>
      </c>
      <c r="U1779" s="723">
        <v>0</v>
      </c>
      <c r="V1779" s="120">
        <f>$AF1779*W1779</f>
        <v>0</v>
      </c>
      <c r="W1779" s="69">
        <v>0.45</v>
      </c>
      <c r="X1779" s="120">
        <f>$AF1779*Y1779</f>
        <v>0</v>
      </c>
      <c r="Y1779" s="69">
        <v>0.4</v>
      </c>
      <c r="Z1779" s="120">
        <f>$AF1779*AA1779</f>
        <v>0</v>
      </c>
      <c r="AA1779" s="69">
        <v>0.15</v>
      </c>
      <c r="AB1779" s="315">
        <f>$AF1779*AC1779</f>
        <v>0</v>
      </c>
      <c r="AC1779" s="69">
        <v>0</v>
      </c>
      <c r="AD1779" s="120">
        <f>$AF1779*AE1779</f>
        <v>0</v>
      </c>
      <c r="AE1779" s="69">
        <v>0</v>
      </c>
      <c r="AF1779" s="88">
        <f>'Terms and Turnovers'!AT178</f>
        <v>0</v>
      </c>
      <c r="AG1779" s="161">
        <f>SUM(U1779,W1779,Y1779,AA1779,AC1779,AE1779)</f>
        <v>1</v>
      </c>
      <c r="AH1779" s="158">
        <f>SUM(R1779,AF1779)</f>
        <v>0</v>
      </c>
      <c r="AI1779" s="134">
        <f>S1779+AG1779</f>
        <v>2</v>
      </c>
      <c r="AJ1779" s="65"/>
      <c r="AL1779" s="461">
        <f>SUM(F1779,H1779,J1779,L1779,N1779,P1779,T1779,V1779,X1779,Z1779,AB1779,AD1779)</f>
        <v>0</v>
      </c>
      <c r="AM1779" s="462">
        <f>AL1779-AH1779</f>
        <v>0</v>
      </c>
      <c r="AO1779" s="692"/>
      <c r="AP1779" s="692"/>
      <c r="AV1779" s="56"/>
    </row>
    <row r="1780" spans="1:48" ht="13.5" customHeight="1" outlineLevel="2" thickBot="1">
      <c r="B1780" s="82"/>
      <c r="C1780" s="1235"/>
      <c r="D1780" s="1235"/>
      <c r="E1780" s="85">
        <f>'Terms and Turnovers'!$AX$12</f>
        <v>0</v>
      </c>
      <c r="F1780" s="121">
        <f>$R1780*G1780</f>
        <v>0</v>
      </c>
      <c r="G1780" s="72"/>
      <c r="H1780" s="121">
        <f>$R1780*I1780</f>
        <v>0</v>
      </c>
      <c r="I1780" s="69">
        <v>0.2</v>
      </c>
      <c r="J1780" s="121">
        <f>$R1780*K1780</f>
        <v>0</v>
      </c>
      <c r="K1780" s="69">
        <v>0.35</v>
      </c>
      <c r="L1780" s="121">
        <f>$R1780*M1780</f>
        <v>0</v>
      </c>
      <c r="M1780" s="69">
        <v>0.3</v>
      </c>
      <c r="N1780" s="316">
        <f>$R1780*O1780</f>
        <v>0</v>
      </c>
      <c r="O1780" s="69">
        <v>0.15</v>
      </c>
      <c r="P1780" s="121">
        <f>$R1780*Q1780</f>
        <v>0</v>
      </c>
      <c r="Q1780" s="69">
        <v>0</v>
      </c>
      <c r="R1780" s="89">
        <f>'Terms and Turnovers'!AY178</f>
        <v>0</v>
      </c>
      <c r="S1780" s="162">
        <f>SUM(G1780,I1780,K1780,M1780,O1780,Q1780)</f>
        <v>1</v>
      </c>
      <c r="T1780" s="121">
        <f>$AF1780*U1780</f>
        <v>0</v>
      </c>
      <c r="U1780" s="72">
        <v>0</v>
      </c>
      <c r="V1780" s="121">
        <f>$AF1780*W1780</f>
        <v>0</v>
      </c>
      <c r="W1780" s="69">
        <v>0.45</v>
      </c>
      <c r="X1780" s="121">
        <f>$AF1780*Y1780</f>
        <v>0</v>
      </c>
      <c r="Y1780" s="69">
        <v>0.4</v>
      </c>
      <c r="Z1780" s="121">
        <f>$AF1780*AA1780</f>
        <v>0</v>
      </c>
      <c r="AA1780" s="69">
        <v>0.15</v>
      </c>
      <c r="AB1780" s="316">
        <f>$AF1780*AC1780</f>
        <v>0</v>
      </c>
      <c r="AC1780" s="69">
        <v>0</v>
      </c>
      <c r="AD1780" s="121">
        <f>$AF1780*AE1780</f>
        <v>0</v>
      </c>
      <c r="AE1780" s="69">
        <v>0</v>
      </c>
      <c r="AF1780" s="89">
        <f>'Terms and Turnovers'!BD178</f>
        <v>0</v>
      </c>
      <c r="AG1780" s="162">
        <f>SUM(U1780,W1780,Y1780,AA1780,AC1780,AE1780)</f>
        <v>1</v>
      </c>
      <c r="AH1780" s="159">
        <f>SUM(R1780,AF1780)</f>
        <v>0</v>
      </c>
      <c r="AI1780" s="137">
        <f>S1780+AG1780</f>
        <v>2</v>
      </c>
      <c r="AJ1780" s="65"/>
      <c r="AL1780" s="461">
        <f>SUM(F1780,H1780,J1780,L1780,N1780,P1780,T1780,V1780,X1780,Z1780,AB1780,AD1780)</f>
        <v>0</v>
      </c>
      <c r="AM1780" s="462">
        <f>AL1780-AH1780</f>
        <v>0</v>
      </c>
      <c r="AO1780" s="692"/>
      <c r="AP1780" s="692"/>
      <c r="AV1780" s="56"/>
    </row>
    <row r="1781" spans="1:48" ht="13.5" customHeight="1" outlineLevel="2" thickBot="1">
      <c r="A1781" s="119"/>
      <c r="B1781" s="82"/>
      <c r="C1781" s="425"/>
      <c r="D1781" s="425"/>
      <c r="E1781" s="426"/>
      <c r="F1781" s="427">
        <f>SUM(F1776:F1780)</f>
        <v>0</v>
      </c>
      <c r="G1781" s="428"/>
      <c r="H1781" s="427">
        <f>SUM(H1776:H1780)</f>
        <v>0</v>
      </c>
      <c r="I1781" s="69"/>
      <c r="J1781" s="427">
        <f>SUM(J1776:J1780)</f>
        <v>0</v>
      </c>
      <c r="K1781" s="69"/>
      <c r="L1781" s="427">
        <f>SUM(L1776:L1780)</f>
        <v>0</v>
      </c>
      <c r="M1781" s="69"/>
      <c r="N1781" s="427">
        <f>SUM(N1776:N1780)</f>
        <v>0</v>
      </c>
      <c r="O1781" s="69"/>
      <c r="P1781" s="427">
        <f>SUM(P1776:P1780)</f>
        <v>0</v>
      </c>
      <c r="Q1781" s="69"/>
      <c r="R1781" s="429"/>
      <c r="S1781" s="430"/>
      <c r="T1781" s="427">
        <f>SUM(T1776:T1780)</f>
        <v>0</v>
      </c>
      <c r="U1781" s="428"/>
      <c r="V1781" s="427">
        <f>SUM(V1776:V1780)</f>
        <v>0</v>
      </c>
      <c r="W1781" s="69"/>
      <c r="X1781" s="427">
        <f>SUM(X1776:X1780)</f>
        <v>0</v>
      </c>
      <c r="Y1781" s="69"/>
      <c r="Z1781" s="427">
        <f>SUM(Z1776:Z1780)</f>
        <v>0</v>
      </c>
      <c r="AA1781" s="69"/>
      <c r="AB1781" s="427">
        <f>SUM(AB1776:AB1780)</f>
        <v>0</v>
      </c>
      <c r="AC1781" s="69"/>
      <c r="AD1781" s="427">
        <f>SUM(AD1776:AD1780)</f>
        <v>0</v>
      </c>
      <c r="AE1781" s="69"/>
      <c r="AF1781" s="429"/>
      <c r="AG1781" s="430"/>
      <c r="AH1781" s="431"/>
      <c r="AI1781" s="432"/>
      <c r="AJ1781" s="65"/>
      <c r="AO1781" s="692"/>
      <c r="AP1781" s="692"/>
      <c r="AV1781" s="56"/>
    </row>
    <row r="1782" spans="1:48" ht="13.5" customHeight="1" outlineLevel="2" thickBot="1">
      <c r="A1782" s="119"/>
      <c r="B1782" s="82"/>
      <c r="C1782" s="433" t="s">
        <v>484</v>
      </c>
      <c r="D1782" s="433" t="s">
        <v>473</v>
      </c>
      <c r="E1782" s="426"/>
      <c r="F1782" s="434">
        <f>AN1782</f>
        <v>0</v>
      </c>
      <c r="G1782" s="428"/>
      <c r="H1782" s="434">
        <v>0</v>
      </c>
      <c r="I1782" s="69"/>
      <c r="J1782" s="434">
        <v>0</v>
      </c>
      <c r="K1782" s="69"/>
      <c r="L1782" s="434">
        <v>0</v>
      </c>
      <c r="M1782" s="69"/>
      <c r="N1782" s="434">
        <f>H1781</f>
        <v>0</v>
      </c>
      <c r="O1782" s="69"/>
      <c r="P1782" s="434">
        <f>J1781</f>
        <v>0</v>
      </c>
      <c r="Q1782" s="69"/>
      <c r="R1782" s="429"/>
      <c r="S1782" s="430"/>
      <c r="T1782" s="434">
        <f>L1781</f>
        <v>0</v>
      </c>
      <c r="U1782" s="428">
        <f>Q1781</f>
        <v>0</v>
      </c>
      <c r="V1782" s="434">
        <f>N1781</f>
        <v>0</v>
      </c>
      <c r="W1782" s="69">
        <f>S1781</f>
        <v>0</v>
      </c>
      <c r="X1782" s="434"/>
      <c r="Y1782" s="69">
        <f>U1781</f>
        <v>0</v>
      </c>
      <c r="Z1782" s="434">
        <v>0</v>
      </c>
      <c r="AA1782" s="69">
        <f>W1781</f>
        <v>0</v>
      </c>
      <c r="AB1782" s="434">
        <f>V1781</f>
        <v>0</v>
      </c>
      <c r="AC1782" s="69">
        <f>Y1781</f>
        <v>0</v>
      </c>
      <c r="AD1782" s="434">
        <f>X1781</f>
        <v>0</v>
      </c>
      <c r="AE1782" s="69"/>
      <c r="AF1782" s="429"/>
      <c r="AG1782" s="430"/>
      <c r="AH1782" s="431"/>
      <c r="AI1782" s="432"/>
      <c r="AJ1782" s="65"/>
      <c r="AN1782" s="695">
        <v>0</v>
      </c>
      <c r="AO1782" s="742">
        <v>0</v>
      </c>
      <c r="AP1782" s="742"/>
      <c r="AQ1782" s="693">
        <v>0.15</v>
      </c>
      <c r="AR1782" s="696" t="s">
        <v>485</v>
      </c>
      <c r="AS1782" s="716">
        <f>SUM(AL1776:AL1780)</f>
        <v>0</v>
      </c>
      <c r="AT1782" s="461">
        <f>F1782+H1782+J1782+L1782+N1782+P1782+T1782+V1782+X1782+Z1782+AB1782+AD1782</f>
        <v>0</v>
      </c>
      <c r="AU1782" s="745">
        <f>AT1782-AS1782</f>
        <v>0</v>
      </c>
      <c r="AV1782" s="56"/>
    </row>
    <row r="1783" spans="1:48" ht="12.75" customHeight="1" outlineLevel="2" thickBot="1">
      <c r="B1783" s="82">
        <f>B1776+1</f>
        <v>48</v>
      </c>
      <c r="C1783" s="1233">
        <f>C342</f>
        <v>0</v>
      </c>
      <c r="D1783" s="1233">
        <f>D342</f>
        <v>0</v>
      </c>
      <c r="E1783" s="83" t="str">
        <f>'Terms and Turnovers'!$J$12</f>
        <v>FLIP-FLOPS</v>
      </c>
      <c r="F1783" s="118">
        <f>$R1783*G1783</f>
        <v>0</v>
      </c>
      <c r="G1783" s="69"/>
      <c r="H1783" s="314">
        <f>$R1783*I1783</f>
        <v>0</v>
      </c>
      <c r="I1783" s="69">
        <v>0.1</v>
      </c>
      <c r="J1783" s="118">
        <f>$R1783*K1783</f>
        <v>0</v>
      </c>
      <c r="K1783" s="69">
        <v>0.25</v>
      </c>
      <c r="L1783" s="314">
        <f>$R1783*M1783</f>
        <v>0</v>
      </c>
      <c r="M1783" s="69">
        <v>0.2</v>
      </c>
      <c r="N1783" s="314">
        <f>$R1783*O1783</f>
        <v>0</v>
      </c>
      <c r="O1783" s="69">
        <v>0.25</v>
      </c>
      <c r="P1783" s="118">
        <f>$R1783*Q1783</f>
        <v>0</v>
      </c>
      <c r="Q1783" s="69">
        <v>0.2</v>
      </c>
      <c r="R1783" s="87">
        <f>'Terms and Turnovers'!K179</f>
        <v>0</v>
      </c>
      <c r="S1783" s="160">
        <f>SUM(G1783,I1783,K1783,M1783,O1783,Q1783)</f>
        <v>1</v>
      </c>
      <c r="T1783" s="118">
        <f>R1783*(1-S1783)</f>
        <v>0</v>
      </c>
      <c r="U1783" s="69" t="e">
        <f>T1783/(V1783+X1783+Z1783+AB1783+AD1783)</f>
        <v>#DIV/0!</v>
      </c>
      <c r="V1783" s="314">
        <f>$AF1783*W1783</f>
        <v>0</v>
      </c>
      <c r="W1783" s="69">
        <v>0.35</v>
      </c>
      <c r="X1783" s="118">
        <f>$AF1783*Y1783</f>
        <v>0</v>
      </c>
      <c r="Y1783" s="69">
        <v>0.4</v>
      </c>
      <c r="Z1783" s="314">
        <f>$AF1783*AA1783</f>
        <v>0</v>
      </c>
      <c r="AA1783" s="69">
        <v>0.2</v>
      </c>
      <c r="AB1783" s="314">
        <f>$AF1783*AC1783</f>
        <v>0</v>
      </c>
      <c r="AC1783" s="69">
        <v>0.05</v>
      </c>
      <c r="AD1783" s="118">
        <f>$AF1783*AE1783</f>
        <v>0</v>
      </c>
      <c r="AE1783" s="69">
        <v>0</v>
      </c>
      <c r="AF1783" s="87">
        <f>'Terms and Turnovers'!P179</f>
        <v>0</v>
      </c>
      <c r="AG1783" s="160" t="e">
        <f>SUM(U1783,W1783,Y1783,AA1783,AC1783,AE1783)</f>
        <v>#DIV/0!</v>
      </c>
      <c r="AH1783" s="157">
        <f>SUM(R1783,AF1783)</f>
        <v>0</v>
      </c>
      <c r="AI1783" s="131" t="e">
        <f>S1783+AG1783</f>
        <v>#DIV/0!</v>
      </c>
      <c r="AJ1783" s="65"/>
      <c r="AL1783" s="461">
        <f>SUM(F1783,H1783,J1783,L1783,N1783,P1783,T1783,V1783,X1783,Z1783,AB1783,AD1783)</f>
        <v>0</v>
      </c>
      <c r="AM1783" s="462">
        <f>AL1783-AH1783</f>
        <v>0</v>
      </c>
      <c r="AO1783" s="692"/>
      <c r="AP1783" s="692"/>
      <c r="AV1783" s="56"/>
    </row>
    <row r="1784" spans="1:48" ht="12.75" customHeight="1" outlineLevel="2" thickBot="1">
      <c r="B1784" s="82"/>
      <c r="C1784" s="1234"/>
      <c r="D1784" s="1234"/>
      <c r="E1784" s="84" t="str">
        <f>'Terms and Turnovers'!$T$12</f>
        <v>ORIGINALS</v>
      </c>
      <c r="F1784" s="120">
        <f>$R1784*G1784</f>
        <v>0</v>
      </c>
      <c r="G1784" s="723"/>
      <c r="H1784" s="120">
        <f>$R1784*I1784</f>
        <v>0</v>
      </c>
      <c r="I1784" s="69">
        <v>0</v>
      </c>
      <c r="J1784" s="120">
        <f>$R1784*K1784</f>
        <v>0</v>
      </c>
      <c r="K1784" s="69">
        <v>0.5</v>
      </c>
      <c r="L1784" s="120">
        <f>$R1784*M1784</f>
        <v>0</v>
      </c>
      <c r="M1784" s="69">
        <v>0.5</v>
      </c>
      <c r="N1784" s="315">
        <f>$R1784*O1784</f>
        <v>0</v>
      </c>
      <c r="O1784" s="69">
        <v>0</v>
      </c>
      <c r="P1784" s="120">
        <f>$R1784*Q1784</f>
        <v>0</v>
      </c>
      <c r="Q1784" s="69">
        <v>0</v>
      </c>
      <c r="R1784" s="88">
        <f>'Terms and Turnovers'!U179</f>
        <v>0</v>
      </c>
      <c r="S1784" s="161">
        <f>SUM(G1784,I1784,K1784,M1784,O1784,Q1784)</f>
        <v>1</v>
      </c>
      <c r="T1784" s="120"/>
      <c r="U1784" s="723">
        <v>0</v>
      </c>
      <c r="V1784" s="120">
        <f>$AF1784*W1784</f>
        <v>0</v>
      </c>
      <c r="W1784" s="69">
        <v>0.5</v>
      </c>
      <c r="X1784" s="120">
        <f>$AF1784*Y1784</f>
        <v>0</v>
      </c>
      <c r="Y1784" s="69">
        <v>0.5</v>
      </c>
      <c r="Z1784" s="120">
        <f>$AF1784*AA1784</f>
        <v>0</v>
      </c>
      <c r="AA1784" s="69">
        <v>0</v>
      </c>
      <c r="AB1784" s="315">
        <f>$AF1784*AC1784</f>
        <v>0</v>
      </c>
      <c r="AC1784" s="69">
        <v>0</v>
      </c>
      <c r="AD1784" s="120">
        <f>$AF1784*AE1784</f>
        <v>0</v>
      </c>
      <c r="AE1784" s="69">
        <v>0</v>
      </c>
      <c r="AF1784" s="88">
        <f>'Terms and Turnovers'!Z179</f>
        <v>0</v>
      </c>
      <c r="AG1784" s="161">
        <f>SUM(U1784,W1784,Y1784,AA1784,AC1784,AE1784)</f>
        <v>1</v>
      </c>
      <c r="AH1784" s="158">
        <f>SUM(R1784,AF1784)</f>
        <v>0</v>
      </c>
      <c r="AI1784" s="134">
        <f>S1784+AG1784</f>
        <v>2</v>
      </c>
      <c r="AJ1784" s="65"/>
      <c r="AL1784" s="461">
        <f>SUM(F1784,H1784,J1784,L1784,N1784,P1784,T1784,V1784,X1784,Z1784,AB1784,AD1784)</f>
        <v>0</v>
      </c>
      <c r="AM1784" s="462">
        <f>AL1784-AH1784</f>
        <v>0</v>
      </c>
      <c r="AO1784" s="692"/>
      <c r="AP1784" s="692"/>
      <c r="AV1784" s="56"/>
    </row>
    <row r="1785" spans="1:48" ht="12.75" customHeight="1" outlineLevel="2" thickBot="1">
      <c r="B1785" s="82"/>
      <c r="C1785" s="1234"/>
      <c r="D1785" s="1234"/>
      <c r="E1785" s="84" t="str">
        <f>'Terms and Turnovers'!$AD$12</f>
        <v>ACCESSORIES</v>
      </c>
      <c r="F1785" s="120">
        <f>$R1785*G1785</f>
        <v>0</v>
      </c>
      <c r="G1785" s="723"/>
      <c r="H1785" s="120">
        <f>$R1785*I1785</f>
        <v>0</v>
      </c>
      <c r="I1785" s="69">
        <v>0</v>
      </c>
      <c r="J1785" s="120">
        <f>$R1785*K1785</f>
        <v>0</v>
      </c>
      <c r="K1785" s="69">
        <v>0.5</v>
      </c>
      <c r="L1785" s="120">
        <f>$R1785*M1785</f>
        <v>0</v>
      </c>
      <c r="M1785" s="69">
        <v>0.5</v>
      </c>
      <c r="N1785" s="315">
        <f>$R1785*O1785</f>
        <v>0</v>
      </c>
      <c r="O1785" s="69">
        <v>0</v>
      </c>
      <c r="P1785" s="120">
        <f>$R1785*Q1785</f>
        <v>0</v>
      </c>
      <c r="Q1785" s="69">
        <v>0</v>
      </c>
      <c r="R1785" s="88">
        <f>'Terms and Turnovers'!AE179</f>
        <v>0</v>
      </c>
      <c r="S1785" s="161">
        <f>SUM(G1785,I1785,K1785,M1785,O1785,Q1785)</f>
        <v>1</v>
      </c>
      <c r="T1785" s="120"/>
      <c r="U1785" s="723">
        <v>0</v>
      </c>
      <c r="V1785" s="120">
        <f>$AF1785*W1785</f>
        <v>0</v>
      </c>
      <c r="W1785" s="69">
        <v>0.5</v>
      </c>
      <c r="X1785" s="120">
        <f>$AF1785*Y1785</f>
        <v>0</v>
      </c>
      <c r="Y1785" s="69">
        <v>0.5</v>
      </c>
      <c r="Z1785" s="120">
        <f>$AF1785*AA1785</f>
        <v>0</v>
      </c>
      <c r="AA1785" s="69">
        <v>0</v>
      </c>
      <c r="AB1785" s="315">
        <f>$AF1785*AC1785</f>
        <v>0</v>
      </c>
      <c r="AC1785" s="69">
        <v>0</v>
      </c>
      <c r="AD1785" s="120">
        <f>$AF1785*AE1785</f>
        <v>0</v>
      </c>
      <c r="AE1785" s="69">
        <v>0</v>
      </c>
      <c r="AF1785" s="88">
        <f>'Terms and Turnovers'!AJ179</f>
        <v>0</v>
      </c>
      <c r="AG1785" s="161">
        <f>SUM(U1785,W1785,Y1785,AA1785,AC1785,AE1785)</f>
        <v>1</v>
      </c>
      <c r="AH1785" s="158">
        <f>SUM(R1785,AF1785)</f>
        <v>0</v>
      </c>
      <c r="AI1785" s="134">
        <f>S1785+AG1785</f>
        <v>2</v>
      </c>
      <c r="AJ1785" s="65"/>
      <c r="AL1785" s="461">
        <f>SUM(F1785,H1785,J1785,L1785,N1785,P1785,T1785,V1785,X1785,Z1785,AB1785,AD1785)</f>
        <v>0</v>
      </c>
      <c r="AM1785" s="462">
        <f>AL1785-AH1785</f>
        <v>0</v>
      </c>
      <c r="AO1785" s="692"/>
      <c r="AP1785" s="692"/>
      <c r="AV1785" s="56"/>
    </row>
    <row r="1786" spans="1:48" ht="12.75" customHeight="1" outlineLevel="2" thickBot="1">
      <c r="B1786" s="82"/>
      <c r="C1786" s="1234"/>
      <c r="D1786" s="1234"/>
      <c r="E1786" s="84">
        <f>'Terms and Turnovers'!$AN$12</f>
        <v>0</v>
      </c>
      <c r="F1786" s="120">
        <f>$R1786*G1786</f>
        <v>0</v>
      </c>
      <c r="G1786" s="723"/>
      <c r="H1786" s="120">
        <f>$R1786*I1786</f>
        <v>0</v>
      </c>
      <c r="I1786" s="69">
        <v>0.1</v>
      </c>
      <c r="J1786" s="120">
        <f>$R1786*K1786</f>
        <v>0</v>
      </c>
      <c r="K1786" s="69">
        <v>0.25</v>
      </c>
      <c r="L1786" s="120">
        <f>$R1786*M1786</f>
        <v>0</v>
      </c>
      <c r="M1786" s="69">
        <v>0.2</v>
      </c>
      <c r="N1786" s="315">
        <f>$R1786*O1786</f>
        <v>0</v>
      </c>
      <c r="O1786" s="69">
        <v>0.25</v>
      </c>
      <c r="P1786" s="120">
        <f>$R1786*Q1786</f>
        <v>0</v>
      </c>
      <c r="Q1786" s="69">
        <v>0.2</v>
      </c>
      <c r="R1786" s="88">
        <f>'Terms and Turnovers'!AO179</f>
        <v>0</v>
      </c>
      <c r="S1786" s="161">
        <f>SUM(G1786,I1786,K1786,M1786,O1786,Q1786)</f>
        <v>1</v>
      </c>
      <c r="T1786" s="118">
        <f>R1786*(1-S1786)</f>
        <v>0</v>
      </c>
      <c r="U1786" s="69" t="e">
        <f>T1786/(V1786+X1786+Z1786+AB1786+AD1786)</f>
        <v>#DIV/0!</v>
      </c>
      <c r="V1786" s="120">
        <f>$AF1786*W1786</f>
        <v>0</v>
      </c>
      <c r="W1786" s="69">
        <v>0.35</v>
      </c>
      <c r="X1786" s="120">
        <f>$AF1786*Y1786</f>
        <v>0</v>
      </c>
      <c r="Y1786" s="69">
        <v>0.4</v>
      </c>
      <c r="Z1786" s="120">
        <f>$AF1786*AA1786</f>
        <v>0</v>
      </c>
      <c r="AA1786" s="69">
        <v>0.2</v>
      </c>
      <c r="AB1786" s="315">
        <f>$AF1786*AC1786</f>
        <v>0</v>
      </c>
      <c r="AC1786" s="69">
        <v>0.05</v>
      </c>
      <c r="AD1786" s="120">
        <f>$AF1786*AE1786</f>
        <v>0</v>
      </c>
      <c r="AE1786" s="69">
        <v>0</v>
      </c>
      <c r="AF1786" s="88">
        <f>'Terms and Turnovers'!AT179</f>
        <v>0</v>
      </c>
      <c r="AG1786" s="161" t="e">
        <f>SUM(U1786,W1786,Y1786,AA1786,AC1786,AE1786)</f>
        <v>#DIV/0!</v>
      </c>
      <c r="AH1786" s="158">
        <f>SUM(R1786,AF1786)</f>
        <v>0</v>
      </c>
      <c r="AI1786" s="134" t="e">
        <f>S1786+AG1786</f>
        <v>#DIV/0!</v>
      </c>
      <c r="AJ1786" s="65"/>
      <c r="AL1786" s="461">
        <f>SUM(F1786,H1786,J1786,L1786,N1786,P1786,T1786,V1786,X1786,Z1786,AB1786,AD1786)</f>
        <v>0</v>
      </c>
      <c r="AM1786" s="462">
        <f>AL1786-AH1786</f>
        <v>0</v>
      </c>
      <c r="AO1786" s="692"/>
      <c r="AP1786" s="692"/>
      <c r="AV1786" s="56"/>
    </row>
    <row r="1787" spans="1:48" ht="13.5" customHeight="1" outlineLevel="2" thickBot="1">
      <c r="B1787" s="82"/>
      <c r="C1787" s="1235"/>
      <c r="D1787" s="1235"/>
      <c r="E1787" s="85">
        <f>'Terms and Turnovers'!$AX$12</f>
        <v>0</v>
      </c>
      <c r="F1787" s="121">
        <f>$R1787*G1787</f>
        <v>0</v>
      </c>
      <c r="G1787" s="72"/>
      <c r="H1787" s="121">
        <f>$R1787*I1787</f>
        <v>0</v>
      </c>
      <c r="I1787" s="69">
        <v>0.1</v>
      </c>
      <c r="J1787" s="121">
        <f>$R1787*K1787</f>
        <v>0</v>
      </c>
      <c r="K1787" s="69">
        <v>0.25</v>
      </c>
      <c r="L1787" s="121">
        <f>$R1787*M1787</f>
        <v>0</v>
      </c>
      <c r="M1787" s="69">
        <v>0.2</v>
      </c>
      <c r="N1787" s="316">
        <f>$R1787*O1787</f>
        <v>0</v>
      </c>
      <c r="O1787" s="69">
        <v>0.25</v>
      </c>
      <c r="P1787" s="121">
        <f>$R1787*Q1787</f>
        <v>0</v>
      </c>
      <c r="Q1787" s="69">
        <v>0.2</v>
      </c>
      <c r="R1787" s="89">
        <f>'Terms and Turnovers'!AY179</f>
        <v>0</v>
      </c>
      <c r="S1787" s="162">
        <f>SUM(G1787,I1787,K1787,M1787,O1787,Q1787)</f>
        <v>1</v>
      </c>
      <c r="T1787" s="118">
        <f>R1787*(1-S1787)</f>
        <v>0</v>
      </c>
      <c r="U1787" s="69" t="e">
        <f>T1787/(V1787+X1787+Z1787+AB1787+AD1787)</f>
        <v>#DIV/0!</v>
      </c>
      <c r="V1787" s="121">
        <f>$AF1787*W1787</f>
        <v>0</v>
      </c>
      <c r="W1787" s="69">
        <v>0.35</v>
      </c>
      <c r="X1787" s="121">
        <f>$AF1787*Y1787</f>
        <v>0</v>
      </c>
      <c r="Y1787" s="69">
        <v>0.4</v>
      </c>
      <c r="Z1787" s="121">
        <f>$AF1787*AA1787</f>
        <v>0</v>
      </c>
      <c r="AA1787" s="69">
        <v>0.25</v>
      </c>
      <c r="AB1787" s="316">
        <f>$AF1787*AC1787</f>
        <v>0</v>
      </c>
      <c r="AC1787" s="69">
        <v>0</v>
      </c>
      <c r="AD1787" s="121">
        <f>$AF1787*AE1787</f>
        <v>0</v>
      </c>
      <c r="AE1787" s="69">
        <v>0</v>
      </c>
      <c r="AF1787" s="89">
        <f>'Terms and Turnovers'!BD179</f>
        <v>0</v>
      </c>
      <c r="AG1787" s="162" t="e">
        <f>SUM(U1787,W1787,Y1787,AA1787,AC1787,AE1787)</f>
        <v>#DIV/0!</v>
      </c>
      <c r="AH1787" s="159">
        <f>SUM(R1787,AF1787)</f>
        <v>0</v>
      </c>
      <c r="AI1787" s="137" t="e">
        <f>S1787+AG1787</f>
        <v>#DIV/0!</v>
      </c>
      <c r="AJ1787" s="65"/>
      <c r="AL1787" s="461">
        <f>SUM(F1787,H1787,J1787,L1787,N1787,P1787,T1787,V1787,X1787,Z1787,AB1787,AD1787)</f>
        <v>0</v>
      </c>
      <c r="AM1787" s="462">
        <f>AL1787-AH1787</f>
        <v>0</v>
      </c>
      <c r="AO1787" s="692"/>
      <c r="AP1787" s="692"/>
      <c r="AV1787" s="56"/>
    </row>
    <row r="1788" spans="1:48" ht="13.5" customHeight="1" outlineLevel="2" thickBot="1">
      <c r="A1788" s="119"/>
      <c r="B1788" s="82"/>
      <c r="C1788" s="425"/>
      <c r="D1788" s="425"/>
      <c r="E1788" s="426"/>
      <c r="F1788" s="427">
        <f>SUM(F1783:F1787)</f>
        <v>0</v>
      </c>
      <c r="G1788" s="428"/>
      <c r="H1788" s="427">
        <f>SUM(H1783:H1787)</f>
        <v>0</v>
      </c>
      <c r="I1788" s="69"/>
      <c r="J1788" s="427">
        <f>SUM(J1783:J1787)</f>
        <v>0</v>
      </c>
      <c r="K1788" s="69"/>
      <c r="L1788" s="427">
        <f>SUM(L1783:L1787)</f>
        <v>0</v>
      </c>
      <c r="M1788" s="69"/>
      <c r="N1788" s="427">
        <f>SUM(N1783:N1787)</f>
        <v>0</v>
      </c>
      <c r="O1788" s="69"/>
      <c r="P1788" s="427">
        <f>SUM(P1783:P1787)</f>
        <v>0</v>
      </c>
      <c r="Q1788" s="69"/>
      <c r="R1788" s="429"/>
      <c r="S1788" s="430"/>
      <c r="T1788" s="427">
        <f>SUM(T1783:T1787)</f>
        <v>0</v>
      </c>
      <c r="U1788" s="428"/>
      <c r="V1788" s="427">
        <f>SUM(V1783:V1787)</f>
        <v>0</v>
      </c>
      <c r="W1788" s="69"/>
      <c r="X1788" s="427">
        <f>SUM(X1783:X1787)</f>
        <v>0</v>
      </c>
      <c r="Y1788" s="69"/>
      <c r="Z1788" s="427">
        <f>SUM(Z1783:Z1787)</f>
        <v>0</v>
      </c>
      <c r="AA1788" s="69"/>
      <c r="AB1788" s="427">
        <f>SUM(AB1783:AB1787)</f>
        <v>0</v>
      </c>
      <c r="AC1788" s="69"/>
      <c r="AD1788" s="427">
        <f>SUM(AD1783:AD1787)</f>
        <v>0</v>
      </c>
      <c r="AE1788" s="69"/>
      <c r="AF1788" s="429"/>
      <c r="AG1788" s="430"/>
      <c r="AH1788" s="431"/>
      <c r="AI1788" s="432"/>
      <c r="AJ1788" s="65"/>
      <c r="AO1788" s="692"/>
      <c r="AP1788" s="692"/>
      <c r="AV1788" s="56"/>
    </row>
    <row r="1789" spans="1:48" ht="13.5" customHeight="1" outlineLevel="2" thickBot="1">
      <c r="A1789" s="119"/>
      <c r="B1789" s="82"/>
      <c r="C1789" s="433" t="s">
        <v>484</v>
      </c>
      <c r="D1789" s="433" t="s">
        <v>474</v>
      </c>
      <c r="E1789" s="426"/>
      <c r="F1789" s="434">
        <f>AO1789</f>
        <v>0</v>
      </c>
      <c r="G1789" s="428"/>
      <c r="H1789" s="434">
        <v>0</v>
      </c>
      <c r="I1789" s="69"/>
      <c r="J1789" s="434">
        <f>J1788-((AO1789*2)-H1788)</f>
        <v>0</v>
      </c>
      <c r="K1789" s="69"/>
      <c r="L1789" s="434">
        <f>L1788</f>
        <v>0</v>
      </c>
      <c r="M1789" s="69"/>
      <c r="N1789" s="434">
        <f>N1788</f>
        <v>0</v>
      </c>
      <c r="O1789" s="69"/>
      <c r="P1789" s="434">
        <f>P1788+AO1789</f>
        <v>0</v>
      </c>
      <c r="Q1789" s="69"/>
      <c r="R1789" s="429"/>
      <c r="S1789" s="430"/>
      <c r="T1789" s="434">
        <f>AN1789</f>
        <v>0</v>
      </c>
      <c r="U1789" s="428">
        <f>Q1788</f>
        <v>0</v>
      </c>
      <c r="V1789" s="434">
        <f>V1788-(AN1789*2)</f>
        <v>0</v>
      </c>
      <c r="W1789" s="69">
        <f>S1788</f>
        <v>0</v>
      </c>
      <c r="X1789" s="434">
        <f>X1788</f>
        <v>0</v>
      </c>
      <c r="Y1789" s="69">
        <f>U1788</f>
        <v>0</v>
      </c>
      <c r="Z1789" s="434">
        <f>Z1788</f>
        <v>0</v>
      </c>
      <c r="AA1789" s="69">
        <f>W1788</f>
        <v>0</v>
      </c>
      <c r="AB1789" s="434">
        <f>AB1788</f>
        <v>0</v>
      </c>
      <c r="AC1789" s="69">
        <f>Y1788</f>
        <v>0</v>
      </c>
      <c r="AD1789" s="434">
        <f>SUM(AF1783:AF1787)-T1789-V1789-X1789-Z1789-AB1789</f>
        <v>0</v>
      </c>
      <c r="AE1789" s="69"/>
      <c r="AF1789" s="429"/>
      <c r="AG1789" s="430"/>
      <c r="AH1789" s="431"/>
      <c r="AI1789" s="432"/>
      <c r="AJ1789" s="65"/>
      <c r="AN1789" s="695">
        <f>SUM(AF1783:AF1787)*AQ1789</f>
        <v>0</v>
      </c>
      <c r="AO1789" s="742">
        <f>SUM(R1783:R1787)*AQ1789</f>
        <v>0</v>
      </c>
      <c r="AP1789" s="742"/>
      <c r="AQ1789" s="693">
        <v>0.1</v>
      </c>
      <c r="AS1789" s="716">
        <f>SUM(AL1783:AL1787)</f>
        <v>0</v>
      </c>
      <c r="AT1789" s="461">
        <f>F1789+H1789+J1789+L1789+N1789+P1789+T1789+V1789+X1789+Z1789+AB1789+AD1789</f>
        <v>0</v>
      </c>
      <c r="AU1789" s="745">
        <f>AT1789-AS1789</f>
        <v>0</v>
      </c>
      <c r="AV1789" s="56"/>
    </row>
    <row r="1790" spans="1:48" ht="12.75" customHeight="1" outlineLevel="2" thickBot="1">
      <c r="B1790" s="82">
        <f>B1783+1</f>
        <v>49</v>
      </c>
      <c r="C1790" s="1233">
        <f>C349</f>
        <v>0</v>
      </c>
      <c r="D1790" s="1233">
        <f>D349</f>
        <v>0</v>
      </c>
      <c r="E1790" s="83" t="str">
        <f>'Terms and Turnovers'!$J$12</f>
        <v>FLIP-FLOPS</v>
      </c>
      <c r="F1790" s="118">
        <f>$R1790*G1790</f>
        <v>0</v>
      </c>
      <c r="G1790" s="69"/>
      <c r="H1790" s="314">
        <f>$R1790*I1790</f>
        <v>0</v>
      </c>
      <c r="I1790" s="69">
        <v>0</v>
      </c>
      <c r="J1790" s="118">
        <f>$R1790*K1790</f>
        <v>0</v>
      </c>
      <c r="K1790" s="69">
        <v>0.25</v>
      </c>
      <c r="L1790" s="314">
        <f>$R1790*M1790</f>
        <v>0</v>
      </c>
      <c r="M1790" s="69">
        <v>0.4</v>
      </c>
      <c r="N1790" s="314">
        <f>$R1790*O1790</f>
        <v>0</v>
      </c>
      <c r="O1790" s="69">
        <v>0.35</v>
      </c>
      <c r="P1790" s="118">
        <f>$R1790*Q1790</f>
        <v>0</v>
      </c>
      <c r="Q1790" s="69">
        <v>0</v>
      </c>
      <c r="R1790" s="87">
        <f>'Terms and Turnovers'!K180</f>
        <v>0</v>
      </c>
      <c r="S1790" s="160">
        <f>SUM(G1790,I1790,K1790,M1790,O1790,Q1790)</f>
        <v>1</v>
      </c>
      <c r="T1790" s="118">
        <f>R1790*(1-S1790)</f>
        <v>0</v>
      </c>
      <c r="U1790" s="69">
        <v>0</v>
      </c>
      <c r="V1790" s="314">
        <f>$AF1790*W1790</f>
        <v>0</v>
      </c>
      <c r="W1790" s="69">
        <v>0.45</v>
      </c>
      <c r="X1790" s="118">
        <f>$AF1790*Y1790</f>
        <v>0</v>
      </c>
      <c r="Y1790" s="69">
        <v>0.55000000000000004</v>
      </c>
      <c r="Z1790" s="314">
        <f>$AF1790*AA1790</f>
        <v>0</v>
      </c>
      <c r="AA1790" s="69">
        <v>0</v>
      </c>
      <c r="AB1790" s="314">
        <f>$AF1790*AC1790</f>
        <v>0</v>
      </c>
      <c r="AC1790" s="69">
        <v>0</v>
      </c>
      <c r="AD1790" s="118">
        <f>$AF1790*AE1790</f>
        <v>0</v>
      </c>
      <c r="AE1790" s="69">
        <v>0</v>
      </c>
      <c r="AF1790" s="87">
        <f>'Terms and Turnovers'!P180</f>
        <v>0</v>
      </c>
      <c r="AG1790" s="160">
        <f>SUM(U1790,W1790,Y1790,AA1790,AC1790,AE1790)</f>
        <v>1</v>
      </c>
      <c r="AH1790" s="157">
        <f>SUM(R1790,AF1790)</f>
        <v>0</v>
      </c>
      <c r="AI1790" s="131">
        <f>S1790+AG1790</f>
        <v>2</v>
      </c>
      <c r="AJ1790" s="65"/>
      <c r="AL1790" s="461">
        <f>SUM(F1790,H1790,J1790,L1790,N1790,P1790,T1790,V1790,X1790,Z1790,AB1790,AD1790)</f>
        <v>0</v>
      </c>
      <c r="AM1790" s="462">
        <f>AL1790-AH1790</f>
        <v>0</v>
      </c>
      <c r="AO1790" s="692"/>
      <c r="AP1790" s="692"/>
      <c r="AV1790" s="56"/>
    </row>
    <row r="1791" spans="1:48" ht="12.75" customHeight="1" outlineLevel="2" thickBot="1">
      <c r="B1791" s="82"/>
      <c r="C1791" s="1234"/>
      <c r="D1791" s="1234"/>
      <c r="E1791" s="84" t="str">
        <f>'Terms and Turnovers'!$T$12</f>
        <v>ORIGINALS</v>
      </c>
      <c r="F1791" s="120">
        <f>$R1791*G1791</f>
        <v>0</v>
      </c>
      <c r="G1791" s="723"/>
      <c r="H1791" s="120">
        <f>$R1791*I1791</f>
        <v>0</v>
      </c>
      <c r="I1791" s="69">
        <v>0</v>
      </c>
      <c r="J1791" s="120">
        <f>$R1791*K1791</f>
        <v>0</v>
      </c>
      <c r="K1791" s="69">
        <v>0.5</v>
      </c>
      <c r="L1791" s="120">
        <f>$R1791*M1791</f>
        <v>0</v>
      </c>
      <c r="M1791" s="69">
        <v>0.5</v>
      </c>
      <c r="N1791" s="315">
        <f>$R1791*O1791</f>
        <v>0</v>
      </c>
      <c r="O1791" s="69">
        <v>0</v>
      </c>
      <c r="P1791" s="120">
        <f>$R1791*Q1791</f>
        <v>0</v>
      </c>
      <c r="Q1791" s="69">
        <v>0</v>
      </c>
      <c r="R1791" s="88">
        <f>'Terms and Turnovers'!U180</f>
        <v>0</v>
      </c>
      <c r="S1791" s="161">
        <f>SUM(G1791,I1791,K1791,M1791,O1791,Q1791)</f>
        <v>1</v>
      </c>
      <c r="T1791" s="120">
        <f>$AF1791*U1791</f>
        <v>0</v>
      </c>
      <c r="U1791" s="723">
        <v>0</v>
      </c>
      <c r="V1791" s="120">
        <f>$AF1791*W1791</f>
        <v>0</v>
      </c>
      <c r="W1791" s="69">
        <v>0.5</v>
      </c>
      <c r="X1791" s="120">
        <f>$AF1791*Y1791</f>
        <v>0</v>
      </c>
      <c r="Y1791" s="69">
        <v>0.5</v>
      </c>
      <c r="Z1791" s="120">
        <f>$AF1791*AA1791</f>
        <v>0</v>
      </c>
      <c r="AA1791" s="69">
        <v>0</v>
      </c>
      <c r="AB1791" s="315">
        <f>$AF1791*AC1791</f>
        <v>0</v>
      </c>
      <c r="AC1791" s="69">
        <v>0</v>
      </c>
      <c r="AD1791" s="120">
        <f>$AF1791*AE1791</f>
        <v>0</v>
      </c>
      <c r="AE1791" s="69">
        <v>0</v>
      </c>
      <c r="AF1791" s="88">
        <f>'Terms and Turnovers'!Z180</f>
        <v>0</v>
      </c>
      <c r="AG1791" s="161">
        <f>SUM(U1791,W1791,Y1791,AA1791,AC1791,AE1791)</f>
        <v>1</v>
      </c>
      <c r="AH1791" s="158">
        <f>SUM(R1791,AF1791)</f>
        <v>0</v>
      </c>
      <c r="AI1791" s="134">
        <f>S1791+AG1791</f>
        <v>2</v>
      </c>
      <c r="AJ1791" s="65"/>
      <c r="AL1791" s="461">
        <f>SUM(F1791,H1791,J1791,L1791,N1791,P1791,T1791,V1791,X1791,Z1791,AB1791,AD1791)</f>
        <v>0</v>
      </c>
      <c r="AM1791" s="462">
        <f>AL1791-AH1791</f>
        <v>0</v>
      </c>
      <c r="AO1791" s="692"/>
      <c r="AP1791" s="692"/>
      <c r="AV1791" s="56"/>
    </row>
    <row r="1792" spans="1:48" ht="12.75" customHeight="1" outlineLevel="2" thickBot="1">
      <c r="B1792" s="82"/>
      <c r="C1792" s="1234"/>
      <c r="D1792" s="1234"/>
      <c r="E1792" s="84" t="str">
        <f>'Terms and Turnovers'!$AD$12</f>
        <v>ACCESSORIES</v>
      </c>
      <c r="F1792" s="120">
        <f>$R1792*G1792</f>
        <v>0</v>
      </c>
      <c r="G1792" s="723"/>
      <c r="H1792" s="120">
        <f>$R1792*I1792</f>
        <v>0</v>
      </c>
      <c r="I1792" s="69">
        <v>0</v>
      </c>
      <c r="J1792" s="120">
        <f>$R1792*K1792</f>
        <v>0</v>
      </c>
      <c r="K1792" s="69">
        <v>0.5</v>
      </c>
      <c r="L1792" s="120">
        <f>$R1792*M1792</f>
        <v>0</v>
      </c>
      <c r="M1792" s="69">
        <v>0.5</v>
      </c>
      <c r="N1792" s="315">
        <f>$R1792*O1792</f>
        <v>0</v>
      </c>
      <c r="O1792" s="69">
        <v>0</v>
      </c>
      <c r="P1792" s="120">
        <f>$R1792*Q1792</f>
        <v>0</v>
      </c>
      <c r="Q1792" s="69">
        <v>0</v>
      </c>
      <c r="R1792" s="88">
        <f>'Terms and Turnovers'!AE180</f>
        <v>0</v>
      </c>
      <c r="S1792" s="161">
        <f>SUM(G1792,I1792,K1792,M1792,O1792,Q1792)</f>
        <v>1</v>
      </c>
      <c r="T1792" s="120">
        <f>$AF1792*U1792</f>
        <v>0</v>
      </c>
      <c r="U1792" s="723">
        <v>0</v>
      </c>
      <c r="V1792" s="120">
        <f>$AF1792*W1792</f>
        <v>0</v>
      </c>
      <c r="W1792" s="69">
        <v>0.5</v>
      </c>
      <c r="X1792" s="120">
        <f>$AF1792*Y1792</f>
        <v>0</v>
      </c>
      <c r="Y1792" s="69">
        <v>0.5</v>
      </c>
      <c r="Z1792" s="120">
        <f>$AF1792*AA1792</f>
        <v>0</v>
      </c>
      <c r="AA1792" s="69">
        <v>0</v>
      </c>
      <c r="AB1792" s="315">
        <f>$AF1792*AC1792</f>
        <v>0</v>
      </c>
      <c r="AC1792" s="69">
        <v>0</v>
      </c>
      <c r="AD1792" s="120">
        <f>$AF1792*AE1792</f>
        <v>0</v>
      </c>
      <c r="AE1792" s="69">
        <v>0</v>
      </c>
      <c r="AF1792" s="88">
        <f>'Terms and Turnovers'!AJ180</f>
        <v>0</v>
      </c>
      <c r="AG1792" s="161">
        <f>SUM(U1792,W1792,Y1792,AA1792,AC1792,AE1792)</f>
        <v>1</v>
      </c>
      <c r="AH1792" s="158">
        <f>SUM(R1792,AF1792)</f>
        <v>0</v>
      </c>
      <c r="AI1792" s="134">
        <f>S1792+AG1792</f>
        <v>2</v>
      </c>
      <c r="AJ1792" s="65"/>
      <c r="AL1792" s="461">
        <f>SUM(F1792,H1792,J1792,L1792,N1792,P1792,T1792,V1792,X1792,Z1792,AB1792,AD1792)</f>
        <v>0</v>
      </c>
      <c r="AM1792" s="462">
        <f>AL1792-AH1792</f>
        <v>0</v>
      </c>
      <c r="AO1792" s="692"/>
      <c r="AP1792" s="692"/>
      <c r="AV1792" s="56"/>
    </row>
    <row r="1793" spans="1:48" ht="12.75" customHeight="1" outlineLevel="2" thickBot="1">
      <c r="B1793" s="82"/>
      <c r="C1793" s="1234"/>
      <c r="D1793" s="1234"/>
      <c r="E1793" s="84">
        <f>'Terms and Turnovers'!$AN$12</f>
        <v>0</v>
      </c>
      <c r="F1793" s="120">
        <f>$R1793*G1793</f>
        <v>0</v>
      </c>
      <c r="G1793" s="723"/>
      <c r="H1793" s="120">
        <f>$R1793*I1793</f>
        <v>0</v>
      </c>
      <c r="I1793" s="69">
        <v>0</v>
      </c>
      <c r="J1793" s="120">
        <f>$R1793*K1793</f>
        <v>0</v>
      </c>
      <c r="K1793" s="69">
        <v>0.25</v>
      </c>
      <c r="L1793" s="120">
        <f>$R1793*M1793</f>
        <v>0</v>
      </c>
      <c r="M1793" s="69">
        <v>0.4</v>
      </c>
      <c r="N1793" s="315">
        <f>$R1793*O1793</f>
        <v>0</v>
      </c>
      <c r="O1793" s="69">
        <v>0.35</v>
      </c>
      <c r="P1793" s="120">
        <f>$R1793*Q1793</f>
        <v>0</v>
      </c>
      <c r="Q1793" s="69">
        <v>0</v>
      </c>
      <c r="R1793" s="88">
        <f>'Terms and Turnovers'!AO180</f>
        <v>0</v>
      </c>
      <c r="S1793" s="161">
        <f>SUM(G1793,I1793,K1793,M1793,O1793,Q1793)</f>
        <v>1</v>
      </c>
      <c r="T1793" s="120">
        <f>$AF1793*U1793</f>
        <v>0</v>
      </c>
      <c r="U1793" s="723">
        <v>0</v>
      </c>
      <c r="V1793" s="120">
        <f>$AF1793*W1793</f>
        <v>0</v>
      </c>
      <c r="W1793" s="69">
        <v>0.45</v>
      </c>
      <c r="X1793" s="120">
        <f>$AF1793*Y1793</f>
        <v>0</v>
      </c>
      <c r="Y1793" s="69">
        <v>0.55000000000000004</v>
      </c>
      <c r="Z1793" s="120">
        <f>$AF1793*AA1793</f>
        <v>0</v>
      </c>
      <c r="AA1793" s="69">
        <v>0</v>
      </c>
      <c r="AB1793" s="315">
        <f>$AF1793*AC1793</f>
        <v>0</v>
      </c>
      <c r="AC1793" s="69">
        <v>0</v>
      </c>
      <c r="AD1793" s="120">
        <f>$AF1793*AE1793</f>
        <v>0</v>
      </c>
      <c r="AE1793" s="69">
        <v>0</v>
      </c>
      <c r="AF1793" s="88">
        <f>'Terms and Turnovers'!AT180</f>
        <v>0</v>
      </c>
      <c r="AG1793" s="161">
        <f>SUM(U1793,W1793,Y1793,AA1793,AC1793,AE1793)</f>
        <v>1</v>
      </c>
      <c r="AH1793" s="158">
        <f>SUM(R1793,AF1793)</f>
        <v>0</v>
      </c>
      <c r="AI1793" s="134">
        <f>S1793+AG1793</f>
        <v>2</v>
      </c>
      <c r="AJ1793" s="65"/>
      <c r="AL1793" s="461">
        <f>SUM(F1793,H1793,J1793,L1793,N1793,P1793,T1793,V1793,X1793,Z1793,AB1793,AD1793)</f>
        <v>0</v>
      </c>
      <c r="AM1793" s="462">
        <f>AL1793-AH1793</f>
        <v>0</v>
      </c>
      <c r="AO1793" s="692"/>
      <c r="AP1793" s="692"/>
      <c r="AV1793" s="56"/>
    </row>
    <row r="1794" spans="1:48" ht="13.5" customHeight="1" outlineLevel="2" thickBot="1">
      <c r="B1794" s="82"/>
      <c r="C1794" s="1235"/>
      <c r="D1794" s="1235"/>
      <c r="E1794" s="85">
        <f>'Terms and Turnovers'!$AX$12</f>
        <v>0</v>
      </c>
      <c r="F1794" s="121">
        <f>$R1794*G1794</f>
        <v>0</v>
      </c>
      <c r="G1794" s="72"/>
      <c r="H1794" s="121">
        <f>$R1794*I1794</f>
        <v>0</v>
      </c>
      <c r="I1794" s="69">
        <v>0</v>
      </c>
      <c r="J1794" s="121">
        <f>$R1794*K1794</f>
        <v>0</v>
      </c>
      <c r="K1794" s="69">
        <v>0.25</v>
      </c>
      <c r="L1794" s="121">
        <f>$R1794*M1794</f>
        <v>0</v>
      </c>
      <c r="M1794" s="69">
        <v>0.4</v>
      </c>
      <c r="N1794" s="316">
        <f>$R1794*O1794</f>
        <v>0</v>
      </c>
      <c r="O1794" s="69">
        <v>0.35</v>
      </c>
      <c r="P1794" s="121">
        <f>$R1794*Q1794</f>
        <v>0</v>
      </c>
      <c r="Q1794" s="69">
        <v>0</v>
      </c>
      <c r="R1794" s="89">
        <f>'Terms and Turnovers'!AY180</f>
        <v>0</v>
      </c>
      <c r="S1794" s="162">
        <f>SUM(G1794,I1794,K1794,M1794,O1794,Q1794)</f>
        <v>1</v>
      </c>
      <c r="T1794" s="121">
        <f>$AF1794*U1794</f>
        <v>0</v>
      </c>
      <c r="U1794" s="72">
        <v>0</v>
      </c>
      <c r="V1794" s="121">
        <f>$AF1794*W1794</f>
        <v>0</v>
      </c>
      <c r="W1794" s="69">
        <v>0.45</v>
      </c>
      <c r="X1794" s="121">
        <f>$AF1794*Y1794</f>
        <v>0</v>
      </c>
      <c r="Y1794" s="69">
        <v>0.55000000000000004</v>
      </c>
      <c r="Z1794" s="121">
        <f>$AF1794*AA1794</f>
        <v>0</v>
      </c>
      <c r="AA1794" s="69">
        <v>0</v>
      </c>
      <c r="AB1794" s="316">
        <f>$AF1794*AC1794</f>
        <v>0</v>
      </c>
      <c r="AC1794" s="69">
        <v>0</v>
      </c>
      <c r="AD1794" s="121">
        <f>$AF1794*AE1794</f>
        <v>0</v>
      </c>
      <c r="AE1794" s="69">
        <v>0</v>
      </c>
      <c r="AF1794" s="89">
        <f>'Terms and Turnovers'!BD180</f>
        <v>0</v>
      </c>
      <c r="AG1794" s="162">
        <f>SUM(U1794,W1794,Y1794,AA1794,AC1794,AE1794)</f>
        <v>1</v>
      </c>
      <c r="AH1794" s="159">
        <f>SUM(R1794,AF1794)</f>
        <v>0</v>
      </c>
      <c r="AI1794" s="137">
        <f>S1794+AG1794</f>
        <v>2</v>
      </c>
      <c r="AJ1794" s="65"/>
      <c r="AL1794" s="461">
        <f>SUM(F1794,H1794,J1794,L1794,N1794,P1794,T1794,V1794,X1794,Z1794,AB1794,AD1794)</f>
        <v>0</v>
      </c>
      <c r="AM1794" s="462">
        <f>AL1794-AH1794</f>
        <v>0</v>
      </c>
      <c r="AO1794" s="692"/>
      <c r="AP1794" s="692"/>
      <c r="AV1794" s="56"/>
    </row>
    <row r="1795" spans="1:48" ht="13.5" customHeight="1" outlineLevel="2" thickBot="1">
      <c r="A1795" s="119"/>
      <c r="B1795" s="82"/>
      <c r="C1795" s="425"/>
      <c r="D1795" s="425"/>
      <c r="E1795" s="426"/>
      <c r="F1795" s="427">
        <f>SUM(F1790:F1794)</f>
        <v>0</v>
      </c>
      <c r="G1795" s="428"/>
      <c r="H1795" s="427">
        <f>SUM(H1790:H1794)</f>
        <v>0</v>
      </c>
      <c r="I1795" s="69"/>
      <c r="J1795" s="427">
        <f>SUM(J1790:J1794)</f>
        <v>0</v>
      </c>
      <c r="K1795" s="69"/>
      <c r="L1795" s="427">
        <f>SUM(L1790:L1794)</f>
        <v>0</v>
      </c>
      <c r="M1795" s="69"/>
      <c r="N1795" s="427">
        <f>SUM(N1790:N1794)</f>
        <v>0</v>
      </c>
      <c r="O1795" s="69"/>
      <c r="P1795" s="427">
        <f>SUM(P1790:P1794)</f>
        <v>0</v>
      </c>
      <c r="Q1795" s="69"/>
      <c r="R1795" s="429"/>
      <c r="S1795" s="430"/>
      <c r="T1795" s="427">
        <f>SUM(T1790:T1794)</f>
        <v>0</v>
      </c>
      <c r="U1795" s="428"/>
      <c r="V1795" s="427">
        <f>SUM(V1790:V1794)</f>
        <v>0</v>
      </c>
      <c r="W1795" s="69"/>
      <c r="X1795" s="427">
        <f>SUM(X1790:X1794)</f>
        <v>0</v>
      </c>
      <c r="Y1795" s="69"/>
      <c r="Z1795" s="427">
        <f>SUM(Z1790:Z1794)</f>
        <v>0</v>
      </c>
      <c r="AA1795" s="69"/>
      <c r="AB1795" s="427">
        <f>SUM(AB1790:AB1794)</f>
        <v>0</v>
      </c>
      <c r="AC1795" s="69"/>
      <c r="AD1795" s="427">
        <f>SUM(AD1790:AD1794)</f>
        <v>0</v>
      </c>
      <c r="AE1795" s="69"/>
      <c r="AF1795" s="429"/>
      <c r="AG1795" s="430"/>
      <c r="AH1795" s="431"/>
      <c r="AI1795" s="432"/>
      <c r="AJ1795" s="65"/>
      <c r="AO1795" s="692"/>
      <c r="AP1795" s="692"/>
      <c r="AV1795" s="56"/>
    </row>
    <row r="1796" spans="1:48" ht="13.5" customHeight="1" outlineLevel="2" thickBot="1">
      <c r="A1796" s="119"/>
      <c r="B1796" s="82"/>
      <c r="C1796" s="433" t="s">
        <v>484</v>
      </c>
      <c r="D1796" s="433" t="s">
        <v>362</v>
      </c>
      <c r="E1796" s="426"/>
      <c r="F1796" s="434">
        <f>AN1796</f>
        <v>0</v>
      </c>
      <c r="G1796" s="428"/>
      <c r="H1796" s="434">
        <f>H1795</f>
        <v>0</v>
      </c>
      <c r="I1796" s="69"/>
      <c r="J1796" s="434">
        <f>J1795</f>
        <v>0</v>
      </c>
      <c r="K1796" s="69"/>
      <c r="L1796" s="434">
        <f>L1795</f>
        <v>0</v>
      </c>
      <c r="M1796" s="69"/>
      <c r="N1796" s="434">
        <f>N1795-AO1796</f>
        <v>0</v>
      </c>
      <c r="O1796" s="69"/>
      <c r="P1796" s="434">
        <f>P1795</f>
        <v>0</v>
      </c>
      <c r="Q1796" s="69"/>
      <c r="R1796" s="429"/>
      <c r="S1796" s="430"/>
      <c r="T1796" s="434">
        <f>AO1796</f>
        <v>0</v>
      </c>
      <c r="U1796" s="428">
        <f>Q1795</f>
        <v>0</v>
      </c>
      <c r="V1796" s="434">
        <f>V1795</f>
        <v>0</v>
      </c>
      <c r="W1796" s="69">
        <f>S1795</f>
        <v>0</v>
      </c>
      <c r="X1796" s="434">
        <f>X1795-AN1796</f>
        <v>0</v>
      </c>
      <c r="Y1796" s="69">
        <f>U1795</f>
        <v>0</v>
      </c>
      <c r="Z1796" s="434">
        <f>Z1795</f>
        <v>0</v>
      </c>
      <c r="AA1796" s="69">
        <f>W1795</f>
        <v>0</v>
      </c>
      <c r="AB1796" s="434">
        <f>AB1795</f>
        <v>0</v>
      </c>
      <c r="AC1796" s="69">
        <f>Y1795</f>
        <v>0</v>
      </c>
      <c r="AD1796" s="434">
        <f>AD1795</f>
        <v>0</v>
      </c>
      <c r="AE1796" s="69"/>
      <c r="AF1796" s="429"/>
      <c r="AG1796" s="430"/>
      <c r="AH1796" s="431"/>
      <c r="AI1796" s="432"/>
      <c r="AJ1796" s="65"/>
      <c r="AN1796" s="695">
        <f>SUM(AF1790:AF1794)*AQ1796</f>
        <v>0</v>
      </c>
      <c r="AO1796" s="742">
        <f>SUM(R1790:R1794)*AQ1796</f>
        <v>0</v>
      </c>
      <c r="AP1796" s="742"/>
      <c r="AQ1796" s="693">
        <v>0.15</v>
      </c>
      <c r="AS1796" s="716">
        <f>SUM(AL1790:AL1794)</f>
        <v>0</v>
      </c>
      <c r="AT1796" s="461">
        <f>F1796+H1796+J1796+L1796+N1796+P1796+T1796+V1796+X1796+Z1796+AB1796+AD1796</f>
        <v>0</v>
      </c>
      <c r="AU1796" s="745">
        <f>AT1796-AS1796</f>
        <v>0</v>
      </c>
      <c r="AV1796" s="56"/>
    </row>
    <row r="1797" spans="1:48" ht="13.5" customHeight="1" outlineLevel="2" thickBot="1">
      <c r="B1797" s="82">
        <f>B1790+1</f>
        <v>50</v>
      </c>
      <c r="C1797" s="1233">
        <f>C356</f>
        <v>0</v>
      </c>
      <c r="D1797" s="1233">
        <f>D356</f>
        <v>0</v>
      </c>
      <c r="E1797" s="83" t="str">
        <f>'Terms and Turnovers'!$J$12</f>
        <v>FLIP-FLOPS</v>
      </c>
      <c r="F1797" s="118">
        <f>$R1797*G1797</f>
        <v>0</v>
      </c>
      <c r="G1797" s="69"/>
      <c r="H1797" s="314">
        <f>$R1797*I1797</f>
        <v>0</v>
      </c>
      <c r="I1797" s="69">
        <v>0</v>
      </c>
      <c r="J1797" s="118">
        <f>$R1797*K1797</f>
        <v>0</v>
      </c>
      <c r="K1797" s="69">
        <v>0.3</v>
      </c>
      <c r="L1797" s="314">
        <f>$R1797*M1797</f>
        <v>0</v>
      </c>
      <c r="M1797" s="69">
        <v>0.4</v>
      </c>
      <c r="N1797" s="314">
        <f>$R1797*O1797</f>
        <v>0</v>
      </c>
      <c r="O1797" s="69">
        <v>0.3</v>
      </c>
      <c r="P1797" s="118">
        <f>$R1797*Q1797</f>
        <v>0</v>
      </c>
      <c r="Q1797" s="69">
        <v>0</v>
      </c>
      <c r="R1797" s="87">
        <f>'Terms and Turnovers'!K181</f>
        <v>0</v>
      </c>
      <c r="S1797" s="160">
        <f>SUM(G1797,I1797,K1797,M1797,O1797,Q1797)</f>
        <v>1</v>
      </c>
      <c r="T1797" s="118">
        <f>$AF1797*U1797</f>
        <v>0</v>
      </c>
      <c r="U1797" s="69">
        <v>0.03</v>
      </c>
      <c r="V1797" s="314">
        <f>$AF1797*W1797</f>
        <v>0</v>
      </c>
      <c r="W1797" s="69">
        <v>0.35</v>
      </c>
      <c r="X1797" s="118">
        <f>$AF1797*Y1797</f>
        <v>0</v>
      </c>
      <c r="Y1797" s="69">
        <v>0.45</v>
      </c>
      <c r="Z1797" s="314">
        <f>$AF1797*AA1797</f>
        <v>0</v>
      </c>
      <c r="AA1797" s="69">
        <v>0.15</v>
      </c>
      <c r="AB1797" s="314">
        <f>$AF1797*AC1797</f>
        <v>0</v>
      </c>
      <c r="AC1797" s="69">
        <v>0</v>
      </c>
      <c r="AD1797" s="118">
        <f>$AF1797*AE1797</f>
        <v>0</v>
      </c>
      <c r="AE1797" s="69">
        <v>0</v>
      </c>
      <c r="AF1797" s="87">
        <f>'Terms and Turnovers'!P181</f>
        <v>0</v>
      </c>
      <c r="AG1797" s="160">
        <f>SUM(U1797,W1797,Y1797,AA1797,AC1797,AE1797)</f>
        <v>0.98000000000000009</v>
      </c>
      <c r="AH1797" s="157">
        <f>SUM(R1797,AF1797)</f>
        <v>0</v>
      </c>
      <c r="AI1797" s="131">
        <f>S1797+AG1797</f>
        <v>1.98</v>
      </c>
      <c r="AJ1797" s="65"/>
      <c r="AL1797" s="461">
        <f>SUM(F1797,H1797,J1797,L1797,N1797,P1797,T1797,V1797,X1797,Z1797,AB1797,AD1797)</f>
        <v>0</v>
      </c>
      <c r="AM1797" s="462">
        <f>AL1797-AH1797</f>
        <v>0</v>
      </c>
      <c r="AO1797" s="692"/>
      <c r="AP1797" s="692"/>
      <c r="AV1797" s="56"/>
    </row>
    <row r="1798" spans="1:48" ht="13.5" customHeight="1" outlineLevel="2" thickBot="1">
      <c r="B1798" s="82"/>
      <c r="C1798" s="1234"/>
      <c r="D1798" s="1234"/>
      <c r="E1798" s="84" t="str">
        <f>'Terms and Turnovers'!$T$12</f>
        <v>ORIGINALS</v>
      </c>
      <c r="F1798" s="120">
        <f>$R1798*G1798</f>
        <v>0</v>
      </c>
      <c r="G1798" s="723"/>
      <c r="H1798" s="120">
        <f>$R1798*I1798</f>
        <v>0</v>
      </c>
      <c r="I1798" s="69">
        <v>0</v>
      </c>
      <c r="J1798" s="120">
        <f>$R1798*K1798</f>
        <v>0</v>
      </c>
      <c r="K1798" s="69">
        <v>0.3</v>
      </c>
      <c r="L1798" s="120">
        <f>$R1798*M1798</f>
        <v>0</v>
      </c>
      <c r="M1798" s="69">
        <v>0.4</v>
      </c>
      <c r="N1798" s="315">
        <f>$R1798*O1798</f>
        <v>0</v>
      </c>
      <c r="O1798" s="69">
        <v>0.3</v>
      </c>
      <c r="P1798" s="120">
        <f>$R1798*Q1798</f>
        <v>0</v>
      </c>
      <c r="Q1798" s="69">
        <v>0</v>
      </c>
      <c r="R1798" s="88">
        <f>'Terms and Turnovers'!U181</f>
        <v>0</v>
      </c>
      <c r="S1798" s="161">
        <f>SUM(G1798,I1798,K1798,M1798,O1798,Q1798)</f>
        <v>1</v>
      </c>
      <c r="T1798" s="120">
        <f>$AF1798*U1798</f>
        <v>0</v>
      </c>
      <c r="U1798" s="723">
        <v>0</v>
      </c>
      <c r="V1798" s="120">
        <f>$AF1798*W1798</f>
        <v>0</v>
      </c>
      <c r="W1798" s="69">
        <v>0.15</v>
      </c>
      <c r="X1798" s="120">
        <f>$AF1798*Y1798</f>
        <v>0</v>
      </c>
      <c r="Y1798" s="69">
        <v>0.6</v>
      </c>
      <c r="Z1798" s="120">
        <f>$AF1798*AA1798</f>
        <v>0</v>
      </c>
      <c r="AA1798" s="69">
        <v>0.25</v>
      </c>
      <c r="AB1798" s="315">
        <f>$AF1798*AC1798</f>
        <v>0</v>
      </c>
      <c r="AC1798" s="69">
        <v>0</v>
      </c>
      <c r="AD1798" s="120">
        <f>$AF1798*AE1798</f>
        <v>0</v>
      </c>
      <c r="AE1798" s="69">
        <v>0</v>
      </c>
      <c r="AF1798" s="88">
        <f>'Terms and Turnovers'!Z181</f>
        <v>0</v>
      </c>
      <c r="AG1798" s="161">
        <f>SUM(U1798,W1798,Y1798,AA1798,AC1798,AE1798)</f>
        <v>1</v>
      </c>
      <c r="AH1798" s="158">
        <f>SUM(R1798,AF1798)</f>
        <v>0</v>
      </c>
      <c r="AI1798" s="134">
        <f>S1798+AG1798</f>
        <v>2</v>
      </c>
      <c r="AJ1798" s="65"/>
      <c r="AL1798" s="461">
        <f>SUM(F1798,H1798,J1798,L1798,N1798,P1798,T1798,V1798,X1798,Z1798,AB1798,AD1798)</f>
        <v>0</v>
      </c>
      <c r="AM1798" s="462">
        <f>AL1798-AH1798</f>
        <v>0</v>
      </c>
      <c r="AO1798" s="692"/>
      <c r="AP1798" s="692"/>
      <c r="AV1798" s="56"/>
    </row>
    <row r="1799" spans="1:48" ht="13.5" customHeight="1" outlineLevel="2" thickBot="1">
      <c r="B1799" s="82"/>
      <c r="C1799" s="1234"/>
      <c r="D1799" s="1234"/>
      <c r="E1799" s="84" t="str">
        <f>'Terms and Turnovers'!$AD$12</f>
        <v>ACCESSORIES</v>
      </c>
      <c r="F1799" s="120">
        <f>$R1799*G1799</f>
        <v>0</v>
      </c>
      <c r="G1799" s="723"/>
      <c r="H1799" s="120">
        <f>$R1799*I1799</f>
        <v>0</v>
      </c>
      <c r="I1799" s="69">
        <v>0</v>
      </c>
      <c r="J1799" s="120">
        <f>$R1799*K1799</f>
        <v>0</v>
      </c>
      <c r="K1799" s="69">
        <v>0.3</v>
      </c>
      <c r="L1799" s="120">
        <f>$R1799*M1799</f>
        <v>0</v>
      </c>
      <c r="M1799" s="69">
        <v>0.4</v>
      </c>
      <c r="N1799" s="315">
        <f>$R1799*O1799</f>
        <v>0</v>
      </c>
      <c r="O1799" s="69">
        <v>0.3</v>
      </c>
      <c r="P1799" s="120">
        <f>$R1799*Q1799</f>
        <v>0</v>
      </c>
      <c r="Q1799" s="69">
        <v>0</v>
      </c>
      <c r="R1799" s="88">
        <f>'Terms and Turnovers'!AE181</f>
        <v>0</v>
      </c>
      <c r="S1799" s="161">
        <f>SUM(G1799,I1799,K1799,M1799,O1799,Q1799)</f>
        <v>1</v>
      </c>
      <c r="T1799" s="120">
        <f>$AF1799*U1799</f>
        <v>0</v>
      </c>
      <c r="U1799" s="723">
        <v>0</v>
      </c>
      <c r="V1799" s="120">
        <f>$AF1799*W1799</f>
        <v>0</v>
      </c>
      <c r="W1799" s="69">
        <v>0.15</v>
      </c>
      <c r="X1799" s="120">
        <f>$AF1799*Y1799</f>
        <v>0</v>
      </c>
      <c r="Y1799" s="69">
        <v>0.6</v>
      </c>
      <c r="Z1799" s="120">
        <f>$AF1799*AA1799</f>
        <v>0</v>
      </c>
      <c r="AA1799" s="69">
        <v>0.25</v>
      </c>
      <c r="AB1799" s="315">
        <f>$AF1799*AC1799</f>
        <v>0</v>
      </c>
      <c r="AC1799" s="69">
        <v>0</v>
      </c>
      <c r="AD1799" s="120">
        <f>$AF1799*AE1799</f>
        <v>0</v>
      </c>
      <c r="AE1799" s="69">
        <v>0</v>
      </c>
      <c r="AF1799" s="88">
        <f>'Terms and Turnovers'!AJ181</f>
        <v>0</v>
      </c>
      <c r="AG1799" s="161">
        <f>SUM(U1799,W1799,Y1799,AA1799,AC1799,AE1799)</f>
        <v>1</v>
      </c>
      <c r="AH1799" s="158">
        <f>SUM(R1799,AF1799)</f>
        <v>0</v>
      </c>
      <c r="AI1799" s="134">
        <f>S1799+AG1799</f>
        <v>2</v>
      </c>
      <c r="AJ1799" s="65"/>
      <c r="AL1799" s="461">
        <f>SUM(F1799,H1799,J1799,L1799,N1799,P1799,T1799,V1799,X1799,Z1799,AB1799,AD1799)</f>
        <v>0</v>
      </c>
      <c r="AM1799" s="462">
        <f>AL1799-AH1799</f>
        <v>0</v>
      </c>
      <c r="AO1799" s="692"/>
      <c r="AP1799" s="692"/>
      <c r="AV1799" s="56"/>
    </row>
    <row r="1800" spans="1:48" ht="13.5" customHeight="1" outlineLevel="2" thickBot="1">
      <c r="B1800" s="82"/>
      <c r="C1800" s="1234"/>
      <c r="D1800" s="1234"/>
      <c r="E1800" s="84">
        <f>'Terms and Turnovers'!$AN$12</f>
        <v>0</v>
      </c>
      <c r="F1800" s="120">
        <f>$R1800*G1800</f>
        <v>0</v>
      </c>
      <c r="G1800" s="723"/>
      <c r="H1800" s="120">
        <f>$R1800*I1800</f>
        <v>0</v>
      </c>
      <c r="I1800" s="69">
        <v>0</v>
      </c>
      <c r="J1800" s="120">
        <f>$R1800*K1800</f>
        <v>0</v>
      </c>
      <c r="K1800" s="69">
        <v>0.3</v>
      </c>
      <c r="L1800" s="120">
        <f>$R1800*M1800</f>
        <v>0</v>
      </c>
      <c r="M1800" s="69">
        <v>0.4</v>
      </c>
      <c r="N1800" s="315">
        <f>$R1800*O1800</f>
        <v>0</v>
      </c>
      <c r="O1800" s="69">
        <v>0.3</v>
      </c>
      <c r="P1800" s="120">
        <f>$R1800*Q1800</f>
        <v>0</v>
      </c>
      <c r="Q1800" s="69">
        <v>0</v>
      </c>
      <c r="R1800" s="88">
        <f>'Terms and Turnovers'!AO181</f>
        <v>0</v>
      </c>
      <c r="S1800" s="161">
        <f>SUM(G1800,I1800,K1800,M1800,O1800,Q1800)</f>
        <v>1</v>
      </c>
      <c r="T1800" s="120">
        <f>$AF1800*U1800</f>
        <v>0</v>
      </c>
      <c r="U1800" s="723">
        <v>0</v>
      </c>
      <c r="V1800" s="120">
        <f>$AF1800*W1800</f>
        <v>0</v>
      </c>
      <c r="W1800" s="69">
        <v>0.4</v>
      </c>
      <c r="X1800" s="120">
        <f>$AF1800*Y1800</f>
        <v>0</v>
      </c>
      <c r="Y1800" s="69">
        <v>0.45</v>
      </c>
      <c r="Z1800" s="120">
        <f>$AF1800*AA1800</f>
        <v>0</v>
      </c>
      <c r="AA1800" s="69">
        <v>0.15</v>
      </c>
      <c r="AB1800" s="315">
        <f>$AF1800*AC1800</f>
        <v>0</v>
      </c>
      <c r="AC1800" s="69">
        <v>0</v>
      </c>
      <c r="AD1800" s="120">
        <f>$AF1800*AE1800</f>
        <v>0</v>
      </c>
      <c r="AE1800" s="69">
        <v>0</v>
      </c>
      <c r="AF1800" s="88">
        <f>'Terms and Turnovers'!AT181</f>
        <v>0</v>
      </c>
      <c r="AG1800" s="161">
        <f>SUM(U1800,W1800,Y1800,AA1800,AC1800,AE1800)</f>
        <v>1</v>
      </c>
      <c r="AH1800" s="158">
        <f>SUM(R1800,AF1800)</f>
        <v>0</v>
      </c>
      <c r="AI1800" s="134">
        <f>S1800+AG1800</f>
        <v>2</v>
      </c>
      <c r="AJ1800" s="65"/>
      <c r="AL1800" s="461">
        <f>SUM(F1800,H1800,J1800,L1800,N1800,P1800,T1800,V1800,X1800,Z1800,AB1800,AD1800)</f>
        <v>0</v>
      </c>
      <c r="AM1800" s="462">
        <f>AL1800-AH1800</f>
        <v>0</v>
      </c>
      <c r="AO1800" s="692"/>
      <c r="AP1800" s="692"/>
      <c r="AV1800" s="56"/>
    </row>
    <row r="1801" spans="1:48" ht="13.5" customHeight="1" outlineLevel="2" thickBot="1">
      <c r="B1801" s="82"/>
      <c r="C1801" s="1235"/>
      <c r="D1801" s="1235"/>
      <c r="E1801" s="85">
        <f>'Terms and Turnovers'!$AX$12</f>
        <v>0</v>
      </c>
      <c r="F1801" s="121">
        <f>$R1801*G1801</f>
        <v>0</v>
      </c>
      <c r="G1801" s="72"/>
      <c r="H1801" s="121">
        <f>$R1801*I1801</f>
        <v>0</v>
      </c>
      <c r="I1801" s="69">
        <v>0</v>
      </c>
      <c r="J1801" s="121">
        <f>$R1801*K1801</f>
        <v>0</v>
      </c>
      <c r="K1801" s="69">
        <v>0.3</v>
      </c>
      <c r="L1801" s="121">
        <f>$R1801*M1801</f>
        <v>0</v>
      </c>
      <c r="M1801" s="69">
        <v>0.4</v>
      </c>
      <c r="N1801" s="316">
        <f>$R1801*O1801</f>
        <v>0</v>
      </c>
      <c r="O1801" s="69">
        <v>0.3</v>
      </c>
      <c r="P1801" s="121">
        <f>$R1801*Q1801</f>
        <v>0</v>
      </c>
      <c r="Q1801" s="69">
        <v>0</v>
      </c>
      <c r="R1801" s="89">
        <f>'Terms and Turnovers'!AY181</f>
        <v>0</v>
      </c>
      <c r="S1801" s="162">
        <f>SUM(G1801,I1801,K1801,M1801,O1801,Q1801)</f>
        <v>1</v>
      </c>
      <c r="T1801" s="121">
        <f>$AF1801*U1801</f>
        <v>0</v>
      </c>
      <c r="U1801" s="72">
        <v>0</v>
      </c>
      <c r="V1801" s="121">
        <f>$AF1801*W1801</f>
        <v>0</v>
      </c>
      <c r="W1801" s="69">
        <v>0.4</v>
      </c>
      <c r="X1801" s="121">
        <f>$AF1801*Y1801</f>
        <v>0</v>
      </c>
      <c r="Y1801" s="69">
        <v>0.45</v>
      </c>
      <c r="Z1801" s="121">
        <f>$AF1801*AA1801</f>
        <v>0</v>
      </c>
      <c r="AA1801" s="69">
        <v>0.15</v>
      </c>
      <c r="AB1801" s="316">
        <f>$AF1801*AC1801</f>
        <v>0</v>
      </c>
      <c r="AC1801" s="69">
        <v>0</v>
      </c>
      <c r="AD1801" s="121">
        <f>$AF1801*AE1801</f>
        <v>0</v>
      </c>
      <c r="AE1801" s="69">
        <v>0</v>
      </c>
      <c r="AF1801" s="89">
        <f>'Terms and Turnovers'!BD181</f>
        <v>0</v>
      </c>
      <c r="AG1801" s="162">
        <f>SUM(U1801,W1801,Y1801,AA1801,AC1801,AE1801)</f>
        <v>1</v>
      </c>
      <c r="AH1801" s="159">
        <f>SUM(R1801,AF1801)</f>
        <v>0</v>
      </c>
      <c r="AI1801" s="137">
        <f>S1801+AG1801</f>
        <v>2</v>
      </c>
      <c r="AJ1801" s="65"/>
      <c r="AL1801" s="461">
        <f>SUM(F1801,H1801,J1801,L1801,N1801,P1801,T1801,V1801,X1801,Z1801,AB1801,AD1801)</f>
        <v>0</v>
      </c>
      <c r="AM1801" s="462">
        <f>AL1801-AH1801</f>
        <v>0</v>
      </c>
      <c r="AO1801" s="692"/>
      <c r="AP1801" s="692"/>
      <c r="AV1801" s="56"/>
    </row>
    <row r="1802" spans="1:48" ht="13.5" customHeight="1" outlineLevel="2" thickBot="1">
      <c r="A1802" s="119"/>
      <c r="B1802" s="82"/>
      <c r="C1802" s="425"/>
      <c r="D1802" s="425"/>
      <c r="E1802" s="426"/>
      <c r="F1802" s="427">
        <f>SUM(F1797:F1801)</f>
        <v>0</v>
      </c>
      <c r="G1802" s="428"/>
      <c r="H1802" s="427">
        <f>SUM(H1797:H1801)</f>
        <v>0</v>
      </c>
      <c r="I1802" s="69"/>
      <c r="J1802" s="427">
        <f>SUM(J1797:J1801)</f>
        <v>0</v>
      </c>
      <c r="K1802" s="69"/>
      <c r="L1802" s="427">
        <f>SUM(L1797:L1801)</f>
        <v>0</v>
      </c>
      <c r="M1802" s="69"/>
      <c r="N1802" s="427">
        <f>SUM(N1797:N1801)</f>
        <v>0</v>
      </c>
      <c r="O1802" s="69"/>
      <c r="P1802" s="427">
        <f>SUM(P1797:P1801)</f>
        <v>0</v>
      </c>
      <c r="Q1802" s="69"/>
      <c r="R1802" s="429"/>
      <c r="S1802" s="430"/>
      <c r="T1802" s="427">
        <f>SUM(T1797:T1801)</f>
        <v>0</v>
      </c>
      <c r="U1802" s="428"/>
      <c r="V1802" s="427">
        <f>SUM(V1797:V1801)</f>
        <v>0</v>
      </c>
      <c r="W1802" s="69"/>
      <c r="X1802" s="427">
        <f>SUM(X1797:X1801)</f>
        <v>0</v>
      </c>
      <c r="Y1802" s="69"/>
      <c r="Z1802" s="427">
        <f>SUM(Z1797:Z1801)</f>
        <v>0</v>
      </c>
      <c r="AA1802" s="69"/>
      <c r="AB1802" s="427">
        <f>SUM(AB1797:AB1801)</f>
        <v>0</v>
      </c>
      <c r="AC1802" s="69"/>
      <c r="AD1802" s="427">
        <f>SUM(AD1797:AD1801)</f>
        <v>0</v>
      </c>
      <c r="AE1802" s="69"/>
      <c r="AF1802" s="429"/>
      <c r="AG1802" s="430"/>
      <c r="AH1802" s="431"/>
      <c r="AI1802" s="432"/>
      <c r="AJ1802" s="65"/>
      <c r="AO1802" s="692"/>
      <c r="AP1802" s="692"/>
      <c r="AV1802" s="56"/>
    </row>
    <row r="1803" spans="1:48" ht="13.5" customHeight="1" outlineLevel="2" thickBot="1">
      <c r="A1803" s="119"/>
      <c r="B1803" s="82"/>
      <c r="C1803" s="433" t="s">
        <v>484</v>
      </c>
      <c r="D1803" s="433" t="s">
        <v>475</v>
      </c>
      <c r="E1803" s="426"/>
      <c r="F1803" s="434">
        <f>AN1803</f>
        <v>0</v>
      </c>
      <c r="G1803" s="428"/>
      <c r="H1803" s="434">
        <v>0</v>
      </c>
      <c r="I1803" s="69"/>
      <c r="J1803" s="434">
        <f>J1802</f>
        <v>0</v>
      </c>
      <c r="K1803" s="69"/>
      <c r="L1803" s="434">
        <f>L1802</f>
        <v>0</v>
      </c>
      <c r="M1803" s="69"/>
      <c r="N1803" s="434">
        <f>N1802-AO1803</f>
        <v>0</v>
      </c>
      <c r="O1803" s="69"/>
      <c r="P1803" s="434">
        <f>P1802</f>
        <v>0</v>
      </c>
      <c r="Q1803" s="69"/>
      <c r="R1803" s="429"/>
      <c r="S1803" s="430"/>
      <c r="T1803" s="434">
        <f>AO1803</f>
        <v>0</v>
      </c>
      <c r="U1803" s="428"/>
      <c r="V1803" s="434">
        <f>P1802</f>
        <v>0</v>
      </c>
      <c r="W1803" s="69"/>
      <c r="X1803" s="434">
        <f>T1802</f>
        <v>0</v>
      </c>
      <c r="Y1803" s="69"/>
      <c r="Z1803" s="434">
        <f>V1802</f>
        <v>0</v>
      </c>
      <c r="AA1803" s="69"/>
      <c r="AB1803" s="434">
        <f>X1802</f>
        <v>0</v>
      </c>
      <c r="AC1803" s="69"/>
      <c r="AD1803" s="434">
        <f>Z1802</f>
        <v>0</v>
      </c>
      <c r="AE1803" s="69"/>
      <c r="AF1803" s="429"/>
      <c r="AG1803" s="430"/>
      <c r="AH1803" s="431"/>
      <c r="AI1803" s="432"/>
      <c r="AJ1803" s="65"/>
      <c r="AN1803" s="695">
        <f>SUM(AF1797:AF1801)*AQ1803</f>
        <v>0</v>
      </c>
      <c r="AO1803" s="742">
        <f>SUM(R1797:R1801)*AQ1803</f>
        <v>0</v>
      </c>
      <c r="AP1803" s="742"/>
      <c r="AQ1803" s="693">
        <v>0.15</v>
      </c>
      <c r="AS1803" s="716">
        <f>SUM(AL1797:AL1801)</f>
        <v>0</v>
      </c>
      <c r="AT1803" s="461">
        <f>F1803+H1803+J1803+L1803+N1803+P1803+T1803+V1803+X1803+Z1803+AB1803+AD1803</f>
        <v>0</v>
      </c>
      <c r="AU1803" s="745">
        <f>AT1803-AS1803</f>
        <v>0</v>
      </c>
      <c r="AV1803" s="56"/>
    </row>
    <row r="1804" spans="1:48" ht="13.5" customHeight="1" outlineLevel="2" thickBot="1">
      <c r="B1804" s="82">
        <f>B1797+1</f>
        <v>51</v>
      </c>
      <c r="C1804" s="1233">
        <f>C363</f>
        <v>0</v>
      </c>
      <c r="D1804" s="1233">
        <f>D363</f>
        <v>0</v>
      </c>
      <c r="E1804" s="83" t="str">
        <f>'Terms and Turnovers'!$J$12</f>
        <v>FLIP-FLOPS</v>
      </c>
      <c r="F1804" s="118">
        <f>$R1804*G1804</f>
        <v>0</v>
      </c>
      <c r="G1804" s="69"/>
      <c r="H1804" s="314">
        <f>$R1804*I1804</f>
        <v>0</v>
      </c>
      <c r="I1804" s="69">
        <v>0</v>
      </c>
      <c r="J1804" s="118">
        <f>$R1804*K1804</f>
        <v>0</v>
      </c>
      <c r="K1804" s="69">
        <v>0.5</v>
      </c>
      <c r="L1804" s="314">
        <f>$R1804*M1804</f>
        <v>0</v>
      </c>
      <c r="M1804" s="69">
        <v>0.5</v>
      </c>
      <c r="N1804" s="314">
        <f>$R1804*O1804</f>
        <v>0</v>
      </c>
      <c r="O1804" s="69">
        <v>0</v>
      </c>
      <c r="P1804" s="118">
        <f>$R1804*Q1804</f>
        <v>0</v>
      </c>
      <c r="Q1804" s="69">
        <v>0</v>
      </c>
      <c r="R1804" s="87">
        <f>'Terms and Turnovers'!K182</f>
        <v>0</v>
      </c>
      <c r="S1804" s="160">
        <f>SUM(G1804,I1804,K1804,M1804,O1804,Q1804)</f>
        <v>1</v>
      </c>
      <c r="T1804" s="118">
        <f>$AF1804*U1804</f>
        <v>0</v>
      </c>
      <c r="U1804" s="69">
        <v>0</v>
      </c>
      <c r="V1804" s="314">
        <f>$AF1804*W1804</f>
        <v>0</v>
      </c>
      <c r="W1804" s="69">
        <v>0.4</v>
      </c>
      <c r="X1804" s="118">
        <f>$AF1804*Y1804</f>
        <v>0</v>
      </c>
      <c r="Y1804" s="69">
        <v>0.4</v>
      </c>
      <c r="Z1804" s="314">
        <f>$AF1804*AA1804</f>
        <v>0</v>
      </c>
      <c r="AA1804" s="69">
        <v>0.2</v>
      </c>
      <c r="AB1804" s="314">
        <f>$AF1804*AC1804</f>
        <v>0</v>
      </c>
      <c r="AC1804" s="69">
        <v>0</v>
      </c>
      <c r="AD1804" s="118">
        <f>$AF1804*AE1804</f>
        <v>0</v>
      </c>
      <c r="AE1804" s="69">
        <v>0</v>
      </c>
      <c r="AF1804" s="87">
        <f>'Terms and Turnovers'!P182</f>
        <v>0</v>
      </c>
      <c r="AG1804" s="160">
        <f>SUM(U1804,W1804,Y1804,AA1804,AC1804,AE1804)</f>
        <v>1</v>
      </c>
      <c r="AH1804" s="157">
        <f>SUM(R1804,AF1804)</f>
        <v>0</v>
      </c>
      <c r="AI1804" s="131">
        <f>S1804+AG1804</f>
        <v>2</v>
      </c>
      <c r="AJ1804" s="65"/>
      <c r="AL1804" s="461">
        <f>SUM(F1804,H1804,J1804,L1804,N1804,P1804,T1804,V1804,X1804,Z1804,AB1804,AD1804)</f>
        <v>0</v>
      </c>
      <c r="AM1804" s="462">
        <f>AL1804-AH1804</f>
        <v>0</v>
      </c>
      <c r="AO1804" s="692"/>
      <c r="AP1804" s="692"/>
      <c r="AV1804" s="56"/>
    </row>
    <row r="1805" spans="1:48" ht="13.5" customHeight="1" outlineLevel="2" thickBot="1">
      <c r="B1805" s="82"/>
      <c r="C1805" s="1234"/>
      <c r="D1805" s="1234"/>
      <c r="E1805" s="84" t="str">
        <f>'Terms and Turnovers'!$T$12</f>
        <v>ORIGINALS</v>
      </c>
      <c r="F1805" s="120">
        <f>$R1805*G1805</f>
        <v>0</v>
      </c>
      <c r="G1805" s="723"/>
      <c r="H1805" s="120">
        <f>$R1805*I1805</f>
        <v>0</v>
      </c>
      <c r="I1805" s="69">
        <v>0</v>
      </c>
      <c r="J1805" s="120">
        <f>$R1805*K1805</f>
        <v>0</v>
      </c>
      <c r="K1805" s="69">
        <v>0.5</v>
      </c>
      <c r="L1805" s="120">
        <f>$R1805*M1805</f>
        <v>0</v>
      </c>
      <c r="M1805" s="69">
        <v>0.5</v>
      </c>
      <c r="N1805" s="315">
        <f>$R1805*O1805</f>
        <v>0</v>
      </c>
      <c r="O1805" s="69">
        <v>0</v>
      </c>
      <c r="P1805" s="120">
        <f>$R1805*Q1805</f>
        <v>0</v>
      </c>
      <c r="Q1805" s="69">
        <v>0</v>
      </c>
      <c r="R1805" s="88">
        <f>'Terms and Turnovers'!U182</f>
        <v>0</v>
      </c>
      <c r="S1805" s="161">
        <f>SUM(G1805,I1805,K1805,M1805,O1805,Q1805)</f>
        <v>1</v>
      </c>
      <c r="T1805" s="120">
        <f>$AF1805*U1805</f>
        <v>0</v>
      </c>
      <c r="U1805" s="723">
        <v>0</v>
      </c>
      <c r="V1805" s="120">
        <f>$AF1805*W1805</f>
        <v>0</v>
      </c>
      <c r="W1805" s="69">
        <v>0.5</v>
      </c>
      <c r="X1805" s="120">
        <f>$AF1805*Y1805</f>
        <v>0</v>
      </c>
      <c r="Y1805" s="69">
        <v>0.5</v>
      </c>
      <c r="Z1805" s="120">
        <f>$AF1805*AA1805</f>
        <v>0</v>
      </c>
      <c r="AA1805" s="69">
        <v>0</v>
      </c>
      <c r="AB1805" s="315">
        <f>$AF1805*AC1805</f>
        <v>0</v>
      </c>
      <c r="AC1805" s="69">
        <v>0</v>
      </c>
      <c r="AD1805" s="120">
        <f>$AF1805*AE1805</f>
        <v>0</v>
      </c>
      <c r="AE1805" s="69">
        <v>0</v>
      </c>
      <c r="AF1805" s="88">
        <f>'Terms and Turnovers'!Z182</f>
        <v>0</v>
      </c>
      <c r="AG1805" s="161">
        <f>SUM(U1805,W1805,Y1805,AA1805,AC1805,AE1805)</f>
        <v>1</v>
      </c>
      <c r="AH1805" s="158">
        <f>SUM(R1805,AF1805)</f>
        <v>0</v>
      </c>
      <c r="AI1805" s="134">
        <f>S1805+AG1805</f>
        <v>2</v>
      </c>
      <c r="AJ1805" s="65"/>
      <c r="AL1805" s="461">
        <f>SUM(F1805,H1805,J1805,L1805,N1805,P1805,T1805,V1805,X1805,Z1805,AB1805,AD1805)</f>
        <v>0</v>
      </c>
      <c r="AM1805" s="462">
        <f>AL1805-AH1805</f>
        <v>0</v>
      </c>
      <c r="AO1805" s="692"/>
      <c r="AP1805" s="692"/>
      <c r="AV1805" s="56"/>
    </row>
    <row r="1806" spans="1:48" ht="13.5" customHeight="1" outlineLevel="2" thickBot="1">
      <c r="B1806" s="82"/>
      <c r="C1806" s="1234"/>
      <c r="D1806" s="1234"/>
      <c r="E1806" s="84" t="str">
        <f>'Terms and Turnovers'!$AD$12</f>
        <v>ACCESSORIES</v>
      </c>
      <c r="F1806" s="120">
        <f>$R1806*G1806</f>
        <v>0</v>
      </c>
      <c r="G1806" s="723"/>
      <c r="H1806" s="120">
        <f>$R1806*I1806</f>
        <v>0</v>
      </c>
      <c r="I1806" s="69">
        <v>0</v>
      </c>
      <c r="J1806" s="120">
        <f>$R1806*K1806</f>
        <v>0</v>
      </c>
      <c r="K1806" s="69">
        <v>0.5</v>
      </c>
      <c r="L1806" s="120">
        <f>$R1806*M1806</f>
        <v>0</v>
      </c>
      <c r="M1806" s="69">
        <v>0.5</v>
      </c>
      <c r="N1806" s="315">
        <f>$R1806*O1806</f>
        <v>0</v>
      </c>
      <c r="O1806" s="69">
        <v>0</v>
      </c>
      <c r="P1806" s="120">
        <f>$R1806*Q1806</f>
        <v>0</v>
      </c>
      <c r="Q1806" s="69">
        <v>0</v>
      </c>
      <c r="R1806" s="88">
        <f>'Terms and Turnovers'!AE182</f>
        <v>0</v>
      </c>
      <c r="S1806" s="161">
        <f>SUM(G1806,I1806,K1806,M1806,O1806,Q1806)</f>
        <v>1</v>
      </c>
      <c r="T1806" s="120">
        <f>$AF1806*U1806</f>
        <v>0</v>
      </c>
      <c r="U1806" s="723">
        <v>0</v>
      </c>
      <c r="V1806" s="120">
        <f>$AF1806*W1806</f>
        <v>0</v>
      </c>
      <c r="W1806" s="69">
        <v>0.5</v>
      </c>
      <c r="X1806" s="120">
        <f>$AF1806*Y1806</f>
        <v>0</v>
      </c>
      <c r="Y1806" s="69">
        <v>0.5</v>
      </c>
      <c r="Z1806" s="120">
        <f>$AF1806*AA1806</f>
        <v>0</v>
      </c>
      <c r="AA1806" s="69">
        <v>0</v>
      </c>
      <c r="AB1806" s="315">
        <f>$AF1806*AC1806</f>
        <v>0</v>
      </c>
      <c r="AC1806" s="69">
        <v>0</v>
      </c>
      <c r="AD1806" s="120">
        <f>$AF1806*AE1806</f>
        <v>0</v>
      </c>
      <c r="AE1806" s="69">
        <v>0</v>
      </c>
      <c r="AF1806" s="88">
        <f>'Terms and Turnovers'!AJ182</f>
        <v>0</v>
      </c>
      <c r="AG1806" s="161">
        <f>SUM(U1806,W1806,Y1806,AA1806,AC1806,AE1806)</f>
        <v>1</v>
      </c>
      <c r="AH1806" s="158">
        <f>SUM(R1806,AF1806)</f>
        <v>0</v>
      </c>
      <c r="AI1806" s="134">
        <f>S1806+AG1806</f>
        <v>2</v>
      </c>
      <c r="AJ1806" s="65"/>
      <c r="AL1806" s="461">
        <f>SUM(F1806,H1806,J1806,L1806,N1806,P1806,T1806,V1806,X1806,Z1806,AB1806,AD1806)</f>
        <v>0</v>
      </c>
      <c r="AM1806" s="462">
        <f>AL1806-AH1806</f>
        <v>0</v>
      </c>
      <c r="AO1806" s="692"/>
      <c r="AP1806" s="692"/>
      <c r="AV1806" s="56"/>
    </row>
    <row r="1807" spans="1:48" ht="13.5" customHeight="1" outlineLevel="2" thickBot="1">
      <c r="B1807" s="82"/>
      <c r="C1807" s="1234"/>
      <c r="D1807" s="1234"/>
      <c r="E1807" s="84">
        <f>'Terms and Turnovers'!$AN$12</f>
        <v>0</v>
      </c>
      <c r="F1807" s="120">
        <f>$R1807*G1807</f>
        <v>0</v>
      </c>
      <c r="G1807" s="723"/>
      <c r="H1807" s="120">
        <f>$R1807*I1807</f>
        <v>0</v>
      </c>
      <c r="I1807" s="69">
        <v>0</v>
      </c>
      <c r="J1807" s="120">
        <f>$R1807*K1807</f>
        <v>0</v>
      </c>
      <c r="K1807" s="69">
        <v>0.5</v>
      </c>
      <c r="L1807" s="120">
        <f>$R1807*M1807</f>
        <v>0</v>
      </c>
      <c r="M1807" s="69">
        <v>0.5</v>
      </c>
      <c r="N1807" s="315">
        <f>$R1807*O1807</f>
        <v>0</v>
      </c>
      <c r="O1807" s="69">
        <v>0</v>
      </c>
      <c r="P1807" s="120">
        <f>$R1807*Q1807</f>
        <v>0</v>
      </c>
      <c r="Q1807" s="69">
        <v>0</v>
      </c>
      <c r="R1807" s="88">
        <f>'Terms and Turnovers'!AO182</f>
        <v>0</v>
      </c>
      <c r="S1807" s="161">
        <f>SUM(G1807,I1807,K1807,M1807,O1807,Q1807)</f>
        <v>1</v>
      </c>
      <c r="T1807" s="120">
        <f>$AF1807*U1807</f>
        <v>0</v>
      </c>
      <c r="U1807" s="723">
        <v>0</v>
      </c>
      <c r="V1807" s="120">
        <f>$AF1807*W1807</f>
        <v>0</v>
      </c>
      <c r="W1807" s="69">
        <v>0.4</v>
      </c>
      <c r="X1807" s="120">
        <f>$AF1807*Y1807</f>
        <v>0</v>
      </c>
      <c r="Y1807" s="69">
        <v>0.4</v>
      </c>
      <c r="Z1807" s="120">
        <f>$AF1807*AA1807</f>
        <v>0</v>
      </c>
      <c r="AA1807" s="69">
        <v>0.2</v>
      </c>
      <c r="AB1807" s="315">
        <f>$AF1807*AC1807</f>
        <v>0</v>
      </c>
      <c r="AC1807" s="69">
        <v>0</v>
      </c>
      <c r="AD1807" s="120">
        <f>$AF1807*AE1807</f>
        <v>0</v>
      </c>
      <c r="AE1807" s="69">
        <v>0</v>
      </c>
      <c r="AF1807" s="88">
        <f>'Terms and Turnovers'!AT182</f>
        <v>0</v>
      </c>
      <c r="AG1807" s="161">
        <f>SUM(U1807,W1807,Y1807,AA1807,AC1807,AE1807)</f>
        <v>1</v>
      </c>
      <c r="AH1807" s="158">
        <f>SUM(R1807,AF1807)</f>
        <v>0</v>
      </c>
      <c r="AI1807" s="134">
        <f>S1807+AG1807</f>
        <v>2</v>
      </c>
      <c r="AJ1807" s="65"/>
      <c r="AL1807" s="461">
        <f>SUM(F1807,H1807,J1807,L1807,N1807,P1807,T1807,V1807,X1807,Z1807,AB1807,AD1807)</f>
        <v>0</v>
      </c>
      <c r="AM1807" s="462">
        <f>AL1807-AH1807</f>
        <v>0</v>
      </c>
      <c r="AO1807" s="692"/>
      <c r="AP1807" s="692"/>
      <c r="AV1807" s="56"/>
    </row>
    <row r="1808" spans="1:48" ht="13.5" customHeight="1" outlineLevel="2" thickBot="1">
      <c r="B1808" s="82"/>
      <c r="C1808" s="1235"/>
      <c r="D1808" s="1235"/>
      <c r="E1808" s="85">
        <f>'Terms and Turnovers'!$AX$12</f>
        <v>0</v>
      </c>
      <c r="F1808" s="121">
        <f>$R1808*G1808</f>
        <v>0</v>
      </c>
      <c r="G1808" s="72"/>
      <c r="H1808" s="121">
        <f>$R1808*I1808</f>
        <v>0</v>
      </c>
      <c r="I1808" s="69">
        <v>0</v>
      </c>
      <c r="J1808" s="121">
        <f>$R1808*K1808</f>
        <v>0</v>
      </c>
      <c r="K1808" s="69">
        <v>0.5</v>
      </c>
      <c r="L1808" s="121">
        <f>$R1808*M1808</f>
        <v>0</v>
      </c>
      <c r="M1808" s="69">
        <v>0.5</v>
      </c>
      <c r="N1808" s="316">
        <f>$R1808*O1808</f>
        <v>0</v>
      </c>
      <c r="O1808" s="69">
        <v>0</v>
      </c>
      <c r="P1808" s="121">
        <f>$R1808*Q1808</f>
        <v>0</v>
      </c>
      <c r="Q1808" s="69">
        <v>0</v>
      </c>
      <c r="R1808" s="89">
        <f>'Terms and Turnovers'!AY182</f>
        <v>0</v>
      </c>
      <c r="S1808" s="162">
        <f>SUM(G1808,I1808,K1808,M1808,O1808,Q1808)</f>
        <v>1</v>
      </c>
      <c r="T1808" s="121">
        <f>$AF1808*U1808</f>
        <v>0</v>
      </c>
      <c r="U1808" s="72">
        <v>0</v>
      </c>
      <c r="V1808" s="121">
        <f>$AF1808*W1808</f>
        <v>0</v>
      </c>
      <c r="W1808" s="69">
        <v>0.4</v>
      </c>
      <c r="X1808" s="121">
        <f>$AF1808*Y1808</f>
        <v>0</v>
      </c>
      <c r="Y1808" s="69">
        <v>0.4</v>
      </c>
      <c r="Z1808" s="121">
        <f>$AF1808*AA1808</f>
        <v>0</v>
      </c>
      <c r="AA1808" s="69">
        <v>0.2</v>
      </c>
      <c r="AB1808" s="316">
        <f>$AF1808*AC1808</f>
        <v>0</v>
      </c>
      <c r="AC1808" s="69">
        <v>0</v>
      </c>
      <c r="AD1808" s="121">
        <f>$AF1808*AE1808</f>
        <v>0</v>
      </c>
      <c r="AE1808" s="69">
        <v>0</v>
      </c>
      <c r="AF1808" s="89">
        <f>'Terms and Turnovers'!BD182</f>
        <v>0</v>
      </c>
      <c r="AG1808" s="162">
        <f>SUM(U1808,W1808,Y1808,AA1808,AC1808,AE1808)</f>
        <v>1</v>
      </c>
      <c r="AH1808" s="159">
        <f>SUM(R1808,AF1808)</f>
        <v>0</v>
      </c>
      <c r="AI1808" s="137">
        <f>S1808+AG1808</f>
        <v>2</v>
      </c>
      <c r="AJ1808" s="65"/>
      <c r="AL1808" s="461">
        <f>SUM(F1808,H1808,J1808,L1808,N1808,P1808,T1808,V1808,X1808,Z1808,AB1808,AD1808)</f>
        <v>0</v>
      </c>
      <c r="AM1808" s="462">
        <f>AL1808-AH1808</f>
        <v>0</v>
      </c>
      <c r="AO1808" s="692"/>
      <c r="AP1808" s="692"/>
      <c r="AV1808" s="56"/>
    </row>
    <row r="1809" spans="1:48" ht="13.5" customHeight="1" outlineLevel="2" thickBot="1">
      <c r="A1809" s="119"/>
      <c r="B1809" s="82"/>
      <c r="C1809" s="425"/>
      <c r="D1809" s="425"/>
      <c r="E1809" s="426"/>
      <c r="F1809" s="427">
        <f>SUM(F1804:F1808)</f>
        <v>0</v>
      </c>
      <c r="G1809" s="428"/>
      <c r="H1809" s="427">
        <f>SUM(H1804:H1808)</f>
        <v>0</v>
      </c>
      <c r="I1809" s="69"/>
      <c r="J1809" s="427">
        <f>SUM(J1804:J1808)</f>
        <v>0</v>
      </c>
      <c r="K1809" s="69"/>
      <c r="L1809" s="427">
        <f>SUM(L1804:L1808)</f>
        <v>0</v>
      </c>
      <c r="M1809" s="69"/>
      <c r="N1809" s="427">
        <f>SUM(N1804:N1808)</f>
        <v>0</v>
      </c>
      <c r="O1809" s="69"/>
      <c r="P1809" s="427">
        <f>SUM(P1804:P1808)</f>
        <v>0</v>
      </c>
      <c r="Q1809" s="69"/>
      <c r="R1809" s="429"/>
      <c r="S1809" s="430"/>
      <c r="T1809" s="427">
        <f>SUM(T1804:T1808)</f>
        <v>0</v>
      </c>
      <c r="U1809" s="428"/>
      <c r="V1809" s="427">
        <f>SUM(V1804:V1808)</f>
        <v>0</v>
      </c>
      <c r="W1809" s="69"/>
      <c r="X1809" s="427">
        <f>SUM(X1804:X1808)</f>
        <v>0</v>
      </c>
      <c r="Y1809" s="69"/>
      <c r="Z1809" s="427">
        <f>SUM(Z1804:Z1808)</f>
        <v>0</v>
      </c>
      <c r="AA1809" s="69"/>
      <c r="AB1809" s="427">
        <f>SUM(AB1804:AB1808)</f>
        <v>0</v>
      </c>
      <c r="AC1809" s="69"/>
      <c r="AD1809" s="427">
        <f>SUM(AD1804:AD1808)</f>
        <v>0</v>
      </c>
      <c r="AE1809" s="69"/>
      <c r="AF1809" s="429"/>
      <c r="AG1809" s="430"/>
      <c r="AH1809" s="431"/>
      <c r="AI1809" s="432"/>
      <c r="AJ1809" s="65"/>
      <c r="AO1809" s="692"/>
      <c r="AP1809" s="692"/>
      <c r="AV1809" s="56"/>
    </row>
    <row r="1810" spans="1:48" ht="13.5" customHeight="1" outlineLevel="2" thickBot="1">
      <c r="A1810" s="119"/>
      <c r="B1810" s="82"/>
      <c r="C1810" s="433" t="s">
        <v>484</v>
      </c>
      <c r="D1810" s="433" t="s">
        <v>355</v>
      </c>
      <c r="E1810" s="426"/>
      <c r="F1810" s="434">
        <f>AN1810</f>
        <v>0</v>
      </c>
      <c r="G1810" s="428"/>
      <c r="H1810" s="434">
        <f>H1809</f>
        <v>0</v>
      </c>
      <c r="I1810" s="69"/>
      <c r="J1810" s="434">
        <f>J1809</f>
        <v>0</v>
      </c>
      <c r="K1810" s="69"/>
      <c r="L1810" s="434">
        <f>L1809-(AO1810)</f>
        <v>0</v>
      </c>
      <c r="M1810" s="69"/>
      <c r="N1810" s="434">
        <f>N1809</f>
        <v>0</v>
      </c>
      <c r="O1810" s="69"/>
      <c r="P1810" s="434">
        <f>P1809</f>
        <v>0</v>
      </c>
      <c r="Q1810" s="69"/>
      <c r="R1810" s="429"/>
      <c r="S1810" s="430"/>
      <c r="T1810" s="434">
        <f>AO1810</f>
        <v>0</v>
      </c>
      <c r="U1810" s="428">
        <f>Q1809</f>
        <v>0</v>
      </c>
      <c r="V1810" s="434">
        <f>V1809</f>
        <v>0</v>
      </c>
      <c r="W1810" s="69">
        <f>S1809</f>
        <v>0</v>
      </c>
      <c r="X1810" s="434">
        <f>X1809</f>
        <v>0</v>
      </c>
      <c r="Y1810" s="69">
        <f>U1809</f>
        <v>0</v>
      </c>
      <c r="Z1810" s="434">
        <f>Z1809-AN1810</f>
        <v>0</v>
      </c>
      <c r="AA1810" s="69">
        <f>W1809</f>
        <v>0</v>
      </c>
      <c r="AB1810" s="434">
        <f>AB1809</f>
        <v>0</v>
      </c>
      <c r="AC1810" s="69">
        <f>Y1809</f>
        <v>0</v>
      </c>
      <c r="AD1810" s="434">
        <f>AD1809</f>
        <v>0</v>
      </c>
      <c r="AE1810" s="69"/>
      <c r="AF1810" s="429"/>
      <c r="AG1810" s="430"/>
      <c r="AH1810" s="431"/>
      <c r="AI1810" s="432"/>
      <c r="AJ1810" s="65"/>
      <c r="AN1810" s="695">
        <f>SUM(AF1804:AF1808)*AQ1810</f>
        <v>0</v>
      </c>
      <c r="AO1810" s="742">
        <f>SUM(R1804:R1808)*AQ1810</f>
        <v>0</v>
      </c>
      <c r="AP1810" s="742"/>
      <c r="AQ1810" s="693">
        <v>0.15</v>
      </c>
      <c r="AS1810" s="716">
        <f>SUM(AL1804:AL1808)</f>
        <v>0</v>
      </c>
      <c r="AT1810" s="461">
        <f>F1810+H1810+J1810+L1810+N1810+P1810+T1810+V1810+X1810+Z1810+AB1810+AD1810</f>
        <v>0</v>
      </c>
      <c r="AU1810" s="745">
        <f>AT1810-AS1810</f>
        <v>0</v>
      </c>
      <c r="AV1810" s="56"/>
    </row>
    <row r="1811" spans="1:48" ht="13.5" customHeight="1" outlineLevel="2" thickBot="1">
      <c r="B1811" s="82">
        <f>B1804+1</f>
        <v>52</v>
      </c>
      <c r="C1811" s="1233">
        <f>C370</f>
        <v>0</v>
      </c>
      <c r="D1811" s="1233">
        <f>D370</f>
        <v>0</v>
      </c>
      <c r="E1811" s="83" t="str">
        <f>'Terms and Turnovers'!$J$12</f>
        <v>FLIP-FLOPS</v>
      </c>
      <c r="F1811" s="118">
        <f>$R1811*G1811</f>
        <v>0</v>
      </c>
      <c r="G1811" s="69"/>
      <c r="H1811" s="314">
        <f>$R1811*I1811</f>
        <v>0</v>
      </c>
      <c r="I1811" s="69">
        <v>0.1</v>
      </c>
      <c r="J1811" s="118">
        <f>$R1811*K1811</f>
        <v>0</v>
      </c>
      <c r="K1811" s="69">
        <v>0.25</v>
      </c>
      <c r="L1811" s="314">
        <f>$R1811*M1811</f>
        <v>0</v>
      </c>
      <c r="M1811" s="69">
        <v>0.45</v>
      </c>
      <c r="N1811" s="314">
        <f>$R1811*O1811</f>
        <v>0</v>
      </c>
      <c r="O1811" s="69">
        <v>0.2</v>
      </c>
      <c r="P1811" s="118">
        <f>$R1811*Q1811</f>
        <v>0</v>
      </c>
      <c r="Q1811" s="69">
        <v>0</v>
      </c>
      <c r="R1811" s="87">
        <f>'Terms and Turnovers'!K183</f>
        <v>0</v>
      </c>
      <c r="S1811" s="160">
        <f>SUM(G1811,I1811,K1811,M1811,O1811,Q1811)</f>
        <v>1</v>
      </c>
      <c r="T1811" s="118">
        <f>$AF1811*U1811</f>
        <v>0</v>
      </c>
      <c r="U1811" s="69">
        <v>0</v>
      </c>
      <c r="V1811" s="314">
        <f>$AF1811*W1811</f>
        <v>0</v>
      </c>
      <c r="W1811" s="69">
        <v>0.4</v>
      </c>
      <c r="X1811" s="118">
        <f>$AF1811*Y1811</f>
        <v>0</v>
      </c>
      <c r="Y1811" s="69">
        <v>0.4</v>
      </c>
      <c r="Z1811" s="314">
        <f>$AF1811*AA1811</f>
        <v>0</v>
      </c>
      <c r="AA1811" s="69">
        <v>0.2</v>
      </c>
      <c r="AB1811" s="314">
        <f>$AF1811*AC1811</f>
        <v>0</v>
      </c>
      <c r="AC1811" s="69">
        <v>0</v>
      </c>
      <c r="AD1811" s="118">
        <f>$AF1811*AE1811</f>
        <v>0</v>
      </c>
      <c r="AE1811" s="69">
        <v>0</v>
      </c>
      <c r="AF1811" s="87">
        <f>'Terms and Turnovers'!P183</f>
        <v>0</v>
      </c>
      <c r="AG1811" s="160">
        <f>SUM(U1811,W1811,Y1811,AA1811,AC1811,AE1811)</f>
        <v>1</v>
      </c>
      <c r="AH1811" s="157">
        <f>SUM(R1811,AF1811)</f>
        <v>0</v>
      </c>
      <c r="AI1811" s="131">
        <f>S1811+AG1811</f>
        <v>2</v>
      </c>
      <c r="AJ1811" s="65"/>
      <c r="AL1811" s="461">
        <f>SUM(F1811,H1811,J1811,L1811,N1811,P1811,T1811,V1811,X1811,Z1811,AB1811,AD1811)</f>
        <v>0</v>
      </c>
      <c r="AM1811" s="462">
        <f>AL1811-AH1811</f>
        <v>0</v>
      </c>
      <c r="AO1811" s="692"/>
      <c r="AP1811" s="692"/>
      <c r="AV1811" s="56"/>
    </row>
    <row r="1812" spans="1:48" ht="13.5" customHeight="1" outlineLevel="2" thickBot="1">
      <c r="B1812" s="82"/>
      <c r="C1812" s="1234"/>
      <c r="D1812" s="1234"/>
      <c r="E1812" s="84" t="str">
        <f>'Terms and Turnovers'!$T$12</f>
        <v>ORIGINALS</v>
      </c>
      <c r="F1812" s="120">
        <f>$R1812*G1812</f>
        <v>0</v>
      </c>
      <c r="G1812" s="723"/>
      <c r="H1812" s="120">
        <f>$R1812*I1812</f>
        <v>0</v>
      </c>
      <c r="I1812" s="69">
        <v>0</v>
      </c>
      <c r="J1812" s="120">
        <f>$R1812*K1812</f>
        <v>0</v>
      </c>
      <c r="K1812" s="69">
        <v>0.5</v>
      </c>
      <c r="L1812" s="120">
        <f>$R1812*M1812</f>
        <v>0</v>
      </c>
      <c r="M1812" s="69">
        <v>0.5</v>
      </c>
      <c r="N1812" s="315">
        <f>$R1812*O1812</f>
        <v>0</v>
      </c>
      <c r="O1812" s="69">
        <v>0</v>
      </c>
      <c r="P1812" s="120">
        <f>$R1812*Q1812</f>
        <v>0</v>
      </c>
      <c r="Q1812" s="69">
        <v>0</v>
      </c>
      <c r="R1812" s="88">
        <f>'Terms and Turnovers'!U183</f>
        <v>0</v>
      </c>
      <c r="S1812" s="161">
        <f>SUM(G1812,I1812,K1812,M1812,O1812,Q1812)</f>
        <v>1</v>
      </c>
      <c r="T1812" s="120">
        <f>$AF1812*U1812</f>
        <v>0</v>
      </c>
      <c r="U1812" s="723">
        <v>0</v>
      </c>
      <c r="V1812" s="120">
        <f>$AF1812*W1812</f>
        <v>0</v>
      </c>
      <c r="W1812" s="69">
        <v>0.5</v>
      </c>
      <c r="X1812" s="120">
        <f>$AF1812*Y1812</f>
        <v>0</v>
      </c>
      <c r="Y1812" s="69">
        <v>0.5</v>
      </c>
      <c r="Z1812" s="120">
        <f>$AF1812*AA1812</f>
        <v>0</v>
      </c>
      <c r="AA1812" s="69">
        <v>0</v>
      </c>
      <c r="AB1812" s="315">
        <f>$AF1812*AC1812</f>
        <v>0</v>
      </c>
      <c r="AC1812" s="69">
        <v>0</v>
      </c>
      <c r="AD1812" s="120">
        <f>$AF1812*AE1812</f>
        <v>0</v>
      </c>
      <c r="AE1812" s="69">
        <v>0</v>
      </c>
      <c r="AF1812" s="88">
        <f>'Terms and Turnovers'!Z183</f>
        <v>0</v>
      </c>
      <c r="AG1812" s="161">
        <f>SUM(U1812,W1812,Y1812,AA1812,AC1812,AE1812)</f>
        <v>1</v>
      </c>
      <c r="AH1812" s="158">
        <f>SUM(R1812,AF1812)</f>
        <v>0</v>
      </c>
      <c r="AI1812" s="134">
        <f>S1812+AG1812</f>
        <v>2</v>
      </c>
      <c r="AJ1812" s="65"/>
      <c r="AL1812" s="461">
        <f>SUM(F1812,H1812,J1812,L1812,N1812,P1812,T1812,V1812,X1812,Z1812,AB1812,AD1812)</f>
        <v>0</v>
      </c>
      <c r="AM1812" s="462">
        <f>AL1812-AH1812</f>
        <v>0</v>
      </c>
      <c r="AO1812" s="692"/>
      <c r="AP1812" s="692"/>
      <c r="AV1812" s="56"/>
    </row>
    <row r="1813" spans="1:48" ht="13.5" customHeight="1" outlineLevel="2" thickBot="1">
      <c r="B1813" s="82"/>
      <c r="C1813" s="1234"/>
      <c r="D1813" s="1234"/>
      <c r="E1813" s="84" t="str">
        <f>'Terms and Turnovers'!$AD$12</f>
        <v>ACCESSORIES</v>
      </c>
      <c r="F1813" s="120">
        <f>$R1813*G1813</f>
        <v>0</v>
      </c>
      <c r="G1813" s="723"/>
      <c r="H1813" s="120">
        <f>$R1813*I1813</f>
        <v>0</v>
      </c>
      <c r="I1813" s="69">
        <v>0</v>
      </c>
      <c r="J1813" s="120">
        <f>$R1813*K1813</f>
        <v>0</v>
      </c>
      <c r="K1813" s="69">
        <v>0.5</v>
      </c>
      <c r="L1813" s="120">
        <f>$R1813*M1813</f>
        <v>0</v>
      </c>
      <c r="M1813" s="69">
        <v>0.5</v>
      </c>
      <c r="N1813" s="315">
        <f>$R1813*O1813</f>
        <v>0</v>
      </c>
      <c r="O1813" s="69">
        <v>0</v>
      </c>
      <c r="P1813" s="120">
        <f>$R1813*Q1813</f>
        <v>0</v>
      </c>
      <c r="Q1813" s="69">
        <v>0</v>
      </c>
      <c r="R1813" s="88">
        <f>'Terms and Turnovers'!AE183</f>
        <v>0</v>
      </c>
      <c r="S1813" s="161">
        <f>SUM(G1813,I1813,K1813,M1813,O1813,Q1813)</f>
        <v>1</v>
      </c>
      <c r="T1813" s="120">
        <f>$AF1813*U1813</f>
        <v>0</v>
      </c>
      <c r="U1813" s="723">
        <v>0</v>
      </c>
      <c r="V1813" s="120">
        <f>$AF1813*W1813</f>
        <v>0</v>
      </c>
      <c r="W1813" s="69">
        <v>0.5</v>
      </c>
      <c r="X1813" s="120">
        <f>$AF1813*Y1813</f>
        <v>0</v>
      </c>
      <c r="Y1813" s="69">
        <v>0.5</v>
      </c>
      <c r="Z1813" s="120">
        <f>$AF1813*AA1813</f>
        <v>0</v>
      </c>
      <c r="AA1813" s="69">
        <v>0</v>
      </c>
      <c r="AB1813" s="315">
        <f>$AF1813*AC1813</f>
        <v>0</v>
      </c>
      <c r="AC1813" s="69">
        <v>0</v>
      </c>
      <c r="AD1813" s="120">
        <f>$AF1813*AE1813</f>
        <v>0</v>
      </c>
      <c r="AE1813" s="69">
        <v>0</v>
      </c>
      <c r="AF1813" s="88">
        <f>'Terms and Turnovers'!AJ183</f>
        <v>0</v>
      </c>
      <c r="AG1813" s="161">
        <f>SUM(U1813,W1813,Y1813,AA1813,AC1813,AE1813)</f>
        <v>1</v>
      </c>
      <c r="AH1813" s="158">
        <f>SUM(R1813,AF1813)</f>
        <v>0</v>
      </c>
      <c r="AI1813" s="134">
        <f>S1813+AG1813</f>
        <v>2</v>
      </c>
      <c r="AJ1813" s="65"/>
      <c r="AL1813" s="461">
        <f>SUM(F1813,H1813,J1813,L1813,N1813,P1813,T1813,V1813,X1813,Z1813,AB1813,AD1813)</f>
        <v>0</v>
      </c>
      <c r="AM1813" s="462">
        <f>AL1813-AH1813</f>
        <v>0</v>
      </c>
      <c r="AO1813" s="692"/>
      <c r="AP1813" s="692"/>
      <c r="AV1813" s="56"/>
    </row>
    <row r="1814" spans="1:48" ht="13.5" customHeight="1" outlineLevel="2" thickBot="1">
      <c r="B1814" s="82"/>
      <c r="C1814" s="1234"/>
      <c r="D1814" s="1234"/>
      <c r="E1814" s="84">
        <f>'Terms and Turnovers'!$AN$12</f>
        <v>0</v>
      </c>
      <c r="F1814" s="120">
        <f>$R1814*G1814</f>
        <v>0</v>
      </c>
      <c r="G1814" s="723"/>
      <c r="H1814" s="120">
        <f>$R1814*I1814</f>
        <v>0</v>
      </c>
      <c r="I1814" s="69">
        <v>0.1</v>
      </c>
      <c r="J1814" s="120">
        <f>$R1814*K1814</f>
        <v>0</v>
      </c>
      <c r="K1814" s="69">
        <v>0.25</v>
      </c>
      <c r="L1814" s="120">
        <f>$R1814*M1814</f>
        <v>0</v>
      </c>
      <c r="M1814" s="69">
        <v>0.45</v>
      </c>
      <c r="N1814" s="315">
        <f>$R1814*O1814</f>
        <v>0</v>
      </c>
      <c r="O1814" s="69">
        <v>0.2</v>
      </c>
      <c r="P1814" s="120">
        <f>$R1814*Q1814</f>
        <v>0</v>
      </c>
      <c r="Q1814" s="69">
        <v>0</v>
      </c>
      <c r="R1814" s="88">
        <f>'Terms and Turnovers'!AO183</f>
        <v>0</v>
      </c>
      <c r="S1814" s="161">
        <f>SUM(G1814,I1814,K1814,M1814,O1814,Q1814)</f>
        <v>1</v>
      </c>
      <c r="T1814" s="120">
        <f>$AF1814*U1814</f>
        <v>0</v>
      </c>
      <c r="U1814" s="723">
        <v>0</v>
      </c>
      <c r="V1814" s="120">
        <f>$AF1814*W1814</f>
        <v>0</v>
      </c>
      <c r="W1814" s="69">
        <v>0.4</v>
      </c>
      <c r="X1814" s="120">
        <f>$AF1814*Y1814</f>
        <v>0</v>
      </c>
      <c r="Y1814" s="69">
        <v>0.4</v>
      </c>
      <c r="Z1814" s="120">
        <f>$AF1814*AA1814</f>
        <v>0</v>
      </c>
      <c r="AA1814" s="69">
        <v>0.2</v>
      </c>
      <c r="AB1814" s="315">
        <f>$AF1814*AC1814</f>
        <v>0</v>
      </c>
      <c r="AC1814" s="69">
        <v>0</v>
      </c>
      <c r="AD1814" s="120">
        <f>$AF1814*AE1814</f>
        <v>0</v>
      </c>
      <c r="AE1814" s="69">
        <v>0</v>
      </c>
      <c r="AF1814" s="88">
        <f>'Terms and Turnovers'!AT183</f>
        <v>0</v>
      </c>
      <c r="AG1814" s="161">
        <f>SUM(U1814,W1814,Y1814,AA1814,AC1814,AE1814)</f>
        <v>1</v>
      </c>
      <c r="AH1814" s="158">
        <f>SUM(R1814,AF1814)</f>
        <v>0</v>
      </c>
      <c r="AI1814" s="134">
        <f>S1814+AG1814</f>
        <v>2</v>
      </c>
      <c r="AJ1814" s="65"/>
      <c r="AL1814" s="461">
        <f>SUM(F1814,H1814,J1814,L1814,N1814,P1814,T1814,V1814,X1814,Z1814,AB1814,AD1814)</f>
        <v>0</v>
      </c>
      <c r="AM1814" s="462">
        <f>AL1814-AH1814</f>
        <v>0</v>
      </c>
      <c r="AO1814" s="692"/>
      <c r="AP1814" s="692"/>
      <c r="AV1814" s="56"/>
    </row>
    <row r="1815" spans="1:48" ht="13.5" customHeight="1" outlineLevel="2" thickBot="1">
      <c r="B1815" s="82"/>
      <c r="C1815" s="1235"/>
      <c r="D1815" s="1235"/>
      <c r="E1815" s="85">
        <f>'Terms and Turnovers'!$AX$12</f>
        <v>0</v>
      </c>
      <c r="F1815" s="121">
        <f>$R1815*G1815</f>
        <v>0</v>
      </c>
      <c r="G1815" s="72"/>
      <c r="H1815" s="121">
        <f>$R1815*I1815</f>
        <v>0</v>
      </c>
      <c r="I1815" s="69">
        <v>0.1</v>
      </c>
      <c r="J1815" s="121">
        <f>$R1815*K1815</f>
        <v>0</v>
      </c>
      <c r="K1815" s="69">
        <v>0.25</v>
      </c>
      <c r="L1815" s="121">
        <f>$R1815*M1815</f>
        <v>0</v>
      </c>
      <c r="M1815" s="69">
        <v>0.45</v>
      </c>
      <c r="N1815" s="316">
        <f>$R1815*O1815</f>
        <v>0</v>
      </c>
      <c r="O1815" s="69">
        <v>0.2</v>
      </c>
      <c r="P1815" s="121">
        <f>$R1815*Q1815</f>
        <v>0</v>
      </c>
      <c r="Q1815" s="69">
        <v>0</v>
      </c>
      <c r="R1815" s="89">
        <f>'Terms and Turnovers'!AY183</f>
        <v>0</v>
      </c>
      <c r="S1815" s="162">
        <f>SUM(G1815,I1815,K1815,M1815,O1815,Q1815)</f>
        <v>1</v>
      </c>
      <c r="T1815" s="121">
        <f>$AF1815*U1815</f>
        <v>0</v>
      </c>
      <c r="U1815" s="72">
        <v>0</v>
      </c>
      <c r="V1815" s="121">
        <f>$AF1815*W1815</f>
        <v>0</v>
      </c>
      <c r="W1815" s="69">
        <v>0.4</v>
      </c>
      <c r="X1815" s="121">
        <f>$AF1815*Y1815</f>
        <v>0</v>
      </c>
      <c r="Y1815" s="69">
        <v>0.4</v>
      </c>
      <c r="Z1815" s="121">
        <f>$AF1815*AA1815</f>
        <v>0</v>
      </c>
      <c r="AA1815" s="69">
        <v>0.2</v>
      </c>
      <c r="AB1815" s="316">
        <f>$AF1815*AC1815</f>
        <v>0</v>
      </c>
      <c r="AC1815" s="69">
        <v>0</v>
      </c>
      <c r="AD1815" s="121">
        <f>$AF1815*AE1815</f>
        <v>0</v>
      </c>
      <c r="AE1815" s="69">
        <v>0</v>
      </c>
      <c r="AF1815" s="89">
        <f>'Terms and Turnovers'!BD183</f>
        <v>0</v>
      </c>
      <c r="AG1815" s="162">
        <f>SUM(U1815,W1815,Y1815,AA1815,AC1815,AE1815)</f>
        <v>1</v>
      </c>
      <c r="AH1815" s="159">
        <f>SUM(R1815,AF1815)</f>
        <v>0</v>
      </c>
      <c r="AI1815" s="137">
        <f>S1815+AG1815</f>
        <v>2</v>
      </c>
      <c r="AJ1815" s="65"/>
      <c r="AL1815" s="461">
        <f>SUM(F1815,H1815,J1815,L1815,N1815,P1815,T1815,V1815,X1815,Z1815,AB1815,AD1815)</f>
        <v>0</v>
      </c>
      <c r="AM1815" s="462">
        <f>AL1815-AH1815</f>
        <v>0</v>
      </c>
      <c r="AO1815" s="692"/>
      <c r="AP1815" s="692"/>
      <c r="AV1815" s="56"/>
    </row>
    <row r="1816" spans="1:48" ht="13.5" customHeight="1" outlineLevel="2" thickBot="1">
      <c r="A1816" s="119"/>
      <c r="B1816" s="82"/>
      <c r="C1816" s="425"/>
      <c r="D1816" s="425"/>
      <c r="E1816" s="426"/>
      <c r="F1816" s="427">
        <f>SUM(F1811:F1815)</f>
        <v>0</v>
      </c>
      <c r="G1816" s="428"/>
      <c r="H1816" s="427">
        <f>SUM(H1811:H1815)</f>
        <v>0</v>
      </c>
      <c r="I1816" s="69"/>
      <c r="J1816" s="427">
        <f>SUM(J1811:J1815)</f>
        <v>0</v>
      </c>
      <c r="K1816" s="69"/>
      <c r="L1816" s="427">
        <f>SUM(L1811:L1815)</f>
        <v>0</v>
      </c>
      <c r="M1816" s="69"/>
      <c r="N1816" s="427">
        <f>SUM(N1811:N1815)</f>
        <v>0</v>
      </c>
      <c r="O1816" s="69"/>
      <c r="P1816" s="427">
        <f>SUM(P1811:P1815)</f>
        <v>0</v>
      </c>
      <c r="Q1816" s="69"/>
      <c r="R1816" s="429"/>
      <c r="S1816" s="430"/>
      <c r="T1816" s="427">
        <f>SUM(T1811:T1815)</f>
        <v>0</v>
      </c>
      <c r="U1816" s="428"/>
      <c r="V1816" s="427">
        <f>SUM(V1811:V1815)</f>
        <v>0</v>
      </c>
      <c r="W1816" s="69"/>
      <c r="X1816" s="427">
        <f>SUM(X1811:X1815)</f>
        <v>0</v>
      </c>
      <c r="Y1816" s="69"/>
      <c r="Z1816" s="427">
        <f>SUM(Z1811:Z1815)</f>
        <v>0</v>
      </c>
      <c r="AA1816" s="69"/>
      <c r="AB1816" s="427">
        <f>SUM(AB1811:AB1815)</f>
        <v>0</v>
      </c>
      <c r="AC1816" s="69"/>
      <c r="AD1816" s="427">
        <f>SUM(AD1811:AD1815)</f>
        <v>0</v>
      </c>
      <c r="AE1816" s="69"/>
      <c r="AF1816" s="429"/>
      <c r="AG1816" s="430"/>
      <c r="AH1816" s="431"/>
      <c r="AI1816" s="432"/>
      <c r="AJ1816" s="65"/>
      <c r="AO1816" s="692"/>
      <c r="AP1816" s="692"/>
      <c r="AV1816" s="56"/>
    </row>
    <row r="1817" spans="1:48" ht="13.5" customHeight="1" outlineLevel="2" thickBot="1">
      <c r="A1817" s="119"/>
      <c r="B1817" s="82"/>
      <c r="C1817" s="433" t="s">
        <v>484</v>
      </c>
      <c r="D1817" s="433" t="s">
        <v>476</v>
      </c>
      <c r="E1817" s="426"/>
      <c r="F1817" s="434">
        <f>AN1817</f>
        <v>0</v>
      </c>
      <c r="G1817" s="428"/>
      <c r="H1817" s="434">
        <f>H1816</f>
        <v>0</v>
      </c>
      <c r="I1817" s="69"/>
      <c r="J1817" s="434">
        <f>J1816</f>
        <v>0</v>
      </c>
      <c r="K1817" s="69"/>
      <c r="L1817" s="434">
        <f>L1816</f>
        <v>0</v>
      </c>
      <c r="M1817" s="69"/>
      <c r="N1817" s="434">
        <f>N1816-AO1817</f>
        <v>0</v>
      </c>
      <c r="O1817" s="69"/>
      <c r="P1817" s="434"/>
      <c r="Q1817" s="69"/>
      <c r="R1817" s="429"/>
      <c r="S1817" s="430"/>
      <c r="T1817" s="434">
        <f>AO1817</f>
        <v>0</v>
      </c>
      <c r="U1817" s="428"/>
      <c r="V1817" s="434">
        <f>V1816</f>
        <v>0</v>
      </c>
      <c r="W1817" s="69"/>
      <c r="X1817" s="434">
        <f>X1816</f>
        <v>0</v>
      </c>
      <c r="Y1817" s="69"/>
      <c r="Z1817" s="434">
        <f>Z1816-AN1817</f>
        <v>0</v>
      </c>
      <c r="AA1817" s="69"/>
      <c r="AB1817" s="434">
        <v>0</v>
      </c>
      <c r="AC1817" s="69"/>
      <c r="AD1817" s="434">
        <v>0</v>
      </c>
      <c r="AE1817" s="69"/>
      <c r="AF1817" s="429"/>
      <c r="AG1817" s="430"/>
      <c r="AH1817" s="431"/>
      <c r="AI1817" s="432"/>
      <c r="AJ1817" s="65"/>
      <c r="AN1817" s="695">
        <f>SUM(AF1811:AF1815)*AQ1817</f>
        <v>0</v>
      </c>
      <c r="AO1817" s="742">
        <f>SUM(R1811:R1815)*AQ1817</f>
        <v>0</v>
      </c>
      <c r="AP1817" s="742"/>
      <c r="AQ1817" s="693">
        <v>0.1</v>
      </c>
      <c r="AS1817" s="716">
        <f>SUM(AL1811:AL1815)</f>
        <v>0</v>
      </c>
      <c r="AT1817" s="461">
        <f>F1817+H1817+J1817+L1817+N1817+P1817+T1817+V1817+X1817+Z1817+AB1817+AD1817</f>
        <v>0</v>
      </c>
      <c r="AU1817" s="745">
        <f>AT1817-AS1817</f>
        <v>0</v>
      </c>
      <c r="AV1817" s="56"/>
    </row>
    <row r="1818" spans="1:48" ht="13.5" customHeight="1" outlineLevel="2" thickBot="1">
      <c r="B1818" s="82">
        <f>B1811+1</f>
        <v>53</v>
      </c>
      <c r="C1818" s="1233">
        <f>C377</f>
        <v>0</v>
      </c>
      <c r="D1818" s="1233">
        <f>D377</f>
        <v>0</v>
      </c>
      <c r="E1818" s="83" t="str">
        <f>'Terms and Turnovers'!$J$12</f>
        <v>FLIP-FLOPS</v>
      </c>
      <c r="F1818" s="118">
        <f>$R1818*G1818</f>
        <v>0</v>
      </c>
      <c r="G1818" s="69"/>
      <c r="H1818" s="314">
        <f>$R1818*I1818</f>
        <v>0</v>
      </c>
      <c r="I1818" s="69">
        <v>0.15</v>
      </c>
      <c r="J1818" s="118">
        <f>$R1818*K1818</f>
        <v>0</v>
      </c>
      <c r="K1818" s="69">
        <v>0.2</v>
      </c>
      <c r="L1818" s="314">
        <f>$R1818*M1818</f>
        <v>0</v>
      </c>
      <c r="M1818" s="69">
        <v>0.4</v>
      </c>
      <c r="N1818" s="314">
        <f>$R1818*O1818</f>
        <v>0</v>
      </c>
      <c r="O1818" s="69">
        <v>0.25</v>
      </c>
      <c r="P1818" s="118">
        <f>$R1818*Q1818</f>
        <v>0</v>
      </c>
      <c r="Q1818" s="69">
        <v>0</v>
      </c>
      <c r="R1818" s="87">
        <f>'Terms and Turnovers'!K184</f>
        <v>0</v>
      </c>
      <c r="S1818" s="160">
        <f>SUM(G1818,I1818,K1818,M1818,O1818,Q1818)</f>
        <v>1</v>
      </c>
      <c r="T1818" s="118">
        <f>$AF1818*U1818</f>
        <v>0</v>
      </c>
      <c r="U1818" s="69">
        <v>0</v>
      </c>
      <c r="V1818" s="314">
        <f>$AF1818*W1818</f>
        <v>0</v>
      </c>
      <c r="W1818" s="69">
        <v>0.4</v>
      </c>
      <c r="X1818" s="118">
        <f>$AF1818*Y1818</f>
        <v>0</v>
      </c>
      <c r="Y1818" s="69">
        <v>0.4</v>
      </c>
      <c r="Z1818" s="314">
        <f>$AF1818*AA1818</f>
        <v>0</v>
      </c>
      <c r="AA1818" s="69">
        <v>0.2</v>
      </c>
      <c r="AB1818" s="314">
        <f>$AF1818*AC1818</f>
        <v>0</v>
      </c>
      <c r="AC1818" s="69">
        <v>0</v>
      </c>
      <c r="AD1818" s="118">
        <f>$AF1818*AE1818</f>
        <v>0</v>
      </c>
      <c r="AE1818" s="69">
        <v>0</v>
      </c>
      <c r="AF1818" s="87">
        <f>'Terms and Turnovers'!P184</f>
        <v>0</v>
      </c>
      <c r="AG1818" s="160">
        <f>SUM(U1818,W1818,Y1818,AA1818,AC1818,AE1818)</f>
        <v>1</v>
      </c>
      <c r="AH1818" s="157">
        <f>SUM(R1818,AF1818)</f>
        <v>0</v>
      </c>
      <c r="AI1818" s="131">
        <f>S1818+AG1818</f>
        <v>2</v>
      </c>
      <c r="AJ1818" s="65"/>
      <c r="AL1818" s="461">
        <f>SUM(F1818,H1818,J1818,L1818,N1818,P1818,T1818,V1818,X1818,Z1818,AB1818,AD1818)</f>
        <v>0</v>
      </c>
      <c r="AM1818" s="462">
        <f>AL1818-AH1818</f>
        <v>0</v>
      </c>
      <c r="AO1818" s="692"/>
      <c r="AP1818" s="692"/>
      <c r="AV1818" s="56"/>
    </row>
    <row r="1819" spans="1:48" ht="13.5" customHeight="1" outlineLevel="2" thickBot="1">
      <c r="B1819" s="82"/>
      <c r="C1819" s="1234"/>
      <c r="D1819" s="1234"/>
      <c r="E1819" s="84" t="str">
        <f>'Terms and Turnovers'!$T$12</f>
        <v>ORIGINALS</v>
      </c>
      <c r="F1819" s="120">
        <f>$R1819*G1819</f>
        <v>0</v>
      </c>
      <c r="G1819" s="723"/>
      <c r="H1819" s="120">
        <f>$R1819*I1819</f>
        <v>0</v>
      </c>
      <c r="I1819" s="69">
        <v>0</v>
      </c>
      <c r="J1819" s="120">
        <f>$R1819*K1819</f>
        <v>0</v>
      </c>
      <c r="K1819" s="69">
        <v>0.5</v>
      </c>
      <c r="L1819" s="120">
        <f>$R1819*M1819</f>
        <v>0</v>
      </c>
      <c r="M1819" s="69">
        <v>0.5</v>
      </c>
      <c r="N1819" s="315">
        <f>$R1819*O1819</f>
        <v>0</v>
      </c>
      <c r="O1819" s="69">
        <v>0</v>
      </c>
      <c r="P1819" s="120">
        <f>$R1819*Q1819</f>
        <v>0</v>
      </c>
      <c r="Q1819" s="69">
        <v>0</v>
      </c>
      <c r="R1819" s="88">
        <f>'Terms and Turnovers'!U184</f>
        <v>0</v>
      </c>
      <c r="S1819" s="161">
        <f>SUM(G1819,I1819,K1819,M1819,O1819,Q1819)</f>
        <v>1</v>
      </c>
      <c r="T1819" s="120">
        <f>$AF1819*U1819</f>
        <v>0</v>
      </c>
      <c r="U1819" s="723">
        <v>0</v>
      </c>
      <c r="V1819" s="120">
        <f>$AF1819*W1819</f>
        <v>0</v>
      </c>
      <c r="W1819" s="69">
        <v>0.5</v>
      </c>
      <c r="X1819" s="120">
        <f>$AF1819*Y1819</f>
        <v>0</v>
      </c>
      <c r="Y1819" s="69">
        <v>0.5</v>
      </c>
      <c r="Z1819" s="120">
        <f>$AF1819*AA1819</f>
        <v>0</v>
      </c>
      <c r="AA1819" s="69">
        <v>0</v>
      </c>
      <c r="AB1819" s="315">
        <f>$AF1819*AC1819</f>
        <v>0</v>
      </c>
      <c r="AC1819" s="69">
        <v>0</v>
      </c>
      <c r="AD1819" s="120">
        <f>$AF1819*AE1819</f>
        <v>0</v>
      </c>
      <c r="AE1819" s="69">
        <v>0</v>
      </c>
      <c r="AF1819" s="88">
        <f>'Terms and Turnovers'!Z184</f>
        <v>0</v>
      </c>
      <c r="AG1819" s="161">
        <f>SUM(U1819,W1819,Y1819,AA1819,AC1819,AE1819)</f>
        <v>1</v>
      </c>
      <c r="AH1819" s="158">
        <f>SUM(R1819,AF1819)</f>
        <v>0</v>
      </c>
      <c r="AI1819" s="134">
        <f>S1819+AG1819</f>
        <v>2</v>
      </c>
      <c r="AJ1819" s="65"/>
      <c r="AL1819" s="461">
        <f>SUM(F1819,H1819,J1819,L1819,N1819,P1819,T1819,V1819,X1819,Z1819,AB1819,AD1819)</f>
        <v>0</v>
      </c>
      <c r="AM1819" s="462">
        <f>AL1819-AH1819</f>
        <v>0</v>
      </c>
      <c r="AO1819" s="692"/>
      <c r="AP1819" s="692"/>
      <c r="AV1819" s="56"/>
    </row>
    <row r="1820" spans="1:48" ht="13.5" customHeight="1" outlineLevel="2" thickBot="1">
      <c r="B1820" s="82"/>
      <c r="C1820" s="1234"/>
      <c r="D1820" s="1234"/>
      <c r="E1820" s="84" t="str">
        <f>'Terms and Turnovers'!$AD$12</f>
        <v>ACCESSORIES</v>
      </c>
      <c r="F1820" s="120">
        <f>$R1820*G1820</f>
        <v>0</v>
      </c>
      <c r="G1820" s="723"/>
      <c r="H1820" s="120">
        <f>$R1820*I1820</f>
        <v>0</v>
      </c>
      <c r="I1820" s="69">
        <v>0</v>
      </c>
      <c r="J1820" s="120">
        <f>$R1820*K1820</f>
        <v>0</v>
      </c>
      <c r="K1820" s="69">
        <v>0.5</v>
      </c>
      <c r="L1820" s="120">
        <f>$R1820*M1820</f>
        <v>0</v>
      </c>
      <c r="M1820" s="69">
        <v>0.5</v>
      </c>
      <c r="N1820" s="315">
        <f>$R1820*O1820</f>
        <v>0</v>
      </c>
      <c r="O1820" s="69">
        <v>0</v>
      </c>
      <c r="P1820" s="120">
        <f>$R1820*Q1820</f>
        <v>0</v>
      </c>
      <c r="Q1820" s="69">
        <v>0</v>
      </c>
      <c r="R1820" s="88">
        <f>'Terms and Turnovers'!AE184</f>
        <v>0</v>
      </c>
      <c r="S1820" s="161">
        <f>SUM(G1820,I1820,K1820,M1820,O1820,Q1820)</f>
        <v>1</v>
      </c>
      <c r="T1820" s="120">
        <f>$AF1820*U1820</f>
        <v>0</v>
      </c>
      <c r="U1820" s="723">
        <v>0</v>
      </c>
      <c r="V1820" s="120">
        <f>$AF1820*W1820</f>
        <v>0</v>
      </c>
      <c r="W1820" s="69">
        <v>0.5</v>
      </c>
      <c r="X1820" s="120">
        <f>$AF1820*Y1820</f>
        <v>0</v>
      </c>
      <c r="Y1820" s="69">
        <v>0.5</v>
      </c>
      <c r="Z1820" s="120">
        <f>$AF1820*AA1820</f>
        <v>0</v>
      </c>
      <c r="AA1820" s="69">
        <v>0</v>
      </c>
      <c r="AB1820" s="315">
        <f>$AF1820*AC1820</f>
        <v>0</v>
      </c>
      <c r="AC1820" s="69">
        <v>0</v>
      </c>
      <c r="AD1820" s="120">
        <f>$AF1820*AE1820</f>
        <v>0</v>
      </c>
      <c r="AE1820" s="69">
        <v>0</v>
      </c>
      <c r="AF1820" s="88">
        <f>'Terms and Turnovers'!AJ184</f>
        <v>0</v>
      </c>
      <c r="AG1820" s="161">
        <f>SUM(U1820,W1820,Y1820,AA1820,AC1820,AE1820)</f>
        <v>1</v>
      </c>
      <c r="AH1820" s="158">
        <f>SUM(R1820,AF1820)</f>
        <v>0</v>
      </c>
      <c r="AI1820" s="134">
        <f>S1820+AG1820</f>
        <v>2</v>
      </c>
      <c r="AJ1820" s="65"/>
      <c r="AL1820" s="461">
        <f>SUM(F1820,H1820,J1820,L1820,N1820,P1820,T1820,V1820,X1820,Z1820,AB1820,AD1820)</f>
        <v>0</v>
      </c>
      <c r="AM1820" s="462">
        <f>AL1820-AH1820</f>
        <v>0</v>
      </c>
      <c r="AO1820" s="692"/>
      <c r="AP1820" s="692"/>
      <c r="AV1820" s="56"/>
    </row>
    <row r="1821" spans="1:48" ht="13.5" customHeight="1" outlineLevel="2" thickBot="1">
      <c r="B1821" s="82"/>
      <c r="C1821" s="1234"/>
      <c r="D1821" s="1234"/>
      <c r="E1821" s="84">
        <f>'Terms and Turnovers'!$AN$12</f>
        <v>0</v>
      </c>
      <c r="F1821" s="120">
        <f>$R1821*G1821</f>
        <v>0</v>
      </c>
      <c r="G1821" s="723"/>
      <c r="H1821" s="120">
        <f>$R1821*I1821</f>
        <v>0</v>
      </c>
      <c r="I1821" s="69">
        <v>0.15</v>
      </c>
      <c r="J1821" s="120">
        <f>$R1821*K1821</f>
        <v>0</v>
      </c>
      <c r="K1821" s="69">
        <v>0.2</v>
      </c>
      <c r="L1821" s="120">
        <f>$R1821*M1821</f>
        <v>0</v>
      </c>
      <c r="M1821" s="69">
        <v>0.4</v>
      </c>
      <c r="N1821" s="315">
        <f>$R1821*O1821</f>
        <v>0</v>
      </c>
      <c r="O1821" s="69">
        <v>0.25</v>
      </c>
      <c r="P1821" s="120">
        <f>$R1821*Q1821</f>
        <v>0</v>
      </c>
      <c r="Q1821" s="69">
        <v>0</v>
      </c>
      <c r="R1821" s="88">
        <f>'Terms and Turnovers'!AO184</f>
        <v>0</v>
      </c>
      <c r="S1821" s="161">
        <f>SUM(G1821,I1821,K1821,M1821,O1821,Q1821)</f>
        <v>1</v>
      </c>
      <c r="T1821" s="120">
        <f>$AF1821*U1821</f>
        <v>0</v>
      </c>
      <c r="U1821" s="723">
        <v>0</v>
      </c>
      <c r="V1821" s="120">
        <f>$AF1821*W1821</f>
        <v>0</v>
      </c>
      <c r="W1821" s="69">
        <v>0.4</v>
      </c>
      <c r="X1821" s="120">
        <f>$AF1821*Y1821</f>
        <v>0</v>
      </c>
      <c r="Y1821" s="69">
        <v>0.4</v>
      </c>
      <c r="Z1821" s="120">
        <f>$AF1821*AA1821</f>
        <v>0</v>
      </c>
      <c r="AA1821" s="69">
        <v>0.2</v>
      </c>
      <c r="AB1821" s="315">
        <f>$AF1821*AC1821</f>
        <v>0</v>
      </c>
      <c r="AC1821" s="69">
        <v>0</v>
      </c>
      <c r="AD1821" s="120">
        <f>$AF1821*AE1821</f>
        <v>0</v>
      </c>
      <c r="AE1821" s="69">
        <v>0</v>
      </c>
      <c r="AF1821" s="88">
        <f>'Terms and Turnovers'!AT184</f>
        <v>0</v>
      </c>
      <c r="AG1821" s="161">
        <f>SUM(U1821,W1821,Y1821,AA1821,AC1821,AE1821)</f>
        <v>1</v>
      </c>
      <c r="AH1821" s="158">
        <f>SUM(R1821,AF1821)</f>
        <v>0</v>
      </c>
      <c r="AI1821" s="134">
        <f>S1821+AG1821</f>
        <v>2</v>
      </c>
      <c r="AJ1821" s="65"/>
      <c r="AL1821" s="461">
        <f>SUM(F1821,H1821,J1821,L1821,N1821,P1821,T1821,V1821,X1821,Z1821,AB1821,AD1821)</f>
        <v>0</v>
      </c>
      <c r="AM1821" s="462">
        <f>AL1821-AH1821</f>
        <v>0</v>
      </c>
      <c r="AO1821" s="692"/>
      <c r="AP1821" s="692"/>
      <c r="AV1821" s="56"/>
    </row>
    <row r="1822" spans="1:48" ht="13.5" customHeight="1" outlineLevel="2" thickBot="1">
      <c r="B1822" s="82"/>
      <c r="C1822" s="1235"/>
      <c r="D1822" s="1235"/>
      <c r="E1822" s="85">
        <f>'Terms and Turnovers'!$AX$12</f>
        <v>0</v>
      </c>
      <c r="F1822" s="121">
        <f>$R1822*G1822</f>
        <v>0</v>
      </c>
      <c r="G1822" s="72"/>
      <c r="H1822" s="121">
        <f>$R1822*I1822</f>
        <v>0</v>
      </c>
      <c r="I1822" s="69">
        <v>0.15</v>
      </c>
      <c r="J1822" s="121">
        <f>$R1822*K1822</f>
        <v>0</v>
      </c>
      <c r="K1822" s="69">
        <v>0.2</v>
      </c>
      <c r="L1822" s="121">
        <f>$R1822*M1822</f>
        <v>0</v>
      </c>
      <c r="M1822" s="69">
        <v>0.4</v>
      </c>
      <c r="N1822" s="316">
        <f>$R1822*O1822</f>
        <v>0</v>
      </c>
      <c r="O1822" s="69">
        <v>0.25</v>
      </c>
      <c r="P1822" s="121">
        <f>$R1822*Q1822</f>
        <v>0</v>
      </c>
      <c r="Q1822" s="69">
        <v>0</v>
      </c>
      <c r="R1822" s="89">
        <f>'Terms and Turnovers'!AY184</f>
        <v>0</v>
      </c>
      <c r="S1822" s="162">
        <f>SUM(G1822,I1822,K1822,M1822,O1822,Q1822)</f>
        <v>1</v>
      </c>
      <c r="T1822" s="121">
        <f>$AF1822*U1822</f>
        <v>0</v>
      </c>
      <c r="U1822" s="72">
        <v>0</v>
      </c>
      <c r="V1822" s="121">
        <f>$AF1822*W1822</f>
        <v>0</v>
      </c>
      <c r="W1822" s="69">
        <v>0.4</v>
      </c>
      <c r="X1822" s="121">
        <f>$AF1822*Y1822</f>
        <v>0</v>
      </c>
      <c r="Y1822" s="69">
        <v>0.4</v>
      </c>
      <c r="Z1822" s="121">
        <f>$AF1822*AA1822</f>
        <v>0</v>
      </c>
      <c r="AA1822" s="69">
        <v>0.2</v>
      </c>
      <c r="AB1822" s="316">
        <f>$AF1822*AC1822</f>
        <v>0</v>
      </c>
      <c r="AC1822" s="69">
        <v>0</v>
      </c>
      <c r="AD1822" s="121">
        <f>$AF1822*AE1822</f>
        <v>0</v>
      </c>
      <c r="AE1822" s="69">
        <v>0</v>
      </c>
      <c r="AF1822" s="89">
        <f>'Terms and Turnovers'!BD184</f>
        <v>0</v>
      </c>
      <c r="AG1822" s="162">
        <f>SUM(U1822,W1822,Y1822,AA1822,AC1822,AE1822)</f>
        <v>1</v>
      </c>
      <c r="AH1822" s="159">
        <f>SUM(R1822,AF1822)</f>
        <v>0</v>
      </c>
      <c r="AI1822" s="137">
        <f>S1822+AG1822</f>
        <v>2</v>
      </c>
      <c r="AJ1822" s="65"/>
      <c r="AL1822" s="461">
        <f>SUM(F1822,H1822,J1822,L1822,N1822,P1822,T1822,V1822,X1822,Z1822,AB1822,AD1822)</f>
        <v>0</v>
      </c>
      <c r="AM1822" s="462">
        <f>AL1822-AH1822</f>
        <v>0</v>
      </c>
      <c r="AO1822" s="692"/>
      <c r="AP1822" s="692"/>
      <c r="AV1822" s="56"/>
    </row>
    <row r="1823" spans="1:48" ht="13.5" customHeight="1" outlineLevel="2" thickBot="1">
      <c r="A1823" s="119"/>
      <c r="B1823" s="82"/>
      <c r="C1823" s="425"/>
      <c r="D1823" s="425"/>
      <c r="E1823" s="426"/>
      <c r="F1823" s="427">
        <f>SUM(F1818:F1822)</f>
        <v>0</v>
      </c>
      <c r="G1823" s="428"/>
      <c r="H1823" s="427">
        <f>SUM(H1818:H1822)</f>
        <v>0</v>
      </c>
      <c r="I1823" s="69"/>
      <c r="J1823" s="427">
        <f>SUM(J1818:J1822)</f>
        <v>0</v>
      </c>
      <c r="K1823" s="69"/>
      <c r="L1823" s="427">
        <f>SUM(L1818:L1822)</f>
        <v>0</v>
      </c>
      <c r="M1823" s="69"/>
      <c r="N1823" s="427">
        <f>SUM(N1818:N1822)</f>
        <v>0</v>
      </c>
      <c r="O1823" s="69"/>
      <c r="P1823" s="427">
        <f>SUM(P1818:P1822)</f>
        <v>0</v>
      </c>
      <c r="Q1823" s="69"/>
      <c r="R1823" s="429"/>
      <c r="S1823" s="430"/>
      <c r="T1823" s="427">
        <f>SUM(T1818:T1822)</f>
        <v>0</v>
      </c>
      <c r="U1823" s="428"/>
      <c r="V1823" s="427">
        <f>SUM(V1818:V1822)</f>
        <v>0</v>
      </c>
      <c r="W1823" s="69"/>
      <c r="X1823" s="427">
        <f>SUM(X1818:X1822)</f>
        <v>0</v>
      </c>
      <c r="Y1823" s="69"/>
      <c r="Z1823" s="427">
        <f>SUM(Z1818:Z1822)</f>
        <v>0</v>
      </c>
      <c r="AA1823" s="69"/>
      <c r="AB1823" s="427">
        <f>SUM(AB1818:AB1822)</f>
        <v>0</v>
      </c>
      <c r="AC1823" s="69"/>
      <c r="AD1823" s="427">
        <f>SUM(AD1818:AD1822)</f>
        <v>0</v>
      </c>
      <c r="AE1823" s="69"/>
      <c r="AF1823" s="429"/>
      <c r="AG1823" s="430"/>
      <c r="AH1823" s="431"/>
      <c r="AI1823" s="432"/>
      <c r="AJ1823" s="65"/>
      <c r="AO1823" s="692"/>
      <c r="AP1823" s="692"/>
      <c r="AV1823" s="56"/>
    </row>
    <row r="1824" spans="1:48" ht="13.5" customHeight="1" outlineLevel="2" thickBot="1">
      <c r="A1824" s="119"/>
      <c r="B1824" s="82"/>
      <c r="C1824" s="433" t="s">
        <v>484</v>
      </c>
      <c r="D1824" s="433" t="s">
        <v>356</v>
      </c>
      <c r="E1824" s="426"/>
      <c r="F1824" s="434">
        <f>AN1824</f>
        <v>0</v>
      </c>
      <c r="G1824" s="428"/>
      <c r="H1824" s="434">
        <f>H1823</f>
        <v>0</v>
      </c>
      <c r="I1824" s="69"/>
      <c r="J1824" s="434">
        <f>J1823</f>
        <v>0</v>
      </c>
      <c r="K1824" s="69"/>
      <c r="L1824" s="434">
        <f>L1823</f>
        <v>0</v>
      </c>
      <c r="M1824" s="69"/>
      <c r="N1824" s="434">
        <f>N1823-AO1824</f>
        <v>0</v>
      </c>
      <c r="O1824" s="69"/>
      <c r="P1824" s="434">
        <f>P1823</f>
        <v>0</v>
      </c>
      <c r="Q1824" s="69"/>
      <c r="R1824" s="429"/>
      <c r="S1824" s="430"/>
      <c r="T1824" s="434">
        <f>AO1824</f>
        <v>0</v>
      </c>
      <c r="U1824" s="428">
        <f>Q1823</f>
        <v>0</v>
      </c>
      <c r="V1824" s="434">
        <f>V1823</f>
        <v>0</v>
      </c>
      <c r="W1824" s="69">
        <f>S1823</f>
        <v>0</v>
      </c>
      <c r="X1824" s="434">
        <f>X1823</f>
        <v>0</v>
      </c>
      <c r="Y1824" s="69">
        <f>U1823</f>
        <v>0</v>
      </c>
      <c r="Z1824" s="434">
        <f>Z1823-AN1824</f>
        <v>0</v>
      </c>
      <c r="AA1824" s="69">
        <f>W1823</f>
        <v>0</v>
      </c>
      <c r="AB1824" s="434">
        <f>AB1823</f>
        <v>0</v>
      </c>
      <c r="AC1824" s="69">
        <f>Y1823</f>
        <v>0</v>
      </c>
      <c r="AD1824" s="434">
        <f>AD1823</f>
        <v>0</v>
      </c>
      <c r="AE1824" s="69"/>
      <c r="AF1824" s="429"/>
      <c r="AG1824" s="430"/>
      <c r="AH1824" s="431"/>
      <c r="AI1824" s="432"/>
      <c r="AJ1824" s="65"/>
      <c r="AN1824" s="695">
        <f>SUM(AF1818:AF1822)*AQ1824</f>
        <v>0</v>
      </c>
      <c r="AO1824" s="742">
        <f>SUM(R1818:R1822)*AQ1824</f>
        <v>0</v>
      </c>
      <c r="AP1824" s="742"/>
      <c r="AQ1824" s="693">
        <v>0.15</v>
      </c>
      <c r="AS1824" s="716">
        <f>SUM(AL1818:AL1822)</f>
        <v>0</v>
      </c>
      <c r="AT1824" s="461">
        <f>F1824+H1824+J1824+L1824+N1824+P1824+T1824+V1824+X1824+Z1824+AB1824+AD1824</f>
        <v>0</v>
      </c>
      <c r="AU1824" s="745">
        <f>AT1824-AS1824</f>
        <v>0</v>
      </c>
      <c r="AV1824" s="56"/>
    </row>
    <row r="1825" spans="1:48" ht="13.5" customHeight="1" outlineLevel="2" thickBot="1">
      <c r="B1825" s="82">
        <f>B1818+1</f>
        <v>54</v>
      </c>
      <c r="C1825" s="1233">
        <f>C384</f>
        <v>0</v>
      </c>
      <c r="D1825" s="1233">
        <f>D384</f>
        <v>0</v>
      </c>
      <c r="E1825" s="83" t="str">
        <f>'Terms and Turnovers'!$J$12</f>
        <v>FLIP-FLOPS</v>
      </c>
      <c r="F1825" s="118">
        <f>$R1825*G1825</f>
        <v>0</v>
      </c>
      <c r="G1825" s="69"/>
      <c r="H1825" s="314">
        <f>$R1825*I1825</f>
        <v>0</v>
      </c>
      <c r="I1825" s="69">
        <v>0</v>
      </c>
      <c r="J1825" s="118">
        <f>$R1825*K1825</f>
        <v>0</v>
      </c>
      <c r="K1825" s="69">
        <v>0</v>
      </c>
      <c r="L1825" s="314">
        <f>$R1825*M1825</f>
        <v>0</v>
      </c>
      <c r="M1825" s="69">
        <v>0</v>
      </c>
      <c r="N1825" s="314">
        <f>$R1825*O1825</f>
        <v>0</v>
      </c>
      <c r="O1825" s="69">
        <v>0</v>
      </c>
      <c r="P1825" s="118">
        <f>$R1825*Q1825</f>
        <v>0</v>
      </c>
      <c r="Q1825" s="69">
        <v>0</v>
      </c>
      <c r="R1825" s="87">
        <f>'Terms and Turnovers'!K185</f>
        <v>0</v>
      </c>
      <c r="S1825" s="160">
        <f>SUM(G1825,I1825,K1825,M1825,O1825,Q1825)</f>
        <v>0</v>
      </c>
      <c r="T1825" s="118">
        <f>$AF1825*U1825</f>
        <v>0</v>
      </c>
      <c r="U1825" s="69">
        <v>0</v>
      </c>
      <c r="V1825" s="314">
        <f>$AF1825*W1825</f>
        <v>0</v>
      </c>
      <c r="W1825" s="69">
        <v>0.45</v>
      </c>
      <c r="X1825" s="118">
        <f>$AF1825*Y1825</f>
        <v>0</v>
      </c>
      <c r="Y1825" s="69">
        <v>0.4</v>
      </c>
      <c r="Z1825" s="314">
        <f>$AF1825*AA1825</f>
        <v>0</v>
      </c>
      <c r="AA1825" s="69">
        <v>0.15</v>
      </c>
      <c r="AB1825" s="314">
        <f>$AF1825*AC1825</f>
        <v>0</v>
      </c>
      <c r="AC1825" s="69">
        <v>0</v>
      </c>
      <c r="AD1825" s="118">
        <f>$AF1825*AE1825</f>
        <v>0</v>
      </c>
      <c r="AE1825" s="69">
        <v>0</v>
      </c>
      <c r="AF1825" s="87">
        <f>'Terms and Turnovers'!P185</f>
        <v>0</v>
      </c>
      <c r="AG1825" s="160">
        <f>SUM(U1825,W1825,Y1825,AA1825,AC1825,AE1825)</f>
        <v>1</v>
      </c>
      <c r="AH1825" s="157">
        <f>SUM(R1825,AF1825)</f>
        <v>0</v>
      </c>
      <c r="AI1825" s="131">
        <f>S1825+AG1825</f>
        <v>1</v>
      </c>
      <c r="AJ1825" s="65"/>
      <c r="AL1825" s="461">
        <f>SUM(F1825,H1825,J1825,L1825,N1825,P1825,T1825,V1825,X1825,Z1825,AB1825,AD1825)</f>
        <v>0</v>
      </c>
      <c r="AM1825" s="462">
        <f>AL1825-AH1825</f>
        <v>0</v>
      </c>
      <c r="AO1825" s="692"/>
      <c r="AP1825" s="692"/>
      <c r="AV1825" s="56"/>
    </row>
    <row r="1826" spans="1:48" ht="13.5" customHeight="1" outlineLevel="2" thickBot="1">
      <c r="B1826" s="82"/>
      <c r="C1826" s="1234"/>
      <c r="D1826" s="1234"/>
      <c r="E1826" s="84" t="str">
        <f>'Terms and Turnovers'!$T$12</f>
        <v>ORIGINALS</v>
      </c>
      <c r="F1826" s="120">
        <f>$R1826*G1826</f>
        <v>0</v>
      </c>
      <c r="G1826" s="723"/>
      <c r="H1826" s="120">
        <f>$R1826*I1826</f>
        <v>0</v>
      </c>
      <c r="I1826" s="69">
        <v>0</v>
      </c>
      <c r="J1826" s="120">
        <f>$R1826*K1826</f>
        <v>0</v>
      </c>
      <c r="K1826" s="69">
        <v>0.3</v>
      </c>
      <c r="L1826" s="120">
        <f>$R1826*M1826</f>
        <v>0</v>
      </c>
      <c r="M1826" s="69">
        <v>0.4</v>
      </c>
      <c r="N1826" s="315">
        <f>$R1826*O1826</f>
        <v>0</v>
      </c>
      <c r="O1826" s="69">
        <v>0.3</v>
      </c>
      <c r="P1826" s="120">
        <f>$R1826*Q1826</f>
        <v>0</v>
      </c>
      <c r="Q1826" s="69">
        <v>0</v>
      </c>
      <c r="R1826" s="88">
        <f>'Terms and Turnovers'!U185</f>
        <v>0</v>
      </c>
      <c r="S1826" s="161">
        <f>SUM(G1826,I1826,K1826,M1826,O1826,Q1826)</f>
        <v>1</v>
      </c>
      <c r="T1826" s="120">
        <f>$AF1826*U1826</f>
        <v>0</v>
      </c>
      <c r="U1826" s="723">
        <v>0</v>
      </c>
      <c r="V1826" s="120">
        <f>$AF1826*W1826</f>
        <v>0</v>
      </c>
      <c r="W1826" s="69">
        <v>0.5</v>
      </c>
      <c r="X1826" s="120">
        <f>$AF1826*Y1826</f>
        <v>0</v>
      </c>
      <c r="Y1826" s="69">
        <v>0.5</v>
      </c>
      <c r="Z1826" s="120">
        <f>$AF1826*AA1826</f>
        <v>0</v>
      </c>
      <c r="AA1826" s="69">
        <v>0</v>
      </c>
      <c r="AB1826" s="315">
        <f>$AF1826*AC1826</f>
        <v>0</v>
      </c>
      <c r="AC1826" s="69">
        <v>0</v>
      </c>
      <c r="AD1826" s="120">
        <f>$AF1826*AE1826</f>
        <v>0</v>
      </c>
      <c r="AE1826" s="69">
        <v>0</v>
      </c>
      <c r="AF1826" s="88">
        <f>'Terms and Turnovers'!Z185</f>
        <v>0</v>
      </c>
      <c r="AG1826" s="161">
        <f>SUM(U1826,W1826,Y1826,AA1826,AC1826,AE1826)</f>
        <v>1</v>
      </c>
      <c r="AH1826" s="158">
        <f>SUM(R1826,AF1826)</f>
        <v>0</v>
      </c>
      <c r="AI1826" s="134">
        <f>S1826+AG1826</f>
        <v>2</v>
      </c>
      <c r="AJ1826" s="65"/>
      <c r="AL1826" s="461">
        <f>SUM(F1826,H1826,J1826,L1826,N1826,P1826,T1826,V1826,X1826,Z1826,AB1826,AD1826)</f>
        <v>0</v>
      </c>
      <c r="AM1826" s="462">
        <f>AL1826-AH1826</f>
        <v>0</v>
      </c>
      <c r="AO1826" s="692"/>
      <c r="AP1826" s="692"/>
      <c r="AV1826" s="56"/>
    </row>
    <row r="1827" spans="1:48" ht="13.5" customHeight="1" outlineLevel="2" thickBot="1">
      <c r="B1827" s="82"/>
      <c r="C1827" s="1234"/>
      <c r="D1827" s="1234"/>
      <c r="E1827" s="84" t="str">
        <f>'Terms and Turnovers'!$AD$12</f>
        <v>ACCESSORIES</v>
      </c>
      <c r="F1827" s="120">
        <f>$R1827*G1827</f>
        <v>0</v>
      </c>
      <c r="G1827" s="723"/>
      <c r="H1827" s="120">
        <f>$R1827*I1827</f>
        <v>0</v>
      </c>
      <c r="I1827" s="69">
        <v>0</v>
      </c>
      <c r="J1827" s="120">
        <f>$R1827*K1827</f>
        <v>0</v>
      </c>
      <c r="K1827" s="69">
        <v>0.3</v>
      </c>
      <c r="L1827" s="120">
        <f>$R1827*M1827</f>
        <v>0</v>
      </c>
      <c r="M1827" s="69">
        <v>0.4</v>
      </c>
      <c r="N1827" s="315">
        <f>$R1827*O1827</f>
        <v>0</v>
      </c>
      <c r="O1827" s="69">
        <v>0.3</v>
      </c>
      <c r="P1827" s="120">
        <f>$R1827*Q1827</f>
        <v>0</v>
      </c>
      <c r="Q1827" s="69">
        <v>0</v>
      </c>
      <c r="R1827" s="88">
        <f>'Terms and Turnovers'!AE185</f>
        <v>0</v>
      </c>
      <c r="S1827" s="161">
        <f>SUM(G1827,I1827,K1827,M1827,O1827,Q1827)</f>
        <v>1</v>
      </c>
      <c r="T1827" s="120">
        <f>$AF1827*U1827</f>
        <v>0</v>
      </c>
      <c r="U1827" s="723">
        <v>0</v>
      </c>
      <c r="V1827" s="120">
        <f>$AF1827*W1827</f>
        <v>0</v>
      </c>
      <c r="W1827" s="69">
        <v>0.5</v>
      </c>
      <c r="X1827" s="120">
        <f>$AF1827*Y1827</f>
        <v>0</v>
      </c>
      <c r="Y1827" s="69">
        <v>0.5</v>
      </c>
      <c r="Z1827" s="120">
        <f>$AF1827*AA1827</f>
        <v>0</v>
      </c>
      <c r="AA1827" s="69">
        <v>0</v>
      </c>
      <c r="AB1827" s="315">
        <f>$AF1827*AC1827</f>
        <v>0</v>
      </c>
      <c r="AC1827" s="69">
        <v>0</v>
      </c>
      <c r="AD1827" s="120">
        <f>$AF1827*AE1827</f>
        <v>0</v>
      </c>
      <c r="AE1827" s="69">
        <v>0</v>
      </c>
      <c r="AF1827" s="88">
        <f>'Terms and Turnovers'!AJ185</f>
        <v>0</v>
      </c>
      <c r="AG1827" s="161">
        <f>SUM(U1827,W1827,Y1827,AA1827,AC1827,AE1827)</f>
        <v>1</v>
      </c>
      <c r="AH1827" s="158">
        <f>SUM(R1827,AF1827)</f>
        <v>0</v>
      </c>
      <c r="AI1827" s="134">
        <f>S1827+AG1827</f>
        <v>2</v>
      </c>
      <c r="AJ1827" s="65"/>
      <c r="AL1827" s="461">
        <f>SUM(F1827,H1827,J1827,L1827,N1827,P1827,T1827,V1827,X1827,Z1827,AB1827,AD1827)</f>
        <v>0</v>
      </c>
      <c r="AM1827" s="462">
        <f>AL1827-AH1827</f>
        <v>0</v>
      </c>
      <c r="AO1827" s="692"/>
      <c r="AP1827" s="692"/>
      <c r="AV1827" s="56"/>
    </row>
    <row r="1828" spans="1:48" ht="13.5" customHeight="1" outlineLevel="2" thickBot="1">
      <c r="B1828" s="82"/>
      <c r="C1828" s="1234"/>
      <c r="D1828" s="1234"/>
      <c r="E1828" s="84">
        <f>'Terms and Turnovers'!$AN$12</f>
        <v>0</v>
      </c>
      <c r="F1828" s="120">
        <f>$R1828*G1828</f>
        <v>0</v>
      </c>
      <c r="G1828" s="723"/>
      <c r="H1828" s="120">
        <f>$R1828*I1828</f>
        <v>0</v>
      </c>
      <c r="I1828" s="69">
        <v>0</v>
      </c>
      <c r="J1828" s="120">
        <f>$R1828*K1828</f>
        <v>0</v>
      </c>
      <c r="K1828" s="69">
        <v>0.3</v>
      </c>
      <c r="L1828" s="120">
        <f>$R1828*M1828</f>
        <v>0</v>
      </c>
      <c r="M1828" s="69">
        <v>0.4</v>
      </c>
      <c r="N1828" s="315">
        <f>$R1828*O1828</f>
        <v>0</v>
      </c>
      <c r="O1828" s="69">
        <v>0.3</v>
      </c>
      <c r="P1828" s="120">
        <f>$R1828*Q1828</f>
        <v>0</v>
      </c>
      <c r="Q1828" s="69">
        <v>0</v>
      </c>
      <c r="R1828" s="88">
        <f>'Terms and Turnovers'!AO185</f>
        <v>0</v>
      </c>
      <c r="S1828" s="161">
        <f>SUM(G1828,I1828,K1828,M1828,O1828,Q1828)</f>
        <v>1</v>
      </c>
      <c r="T1828" s="120">
        <f>$AF1828*U1828</f>
        <v>0</v>
      </c>
      <c r="U1828" s="723">
        <v>0</v>
      </c>
      <c r="V1828" s="120">
        <f>$AF1828*W1828</f>
        <v>0</v>
      </c>
      <c r="W1828" s="69">
        <v>0.45</v>
      </c>
      <c r="X1828" s="120">
        <f>$AF1828*Y1828</f>
        <v>0</v>
      </c>
      <c r="Y1828" s="69">
        <v>0.4</v>
      </c>
      <c r="Z1828" s="120">
        <f>$AF1828*AA1828</f>
        <v>0</v>
      </c>
      <c r="AA1828" s="69">
        <v>0.15</v>
      </c>
      <c r="AB1828" s="315">
        <f>$AF1828*AC1828</f>
        <v>0</v>
      </c>
      <c r="AC1828" s="69">
        <v>0</v>
      </c>
      <c r="AD1828" s="120">
        <f>$AF1828*AE1828</f>
        <v>0</v>
      </c>
      <c r="AE1828" s="69">
        <v>0</v>
      </c>
      <c r="AF1828" s="88">
        <f>'Terms and Turnovers'!AT185</f>
        <v>0</v>
      </c>
      <c r="AG1828" s="161">
        <f>SUM(U1828,W1828,Y1828,AA1828,AC1828,AE1828)</f>
        <v>1</v>
      </c>
      <c r="AH1828" s="158">
        <f>SUM(R1828,AF1828)</f>
        <v>0</v>
      </c>
      <c r="AI1828" s="134">
        <f>S1828+AG1828</f>
        <v>2</v>
      </c>
      <c r="AJ1828" s="65"/>
      <c r="AL1828" s="461">
        <f>SUM(F1828,H1828,J1828,L1828,N1828,P1828,T1828,V1828,X1828,Z1828,AB1828,AD1828)</f>
        <v>0</v>
      </c>
      <c r="AM1828" s="462">
        <f>AL1828-AH1828</f>
        <v>0</v>
      </c>
      <c r="AO1828" s="692"/>
      <c r="AP1828" s="692"/>
      <c r="AV1828" s="56"/>
    </row>
    <row r="1829" spans="1:48" ht="13.5" customHeight="1" outlineLevel="2" thickBot="1">
      <c r="B1829" s="82"/>
      <c r="C1829" s="1235"/>
      <c r="D1829" s="1235"/>
      <c r="E1829" s="85">
        <f>'Terms and Turnovers'!$AX$12</f>
        <v>0</v>
      </c>
      <c r="F1829" s="121">
        <f>$R1829*G1829</f>
        <v>0</v>
      </c>
      <c r="G1829" s="72"/>
      <c r="H1829" s="121">
        <f>$R1829*I1829</f>
        <v>0</v>
      </c>
      <c r="I1829" s="69">
        <v>0</v>
      </c>
      <c r="J1829" s="121">
        <f>$R1829*K1829</f>
        <v>0</v>
      </c>
      <c r="K1829" s="69">
        <v>0.3</v>
      </c>
      <c r="L1829" s="121">
        <f>$R1829*M1829</f>
        <v>0</v>
      </c>
      <c r="M1829" s="69">
        <v>0.4</v>
      </c>
      <c r="N1829" s="316">
        <f>$R1829*O1829</f>
        <v>0</v>
      </c>
      <c r="O1829" s="69">
        <v>0.3</v>
      </c>
      <c r="P1829" s="121">
        <f>$R1829*Q1829</f>
        <v>0</v>
      </c>
      <c r="Q1829" s="69">
        <v>0</v>
      </c>
      <c r="R1829" s="89">
        <f>'Terms and Turnovers'!AY185</f>
        <v>0</v>
      </c>
      <c r="S1829" s="162">
        <f>SUM(G1829,I1829,K1829,M1829,O1829,Q1829)</f>
        <v>1</v>
      </c>
      <c r="T1829" s="121">
        <f>$AF1829*U1829</f>
        <v>0</v>
      </c>
      <c r="U1829" s="72">
        <v>0</v>
      </c>
      <c r="V1829" s="121">
        <f>$AF1829*W1829</f>
        <v>0</v>
      </c>
      <c r="W1829" s="69">
        <v>0.45</v>
      </c>
      <c r="X1829" s="121">
        <f>$AF1829*Y1829</f>
        <v>0</v>
      </c>
      <c r="Y1829" s="69">
        <v>0.4</v>
      </c>
      <c r="Z1829" s="121">
        <f>$AF1829*AA1829</f>
        <v>0</v>
      </c>
      <c r="AA1829" s="69">
        <v>0.15</v>
      </c>
      <c r="AB1829" s="316">
        <f>$AF1829*AC1829</f>
        <v>0</v>
      </c>
      <c r="AC1829" s="69">
        <v>0</v>
      </c>
      <c r="AD1829" s="121">
        <f>$AF1829*AE1829</f>
        <v>0</v>
      </c>
      <c r="AE1829" s="69">
        <v>0</v>
      </c>
      <c r="AF1829" s="89">
        <f>'Terms and Turnovers'!BD185</f>
        <v>0</v>
      </c>
      <c r="AG1829" s="162">
        <f>SUM(U1829,W1829,Y1829,AA1829,AC1829,AE1829)</f>
        <v>1</v>
      </c>
      <c r="AH1829" s="159">
        <f>SUM(R1829,AF1829)</f>
        <v>0</v>
      </c>
      <c r="AI1829" s="137">
        <f>S1829+AG1829</f>
        <v>2</v>
      </c>
      <c r="AJ1829" s="65"/>
      <c r="AL1829" s="461">
        <f>SUM(F1829,H1829,J1829,L1829,N1829,P1829,T1829,V1829,X1829,Z1829,AB1829,AD1829)</f>
        <v>0</v>
      </c>
      <c r="AM1829" s="462">
        <f>AL1829-AH1829</f>
        <v>0</v>
      </c>
      <c r="AO1829" s="692"/>
      <c r="AP1829" s="692"/>
      <c r="AV1829" s="56"/>
    </row>
    <row r="1830" spans="1:48" ht="13.5" customHeight="1" outlineLevel="2" thickBot="1">
      <c r="A1830" s="119"/>
      <c r="B1830" s="82"/>
      <c r="C1830" s="425"/>
      <c r="D1830" s="425"/>
      <c r="E1830" s="426"/>
      <c r="F1830" s="427">
        <f>SUM(F1825:F1829)</f>
        <v>0</v>
      </c>
      <c r="G1830" s="428"/>
      <c r="H1830" s="427">
        <f>SUM(H1825:H1829)</f>
        <v>0</v>
      </c>
      <c r="I1830" s="69"/>
      <c r="J1830" s="427">
        <f>SUM(J1825:J1829)</f>
        <v>0</v>
      </c>
      <c r="K1830" s="69"/>
      <c r="L1830" s="427">
        <f>SUM(L1825:L1829)</f>
        <v>0</v>
      </c>
      <c r="M1830" s="69"/>
      <c r="N1830" s="427">
        <f>SUM(N1825:N1829)</f>
        <v>0</v>
      </c>
      <c r="O1830" s="69"/>
      <c r="P1830" s="427">
        <f>SUM(P1825:P1829)</f>
        <v>0</v>
      </c>
      <c r="Q1830" s="69"/>
      <c r="R1830" s="429"/>
      <c r="S1830" s="430"/>
      <c r="T1830" s="427">
        <f>SUM(T1825:T1829)</f>
        <v>0</v>
      </c>
      <c r="U1830" s="428"/>
      <c r="V1830" s="427">
        <f>SUM(V1825:V1829)</f>
        <v>0</v>
      </c>
      <c r="W1830" s="69"/>
      <c r="X1830" s="427">
        <f>SUM(X1825:X1829)</f>
        <v>0</v>
      </c>
      <c r="Y1830" s="69"/>
      <c r="Z1830" s="427">
        <f>SUM(Z1825:Z1829)</f>
        <v>0</v>
      </c>
      <c r="AA1830" s="69"/>
      <c r="AB1830" s="427">
        <f>SUM(AB1825:AB1829)</f>
        <v>0</v>
      </c>
      <c r="AC1830" s="69"/>
      <c r="AD1830" s="427">
        <f>SUM(AD1825:AD1829)</f>
        <v>0</v>
      </c>
      <c r="AE1830" s="69"/>
      <c r="AF1830" s="429"/>
      <c r="AG1830" s="430"/>
      <c r="AH1830" s="431"/>
      <c r="AI1830" s="432"/>
      <c r="AJ1830" s="65"/>
      <c r="AO1830" s="692"/>
      <c r="AP1830" s="692"/>
      <c r="AV1830" s="56"/>
    </row>
    <row r="1831" spans="1:48" ht="13.5" customHeight="1" outlineLevel="2" thickBot="1">
      <c r="A1831" s="119"/>
      <c r="B1831" s="82"/>
      <c r="C1831" s="433" t="s">
        <v>484</v>
      </c>
      <c r="D1831" s="433" t="s">
        <v>477</v>
      </c>
      <c r="E1831" s="426"/>
      <c r="F1831" s="434">
        <f>AN1831</f>
        <v>0</v>
      </c>
      <c r="G1831" s="428"/>
      <c r="H1831" s="434">
        <f>H1830</f>
        <v>0</v>
      </c>
      <c r="I1831" s="69"/>
      <c r="J1831" s="434">
        <f>J1830</f>
        <v>0</v>
      </c>
      <c r="K1831" s="69"/>
      <c r="L1831" s="434">
        <f>L1830</f>
        <v>0</v>
      </c>
      <c r="M1831" s="69"/>
      <c r="N1831" s="434">
        <v>0</v>
      </c>
      <c r="O1831" s="69"/>
      <c r="P1831" s="434">
        <f>R1825</f>
        <v>0</v>
      </c>
      <c r="Q1831" s="69"/>
      <c r="R1831" s="429"/>
      <c r="S1831" s="430"/>
      <c r="T1831" s="434">
        <f>AO1831</f>
        <v>0</v>
      </c>
      <c r="U1831" s="428">
        <f>Q1830</f>
        <v>0</v>
      </c>
      <c r="V1831" s="434">
        <f>V1830</f>
        <v>0</v>
      </c>
      <c r="W1831" s="69">
        <f>S1830</f>
        <v>0</v>
      </c>
      <c r="X1831" s="434">
        <f>X1830</f>
        <v>0</v>
      </c>
      <c r="Y1831" s="69">
        <f>U1830</f>
        <v>0</v>
      </c>
      <c r="Z1831" s="434">
        <f>Z1830-AN1831</f>
        <v>0</v>
      </c>
      <c r="AA1831" s="69">
        <f>W1830</f>
        <v>0</v>
      </c>
      <c r="AB1831" s="434">
        <f>AB1830</f>
        <v>0</v>
      </c>
      <c r="AC1831" s="69">
        <f>Y1830</f>
        <v>0</v>
      </c>
      <c r="AD1831" s="434">
        <f>AD1830</f>
        <v>0</v>
      </c>
      <c r="AE1831" s="69"/>
      <c r="AF1831" s="429"/>
      <c r="AG1831" s="430"/>
      <c r="AH1831" s="431"/>
      <c r="AI1831" s="432"/>
      <c r="AJ1831" s="65"/>
      <c r="AN1831" s="695">
        <f>SUM(AF1825:AF1829)*AQ1831</f>
        <v>0</v>
      </c>
      <c r="AO1831" s="742">
        <f>SUM(R1825:R1829)*AQ1831</f>
        <v>0</v>
      </c>
      <c r="AP1831" s="742"/>
      <c r="AQ1831" s="693">
        <v>0.15</v>
      </c>
      <c r="AS1831" s="716">
        <f>SUM(AL1825:AL1829)</f>
        <v>0</v>
      </c>
      <c r="AT1831" s="461">
        <f>F1831+H1831+J1831+L1831+N1831+P1831+T1831+V1831+X1831+Z1831+AB1831+AD1831</f>
        <v>0</v>
      </c>
      <c r="AU1831" s="745">
        <f>AT1831-AS1831</f>
        <v>0</v>
      </c>
      <c r="AV1831" s="56"/>
    </row>
    <row r="1832" spans="1:48" ht="13.5" customHeight="1" outlineLevel="2" thickBot="1">
      <c r="B1832" s="82">
        <f>B1825+1</f>
        <v>55</v>
      </c>
      <c r="C1832" s="1233">
        <f>C391</f>
        <v>0</v>
      </c>
      <c r="D1832" s="1233">
        <f>D391</f>
        <v>0</v>
      </c>
      <c r="E1832" s="83" t="str">
        <f>'Terms and Turnovers'!$J$12</f>
        <v>FLIP-FLOPS</v>
      </c>
      <c r="F1832" s="118">
        <f>$R1832*G1832</f>
        <v>0</v>
      </c>
      <c r="G1832" s="69">
        <v>0</v>
      </c>
      <c r="H1832" s="314">
        <f>$R1832*I1832</f>
        <v>0</v>
      </c>
      <c r="I1832" s="69">
        <v>0.15</v>
      </c>
      <c r="J1832" s="118">
        <f>$R1832*K1832</f>
        <v>0</v>
      </c>
      <c r="K1832" s="69">
        <v>0.25</v>
      </c>
      <c r="L1832" s="314">
        <f>$R1832*M1832</f>
        <v>0</v>
      </c>
      <c r="M1832" s="69">
        <v>0.3</v>
      </c>
      <c r="N1832" s="314">
        <f>$R1832*O1832</f>
        <v>0</v>
      </c>
      <c r="O1832" s="69">
        <v>0.3</v>
      </c>
      <c r="P1832" s="118">
        <f>$R1832*Q1832</f>
        <v>0</v>
      </c>
      <c r="Q1832" s="69">
        <v>0</v>
      </c>
      <c r="R1832" s="87">
        <f>'Terms and Turnovers'!K186</f>
        <v>0</v>
      </c>
      <c r="S1832" s="160">
        <f>SUM(G1832,I1832,K1832,M1832,O1832,Q1832)</f>
        <v>1</v>
      </c>
      <c r="T1832" s="118">
        <f>$AF1832*U1832</f>
        <v>0</v>
      </c>
      <c r="U1832" s="69">
        <v>0</v>
      </c>
      <c r="V1832" s="314">
        <f>$AF1832*W1832</f>
        <v>0</v>
      </c>
      <c r="W1832" s="69">
        <v>0.4</v>
      </c>
      <c r="X1832" s="118">
        <f>$AF1832*Y1832</f>
        <v>0</v>
      </c>
      <c r="Y1832" s="69">
        <v>0.4</v>
      </c>
      <c r="Z1832" s="314">
        <f>$AF1832*AA1832</f>
        <v>0</v>
      </c>
      <c r="AA1832" s="69">
        <v>0.15</v>
      </c>
      <c r="AB1832" s="314">
        <f>$AF1832*AC1832</f>
        <v>0</v>
      </c>
      <c r="AC1832" s="69">
        <v>0.05</v>
      </c>
      <c r="AD1832" s="118">
        <f>$AF1832*AE1832</f>
        <v>0</v>
      </c>
      <c r="AE1832" s="69">
        <v>0</v>
      </c>
      <c r="AF1832" s="87">
        <f>'Terms and Turnovers'!P186</f>
        <v>0</v>
      </c>
      <c r="AG1832" s="160">
        <f>SUM(U1832,W1832,Y1832,AA1832,AC1832,AE1832)</f>
        <v>1</v>
      </c>
      <c r="AH1832" s="157">
        <f>SUM(R1832,AF1832)</f>
        <v>0</v>
      </c>
      <c r="AI1832" s="131">
        <f>S1832+AG1832</f>
        <v>2</v>
      </c>
      <c r="AJ1832" s="65"/>
      <c r="AL1832" s="461">
        <f>SUM(F1832,H1832,J1832,L1832,N1832,P1832,T1832,V1832,X1832,Z1832,AB1832,AD1832)</f>
        <v>0</v>
      </c>
      <c r="AM1832" s="462">
        <f>AL1832-AH1832</f>
        <v>0</v>
      </c>
      <c r="AV1832" s="56"/>
    </row>
    <row r="1833" spans="1:48" ht="13.5" customHeight="1" outlineLevel="2" thickBot="1">
      <c r="B1833" s="82"/>
      <c r="C1833" s="1234"/>
      <c r="D1833" s="1234"/>
      <c r="E1833" s="84" t="str">
        <f>'Terms and Turnovers'!$T$12</f>
        <v>ORIGINALS</v>
      </c>
      <c r="F1833" s="120">
        <f>$R1833*G1833</f>
        <v>0</v>
      </c>
      <c r="G1833" s="69">
        <v>0</v>
      </c>
      <c r="H1833" s="120">
        <f>$R1833*I1833</f>
        <v>0</v>
      </c>
      <c r="I1833" s="69">
        <v>0.15</v>
      </c>
      <c r="J1833" s="120">
        <f>$R1833*K1833</f>
        <v>0</v>
      </c>
      <c r="K1833" s="69">
        <v>0.25</v>
      </c>
      <c r="L1833" s="120">
        <f>$R1833*M1833</f>
        <v>0</v>
      </c>
      <c r="M1833" s="69">
        <v>0.3</v>
      </c>
      <c r="N1833" s="315">
        <f>$R1833*O1833</f>
        <v>0</v>
      </c>
      <c r="O1833" s="69">
        <v>0.3</v>
      </c>
      <c r="P1833" s="120">
        <f>$R1833*Q1833</f>
        <v>0</v>
      </c>
      <c r="Q1833" s="69">
        <v>0</v>
      </c>
      <c r="R1833" s="88">
        <f>'Terms and Turnovers'!U186</f>
        <v>0</v>
      </c>
      <c r="S1833" s="161">
        <f>SUM(G1833,I1833,K1833,M1833,O1833,Q1833)</f>
        <v>1</v>
      </c>
      <c r="T1833" s="120">
        <f>$AF1833*U1833</f>
        <v>0</v>
      </c>
      <c r="U1833" s="723">
        <v>0</v>
      </c>
      <c r="V1833" s="120">
        <f>$AF1833*W1833</f>
        <v>0</v>
      </c>
      <c r="W1833" s="69">
        <v>0.4</v>
      </c>
      <c r="X1833" s="120">
        <f>$AF1833*Y1833</f>
        <v>0</v>
      </c>
      <c r="Y1833" s="69">
        <v>0.6</v>
      </c>
      <c r="Z1833" s="120">
        <f>$AF1833*AA1833</f>
        <v>0</v>
      </c>
      <c r="AA1833" s="69">
        <v>0</v>
      </c>
      <c r="AB1833" s="315">
        <f>$AF1833*AC1833</f>
        <v>0</v>
      </c>
      <c r="AC1833" s="69">
        <v>0</v>
      </c>
      <c r="AD1833" s="120">
        <f>$AF1833*AE1833</f>
        <v>0</v>
      </c>
      <c r="AE1833" s="69">
        <v>0</v>
      </c>
      <c r="AF1833" s="88">
        <f>'Terms and Turnovers'!Z186</f>
        <v>0</v>
      </c>
      <c r="AG1833" s="161">
        <f>SUM(U1833,W1833,Y1833,AA1833,AC1833,AE1833)</f>
        <v>1</v>
      </c>
      <c r="AH1833" s="158">
        <f>SUM(R1833,AF1833)</f>
        <v>0</v>
      </c>
      <c r="AI1833" s="134">
        <f>S1833+AG1833</f>
        <v>2</v>
      </c>
      <c r="AJ1833" s="65"/>
      <c r="AL1833" s="461">
        <f>SUM(F1833,H1833,J1833,L1833,N1833,P1833,T1833,V1833,X1833,Z1833,AB1833,AD1833)</f>
        <v>0</v>
      </c>
      <c r="AM1833" s="462">
        <f>AL1833-AH1833</f>
        <v>0</v>
      </c>
      <c r="AV1833" s="56"/>
    </row>
    <row r="1834" spans="1:48" ht="13.5" customHeight="1" outlineLevel="2" thickBot="1">
      <c r="B1834" s="82"/>
      <c r="C1834" s="1234"/>
      <c r="D1834" s="1234"/>
      <c r="E1834" s="84" t="str">
        <f>'Terms and Turnovers'!$AD$12</f>
        <v>ACCESSORIES</v>
      </c>
      <c r="F1834" s="120">
        <f>$R1834*G1834</f>
        <v>0</v>
      </c>
      <c r="G1834" s="69">
        <v>0</v>
      </c>
      <c r="H1834" s="120">
        <f>$R1834*I1834</f>
        <v>0</v>
      </c>
      <c r="I1834" s="69">
        <v>0.15</v>
      </c>
      <c r="J1834" s="120">
        <f>$R1834*K1834</f>
        <v>0</v>
      </c>
      <c r="K1834" s="69">
        <v>0.25</v>
      </c>
      <c r="L1834" s="120">
        <f>$R1834*M1834</f>
        <v>0</v>
      </c>
      <c r="M1834" s="69">
        <v>0.3</v>
      </c>
      <c r="N1834" s="315">
        <f>$R1834*O1834</f>
        <v>0</v>
      </c>
      <c r="O1834" s="69">
        <v>0.3</v>
      </c>
      <c r="P1834" s="120">
        <f>$R1834*Q1834</f>
        <v>0</v>
      </c>
      <c r="Q1834" s="69">
        <v>0</v>
      </c>
      <c r="R1834" s="88">
        <f>'Terms and Turnovers'!AE186</f>
        <v>0</v>
      </c>
      <c r="S1834" s="161">
        <f>SUM(G1834,I1834,K1834,M1834,O1834,Q1834)</f>
        <v>1</v>
      </c>
      <c r="T1834" s="120">
        <f>$AF1834*U1834</f>
        <v>0</v>
      </c>
      <c r="U1834" s="723">
        <v>0</v>
      </c>
      <c r="V1834" s="120">
        <f>$AF1834*W1834</f>
        <v>0</v>
      </c>
      <c r="W1834" s="69">
        <v>0.4</v>
      </c>
      <c r="X1834" s="120">
        <f>$AF1834*Y1834</f>
        <v>0</v>
      </c>
      <c r="Y1834" s="69">
        <v>0.6</v>
      </c>
      <c r="Z1834" s="120">
        <f>$AF1834*AA1834</f>
        <v>0</v>
      </c>
      <c r="AA1834" s="69">
        <v>0</v>
      </c>
      <c r="AB1834" s="315">
        <f>$AF1834*AC1834</f>
        <v>0</v>
      </c>
      <c r="AC1834" s="69">
        <v>0</v>
      </c>
      <c r="AD1834" s="120">
        <f>$AF1834*AE1834</f>
        <v>0</v>
      </c>
      <c r="AE1834" s="69">
        <v>0</v>
      </c>
      <c r="AF1834" s="88">
        <f>'Terms and Turnovers'!AJ186</f>
        <v>0</v>
      </c>
      <c r="AG1834" s="161">
        <f>SUM(U1834,W1834,Y1834,AA1834,AC1834,AE1834)</f>
        <v>1</v>
      </c>
      <c r="AH1834" s="158">
        <f>SUM(R1834,AF1834)</f>
        <v>0</v>
      </c>
      <c r="AI1834" s="134">
        <f>S1834+AG1834</f>
        <v>2</v>
      </c>
      <c r="AJ1834" s="65"/>
      <c r="AL1834" s="461">
        <f>SUM(F1834,H1834,J1834,L1834,N1834,P1834,T1834,V1834,X1834,Z1834,AB1834,AD1834)</f>
        <v>0</v>
      </c>
      <c r="AM1834" s="462">
        <f>AL1834-AH1834</f>
        <v>0</v>
      </c>
      <c r="AV1834" s="56"/>
    </row>
    <row r="1835" spans="1:48" ht="13.5" customHeight="1" outlineLevel="2" thickBot="1">
      <c r="B1835" s="82"/>
      <c r="C1835" s="1234"/>
      <c r="D1835" s="1234"/>
      <c r="E1835" s="84">
        <f>'Terms and Turnovers'!$AN$12</f>
        <v>0</v>
      </c>
      <c r="F1835" s="120">
        <f>$R1835*G1835</f>
        <v>0</v>
      </c>
      <c r="G1835" s="69">
        <v>0</v>
      </c>
      <c r="H1835" s="120">
        <f>$R1835*I1835</f>
        <v>0</v>
      </c>
      <c r="I1835" s="69">
        <v>0.15</v>
      </c>
      <c r="J1835" s="120">
        <f>$R1835*K1835</f>
        <v>0</v>
      </c>
      <c r="K1835" s="69">
        <v>0.25</v>
      </c>
      <c r="L1835" s="120">
        <f>$R1835*M1835</f>
        <v>0</v>
      </c>
      <c r="M1835" s="69">
        <v>0.3</v>
      </c>
      <c r="N1835" s="315">
        <f>$R1835*O1835</f>
        <v>0</v>
      </c>
      <c r="O1835" s="69">
        <v>0.3</v>
      </c>
      <c r="P1835" s="120">
        <f>$R1835*Q1835</f>
        <v>0</v>
      </c>
      <c r="Q1835" s="69">
        <v>0</v>
      </c>
      <c r="R1835" s="88">
        <f>'Terms and Turnovers'!AO186</f>
        <v>0</v>
      </c>
      <c r="S1835" s="161">
        <f>SUM(G1835,I1835,K1835,M1835,O1835,Q1835)</f>
        <v>1</v>
      </c>
      <c r="T1835" s="120">
        <f>$AF1835*U1835</f>
        <v>0</v>
      </c>
      <c r="U1835" s="723">
        <v>0.2</v>
      </c>
      <c r="V1835" s="120">
        <f>$AF1835*W1835</f>
        <v>0</v>
      </c>
      <c r="W1835" s="69">
        <v>0.2</v>
      </c>
      <c r="X1835" s="120">
        <f>$AF1835*Y1835</f>
        <v>0</v>
      </c>
      <c r="Y1835" s="69">
        <v>0.25</v>
      </c>
      <c r="Z1835" s="120">
        <f>$AF1835*AA1835</f>
        <v>0</v>
      </c>
      <c r="AA1835" s="69">
        <v>0.1</v>
      </c>
      <c r="AB1835" s="315">
        <f>$AF1835*AC1835</f>
        <v>0</v>
      </c>
      <c r="AC1835" s="69">
        <v>0.1</v>
      </c>
      <c r="AD1835" s="120">
        <f>$AF1835*AE1835</f>
        <v>0</v>
      </c>
      <c r="AE1835" s="69">
        <v>0.15</v>
      </c>
      <c r="AF1835" s="88">
        <f>'Terms and Turnovers'!AT186</f>
        <v>0</v>
      </c>
      <c r="AG1835" s="161">
        <f>SUM(U1835,W1835,Y1835,AA1835,AC1835,AE1835)</f>
        <v>1</v>
      </c>
      <c r="AH1835" s="158">
        <f>SUM(R1835,AF1835)</f>
        <v>0</v>
      </c>
      <c r="AI1835" s="134">
        <f>S1835+AG1835</f>
        <v>2</v>
      </c>
      <c r="AJ1835" s="65"/>
      <c r="AL1835" s="461">
        <f>SUM(F1835,H1835,J1835,L1835,N1835,P1835,T1835,V1835,X1835,Z1835,AB1835,AD1835)</f>
        <v>0</v>
      </c>
      <c r="AM1835" s="462">
        <f>AL1835-AH1835</f>
        <v>0</v>
      </c>
      <c r="AV1835" s="56"/>
    </row>
    <row r="1836" spans="1:48" ht="13.5" customHeight="1" outlineLevel="2" thickBot="1">
      <c r="B1836" s="82"/>
      <c r="C1836" s="1235"/>
      <c r="D1836" s="1235"/>
      <c r="E1836" s="85">
        <f>'Terms and Turnovers'!$AX$12</f>
        <v>0</v>
      </c>
      <c r="F1836" s="121">
        <f>$R1836*G1836</f>
        <v>0</v>
      </c>
      <c r="G1836" s="69">
        <v>0</v>
      </c>
      <c r="H1836" s="121">
        <f>$R1836*I1836</f>
        <v>0</v>
      </c>
      <c r="I1836" s="69">
        <v>0.15</v>
      </c>
      <c r="J1836" s="121">
        <f>$R1836*K1836</f>
        <v>0</v>
      </c>
      <c r="K1836" s="69">
        <v>0.25</v>
      </c>
      <c r="L1836" s="121">
        <f>$R1836*M1836</f>
        <v>0</v>
      </c>
      <c r="M1836" s="69">
        <v>0.3</v>
      </c>
      <c r="N1836" s="316">
        <f>$R1836*O1836</f>
        <v>0</v>
      </c>
      <c r="O1836" s="69">
        <v>0.3</v>
      </c>
      <c r="P1836" s="121">
        <f>$R1836*Q1836</f>
        <v>0</v>
      </c>
      <c r="Q1836" s="69">
        <v>0</v>
      </c>
      <c r="R1836" s="89">
        <f>'Terms and Turnovers'!AY186</f>
        <v>0</v>
      </c>
      <c r="S1836" s="162">
        <f>SUM(G1836,I1836,K1836,M1836,O1836,Q1836)</f>
        <v>1</v>
      </c>
      <c r="T1836" s="121">
        <f>$AF1836*U1836</f>
        <v>0</v>
      </c>
      <c r="U1836" s="72">
        <v>0</v>
      </c>
      <c r="V1836" s="121">
        <f>$AF1836*W1836</f>
        <v>0</v>
      </c>
      <c r="W1836" s="69">
        <v>0.4</v>
      </c>
      <c r="X1836" s="121">
        <f>$AF1836*Y1836</f>
        <v>0</v>
      </c>
      <c r="Y1836" s="69">
        <v>0.35</v>
      </c>
      <c r="Z1836" s="121">
        <f>$AF1836*AA1836</f>
        <v>0</v>
      </c>
      <c r="AA1836" s="69">
        <v>0.15</v>
      </c>
      <c r="AB1836" s="316">
        <f>$AF1836*AC1836</f>
        <v>0</v>
      </c>
      <c r="AC1836" s="69">
        <v>0.1</v>
      </c>
      <c r="AD1836" s="121">
        <f>$AF1836*AE1836</f>
        <v>0</v>
      </c>
      <c r="AE1836" s="69">
        <v>0</v>
      </c>
      <c r="AF1836" s="89">
        <f>'Terms and Turnovers'!BD186</f>
        <v>0</v>
      </c>
      <c r="AG1836" s="162">
        <f>SUM(U1836,W1836,Y1836,AA1836,AC1836,AE1836)</f>
        <v>1</v>
      </c>
      <c r="AH1836" s="159">
        <f>SUM(R1836,AF1836)</f>
        <v>0</v>
      </c>
      <c r="AI1836" s="137">
        <f>S1836+AG1836</f>
        <v>2</v>
      </c>
      <c r="AJ1836" s="65"/>
      <c r="AL1836" s="461">
        <f>SUM(F1836,H1836,J1836,L1836,N1836,P1836,T1836,V1836,X1836,Z1836,AB1836,AD1836)</f>
        <v>0</v>
      </c>
      <c r="AM1836" s="462">
        <f>AL1836-AH1836</f>
        <v>0</v>
      </c>
      <c r="AV1836" s="56"/>
    </row>
    <row r="1837" spans="1:48" ht="13.5" customHeight="1" outlineLevel="2" thickBot="1">
      <c r="A1837" s="119"/>
      <c r="B1837" s="82"/>
      <c r="C1837" s="425"/>
      <c r="D1837" s="425"/>
      <c r="E1837" s="426"/>
      <c r="F1837" s="427">
        <f>SUM(F1832:F1836)</f>
        <v>0</v>
      </c>
      <c r="G1837" s="428"/>
      <c r="H1837" s="427">
        <f>SUM(H1832:H1836)</f>
        <v>0</v>
      </c>
      <c r="I1837" s="69"/>
      <c r="J1837" s="427">
        <f>SUM(J1832:J1836)</f>
        <v>0</v>
      </c>
      <c r="K1837" s="69"/>
      <c r="L1837" s="427">
        <f>SUM(L1832:L1836)</f>
        <v>0</v>
      </c>
      <c r="M1837" s="69"/>
      <c r="N1837" s="427">
        <f>SUM(N1832:N1836)</f>
        <v>0</v>
      </c>
      <c r="O1837" s="69"/>
      <c r="P1837" s="427">
        <f>SUM(P1832:P1836)</f>
        <v>0</v>
      </c>
      <c r="Q1837" s="69"/>
      <c r="R1837" s="429"/>
      <c r="S1837" s="430"/>
      <c r="T1837" s="427">
        <f>SUM(T1832:T1836)</f>
        <v>0</v>
      </c>
      <c r="U1837" s="428"/>
      <c r="V1837" s="427">
        <f>SUM(V1832:V1836)</f>
        <v>0</v>
      </c>
      <c r="W1837" s="69"/>
      <c r="X1837" s="427">
        <f>SUM(X1832:X1836)</f>
        <v>0</v>
      </c>
      <c r="Y1837" s="69"/>
      <c r="Z1837" s="427">
        <f>SUM(Z1832:Z1836)</f>
        <v>0</v>
      </c>
      <c r="AA1837" s="69"/>
      <c r="AB1837" s="427">
        <f>SUM(AB1832:AB1836)</f>
        <v>0</v>
      </c>
      <c r="AC1837" s="69"/>
      <c r="AD1837" s="427">
        <f>SUM(AD1832:AD1836)</f>
        <v>0</v>
      </c>
      <c r="AE1837" s="69"/>
      <c r="AF1837" s="429"/>
      <c r="AG1837" s="430"/>
      <c r="AH1837" s="431"/>
      <c r="AI1837" s="432"/>
      <c r="AJ1837" s="65"/>
      <c r="AV1837" s="56"/>
    </row>
    <row r="1838" spans="1:48" ht="13.5" customHeight="1" outlineLevel="2" thickBot="1">
      <c r="A1838" s="119"/>
      <c r="B1838" s="82"/>
      <c r="C1838" s="433" t="s">
        <v>484</v>
      </c>
      <c r="D1838" s="433" t="s">
        <v>486</v>
      </c>
      <c r="E1838" s="426"/>
      <c r="F1838" s="434">
        <f>AN1838</f>
        <v>0</v>
      </c>
      <c r="G1838" s="428"/>
      <c r="H1838" s="434">
        <f>H1837</f>
        <v>0</v>
      </c>
      <c r="I1838" s="69"/>
      <c r="J1838" s="434">
        <f>J1837</f>
        <v>0</v>
      </c>
      <c r="K1838" s="69"/>
      <c r="L1838" s="434">
        <f>L1837</f>
        <v>0</v>
      </c>
      <c r="M1838" s="69"/>
      <c r="N1838" s="434">
        <f>N1837-AO1838</f>
        <v>0</v>
      </c>
      <c r="O1838" s="69"/>
      <c r="P1838" s="434"/>
      <c r="Q1838" s="69"/>
      <c r="R1838" s="429"/>
      <c r="S1838" s="430"/>
      <c r="T1838" s="434">
        <f>AO1838</f>
        <v>0</v>
      </c>
      <c r="U1838" s="428">
        <f>Q1837</f>
        <v>0</v>
      </c>
      <c r="V1838" s="434">
        <f>V1837</f>
        <v>0</v>
      </c>
      <c r="W1838" s="69">
        <f>S1837</f>
        <v>0</v>
      </c>
      <c r="X1838" s="434">
        <f>X1837</f>
        <v>0</v>
      </c>
      <c r="Y1838" s="69">
        <f>U1837</f>
        <v>0</v>
      </c>
      <c r="Z1838" s="434">
        <f>Z1837-AN1838</f>
        <v>0</v>
      </c>
      <c r="AA1838" s="69">
        <f>W1837</f>
        <v>0</v>
      </c>
      <c r="AB1838" s="434">
        <f>AB1837</f>
        <v>0</v>
      </c>
      <c r="AC1838" s="69">
        <f>Y1837</f>
        <v>0</v>
      </c>
      <c r="AD1838" s="434">
        <f>AD1837</f>
        <v>0</v>
      </c>
      <c r="AE1838" s="69"/>
      <c r="AF1838" s="429"/>
      <c r="AG1838" s="430"/>
      <c r="AH1838" s="431"/>
      <c r="AI1838" s="432"/>
      <c r="AJ1838" s="65"/>
      <c r="AN1838" s="695">
        <f>SUM(AF1832:AF1836)*AQ1838</f>
        <v>0</v>
      </c>
      <c r="AO1838" s="742">
        <f>SUM(R1832:R1836)*AQ1838</f>
        <v>0</v>
      </c>
      <c r="AP1838" s="742"/>
      <c r="AQ1838" s="693">
        <v>0.15</v>
      </c>
      <c r="AS1838" s="716">
        <f>SUM(AL1832:AL1836)</f>
        <v>0</v>
      </c>
      <c r="AT1838" s="461">
        <f>F1838+H1838+J1838+L1838+N1838+P1838+T1838+V1838+X1838+Z1838+AB1838+AD1838</f>
        <v>0</v>
      </c>
      <c r="AU1838" s="745">
        <f>AT1838-AS1838</f>
        <v>0</v>
      </c>
      <c r="AV1838" s="56"/>
    </row>
    <row r="1839" spans="1:48" ht="13.5" customHeight="1" outlineLevel="2" thickBot="1">
      <c r="B1839" s="82">
        <f>B1832+1</f>
        <v>56</v>
      </c>
      <c r="C1839" s="1233">
        <f>C398</f>
        <v>0</v>
      </c>
      <c r="D1839" s="1233">
        <f>D398</f>
        <v>0</v>
      </c>
      <c r="E1839" s="83" t="str">
        <f>'Terms and Turnovers'!$J$12</f>
        <v>FLIP-FLOPS</v>
      </c>
      <c r="F1839" s="118">
        <f>$R1839*G1839</f>
        <v>0</v>
      </c>
      <c r="G1839" s="69">
        <v>0.05</v>
      </c>
      <c r="H1839" s="314">
        <f>$R1839*I1839</f>
        <v>0</v>
      </c>
      <c r="I1839" s="69">
        <v>0.1</v>
      </c>
      <c r="J1839" s="118">
        <f>$R1839*K1839</f>
        <v>0</v>
      </c>
      <c r="K1839" s="69">
        <v>0.25</v>
      </c>
      <c r="L1839" s="314">
        <f>$R1839*M1839</f>
        <v>0</v>
      </c>
      <c r="M1839" s="69">
        <v>0.4</v>
      </c>
      <c r="N1839" s="314">
        <f>$R1839*O1839</f>
        <v>0</v>
      </c>
      <c r="O1839" s="69">
        <v>0.2</v>
      </c>
      <c r="P1839" s="118">
        <f>$R1839*Q1839</f>
        <v>0</v>
      </c>
      <c r="Q1839" s="69">
        <v>0</v>
      </c>
      <c r="R1839" s="87">
        <f>'Terms and Turnovers'!K187</f>
        <v>0</v>
      </c>
      <c r="S1839" s="160">
        <f>SUM(G1839,I1839,K1839,M1839,O1839,Q1839)</f>
        <v>1</v>
      </c>
      <c r="T1839" s="118">
        <f>$AF1839*U1839</f>
        <v>0</v>
      </c>
      <c r="U1839" s="69">
        <v>0</v>
      </c>
      <c r="V1839" s="314">
        <f>$AF1839*W1839</f>
        <v>0</v>
      </c>
      <c r="W1839" s="69">
        <v>0.3</v>
      </c>
      <c r="X1839" s="118">
        <f>$AF1839*Y1839</f>
        <v>0</v>
      </c>
      <c r="Y1839" s="69">
        <v>0.4</v>
      </c>
      <c r="Z1839" s="314">
        <f>$AF1839*AA1839</f>
        <v>0</v>
      </c>
      <c r="AA1839" s="69">
        <v>0.2</v>
      </c>
      <c r="AB1839" s="314">
        <f>$AF1839*AC1839</f>
        <v>0</v>
      </c>
      <c r="AC1839" s="69">
        <v>7.0000000000000007E-2</v>
      </c>
      <c r="AD1839" s="118">
        <f>$AF1839*AE1839</f>
        <v>0</v>
      </c>
      <c r="AE1839" s="69">
        <v>0.03</v>
      </c>
      <c r="AF1839" s="87">
        <f>'Terms and Turnovers'!P187</f>
        <v>0</v>
      </c>
      <c r="AG1839" s="160">
        <f>SUM(U1839,W1839,Y1839,AA1839,AC1839,AE1839)</f>
        <v>1</v>
      </c>
      <c r="AH1839" s="157">
        <f>SUM(R1839,AF1839)</f>
        <v>0</v>
      </c>
      <c r="AI1839" s="131">
        <f>S1839+AG1839</f>
        <v>2</v>
      </c>
      <c r="AJ1839" s="65"/>
      <c r="AL1839" s="461">
        <f>SUM(F1839,H1839,J1839,L1839,N1839,P1839,T1839,V1839,X1839,Z1839,AB1839,AD1839)</f>
        <v>0</v>
      </c>
      <c r="AM1839" s="462">
        <f>AL1839-AH1839</f>
        <v>0</v>
      </c>
      <c r="AV1839" s="56"/>
    </row>
    <row r="1840" spans="1:48" ht="13.5" customHeight="1" outlineLevel="2" thickBot="1">
      <c r="B1840" s="82"/>
      <c r="C1840" s="1234"/>
      <c r="D1840" s="1234"/>
      <c r="E1840" s="84" t="str">
        <f>'Terms and Turnovers'!$T$12</f>
        <v>ORIGINALS</v>
      </c>
      <c r="F1840" s="120">
        <f>$R1840*G1840</f>
        <v>0</v>
      </c>
      <c r="G1840" s="723"/>
      <c r="H1840" s="120">
        <f>$R1840*I1840</f>
        <v>0</v>
      </c>
      <c r="I1840" s="69">
        <v>0</v>
      </c>
      <c r="J1840" s="120">
        <f>$R1840*K1840</f>
        <v>0</v>
      </c>
      <c r="K1840" s="69">
        <v>0.3</v>
      </c>
      <c r="L1840" s="120">
        <f>$R1840*M1840</f>
        <v>0</v>
      </c>
      <c r="M1840" s="69">
        <v>0.6</v>
      </c>
      <c r="N1840" s="315">
        <f>$R1840*O1840</f>
        <v>0</v>
      </c>
      <c r="O1840" s="69">
        <v>0.1</v>
      </c>
      <c r="P1840" s="120">
        <f>$R1840*Q1840</f>
        <v>0</v>
      </c>
      <c r="Q1840" s="69">
        <v>0</v>
      </c>
      <c r="R1840" s="88">
        <f>'Terms and Turnovers'!U187</f>
        <v>0</v>
      </c>
      <c r="S1840" s="161">
        <f>SUM(G1840,I1840,K1840,M1840,O1840,Q1840)</f>
        <v>0.99999999999999989</v>
      </c>
      <c r="T1840" s="120">
        <f>$AF1840*U1840</f>
        <v>0</v>
      </c>
      <c r="U1840" s="723">
        <v>0</v>
      </c>
      <c r="V1840" s="120">
        <f>$AF1840*W1840</f>
        <v>0</v>
      </c>
      <c r="W1840" s="69">
        <v>0.25</v>
      </c>
      <c r="X1840" s="120">
        <f>$AF1840*Y1840</f>
        <v>0</v>
      </c>
      <c r="Y1840" s="69">
        <v>0.6</v>
      </c>
      <c r="Z1840" s="120">
        <f>$AF1840*AA1840</f>
        <v>0</v>
      </c>
      <c r="AA1840" s="69">
        <v>0.15</v>
      </c>
      <c r="AB1840" s="315">
        <f>$AF1840*AC1840</f>
        <v>0</v>
      </c>
      <c r="AC1840" s="69">
        <v>0</v>
      </c>
      <c r="AD1840" s="120">
        <f>$AF1840*AE1840</f>
        <v>0</v>
      </c>
      <c r="AE1840" s="69">
        <v>0</v>
      </c>
      <c r="AF1840" s="88">
        <f>'Terms and Turnovers'!Z187</f>
        <v>0</v>
      </c>
      <c r="AG1840" s="161">
        <f>SUM(U1840,W1840,Y1840,AA1840,AC1840,AE1840)</f>
        <v>1</v>
      </c>
      <c r="AH1840" s="158">
        <f>SUM(R1840,AF1840)</f>
        <v>0</v>
      </c>
      <c r="AI1840" s="134">
        <f>S1840+AG1840</f>
        <v>2</v>
      </c>
      <c r="AJ1840" s="65"/>
      <c r="AL1840" s="461">
        <f>SUM(F1840,H1840,J1840,L1840,N1840,P1840,T1840,V1840,X1840,Z1840,AB1840,AD1840)</f>
        <v>0</v>
      </c>
      <c r="AM1840" s="462">
        <f>AL1840-AH1840</f>
        <v>0</v>
      </c>
      <c r="AV1840" s="56"/>
    </row>
    <row r="1841" spans="1:48" ht="13.5" customHeight="1" outlineLevel="2" thickBot="1">
      <c r="B1841" s="82"/>
      <c r="C1841" s="1234"/>
      <c r="D1841" s="1234"/>
      <c r="E1841" s="84" t="str">
        <f>'Terms and Turnovers'!$AD$12</f>
        <v>ACCESSORIES</v>
      </c>
      <c r="F1841" s="120">
        <f>$R1841*G1841</f>
        <v>0</v>
      </c>
      <c r="G1841" s="723"/>
      <c r="H1841" s="120">
        <f>$R1841*I1841</f>
        <v>0</v>
      </c>
      <c r="I1841" s="69">
        <v>0</v>
      </c>
      <c r="J1841" s="120">
        <f>$R1841*K1841</f>
        <v>0</v>
      </c>
      <c r="K1841" s="69">
        <v>0.3</v>
      </c>
      <c r="L1841" s="120">
        <f>$R1841*M1841</f>
        <v>0</v>
      </c>
      <c r="M1841" s="69">
        <v>0.6</v>
      </c>
      <c r="N1841" s="315">
        <f>$R1841*O1841</f>
        <v>0</v>
      </c>
      <c r="O1841" s="69">
        <v>0.1</v>
      </c>
      <c r="P1841" s="120">
        <f>$R1841*Q1841</f>
        <v>0</v>
      </c>
      <c r="Q1841" s="69">
        <v>0</v>
      </c>
      <c r="R1841" s="88">
        <f>'Terms and Turnovers'!AE187</f>
        <v>0</v>
      </c>
      <c r="S1841" s="161">
        <f>SUM(G1841,I1841,K1841,M1841,O1841,Q1841)</f>
        <v>0.99999999999999989</v>
      </c>
      <c r="T1841" s="120">
        <f>$AF1841*U1841</f>
        <v>0</v>
      </c>
      <c r="U1841" s="723">
        <v>0</v>
      </c>
      <c r="V1841" s="120">
        <f>$AF1841*W1841</f>
        <v>0</v>
      </c>
      <c r="W1841" s="69">
        <v>0.25</v>
      </c>
      <c r="X1841" s="120">
        <f>$AF1841*Y1841</f>
        <v>0</v>
      </c>
      <c r="Y1841" s="69">
        <v>0.6</v>
      </c>
      <c r="Z1841" s="120">
        <f>$AF1841*AA1841</f>
        <v>0</v>
      </c>
      <c r="AA1841" s="69">
        <v>0.15</v>
      </c>
      <c r="AB1841" s="315">
        <f>$AF1841*AC1841</f>
        <v>0</v>
      </c>
      <c r="AC1841" s="69">
        <v>0</v>
      </c>
      <c r="AD1841" s="120">
        <f>$AF1841*AE1841</f>
        <v>0</v>
      </c>
      <c r="AE1841" s="69">
        <v>0</v>
      </c>
      <c r="AF1841" s="88">
        <f>'Terms and Turnovers'!AJ187</f>
        <v>0</v>
      </c>
      <c r="AG1841" s="161">
        <f>SUM(U1841,W1841,Y1841,AA1841,AC1841,AE1841)</f>
        <v>1</v>
      </c>
      <c r="AH1841" s="158">
        <f>SUM(R1841,AF1841)</f>
        <v>0</v>
      </c>
      <c r="AI1841" s="134">
        <f>S1841+AG1841</f>
        <v>2</v>
      </c>
      <c r="AJ1841" s="65"/>
      <c r="AL1841" s="461">
        <f>SUM(F1841,H1841,J1841,L1841,N1841,P1841,T1841,V1841,X1841,Z1841,AB1841,AD1841)</f>
        <v>0</v>
      </c>
      <c r="AM1841" s="462">
        <f>AL1841-AH1841</f>
        <v>0</v>
      </c>
      <c r="AV1841" s="56"/>
    </row>
    <row r="1842" spans="1:48" ht="13.5" customHeight="1" outlineLevel="2" thickBot="1">
      <c r="B1842" s="82"/>
      <c r="C1842" s="1234"/>
      <c r="D1842" s="1234"/>
      <c r="E1842" s="84">
        <f>'Terms and Turnovers'!$AN$12</f>
        <v>0</v>
      </c>
      <c r="F1842" s="120">
        <f>$R1842*G1842</f>
        <v>0</v>
      </c>
      <c r="G1842" s="723">
        <v>0.05</v>
      </c>
      <c r="H1842" s="120">
        <f>$R1842*I1842</f>
        <v>0</v>
      </c>
      <c r="I1842" s="69">
        <v>0.1</v>
      </c>
      <c r="J1842" s="120">
        <f>$R1842*K1842</f>
        <v>0</v>
      </c>
      <c r="K1842" s="69">
        <v>0.25</v>
      </c>
      <c r="L1842" s="120">
        <f>$R1842*M1842</f>
        <v>0</v>
      </c>
      <c r="M1842" s="69">
        <v>0.4</v>
      </c>
      <c r="N1842" s="315">
        <f>$R1842*O1842</f>
        <v>0</v>
      </c>
      <c r="O1842" s="69">
        <v>0.2</v>
      </c>
      <c r="P1842" s="120">
        <f>$R1842*Q1842</f>
        <v>0</v>
      </c>
      <c r="Q1842" s="69">
        <v>0</v>
      </c>
      <c r="R1842" s="88">
        <f>'Terms and Turnovers'!AO187</f>
        <v>0</v>
      </c>
      <c r="S1842" s="161">
        <f>SUM(G1842,I1842,K1842,M1842,O1842,Q1842)</f>
        <v>1</v>
      </c>
      <c r="T1842" s="120">
        <f>$AF1842*U1842</f>
        <v>0</v>
      </c>
      <c r="U1842" s="723">
        <v>0</v>
      </c>
      <c r="V1842" s="120">
        <f>$AF1842*W1842</f>
        <v>0</v>
      </c>
      <c r="W1842" s="69">
        <v>0.3</v>
      </c>
      <c r="X1842" s="120">
        <f>$AF1842*Y1842</f>
        <v>0</v>
      </c>
      <c r="Y1842" s="69">
        <v>0.4</v>
      </c>
      <c r="Z1842" s="120">
        <f>$AF1842*AA1842</f>
        <v>0</v>
      </c>
      <c r="AA1842" s="69">
        <v>0.2</v>
      </c>
      <c r="AB1842" s="315">
        <f>$AF1842*AC1842</f>
        <v>0</v>
      </c>
      <c r="AC1842" s="69">
        <v>7.0000000000000007E-2</v>
      </c>
      <c r="AD1842" s="120">
        <f>$AF1842*AE1842</f>
        <v>0</v>
      </c>
      <c r="AE1842" s="69">
        <v>0.03</v>
      </c>
      <c r="AF1842" s="88">
        <f>'Terms and Turnovers'!AT187</f>
        <v>0</v>
      </c>
      <c r="AG1842" s="161">
        <f>SUM(U1842,W1842,Y1842,AA1842,AC1842,AE1842)</f>
        <v>1</v>
      </c>
      <c r="AH1842" s="158">
        <f>SUM(R1842,AF1842)</f>
        <v>0</v>
      </c>
      <c r="AI1842" s="134">
        <f>S1842+AG1842</f>
        <v>2</v>
      </c>
      <c r="AJ1842" s="65"/>
      <c r="AL1842" s="461">
        <f>SUM(F1842,H1842,J1842,L1842,N1842,P1842,T1842,V1842,X1842,Z1842,AB1842,AD1842)</f>
        <v>0</v>
      </c>
      <c r="AM1842" s="462">
        <f>AL1842-AH1842</f>
        <v>0</v>
      </c>
      <c r="AV1842" s="56"/>
    </row>
    <row r="1843" spans="1:48" ht="13.5" customHeight="1" outlineLevel="2" thickBot="1">
      <c r="B1843" s="82"/>
      <c r="C1843" s="1235"/>
      <c r="D1843" s="1235"/>
      <c r="E1843" s="85">
        <f>'Terms and Turnovers'!$AX$12</f>
        <v>0</v>
      </c>
      <c r="F1843" s="121">
        <f>$R1843*G1843</f>
        <v>0</v>
      </c>
      <c r="G1843" s="72">
        <v>0.05</v>
      </c>
      <c r="H1843" s="121">
        <f>$R1843*I1843</f>
        <v>0</v>
      </c>
      <c r="I1843" s="69">
        <v>0.1</v>
      </c>
      <c r="J1843" s="121">
        <f>$R1843*K1843</f>
        <v>0</v>
      </c>
      <c r="K1843" s="69">
        <v>0.25</v>
      </c>
      <c r="L1843" s="121">
        <f>$R1843*M1843</f>
        <v>0</v>
      </c>
      <c r="M1843" s="69">
        <v>0.4</v>
      </c>
      <c r="N1843" s="316">
        <f>$R1843*O1843</f>
        <v>0</v>
      </c>
      <c r="O1843" s="69">
        <v>0.2</v>
      </c>
      <c r="P1843" s="121">
        <f>$R1843*Q1843</f>
        <v>0</v>
      </c>
      <c r="Q1843" s="69">
        <v>0</v>
      </c>
      <c r="R1843" s="89">
        <f>'Terms and Turnovers'!AY187</f>
        <v>0</v>
      </c>
      <c r="S1843" s="162">
        <f>SUM(G1843,I1843,K1843,M1843,O1843,Q1843)</f>
        <v>1</v>
      </c>
      <c r="T1843" s="121">
        <f>$AF1843*U1843</f>
        <v>0</v>
      </c>
      <c r="U1843" s="72">
        <v>0</v>
      </c>
      <c r="V1843" s="121">
        <f>$AF1843*W1843</f>
        <v>0</v>
      </c>
      <c r="W1843" s="69">
        <v>0.3</v>
      </c>
      <c r="X1843" s="121">
        <f>$AF1843*Y1843</f>
        <v>0</v>
      </c>
      <c r="Y1843" s="69">
        <v>0.4</v>
      </c>
      <c r="Z1843" s="121">
        <f>$AF1843*AA1843</f>
        <v>0</v>
      </c>
      <c r="AA1843" s="69">
        <v>0.2</v>
      </c>
      <c r="AB1843" s="316">
        <f>$AF1843*AC1843</f>
        <v>0</v>
      </c>
      <c r="AC1843" s="69">
        <v>7.0000000000000007E-2</v>
      </c>
      <c r="AD1843" s="121">
        <f>$AF1843*AE1843</f>
        <v>0</v>
      </c>
      <c r="AE1843" s="69">
        <v>0.03</v>
      </c>
      <c r="AF1843" s="89">
        <f>'Terms and Turnovers'!BD187</f>
        <v>0</v>
      </c>
      <c r="AG1843" s="162">
        <f>SUM(U1843,W1843,Y1843,AA1843,AC1843,AE1843)</f>
        <v>1</v>
      </c>
      <c r="AH1843" s="159">
        <f>SUM(R1843,AF1843)</f>
        <v>0</v>
      </c>
      <c r="AI1843" s="137">
        <f>S1843+AG1843</f>
        <v>2</v>
      </c>
      <c r="AJ1843" s="65"/>
      <c r="AL1843" s="461">
        <f>SUM(F1843,H1843,J1843,L1843,N1843,P1843,T1843,V1843,X1843,Z1843,AB1843,AD1843)</f>
        <v>0</v>
      </c>
      <c r="AM1843" s="462">
        <f>AL1843-AH1843</f>
        <v>0</v>
      </c>
      <c r="AV1843" s="56"/>
    </row>
    <row r="1844" spans="1:48" ht="13.5" customHeight="1" outlineLevel="2" thickBot="1">
      <c r="A1844" s="119"/>
      <c r="B1844" s="82"/>
      <c r="C1844" s="425"/>
      <c r="D1844" s="425"/>
      <c r="E1844" s="426"/>
      <c r="F1844" s="427">
        <f>SUM(F1839:F1843)</f>
        <v>0</v>
      </c>
      <c r="G1844" s="428"/>
      <c r="H1844" s="427">
        <f>SUM(H1839:H1843)</f>
        <v>0</v>
      </c>
      <c r="I1844" s="69"/>
      <c r="J1844" s="427">
        <f>SUM(J1839:J1843)</f>
        <v>0</v>
      </c>
      <c r="K1844" s="69"/>
      <c r="L1844" s="427">
        <f>SUM(L1839:L1843)</f>
        <v>0</v>
      </c>
      <c r="M1844" s="69"/>
      <c r="N1844" s="427">
        <f>SUM(N1839:N1843)</f>
        <v>0</v>
      </c>
      <c r="O1844" s="69"/>
      <c r="P1844" s="427">
        <f>SUM(P1839:P1843)</f>
        <v>0</v>
      </c>
      <c r="Q1844" s="69"/>
      <c r="R1844" s="429"/>
      <c r="S1844" s="430"/>
      <c r="T1844" s="427">
        <f>SUM(T1839:T1843)</f>
        <v>0</v>
      </c>
      <c r="U1844" s="428"/>
      <c r="V1844" s="427">
        <f>SUM(V1839:V1843)</f>
        <v>0</v>
      </c>
      <c r="W1844" s="69"/>
      <c r="X1844" s="427">
        <f>SUM(X1839:X1843)</f>
        <v>0</v>
      </c>
      <c r="Y1844" s="69"/>
      <c r="Z1844" s="427">
        <f>SUM(Z1839:Z1843)</f>
        <v>0</v>
      </c>
      <c r="AA1844" s="69"/>
      <c r="AB1844" s="427">
        <f>SUM(AB1839:AB1843)</f>
        <v>0</v>
      </c>
      <c r="AC1844" s="69"/>
      <c r="AD1844" s="427">
        <f>SUM(AD1839:AD1843)</f>
        <v>0</v>
      </c>
      <c r="AE1844" s="69"/>
      <c r="AF1844" s="429"/>
      <c r="AG1844" s="430"/>
      <c r="AH1844" s="431"/>
      <c r="AI1844" s="432"/>
      <c r="AJ1844" s="65"/>
      <c r="AV1844" s="56"/>
    </row>
    <row r="1845" spans="1:48" ht="13.5" customHeight="1" outlineLevel="2" thickBot="1">
      <c r="A1845" s="119"/>
      <c r="B1845" s="82"/>
      <c r="C1845" s="433" t="s">
        <v>484</v>
      </c>
      <c r="D1845" s="433" t="s">
        <v>478</v>
      </c>
      <c r="E1845" s="426"/>
      <c r="F1845" s="434">
        <f>F1844/2</f>
        <v>0</v>
      </c>
      <c r="G1845" s="428"/>
      <c r="H1845" s="434">
        <f>H1844/2</f>
        <v>0</v>
      </c>
      <c r="I1845" s="69"/>
      <c r="J1845" s="434">
        <f>J1844/2</f>
        <v>0</v>
      </c>
      <c r="K1845" s="69"/>
      <c r="L1845" s="434">
        <f>L1844/2</f>
        <v>0</v>
      </c>
      <c r="M1845" s="69"/>
      <c r="N1845" s="434">
        <f>N1844/2</f>
        <v>0</v>
      </c>
      <c r="O1845" s="69"/>
      <c r="P1845" s="434">
        <f>((F1844+H1844+J1844+L1844+N1844)-(F1845+H1845+J1845+L1845+N1845))/2</f>
        <v>0</v>
      </c>
      <c r="Q1845" s="69"/>
      <c r="R1845" s="429"/>
      <c r="S1845" s="430"/>
      <c r="T1845" s="434">
        <f>P1845</f>
        <v>0</v>
      </c>
      <c r="U1845" s="428">
        <f>Q1844</f>
        <v>0</v>
      </c>
      <c r="V1845" s="434">
        <f>V1844/2</f>
        <v>0</v>
      </c>
      <c r="W1845" s="69">
        <f>S1844</f>
        <v>0</v>
      </c>
      <c r="X1845" s="434">
        <f>X1844/2</f>
        <v>0</v>
      </c>
      <c r="Y1845" s="69">
        <f>U1844</f>
        <v>0</v>
      </c>
      <c r="Z1845" s="434">
        <f>Z1844/2</f>
        <v>0</v>
      </c>
      <c r="AA1845" s="69">
        <f>W1844</f>
        <v>0</v>
      </c>
      <c r="AB1845" s="434">
        <f>AB1844/2</f>
        <v>0</v>
      </c>
      <c r="AC1845" s="69">
        <f>Y1844</f>
        <v>0</v>
      </c>
      <c r="AD1845" s="434">
        <f>(SUM(AF1839:AF1843)-V1845-X1845-Z1845-AB1845-AD1844)/2</f>
        <v>0</v>
      </c>
      <c r="AE1845" s="69"/>
      <c r="AF1845" s="429"/>
      <c r="AG1845" s="430"/>
      <c r="AH1845" s="431"/>
      <c r="AI1845" s="432"/>
      <c r="AJ1845" s="65"/>
      <c r="AN1845" s="695">
        <f>SUM(AF1839:AF1843)*AQ1845</f>
        <v>0</v>
      </c>
      <c r="AO1845" s="742">
        <f>SUM(R1839:R1843)*AQ1845</f>
        <v>0</v>
      </c>
      <c r="AP1845" s="742"/>
      <c r="AQ1845" s="693">
        <v>0</v>
      </c>
      <c r="AS1845" s="716">
        <f>SUM(AL1839:AL1843)</f>
        <v>0</v>
      </c>
      <c r="AT1845" s="461">
        <f>F1845+H1845+J1845+L1845+N1845+P1845+T1845+V1845+X1845+Z1845+AB1845+AD1845</f>
        <v>0</v>
      </c>
      <c r="AU1845" s="745">
        <f>AT1845-AS1845</f>
        <v>0</v>
      </c>
      <c r="AV1845" s="56"/>
    </row>
    <row r="1846" spans="1:48" ht="13.5" customHeight="1" outlineLevel="2" thickBot="1">
      <c r="B1846" s="82">
        <f>B1839+1</f>
        <v>57</v>
      </c>
      <c r="C1846" s="1233">
        <f>C405</f>
        <v>0</v>
      </c>
      <c r="D1846" s="1233">
        <f>D405</f>
        <v>0</v>
      </c>
      <c r="E1846" s="83" t="str">
        <f>'Terms and Turnovers'!$J$12</f>
        <v>FLIP-FLOPS</v>
      </c>
      <c r="F1846" s="118">
        <f>$R1846*G1846</f>
        <v>0</v>
      </c>
      <c r="G1846" s="69"/>
      <c r="H1846" s="314">
        <f>$R1846*I1846</f>
        <v>0</v>
      </c>
      <c r="I1846" s="69">
        <v>0</v>
      </c>
      <c r="J1846" s="118">
        <f>$R1846*K1846</f>
        <v>0</v>
      </c>
      <c r="K1846" s="69">
        <v>0.25</v>
      </c>
      <c r="L1846" s="314">
        <f>$R1846*M1846</f>
        <v>0</v>
      </c>
      <c r="M1846" s="69">
        <v>0.4</v>
      </c>
      <c r="N1846" s="314">
        <f>$R1846*O1846</f>
        <v>0</v>
      </c>
      <c r="O1846" s="69">
        <v>0.35</v>
      </c>
      <c r="P1846" s="118">
        <f>$R1846*Q1846</f>
        <v>0</v>
      </c>
      <c r="Q1846" s="69">
        <v>0</v>
      </c>
      <c r="R1846" s="87">
        <f>'Terms and Turnovers'!K188</f>
        <v>0</v>
      </c>
      <c r="S1846" s="160">
        <f>SUM(G1846,I1846,K1846,M1846,O1846,Q1846)</f>
        <v>1</v>
      </c>
      <c r="T1846" s="118">
        <f>$AF1846*U1846</f>
        <v>0</v>
      </c>
      <c r="U1846" s="69">
        <v>0</v>
      </c>
      <c r="V1846" s="314">
        <f>$AF1846*W1846</f>
        <v>0</v>
      </c>
      <c r="W1846" s="69">
        <v>0.37</v>
      </c>
      <c r="X1846" s="118">
        <f>$AF1846*Y1846</f>
        <v>0</v>
      </c>
      <c r="Y1846" s="69">
        <v>0.43</v>
      </c>
      <c r="Z1846" s="314">
        <f>$AF1846*AA1846</f>
        <v>0</v>
      </c>
      <c r="AA1846" s="69">
        <v>0.13</v>
      </c>
      <c r="AB1846" s="314">
        <f>$AF1846*AC1846</f>
        <v>0</v>
      </c>
      <c r="AC1846" s="69">
        <v>7.0000000000000007E-2</v>
      </c>
      <c r="AD1846" s="118">
        <f>$AF1846*AE1846</f>
        <v>0</v>
      </c>
      <c r="AE1846" s="69">
        <v>0</v>
      </c>
      <c r="AF1846" s="87">
        <f>'Terms and Turnovers'!P188</f>
        <v>0</v>
      </c>
      <c r="AG1846" s="160">
        <f>SUM(U1846,W1846,Y1846,AA1846,AC1846,AE1846)</f>
        <v>1</v>
      </c>
      <c r="AH1846" s="157">
        <f>SUM(R1846,AF1846)</f>
        <v>0</v>
      </c>
      <c r="AI1846" s="131">
        <f>S1846+AG1846</f>
        <v>2</v>
      </c>
      <c r="AJ1846" s="65"/>
      <c r="AL1846" s="461">
        <f>SUM(F1846,H1846,J1846,L1846,N1846,P1846,T1846,V1846,X1846,Z1846,AB1846,AD1846)</f>
        <v>0</v>
      </c>
      <c r="AM1846" s="462">
        <f>AL1846-AH1846</f>
        <v>0</v>
      </c>
      <c r="AV1846" s="56"/>
    </row>
    <row r="1847" spans="1:48" ht="13.5" customHeight="1" outlineLevel="2" thickBot="1">
      <c r="B1847" s="82"/>
      <c r="C1847" s="1234"/>
      <c r="D1847" s="1234"/>
      <c r="E1847" s="84" t="str">
        <f>'Terms and Turnovers'!$T$12</f>
        <v>ORIGINALS</v>
      </c>
      <c r="F1847" s="120">
        <f>$R1847*G1847</f>
        <v>0</v>
      </c>
      <c r="G1847" s="723"/>
      <c r="H1847" s="120">
        <f>$R1847*I1847</f>
        <v>0</v>
      </c>
      <c r="I1847" s="69">
        <v>0</v>
      </c>
      <c r="J1847" s="120">
        <f>$R1847*K1847</f>
        <v>0</v>
      </c>
      <c r="K1847" s="69">
        <v>0.3</v>
      </c>
      <c r="L1847" s="120">
        <f>$R1847*M1847</f>
        <v>0</v>
      </c>
      <c r="M1847" s="69">
        <v>0.6</v>
      </c>
      <c r="N1847" s="315">
        <f>$R1847*O1847</f>
        <v>0</v>
      </c>
      <c r="O1847" s="69">
        <v>0.1</v>
      </c>
      <c r="P1847" s="120">
        <f>$R1847*Q1847</f>
        <v>0</v>
      </c>
      <c r="Q1847" s="69">
        <v>0</v>
      </c>
      <c r="R1847" s="88">
        <f>'Terms and Turnovers'!U188</f>
        <v>0</v>
      </c>
      <c r="S1847" s="161">
        <f>SUM(G1847,I1847,K1847,M1847,O1847,Q1847)</f>
        <v>0.99999999999999989</v>
      </c>
      <c r="T1847" s="120">
        <f>$AF1847*U1847</f>
        <v>0</v>
      </c>
      <c r="U1847" s="723">
        <v>0</v>
      </c>
      <c r="V1847" s="120">
        <f>$AF1847*W1847</f>
        <v>0</v>
      </c>
      <c r="W1847" s="69">
        <v>0.15</v>
      </c>
      <c r="X1847" s="120">
        <f>$AF1847*Y1847</f>
        <v>0</v>
      </c>
      <c r="Y1847" s="69">
        <v>0.6</v>
      </c>
      <c r="Z1847" s="120">
        <f>$AF1847*AA1847</f>
        <v>0</v>
      </c>
      <c r="AA1847" s="69">
        <v>0.25</v>
      </c>
      <c r="AB1847" s="315">
        <f>$AF1847*AC1847</f>
        <v>0</v>
      </c>
      <c r="AC1847" s="69">
        <v>0</v>
      </c>
      <c r="AD1847" s="120">
        <f>$AF1847*AE1847</f>
        <v>0</v>
      </c>
      <c r="AE1847" s="69">
        <v>0</v>
      </c>
      <c r="AF1847" s="88">
        <f>'Terms and Turnovers'!Z188</f>
        <v>0</v>
      </c>
      <c r="AG1847" s="161">
        <f>SUM(U1847,W1847,Y1847,AA1847,AC1847,AE1847)</f>
        <v>1</v>
      </c>
      <c r="AH1847" s="158">
        <f>SUM(R1847,AF1847)</f>
        <v>0</v>
      </c>
      <c r="AI1847" s="134">
        <f>S1847+AG1847</f>
        <v>2</v>
      </c>
      <c r="AJ1847" s="65"/>
      <c r="AL1847" s="461">
        <f>SUM(F1847,H1847,J1847,L1847,N1847,P1847,T1847,V1847,X1847,Z1847,AB1847,AD1847)</f>
        <v>0</v>
      </c>
      <c r="AM1847" s="462">
        <f>AL1847-AH1847</f>
        <v>0</v>
      </c>
      <c r="AV1847" s="56"/>
    </row>
    <row r="1848" spans="1:48" ht="13.5" customHeight="1" outlineLevel="2" thickBot="1">
      <c r="B1848" s="82"/>
      <c r="C1848" s="1234"/>
      <c r="D1848" s="1234"/>
      <c r="E1848" s="84" t="str">
        <f>'Terms and Turnovers'!$AD$12</f>
        <v>ACCESSORIES</v>
      </c>
      <c r="F1848" s="120">
        <f>$R1848*G1848</f>
        <v>0</v>
      </c>
      <c r="G1848" s="723"/>
      <c r="H1848" s="120">
        <f>$R1848*I1848</f>
        <v>0</v>
      </c>
      <c r="I1848" s="69">
        <v>0</v>
      </c>
      <c r="J1848" s="120">
        <f>$R1848*K1848</f>
        <v>0</v>
      </c>
      <c r="K1848" s="69">
        <v>0.3</v>
      </c>
      <c r="L1848" s="120">
        <f>$R1848*M1848</f>
        <v>0</v>
      </c>
      <c r="M1848" s="69">
        <v>0.6</v>
      </c>
      <c r="N1848" s="315">
        <f>$R1848*O1848</f>
        <v>0</v>
      </c>
      <c r="O1848" s="69">
        <v>0.1</v>
      </c>
      <c r="P1848" s="120">
        <f>$R1848*Q1848</f>
        <v>0</v>
      </c>
      <c r="Q1848" s="69">
        <v>0</v>
      </c>
      <c r="R1848" s="88">
        <f>'Terms and Turnovers'!AE188</f>
        <v>0</v>
      </c>
      <c r="S1848" s="161">
        <f>SUM(G1848,I1848,K1848,M1848,O1848,Q1848)</f>
        <v>0.99999999999999989</v>
      </c>
      <c r="T1848" s="120">
        <f>$AF1848*U1848</f>
        <v>0</v>
      </c>
      <c r="U1848" s="723">
        <v>0</v>
      </c>
      <c r="V1848" s="120">
        <f>$AF1848*W1848</f>
        <v>0</v>
      </c>
      <c r="W1848" s="69">
        <v>0.15</v>
      </c>
      <c r="X1848" s="120">
        <f>$AF1848*Y1848</f>
        <v>0</v>
      </c>
      <c r="Y1848" s="69">
        <v>0.6</v>
      </c>
      <c r="Z1848" s="120">
        <f>$AF1848*AA1848</f>
        <v>0</v>
      </c>
      <c r="AA1848" s="69">
        <v>0.25</v>
      </c>
      <c r="AB1848" s="315">
        <f>$AF1848*AC1848</f>
        <v>0</v>
      </c>
      <c r="AC1848" s="69">
        <v>0</v>
      </c>
      <c r="AD1848" s="120">
        <f>$AF1848*AE1848</f>
        <v>0</v>
      </c>
      <c r="AE1848" s="69">
        <v>0</v>
      </c>
      <c r="AF1848" s="88">
        <f>'Terms and Turnovers'!AJ188</f>
        <v>0</v>
      </c>
      <c r="AG1848" s="161">
        <f>SUM(U1848,W1848,Y1848,AA1848,AC1848,AE1848)</f>
        <v>1</v>
      </c>
      <c r="AH1848" s="158">
        <f>SUM(R1848,AF1848)</f>
        <v>0</v>
      </c>
      <c r="AI1848" s="134">
        <f>S1848+AG1848</f>
        <v>2</v>
      </c>
      <c r="AJ1848" s="65"/>
      <c r="AL1848" s="461">
        <f>SUM(F1848,H1848,J1848,L1848,N1848,P1848,T1848,V1848,X1848,Z1848,AB1848,AD1848)</f>
        <v>0</v>
      </c>
      <c r="AM1848" s="462">
        <f>AL1848-AH1848</f>
        <v>0</v>
      </c>
      <c r="AV1848" s="56"/>
    </row>
    <row r="1849" spans="1:48" ht="13.5" customHeight="1" outlineLevel="2" thickBot="1">
      <c r="B1849" s="82"/>
      <c r="C1849" s="1234"/>
      <c r="D1849" s="1234"/>
      <c r="E1849" s="84">
        <f>'Terms and Turnovers'!$AN$12</f>
        <v>0</v>
      </c>
      <c r="F1849" s="120">
        <f>$R1849*G1849</f>
        <v>0</v>
      </c>
      <c r="G1849" s="723"/>
      <c r="H1849" s="120">
        <f>$R1849*I1849</f>
        <v>0</v>
      </c>
      <c r="I1849" s="69">
        <v>0</v>
      </c>
      <c r="J1849" s="120">
        <f>$R1849*K1849</f>
        <v>0</v>
      </c>
      <c r="K1849" s="69">
        <v>0.25</v>
      </c>
      <c r="L1849" s="120">
        <f>$R1849*M1849</f>
        <v>0</v>
      </c>
      <c r="M1849" s="69">
        <v>0.4</v>
      </c>
      <c r="N1849" s="315">
        <f>$R1849*O1849</f>
        <v>0</v>
      </c>
      <c r="O1849" s="69">
        <v>0.35</v>
      </c>
      <c r="P1849" s="120">
        <f>$R1849*Q1849</f>
        <v>0</v>
      </c>
      <c r="Q1849" s="69">
        <v>0</v>
      </c>
      <c r="R1849" s="88">
        <f>'Terms and Turnovers'!AO188</f>
        <v>0</v>
      </c>
      <c r="S1849" s="161">
        <f>SUM(G1849,I1849,K1849,M1849,O1849,Q1849)</f>
        <v>1</v>
      </c>
      <c r="T1849" s="120">
        <f>$AF1849*U1849</f>
        <v>0</v>
      </c>
      <c r="U1849" s="723">
        <v>0</v>
      </c>
      <c r="V1849" s="120">
        <f>$AF1849*W1849</f>
        <v>0</v>
      </c>
      <c r="W1849" s="69">
        <v>0.4</v>
      </c>
      <c r="X1849" s="120">
        <f>$AF1849*Y1849</f>
        <v>0</v>
      </c>
      <c r="Y1849" s="69">
        <v>0.4</v>
      </c>
      <c r="Z1849" s="120">
        <f>$AF1849*AA1849</f>
        <v>0</v>
      </c>
      <c r="AA1849" s="69">
        <v>0.13</v>
      </c>
      <c r="AB1849" s="315">
        <f>$AF1849*AC1849</f>
        <v>0</v>
      </c>
      <c r="AC1849" s="69">
        <v>7.0000000000000007E-2</v>
      </c>
      <c r="AD1849" s="120">
        <f>$AF1849*AE1849</f>
        <v>0</v>
      </c>
      <c r="AE1849" s="69">
        <v>0</v>
      </c>
      <c r="AF1849" s="88">
        <f>'Terms and Turnovers'!AT188</f>
        <v>0</v>
      </c>
      <c r="AG1849" s="161">
        <f>SUM(U1849,W1849,Y1849,AA1849,AC1849,AE1849)</f>
        <v>1</v>
      </c>
      <c r="AH1849" s="158">
        <f>SUM(R1849,AF1849)</f>
        <v>0</v>
      </c>
      <c r="AI1849" s="134">
        <f>S1849+AG1849</f>
        <v>2</v>
      </c>
      <c r="AJ1849" s="65"/>
      <c r="AL1849" s="461">
        <f>SUM(F1849,H1849,J1849,L1849,N1849,P1849,T1849,V1849,X1849,Z1849,AB1849,AD1849)</f>
        <v>0</v>
      </c>
      <c r="AM1849" s="462">
        <f>AL1849-AH1849</f>
        <v>0</v>
      </c>
      <c r="AV1849" s="56"/>
    </row>
    <row r="1850" spans="1:48" ht="13.5" customHeight="1" outlineLevel="2" thickBot="1">
      <c r="B1850" s="82"/>
      <c r="C1850" s="1235"/>
      <c r="D1850" s="1235"/>
      <c r="E1850" s="85">
        <f>'Terms and Turnovers'!$AX$12</f>
        <v>0</v>
      </c>
      <c r="F1850" s="121">
        <f>$R1850*G1850</f>
        <v>0</v>
      </c>
      <c r="G1850" s="72"/>
      <c r="H1850" s="121">
        <f>$R1850*I1850</f>
        <v>0</v>
      </c>
      <c r="I1850" s="69">
        <v>0</v>
      </c>
      <c r="J1850" s="121">
        <f>$R1850*K1850</f>
        <v>0</v>
      </c>
      <c r="K1850" s="69">
        <v>0.25</v>
      </c>
      <c r="L1850" s="121">
        <f>$R1850*M1850</f>
        <v>0</v>
      </c>
      <c r="M1850" s="69">
        <v>0.4</v>
      </c>
      <c r="N1850" s="316">
        <f>$R1850*O1850</f>
        <v>0</v>
      </c>
      <c r="O1850" s="69">
        <v>0.35</v>
      </c>
      <c r="P1850" s="121">
        <f>$R1850*Q1850</f>
        <v>0</v>
      </c>
      <c r="Q1850" s="69">
        <v>0</v>
      </c>
      <c r="R1850" s="89">
        <f>'Terms and Turnovers'!AY188</f>
        <v>0</v>
      </c>
      <c r="S1850" s="162">
        <f>SUM(G1850,I1850,K1850,M1850,O1850,Q1850)</f>
        <v>1</v>
      </c>
      <c r="T1850" s="121">
        <f>$AF1850*U1850</f>
        <v>0</v>
      </c>
      <c r="U1850" s="72">
        <v>0</v>
      </c>
      <c r="V1850" s="121">
        <f>$AF1850*W1850</f>
        <v>0</v>
      </c>
      <c r="W1850" s="69">
        <v>0.4</v>
      </c>
      <c r="X1850" s="121">
        <f>$AF1850*Y1850</f>
        <v>0</v>
      </c>
      <c r="Y1850" s="69">
        <v>0.4</v>
      </c>
      <c r="Z1850" s="121">
        <f>$AF1850*AA1850</f>
        <v>0</v>
      </c>
      <c r="AA1850" s="69">
        <v>0.13</v>
      </c>
      <c r="AB1850" s="316">
        <f>$AF1850*AC1850</f>
        <v>0</v>
      </c>
      <c r="AC1850" s="69">
        <v>7.0000000000000007E-2</v>
      </c>
      <c r="AD1850" s="121">
        <f>$AF1850*AE1850</f>
        <v>0</v>
      </c>
      <c r="AE1850" s="69">
        <v>0</v>
      </c>
      <c r="AF1850" s="89">
        <f>'Terms and Turnovers'!BD188</f>
        <v>0</v>
      </c>
      <c r="AG1850" s="162">
        <f>SUM(U1850,W1850,Y1850,AA1850,AC1850,AE1850)</f>
        <v>1</v>
      </c>
      <c r="AH1850" s="159">
        <f>SUM(R1850,AF1850)</f>
        <v>0</v>
      </c>
      <c r="AI1850" s="137">
        <f>S1850+AG1850</f>
        <v>2</v>
      </c>
      <c r="AJ1850" s="65"/>
      <c r="AL1850" s="461">
        <f>SUM(F1850,H1850,J1850,L1850,N1850,P1850,T1850,V1850,X1850,Z1850,AB1850,AD1850)</f>
        <v>0</v>
      </c>
      <c r="AM1850" s="462">
        <f>AL1850-AH1850</f>
        <v>0</v>
      </c>
      <c r="AV1850" s="56"/>
    </row>
    <row r="1851" spans="1:48" ht="13.5" customHeight="1" outlineLevel="2" thickBot="1">
      <c r="A1851" s="119"/>
      <c r="B1851" s="82"/>
      <c r="C1851" s="425"/>
      <c r="D1851" s="425"/>
      <c r="E1851" s="426"/>
      <c r="F1851" s="427">
        <f>SUM(F1846:F1850)</f>
        <v>0</v>
      </c>
      <c r="G1851" s="428"/>
      <c r="H1851" s="427">
        <f>SUM(H1846:H1850)</f>
        <v>0</v>
      </c>
      <c r="I1851" s="69"/>
      <c r="J1851" s="427">
        <f>SUM(J1846:J1850)</f>
        <v>0</v>
      </c>
      <c r="K1851" s="69"/>
      <c r="L1851" s="427">
        <f>SUM(L1846:L1850)</f>
        <v>0</v>
      </c>
      <c r="M1851" s="69"/>
      <c r="N1851" s="427">
        <f>SUM(N1846:N1850)</f>
        <v>0</v>
      </c>
      <c r="O1851" s="69"/>
      <c r="P1851" s="427">
        <f>SUM(P1846:P1850)</f>
        <v>0</v>
      </c>
      <c r="Q1851" s="69"/>
      <c r="R1851" s="429"/>
      <c r="S1851" s="430"/>
      <c r="T1851" s="427">
        <f>SUM(T1846:T1850)</f>
        <v>0</v>
      </c>
      <c r="U1851" s="428"/>
      <c r="V1851" s="427">
        <f>SUM(V1846:V1850)</f>
        <v>0</v>
      </c>
      <c r="W1851" s="69"/>
      <c r="X1851" s="427">
        <f>SUM(X1846:X1850)</f>
        <v>0</v>
      </c>
      <c r="Y1851" s="69"/>
      <c r="Z1851" s="427">
        <f>SUM(Z1846:Z1850)</f>
        <v>0</v>
      </c>
      <c r="AA1851" s="69"/>
      <c r="AB1851" s="427">
        <f>SUM(AB1846:AB1850)</f>
        <v>0</v>
      </c>
      <c r="AC1851" s="69"/>
      <c r="AD1851" s="427">
        <f>SUM(AD1846:AD1850)</f>
        <v>0</v>
      </c>
      <c r="AE1851" s="69"/>
      <c r="AF1851" s="429"/>
      <c r="AG1851" s="430"/>
      <c r="AH1851" s="431"/>
      <c r="AI1851" s="432"/>
      <c r="AJ1851" s="65"/>
      <c r="AV1851" s="56"/>
    </row>
    <row r="1852" spans="1:48" ht="13.5" customHeight="1" outlineLevel="2" thickBot="1">
      <c r="A1852" s="119"/>
      <c r="B1852" s="82"/>
      <c r="C1852" s="433" t="s">
        <v>484</v>
      </c>
      <c r="D1852" s="433"/>
      <c r="E1852" s="426"/>
      <c r="F1852" s="434">
        <f>AN1852</f>
        <v>0</v>
      </c>
      <c r="G1852" s="428"/>
      <c r="H1852" s="434">
        <f>H1851</f>
        <v>0</v>
      </c>
      <c r="I1852" s="69"/>
      <c r="J1852" s="434">
        <f>J1851*0.7</f>
        <v>0</v>
      </c>
      <c r="K1852" s="69"/>
      <c r="L1852" s="434">
        <f>L1851*0.7</f>
        <v>0</v>
      </c>
      <c r="M1852" s="69"/>
      <c r="N1852" s="434">
        <f>N1851*0.7</f>
        <v>0</v>
      </c>
      <c r="O1852" s="69"/>
      <c r="P1852" s="434">
        <f>(J1851+L1851+N1851)-J1852-L1852-N1852</f>
        <v>0</v>
      </c>
      <c r="Q1852" s="69"/>
      <c r="R1852" s="429"/>
      <c r="S1852" s="430"/>
      <c r="T1852" s="434">
        <f>T1851</f>
        <v>0</v>
      </c>
      <c r="U1852" s="428">
        <f>Q1851</f>
        <v>0</v>
      </c>
      <c r="V1852" s="434">
        <f>V1851*0.7</f>
        <v>0</v>
      </c>
      <c r="W1852" s="69">
        <f>S1851</f>
        <v>0</v>
      </c>
      <c r="X1852" s="434">
        <f>X1851*0.7</f>
        <v>0</v>
      </c>
      <c r="Y1852" s="69">
        <f>U1851</f>
        <v>0</v>
      </c>
      <c r="Z1852" s="434">
        <f>Z1851*0.7</f>
        <v>0</v>
      </c>
      <c r="AA1852" s="69">
        <f>W1851</f>
        <v>0</v>
      </c>
      <c r="AB1852" s="434">
        <f>AB1851*0.7</f>
        <v>0</v>
      </c>
      <c r="AC1852" s="69">
        <f>Y1851</f>
        <v>0</v>
      </c>
      <c r="AD1852" s="434">
        <f>SUM(AF1846:AF1850)-V1852-X1852-Z1852-AB1852</f>
        <v>0</v>
      </c>
      <c r="AE1852" s="69"/>
      <c r="AF1852" s="429"/>
      <c r="AG1852" s="430"/>
      <c r="AH1852" s="431"/>
      <c r="AI1852" s="432"/>
      <c r="AJ1852" s="65"/>
      <c r="AN1852" s="695">
        <f>SUM(AF1846:AF1850)*AQ1852</f>
        <v>0</v>
      </c>
      <c r="AO1852" s="742">
        <f>SUM(R1846:R1850)*AQ1852</f>
        <v>0</v>
      </c>
      <c r="AP1852" s="742"/>
      <c r="AQ1852" s="693">
        <v>0</v>
      </c>
      <c r="AS1852" s="716">
        <f>SUM(AL1846:AL1850)</f>
        <v>0</v>
      </c>
      <c r="AT1852" s="461">
        <f>F1852+H1852+J1852+L1852+N1852+P1852+T1852+V1852+X1852+Z1852+AB1852+AD1852</f>
        <v>0</v>
      </c>
      <c r="AU1852" s="743">
        <f>AT1852-AS1852</f>
        <v>0</v>
      </c>
      <c r="AV1852" s="56"/>
    </row>
    <row r="1853" spans="1:48" ht="13.5" customHeight="1" outlineLevel="2" thickBot="1">
      <c r="B1853" s="82">
        <f>B1846+1</f>
        <v>58</v>
      </c>
      <c r="C1853" s="1233">
        <f>C412</f>
        <v>0</v>
      </c>
      <c r="D1853" s="1233">
        <f>D412</f>
        <v>0</v>
      </c>
      <c r="E1853" s="83" t="str">
        <f>'Terms and Turnovers'!$J$12</f>
        <v>FLIP-FLOPS</v>
      </c>
      <c r="F1853" s="118">
        <f>$R1853*G1853</f>
        <v>0</v>
      </c>
      <c r="G1853" s="69"/>
      <c r="H1853" s="314">
        <f>$R1853*I1853</f>
        <v>0</v>
      </c>
      <c r="I1853" s="69">
        <v>0</v>
      </c>
      <c r="J1853" s="118">
        <f>$R1853*K1853</f>
        <v>0</v>
      </c>
      <c r="K1853" s="69">
        <v>0.25</v>
      </c>
      <c r="L1853" s="314">
        <f>$R1853*M1853</f>
        <v>0</v>
      </c>
      <c r="M1853" s="69">
        <v>0.4</v>
      </c>
      <c r="N1853" s="314">
        <f>$R1853*O1853</f>
        <v>0</v>
      </c>
      <c r="O1853" s="69">
        <v>0.35</v>
      </c>
      <c r="P1853" s="118">
        <f>$R1853*Q1853</f>
        <v>0</v>
      </c>
      <c r="Q1853" s="69">
        <v>0</v>
      </c>
      <c r="R1853" s="87">
        <f>'Terms and Turnovers'!K189</f>
        <v>0</v>
      </c>
      <c r="S1853" s="160">
        <f>SUM(G1853,I1853,K1853,M1853,O1853,Q1853)</f>
        <v>1</v>
      </c>
      <c r="T1853" s="118">
        <f>$AF1853*U1853</f>
        <v>0</v>
      </c>
      <c r="U1853" s="69">
        <v>0</v>
      </c>
      <c r="V1853" s="314">
        <f>$AF1853*W1853</f>
        <v>0</v>
      </c>
      <c r="W1853" s="69">
        <v>0.37</v>
      </c>
      <c r="X1853" s="118">
        <f>$AF1853*Y1853</f>
        <v>0</v>
      </c>
      <c r="Y1853" s="69">
        <v>0.43</v>
      </c>
      <c r="Z1853" s="314">
        <f>$AF1853*AA1853</f>
        <v>0</v>
      </c>
      <c r="AA1853" s="69">
        <v>0.13</v>
      </c>
      <c r="AB1853" s="314">
        <f>$AF1853*AC1853</f>
        <v>0</v>
      </c>
      <c r="AC1853" s="69">
        <v>0.05</v>
      </c>
      <c r="AD1853" s="118">
        <f>$AF1853*AE1853</f>
        <v>0</v>
      </c>
      <c r="AE1853" s="69">
        <v>0.02</v>
      </c>
      <c r="AF1853" s="87">
        <f>'Terms and Turnovers'!P189</f>
        <v>0</v>
      </c>
      <c r="AG1853" s="160">
        <f>SUM(U1853,W1853,Y1853,AA1853,AC1853,AE1853)</f>
        <v>1</v>
      </c>
      <c r="AH1853" s="157">
        <f>SUM(R1853,AF1853)</f>
        <v>0</v>
      </c>
      <c r="AI1853" s="131">
        <f>S1853+AG1853</f>
        <v>2</v>
      </c>
      <c r="AJ1853" s="65"/>
      <c r="AL1853" s="461">
        <f>SUM(F1853,H1853,J1853,L1853,N1853,P1853,T1853,V1853,X1853,Z1853,AB1853,AD1853)</f>
        <v>0</v>
      </c>
      <c r="AM1853" s="462">
        <f>AL1853-AH1853</f>
        <v>0</v>
      </c>
      <c r="AV1853" s="56"/>
    </row>
    <row r="1854" spans="1:48" ht="13.5" customHeight="1" outlineLevel="2" thickBot="1">
      <c r="B1854" s="82"/>
      <c r="C1854" s="1234"/>
      <c r="D1854" s="1234"/>
      <c r="E1854" s="84" t="str">
        <f>'Terms and Turnovers'!$T$12</f>
        <v>ORIGINALS</v>
      </c>
      <c r="F1854" s="120">
        <f>$R1854*G1854</f>
        <v>0</v>
      </c>
      <c r="G1854" s="723"/>
      <c r="H1854" s="120">
        <f>$R1854*I1854</f>
        <v>0</v>
      </c>
      <c r="I1854" s="69">
        <v>0</v>
      </c>
      <c r="J1854" s="120">
        <f>$R1854*K1854</f>
        <v>0</v>
      </c>
      <c r="K1854" s="69">
        <v>0.3</v>
      </c>
      <c r="L1854" s="120">
        <f>$R1854*M1854</f>
        <v>0</v>
      </c>
      <c r="M1854" s="69">
        <v>0.6</v>
      </c>
      <c r="N1854" s="315">
        <f>$R1854*O1854</f>
        <v>0</v>
      </c>
      <c r="O1854" s="69">
        <v>0.1</v>
      </c>
      <c r="P1854" s="120">
        <f>$R1854*Q1854</f>
        <v>0</v>
      </c>
      <c r="Q1854" s="69">
        <v>0</v>
      </c>
      <c r="R1854" s="88">
        <f>'Terms and Turnovers'!U189</f>
        <v>0</v>
      </c>
      <c r="S1854" s="161">
        <f>SUM(G1854,I1854,K1854,M1854,O1854,Q1854)</f>
        <v>0.99999999999999989</v>
      </c>
      <c r="T1854" s="120">
        <f>$AF1854*U1854</f>
        <v>0</v>
      </c>
      <c r="U1854" s="723">
        <v>0</v>
      </c>
      <c r="V1854" s="120">
        <f>$AF1854*W1854</f>
        <v>0</v>
      </c>
      <c r="W1854" s="69">
        <v>0.15</v>
      </c>
      <c r="X1854" s="120">
        <f>$AF1854*Y1854</f>
        <v>0</v>
      </c>
      <c r="Y1854" s="69">
        <v>0.6</v>
      </c>
      <c r="Z1854" s="120">
        <f>$AF1854*AA1854</f>
        <v>0</v>
      </c>
      <c r="AA1854" s="69">
        <v>0.25</v>
      </c>
      <c r="AB1854" s="315">
        <f>$AF1854*AC1854</f>
        <v>0</v>
      </c>
      <c r="AC1854" s="69">
        <v>0</v>
      </c>
      <c r="AD1854" s="120">
        <f>$AF1854*AE1854</f>
        <v>0</v>
      </c>
      <c r="AE1854" s="69">
        <v>0</v>
      </c>
      <c r="AF1854" s="88">
        <f>'Terms and Turnovers'!Z189</f>
        <v>0</v>
      </c>
      <c r="AG1854" s="161">
        <f>SUM(U1854,W1854,Y1854,AA1854,AC1854,AE1854)</f>
        <v>1</v>
      </c>
      <c r="AH1854" s="158">
        <f>SUM(R1854,AF1854)</f>
        <v>0</v>
      </c>
      <c r="AI1854" s="134">
        <f>S1854+AG1854</f>
        <v>2</v>
      </c>
      <c r="AJ1854" s="65"/>
      <c r="AL1854" s="461">
        <f>SUM(F1854,H1854,J1854,L1854,N1854,P1854,T1854,V1854,X1854,Z1854,AB1854,AD1854)</f>
        <v>0</v>
      </c>
      <c r="AM1854" s="462">
        <f>AL1854-AH1854</f>
        <v>0</v>
      </c>
      <c r="AV1854" s="56"/>
    </row>
    <row r="1855" spans="1:48" ht="13.5" customHeight="1" outlineLevel="2" thickBot="1">
      <c r="B1855" s="82"/>
      <c r="C1855" s="1234"/>
      <c r="D1855" s="1234"/>
      <c r="E1855" s="84" t="str">
        <f>'Terms and Turnovers'!$AD$12</f>
        <v>ACCESSORIES</v>
      </c>
      <c r="F1855" s="120">
        <f>$R1855*G1855</f>
        <v>0</v>
      </c>
      <c r="G1855" s="723"/>
      <c r="H1855" s="120">
        <f>$R1855*I1855</f>
        <v>0</v>
      </c>
      <c r="I1855" s="69">
        <v>0</v>
      </c>
      <c r="J1855" s="120">
        <f>$R1855*K1855</f>
        <v>0</v>
      </c>
      <c r="K1855" s="69">
        <v>0.3</v>
      </c>
      <c r="L1855" s="120">
        <f>$R1855*M1855</f>
        <v>0</v>
      </c>
      <c r="M1855" s="69">
        <v>0.6</v>
      </c>
      <c r="N1855" s="315">
        <f>$R1855*O1855</f>
        <v>0</v>
      </c>
      <c r="O1855" s="69">
        <v>0.1</v>
      </c>
      <c r="P1855" s="120">
        <f>$R1855*Q1855</f>
        <v>0</v>
      </c>
      <c r="Q1855" s="69">
        <v>0</v>
      </c>
      <c r="R1855" s="88">
        <f>'Terms and Turnovers'!AE189</f>
        <v>0</v>
      </c>
      <c r="S1855" s="161">
        <f>SUM(G1855,I1855,K1855,M1855,O1855,Q1855)</f>
        <v>0.99999999999999989</v>
      </c>
      <c r="T1855" s="120">
        <f>$AF1855*U1855</f>
        <v>0</v>
      </c>
      <c r="U1855" s="723">
        <v>0</v>
      </c>
      <c r="V1855" s="120">
        <f>$AF1855*W1855</f>
        <v>0</v>
      </c>
      <c r="W1855" s="69">
        <v>0.15</v>
      </c>
      <c r="X1855" s="120">
        <f>$AF1855*Y1855</f>
        <v>0</v>
      </c>
      <c r="Y1855" s="69">
        <v>0.6</v>
      </c>
      <c r="Z1855" s="120">
        <f>$AF1855*AA1855</f>
        <v>0</v>
      </c>
      <c r="AA1855" s="69">
        <v>0.25</v>
      </c>
      <c r="AB1855" s="315">
        <f>$AF1855*AC1855</f>
        <v>0</v>
      </c>
      <c r="AC1855" s="69">
        <v>0</v>
      </c>
      <c r="AD1855" s="120">
        <f>$AF1855*AE1855</f>
        <v>0</v>
      </c>
      <c r="AE1855" s="69">
        <v>0</v>
      </c>
      <c r="AF1855" s="88">
        <f>'Terms and Turnovers'!AJ189</f>
        <v>0</v>
      </c>
      <c r="AG1855" s="161">
        <f>SUM(U1855,W1855,Y1855,AA1855,AC1855,AE1855)</f>
        <v>1</v>
      </c>
      <c r="AH1855" s="158">
        <f>SUM(R1855,AF1855)</f>
        <v>0</v>
      </c>
      <c r="AI1855" s="134">
        <f>S1855+AG1855</f>
        <v>2</v>
      </c>
      <c r="AJ1855" s="65"/>
      <c r="AL1855" s="461">
        <f>SUM(F1855,H1855,J1855,L1855,N1855,P1855,T1855,V1855,X1855,Z1855,AB1855,AD1855)</f>
        <v>0</v>
      </c>
      <c r="AM1855" s="462">
        <f>AL1855-AH1855</f>
        <v>0</v>
      </c>
      <c r="AV1855" s="56"/>
    </row>
    <row r="1856" spans="1:48" ht="13.5" customHeight="1" outlineLevel="2" thickBot="1">
      <c r="B1856" s="82"/>
      <c r="C1856" s="1234"/>
      <c r="D1856" s="1234"/>
      <c r="E1856" s="84">
        <f>'Terms and Turnovers'!$AN$12</f>
        <v>0</v>
      </c>
      <c r="F1856" s="120">
        <f>$R1856*G1856</f>
        <v>0</v>
      </c>
      <c r="G1856" s="723"/>
      <c r="H1856" s="120">
        <f>$R1856*I1856</f>
        <v>0</v>
      </c>
      <c r="I1856" s="69">
        <v>0</v>
      </c>
      <c r="J1856" s="120">
        <f>$R1856*K1856</f>
        <v>0</v>
      </c>
      <c r="K1856" s="69">
        <v>0</v>
      </c>
      <c r="L1856" s="120">
        <f>$R1856*M1856</f>
        <v>0</v>
      </c>
      <c r="M1856" s="69">
        <v>0</v>
      </c>
      <c r="N1856" s="315">
        <f>$R1856*O1856</f>
        <v>0</v>
      </c>
      <c r="O1856" s="69">
        <v>0</v>
      </c>
      <c r="P1856" s="120">
        <f>$R1856*Q1856</f>
        <v>0</v>
      </c>
      <c r="Q1856" s="69">
        <v>0</v>
      </c>
      <c r="R1856" s="88">
        <f>'Terms and Turnovers'!AO189</f>
        <v>0</v>
      </c>
      <c r="S1856" s="161">
        <f>SUM(G1856,I1856,K1856,M1856,O1856,Q1856)</f>
        <v>0</v>
      </c>
      <c r="T1856" s="120">
        <f>$AF1856*U1856</f>
        <v>0</v>
      </c>
      <c r="U1856" s="723">
        <v>0</v>
      </c>
      <c r="V1856" s="120">
        <f>$AF1856*W1856</f>
        <v>0</v>
      </c>
      <c r="W1856" s="69">
        <v>0.4</v>
      </c>
      <c r="X1856" s="120">
        <f>$AF1856*Y1856</f>
        <v>0</v>
      </c>
      <c r="Y1856" s="69">
        <v>0.35</v>
      </c>
      <c r="Z1856" s="120">
        <f>$AF1856*AA1856</f>
        <v>0</v>
      </c>
      <c r="AA1856" s="69">
        <v>0.13</v>
      </c>
      <c r="AB1856" s="315">
        <f>$AF1856*AC1856</f>
        <v>0</v>
      </c>
      <c r="AC1856" s="69">
        <v>0.05</v>
      </c>
      <c r="AD1856" s="120">
        <f>$AF1856*AE1856</f>
        <v>0</v>
      </c>
      <c r="AE1856" s="69">
        <v>0.02</v>
      </c>
      <c r="AF1856" s="88">
        <f>'Terms and Turnovers'!AT189</f>
        <v>0</v>
      </c>
      <c r="AG1856" s="161">
        <f>SUM(U1856,W1856,Y1856,AA1856,AC1856,AE1856)</f>
        <v>0.95000000000000007</v>
      </c>
      <c r="AH1856" s="158">
        <f>SUM(R1856,AF1856)</f>
        <v>0</v>
      </c>
      <c r="AI1856" s="134">
        <f>S1856+AG1856</f>
        <v>0.95000000000000007</v>
      </c>
      <c r="AJ1856" s="65"/>
      <c r="AL1856" s="461">
        <f>SUM(F1856,H1856,J1856,L1856,N1856,P1856,T1856,V1856,X1856,Z1856,AB1856,AD1856)</f>
        <v>0</v>
      </c>
      <c r="AM1856" s="462">
        <f>AL1856-AH1856</f>
        <v>0</v>
      </c>
      <c r="AV1856" s="56"/>
    </row>
    <row r="1857" spans="1:48" ht="13.5" customHeight="1" outlineLevel="2" thickBot="1">
      <c r="B1857" s="82"/>
      <c r="C1857" s="1235"/>
      <c r="D1857" s="1235"/>
      <c r="E1857" s="85">
        <f>'Terms and Turnovers'!$AX$12</f>
        <v>0</v>
      </c>
      <c r="F1857" s="121">
        <f>$R1857*G1857</f>
        <v>0</v>
      </c>
      <c r="G1857" s="72"/>
      <c r="H1857" s="121">
        <f>$R1857*I1857</f>
        <v>0</v>
      </c>
      <c r="I1857" s="69">
        <v>0</v>
      </c>
      <c r="J1857" s="121">
        <f>$R1857*K1857</f>
        <v>0</v>
      </c>
      <c r="K1857" s="69">
        <v>0</v>
      </c>
      <c r="L1857" s="121">
        <f>$R1857*M1857</f>
        <v>0</v>
      </c>
      <c r="M1857" s="69">
        <v>0</v>
      </c>
      <c r="N1857" s="316">
        <f>$R1857*O1857</f>
        <v>0</v>
      </c>
      <c r="O1857" s="69">
        <v>0</v>
      </c>
      <c r="P1857" s="121">
        <f>$R1857*Q1857</f>
        <v>0</v>
      </c>
      <c r="Q1857" s="69">
        <v>0</v>
      </c>
      <c r="R1857" s="89">
        <f>'Terms and Turnovers'!AY189</f>
        <v>0</v>
      </c>
      <c r="S1857" s="162">
        <f>SUM(G1857,I1857,K1857,M1857,O1857,Q1857)</f>
        <v>0</v>
      </c>
      <c r="T1857" s="121">
        <f>$AF1857*U1857</f>
        <v>0</v>
      </c>
      <c r="U1857" s="72">
        <v>0</v>
      </c>
      <c r="V1857" s="121">
        <f>$AF1857*W1857</f>
        <v>0</v>
      </c>
      <c r="W1857" s="69">
        <v>0.4</v>
      </c>
      <c r="X1857" s="121">
        <f>$AF1857*Y1857</f>
        <v>0</v>
      </c>
      <c r="Y1857" s="69">
        <v>0.35</v>
      </c>
      <c r="Z1857" s="121">
        <f>$AF1857*AA1857</f>
        <v>0</v>
      </c>
      <c r="AA1857" s="69">
        <v>0.13</v>
      </c>
      <c r="AB1857" s="316">
        <f>$AF1857*AC1857</f>
        <v>0</v>
      </c>
      <c r="AC1857" s="69">
        <v>0.05</v>
      </c>
      <c r="AD1857" s="121">
        <f>$AF1857*AE1857</f>
        <v>0</v>
      </c>
      <c r="AE1857" s="69">
        <v>0.02</v>
      </c>
      <c r="AF1857" s="89">
        <f>'Terms and Turnovers'!BD189</f>
        <v>0</v>
      </c>
      <c r="AG1857" s="162">
        <f>SUM(U1857,W1857,Y1857,AA1857,AC1857,AE1857)</f>
        <v>0.95000000000000007</v>
      </c>
      <c r="AH1857" s="159">
        <f>SUM(R1857,AF1857)</f>
        <v>0</v>
      </c>
      <c r="AI1857" s="137">
        <f>S1857+AG1857</f>
        <v>0.95000000000000007</v>
      </c>
      <c r="AJ1857" s="65"/>
      <c r="AL1857" s="461">
        <f>SUM(F1857,H1857,J1857,L1857,N1857,P1857,T1857,V1857,X1857,Z1857,AB1857,AD1857)</f>
        <v>0</v>
      </c>
      <c r="AM1857" s="462">
        <f>AL1857-AH1857</f>
        <v>0</v>
      </c>
      <c r="AV1857" s="56"/>
    </row>
    <row r="1858" spans="1:48" ht="13.5" customHeight="1" outlineLevel="2" thickBot="1">
      <c r="A1858" s="119"/>
      <c r="B1858" s="82"/>
      <c r="C1858" s="425"/>
      <c r="D1858" s="425"/>
      <c r="E1858" s="426"/>
      <c r="F1858" s="427">
        <f>SUM(F1853:F1857)</f>
        <v>0</v>
      </c>
      <c r="G1858" s="428"/>
      <c r="H1858" s="427">
        <f>SUM(H1853:H1857)</f>
        <v>0</v>
      </c>
      <c r="I1858" s="69"/>
      <c r="J1858" s="427">
        <f>SUM(J1853:J1857)</f>
        <v>0</v>
      </c>
      <c r="K1858" s="69"/>
      <c r="L1858" s="427">
        <f>SUM(L1853:L1857)</f>
        <v>0</v>
      </c>
      <c r="M1858" s="69"/>
      <c r="N1858" s="427">
        <f>SUM(N1853:N1857)</f>
        <v>0</v>
      </c>
      <c r="O1858" s="69"/>
      <c r="P1858" s="427">
        <f>SUM(P1853:P1857)</f>
        <v>0</v>
      </c>
      <c r="Q1858" s="69"/>
      <c r="R1858" s="429"/>
      <c r="S1858" s="430"/>
      <c r="T1858" s="427">
        <f>SUM(T1853:T1857)</f>
        <v>0</v>
      </c>
      <c r="U1858" s="428"/>
      <c r="V1858" s="427">
        <f>SUM(V1853:V1857)</f>
        <v>0</v>
      </c>
      <c r="W1858" s="69"/>
      <c r="X1858" s="427">
        <f>SUM(X1853:X1857)</f>
        <v>0</v>
      </c>
      <c r="Y1858" s="69"/>
      <c r="Z1858" s="427">
        <f>SUM(Z1853:Z1857)</f>
        <v>0</v>
      </c>
      <c r="AA1858" s="69"/>
      <c r="AB1858" s="427">
        <f>SUM(AB1853:AB1857)</f>
        <v>0</v>
      </c>
      <c r="AC1858" s="69"/>
      <c r="AD1858" s="427">
        <f>SUM(AD1853:AD1857)</f>
        <v>0</v>
      </c>
      <c r="AE1858" s="69"/>
      <c r="AF1858" s="429"/>
      <c r="AG1858" s="430"/>
      <c r="AH1858" s="431"/>
      <c r="AI1858" s="432"/>
      <c r="AJ1858" s="65"/>
      <c r="AV1858" s="56"/>
    </row>
    <row r="1859" spans="1:48" ht="13.5" customHeight="1" outlineLevel="2" thickBot="1">
      <c r="A1859" s="119"/>
      <c r="B1859" s="82"/>
      <c r="C1859" s="433" t="s">
        <v>484</v>
      </c>
      <c r="D1859" s="433"/>
      <c r="E1859" s="426"/>
      <c r="F1859" s="434"/>
      <c r="G1859" s="428"/>
      <c r="H1859" s="434">
        <v>0</v>
      </c>
      <c r="I1859" s="69"/>
      <c r="J1859" s="434">
        <f>F1858</f>
        <v>0</v>
      </c>
      <c r="K1859" s="69"/>
      <c r="L1859" s="434">
        <f>H1858</f>
        <v>0</v>
      </c>
      <c r="M1859" s="69"/>
      <c r="N1859" s="434">
        <f>J1858</f>
        <v>0</v>
      </c>
      <c r="O1859" s="69"/>
      <c r="P1859" s="434">
        <f>L1858</f>
        <v>0</v>
      </c>
      <c r="Q1859" s="69"/>
      <c r="R1859" s="429"/>
      <c r="S1859" s="430"/>
      <c r="T1859" s="434">
        <f>N1858</f>
        <v>0</v>
      </c>
      <c r="U1859" s="428"/>
      <c r="V1859" s="434">
        <f>P1858</f>
        <v>0</v>
      </c>
      <c r="W1859" s="69"/>
      <c r="X1859" s="434">
        <f>T1858</f>
        <v>0</v>
      </c>
      <c r="Y1859" s="69"/>
      <c r="Z1859" s="434">
        <f>V1858</f>
        <v>0</v>
      </c>
      <c r="AA1859" s="69"/>
      <c r="AB1859" s="434">
        <f>X1858</f>
        <v>0</v>
      </c>
      <c r="AC1859" s="69"/>
      <c r="AD1859" s="434">
        <f>Z1858</f>
        <v>0</v>
      </c>
      <c r="AE1859" s="69"/>
      <c r="AF1859" s="429"/>
      <c r="AG1859" s="430"/>
      <c r="AH1859" s="431"/>
      <c r="AI1859" s="432"/>
      <c r="AJ1859" s="65"/>
      <c r="AN1859" s="695">
        <f>SUM(AF1853:AF1857)*AQ1859</f>
        <v>0</v>
      </c>
      <c r="AO1859" s="742">
        <f>SUM(R1853:R1857)*AQ1859</f>
        <v>0</v>
      </c>
      <c r="AP1859" s="742"/>
      <c r="AQ1859" s="693">
        <v>0</v>
      </c>
      <c r="AV1859" s="56"/>
    </row>
    <row r="1860" spans="1:48" ht="13.5" customHeight="1" outlineLevel="2" thickBot="1">
      <c r="B1860" s="82">
        <f>B1853+1</f>
        <v>59</v>
      </c>
      <c r="C1860" s="1233">
        <f>C419</f>
        <v>0</v>
      </c>
      <c r="D1860" s="1233">
        <f>D419</f>
        <v>0</v>
      </c>
      <c r="E1860" s="83" t="str">
        <f>'Terms and Turnovers'!$J$12</f>
        <v>FLIP-FLOPS</v>
      </c>
      <c r="F1860" s="118">
        <f>$R1860*G1860</f>
        <v>0</v>
      </c>
      <c r="G1860" s="69"/>
      <c r="H1860" s="314">
        <f>$R1860*I1860</f>
        <v>0</v>
      </c>
      <c r="I1860" s="69">
        <v>0</v>
      </c>
      <c r="J1860" s="118">
        <f>$R1860*K1860</f>
        <v>0</v>
      </c>
      <c r="K1860" s="69">
        <v>0.25</v>
      </c>
      <c r="L1860" s="314">
        <f>$R1860*M1860</f>
        <v>0</v>
      </c>
      <c r="M1860" s="69">
        <v>0.4</v>
      </c>
      <c r="N1860" s="314">
        <f>$R1860*O1860</f>
        <v>0</v>
      </c>
      <c r="O1860" s="69">
        <v>0.35</v>
      </c>
      <c r="P1860" s="118">
        <f>$R1860*Q1860</f>
        <v>0</v>
      </c>
      <c r="Q1860" s="69">
        <v>0</v>
      </c>
      <c r="R1860" s="87">
        <f>'Terms and Turnovers'!K190</f>
        <v>0</v>
      </c>
      <c r="S1860" s="160">
        <f>SUM(G1860,I1860,K1860,M1860,O1860,Q1860)</f>
        <v>1</v>
      </c>
      <c r="T1860" s="118">
        <f>$AF1860*U1860</f>
        <v>0</v>
      </c>
      <c r="U1860" s="69">
        <v>0</v>
      </c>
      <c r="V1860" s="314">
        <f>$AF1860*W1860</f>
        <v>0</v>
      </c>
      <c r="W1860" s="69">
        <v>0.37</v>
      </c>
      <c r="X1860" s="118">
        <f>$AF1860*Y1860</f>
        <v>0</v>
      </c>
      <c r="Y1860" s="69">
        <v>0.43</v>
      </c>
      <c r="Z1860" s="314">
        <f>$AF1860*AA1860</f>
        <v>0</v>
      </c>
      <c r="AA1860" s="69">
        <v>0.13</v>
      </c>
      <c r="AB1860" s="314">
        <f>$AF1860*AC1860</f>
        <v>0</v>
      </c>
      <c r="AC1860" s="69">
        <v>0.05</v>
      </c>
      <c r="AD1860" s="118">
        <f>$AF1860*AE1860</f>
        <v>0</v>
      </c>
      <c r="AE1860" s="69">
        <v>0.02</v>
      </c>
      <c r="AF1860" s="87">
        <f>'Terms and Turnovers'!P190</f>
        <v>0</v>
      </c>
      <c r="AG1860" s="160">
        <f>SUM(U1860,W1860,Y1860,AA1860,AC1860,AE1860)</f>
        <v>1</v>
      </c>
      <c r="AH1860" s="157">
        <f>SUM(R1860,AF1860)</f>
        <v>0</v>
      </c>
      <c r="AI1860" s="131">
        <f>S1860+AG1860</f>
        <v>2</v>
      </c>
      <c r="AJ1860" s="65"/>
      <c r="AL1860" s="461">
        <f>SUM(F1860,H1860,J1860,L1860,N1860,P1860,T1860,V1860,X1860,Z1860,AB1860,AD1860)</f>
        <v>0</v>
      </c>
      <c r="AM1860" s="462">
        <f>AL1860-AH1860</f>
        <v>0</v>
      </c>
      <c r="AV1860" s="56"/>
    </row>
    <row r="1861" spans="1:48" ht="13.5" customHeight="1" outlineLevel="2" thickBot="1">
      <c r="B1861" s="82"/>
      <c r="C1861" s="1234"/>
      <c r="D1861" s="1234"/>
      <c r="E1861" s="84" t="str">
        <f>'Terms and Turnovers'!$T$12</f>
        <v>ORIGINALS</v>
      </c>
      <c r="F1861" s="120">
        <f>$R1861*G1861</f>
        <v>0</v>
      </c>
      <c r="G1861" s="723"/>
      <c r="H1861" s="120">
        <f>$R1861*I1861</f>
        <v>0</v>
      </c>
      <c r="I1861" s="69">
        <v>0</v>
      </c>
      <c r="J1861" s="120">
        <f>$R1861*K1861</f>
        <v>0</v>
      </c>
      <c r="K1861" s="69">
        <v>0.3</v>
      </c>
      <c r="L1861" s="120">
        <f>$R1861*M1861</f>
        <v>0</v>
      </c>
      <c r="M1861" s="69">
        <v>0.6</v>
      </c>
      <c r="N1861" s="315">
        <f>$R1861*O1861</f>
        <v>0</v>
      </c>
      <c r="O1861" s="69">
        <v>0.1</v>
      </c>
      <c r="P1861" s="120">
        <f>$R1861*Q1861</f>
        <v>0</v>
      </c>
      <c r="Q1861" s="69">
        <v>0</v>
      </c>
      <c r="R1861" s="88">
        <f>'Terms and Turnovers'!U190</f>
        <v>0</v>
      </c>
      <c r="S1861" s="161">
        <f>SUM(G1861,I1861,K1861,M1861,O1861,Q1861)</f>
        <v>0.99999999999999989</v>
      </c>
      <c r="T1861" s="120">
        <f>$AF1861*U1861</f>
        <v>0</v>
      </c>
      <c r="U1861" s="723">
        <v>0</v>
      </c>
      <c r="V1861" s="120">
        <f>$AF1861*W1861</f>
        <v>0</v>
      </c>
      <c r="W1861" s="69">
        <v>0.15</v>
      </c>
      <c r="X1861" s="120">
        <f>$AF1861*Y1861</f>
        <v>0</v>
      </c>
      <c r="Y1861" s="69">
        <v>0.6</v>
      </c>
      <c r="Z1861" s="120">
        <f>$AF1861*AA1861</f>
        <v>0</v>
      </c>
      <c r="AA1861" s="69">
        <v>0.25</v>
      </c>
      <c r="AB1861" s="315">
        <f>$AF1861*AC1861</f>
        <v>0</v>
      </c>
      <c r="AC1861" s="69">
        <v>0</v>
      </c>
      <c r="AD1861" s="120">
        <f>$AF1861*AE1861</f>
        <v>0</v>
      </c>
      <c r="AE1861" s="69">
        <v>0</v>
      </c>
      <c r="AF1861" s="88">
        <f>'Terms and Turnovers'!Z190</f>
        <v>0</v>
      </c>
      <c r="AG1861" s="161">
        <f>SUM(U1861,W1861,Y1861,AA1861,AC1861,AE1861)</f>
        <v>1</v>
      </c>
      <c r="AH1861" s="158">
        <f>SUM(R1861,AF1861)</f>
        <v>0</v>
      </c>
      <c r="AI1861" s="134">
        <f>S1861+AG1861</f>
        <v>2</v>
      </c>
      <c r="AJ1861" s="65"/>
      <c r="AL1861" s="461">
        <f>SUM(F1861,H1861,J1861,L1861,N1861,P1861,T1861,V1861,X1861,Z1861,AB1861,AD1861)</f>
        <v>0</v>
      </c>
      <c r="AM1861" s="462">
        <f>AL1861-AH1861</f>
        <v>0</v>
      </c>
      <c r="AV1861" s="56"/>
    </row>
    <row r="1862" spans="1:48" ht="13.5" customHeight="1" outlineLevel="2" thickBot="1">
      <c r="B1862" s="82"/>
      <c r="C1862" s="1234"/>
      <c r="D1862" s="1234"/>
      <c r="E1862" s="84" t="str">
        <f>'Terms and Turnovers'!$AD$12</f>
        <v>ACCESSORIES</v>
      </c>
      <c r="F1862" s="120">
        <f>$R1862*G1862</f>
        <v>0</v>
      </c>
      <c r="G1862" s="723"/>
      <c r="H1862" s="120">
        <f>$R1862*I1862</f>
        <v>0</v>
      </c>
      <c r="I1862" s="69">
        <v>0</v>
      </c>
      <c r="J1862" s="120">
        <f>$R1862*K1862</f>
        <v>0</v>
      </c>
      <c r="K1862" s="69">
        <v>0.3</v>
      </c>
      <c r="L1862" s="120">
        <f>$R1862*M1862</f>
        <v>0</v>
      </c>
      <c r="M1862" s="69">
        <v>0.6</v>
      </c>
      <c r="N1862" s="315">
        <f>$R1862*O1862</f>
        <v>0</v>
      </c>
      <c r="O1862" s="69">
        <v>0.1</v>
      </c>
      <c r="P1862" s="120">
        <f>$R1862*Q1862</f>
        <v>0</v>
      </c>
      <c r="Q1862" s="69">
        <v>0</v>
      </c>
      <c r="R1862" s="88">
        <f>'Terms and Turnovers'!AE190</f>
        <v>0</v>
      </c>
      <c r="S1862" s="161">
        <f>SUM(G1862,I1862,K1862,M1862,O1862,Q1862)</f>
        <v>0.99999999999999989</v>
      </c>
      <c r="T1862" s="120">
        <f>$AF1862*U1862</f>
        <v>0</v>
      </c>
      <c r="U1862" s="723">
        <v>0</v>
      </c>
      <c r="V1862" s="120">
        <f>$AF1862*W1862</f>
        <v>0</v>
      </c>
      <c r="W1862" s="69">
        <v>0.15</v>
      </c>
      <c r="X1862" s="120">
        <f>$AF1862*Y1862</f>
        <v>0</v>
      </c>
      <c r="Y1862" s="69">
        <v>0.6</v>
      </c>
      <c r="Z1862" s="120">
        <f>$AF1862*AA1862</f>
        <v>0</v>
      </c>
      <c r="AA1862" s="69">
        <v>0.25</v>
      </c>
      <c r="AB1862" s="315">
        <f>$AF1862*AC1862</f>
        <v>0</v>
      </c>
      <c r="AC1862" s="69">
        <v>0</v>
      </c>
      <c r="AD1862" s="120">
        <f>$AF1862*AE1862</f>
        <v>0</v>
      </c>
      <c r="AE1862" s="69">
        <v>0</v>
      </c>
      <c r="AF1862" s="88">
        <f>'Terms and Turnovers'!AJ190</f>
        <v>0</v>
      </c>
      <c r="AG1862" s="161">
        <f>SUM(U1862,W1862,Y1862,AA1862,AC1862,AE1862)</f>
        <v>1</v>
      </c>
      <c r="AH1862" s="158">
        <f>SUM(R1862,AF1862)</f>
        <v>0</v>
      </c>
      <c r="AI1862" s="134">
        <f>S1862+AG1862</f>
        <v>2</v>
      </c>
      <c r="AJ1862" s="65"/>
      <c r="AL1862" s="461">
        <f>SUM(F1862,H1862,J1862,L1862,N1862,P1862,T1862,V1862,X1862,Z1862,AB1862,AD1862)</f>
        <v>0</v>
      </c>
      <c r="AM1862" s="462">
        <f>AL1862-AH1862</f>
        <v>0</v>
      </c>
      <c r="AV1862" s="56"/>
    </row>
    <row r="1863" spans="1:48" ht="13.5" customHeight="1" outlineLevel="2" thickBot="1">
      <c r="B1863" s="82"/>
      <c r="C1863" s="1234"/>
      <c r="D1863" s="1234"/>
      <c r="E1863" s="84">
        <f>'Terms and Turnovers'!$AN$12</f>
        <v>0</v>
      </c>
      <c r="F1863" s="120">
        <f>$R1863*G1863</f>
        <v>0</v>
      </c>
      <c r="G1863" s="723"/>
      <c r="H1863" s="120">
        <f>$R1863*I1863</f>
        <v>0</v>
      </c>
      <c r="I1863" s="69">
        <v>0</v>
      </c>
      <c r="J1863" s="120">
        <f>$R1863*K1863</f>
        <v>0</v>
      </c>
      <c r="K1863" s="69">
        <v>0</v>
      </c>
      <c r="L1863" s="120">
        <f>$R1863*M1863</f>
        <v>0</v>
      </c>
      <c r="M1863" s="69">
        <v>0</v>
      </c>
      <c r="N1863" s="315">
        <f>$R1863*O1863</f>
        <v>0</v>
      </c>
      <c r="O1863" s="69">
        <v>0</v>
      </c>
      <c r="P1863" s="120">
        <f>$R1863*Q1863</f>
        <v>0</v>
      </c>
      <c r="Q1863" s="69">
        <v>0</v>
      </c>
      <c r="R1863" s="88">
        <f>'Terms and Turnovers'!AO190</f>
        <v>0</v>
      </c>
      <c r="S1863" s="161">
        <f>SUM(G1863,I1863,K1863,M1863,O1863,Q1863)</f>
        <v>0</v>
      </c>
      <c r="T1863" s="120">
        <f>$AF1863*U1863</f>
        <v>0</v>
      </c>
      <c r="U1863" s="723">
        <v>0</v>
      </c>
      <c r="V1863" s="120">
        <f>$AF1863*W1863</f>
        <v>0</v>
      </c>
      <c r="W1863" s="69">
        <v>0.4</v>
      </c>
      <c r="X1863" s="120">
        <f>$AF1863*Y1863</f>
        <v>0</v>
      </c>
      <c r="Y1863" s="69">
        <v>0.35</v>
      </c>
      <c r="Z1863" s="120">
        <f>$AF1863*AA1863</f>
        <v>0</v>
      </c>
      <c r="AA1863" s="69">
        <v>0.13</v>
      </c>
      <c r="AB1863" s="315">
        <f>$AF1863*AC1863</f>
        <v>0</v>
      </c>
      <c r="AC1863" s="69">
        <v>0.05</v>
      </c>
      <c r="AD1863" s="120">
        <f>$AF1863*AE1863</f>
        <v>0</v>
      </c>
      <c r="AE1863" s="69">
        <v>0.02</v>
      </c>
      <c r="AF1863" s="88">
        <f>'Terms and Turnovers'!AT190</f>
        <v>0</v>
      </c>
      <c r="AG1863" s="161">
        <f>SUM(U1863,W1863,Y1863,AA1863,AC1863,AE1863)</f>
        <v>0.95000000000000007</v>
      </c>
      <c r="AH1863" s="158">
        <f>SUM(R1863,AF1863)</f>
        <v>0</v>
      </c>
      <c r="AI1863" s="134">
        <f>S1863+AG1863</f>
        <v>0.95000000000000007</v>
      </c>
      <c r="AJ1863" s="65"/>
      <c r="AL1863" s="461">
        <f>SUM(F1863,H1863,J1863,L1863,N1863,P1863,T1863,V1863,X1863,Z1863,AB1863,AD1863)</f>
        <v>0</v>
      </c>
      <c r="AM1863" s="462">
        <f>AL1863-AH1863</f>
        <v>0</v>
      </c>
      <c r="AV1863" s="56"/>
    </row>
    <row r="1864" spans="1:48" ht="13.5" customHeight="1" outlineLevel="2" thickBot="1">
      <c r="B1864" s="82"/>
      <c r="C1864" s="1235"/>
      <c r="D1864" s="1235"/>
      <c r="E1864" s="85">
        <f>'Terms and Turnovers'!$AX$12</f>
        <v>0</v>
      </c>
      <c r="F1864" s="121">
        <f>$R1864*G1864</f>
        <v>0</v>
      </c>
      <c r="G1864" s="72"/>
      <c r="H1864" s="121">
        <f>$R1864*I1864</f>
        <v>0</v>
      </c>
      <c r="I1864" s="69">
        <v>0</v>
      </c>
      <c r="J1864" s="121">
        <f>$R1864*K1864</f>
        <v>0</v>
      </c>
      <c r="K1864" s="69">
        <v>0</v>
      </c>
      <c r="L1864" s="121">
        <f>$R1864*M1864</f>
        <v>0</v>
      </c>
      <c r="M1864" s="69">
        <v>0</v>
      </c>
      <c r="N1864" s="316">
        <f>$R1864*O1864</f>
        <v>0</v>
      </c>
      <c r="O1864" s="69">
        <v>0</v>
      </c>
      <c r="P1864" s="121">
        <f>$R1864*Q1864</f>
        <v>0</v>
      </c>
      <c r="Q1864" s="69">
        <v>0</v>
      </c>
      <c r="R1864" s="89">
        <f>'Terms and Turnovers'!AY190</f>
        <v>0</v>
      </c>
      <c r="S1864" s="162">
        <f>SUM(G1864,I1864,K1864,M1864,O1864,Q1864)</f>
        <v>0</v>
      </c>
      <c r="T1864" s="121">
        <f>$AF1864*U1864</f>
        <v>0</v>
      </c>
      <c r="U1864" s="72">
        <v>0</v>
      </c>
      <c r="V1864" s="121">
        <f>$AF1864*W1864</f>
        <v>0</v>
      </c>
      <c r="W1864" s="69">
        <v>0.4</v>
      </c>
      <c r="X1864" s="121">
        <f>$AF1864*Y1864</f>
        <v>0</v>
      </c>
      <c r="Y1864" s="69">
        <v>0.35</v>
      </c>
      <c r="Z1864" s="121">
        <f>$AF1864*AA1864</f>
        <v>0</v>
      </c>
      <c r="AA1864" s="69">
        <v>0.13</v>
      </c>
      <c r="AB1864" s="316">
        <f>$AF1864*AC1864</f>
        <v>0</v>
      </c>
      <c r="AC1864" s="69">
        <v>0.05</v>
      </c>
      <c r="AD1864" s="121">
        <f>$AF1864*AE1864</f>
        <v>0</v>
      </c>
      <c r="AE1864" s="69">
        <v>0.02</v>
      </c>
      <c r="AF1864" s="89">
        <f>'Terms and Turnovers'!BD190</f>
        <v>0</v>
      </c>
      <c r="AG1864" s="162">
        <f>SUM(U1864,W1864,Y1864,AA1864,AC1864,AE1864)</f>
        <v>0.95000000000000007</v>
      </c>
      <c r="AH1864" s="159">
        <f>SUM(R1864,AF1864)</f>
        <v>0</v>
      </c>
      <c r="AI1864" s="137">
        <f>S1864+AG1864</f>
        <v>0.95000000000000007</v>
      </c>
      <c r="AJ1864" s="65"/>
      <c r="AL1864" s="461">
        <f>SUM(F1864,H1864,J1864,L1864,N1864,P1864,T1864,V1864,X1864,Z1864,AB1864,AD1864)</f>
        <v>0</v>
      </c>
      <c r="AM1864" s="462">
        <f>AL1864-AH1864</f>
        <v>0</v>
      </c>
      <c r="AV1864" s="56"/>
    </row>
    <row r="1865" spans="1:48" ht="13.5" customHeight="1" outlineLevel="2" thickBot="1">
      <c r="A1865" s="119"/>
      <c r="B1865" s="82"/>
      <c r="C1865" s="425"/>
      <c r="D1865" s="425"/>
      <c r="E1865" s="426"/>
      <c r="F1865" s="427">
        <f>SUM(F1860:F1864)</f>
        <v>0</v>
      </c>
      <c r="G1865" s="428"/>
      <c r="H1865" s="427">
        <f>SUM(H1860:H1864)</f>
        <v>0</v>
      </c>
      <c r="I1865" s="69"/>
      <c r="J1865" s="427">
        <f>SUM(J1860:J1864)</f>
        <v>0</v>
      </c>
      <c r="K1865" s="69"/>
      <c r="L1865" s="427">
        <f>SUM(L1860:L1864)</f>
        <v>0</v>
      </c>
      <c r="M1865" s="69"/>
      <c r="N1865" s="427">
        <f>SUM(N1860:N1864)</f>
        <v>0</v>
      </c>
      <c r="O1865" s="69"/>
      <c r="P1865" s="427">
        <f>SUM(P1860:P1864)</f>
        <v>0</v>
      </c>
      <c r="Q1865" s="69"/>
      <c r="R1865" s="429"/>
      <c r="S1865" s="430"/>
      <c r="T1865" s="427">
        <f>SUM(T1860:T1864)</f>
        <v>0</v>
      </c>
      <c r="U1865" s="428"/>
      <c r="V1865" s="427">
        <f>SUM(V1860:V1864)</f>
        <v>0</v>
      </c>
      <c r="W1865" s="69"/>
      <c r="X1865" s="427">
        <f>SUM(X1860:X1864)</f>
        <v>0</v>
      </c>
      <c r="Y1865" s="69"/>
      <c r="Z1865" s="427">
        <f>SUM(Z1860:Z1864)</f>
        <v>0</v>
      </c>
      <c r="AA1865" s="69"/>
      <c r="AB1865" s="427">
        <f>SUM(AB1860:AB1864)</f>
        <v>0</v>
      </c>
      <c r="AC1865" s="69"/>
      <c r="AD1865" s="427">
        <f>SUM(AD1860:AD1864)</f>
        <v>0</v>
      </c>
      <c r="AE1865" s="69"/>
      <c r="AF1865" s="429"/>
      <c r="AG1865" s="430"/>
      <c r="AH1865" s="431"/>
      <c r="AI1865" s="432"/>
      <c r="AJ1865" s="65"/>
      <c r="AV1865" s="56"/>
    </row>
    <row r="1866" spans="1:48" ht="13.5" customHeight="1" outlineLevel="2" thickBot="1">
      <c r="A1866" s="119"/>
      <c r="B1866" s="82"/>
      <c r="C1866" s="433" t="s">
        <v>484</v>
      </c>
      <c r="D1866" s="433"/>
      <c r="E1866" s="426"/>
      <c r="F1866" s="434">
        <f>F1865</f>
        <v>0</v>
      </c>
      <c r="G1866" s="428"/>
      <c r="H1866" s="434">
        <f>H1865</f>
        <v>0</v>
      </c>
      <c r="I1866" s="69"/>
      <c r="J1866" s="434">
        <f>J1865</f>
        <v>0</v>
      </c>
      <c r="K1866" s="69"/>
      <c r="L1866" s="434">
        <f>L1865</f>
        <v>0</v>
      </c>
      <c r="M1866" s="69"/>
      <c r="N1866" s="434">
        <f>N1865</f>
        <v>0</v>
      </c>
      <c r="O1866" s="69"/>
      <c r="P1866" s="434">
        <f>P1865</f>
        <v>0</v>
      </c>
      <c r="Q1866" s="69"/>
      <c r="R1866" s="429"/>
      <c r="S1866" s="430"/>
      <c r="T1866" s="434">
        <f>T1865</f>
        <v>0</v>
      </c>
      <c r="U1866" s="428">
        <f>Q1865</f>
        <v>0</v>
      </c>
      <c r="V1866" s="434">
        <f>V1865</f>
        <v>0</v>
      </c>
      <c r="W1866" s="69">
        <f>S1865</f>
        <v>0</v>
      </c>
      <c r="X1866" s="434">
        <f>X1865</f>
        <v>0</v>
      </c>
      <c r="Y1866" s="69">
        <f>U1865</f>
        <v>0</v>
      </c>
      <c r="Z1866" s="434">
        <f>Z1865</f>
        <v>0</v>
      </c>
      <c r="AA1866" s="69">
        <f>W1865</f>
        <v>0</v>
      </c>
      <c r="AB1866" s="434">
        <f>AB1865</f>
        <v>0</v>
      </c>
      <c r="AC1866" s="69">
        <f>Y1865</f>
        <v>0</v>
      </c>
      <c r="AD1866" s="434">
        <f>AD1865</f>
        <v>0</v>
      </c>
      <c r="AE1866" s="69"/>
      <c r="AF1866" s="429"/>
      <c r="AG1866" s="430"/>
      <c r="AH1866" s="431"/>
      <c r="AI1866" s="432"/>
      <c r="AJ1866" s="65"/>
      <c r="AN1866" s="695">
        <f>SUM(AF1860:AF1864)*AQ1866</f>
        <v>0</v>
      </c>
      <c r="AO1866" s="742">
        <f>SUM(R1860:R1864)*AQ1866</f>
        <v>0</v>
      </c>
      <c r="AP1866" s="742"/>
      <c r="AV1866" s="56"/>
    </row>
    <row r="1867" spans="1:48" ht="13.5" customHeight="1" outlineLevel="2" thickBot="1">
      <c r="B1867" s="82">
        <f>B1860+1</f>
        <v>60</v>
      </c>
      <c r="C1867" s="1233">
        <f>C426</f>
        <v>0</v>
      </c>
      <c r="D1867" s="1233">
        <f>D426</f>
        <v>0</v>
      </c>
      <c r="E1867" s="83" t="str">
        <f>'Terms and Turnovers'!$J$12</f>
        <v>FLIP-FLOPS</v>
      </c>
      <c r="F1867" s="118">
        <f>$R1867*G1867</f>
        <v>0</v>
      </c>
      <c r="G1867" s="69"/>
      <c r="H1867" s="314">
        <f>$R1867*I1867</f>
        <v>0</v>
      </c>
      <c r="I1867" s="69">
        <v>0</v>
      </c>
      <c r="J1867" s="118">
        <f>$R1867*K1867</f>
        <v>0</v>
      </c>
      <c r="K1867" s="69">
        <v>0.25</v>
      </c>
      <c r="L1867" s="314">
        <f>$R1867*M1867</f>
        <v>0</v>
      </c>
      <c r="M1867" s="69">
        <v>0.4</v>
      </c>
      <c r="N1867" s="314">
        <f>$R1867*O1867</f>
        <v>0</v>
      </c>
      <c r="O1867" s="69">
        <v>0.35</v>
      </c>
      <c r="P1867" s="118">
        <f>$R1867*Q1867</f>
        <v>0</v>
      </c>
      <c r="Q1867" s="69">
        <v>0</v>
      </c>
      <c r="R1867" s="87">
        <f>'Terms and Turnovers'!K191</f>
        <v>0</v>
      </c>
      <c r="S1867" s="160">
        <f>SUM(G1867,I1867,K1867,M1867,O1867,Q1867)</f>
        <v>1</v>
      </c>
      <c r="T1867" s="118">
        <f>$AF1867*U1867</f>
        <v>0</v>
      </c>
      <c r="U1867" s="69">
        <v>0</v>
      </c>
      <c r="V1867" s="314">
        <f>$AF1867*W1867</f>
        <v>0</v>
      </c>
      <c r="W1867" s="69">
        <v>0.37</v>
      </c>
      <c r="X1867" s="118">
        <f>$AF1867*Y1867</f>
        <v>0</v>
      </c>
      <c r="Y1867" s="69">
        <v>0.43</v>
      </c>
      <c r="Z1867" s="314">
        <f>$AF1867*AA1867</f>
        <v>0</v>
      </c>
      <c r="AA1867" s="69">
        <v>0.13</v>
      </c>
      <c r="AB1867" s="314">
        <f>$AF1867*AC1867</f>
        <v>0</v>
      </c>
      <c r="AC1867" s="69">
        <v>0.05</v>
      </c>
      <c r="AD1867" s="118">
        <f>$AF1867*AE1867</f>
        <v>0</v>
      </c>
      <c r="AE1867" s="69">
        <v>0.02</v>
      </c>
      <c r="AF1867" s="87">
        <f>'Terms and Turnovers'!P191</f>
        <v>0</v>
      </c>
      <c r="AG1867" s="160">
        <f>SUM(U1867,W1867,Y1867,AA1867,AC1867,AE1867)</f>
        <v>1</v>
      </c>
      <c r="AH1867" s="157">
        <f>SUM(R1867,AF1867)</f>
        <v>0</v>
      </c>
      <c r="AI1867" s="131">
        <f>S1867+AG1867</f>
        <v>2</v>
      </c>
      <c r="AJ1867" s="65"/>
      <c r="AL1867" s="461">
        <f>SUM(F1867,H1867,J1867,L1867,N1867,P1867,T1867,V1867,X1867,Z1867,AB1867,AD1867)</f>
        <v>0</v>
      </c>
      <c r="AM1867" s="462">
        <f>AL1867-AH1867</f>
        <v>0</v>
      </c>
      <c r="AV1867" s="56"/>
    </row>
    <row r="1868" spans="1:48" ht="13.5" customHeight="1" outlineLevel="2" thickBot="1">
      <c r="B1868" s="82"/>
      <c r="C1868" s="1234"/>
      <c r="D1868" s="1234"/>
      <c r="E1868" s="84" t="str">
        <f>'Terms and Turnovers'!$T$12</f>
        <v>ORIGINALS</v>
      </c>
      <c r="F1868" s="120">
        <f>$R1868*G1868</f>
        <v>0</v>
      </c>
      <c r="G1868" s="723"/>
      <c r="H1868" s="120">
        <f>$R1868*I1868</f>
        <v>0</v>
      </c>
      <c r="I1868" s="69">
        <v>0</v>
      </c>
      <c r="J1868" s="120">
        <f>$R1868*K1868</f>
        <v>0</v>
      </c>
      <c r="K1868" s="69">
        <v>0.3</v>
      </c>
      <c r="L1868" s="120">
        <f>$R1868*M1868</f>
        <v>0</v>
      </c>
      <c r="M1868" s="69">
        <v>0.6</v>
      </c>
      <c r="N1868" s="315">
        <f>$R1868*O1868</f>
        <v>0</v>
      </c>
      <c r="O1868" s="69">
        <v>0.1</v>
      </c>
      <c r="P1868" s="120">
        <f>$R1868*Q1868</f>
        <v>0</v>
      </c>
      <c r="Q1868" s="69">
        <v>0</v>
      </c>
      <c r="R1868" s="88">
        <f>'Terms and Turnovers'!U191</f>
        <v>0</v>
      </c>
      <c r="S1868" s="161">
        <f>SUM(G1868,I1868,K1868,M1868,O1868,Q1868)</f>
        <v>0.99999999999999989</v>
      </c>
      <c r="T1868" s="120">
        <f>$AF1868*U1868</f>
        <v>0</v>
      </c>
      <c r="U1868" s="723">
        <v>0</v>
      </c>
      <c r="V1868" s="120">
        <f>$AF1868*W1868</f>
        <v>0</v>
      </c>
      <c r="W1868" s="69">
        <v>0.15</v>
      </c>
      <c r="X1868" s="120">
        <f>$AF1868*Y1868</f>
        <v>0</v>
      </c>
      <c r="Y1868" s="69">
        <v>0.6</v>
      </c>
      <c r="Z1868" s="120">
        <f>$AF1868*AA1868</f>
        <v>0</v>
      </c>
      <c r="AA1868" s="69">
        <v>0.25</v>
      </c>
      <c r="AB1868" s="315">
        <f>$AF1868*AC1868</f>
        <v>0</v>
      </c>
      <c r="AC1868" s="69">
        <v>0</v>
      </c>
      <c r="AD1868" s="120">
        <f>$AF1868*AE1868</f>
        <v>0</v>
      </c>
      <c r="AE1868" s="69">
        <v>0</v>
      </c>
      <c r="AF1868" s="88">
        <f>'Terms and Turnovers'!Z191</f>
        <v>0</v>
      </c>
      <c r="AG1868" s="161">
        <f>SUM(U1868,W1868,Y1868,AA1868,AC1868,AE1868)</f>
        <v>1</v>
      </c>
      <c r="AH1868" s="158">
        <f>SUM(R1868,AF1868)</f>
        <v>0</v>
      </c>
      <c r="AI1868" s="134">
        <f>S1868+AG1868</f>
        <v>2</v>
      </c>
      <c r="AJ1868" s="65"/>
      <c r="AL1868" s="461">
        <f>SUM(F1868,H1868,J1868,L1868,N1868,P1868,T1868,V1868,X1868,Z1868,AB1868,AD1868)</f>
        <v>0</v>
      </c>
      <c r="AM1868" s="462">
        <f>AL1868-AH1868</f>
        <v>0</v>
      </c>
      <c r="AV1868" s="56"/>
    </row>
    <row r="1869" spans="1:48" ht="13.5" customHeight="1" outlineLevel="2" thickBot="1">
      <c r="B1869" s="82"/>
      <c r="C1869" s="1234"/>
      <c r="D1869" s="1234"/>
      <c r="E1869" s="84" t="str">
        <f>'Terms and Turnovers'!$AD$12</f>
        <v>ACCESSORIES</v>
      </c>
      <c r="F1869" s="120">
        <f>$R1869*G1869</f>
        <v>0</v>
      </c>
      <c r="G1869" s="723"/>
      <c r="H1869" s="120">
        <f>$R1869*I1869</f>
        <v>0</v>
      </c>
      <c r="I1869" s="69">
        <v>0</v>
      </c>
      <c r="J1869" s="120">
        <f>$R1869*K1869</f>
        <v>0</v>
      </c>
      <c r="K1869" s="69">
        <v>0.3</v>
      </c>
      <c r="L1869" s="120">
        <f>$R1869*M1869</f>
        <v>0</v>
      </c>
      <c r="M1869" s="69">
        <v>0.6</v>
      </c>
      <c r="N1869" s="315">
        <f>$R1869*O1869</f>
        <v>0</v>
      </c>
      <c r="O1869" s="69">
        <v>0.1</v>
      </c>
      <c r="P1869" s="120">
        <f>$R1869*Q1869</f>
        <v>0</v>
      </c>
      <c r="Q1869" s="69">
        <v>0</v>
      </c>
      <c r="R1869" s="88">
        <f>'Terms and Turnovers'!AE191</f>
        <v>0</v>
      </c>
      <c r="S1869" s="161">
        <f>SUM(G1869,I1869,K1869,M1869,O1869,Q1869)</f>
        <v>0.99999999999999989</v>
      </c>
      <c r="T1869" s="120">
        <f>$AF1869*U1869</f>
        <v>0</v>
      </c>
      <c r="U1869" s="723">
        <v>0</v>
      </c>
      <c r="V1869" s="120">
        <f>$AF1869*W1869</f>
        <v>0</v>
      </c>
      <c r="W1869" s="69">
        <v>0.15</v>
      </c>
      <c r="X1869" s="120">
        <f>$AF1869*Y1869</f>
        <v>0</v>
      </c>
      <c r="Y1869" s="69">
        <v>0.6</v>
      </c>
      <c r="Z1869" s="120">
        <f>$AF1869*AA1869</f>
        <v>0</v>
      </c>
      <c r="AA1869" s="69">
        <v>0.25</v>
      </c>
      <c r="AB1869" s="315">
        <f>$AF1869*AC1869</f>
        <v>0</v>
      </c>
      <c r="AC1869" s="69">
        <v>0</v>
      </c>
      <c r="AD1869" s="120">
        <f>$AF1869*AE1869</f>
        <v>0</v>
      </c>
      <c r="AE1869" s="69">
        <v>0</v>
      </c>
      <c r="AF1869" s="88">
        <f>'Terms and Turnovers'!AJ191</f>
        <v>0</v>
      </c>
      <c r="AG1869" s="161">
        <f>SUM(U1869,W1869,Y1869,AA1869,AC1869,AE1869)</f>
        <v>1</v>
      </c>
      <c r="AH1869" s="158">
        <f>SUM(R1869,AF1869)</f>
        <v>0</v>
      </c>
      <c r="AI1869" s="134">
        <f>S1869+AG1869</f>
        <v>2</v>
      </c>
      <c r="AJ1869" s="65"/>
      <c r="AL1869" s="461">
        <f>SUM(F1869,H1869,J1869,L1869,N1869,P1869,T1869,V1869,X1869,Z1869,AB1869,AD1869)</f>
        <v>0</v>
      </c>
      <c r="AM1869" s="462">
        <f>AL1869-AH1869</f>
        <v>0</v>
      </c>
      <c r="AV1869" s="56"/>
    </row>
    <row r="1870" spans="1:48" ht="13.5" customHeight="1" outlineLevel="2" thickBot="1">
      <c r="B1870" s="82"/>
      <c r="C1870" s="1234"/>
      <c r="D1870" s="1234"/>
      <c r="E1870" s="84">
        <f>'Terms and Turnovers'!$AN$12</f>
        <v>0</v>
      </c>
      <c r="F1870" s="120">
        <f>$R1870*G1870</f>
        <v>0</v>
      </c>
      <c r="G1870" s="723"/>
      <c r="H1870" s="120">
        <f>$R1870*I1870</f>
        <v>0</v>
      </c>
      <c r="I1870" s="69">
        <v>0</v>
      </c>
      <c r="J1870" s="120">
        <f>$R1870*K1870</f>
        <v>0</v>
      </c>
      <c r="K1870" s="69">
        <v>0</v>
      </c>
      <c r="L1870" s="120">
        <f>$R1870*M1870</f>
        <v>0</v>
      </c>
      <c r="M1870" s="69">
        <v>0</v>
      </c>
      <c r="N1870" s="315">
        <f>$R1870*O1870</f>
        <v>0</v>
      </c>
      <c r="O1870" s="69">
        <v>0</v>
      </c>
      <c r="P1870" s="120">
        <f>$R1870*Q1870</f>
        <v>0</v>
      </c>
      <c r="Q1870" s="69">
        <v>0</v>
      </c>
      <c r="R1870" s="88">
        <f>'Terms and Turnovers'!AO191</f>
        <v>0</v>
      </c>
      <c r="S1870" s="161">
        <f>SUM(G1870,I1870,K1870,M1870,O1870,Q1870)</f>
        <v>0</v>
      </c>
      <c r="T1870" s="120">
        <f>$AF1870*U1870</f>
        <v>0</v>
      </c>
      <c r="U1870" s="723">
        <v>0</v>
      </c>
      <c r="V1870" s="120">
        <f>$AF1870*W1870</f>
        <v>0</v>
      </c>
      <c r="W1870" s="69">
        <v>0.4</v>
      </c>
      <c r="X1870" s="120">
        <f>$AF1870*Y1870</f>
        <v>0</v>
      </c>
      <c r="Y1870" s="69">
        <v>0.35</v>
      </c>
      <c r="Z1870" s="120">
        <f>$AF1870*AA1870</f>
        <v>0</v>
      </c>
      <c r="AA1870" s="69">
        <v>0.13</v>
      </c>
      <c r="AB1870" s="315">
        <f>$AF1870*AC1870</f>
        <v>0</v>
      </c>
      <c r="AC1870" s="69">
        <v>0.05</v>
      </c>
      <c r="AD1870" s="120">
        <f>$AF1870*AE1870</f>
        <v>0</v>
      </c>
      <c r="AE1870" s="69">
        <v>0.02</v>
      </c>
      <c r="AF1870" s="88">
        <f>'Terms and Turnovers'!AT191</f>
        <v>0</v>
      </c>
      <c r="AG1870" s="161">
        <f>SUM(U1870,W1870,Y1870,AA1870,AC1870,AE1870)</f>
        <v>0.95000000000000007</v>
      </c>
      <c r="AH1870" s="158">
        <f>SUM(R1870,AF1870)</f>
        <v>0</v>
      </c>
      <c r="AI1870" s="134">
        <f>S1870+AG1870</f>
        <v>0.95000000000000007</v>
      </c>
      <c r="AJ1870" s="65"/>
      <c r="AL1870" s="461">
        <f>SUM(F1870,H1870,J1870,L1870,N1870,P1870,T1870,V1870,X1870,Z1870,AB1870,AD1870)</f>
        <v>0</v>
      </c>
      <c r="AM1870" s="462">
        <f>AL1870-AH1870</f>
        <v>0</v>
      </c>
      <c r="AV1870" s="56"/>
    </row>
    <row r="1871" spans="1:48" ht="13.5" customHeight="1" outlineLevel="2" thickBot="1">
      <c r="B1871" s="82"/>
      <c r="C1871" s="1235"/>
      <c r="D1871" s="1235"/>
      <c r="E1871" s="85">
        <f>'Terms and Turnovers'!$AX$12</f>
        <v>0</v>
      </c>
      <c r="F1871" s="121">
        <f>$R1871*G1871</f>
        <v>0</v>
      </c>
      <c r="G1871" s="72"/>
      <c r="H1871" s="121">
        <f>$R1871*I1871</f>
        <v>0</v>
      </c>
      <c r="I1871" s="69">
        <v>0</v>
      </c>
      <c r="J1871" s="121">
        <f>$R1871*K1871</f>
        <v>0</v>
      </c>
      <c r="K1871" s="69">
        <v>0</v>
      </c>
      <c r="L1871" s="121">
        <f>$R1871*M1871</f>
        <v>0</v>
      </c>
      <c r="M1871" s="69">
        <v>0</v>
      </c>
      <c r="N1871" s="316">
        <f>$R1871*O1871</f>
        <v>0</v>
      </c>
      <c r="O1871" s="69">
        <v>0</v>
      </c>
      <c r="P1871" s="121">
        <f>$R1871*Q1871</f>
        <v>0</v>
      </c>
      <c r="Q1871" s="69">
        <v>0</v>
      </c>
      <c r="R1871" s="89">
        <f>'Terms and Turnovers'!AY191</f>
        <v>0</v>
      </c>
      <c r="S1871" s="162">
        <f>SUM(G1871,I1871,K1871,M1871,O1871,Q1871)</f>
        <v>0</v>
      </c>
      <c r="T1871" s="121">
        <f>$AF1871*U1871</f>
        <v>0</v>
      </c>
      <c r="U1871" s="72">
        <v>0</v>
      </c>
      <c r="V1871" s="121">
        <f>$AF1871*W1871</f>
        <v>0</v>
      </c>
      <c r="W1871" s="69">
        <v>0.4</v>
      </c>
      <c r="X1871" s="121">
        <f>$AF1871*Y1871</f>
        <v>0</v>
      </c>
      <c r="Y1871" s="69">
        <v>0.35</v>
      </c>
      <c r="Z1871" s="121">
        <f>$AF1871*AA1871</f>
        <v>0</v>
      </c>
      <c r="AA1871" s="69">
        <v>0.13</v>
      </c>
      <c r="AB1871" s="316">
        <f>$AF1871*AC1871</f>
        <v>0</v>
      </c>
      <c r="AC1871" s="69">
        <v>0.05</v>
      </c>
      <c r="AD1871" s="121">
        <f>$AF1871*AE1871</f>
        <v>0</v>
      </c>
      <c r="AE1871" s="69">
        <v>0.02</v>
      </c>
      <c r="AF1871" s="89">
        <f>'Terms and Turnovers'!BD191</f>
        <v>0</v>
      </c>
      <c r="AG1871" s="162">
        <f>SUM(U1871,W1871,Y1871,AA1871,AC1871,AE1871)</f>
        <v>0.95000000000000007</v>
      </c>
      <c r="AH1871" s="159">
        <f>SUM(R1871,AF1871)</f>
        <v>0</v>
      </c>
      <c r="AI1871" s="137">
        <f>S1871+AG1871</f>
        <v>0.95000000000000007</v>
      </c>
      <c r="AJ1871" s="65"/>
      <c r="AL1871" s="461">
        <f>SUM(F1871,H1871,J1871,L1871,N1871,P1871,T1871,V1871,X1871,Z1871,AB1871,AD1871)</f>
        <v>0</v>
      </c>
      <c r="AM1871" s="462">
        <f>AL1871-AH1871</f>
        <v>0</v>
      </c>
      <c r="AV1871" s="56"/>
    </row>
    <row r="1872" spans="1:48" ht="13.5" customHeight="1" outlineLevel="2" thickBot="1">
      <c r="A1872" s="119"/>
      <c r="B1872" s="82"/>
      <c r="C1872" s="425"/>
      <c r="D1872" s="425"/>
      <c r="E1872" s="426"/>
      <c r="F1872" s="427">
        <f>SUM(F1867:F1871)</f>
        <v>0</v>
      </c>
      <c r="G1872" s="428"/>
      <c r="H1872" s="427">
        <f>SUM(H1867:H1871)</f>
        <v>0</v>
      </c>
      <c r="I1872" s="69"/>
      <c r="J1872" s="427">
        <f>SUM(J1867:J1871)</f>
        <v>0</v>
      </c>
      <c r="K1872" s="69"/>
      <c r="L1872" s="427">
        <f>SUM(L1867:L1871)</f>
        <v>0</v>
      </c>
      <c r="M1872" s="69"/>
      <c r="N1872" s="427">
        <f>SUM(N1867:N1871)</f>
        <v>0</v>
      </c>
      <c r="O1872" s="69"/>
      <c r="P1872" s="427">
        <f>SUM(P1867:P1871)</f>
        <v>0</v>
      </c>
      <c r="Q1872" s="69"/>
      <c r="R1872" s="429"/>
      <c r="S1872" s="430"/>
      <c r="T1872" s="427">
        <f>SUM(T1867:T1871)</f>
        <v>0</v>
      </c>
      <c r="U1872" s="428"/>
      <c r="V1872" s="427">
        <f>SUM(V1867:V1871)</f>
        <v>0</v>
      </c>
      <c r="W1872" s="69"/>
      <c r="X1872" s="427">
        <f>SUM(X1867:X1871)</f>
        <v>0</v>
      </c>
      <c r="Y1872" s="69"/>
      <c r="Z1872" s="427">
        <f>SUM(Z1867:Z1871)</f>
        <v>0</v>
      </c>
      <c r="AA1872" s="69"/>
      <c r="AB1872" s="427">
        <f>SUM(AB1867:AB1871)</f>
        <v>0</v>
      </c>
      <c r="AC1872" s="69"/>
      <c r="AD1872" s="427">
        <f>SUM(AD1867:AD1871)</f>
        <v>0</v>
      </c>
      <c r="AE1872" s="69"/>
      <c r="AF1872" s="429"/>
      <c r="AG1872" s="430"/>
      <c r="AH1872" s="431"/>
      <c r="AI1872" s="432"/>
      <c r="AJ1872" s="65"/>
      <c r="AV1872" s="56"/>
    </row>
    <row r="1873" spans="1:48" ht="13.5" customHeight="1" outlineLevel="2" thickBot="1">
      <c r="A1873" s="119"/>
      <c r="B1873" s="82"/>
      <c r="C1873" s="433" t="s">
        <v>484</v>
      </c>
      <c r="D1873" s="433"/>
      <c r="E1873" s="426"/>
      <c r="F1873" s="434">
        <f>F1872</f>
        <v>0</v>
      </c>
      <c r="G1873" s="428"/>
      <c r="H1873" s="434">
        <f>H1872</f>
        <v>0</v>
      </c>
      <c r="I1873" s="69"/>
      <c r="J1873" s="434">
        <f>J1872</f>
        <v>0</v>
      </c>
      <c r="K1873" s="69"/>
      <c r="L1873" s="434">
        <f>L1872</f>
        <v>0</v>
      </c>
      <c r="M1873" s="69"/>
      <c r="N1873" s="434">
        <f>N1872</f>
        <v>0</v>
      </c>
      <c r="O1873" s="69"/>
      <c r="P1873" s="434">
        <f>P1872</f>
        <v>0</v>
      </c>
      <c r="Q1873" s="69"/>
      <c r="R1873" s="429"/>
      <c r="S1873" s="430"/>
      <c r="T1873" s="434">
        <f>T1872</f>
        <v>0</v>
      </c>
      <c r="U1873" s="428">
        <f>Q1872</f>
        <v>0</v>
      </c>
      <c r="V1873" s="434">
        <f>V1872</f>
        <v>0</v>
      </c>
      <c r="W1873" s="69">
        <f>S1872</f>
        <v>0</v>
      </c>
      <c r="X1873" s="434">
        <f>X1872</f>
        <v>0</v>
      </c>
      <c r="Y1873" s="69">
        <f>U1872</f>
        <v>0</v>
      </c>
      <c r="Z1873" s="434">
        <f>Z1872</f>
        <v>0</v>
      </c>
      <c r="AA1873" s="69">
        <f>W1872</f>
        <v>0</v>
      </c>
      <c r="AB1873" s="434">
        <f>AB1872</f>
        <v>0</v>
      </c>
      <c r="AC1873" s="69">
        <f>Y1872</f>
        <v>0</v>
      </c>
      <c r="AD1873" s="434">
        <f>AD1872</f>
        <v>0</v>
      </c>
      <c r="AE1873" s="69"/>
      <c r="AF1873" s="429"/>
      <c r="AG1873" s="430"/>
      <c r="AH1873" s="431"/>
      <c r="AI1873" s="432"/>
      <c r="AJ1873" s="65"/>
      <c r="AN1873" s="695">
        <f>SUM(AF1867:AF1871)*AQ1873</f>
        <v>0</v>
      </c>
      <c r="AO1873" s="742">
        <f>SUM(R1867:R1871)*AQ1873</f>
        <v>0</v>
      </c>
      <c r="AP1873" s="742"/>
      <c r="AV1873" s="56"/>
    </row>
    <row r="1874" spans="1:48" ht="13.5" customHeight="1" outlineLevel="2" thickBot="1">
      <c r="B1874" s="82">
        <f>B1867+1</f>
        <v>61</v>
      </c>
      <c r="C1874" s="1233">
        <f>C433</f>
        <v>0</v>
      </c>
      <c r="D1874" s="1233">
        <f>D433</f>
        <v>0</v>
      </c>
      <c r="E1874" s="83" t="str">
        <f>'Terms and Turnovers'!$J$12</f>
        <v>FLIP-FLOPS</v>
      </c>
      <c r="F1874" s="118">
        <f>$R1874*G1874</f>
        <v>0</v>
      </c>
      <c r="G1874" s="69"/>
      <c r="H1874" s="314">
        <f>$R1874*I1874</f>
        <v>0</v>
      </c>
      <c r="I1874" s="69">
        <v>0</v>
      </c>
      <c r="J1874" s="118">
        <f>$R1874*K1874</f>
        <v>0</v>
      </c>
      <c r="K1874" s="69">
        <v>0.25</v>
      </c>
      <c r="L1874" s="314">
        <f>$R1874*M1874</f>
        <v>0</v>
      </c>
      <c r="M1874" s="69">
        <v>0.4</v>
      </c>
      <c r="N1874" s="314">
        <f>$R1874*O1874</f>
        <v>0</v>
      </c>
      <c r="O1874" s="69">
        <v>0.35</v>
      </c>
      <c r="P1874" s="118">
        <f>$R1874*Q1874</f>
        <v>0</v>
      </c>
      <c r="Q1874" s="69">
        <v>0</v>
      </c>
      <c r="R1874" s="87">
        <f>'Terms and Turnovers'!K192</f>
        <v>0</v>
      </c>
      <c r="S1874" s="160">
        <f>SUM(G1874,I1874,K1874,M1874,O1874,Q1874)</f>
        <v>1</v>
      </c>
      <c r="T1874" s="118">
        <f>$AF1874*U1874</f>
        <v>0</v>
      </c>
      <c r="U1874" s="69">
        <v>0</v>
      </c>
      <c r="V1874" s="314">
        <f>$AF1874*W1874</f>
        <v>0</v>
      </c>
      <c r="W1874" s="69">
        <v>0.37</v>
      </c>
      <c r="X1874" s="118">
        <f>$AF1874*Y1874</f>
        <v>0</v>
      </c>
      <c r="Y1874" s="69">
        <v>0.43</v>
      </c>
      <c r="Z1874" s="314">
        <f>$AF1874*AA1874</f>
        <v>0</v>
      </c>
      <c r="AA1874" s="69">
        <v>0.13</v>
      </c>
      <c r="AB1874" s="314">
        <f>$AF1874*AC1874</f>
        <v>0</v>
      </c>
      <c r="AC1874" s="69">
        <v>0.05</v>
      </c>
      <c r="AD1874" s="118">
        <f>$AF1874*AE1874</f>
        <v>0</v>
      </c>
      <c r="AE1874" s="69">
        <v>0.02</v>
      </c>
      <c r="AF1874" s="87">
        <f>'Terms and Turnovers'!P192</f>
        <v>0</v>
      </c>
      <c r="AG1874" s="160">
        <f>SUM(U1874,W1874,Y1874,AA1874,AC1874,AE1874)</f>
        <v>1</v>
      </c>
      <c r="AH1874" s="157">
        <f>SUM(R1874,AF1874)</f>
        <v>0</v>
      </c>
      <c r="AI1874" s="131">
        <f>S1874+AG1874</f>
        <v>2</v>
      </c>
      <c r="AJ1874" s="65"/>
      <c r="AL1874" s="461">
        <f>SUM(F1874,H1874,J1874,L1874,N1874,P1874,T1874,V1874,X1874,Z1874,AB1874,AD1874)</f>
        <v>0</v>
      </c>
      <c r="AM1874" s="462">
        <f>AL1874-AH1874</f>
        <v>0</v>
      </c>
      <c r="AV1874" s="56"/>
    </row>
    <row r="1875" spans="1:48" ht="13.5" customHeight="1" outlineLevel="2" thickBot="1">
      <c r="B1875" s="82"/>
      <c r="C1875" s="1234"/>
      <c r="D1875" s="1234"/>
      <c r="E1875" s="84" t="str">
        <f>'Terms and Turnovers'!$T$12</f>
        <v>ORIGINALS</v>
      </c>
      <c r="F1875" s="120">
        <f>$R1875*G1875</f>
        <v>0</v>
      </c>
      <c r="G1875" s="723"/>
      <c r="H1875" s="120">
        <f>$R1875*I1875</f>
        <v>0</v>
      </c>
      <c r="I1875" s="69">
        <v>0</v>
      </c>
      <c r="J1875" s="120">
        <f>$R1875*K1875</f>
        <v>0</v>
      </c>
      <c r="K1875" s="69">
        <v>0.3</v>
      </c>
      <c r="L1875" s="120">
        <f>$R1875*M1875</f>
        <v>0</v>
      </c>
      <c r="M1875" s="69">
        <v>0.6</v>
      </c>
      <c r="N1875" s="315">
        <f>$R1875*O1875</f>
        <v>0</v>
      </c>
      <c r="O1875" s="69">
        <v>0.1</v>
      </c>
      <c r="P1875" s="120">
        <f>$R1875*Q1875</f>
        <v>0</v>
      </c>
      <c r="Q1875" s="69">
        <v>0</v>
      </c>
      <c r="R1875" s="88">
        <f>'Terms and Turnovers'!U192</f>
        <v>0</v>
      </c>
      <c r="S1875" s="161">
        <f>SUM(G1875,I1875,K1875,M1875,O1875,Q1875)</f>
        <v>0.99999999999999989</v>
      </c>
      <c r="T1875" s="120">
        <f>$AF1875*U1875</f>
        <v>0</v>
      </c>
      <c r="U1875" s="723">
        <v>0</v>
      </c>
      <c r="V1875" s="120">
        <f>$AF1875*W1875</f>
        <v>0</v>
      </c>
      <c r="W1875" s="69">
        <v>0.15</v>
      </c>
      <c r="X1875" s="120">
        <f>$AF1875*Y1875</f>
        <v>0</v>
      </c>
      <c r="Y1875" s="69">
        <v>0.6</v>
      </c>
      <c r="Z1875" s="120">
        <f>$AF1875*AA1875</f>
        <v>0</v>
      </c>
      <c r="AA1875" s="69">
        <v>0.25</v>
      </c>
      <c r="AB1875" s="315">
        <f>$AF1875*AC1875</f>
        <v>0</v>
      </c>
      <c r="AC1875" s="69">
        <v>0</v>
      </c>
      <c r="AD1875" s="120">
        <f>$AF1875*AE1875</f>
        <v>0</v>
      </c>
      <c r="AE1875" s="69">
        <v>0</v>
      </c>
      <c r="AF1875" s="88">
        <f>'Terms and Turnovers'!Z192</f>
        <v>0</v>
      </c>
      <c r="AG1875" s="161">
        <f>SUM(U1875,W1875,Y1875,AA1875,AC1875,AE1875)</f>
        <v>1</v>
      </c>
      <c r="AH1875" s="158">
        <f>SUM(R1875,AF1875)</f>
        <v>0</v>
      </c>
      <c r="AI1875" s="134">
        <f>S1875+AG1875</f>
        <v>2</v>
      </c>
      <c r="AJ1875" s="65"/>
      <c r="AL1875" s="461">
        <f>SUM(F1875,H1875,J1875,L1875,N1875,P1875,T1875,V1875,X1875,Z1875,AB1875,AD1875)</f>
        <v>0</v>
      </c>
      <c r="AM1875" s="462">
        <f>AL1875-AH1875</f>
        <v>0</v>
      </c>
      <c r="AV1875" s="56"/>
    </row>
    <row r="1876" spans="1:48" ht="13.5" customHeight="1" outlineLevel="2" thickBot="1">
      <c r="B1876" s="82"/>
      <c r="C1876" s="1234"/>
      <c r="D1876" s="1234"/>
      <c r="E1876" s="84" t="str">
        <f>'Terms and Turnovers'!$AD$12</f>
        <v>ACCESSORIES</v>
      </c>
      <c r="F1876" s="120">
        <f>$R1876*G1876</f>
        <v>0</v>
      </c>
      <c r="G1876" s="723"/>
      <c r="H1876" s="120">
        <f>$R1876*I1876</f>
        <v>0</v>
      </c>
      <c r="I1876" s="69">
        <v>0</v>
      </c>
      <c r="J1876" s="120">
        <f>$R1876*K1876</f>
        <v>0</v>
      </c>
      <c r="K1876" s="69">
        <v>0.3</v>
      </c>
      <c r="L1876" s="120">
        <f>$R1876*M1876</f>
        <v>0</v>
      </c>
      <c r="M1876" s="69">
        <v>0.6</v>
      </c>
      <c r="N1876" s="315">
        <f>$R1876*O1876</f>
        <v>0</v>
      </c>
      <c r="O1876" s="69">
        <v>0.1</v>
      </c>
      <c r="P1876" s="120">
        <f>$R1876*Q1876</f>
        <v>0</v>
      </c>
      <c r="Q1876" s="69">
        <v>0</v>
      </c>
      <c r="R1876" s="88">
        <f>'Terms and Turnovers'!AE192</f>
        <v>0</v>
      </c>
      <c r="S1876" s="161">
        <f>SUM(G1876,I1876,K1876,M1876,O1876,Q1876)</f>
        <v>0.99999999999999989</v>
      </c>
      <c r="T1876" s="120">
        <f>$AF1876*U1876</f>
        <v>0</v>
      </c>
      <c r="U1876" s="723">
        <v>0</v>
      </c>
      <c r="V1876" s="120">
        <f>$AF1876*W1876</f>
        <v>0</v>
      </c>
      <c r="W1876" s="69">
        <v>0.15</v>
      </c>
      <c r="X1876" s="120">
        <f>$AF1876*Y1876</f>
        <v>0</v>
      </c>
      <c r="Y1876" s="69">
        <v>0.6</v>
      </c>
      <c r="Z1876" s="120">
        <f>$AF1876*AA1876</f>
        <v>0</v>
      </c>
      <c r="AA1876" s="69">
        <v>0.25</v>
      </c>
      <c r="AB1876" s="315">
        <f>$AF1876*AC1876</f>
        <v>0</v>
      </c>
      <c r="AC1876" s="69">
        <v>0</v>
      </c>
      <c r="AD1876" s="120">
        <f>$AF1876*AE1876</f>
        <v>0</v>
      </c>
      <c r="AE1876" s="69">
        <v>0</v>
      </c>
      <c r="AF1876" s="88">
        <f>'Terms and Turnovers'!AJ192</f>
        <v>0</v>
      </c>
      <c r="AG1876" s="161">
        <f>SUM(U1876,W1876,Y1876,AA1876,AC1876,AE1876)</f>
        <v>1</v>
      </c>
      <c r="AH1876" s="158">
        <f>SUM(R1876,AF1876)</f>
        <v>0</v>
      </c>
      <c r="AI1876" s="134">
        <f>S1876+AG1876</f>
        <v>2</v>
      </c>
      <c r="AJ1876" s="65"/>
      <c r="AL1876" s="461">
        <f>SUM(F1876,H1876,J1876,L1876,N1876,P1876,T1876,V1876,X1876,Z1876,AB1876,AD1876)</f>
        <v>0</v>
      </c>
      <c r="AM1876" s="462">
        <f>AL1876-AH1876</f>
        <v>0</v>
      </c>
      <c r="AV1876" s="56"/>
    </row>
    <row r="1877" spans="1:48" ht="13.5" customHeight="1" outlineLevel="2" thickBot="1">
      <c r="B1877" s="82"/>
      <c r="C1877" s="1234"/>
      <c r="D1877" s="1234"/>
      <c r="E1877" s="84">
        <f>'Terms and Turnovers'!$AN$12</f>
        <v>0</v>
      </c>
      <c r="F1877" s="120">
        <f>$R1877*G1877</f>
        <v>0</v>
      </c>
      <c r="G1877" s="723"/>
      <c r="H1877" s="120">
        <f>$R1877*I1877</f>
        <v>0</v>
      </c>
      <c r="I1877" s="69">
        <v>0</v>
      </c>
      <c r="J1877" s="120">
        <f>$R1877*K1877</f>
        <v>0</v>
      </c>
      <c r="K1877" s="69">
        <v>0</v>
      </c>
      <c r="L1877" s="120">
        <f>$R1877*M1877</f>
        <v>0</v>
      </c>
      <c r="M1877" s="69">
        <v>0</v>
      </c>
      <c r="N1877" s="315">
        <f>$R1877*O1877</f>
        <v>0</v>
      </c>
      <c r="O1877" s="69">
        <v>0</v>
      </c>
      <c r="P1877" s="120">
        <f>$R1877*Q1877</f>
        <v>0</v>
      </c>
      <c r="Q1877" s="69">
        <v>0</v>
      </c>
      <c r="R1877" s="88">
        <f>'Terms and Turnovers'!AO192</f>
        <v>0</v>
      </c>
      <c r="S1877" s="161">
        <f>SUM(G1877,I1877,K1877,M1877,O1877,Q1877)</f>
        <v>0</v>
      </c>
      <c r="T1877" s="120">
        <f>$AF1877*U1877</f>
        <v>0</v>
      </c>
      <c r="U1877" s="723">
        <v>0</v>
      </c>
      <c r="V1877" s="120">
        <f>$AF1877*W1877</f>
        <v>0</v>
      </c>
      <c r="W1877" s="69">
        <v>0.4</v>
      </c>
      <c r="X1877" s="120">
        <f>$AF1877*Y1877</f>
        <v>0</v>
      </c>
      <c r="Y1877" s="69">
        <v>0.35</v>
      </c>
      <c r="Z1877" s="120">
        <f>$AF1877*AA1877</f>
        <v>0</v>
      </c>
      <c r="AA1877" s="69">
        <v>0.13</v>
      </c>
      <c r="AB1877" s="315">
        <f>$AF1877*AC1877</f>
        <v>0</v>
      </c>
      <c r="AC1877" s="69">
        <v>0.05</v>
      </c>
      <c r="AD1877" s="120">
        <f>$AF1877*AE1877</f>
        <v>0</v>
      </c>
      <c r="AE1877" s="69">
        <v>0.02</v>
      </c>
      <c r="AF1877" s="88">
        <f>'Terms and Turnovers'!AT192</f>
        <v>0</v>
      </c>
      <c r="AG1877" s="161">
        <f>SUM(U1877,W1877,Y1877,AA1877,AC1877,AE1877)</f>
        <v>0.95000000000000007</v>
      </c>
      <c r="AH1877" s="158">
        <f>SUM(R1877,AF1877)</f>
        <v>0</v>
      </c>
      <c r="AI1877" s="134">
        <f>S1877+AG1877</f>
        <v>0.95000000000000007</v>
      </c>
      <c r="AJ1877" s="65"/>
      <c r="AL1877" s="461">
        <f>SUM(F1877,H1877,J1877,L1877,N1877,P1877,T1877,V1877,X1877,Z1877,AB1877,AD1877)</f>
        <v>0</v>
      </c>
      <c r="AM1877" s="462">
        <f>AL1877-AH1877</f>
        <v>0</v>
      </c>
      <c r="AV1877" s="56"/>
    </row>
    <row r="1878" spans="1:48" ht="13.5" customHeight="1" outlineLevel="2" thickBot="1">
      <c r="B1878" s="82"/>
      <c r="C1878" s="1235"/>
      <c r="D1878" s="1235"/>
      <c r="E1878" s="85">
        <f>'Terms and Turnovers'!$AX$12</f>
        <v>0</v>
      </c>
      <c r="F1878" s="121">
        <f>$R1878*G1878</f>
        <v>0</v>
      </c>
      <c r="G1878" s="72"/>
      <c r="H1878" s="121">
        <f>$R1878*I1878</f>
        <v>0</v>
      </c>
      <c r="I1878" s="69">
        <v>0</v>
      </c>
      <c r="J1878" s="121">
        <f>$R1878*K1878</f>
        <v>0</v>
      </c>
      <c r="K1878" s="69">
        <v>0</v>
      </c>
      <c r="L1878" s="121">
        <f>$R1878*M1878</f>
        <v>0</v>
      </c>
      <c r="M1878" s="69">
        <v>0</v>
      </c>
      <c r="N1878" s="316">
        <f>$R1878*O1878</f>
        <v>0</v>
      </c>
      <c r="O1878" s="69">
        <v>0</v>
      </c>
      <c r="P1878" s="121">
        <f>$R1878*Q1878</f>
        <v>0</v>
      </c>
      <c r="Q1878" s="69">
        <v>0</v>
      </c>
      <c r="R1878" s="89">
        <f>'Terms and Turnovers'!AY192</f>
        <v>0</v>
      </c>
      <c r="S1878" s="162">
        <f>SUM(G1878,I1878,K1878,M1878,O1878,Q1878)</f>
        <v>0</v>
      </c>
      <c r="T1878" s="121">
        <f>$AF1878*U1878</f>
        <v>0</v>
      </c>
      <c r="U1878" s="72">
        <v>0</v>
      </c>
      <c r="V1878" s="121">
        <f>$AF1878*W1878</f>
        <v>0</v>
      </c>
      <c r="W1878" s="69">
        <v>0.4</v>
      </c>
      <c r="X1878" s="121">
        <f>$AF1878*Y1878</f>
        <v>0</v>
      </c>
      <c r="Y1878" s="69">
        <v>0.35</v>
      </c>
      <c r="Z1878" s="121">
        <f>$AF1878*AA1878</f>
        <v>0</v>
      </c>
      <c r="AA1878" s="69">
        <v>0.13</v>
      </c>
      <c r="AB1878" s="316">
        <f>$AF1878*AC1878</f>
        <v>0</v>
      </c>
      <c r="AC1878" s="69">
        <v>0.05</v>
      </c>
      <c r="AD1878" s="121">
        <f>$AF1878*AE1878</f>
        <v>0</v>
      </c>
      <c r="AE1878" s="69">
        <v>0.02</v>
      </c>
      <c r="AF1878" s="89">
        <f>'Terms and Turnovers'!BD192</f>
        <v>0</v>
      </c>
      <c r="AG1878" s="162">
        <f>SUM(U1878,W1878,Y1878,AA1878,AC1878,AE1878)</f>
        <v>0.95000000000000007</v>
      </c>
      <c r="AH1878" s="159">
        <f>SUM(R1878,AF1878)</f>
        <v>0</v>
      </c>
      <c r="AI1878" s="137">
        <f>S1878+AG1878</f>
        <v>0.95000000000000007</v>
      </c>
      <c r="AJ1878" s="65"/>
      <c r="AL1878" s="461">
        <f>SUM(F1878,H1878,J1878,L1878,N1878,P1878,T1878,V1878,X1878,Z1878,AB1878,AD1878)</f>
        <v>0</v>
      </c>
      <c r="AM1878" s="462">
        <f>AL1878-AH1878</f>
        <v>0</v>
      </c>
      <c r="AV1878" s="56"/>
    </row>
    <row r="1879" spans="1:48" ht="13.5" customHeight="1" outlineLevel="2" thickBot="1">
      <c r="A1879" s="119"/>
      <c r="B1879" s="82"/>
      <c r="C1879" s="425"/>
      <c r="D1879" s="425"/>
      <c r="E1879" s="426"/>
      <c r="F1879" s="427">
        <f>SUM(F1874:F1878)</f>
        <v>0</v>
      </c>
      <c r="G1879" s="428"/>
      <c r="H1879" s="427">
        <f>SUM(H1874:H1878)</f>
        <v>0</v>
      </c>
      <c r="I1879" s="69"/>
      <c r="J1879" s="427">
        <f>SUM(J1874:J1878)</f>
        <v>0</v>
      </c>
      <c r="K1879" s="69"/>
      <c r="L1879" s="427">
        <f>SUM(L1874:L1878)</f>
        <v>0</v>
      </c>
      <c r="M1879" s="69"/>
      <c r="N1879" s="427">
        <f>SUM(N1874:N1878)</f>
        <v>0</v>
      </c>
      <c r="O1879" s="69"/>
      <c r="P1879" s="427">
        <f>SUM(P1874:P1878)</f>
        <v>0</v>
      </c>
      <c r="Q1879" s="69"/>
      <c r="R1879" s="429"/>
      <c r="S1879" s="430"/>
      <c r="T1879" s="427">
        <f>SUM(T1874:T1878)</f>
        <v>0</v>
      </c>
      <c r="U1879" s="428"/>
      <c r="V1879" s="427">
        <f>SUM(V1874:V1878)</f>
        <v>0</v>
      </c>
      <c r="W1879" s="69"/>
      <c r="X1879" s="427">
        <f>SUM(X1874:X1878)</f>
        <v>0</v>
      </c>
      <c r="Y1879" s="69"/>
      <c r="Z1879" s="427">
        <f>SUM(Z1874:Z1878)</f>
        <v>0</v>
      </c>
      <c r="AA1879" s="69"/>
      <c r="AB1879" s="427">
        <f>SUM(AB1874:AB1878)</f>
        <v>0</v>
      </c>
      <c r="AC1879" s="69"/>
      <c r="AD1879" s="427">
        <f>SUM(AD1874:AD1878)</f>
        <v>0</v>
      </c>
      <c r="AE1879" s="69"/>
      <c r="AF1879" s="429"/>
      <c r="AG1879" s="430"/>
      <c r="AH1879" s="431"/>
      <c r="AI1879" s="432"/>
      <c r="AJ1879" s="65"/>
      <c r="AV1879" s="56"/>
    </row>
    <row r="1880" spans="1:48" ht="13.5" customHeight="1" outlineLevel="2" thickBot="1">
      <c r="A1880" s="119"/>
      <c r="B1880" s="82"/>
      <c r="C1880" s="433" t="s">
        <v>484</v>
      </c>
      <c r="D1880" s="433"/>
      <c r="E1880" s="426"/>
      <c r="F1880" s="434">
        <f>F1879</f>
        <v>0</v>
      </c>
      <c r="G1880" s="428"/>
      <c r="H1880" s="434">
        <f>H1879</f>
        <v>0</v>
      </c>
      <c r="I1880" s="69"/>
      <c r="J1880" s="434">
        <f>J1879</f>
        <v>0</v>
      </c>
      <c r="K1880" s="69"/>
      <c r="L1880" s="434">
        <f>L1879</f>
        <v>0</v>
      </c>
      <c r="M1880" s="69"/>
      <c r="N1880" s="434">
        <f>N1879</f>
        <v>0</v>
      </c>
      <c r="O1880" s="69"/>
      <c r="P1880" s="434">
        <f>P1879</f>
        <v>0</v>
      </c>
      <c r="Q1880" s="69"/>
      <c r="R1880" s="429"/>
      <c r="S1880" s="430"/>
      <c r="T1880" s="434">
        <f>T1879</f>
        <v>0</v>
      </c>
      <c r="U1880" s="428">
        <f>Q1879</f>
        <v>0</v>
      </c>
      <c r="V1880" s="434">
        <f>V1879</f>
        <v>0</v>
      </c>
      <c r="W1880" s="69">
        <f>S1879</f>
        <v>0</v>
      </c>
      <c r="X1880" s="434">
        <f>X1879</f>
        <v>0</v>
      </c>
      <c r="Y1880" s="69">
        <f>U1879</f>
        <v>0</v>
      </c>
      <c r="Z1880" s="434">
        <f>Z1879</f>
        <v>0</v>
      </c>
      <c r="AA1880" s="69">
        <f>W1879</f>
        <v>0</v>
      </c>
      <c r="AB1880" s="434">
        <f>AB1879</f>
        <v>0</v>
      </c>
      <c r="AC1880" s="69">
        <f>Y1879</f>
        <v>0</v>
      </c>
      <c r="AD1880" s="434">
        <f>AD1879</f>
        <v>0</v>
      </c>
      <c r="AE1880" s="69"/>
      <c r="AF1880" s="429"/>
      <c r="AG1880" s="430"/>
      <c r="AH1880" s="431"/>
      <c r="AI1880" s="432"/>
      <c r="AJ1880" s="65"/>
      <c r="AN1880" s="695">
        <f>SUM(AF1874:AF1878)*AQ1880</f>
        <v>0</v>
      </c>
      <c r="AO1880" s="742">
        <f>SUM(R1874:R1878)*AQ1880</f>
        <v>0</v>
      </c>
      <c r="AP1880" s="742"/>
      <c r="AV1880" s="56"/>
    </row>
    <row r="1881" spans="1:48" ht="13.5" customHeight="1" outlineLevel="2" thickBot="1">
      <c r="B1881" s="82">
        <f>B1874+1</f>
        <v>62</v>
      </c>
      <c r="C1881" s="1233">
        <f>C440</f>
        <v>0</v>
      </c>
      <c r="D1881" s="1233">
        <f>D440</f>
        <v>0</v>
      </c>
      <c r="E1881" s="83" t="str">
        <f>'Terms and Turnovers'!$J$12</f>
        <v>FLIP-FLOPS</v>
      </c>
      <c r="F1881" s="118">
        <f>$R1881*G1881</f>
        <v>0</v>
      </c>
      <c r="G1881" s="69"/>
      <c r="H1881" s="314">
        <f>$R1881*I1881</f>
        <v>0</v>
      </c>
      <c r="I1881" s="69">
        <v>0</v>
      </c>
      <c r="J1881" s="118">
        <f>$R1881*K1881</f>
        <v>0</v>
      </c>
      <c r="K1881" s="69">
        <v>0.25</v>
      </c>
      <c r="L1881" s="314">
        <f>$R1881*M1881</f>
        <v>0</v>
      </c>
      <c r="M1881" s="69">
        <v>0.4</v>
      </c>
      <c r="N1881" s="314">
        <f>$R1881*O1881</f>
        <v>0</v>
      </c>
      <c r="O1881" s="69">
        <v>0.35</v>
      </c>
      <c r="P1881" s="118">
        <f>$R1881*Q1881</f>
        <v>0</v>
      </c>
      <c r="Q1881" s="69">
        <v>0</v>
      </c>
      <c r="R1881" s="87">
        <f>'Terms and Turnovers'!K193</f>
        <v>0</v>
      </c>
      <c r="S1881" s="160">
        <f>SUM(G1881,I1881,K1881,M1881,O1881,Q1881)</f>
        <v>1</v>
      </c>
      <c r="T1881" s="118">
        <f>$AF1881*U1881</f>
        <v>0</v>
      </c>
      <c r="U1881" s="69">
        <v>0</v>
      </c>
      <c r="V1881" s="314">
        <f>$AF1881*W1881</f>
        <v>0</v>
      </c>
      <c r="W1881" s="69">
        <v>0.37</v>
      </c>
      <c r="X1881" s="118">
        <f>$AF1881*Y1881</f>
        <v>0</v>
      </c>
      <c r="Y1881" s="69">
        <v>0.43</v>
      </c>
      <c r="Z1881" s="314">
        <f>$AF1881*AA1881</f>
        <v>0</v>
      </c>
      <c r="AA1881" s="69">
        <v>0.13</v>
      </c>
      <c r="AB1881" s="314">
        <f>$AF1881*AC1881</f>
        <v>0</v>
      </c>
      <c r="AC1881" s="69">
        <v>0.05</v>
      </c>
      <c r="AD1881" s="118">
        <f>$AF1881*AE1881</f>
        <v>0</v>
      </c>
      <c r="AE1881" s="69">
        <v>0.02</v>
      </c>
      <c r="AF1881" s="87">
        <f>'Terms and Turnovers'!P193</f>
        <v>0</v>
      </c>
      <c r="AG1881" s="160">
        <f>SUM(U1881,W1881,Y1881,AA1881,AC1881,AE1881)</f>
        <v>1</v>
      </c>
      <c r="AH1881" s="157">
        <f>SUM(R1881,AF1881)</f>
        <v>0</v>
      </c>
      <c r="AI1881" s="131">
        <f>S1881+AG1881</f>
        <v>2</v>
      </c>
      <c r="AJ1881" s="65"/>
      <c r="AL1881" s="461">
        <f>SUM(F1881,H1881,J1881,L1881,N1881,P1881,T1881,V1881,X1881,Z1881,AB1881,AD1881)</f>
        <v>0</v>
      </c>
      <c r="AM1881" s="462">
        <f>AL1881-AH1881</f>
        <v>0</v>
      </c>
      <c r="AV1881" s="56"/>
    </row>
    <row r="1882" spans="1:48" ht="13.5" customHeight="1" outlineLevel="2" thickBot="1">
      <c r="B1882" s="82"/>
      <c r="C1882" s="1234"/>
      <c r="D1882" s="1234"/>
      <c r="E1882" s="84" t="str">
        <f>'Terms and Turnovers'!$T$12</f>
        <v>ORIGINALS</v>
      </c>
      <c r="F1882" s="120">
        <f>$R1882*G1882</f>
        <v>0</v>
      </c>
      <c r="G1882" s="723"/>
      <c r="H1882" s="120">
        <f>$R1882*I1882</f>
        <v>0</v>
      </c>
      <c r="I1882" s="69">
        <v>0</v>
      </c>
      <c r="J1882" s="120">
        <f>$R1882*K1882</f>
        <v>0</v>
      </c>
      <c r="K1882" s="69">
        <v>0.3</v>
      </c>
      <c r="L1882" s="120">
        <f>$R1882*M1882</f>
        <v>0</v>
      </c>
      <c r="M1882" s="69">
        <v>0.6</v>
      </c>
      <c r="N1882" s="315">
        <f>$R1882*O1882</f>
        <v>0</v>
      </c>
      <c r="O1882" s="69">
        <v>0.1</v>
      </c>
      <c r="P1882" s="120">
        <f>$R1882*Q1882</f>
        <v>0</v>
      </c>
      <c r="Q1882" s="69">
        <v>0</v>
      </c>
      <c r="R1882" s="88">
        <f>'Terms and Turnovers'!U193</f>
        <v>0</v>
      </c>
      <c r="S1882" s="161">
        <f>SUM(G1882,I1882,K1882,M1882,O1882,Q1882)</f>
        <v>0.99999999999999989</v>
      </c>
      <c r="T1882" s="120">
        <f>$AF1882*U1882</f>
        <v>0</v>
      </c>
      <c r="U1882" s="723">
        <v>0</v>
      </c>
      <c r="V1882" s="120">
        <f>$AF1882*W1882</f>
        <v>0</v>
      </c>
      <c r="W1882" s="69">
        <v>0.15</v>
      </c>
      <c r="X1882" s="120">
        <f>$AF1882*Y1882</f>
        <v>0</v>
      </c>
      <c r="Y1882" s="69">
        <v>0.6</v>
      </c>
      <c r="Z1882" s="120">
        <f>$AF1882*AA1882</f>
        <v>0</v>
      </c>
      <c r="AA1882" s="69">
        <v>0.25</v>
      </c>
      <c r="AB1882" s="315">
        <f>$AF1882*AC1882</f>
        <v>0</v>
      </c>
      <c r="AC1882" s="69">
        <v>0</v>
      </c>
      <c r="AD1882" s="120">
        <f>$AF1882*AE1882</f>
        <v>0</v>
      </c>
      <c r="AE1882" s="69">
        <v>0</v>
      </c>
      <c r="AF1882" s="88">
        <f>'Terms and Turnovers'!Z193</f>
        <v>0</v>
      </c>
      <c r="AG1882" s="161">
        <f>SUM(U1882,W1882,Y1882,AA1882,AC1882,AE1882)</f>
        <v>1</v>
      </c>
      <c r="AH1882" s="158">
        <f>SUM(R1882,AF1882)</f>
        <v>0</v>
      </c>
      <c r="AI1882" s="134">
        <f>S1882+AG1882</f>
        <v>2</v>
      </c>
      <c r="AJ1882" s="65"/>
      <c r="AL1882" s="461">
        <f>SUM(F1882,H1882,J1882,L1882,N1882,P1882,T1882,V1882,X1882,Z1882,AB1882,AD1882)</f>
        <v>0</v>
      </c>
      <c r="AM1882" s="462">
        <f>AL1882-AH1882</f>
        <v>0</v>
      </c>
      <c r="AV1882" s="56"/>
    </row>
    <row r="1883" spans="1:48" ht="13.5" customHeight="1" outlineLevel="2" thickBot="1">
      <c r="B1883" s="82"/>
      <c r="C1883" s="1234"/>
      <c r="D1883" s="1234"/>
      <c r="E1883" s="84" t="str">
        <f>'Terms and Turnovers'!$AD$12</f>
        <v>ACCESSORIES</v>
      </c>
      <c r="F1883" s="120">
        <f>$R1883*G1883</f>
        <v>0</v>
      </c>
      <c r="G1883" s="723"/>
      <c r="H1883" s="120">
        <f>$R1883*I1883</f>
        <v>0</v>
      </c>
      <c r="I1883" s="69">
        <v>0</v>
      </c>
      <c r="J1883" s="120">
        <f>$R1883*K1883</f>
        <v>0</v>
      </c>
      <c r="K1883" s="69">
        <v>0.3</v>
      </c>
      <c r="L1883" s="120">
        <f>$R1883*M1883</f>
        <v>0</v>
      </c>
      <c r="M1883" s="69">
        <v>0.6</v>
      </c>
      <c r="N1883" s="315">
        <f>$R1883*O1883</f>
        <v>0</v>
      </c>
      <c r="O1883" s="69">
        <v>0.1</v>
      </c>
      <c r="P1883" s="120">
        <f>$R1883*Q1883</f>
        <v>0</v>
      </c>
      <c r="Q1883" s="69">
        <v>0</v>
      </c>
      <c r="R1883" s="88">
        <f>'Terms and Turnovers'!AE193</f>
        <v>0</v>
      </c>
      <c r="S1883" s="161">
        <f>SUM(G1883,I1883,K1883,M1883,O1883,Q1883)</f>
        <v>0.99999999999999989</v>
      </c>
      <c r="T1883" s="120">
        <f>$AF1883*U1883</f>
        <v>0</v>
      </c>
      <c r="U1883" s="723">
        <v>0</v>
      </c>
      <c r="V1883" s="120">
        <f>$AF1883*W1883</f>
        <v>0</v>
      </c>
      <c r="W1883" s="69">
        <v>0.15</v>
      </c>
      <c r="X1883" s="120">
        <f>$AF1883*Y1883</f>
        <v>0</v>
      </c>
      <c r="Y1883" s="69">
        <v>0.6</v>
      </c>
      <c r="Z1883" s="120">
        <f>$AF1883*AA1883</f>
        <v>0</v>
      </c>
      <c r="AA1883" s="69">
        <v>0.25</v>
      </c>
      <c r="AB1883" s="315">
        <f>$AF1883*AC1883</f>
        <v>0</v>
      </c>
      <c r="AC1883" s="69">
        <v>0</v>
      </c>
      <c r="AD1883" s="120">
        <f>$AF1883*AE1883</f>
        <v>0</v>
      </c>
      <c r="AE1883" s="69">
        <v>0</v>
      </c>
      <c r="AF1883" s="88">
        <f>'Terms and Turnovers'!AJ193</f>
        <v>0</v>
      </c>
      <c r="AG1883" s="161">
        <f>SUM(U1883,W1883,Y1883,AA1883,AC1883,AE1883)</f>
        <v>1</v>
      </c>
      <c r="AH1883" s="158">
        <f>SUM(R1883,AF1883)</f>
        <v>0</v>
      </c>
      <c r="AI1883" s="134">
        <f>S1883+AG1883</f>
        <v>2</v>
      </c>
      <c r="AJ1883" s="65"/>
      <c r="AL1883" s="461">
        <f>SUM(F1883,H1883,J1883,L1883,N1883,P1883,T1883,V1883,X1883,Z1883,AB1883,AD1883)</f>
        <v>0</v>
      </c>
      <c r="AM1883" s="462">
        <f>AL1883-AH1883</f>
        <v>0</v>
      </c>
      <c r="AV1883" s="56"/>
    </row>
    <row r="1884" spans="1:48" ht="13.5" customHeight="1" outlineLevel="2" thickBot="1">
      <c r="B1884" s="82"/>
      <c r="C1884" s="1234"/>
      <c r="D1884" s="1234"/>
      <c r="E1884" s="84">
        <f>'Terms and Turnovers'!$AN$12</f>
        <v>0</v>
      </c>
      <c r="F1884" s="120">
        <f>$R1884*G1884</f>
        <v>0</v>
      </c>
      <c r="G1884" s="723"/>
      <c r="H1884" s="120">
        <f>$R1884*I1884</f>
        <v>0</v>
      </c>
      <c r="I1884" s="69">
        <v>0</v>
      </c>
      <c r="J1884" s="120">
        <f>$R1884*K1884</f>
        <v>0</v>
      </c>
      <c r="K1884" s="69">
        <v>0</v>
      </c>
      <c r="L1884" s="120">
        <f>$R1884*M1884</f>
        <v>0</v>
      </c>
      <c r="M1884" s="69">
        <v>0</v>
      </c>
      <c r="N1884" s="315">
        <f>$R1884*O1884</f>
        <v>0</v>
      </c>
      <c r="O1884" s="69">
        <v>0</v>
      </c>
      <c r="P1884" s="120">
        <f>$R1884*Q1884</f>
        <v>0</v>
      </c>
      <c r="Q1884" s="69">
        <v>0</v>
      </c>
      <c r="R1884" s="88">
        <f>'Terms and Turnovers'!AO193</f>
        <v>0</v>
      </c>
      <c r="S1884" s="161">
        <f>SUM(G1884,I1884,K1884,M1884,O1884,Q1884)</f>
        <v>0</v>
      </c>
      <c r="T1884" s="120">
        <f>$AF1884*U1884</f>
        <v>0</v>
      </c>
      <c r="U1884" s="723">
        <v>0</v>
      </c>
      <c r="V1884" s="120">
        <f>$AF1884*W1884</f>
        <v>0</v>
      </c>
      <c r="W1884" s="69">
        <v>0.4</v>
      </c>
      <c r="X1884" s="120">
        <f>$AF1884*Y1884</f>
        <v>0</v>
      </c>
      <c r="Y1884" s="69">
        <v>0.35</v>
      </c>
      <c r="Z1884" s="120">
        <f>$AF1884*AA1884</f>
        <v>0</v>
      </c>
      <c r="AA1884" s="69">
        <v>0.13</v>
      </c>
      <c r="AB1884" s="315">
        <f>$AF1884*AC1884</f>
        <v>0</v>
      </c>
      <c r="AC1884" s="69">
        <v>0.05</v>
      </c>
      <c r="AD1884" s="120">
        <f>$AF1884*AE1884</f>
        <v>0</v>
      </c>
      <c r="AE1884" s="69">
        <v>0.02</v>
      </c>
      <c r="AF1884" s="88">
        <f>'Terms and Turnovers'!AT193</f>
        <v>0</v>
      </c>
      <c r="AG1884" s="161">
        <f>SUM(U1884,W1884,Y1884,AA1884,AC1884,AE1884)</f>
        <v>0.95000000000000007</v>
      </c>
      <c r="AH1884" s="158">
        <f>SUM(R1884,AF1884)</f>
        <v>0</v>
      </c>
      <c r="AI1884" s="134">
        <f>S1884+AG1884</f>
        <v>0.95000000000000007</v>
      </c>
      <c r="AJ1884" s="65"/>
      <c r="AL1884" s="461">
        <f>SUM(F1884,H1884,J1884,L1884,N1884,P1884,T1884,V1884,X1884,Z1884,AB1884,AD1884)</f>
        <v>0</v>
      </c>
      <c r="AM1884" s="462">
        <f>AL1884-AH1884</f>
        <v>0</v>
      </c>
      <c r="AV1884" s="56"/>
    </row>
    <row r="1885" spans="1:48" ht="13.5" customHeight="1" outlineLevel="2" thickBot="1">
      <c r="B1885" s="82"/>
      <c r="C1885" s="1235"/>
      <c r="D1885" s="1235"/>
      <c r="E1885" s="85">
        <f>'Terms and Turnovers'!$AX$12</f>
        <v>0</v>
      </c>
      <c r="F1885" s="121">
        <f>$R1885*G1885</f>
        <v>0</v>
      </c>
      <c r="G1885" s="72"/>
      <c r="H1885" s="121">
        <f>$R1885*I1885</f>
        <v>0</v>
      </c>
      <c r="I1885" s="69">
        <v>0</v>
      </c>
      <c r="J1885" s="121">
        <f>$R1885*K1885</f>
        <v>0</v>
      </c>
      <c r="K1885" s="69">
        <v>0</v>
      </c>
      <c r="L1885" s="121">
        <f>$R1885*M1885</f>
        <v>0</v>
      </c>
      <c r="M1885" s="69">
        <v>0</v>
      </c>
      <c r="N1885" s="316">
        <f>$R1885*O1885</f>
        <v>0</v>
      </c>
      <c r="O1885" s="69">
        <v>0</v>
      </c>
      <c r="P1885" s="121">
        <f>$R1885*Q1885</f>
        <v>0</v>
      </c>
      <c r="Q1885" s="69">
        <v>0</v>
      </c>
      <c r="R1885" s="89">
        <f>'Terms and Turnovers'!AY193</f>
        <v>0</v>
      </c>
      <c r="S1885" s="162">
        <f>SUM(G1885,I1885,K1885,M1885,O1885,Q1885)</f>
        <v>0</v>
      </c>
      <c r="T1885" s="121">
        <f>$AF1885*U1885</f>
        <v>0</v>
      </c>
      <c r="U1885" s="72">
        <v>0</v>
      </c>
      <c r="V1885" s="121">
        <f>$AF1885*W1885</f>
        <v>0</v>
      </c>
      <c r="W1885" s="69">
        <v>0.4</v>
      </c>
      <c r="X1885" s="121">
        <f>$AF1885*Y1885</f>
        <v>0</v>
      </c>
      <c r="Y1885" s="69">
        <v>0.35</v>
      </c>
      <c r="Z1885" s="121">
        <f>$AF1885*AA1885</f>
        <v>0</v>
      </c>
      <c r="AA1885" s="69">
        <v>0.13</v>
      </c>
      <c r="AB1885" s="316">
        <f>$AF1885*AC1885</f>
        <v>0</v>
      </c>
      <c r="AC1885" s="69">
        <v>0.05</v>
      </c>
      <c r="AD1885" s="121">
        <f>$AF1885*AE1885</f>
        <v>0</v>
      </c>
      <c r="AE1885" s="69">
        <v>0.02</v>
      </c>
      <c r="AF1885" s="89">
        <f>'Terms and Turnovers'!BD193</f>
        <v>0</v>
      </c>
      <c r="AG1885" s="162">
        <f>SUM(U1885,W1885,Y1885,AA1885,AC1885,AE1885)</f>
        <v>0.95000000000000007</v>
      </c>
      <c r="AH1885" s="159">
        <f>SUM(R1885,AF1885)</f>
        <v>0</v>
      </c>
      <c r="AI1885" s="137">
        <f>S1885+AG1885</f>
        <v>0.95000000000000007</v>
      </c>
      <c r="AJ1885" s="65"/>
      <c r="AL1885" s="461">
        <f>SUM(F1885,H1885,J1885,L1885,N1885,P1885,T1885,V1885,X1885,Z1885,AB1885,AD1885)</f>
        <v>0</v>
      </c>
      <c r="AM1885" s="462">
        <f>AL1885-AH1885</f>
        <v>0</v>
      </c>
      <c r="AV1885" s="56"/>
    </row>
    <row r="1886" spans="1:48" ht="13.5" customHeight="1" outlineLevel="2" thickBot="1">
      <c r="A1886" s="119"/>
      <c r="B1886" s="82"/>
      <c r="C1886" s="425"/>
      <c r="D1886" s="425"/>
      <c r="E1886" s="426"/>
      <c r="F1886" s="427">
        <f>SUM(F1881:F1885)</f>
        <v>0</v>
      </c>
      <c r="G1886" s="428"/>
      <c r="H1886" s="427">
        <f>SUM(H1881:H1885)</f>
        <v>0</v>
      </c>
      <c r="I1886" s="69"/>
      <c r="J1886" s="427">
        <f>SUM(J1881:J1885)</f>
        <v>0</v>
      </c>
      <c r="K1886" s="69"/>
      <c r="L1886" s="427">
        <f>SUM(L1881:L1885)</f>
        <v>0</v>
      </c>
      <c r="M1886" s="69"/>
      <c r="N1886" s="427">
        <f>SUM(N1881:N1885)</f>
        <v>0</v>
      </c>
      <c r="O1886" s="69"/>
      <c r="P1886" s="427">
        <f>SUM(P1881:P1885)</f>
        <v>0</v>
      </c>
      <c r="Q1886" s="69"/>
      <c r="R1886" s="429"/>
      <c r="S1886" s="430"/>
      <c r="T1886" s="427">
        <f>SUM(T1881:T1885)</f>
        <v>0</v>
      </c>
      <c r="U1886" s="428"/>
      <c r="V1886" s="427">
        <f>SUM(V1881:V1885)</f>
        <v>0</v>
      </c>
      <c r="W1886" s="69"/>
      <c r="X1886" s="427">
        <f>SUM(X1881:X1885)</f>
        <v>0</v>
      </c>
      <c r="Y1886" s="69"/>
      <c r="Z1886" s="427">
        <f>SUM(Z1881:Z1885)</f>
        <v>0</v>
      </c>
      <c r="AA1886" s="69"/>
      <c r="AB1886" s="427">
        <f>SUM(AB1881:AB1885)</f>
        <v>0</v>
      </c>
      <c r="AC1886" s="69"/>
      <c r="AD1886" s="427">
        <f>SUM(AD1881:AD1885)</f>
        <v>0</v>
      </c>
      <c r="AE1886" s="69"/>
      <c r="AF1886" s="429"/>
      <c r="AG1886" s="430"/>
      <c r="AH1886" s="431"/>
      <c r="AI1886" s="432"/>
      <c r="AJ1886" s="65"/>
      <c r="AV1886" s="56"/>
    </row>
    <row r="1887" spans="1:48" ht="13.5" customHeight="1" outlineLevel="2" thickBot="1">
      <c r="A1887" s="119"/>
      <c r="B1887" s="82"/>
      <c r="C1887" s="433" t="s">
        <v>484</v>
      </c>
      <c r="D1887" s="433"/>
      <c r="E1887" s="426"/>
      <c r="F1887" s="434">
        <f>F1886</f>
        <v>0</v>
      </c>
      <c r="G1887" s="428"/>
      <c r="H1887" s="434">
        <f>H1886</f>
        <v>0</v>
      </c>
      <c r="I1887" s="69"/>
      <c r="J1887" s="434">
        <f>J1886</f>
        <v>0</v>
      </c>
      <c r="K1887" s="69"/>
      <c r="L1887" s="434">
        <f>L1886</f>
        <v>0</v>
      </c>
      <c r="M1887" s="69"/>
      <c r="N1887" s="434">
        <f>N1886</f>
        <v>0</v>
      </c>
      <c r="O1887" s="69"/>
      <c r="P1887" s="434">
        <f>P1886</f>
        <v>0</v>
      </c>
      <c r="Q1887" s="69"/>
      <c r="R1887" s="429"/>
      <c r="S1887" s="430"/>
      <c r="T1887" s="434">
        <f>T1886</f>
        <v>0</v>
      </c>
      <c r="U1887" s="428">
        <f>Q1886</f>
        <v>0</v>
      </c>
      <c r="V1887" s="434">
        <f>V1886</f>
        <v>0</v>
      </c>
      <c r="W1887" s="69">
        <f>S1886</f>
        <v>0</v>
      </c>
      <c r="X1887" s="434">
        <f>X1886</f>
        <v>0</v>
      </c>
      <c r="Y1887" s="69">
        <f>U1886</f>
        <v>0</v>
      </c>
      <c r="Z1887" s="434">
        <f>Z1886</f>
        <v>0</v>
      </c>
      <c r="AA1887" s="69">
        <f>W1886</f>
        <v>0</v>
      </c>
      <c r="AB1887" s="434">
        <f>AB1886</f>
        <v>0</v>
      </c>
      <c r="AC1887" s="69">
        <f>Y1886</f>
        <v>0</v>
      </c>
      <c r="AD1887" s="434">
        <f>AD1886</f>
        <v>0</v>
      </c>
      <c r="AE1887" s="69"/>
      <c r="AF1887" s="429"/>
      <c r="AG1887" s="430"/>
      <c r="AH1887" s="431"/>
      <c r="AI1887" s="432"/>
      <c r="AJ1887" s="65"/>
      <c r="AN1887" s="695">
        <f>SUM(AF1881:AF1885)*AQ1887</f>
        <v>0</v>
      </c>
      <c r="AO1887" s="742">
        <f>SUM(R1881:R1885)*AQ1887</f>
        <v>0</v>
      </c>
      <c r="AP1887" s="742"/>
      <c r="AV1887" s="56"/>
    </row>
    <row r="1888" spans="1:48" ht="13.5" customHeight="1" outlineLevel="2" thickBot="1">
      <c r="B1888" s="82">
        <f>B1881+1</f>
        <v>63</v>
      </c>
      <c r="C1888" s="1233">
        <f>C447</f>
        <v>0</v>
      </c>
      <c r="D1888" s="1233">
        <f>D447</f>
        <v>0</v>
      </c>
      <c r="E1888" s="83" t="str">
        <f>'Terms and Turnovers'!$J$12</f>
        <v>FLIP-FLOPS</v>
      </c>
      <c r="F1888" s="118">
        <f>$R1888*G1888</f>
        <v>0</v>
      </c>
      <c r="G1888" s="69"/>
      <c r="H1888" s="314">
        <f>$R1888*I1888</f>
        <v>0</v>
      </c>
      <c r="I1888" s="69">
        <v>0</v>
      </c>
      <c r="J1888" s="118">
        <f>$R1888*K1888</f>
        <v>0</v>
      </c>
      <c r="K1888" s="69">
        <v>0.25</v>
      </c>
      <c r="L1888" s="314">
        <f>$R1888*M1888</f>
        <v>0</v>
      </c>
      <c r="M1888" s="69">
        <v>0.4</v>
      </c>
      <c r="N1888" s="314">
        <f>$R1888*O1888</f>
        <v>0</v>
      </c>
      <c r="O1888" s="69">
        <v>0.35</v>
      </c>
      <c r="P1888" s="118">
        <f>$R1888*Q1888</f>
        <v>0</v>
      </c>
      <c r="Q1888" s="69">
        <v>0</v>
      </c>
      <c r="R1888" s="87">
        <f>'Terms and Turnovers'!K194</f>
        <v>0</v>
      </c>
      <c r="S1888" s="160">
        <f>SUM(G1888,I1888,K1888,M1888,O1888,Q1888)</f>
        <v>1</v>
      </c>
      <c r="T1888" s="118">
        <f>$AF1888*U1888</f>
        <v>0</v>
      </c>
      <c r="U1888" s="69">
        <v>0</v>
      </c>
      <c r="V1888" s="314">
        <f>$AF1888*W1888</f>
        <v>0</v>
      </c>
      <c r="W1888" s="69">
        <v>0.37</v>
      </c>
      <c r="X1888" s="118">
        <f>$AF1888*Y1888</f>
        <v>0</v>
      </c>
      <c r="Y1888" s="69">
        <v>0.43</v>
      </c>
      <c r="Z1888" s="314">
        <f>$AF1888*AA1888</f>
        <v>0</v>
      </c>
      <c r="AA1888" s="69">
        <v>0.13</v>
      </c>
      <c r="AB1888" s="314">
        <f>$AF1888*AC1888</f>
        <v>0</v>
      </c>
      <c r="AC1888" s="69">
        <v>0.05</v>
      </c>
      <c r="AD1888" s="118">
        <f>$AF1888*AE1888</f>
        <v>0</v>
      </c>
      <c r="AE1888" s="69">
        <v>0.02</v>
      </c>
      <c r="AF1888" s="87">
        <f>'Terms and Turnovers'!P194</f>
        <v>0</v>
      </c>
      <c r="AG1888" s="160">
        <f>SUM(U1888,W1888,Y1888,AA1888,AC1888,AE1888)</f>
        <v>1</v>
      </c>
      <c r="AH1888" s="157">
        <f>SUM(R1888,AF1888)</f>
        <v>0</v>
      </c>
      <c r="AI1888" s="131">
        <f>S1888+AG1888</f>
        <v>2</v>
      </c>
      <c r="AJ1888" s="65"/>
      <c r="AL1888" s="461">
        <f>SUM(F1888,H1888,J1888,L1888,N1888,P1888,T1888,V1888,X1888,Z1888,AB1888,AD1888)</f>
        <v>0</v>
      </c>
      <c r="AM1888" s="462">
        <f>AL1888-AH1888</f>
        <v>0</v>
      </c>
      <c r="AV1888" s="56"/>
    </row>
    <row r="1889" spans="1:48" ht="13.5" customHeight="1" outlineLevel="2" thickBot="1">
      <c r="B1889" s="82"/>
      <c r="C1889" s="1234"/>
      <c r="D1889" s="1234"/>
      <c r="E1889" s="84" t="str">
        <f>'Terms and Turnovers'!$T$12</f>
        <v>ORIGINALS</v>
      </c>
      <c r="F1889" s="120">
        <f>$R1889*G1889</f>
        <v>0</v>
      </c>
      <c r="G1889" s="723"/>
      <c r="H1889" s="120">
        <f>$R1889*I1889</f>
        <v>0</v>
      </c>
      <c r="I1889" s="69">
        <v>0</v>
      </c>
      <c r="J1889" s="120">
        <f>$R1889*K1889</f>
        <v>0</v>
      </c>
      <c r="K1889" s="69">
        <v>0.3</v>
      </c>
      <c r="L1889" s="120">
        <f>$R1889*M1889</f>
        <v>0</v>
      </c>
      <c r="M1889" s="69">
        <v>0.6</v>
      </c>
      <c r="N1889" s="315">
        <f>$R1889*O1889</f>
        <v>0</v>
      </c>
      <c r="O1889" s="69">
        <v>0.1</v>
      </c>
      <c r="P1889" s="120">
        <f>$R1889*Q1889</f>
        <v>0</v>
      </c>
      <c r="Q1889" s="69">
        <v>0</v>
      </c>
      <c r="R1889" s="88">
        <f>'Terms and Turnovers'!U194</f>
        <v>0</v>
      </c>
      <c r="S1889" s="161">
        <f>SUM(G1889,I1889,K1889,M1889,O1889,Q1889)</f>
        <v>0.99999999999999989</v>
      </c>
      <c r="T1889" s="120">
        <f>$AF1889*U1889</f>
        <v>0</v>
      </c>
      <c r="U1889" s="723">
        <v>0</v>
      </c>
      <c r="V1889" s="120">
        <f>$AF1889*W1889</f>
        <v>0</v>
      </c>
      <c r="W1889" s="69">
        <v>0.15</v>
      </c>
      <c r="X1889" s="120">
        <f>$AF1889*Y1889</f>
        <v>0</v>
      </c>
      <c r="Y1889" s="69">
        <v>0.6</v>
      </c>
      <c r="Z1889" s="120">
        <f>$AF1889*AA1889</f>
        <v>0</v>
      </c>
      <c r="AA1889" s="69">
        <v>0.25</v>
      </c>
      <c r="AB1889" s="315">
        <f>$AF1889*AC1889</f>
        <v>0</v>
      </c>
      <c r="AC1889" s="69">
        <v>0</v>
      </c>
      <c r="AD1889" s="120">
        <f>$AF1889*AE1889</f>
        <v>0</v>
      </c>
      <c r="AE1889" s="69">
        <v>0</v>
      </c>
      <c r="AF1889" s="88">
        <f>'Terms and Turnovers'!Z194</f>
        <v>0</v>
      </c>
      <c r="AG1889" s="161">
        <f>SUM(U1889,W1889,Y1889,AA1889,AC1889,AE1889)</f>
        <v>1</v>
      </c>
      <c r="AH1889" s="158">
        <f>SUM(R1889,AF1889)</f>
        <v>0</v>
      </c>
      <c r="AI1889" s="134">
        <f>S1889+AG1889</f>
        <v>2</v>
      </c>
      <c r="AJ1889" s="65"/>
      <c r="AL1889" s="461">
        <f>SUM(F1889,H1889,J1889,L1889,N1889,P1889,T1889,V1889,X1889,Z1889,AB1889,AD1889)</f>
        <v>0</v>
      </c>
      <c r="AM1889" s="462">
        <f>AL1889-AH1889</f>
        <v>0</v>
      </c>
      <c r="AV1889" s="56"/>
    </row>
    <row r="1890" spans="1:48" ht="13.5" customHeight="1" outlineLevel="2" thickBot="1">
      <c r="B1890" s="82"/>
      <c r="C1890" s="1234"/>
      <c r="D1890" s="1234"/>
      <c r="E1890" s="84" t="str">
        <f>'Terms and Turnovers'!$AD$12</f>
        <v>ACCESSORIES</v>
      </c>
      <c r="F1890" s="120">
        <f>$R1890*G1890</f>
        <v>0</v>
      </c>
      <c r="G1890" s="723"/>
      <c r="H1890" s="120">
        <f>$R1890*I1890</f>
        <v>0</v>
      </c>
      <c r="I1890" s="69">
        <v>0</v>
      </c>
      <c r="J1890" s="120">
        <f>$R1890*K1890</f>
        <v>0</v>
      </c>
      <c r="K1890" s="69">
        <v>0.3</v>
      </c>
      <c r="L1890" s="120">
        <f>$R1890*M1890</f>
        <v>0</v>
      </c>
      <c r="M1890" s="69">
        <v>0.6</v>
      </c>
      <c r="N1890" s="315">
        <f>$R1890*O1890</f>
        <v>0</v>
      </c>
      <c r="O1890" s="69">
        <v>0.1</v>
      </c>
      <c r="P1890" s="120">
        <f>$R1890*Q1890</f>
        <v>0</v>
      </c>
      <c r="Q1890" s="69">
        <v>0</v>
      </c>
      <c r="R1890" s="88">
        <f>'Terms and Turnovers'!AE194</f>
        <v>0</v>
      </c>
      <c r="S1890" s="161">
        <f>SUM(G1890,I1890,K1890,M1890,O1890,Q1890)</f>
        <v>0.99999999999999989</v>
      </c>
      <c r="T1890" s="120">
        <f>$AF1890*U1890</f>
        <v>0</v>
      </c>
      <c r="U1890" s="723">
        <v>0</v>
      </c>
      <c r="V1890" s="120">
        <f>$AF1890*W1890</f>
        <v>0</v>
      </c>
      <c r="W1890" s="69">
        <v>0.15</v>
      </c>
      <c r="X1890" s="120">
        <f>$AF1890*Y1890</f>
        <v>0</v>
      </c>
      <c r="Y1890" s="69">
        <v>0.6</v>
      </c>
      <c r="Z1890" s="120">
        <f>$AF1890*AA1890</f>
        <v>0</v>
      </c>
      <c r="AA1890" s="69">
        <v>0.25</v>
      </c>
      <c r="AB1890" s="315">
        <f>$AF1890*AC1890</f>
        <v>0</v>
      </c>
      <c r="AC1890" s="69">
        <v>0</v>
      </c>
      <c r="AD1890" s="120">
        <f>$AF1890*AE1890</f>
        <v>0</v>
      </c>
      <c r="AE1890" s="69">
        <v>0</v>
      </c>
      <c r="AF1890" s="88">
        <f>'Terms and Turnovers'!AJ194</f>
        <v>0</v>
      </c>
      <c r="AG1890" s="161">
        <f>SUM(U1890,W1890,Y1890,AA1890,AC1890,AE1890)</f>
        <v>1</v>
      </c>
      <c r="AH1890" s="158">
        <f>SUM(R1890,AF1890)</f>
        <v>0</v>
      </c>
      <c r="AI1890" s="134">
        <f>S1890+AG1890</f>
        <v>2</v>
      </c>
      <c r="AJ1890" s="65"/>
      <c r="AL1890" s="461">
        <f>SUM(F1890,H1890,J1890,L1890,N1890,P1890,T1890,V1890,X1890,Z1890,AB1890,AD1890)</f>
        <v>0</v>
      </c>
      <c r="AM1890" s="462">
        <f>AL1890-AH1890</f>
        <v>0</v>
      </c>
      <c r="AV1890" s="56"/>
    </row>
    <row r="1891" spans="1:48" ht="13.5" customHeight="1" outlineLevel="2" thickBot="1">
      <c r="B1891" s="82"/>
      <c r="C1891" s="1234"/>
      <c r="D1891" s="1234"/>
      <c r="E1891" s="84">
        <f>'Terms and Turnovers'!$AN$12</f>
        <v>0</v>
      </c>
      <c r="F1891" s="120">
        <f>$R1891*G1891</f>
        <v>0</v>
      </c>
      <c r="G1891" s="723"/>
      <c r="H1891" s="120">
        <f>$R1891*I1891</f>
        <v>0</v>
      </c>
      <c r="I1891" s="69">
        <v>0</v>
      </c>
      <c r="J1891" s="120">
        <f>$R1891*K1891</f>
        <v>0</v>
      </c>
      <c r="K1891" s="69">
        <v>0</v>
      </c>
      <c r="L1891" s="120">
        <f>$R1891*M1891</f>
        <v>0</v>
      </c>
      <c r="M1891" s="69">
        <v>0</v>
      </c>
      <c r="N1891" s="315">
        <f>$R1891*O1891</f>
        <v>0</v>
      </c>
      <c r="O1891" s="69">
        <v>0</v>
      </c>
      <c r="P1891" s="120">
        <f>$R1891*Q1891</f>
        <v>0</v>
      </c>
      <c r="Q1891" s="69">
        <v>0</v>
      </c>
      <c r="R1891" s="88">
        <f>'Terms and Turnovers'!AO194</f>
        <v>0</v>
      </c>
      <c r="S1891" s="161">
        <f>SUM(G1891,I1891,K1891,M1891,O1891,Q1891)</f>
        <v>0</v>
      </c>
      <c r="T1891" s="120">
        <f>$AF1891*U1891</f>
        <v>0</v>
      </c>
      <c r="U1891" s="723">
        <v>0</v>
      </c>
      <c r="V1891" s="120">
        <f>$AF1891*W1891</f>
        <v>0</v>
      </c>
      <c r="W1891" s="69">
        <v>0.4</v>
      </c>
      <c r="X1891" s="120">
        <f>$AF1891*Y1891</f>
        <v>0</v>
      </c>
      <c r="Y1891" s="69">
        <v>0.35</v>
      </c>
      <c r="Z1891" s="120">
        <f>$AF1891*AA1891</f>
        <v>0</v>
      </c>
      <c r="AA1891" s="69">
        <v>0.13</v>
      </c>
      <c r="AB1891" s="315">
        <f>$AF1891*AC1891</f>
        <v>0</v>
      </c>
      <c r="AC1891" s="69">
        <v>0.05</v>
      </c>
      <c r="AD1891" s="120">
        <f>$AF1891*AE1891</f>
        <v>0</v>
      </c>
      <c r="AE1891" s="69">
        <v>0.02</v>
      </c>
      <c r="AF1891" s="88">
        <f>'Terms and Turnovers'!AT194</f>
        <v>0</v>
      </c>
      <c r="AG1891" s="161">
        <f>SUM(U1891,W1891,Y1891,AA1891,AC1891,AE1891)</f>
        <v>0.95000000000000007</v>
      </c>
      <c r="AH1891" s="158">
        <f>SUM(R1891,AF1891)</f>
        <v>0</v>
      </c>
      <c r="AI1891" s="134">
        <f>S1891+AG1891</f>
        <v>0.95000000000000007</v>
      </c>
      <c r="AJ1891" s="65"/>
      <c r="AL1891" s="461">
        <f>SUM(F1891,H1891,J1891,L1891,N1891,P1891,T1891,V1891,X1891,Z1891,AB1891,AD1891)</f>
        <v>0</v>
      </c>
      <c r="AM1891" s="462">
        <f>AL1891-AH1891</f>
        <v>0</v>
      </c>
      <c r="AV1891" s="56"/>
    </row>
    <row r="1892" spans="1:48" ht="13.5" customHeight="1" outlineLevel="2" thickBot="1">
      <c r="B1892" s="82"/>
      <c r="C1892" s="1235"/>
      <c r="D1892" s="1235"/>
      <c r="E1892" s="85">
        <f>'Terms and Turnovers'!$AX$12</f>
        <v>0</v>
      </c>
      <c r="F1892" s="121">
        <f>$R1892*G1892</f>
        <v>0</v>
      </c>
      <c r="G1892" s="72"/>
      <c r="H1892" s="121">
        <f>$R1892*I1892</f>
        <v>0</v>
      </c>
      <c r="I1892" s="69">
        <v>0</v>
      </c>
      <c r="J1892" s="121">
        <f>$R1892*K1892</f>
        <v>0</v>
      </c>
      <c r="K1892" s="69">
        <v>0</v>
      </c>
      <c r="L1892" s="121">
        <f>$R1892*M1892</f>
        <v>0</v>
      </c>
      <c r="M1892" s="69">
        <v>0</v>
      </c>
      <c r="N1892" s="316">
        <f>$R1892*O1892</f>
        <v>0</v>
      </c>
      <c r="O1892" s="69">
        <v>0</v>
      </c>
      <c r="P1892" s="121">
        <f>$R1892*Q1892</f>
        <v>0</v>
      </c>
      <c r="Q1892" s="69">
        <v>0</v>
      </c>
      <c r="R1892" s="89">
        <f>'Terms and Turnovers'!AY194</f>
        <v>0</v>
      </c>
      <c r="S1892" s="162">
        <f>SUM(G1892,I1892,K1892,M1892,O1892,Q1892)</f>
        <v>0</v>
      </c>
      <c r="T1892" s="121">
        <f>$AF1892*U1892</f>
        <v>0</v>
      </c>
      <c r="U1892" s="72">
        <v>0</v>
      </c>
      <c r="V1892" s="121">
        <f>$AF1892*W1892</f>
        <v>0</v>
      </c>
      <c r="W1892" s="69">
        <v>0.4</v>
      </c>
      <c r="X1892" s="121">
        <f>$AF1892*Y1892</f>
        <v>0</v>
      </c>
      <c r="Y1892" s="69">
        <v>0.35</v>
      </c>
      <c r="Z1892" s="121">
        <f>$AF1892*AA1892</f>
        <v>0</v>
      </c>
      <c r="AA1892" s="69">
        <v>0.13</v>
      </c>
      <c r="AB1892" s="316">
        <f>$AF1892*AC1892</f>
        <v>0</v>
      </c>
      <c r="AC1892" s="69">
        <v>0.05</v>
      </c>
      <c r="AD1892" s="121">
        <f>$AF1892*AE1892</f>
        <v>0</v>
      </c>
      <c r="AE1892" s="69">
        <v>0.02</v>
      </c>
      <c r="AF1892" s="89">
        <f>'Terms and Turnovers'!BD194</f>
        <v>0</v>
      </c>
      <c r="AG1892" s="162">
        <f>SUM(U1892,W1892,Y1892,AA1892,AC1892,AE1892)</f>
        <v>0.95000000000000007</v>
      </c>
      <c r="AH1892" s="159">
        <f>SUM(R1892,AF1892)</f>
        <v>0</v>
      </c>
      <c r="AI1892" s="137">
        <f>S1892+AG1892</f>
        <v>0.95000000000000007</v>
      </c>
      <c r="AJ1892" s="65"/>
      <c r="AL1892" s="461">
        <f>SUM(F1892,H1892,J1892,L1892,N1892,P1892,T1892,V1892,X1892,Z1892,AB1892,AD1892)</f>
        <v>0</v>
      </c>
      <c r="AM1892" s="462">
        <f>AL1892-AH1892</f>
        <v>0</v>
      </c>
      <c r="AV1892" s="56"/>
    </row>
    <row r="1893" spans="1:48" ht="13.5" customHeight="1" outlineLevel="2" thickBot="1">
      <c r="A1893" s="119"/>
      <c r="B1893" s="82"/>
      <c r="C1893" s="425"/>
      <c r="D1893" s="425"/>
      <c r="E1893" s="426"/>
      <c r="F1893" s="427">
        <f>SUM(F1888:F1892)</f>
        <v>0</v>
      </c>
      <c r="G1893" s="428"/>
      <c r="H1893" s="427">
        <f>SUM(H1888:H1892)</f>
        <v>0</v>
      </c>
      <c r="I1893" s="69"/>
      <c r="J1893" s="427">
        <f>SUM(J1888:J1892)</f>
        <v>0</v>
      </c>
      <c r="K1893" s="69"/>
      <c r="L1893" s="427">
        <f>SUM(L1888:L1892)</f>
        <v>0</v>
      </c>
      <c r="M1893" s="69"/>
      <c r="N1893" s="427">
        <f>SUM(N1888:N1892)</f>
        <v>0</v>
      </c>
      <c r="O1893" s="69"/>
      <c r="P1893" s="427">
        <f>SUM(P1888:P1892)</f>
        <v>0</v>
      </c>
      <c r="Q1893" s="69"/>
      <c r="R1893" s="429"/>
      <c r="S1893" s="430"/>
      <c r="T1893" s="427">
        <f>SUM(T1888:T1892)</f>
        <v>0</v>
      </c>
      <c r="U1893" s="428"/>
      <c r="V1893" s="427">
        <f>SUM(V1888:V1892)</f>
        <v>0</v>
      </c>
      <c r="W1893" s="69"/>
      <c r="X1893" s="427">
        <f>SUM(X1888:X1892)</f>
        <v>0</v>
      </c>
      <c r="Y1893" s="69"/>
      <c r="Z1893" s="427">
        <f>SUM(Z1888:Z1892)</f>
        <v>0</v>
      </c>
      <c r="AA1893" s="69"/>
      <c r="AB1893" s="427">
        <f>SUM(AB1888:AB1892)</f>
        <v>0</v>
      </c>
      <c r="AC1893" s="69"/>
      <c r="AD1893" s="427">
        <f>SUM(AD1888:AD1892)</f>
        <v>0</v>
      </c>
      <c r="AE1893" s="69"/>
      <c r="AF1893" s="429"/>
      <c r="AG1893" s="430"/>
      <c r="AH1893" s="431"/>
      <c r="AI1893" s="432"/>
      <c r="AJ1893" s="65"/>
      <c r="AV1893" s="56"/>
    </row>
    <row r="1894" spans="1:48" ht="13.5" customHeight="1" outlineLevel="2" thickBot="1">
      <c r="A1894" s="119"/>
      <c r="B1894" s="82"/>
      <c r="C1894" s="433" t="s">
        <v>484</v>
      </c>
      <c r="D1894" s="433"/>
      <c r="E1894" s="426"/>
      <c r="F1894" s="434">
        <f>F1893</f>
        <v>0</v>
      </c>
      <c r="G1894" s="428"/>
      <c r="H1894" s="434">
        <f>H1893</f>
        <v>0</v>
      </c>
      <c r="I1894" s="69"/>
      <c r="J1894" s="434">
        <f>J1893</f>
        <v>0</v>
      </c>
      <c r="K1894" s="69"/>
      <c r="L1894" s="434">
        <f>L1893</f>
        <v>0</v>
      </c>
      <c r="M1894" s="69"/>
      <c r="N1894" s="434">
        <f>N1893</f>
        <v>0</v>
      </c>
      <c r="O1894" s="69"/>
      <c r="P1894" s="434">
        <f>P1893</f>
        <v>0</v>
      </c>
      <c r="Q1894" s="69"/>
      <c r="R1894" s="429"/>
      <c r="S1894" s="430"/>
      <c r="T1894" s="434">
        <f>T1893</f>
        <v>0</v>
      </c>
      <c r="U1894" s="428">
        <f>Q1893</f>
        <v>0</v>
      </c>
      <c r="V1894" s="434">
        <f>V1893</f>
        <v>0</v>
      </c>
      <c r="W1894" s="69">
        <f>S1893</f>
        <v>0</v>
      </c>
      <c r="X1894" s="434">
        <f>X1893</f>
        <v>0</v>
      </c>
      <c r="Y1894" s="69">
        <f>U1893</f>
        <v>0</v>
      </c>
      <c r="Z1894" s="434">
        <f>Z1893</f>
        <v>0</v>
      </c>
      <c r="AA1894" s="69">
        <f>W1893</f>
        <v>0</v>
      </c>
      <c r="AB1894" s="434">
        <f>AB1893</f>
        <v>0</v>
      </c>
      <c r="AC1894" s="69">
        <f>Y1893</f>
        <v>0</v>
      </c>
      <c r="AD1894" s="434">
        <f>AD1893</f>
        <v>0</v>
      </c>
      <c r="AE1894" s="69"/>
      <c r="AF1894" s="429"/>
      <c r="AG1894" s="430"/>
      <c r="AH1894" s="431"/>
      <c r="AI1894" s="432"/>
      <c r="AJ1894" s="65"/>
      <c r="AN1894" s="695">
        <f>SUM(AF1888:AF1892)*AQ1894</f>
        <v>0</v>
      </c>
      <c r="AO1894" s="742">
        <f>SUM(R1888:R1892)*AQ1894</f>
        <v>0</v>
      </c>
      <c r="AP1894" s="742"/>
      <c r="AV1894" s="56"/>
    </row>
    <row r="1895" spans="1:48" ht="13.5" customHeight="1" outlineLevel="2" thickBot="1">
      <c r="B1895" s="82">
        <f>B1888+1</f>
        <v>64</v>
      </c>
      <c r="C1895" s="1233">
        <f>C454</f>
        <v>0</v>
      </c>
      <c r="D1895" s="1233">
        <f>D454</f>
        <v>0</v>
      </c>
      <c r="E1895" s="83" t="str">
        <f>'Terms and Turnovers'!$J$12</f>
        <v>FLIP-FLOPS</v>
      </c>
      <c r="F1895" s="118">
        <f>$R1895*G1895</f>
        <v>0</v>
      </c>
      <c r="G1895" s="69"/>
      <c r="H1895" s="314">
        <f>$R1895*I1895</f>
        <v>0</v>
      </c>
      <c r="I1895" s="69">
        <v>0</v>
      </c>
      <c r="J1895" s="118">
        <f>$R1895*K1895</f>
        <v>0</v>
      </c>
      <c r="K1895" s="69">
        <v>0.25</v>
      </c>
      <c r="L1895" s="314">
        <f>$R1895*M1895</f>
        <v>0</v>
      </c>
      <c r="M1895" s="69">
        <v>0.4</v>
      </c>
      <c r="N1895" s="314">
        <f>$R1895*O1895</f>
        <v>0</v>
      </c>
      <c r="O1895" s="69">
        <v>0.35</v>
      </c>
      <c r="P1895" s="118">
        <f>$R1895*Q1895</f>
        <v>0</v>
      </c>
      <c r="Q1895" s="69">
        <v>0</v>
      </c>
      <c r="R1895" s="87">
        <f>'Terms and Turnovers'!K195</f>
        <v>0</v>
      </c>
      <c r="S1895" s="160">
        <f>SUM(G1895,I1895,K1895,M1895,O1895,Q1895)</f>
        <v>1</v>
      </c>
      <c r="T1895" s="118">
        <f>$AF1895*U1895</f>
        <v>0</v>
      </c>
      <c r="U1895" s="69">
        <v>0</v>
      </c>
      <c r="V1895" s="314">
        <f>$AF1895*W1895</f>
        <v>0</v>
      </c>
      <c r="W1895" s="69">
        <v>0.37</v>
      </c>
      <c r="X1895" s="118">
        <f>$AF1895*Y1895</f>
        <v>0</v>
      </c>
      <c r="Y1895" s="69">
        <v>0.43</v>
      </c>
      <c r="Z1895" s="314">
        <f>$AF1895*AA1895</f>
        <v>0</v>
      </c>
      <c r="AA1895" s="69">
        <v>0.13</v>
      </c>
      <c r="AB1895" s="314">
        <f>$AF1895*AC1895</f>
        <v>0</v>
      </c>
      <c r="AC1895" s="69">
        <v>0.05</v>
      </c>
      <c r="AD1895" s="118">
        <f>$AF1895*AE1895</f>
        <v>0</v>
      </c>
      <c r="AE1895" s="69">
        <v>0.02</v>
      </c>
      <c r="AF1895" s="87">
        <f>'Terms and Turnovers'!P195</f>
        <v>0</v>
      </c>
      <c r="AG1895" s="160">
        <f>SUM(U1895,W1895,Y1895,AA1895,AC1895,AE1895)</f>
        <v>1</v>
      </c>
      <c r="AH1895" s="157">
        <f>SUM(R1895,AF1895)</f>
        <v>0</v>
      </c>
      <c r="AI1895" s="131">
        <f>S1895+AG1895</f>
        <v>2</v>
      </c>
      <c r="AJ1895" s="65"/>
      <c r="AL1895" s="461">
        <f>SUM(F1895,H1895,J1895,L1895,N1895,P1895,T1895,V1895,X1895,Z1895,AB1895,AD1895)</f>
        <v>0</v>
      </c>
      <c r="AM1895" s="462">
        <f>AL1895-AH1895</f>
        <v>0</v>
      </c>
      <c r="AV1895" s="56"/>
    </row>
    <row r="1896" spans="1:48" ht="13.5" customHeight="1" outlineLevel="2" thickBot="1">
      <c r="B1896" s="82"/>
      <c r="C1896" s="1234"/>
      <c r="D1896" s="1234"/>
      <c r="E1896" s="84" t="str">
        <f>'Terms and Turnovers'!$T$12</f>
        <v>ORIGINALS</v>
      </c>
      <c r="F1896" s="120">
        <f>$R1896*G1896</f>
        <v>0</v>
      </c>
      <c r="G1896" s="723"/>
      <c r="H1896" s="120">
        <f>$R1896*I1896</f>
        <v>0</v>
      </c>
      <c r="I1896" s="69">
        <v>0</v>
      </c>
      <c r="J1896" s="120">
        <f>$R1896*K1896</f>
        <v>0</v>
      </c>
      <c r="K1896" s="69">
        <v>0.3</v>
      </c>
      <c r="L1896" s="120">
        <f>$R1896*M1896</f>
        <v>0</v>
      </c>
      <c r="M1896" s="69">
        <v>0.6</v>
      </c>
      <c r="N1896" s="315">
        <f>$R1896*O1896</f>
        <v>0</v>
      </c>
      <c r="O1896" s="69">
        <v>0.1</v>
      </c>
      <c r="P1896" s="120">
        <f>$R1896*Q1896</f>
        <v>0</v>
      </c>
      <c r="Q1896" s="69">
        <v>0</v>
      </c>
      <c r="R1896" s="88">
        <f>'Terms and Turnovers'!U195</f>
        <v>0</v>
      </c>
      <c r="S1896" s="161">
        <f>SUM(G1896,I1896,K1896,M1896,O1896,Q1896)</f>
        <v>0.99999999999999989</v>
      </c>
      <c r="T1896" s="120">
        <f>$AF1896*U1896</f>
        <v>0</v>
      </c>
      <c r="U1896" s="723">
        <v>0</v>
      </c>
      <c r="V1896" s="120">
        <f>$AF1896*W1896</f>
        <v>0</v>
      </c>
      <c r="W1896" s="69">
        <v>0.15</v>
      </c>
      <c r="X1896" s="120">
        <f>$AF1896*Y1896</f>
        <v>0</v>
      </c>
      <c r="Y1896" s="69">
        <v>0.6</v>
      </c>
      <c r="Z1896" s="120">
        <f>$AF1896*AA1896</f>
        <v>0</v>
      </c>
      <c r="AA1896" s="69">
        <v>0.25</v>
      </c>
      <c r="AB1896" s="315">
        <f>$AF1896*AC1896</f>
        <v>0</v>
      </c>
      <c r="AC1896" s="69">
        <v>0</v>
      </c>
      <c r="AD1896" s="120">
        <f>$AF1896*AE1896</f>
        <v>0</v>
      </c>
      <c r="AE1896" s="69">
        <v>0</v>
      </c>
      <c r="AF1896" s="88">
        <f>'Terms and Turnovers'!Z195</f>
        <v>0</v>
      </c>
      <c r="AG1896" s="161">
        <f>SUM(U1896,W1896,Y1896,AA1896,AC1896,AE1896)</f>
        <v>1</v>
      </c>
      <c r="AH1896" s="158">
        <f>SUM(R1896,AF1896)</f>
        <v>0</v>
      </c>
      <c r="AI1896" s="134">
        <f>S1896+AG1896</f>
        <v>2</v>
      </c>
      <c r="AJ1896" s="65"/>
      <c r="AL1896" s="461">
        <f>SUM(F1896,H1896,J1896,L1896,N1896,P1896,T1896,V1896,X1896,Z1896,AB1896,AD1896)</f>
        <v>0</v>
      </c>
      <c r="AM1896" s="462">
        <f>AL1896-AH1896</f>
        <v>0</v>
      </c>
      <c r="AV1896" s="56"/>
    </row>
    <row r="1897" spans="1:48" ht="13.5" customHeight="1" outlineLevel="2" thickBot="1">
      <c r="B1897" s="82"/>
      <c r="C1897" s="1234"/>
      <c r="D1897" s="1234"/>
      <c r="E1897" s="84" t="str">
        <f>'Terms and Turnovers'!$AD$12</f>
        <v>ACCESSORIES</v>
      </c>
      <c r="F1897" s="120">
        <f>$R1897*G1897</f>
        <v>0</v>
      </c>
      <c r="G1897" s="723"/>
      <c r="H1897" s="120">
        <f>$R1897*I1897</f>
        <v>0</v>
      </c>
      <c r="I1897" s="69">
        <v>0</v>
      </c>
      <c r="J1897" s="120">
        <f>$R1897*K1897</f>
        <v>0</v>
      </c>
      <c r="K1897" s="69">
        <v>0.3</v>
      </c>
      <c r="L1897" s="120">
        <f>$R1897*M1897</f>
        <v>0</v>
      </c>
      <c r="M1897" s="69">
        <v>0.6</v>
      </c>
      <c r="N1897" s="315">
        <f>$R1897*O1897</f>
        <v>0</v>
      </c>
      <c r="O1897" s="69">
        <v>0.1</v>
      </c>
      <c r="P1897" s="120">
        <f>$R1897*Q1897</f>
        <v>0</v>
      </c>
      <c r="Q1897" s="69">
        <v>0</v>
      </c>
      <c r="R1897" s="88">
        <f>'Terms and Turnovers'!AE195</f>
        <v>0</v>
      </c>
      <c r="S1897" s="161">
        <f>SUM(G1897,I1897,K1897,M1897,O1897,Q1897)</f>
        <v>0.99999999999999989</v>
      </c>
      <c r="T1897" s="120">
        <f>$AF1897*U1897</f>
        <v>0</v>
      </c>
      <c r="U1897" s="723">
        <v>0</v>
      </c>
      <c r="V1897" s="120">
        <f>$AF1897*W1897</f>
        <v>0</v>
      </c>
      <c r="W1897" s="69">
        <v>0.15</v>
      </c>
      <c r="X1897" s="120">
        <f>$AF1897*Y1897</f>
        <v>0</v>
      </c>
      <c r="Y1897" s="69">
        <v>0.6</v>
      </c>
      <c r="Z1897" s="120">
        <f>$AF1897*AA1897</f>
        <v>0</v>
      </c>
      <c r="AA1897" s="69">
        <v>0.25</v>
      </c>
      <c r="AB1897" s="315">
        <f>$AF1897*AC1897</f>
        <v>0</v>
      </c>
      <c r="AC1897" s="69">
        <v>0</v>
      </c>
      <c r="AD1897" s="120">
        <f>$AF1897*AE1897</f>
        <v>0</v>
      </c>
      <c r="AE1897" s="69">
        <v>0</v>
      </c>
      <c r="AF1897" s="88">
        <f>'Terms and Turnovers'!AJ195</f>
        <v>0</v>
      </c>
      <c r="AG1897" s="161">
        <f>SUM(U1897,W1897,Y1897,AA1897,AC1897,AE1897)</f>
        <v>1</v>
      </c>
      <c r="AH1897" s="158">
        <f>SUM(R1897,AF1897)</f>
        <v>0</v>
      </c>
      <c r="AI1897" s="134">
        <f>S1897+AG1897</f>
        <v>2</v>
      </c>
      <c r="AJ1897" s="65"/>
      <c r="AL1897" s="461">
        <f>SUM(F1897,H1897,J1897,L1897,N1897,P1897,T1897,V1897,X1897,Z1897,AB1897,AD1897)</f>
        <v>0</v>
      </c>
      <c r="AM1897" s="462">
        <f>AL1897-AH1897</f>
        <v>0</v>
      </c>
      <c r="AV1897" s="56"/>
    </row>
    <row r="1898" spans="1:48" ht="13.5" customHeight="1" outlineLevel="2" thickBot="1">
      <c r="B1898" s="82"/>
      <c r="C1898" s="1234"/>
      <c r="D1898" s="1234"/>
      <c r="E1898" s="84">
        <f>'Terms and Turnovers'!$AN$12</f>
        <v>0</v>
      </c>
      <c r="F1898" s="120">
        <f>$R1898*G1898</f>
        <v>0</v>
      </c>
      <c r="G1898" s="723"/>
      <c r="H1898" s="120">
        <f>$R1898*I1898</f>
        <v>0</v>
      </c>
      <c r="I1898" s="69">
        <v>0</v>
      </c>
      <c r="J1898" s="120">
        <f>$R1898*K1898</f>
        <v>0</v>
      </c>
      <c r="K1898" s="69">
        <v>0</v>
      </c>
      <c r="L1898" s="120">
        <f>$R1898*M1898</f>
        <v>0</v>
      </c>
      <c r="M1898" s="69">
        <v>0</v>
      </c>
      <c r="N1898" s="315">
        <f>$R1898*O1898</f>
        <v>0</v>
      </c>
      <c r="O1898" s="69">
        <v>0</v>
      </c>
      <c r="P1898" s="120">
        <f>$R1898*Q1898</f>
        <v>0</v>
      </c>
      <c r="Q1898" s="69">
        <v>0</v>
      </c>
      <c r="R1898" s="88">
        <f>'Terms and Turnovers'!AO195</f>
        <v>0</v>
      </c>
      <c r="S1898" s="161">
        <f>SUM(G1898,I1898,K1898,M1898,O1898,Q1898)</f>
        <v>0</v>
      </c>
      <c r="T1898" s="120">
        <f>$AF1898*U1898</f>
        <v>0</v>
      </c>
      <c r="U1898" s="723">
        <v>0</v>
      </c>
      <c r="V1898" s="120">
        <f>$AF1898*W1898</f>
        <v>0</v>
      </c>
      <c r="W1898" s="69">
        <v>0.4</v>
      </c>
      <c r="X1898" s="120">
        <f>$AF1898*Y1898</f>
        <v>0</v>
      </c>
      <c r="Y1898" s="69">
        <v>0.35</v>
      </c>
      <c r="Z1898" s="120">
        <f>$AF1898*AA1898</f>
        <v>0</v>
      </c>
      <c r="AA1898" s="69">
        <v>0.13</v>
      </c>
      <c r="AB1898" s="315">
        <f>$AF1898*AC1898</f>
        <v>0</v>
      </c>
      <c r="AC1898" s="69">
        <v>0.05</v>
      </c>
      <c r="AD1898" s="120">
        <f>$AF1898*AE1898</f>
        <v>0</v>
      </c>
      <c r="AE1898" s="69">
        <v>0.02</v>
      </c>
      <c r="AF1898" s="88">
        <f>'Terms and Turnovers'!AT195</f>
        <v>0</v>
      </c>
      <c r="AG1898" s="161">
        <f>SUM(U1898,W1898,Y1898,AA1898,AC1898,AE1898)</f>
        <v>0.95000000000000007</v>
      </c>
      <c r="AH1898" s="158">
        <f>SUM(R1898,AF1898)</f>
        <v>0</v>
      </c>
      <c r="AI1898" s="134">
        <f>S1898+AG1898</f>
        <v>0.95000000000000007</v>
      </c>
      <c r="AJ1898" s="65"/>
      <c r="AL1898" s="461">
        <f>SUM(F1898,H1898,J1898,L1898,N1898,P1898,T1898,V1898,X1898,Z1898,AB1898,AD1898)</f>
        <v>0</v>
      </c>
      <c r="AM1898" s="462">
        <f>AL1898-AH1898</f>
        <v>0</v>
      </c>
      <c r="AV1898" s="56"/>
    </row>
    <row r="1899" spans="1:48" ht="13.5" customHeight="1" outlineLevel="2" thickBot="1">
      <c r="B1899" s="82"/>
      <c r="C1899" s="1235"/>
      <c r="D1899" s="1235"/>
      <c r="E1899" s="85">
        <f>'Terms and Turnovers'!$AX$12</f>
        <v>0</v>
      </c>
      <c r="F1899" s="121">
        <f>$R1899*G1899</f>
        <v>0</v>
      </c>
      <c r="G1899" s="72"/>
      <c r="H1899" s="121">
        <f>$R1899*I1899</f>
        <v>0</v>
      </c>
      <c r="I1899" s="69">
        <v>0</v>
      </c>
      <c r="J1899" s="121">
        <f>$R1899*K1899</f>
        <v>0</v>
      </c>
      <c r="K1899" s="69">
        <v>0</v>
      </c>
      <c r="L1899" s="121">
        <f>$R1899*M1899</f>
        <v>0</v>
      </c>
      <c r="M1899" s="69">
        <v>0</v>
      </c>
      <c r="N1899" s="316">
        <f>$R1899*O1899</f>
        <v>0</v>
      </c>
      <c r="O1899" s="69">
        <v>0</v>
      </c>
      <c r="P1899" s="121">
        <f>$R1899*Q1899</f>
        <v>0</v>
      </c>
      <c r="Q1899" s="69">
        <v>0</v>
      </c>
      <c r="R1899" s="89">
        <f>'Terms and Turnovers'!AY195</f>
        <v>0</v>
      </c>
      <c r="S1899" s="162">
        <f>SUM(G1899,I1899,K1899,M1899,O1899,Q1899)</f>
        <v>0</v>
      </c>
      <c r="T1899" s="121">
        <f>$AF1899*U1899</f>
        <v>0</v>
      </c>
      <c r="U1899" s="72">
        <v>0</v>
      </c>
      <c r="V1899" s="121">
        <f>$AF1899*W1899</f>
        <v>0</v>
      </c>
      <c r="W1899" s="69">
        <v>0.4</v>
      </c>
      <c r="X1899" s="121">
        <f>$AF1899*Y1899</f>
        <v>0</v>
      </c>
      <c r="Y1899" s="69">
        <v>0.35</v>
      </c>
      <c r="Z1899" s="121">
        <f>$AF1899*AA1899</f>
        <v>0</v>
      </c>
      <c r="AA1899" s="69">
        <v>0.13</v>
      </c>
      <c r="AB1899" s="316">
        <f>$AF1899*AC1899</f>
        <v>0</v>
      </c>
      <c r="AC1899" s="69">
        <v>0.05</v>
      </c>
      <c r="AD1899" s="121">
        <f>$AF1899*AE1899</f>
        <v>0</v>
      </c>
      <c r="AE1899" s="69">
        <v>0.02</v>
      </c>
      <c r="AF1899" s="89">
        <f>'Terms and Turnovers'!BD195</f>
        <v>0</v>
      </c>
      <c r="AG1899" s="162">
        <f>SUM(U1899,W1899,Y1899,AA1899,AC1899,AE1899)</f>
        <v>0.95000000000000007</v>
      </c>
      <c r="AH1899" s="159">
        <f>SUM(R1899,AF1899)</f>
        <v>0</v>
      </c>
      <c r="AI1899" s="137">
        <f>S1899+AG1899</f>
        <v>0.95000000000000007</v>
      </c>
      <c r="AJ1899" s="65"/>
      <c r="AL1899" s="461">
        <f>SUM(F1899,H1899,J1899,L1899,N1899,P1899,T1899,V1899,X1899,Z1899,AB1899,AD1899)</f>
        <v>0</v>
      </c>
      <c r="AM1899" s="462">
        <f>AL1899-AH1899</f>
        <v>0</v>
      </c>
      <c r="AV1899" s="56"/>
    </row>
    <row r="1900" spans="1:48" ht="13.5" customHeight="1" outlineLevel="2" thickBot="1">
      <c r="A1900" s="119"/>
      <c r="B1900" s="82"/>
      <c r="C1900" s="425"/>
      <c r="D1900" s="425"/>
      <c r="E1900" s="426"/>
      <c r="F1900" s="427">
        <f>SUM(F1895:F1899)</f>
        <v>0</v>
      </c>
      <c r="G1900" s="428"/>
      <c r="H1900" s="427">
        <f>SUM(H1895:H1899)</f>
        <v>0</v>
      </c>
      <c r="I1900" s="69"/>
      <c r="J1900" s="427">
        <f>SUM(J1895:J1899)</f>
        <v>0</v>
      </c>
      <c r="K1900" s="69"/>
      <c r="L1900" s="427">
        <f>SUM(L1895:L1899)</f>
        <v>0</v>
      </c>
      <c r="M1900" s="69"/>
      <c r="N1900" s="427">
        <f>SUM(N1895:N1899)</f>
        <v>0</v>
      </c>
      <c r="O1900" s="69"/>
      <c r="P1900" s="427">
        <f>SUM(P1895:P1899)</f>
        <v>0</v>
      </c>
      <c r="Q1900" s="69"/>
      <c r="R1900" s="429"/>
      <c r="S1900" s="430"/>
      <c r="T1900" s="427">
        <f>SUM(T1895:T1899)</f>
        <v>0</v>
      </c>
      <c r="U1900" s="428"/>
      <c r="V1900" s="427">
        <f>SUM(V1895:V1899)</f>
        <v>0</v>
      </c>
      <c r="W1900" s="69"/>
      <c r="X1900" s="427">
        <f>SUM(X1895:X1899)</f>
        <v>0</v>
      </c>
      <c r="Y1900" s="69"/>
      <c r="Z1900" s="427">
        <f>SUM(Z1895:Z1899)</f>
        <v>0</v>
      </c>
      <c r="AA1900" s="69"/>
      <c r="AB1900" s="427">
        <f>SUM(AB1895:AB1899)</f>
        <v>0</v>
      </c>
      <c r="AC1900" s="69"/>
      <c r="AD1900" s="427">
        <f>SUM(AD1895:AD1899)</f>
        <v>0</v>
      </c>
      <c r="AE1900" s="69"/>
      <c r="AF1900" s="429"/>
      <c r="AG1900" s="430"/>
      <c r="AH1900" s="431"/>
      <c r="AI1900" s="432"/>
      <c r="AJ1900" s="65"/>
      <c r="AV1900" s="56"/>
    </row>
    <row r="1901" spans="1:48" ht="13.5" customHeight="1" outlineLevel="2" thickBot="1">
      <c r="A1901" s="119"/>
      <c r="B1901" s="82"/>
      <c r="C1901" s="433" t="s">
        <v>484</v>
      </c>
      <c r="D1901" s="433"/>
      <c r="E1901" s="426"/>
      <c r="F1901" s="434">
        <f>F1900</f>
        <v>0</v>
      </c>
      <c r="G1901" s="428"/>
      <c r="H1901" s="434">
        <f>H1900</f>
        <v>0</v>
      </c>
      <c r="I1901" s="69"/>
      <c r="J1901" s="434">
        <f>J1900</f>
        <v>0</v>
      </c>
      <c r="K1901" s="69"/>
      <c r="L1901" s="434">
        <f>L1900</f>
        <v>0</v>
      </c>
      <c r="M1901" s="69"/>
      <c r="N1901" s="434">
        <f>N1900</f>
        <v>0</v>
      </c>
      <c r="O1901" s="69"/>
      <c r="P1901" s="434">
        <f>P1900</f>
        <v>0</v>
      </c>
      <c r="Q1901" s="69"/>
      <c r="R1901" s="429"/>
      <c r="S1901" s="430"/>
      <c r="T1901" s="434">
        <f>T1900</f>
        <v>0</v>
      </c>
      <c r="U1901" s="428">
        <f>Q1900</f>
        <v>0</v>
      </c>
      <c r="V1901" s="434">
        <f>V1900</f>
        <v>0</v>
      </c>
      <c r="W1901" s="69">
        <f>S1900</f>
        <v>0</v>
      </c>
      <c r="X1901" s="434">
        <f>X1900</f>
        <v>0</v>
      </c>
      <c r="Y1901" s="69">
        <f>U1900</f>
        <v>0</v>
      </c>
      <c r="Z1901" s="434">
        <f>Z1900</f>
        <v>0</v>
      </c>
      <c r="AA1901" s="69">
        <f>W1900</f>
        <v>0</v>
      </c>
      <c r="AB1901" s="434">
        <f>AB1900</f>
        <v>0</v>
      </c>
      <c r="AC1901" s="69">
        <f>Y1900</f>
        <v>0</v>
      </c>
      <c r="AD1901" s="434">
        <f>AD1900</f>
        <v>0</v>
      </c>
      <c r="AE1901" s="69"/>
      <c r="AF1901" s="429"/>
      <c r="AG1901" s="430"/>
      <c r="AH1901" s="431"/>
      <c r="AI1901" s="432"/>
      <c r="AJ1901" s="65"/>
      <c r="AN1901" s="695">
        <f>SUM(AF1895:AF1899)*AQ1901</f>
        <v>0</v>
      </c>
      <c r="AO1901" s="742">
        <f>SUM(R1895:R1899)*AQ1901</f>
        <v>0</v>
      </c>
      <c r="AP1901" s="742"/>
      <c r="AV1901" s="56"/>
    </row>
    <row r="1902" spans="1:48" ht="13.5" customHeight="1" outlineLevel="1" thickBot="1">
      <c r="B1902" s="82">
        <f>B1895+1</f>
        <v>65</v>
      </c>
      <c r="C1902" s="1233">
        <f>C461</f>
        <v>0</v>
      </c>
      <c r="D1902" s="1245">
        <f>D461</f>
        <v>0</v>
      </c>
      <c r="E1902" s="83" t="str">
        <f>'Terms and Turnovers'!$J$12</f>
        <v>FLIP-FLOPS</v>
      </c>
      <c r="F1902" s="118">
        <f>$R1902*G1902</f>
        <v>0</v>
      </c>
      <c r="G1902" s="69"/>
      <c r="H1902" s="314">
        <f>$R1902*I1902</f>
        <v>0</v>
      </c>
      <c r="I1902" s="69">
        <v>0</v>
      </c>
      <c r="J1902" s="118">
        <f>$R1902*K1902</f>
        <v>0</v>
      </c>
      <c r="K1902" s="69">
        <v>0</v>
      </c>
      <c r="L1902" s="314">
        <f>$R1902*M1902</f>
        <v>0</v>
      </c>
      <c r="M1902" s="69">
        <v>0</v>
      </c>
      <c r="N1902" s="314">
        <f>$R1902*O1902</f>
        <v>0</v>
      </c>
      <c r="O1902" s="69">
        <v>0</v>
      </c>
      <c r="P1902" s="118">
        <f>$R1902*Q1902</f>
        <v>0</v>
      </c>
      <c r="Q1902" s="69">
        <v>1</v>
      </c>
      <c r="R1902" s="87">
        <f>'Terms and Turnovers'!K196</f>
        <v>0</v>
      </c>
      <c r="S1902" s="160">
        <f>SUM(G1902,I1902,K1902,M1902,O1902,Q1902)</f>
        <v>1</v>
      </c>
      <c r="T1902" s="118">
        <f>$AF1902*U1902</f>
        <v>0</v>
      </c>
      <c r="U1902" s="69">
        <v>0</v>
      </c>
      <c r="V1902" s="314">
        <f>$AF1902*W1902</f>
        <v>0</v>
      </c>
      <c r="W1902" s="69">
        <v>0.37</v>
      </c>
      <c r="X1902" s="118">
        <f>$AF1902*Y1902</f>
        <v>0</v>
      </c>
      <c r="Y1902" s="69">
        <v>0.43</v>
      </c>
      <c r="Z1902" s="314">
        <f>$AF1902*AA1902</f>
        <v>0</v>
      </c>
      <c r="AA1902" s="69">
        <v>0.13</v>
      </c>
      <c r="AB1902" s="314">
        <f>$AF1902*AC1902</f>
        <v>0</v>
      </c>
      <c r="AC1902" s="69">
        <v>0.05</v>
      </c>
      <c r="AD1902" s="118">
        <f>$AF1902*AE1902</f>
        <v>0</v>
      </c>
      <c r="AE1902" s="69">
        <v>0.02</v>
      </c>
      <c r="AF1902" s="87">
        <f>'Terms and Turnovers'!P196</f>
        <v>0</v>
      </c>
      <c r="AG1902" s="160">
        <f>SUM(U1902,W1902,Y1902,AA1902,AC1902,AE1902)</f>
        <v>1</v>
      </c>
      <c r="AH1902" s="157">
        <f>SUM(R1902,AF1902)</f>
        <v>0</v>
      </c>
      <c r="AI1902" s="131">
        <f>S1902+AG1902</f>
        <v>2</v>
      </c>
      <c r="AJ1902" s="65"/>
      <c r="AL1902" s="461">
        <f>SUM(F1902,H1902,J1902,L1902,N1902,P1902,T1902,V1902,X1902,Z1902,AB1902,AD1902)</f>
        <v>0</v>
      </c>
      <c r="AM1902" s="462">
        <f>AL1902-AH1902</f>
        <v>0</v>
      </c>
    </row>
    <row r="1903" spans="1:48" ht="13.5" customHeight="1" outlineLevel="1" thickBot="1">
      <c r="B1903" s="82"/>
      <c r="C1903" s="1234"/>
      <c r="D1903" s="1246"/>
      <c r="E1903" s="84" t="str">
        <f>'Terms and Turnovers'!$T$12</f>
        <v>ORIGINALS</v>
      </c>
      <c r="F1903" s="120">
        <f>$R1903*G1903</f>
        <v>0</v>
      </c>
      <c r="G1903" s="723"/>
      <c r="H1903" s="120">
        <f>$R1903*I1903</f>
        <v>0</v>
      </c>
      <c r="I1903" s="69">
        <v>0</v>
      </c>
      <c r="J1903" s="120">
        <f>$R1903*K1903</f>
        <v>0</v>
      </c>
      <c r="K1903" s="69">
        <v>0</v>
      </c>
      <c r="L1903" s="120">
        <f>$R1903*M1903</f>
        <v>0</v>
      </c>
      <c r="M1903" s="69">
        <v>0</v>
      </c>
      <c r="N1903" s="315">
        <f>$R1903*O1903</f>
        <v>0</v>
      </c>
      <c r="O1903" s="69">
        <v>0</v>
      </c>
      <c r="P1903" s="120">
        <f>$R1903*Q1903</f>
        <v>0</v>
      </c>
      <c r="Q1903" s="69">
        <v>1</v>
      </c>
      <c r="R1903" s="88">
        <f>'Terms and Turnovers'!U196</f>
        <v>0</v>
      </c>
      <c r="S1903" s="161">
        <f>SUM(G1903,I1903,K1903,M1903,O1903,Q1903)</f>
        <v>1</v>
      </c>
      <c r="T1903" s="120">
        <f>$AF1903*U1903</f>
        <v>0</v>
      </c>
      <c r="U1903" s="723">
        <v>0</v>
      </c>
      <c r="V1903" s="120">
        <f>$AF1903*W1903</f>
        <v>0</v>
      </c>
      <c r="W1903" s="69">
        <v>0.15</v>
      </c>
      <c r="X1903" s="120">
        <f>$AF1903*Y1903</f>
        <v>0</v>
      </c>
      <c r="Y1903" s="69">
        <v>0.6</v>
      </c>
      <c r="Z1903" s="120">
        <f>$AF1903*AA1903</f>
        <v>0</v>
      </c>
      <c r="AA1903" s="69">
        <v>0.25</v>
      </c>
      <c r="AB1903" s="315">
        <f>$AF1903*AC1903</f>
        <v>0</v>
      </c>
      <c r="AC1903" s="69">
        <v>0</v>
      </c>
      <c r="AD1903" s="120">
        <f>$AF1903*AE1903</f>
        <v>0</v>
      </c>
      <c r="AE1903" s="69">
        <v>0</v>
      </c>
      <c r="AF1903" s="88">
        <f>'Terms and Turnovers'!Z196</f>
        <v>0</v>
      </c>
      <c r="AG1903" s="161">
        <f>SUM(U1903,W1903,Y1903,AA1903,AC1903,AE1903)</f>
        <v>1</v>
      </c>
      <c r="AH1903" s="158">
        <f>SUM(R1903,AF1903)</f>
        <v>0</v>
      </c>
      <c r="AI1903" s="134">
        <f>S1903+AG1903</f>
        <v>2</v>
      </c>
      <c r="AJ1903" s="65"/>
      <c r="AL1903" s="461">
        <f>SUM(F1903,H1903,J1903,L1903,N1903,P1903,T1903,V1903,X1903,Z1903,AB1903,AD1903)</f>
        <v>0</v>
      </c>
      <c r="AM1903" s="462">
        <f>AL1903-AH1903</f>
        <v>0</v>
      </c>
    </row>
    <row r="1904" spans="1:48" ht="13.5" customHeight="1" outlineLevel="1" thickBot="1">
      <c r="B1904" s="82"/>
      <c r="C1904" s="1234"/>
      <c r="D1904" s="1246"/>
      <c r="E1904" s="84" t="str">
        <f>'Terms and Turnovers'!$AD$12</f>
        <v>ACCESSORIES</v>
      </c>
      <c r="F1904" s="120">
        <f>$R1904*G1904</f>
        <v>0</v>
      </c>
      <c r="G1904" s="723"/>
      <c r="H1904" s="120">
        <f>$R1904*I1904</f>
        <v>0</v>
      </c>
      <c r="I1904" s="69">
        <v>0</v>
      </c>
      <c r="J1904" s="120">
        <f>$R1904*K1904</f>
        <v>0</v>
      </c>
      <c r="K1904" s="69">
        <v>0</v>
      </c>
      <c r="L1904" s="120">
        <f>$R1904*M1904</f>
        <v>0</v>
      </c>
      <c r="M1904" s="69">
        <v>0</v>
      </c>
      <c r="N1904" s="315">
        <f>$R1904*O1904</f>
        <v>0</v>
      </c>
      <c r="O1904" s="69">
        <v>0</v>
      </c>
      <c r="P1904" s="120">
        <f>$R1904*Q1904</f>
        <v>0</v>
      </c>
      <c r="Q1904" s="69">
        <v>1</v>
      </c>
      <c r="R1904" s="88">
        <f>'Terms and Turnovers'!AE196</f>
        <v>0</v>
      </c>
      <c r="S1904" s="161">
        <f>SUM(G1904,I1904,K1904,M1904,O1904,Q1904)</f>
        <v>1</v>
      </c>
      <c r="T1904" s="120">
        <f>$AF1904*U1904</f>
        <v>0</v>
      </c>
      <c r="U1904" s="723">
        <v>0</v>
      </c>
      <c r="V1904" s="120">
        <f>$AF1904*W1904</f>
        <v>0</v>
      </c>
      <c r="W1904" s="69">
        <v>0.15</v>
      </c>
      <c r="X1904" s="120">
        <f>$AF1904*Y1904</f>
        <v>0</v>
      </c>
      <c r="Y1904" s="69">
        <v>0.6</v>
      </c>
      <c r="Z1904" s="120">
        <f>$AF1904*AA1904</f>
        <v>0</v>
      </c>
      <c r="AA1904" s="69">
        <v>0.25</v>
      </c>
      <c r="AB1904" s="315">
        <f>$AF1904*AC1904</f>
        <v>0</v>
      </c>
      <c r="AC1904" s="69">
        <v>0</v>
      </c>
      <c r="AD1904" s="120">
        <f>$AF1904*AE1904</f>
        <v>0</v>
      </c>
      <c r="AE1904" s="69">
        <v>0</v>
      </c>
      <c r="AF1904" s="88">
        <f>'Terms and Turnovers'!AJ196</f>
        <v>0</v>
      </c>
      <c r="AG1904" s="161">
        <f>SUM(U1904,W1904,Y1904,AA1904,AC1904,AE1904)</f>
        <v>1</v>
      </c>
      <c r="AH1904" s="158">
        <f>SUM(R1904,AF1904)</f>
        <v>0</v>
      </c>
      <c r="AI1904" s="134">
        <f>S1904+AG1904</f>
        <v>2</v>
      </c>
      <c r="AJ1904" s="65"/>
      <c r="AL1904" s="461">
        <f>SUM(F1904,H1904,J1904,L1904,N1904,P1904,T1904,V1904,X1904,Z1904,AB1904,AD1904)</f>
        <v>0</v>
      </c>
      <c r="AM1904" s="462">
        <f>AL1904-AH1904</f>
        <v>0</v>
      </c>
    </row>
    <row r="1905" spans="1:48" ht="13.5" customHeight="1" outlineLevel="1" thickBot="1">
      <c r="B1905" s="82"/>
      <c r="C1905" s="1234"/>
      <c r="D1905" s="1246"/>
      <c r="E1905" s="84">
        <f>'Terms and Turnovers'!$AN$12</f>
        <v>0</v>
      </c>
      <c r="F1905" s="120">
        <f>$R1905*G1905</f>
        <v>0</v>
      </c>
      <c r="G1905" s="723"/>
      <c r="H1905" s="120">
        <f>$R1905*I1905</f>
        <v>0</v>
      </c>
      <c r="I1905" s="69">
        <v>0</v>
      </c>
      <c r="J1905" s="120">
        <f>$R1905*K1905</f>
        <v>0</v>
      </c>
      <c r="K1905" s="69">
        <v>0</v>
      </c>
      <c r="L1905" s="120">
        <f>$R1905*M1905</f>
        <v>0</v>
      </c>
      <c r="M1905" s="69">
        <v>0</v>
      </c>
      <c r="N1905" s="315">
        <f>$R1905*O1905</f>
        <v>0</v>
      </c>
      <c r="O1905" s="69">
        <v>0</v>
      </c>
      <c r="P1905" s="120">
        <f>$R1905*Q1905</f>
        <v>0</v>
      </c>
      <c r="Q1905" s="69">
        <v>1</v>
      </c>
      <c r="R1905" s="88">
        <f>'Terms and Turnovers'!AO196</f>
        <v>0</v>
      </c>
      <c r="S1905" s="161">
        <f>SUM(G1905,I1905,K1905,M1905,O1905,Q1905)</f>
        <v>1</v>
      </c>
      <c r="T1905" s="120">
        <f>$AF1905*U1905</f>
        <v>0</v>
      </c>
      <c r="U1905" s="723">
        <v>0</v>
      </c>
      <c r="V1905" s="120">
        <f>$AF1905*W1905</f>
        <v>0</v>
      </c>
      <c r="W1905" s="69">
        <v>0.4</v>
      </c>
      <c r="X1905" s="120">
        <f>$AF1905*Y1905</f>
        <v>0</v>
      </c>
      <c r="Y1905" s="69">
        <v>0.35</v>
      </c>
      <c r="Z1905" s="120">
        <f>$AF1905*AA1905</f>
        <v>0</v>
      </c>
      <c r="AA1905" s="69">
        <v>0.13</v>
      </c>
      <c r="AB1905" s="315">
        <f>$AF1905*AC1905</f>
        <v>0</v>
      </c>
      <c r="AC1905" s="69">
        <v>0.05</v>
      </c>
      <c r="AD1905" s="120">
        <f>$AF1905*AE1905</f>
        <v>0</v>
      </c>
      <c r="AE1905" s="69">
        <v>0.02</v>
      </c>
      <c r="AF1905" s="88">
        <f>'Terms and Turnovers'!AT196</f>
        <v>0</v>
      </c>
      <c r="AG1905" s="161">
        <f>SUM(U1905,W1905,Y1905,AA1905,AC1905,AE1905)</f>
        <v>0.95000000000000007</v>
      </c>
      <c r="AH1905" s="158">
        <f>SUM(R1905,AF1905)</f>
        <v>0</v>
      </c>
      <c r="AI1905" s="134">
        <f>S1905+AG1905</f>
        <v>1.9500000000000002</v>
      </c>
      <c r="AJ1905" s="65"/>
      <c r="AL1905" s="461">
        <f>SUM(F1905,H1905,J1905,L1905,N1905,P1905,T1905,V1905,X1905,Z1905,AB1905,AD1905)</f>
        <v>0</v>
      </c>
      <c r="AM1905" s="462">
        <f>AL1905-AH1905</f>
        <v>0</v>
      </c>
    </row>
    <row r="1906" spans="1:48" ht="13.5" customHeight="1" outlineLevel="1" thickBot="1">
      <c r="B1906" s="82"/>
      <c r="C1906" s="1235"/>
      <c r="D1906" s="1247"/>
      <c r="E1906" s="85">
        <f>'Terms and Turnovers'!$AX$12</f>
        <v>0</v>
      </c>
      <c r="F1906" s="121">
        <f>$R1906*G1906</f>
        <v>0</v>
      </c>
      <c r="G1906" s="72"/>
      <c r="H1906" s="121">
        <f>$R1906*I1906</f>
        <v>0</v>
      </c>
      <c r="I1906" s="69">
        <v>0</v>
      </c>
      <c r="J1906" s="121">
        <f>$R1906*K1906</f>
        <v>0</v>
      </c>
      <c r="K1906" s="69">
        <v>0</v>
      </c>
      <c r="L1906" s="121">
        <f>$R1906*M1906</f>
        <v>0</v>
      </c>
      <c r="M1906" s="69">
        <v>0</v>
      </c>
      <c r="N1906" s="316">
        <f>$R1906*O1906</f>
        <v>0</v>
      </c>
      <c r="O1906" s="69">
        <v>0</v>
      </c>
      <c r="P1906" s="121">
        <f>$R1906*Q1906</f>
        <v>0</v>
      </c>
      <c r="Q1906" s="69">
        <v>1</v>
      </c>
      <c r="R1906" s="89">
        <f>'Terms and Turnovers'!AY196</f>
        <v>0</v>
      </c>
      <c r="S1906" s="162">
        <f>SUM(G1906,I1906,K1906,M1906,O1906,Q1906)</f>
        <v>1</v>
      </c>
      <c r="T1906" s="121">
        <f>$AF1906*U1906</f>
        <v>0</v>
      </c>
      <c r="U1906" s="72">
        <v>0</v>
      </c>
      <c r="V1906" s="121">
        <f>$AF1906*W1906</f>
        <v>0</v>
      </c>
      <c r="W1906" s="69">
        <v>0.4</v>
      </c>
      <c r="X1906" s="121">
        <f>$AF1906*Y1906</f>
        <v>0</v>
      </c>
      <c r="Y1906" s="69">
        <v>0.35</v>
      </c>
      <c r="Z1906" s="121">
        <f>$AF1906*AA1906</f>
        <v>0</v>
      </c>
      <c r="AA1906" s="69">
        <v>0.13</v>
      </c>
      <c r="AB1906" s="316">
        <f>$AF1906*AC1906</f>
        <v>0</v>
      </c>
      <c r="AC1906" s="69">
        <v>0.05</v>
      </c>
      <c r="AD1906" s="121">
        <f>$AF1906*AE1906</f>
        <v>0</v>
      </c>
      <c r="AE1906" s="69">
        <v>0.02</v>
      </c>
      <c r="AF1906" s="89">
        <f>'Terms and Turnovers'!BD196</f>
        <v>0</v>
      </c>
      <c r="AG1906" s="162">
        <f>SUM(U1906,W1906,Y1906,AA1906,AC1906,AE1906)</f>
        <v>0.95000000000000007</v>
      </c>
      <c r="AH1906" s="159">
        <f>SUM(R1906,AF1906)</f>
        <v>0</v>
      </c>
      <c r="AI1906" s="137">
        <f>S1906+AG1906</f>
        <v>1.9500000000000002</v>
      </c>
      <c r="AJ1906" s="65"/>
      <c r="AL1906" s="461">
        <f>SUM(F1906,H1906,J1906,L1906,N1906,P1906,T1906,V1906,X1906,Z1906,AB1906,AD1906)</f>
        <v>0</v>
      </c>
      <c r="AM1906" s="462">
        <f>AL1906-AH1906</f>
        <v>0</v>
      </c>
    </row>
    <row r="1907" spans="1:48" ht="13.5" customHeight="1" outlineLevel="1" thickBot="1">
      <c r="A1907" s="119"/>
      <c r="B1907" s="82"/>
      <c r="C1907" s="425"/>
      <c r="D1907" s="425"/>
      <c r="E1907" s="426"/>
      <c r="F1907" s="427">
        <f>SUM(F1902:F1906)</f>
        <v>0</v>
      </c>
      <c r="G1907" s="428"/>
      <c r="H1907" s="427">
        <f>SUM(H1902:H1906)</f>
        <v>0</v>
      </c>
      <c r="I1907" s="69"/>
      <c r="J1907" s="427">
        <f>SUM(J1902:J1906)</f>
        <v>0</v>
      </c>
      <c r="K1907" s="69"/>
      <c r="L1907" s="427">
        <f>SUM(L1902:L1906)</f>
        <v>0</v>
      </c>
      <c r="M1907" s="69"/>
      <c r="N1907" s="427">
        <f>SUM(N1902:N1906)</f>
        <v>0</v>
      </c>
      <c r="O1907" s="69"/>
      <c r="P1907" s="427">
        <f>SUM(P1902:P1906)</f>
        <v>0</v>
      </c>
      <c r="Q1907" s="69"/>
      <c r="R1907" s="429"/>
      <c r="S1907" s="430"/>
      <c r="T1907" s="427">
        <f>SUM(T1902:T1906)</f>
        <v>0</v>
      </c>
      <c r="U1907" s="428"/>
      <c r="V1907" s="427">
        <f>SUM(V1902:V1906)</f>
        <v>0</v>
      </c>
      <c r="W1907" s="69"/>
      <c r="X1907" s="427">
        <f>SUM(X1902:X1906)</f>
        <v>0</v>
      </c>
      <c r="Y1907" s="69"/>
      <c r="Z1907" s="427">
        <f>SUM(Z1902:Z1906)</f>
        <v>0</v>
      </c>
      <c r="AA1907" s="69"/>
      <c r="AB1907" s="427">
        <f>SUM(AB1902:AB1906)</f>
        <v>0</v>
      </c>
      <c r="AC1907" s="69"/>
      <c r="AD1907" s="427">
        <f>SUM(AD1902:AD1906)</f>
        <v>0</v>
      </c>
      <c r="AE1907" s="69"/>
      <c r="AF1907" s="429"/>
      <c r="AG1907" s="430"/>
      <c r="AH1907" s="431"/>
      <c r="AI1907" s="432"/>
      <c r="AJ1907" s="65"/>
    </row>
    <row r="1908" spans="1:48" ht="13.5" customHeight="1" outlineLevel="1" thickBot="1">
      <c r="A1908" s="119"/>
      <c r="B1908" s="82"/>
      <c r="C1908" s="433" t="s">
        <v>484</v>
      </c>
      <c r="D1908" s="433"/>
      <c r="E1908" s="426"/>
      <c r="F1908" s="434">
        <f>F1907</f>
        <v>0</v>
      </c>
      <c r="G1908" s="428"/>
      <c r="H1908" s="434">
        <f>H1907</f>
        <v>0</v>
      </c>
      <c r="I1908" s="69"/>
      <c r="J1908" s="434"/>
      <c r="K1908" s="69"/>
      <c r="L1908" s="434"/>
      <c r="M1908" s="69"/>
      <c r="N1908" s="434"/>
      <c r="O1908" s="69"/>
      <c r="P1908" s="434"/>
      <c r="Q1908" s="69"/>
      <c r="R1908" s="429"/>
      <c r="S1908" s="430"/>
      <c r="T1908" s="434">
        <f>T1907</f>
        <v>0</v>
      </c>
      <c r="U1908" s="428">
        <f>Q1907</f>
        <v>0</v>
      </c>
      <c r="V1908" s="434">
        <f>V1907</f>
        <v>0</v>
      </c>
      <c r="W1908" s="69">
        <f>S1907</f>
        <v>0</v>
      </c>
      <c r="X1908" s="434">
        <f>X1907</f>
        <v>0</v>
      </c>
      <c r="Y1908" s="69">
        <f>U1907</f>
        <v>0</v>
      </c>
      <c r="Z1908" s="434">
        <f>Z1907</f>
        <v>0</v>
      </c>
      <c r="AA1908" s="69">
        <f>W1907</f>
        <v>0</v>
      </c>
      <c r="AB1908" s="434">
        <f>AB1907</f>
        <v>0</v>
      </c>
      <c r="AC1908" s="69">
        <f>Y1907</f>
        <v>0</v>
      </c>
      <c r="AD1908" s="434">
        <f>AD1907</f>
        <v>0</v>
      </c>
      <c r="AE1908" s="69"/>
      <c r="AF1908" s="429"/>
      <c r="AG1908" s="430"/>
      <c r="AH1908" s="431"/>
      <c r="AI1908" s="432"/>
      <c r="AJ1908" s="65"/>
      <c r="AN1908" s="695">
        <f>SUM(AF1902:AF1906)*AQ1908</f>
        <v>0</v>
      </c>
      <c r="AO1908" s="742">
        <f>SUM(R1902:R1906)*AQ1908</f>
        <v>0</v>
      </c>
      <c r="AP1908" s="742"/>
    </row>
    <row r="1909" spans="1:48" ht="13.5" customHeight="1" outlineLevel="2" thickBot="1">
      <c r="B1909" s="82">
        <f>B1902+1</f>
        <v>66</v>
      </c>
      <c r="C1909" s="1233">
        <f>C468</f>
        <v>0</v>
      </c>
      <c r="D1909" s="1233">
        <f>D468</f>
        <v>0</v>
      </c>
      <c r="E1909" s="83" t="str">
        <f>'Terms and Turnovers'!$J$12</f>
        <v>FLIP-FLOPS</v>
      </c>
      <c r="F1909" s="118">
        <f>$R1909*G1909</f>
        <v>0</v>
      </c>
      <c r="G1909" s="69"/>
      <c r="H1909" s="314">
        <f>$R1909*I1909</f>
        <v>0</v>
      </c>
      <c r="I1909" s="69">
        <v>0</v>
      </c>
      <c r="J1909" s="118">
        <f>$R1909*K1909</f>
        <v>0</v>
      </c>
      <c r="K1909" s="69">
        <v>0.25</v>
      </c>
      <c r="L1909" s="314">
        <f>$R1909*M1909</f>
        <v>0</v>
      </c>
      <c r="M1909" s="69">
        <v>0.4</v>
      </c>
      <c r="N1909" s="314">
        <f>$R1909*O1909</f>
        <v>0</v>
      </c>
      <c r="O1909" s="69">
        <v>0.35</v>
      </c>
      <c r="P1909" s="118">
        <f>$R1909*Q1909</f>
        <v>0</v>
      </c>
      <c r="Q1909" s="69">
        <v>0</v>
      </c>
      <c r="R1909" s="87">
        <f>'Terms and Turnovers'!K197</f>
        <v>0</v>
      </c>
      <c r="S1909" s="160">
        <f>SUM(G1909,I1909,K1909,M1909,O1909,Q1909)</f>
        <v>1</v>
      </c>
      <c r="T1909" s="118">
        <f>$AF1909*U1909</f>
        <v>0</v>
      </c>
      <c r="U1909" s="69">
        <v>0</v>
      </c>
      <c r="V1909" s="314">
        <f>$AF1909*W1909</f>
        <v>0</v>
      </c>
      <c r="W1909" s="69">
        <v>0.37</v>
      </c>
      <c r="X1909" s="118">
        <f>$AF1909*Y1909</f>
        <v>0</v>
      </c>
      <c r="Y1909" s="69">
        <v>0.43</v>
      </c>
      <c r="Z1909" s="314">
        <f>$AF1909*AA1909</f>
        <v>0</v>
      </c>
      <c r="AA1909" s="69">
        <v>0.13</v>
      </c>
      <c r="AB1909" s="314">
        <f>$AF1909*AC1909</f>
        <v>0</v>
      </c>
      <c r="AC1909" s="69">
        <v>0.05</v>
      </c>
      <c r="AD1909" s="118">
        <f>$AF1909*AE1909</f>
        <v>0</v>
      </c>
      <c r="AE1909" s="69">
        <v>0.02</v>
      </c>
      <c r="AF1909" s="87">
        <f>'Terms and Turnovers'!P197</f>
        <v>0</v>
      </c>
      <c r="AG1909" s="160">
        <f>SUM(U1909,W1909,Y1909,AA1909,AC1909,AE1909)</f>
        <v>1</v>
      </c>
      <c r="AH1909" s="157">
        <f>SUM(R1909,AF1909)</f>
        <v>0</v>
      </c>
      <c r="AI1909" s="131">
        <f>S1909+AG1909</f>
        <v>2</v>
      </c>
      <c r="AJ1909" s="65"/>
      <c r="AL1909" s="461">
        <f>SUM(F1909,H1909,J1909,L1909,N1909,P1909,T1909,V1909,X1909,Z1909,AB1909,AD1909)</f>
        <v>0</v>
      </c>
      <c r="AM1909" s="462">
        <f>AL1909-AH1909</f>
        <v>0</v>
      </c>
      <c r="AV1909" s="56"/>
    </row>
    <row r="1910" spans="1:48" ht="13.5" customHeight="1" outlineLevel="2" thickBot="1">
      <c r="B1910" s="82"/>
      <c r="C1910" s="1234"/>
      <c r="D1910" s="1234"/>
      <c r="E1910" s="84" t="str">
        <f>'Terms and Turnovers'!$T$12</f>
        <v>ORIGINALS</v>
      </c>
      <c r="F1910" s="120">
        <f>$R1910*G1910</f>
        <v>0</v>
      </c>
      <c r="G1910" s="723"/>
      <c r="H1910" s="120">
        <f>$R1910*I1910</f>
        <v>0</v>
      </c>
      <c r="I1910" s="69">
        <v>0</v>
      </c>
      <c r="J1910" s="120">
        <f>$R1910*K1910</f>
        <v>0</v>
      </c>
      <c r="K1910" s="69">
        <v>0.3</v>
      </c>
      <c r="L1910" s="120">
        <f>$R1910*M1910</f>
        <v>0</v>
      </c>
      <c r="M1910" s="69">
        <v>0.6</v>
      </c>
      <c r="N1910" s="315">
        <f>$R1910*O1910</f>
        <v>0</v>
      </c>
      <c r="O1910" s="69">
        <v>0.1</v>
      </c>
      <c r="P1910" s="120">
        <f>$R1910*Q1910</f>
        <v>0</v>
      </c>
      <c r="Q1910" s="69">
        <v>0</v>
      </c>
      <c r="R1910" s="88">
        <f>'Terms and Turnovers'!U197</f>
        <v>0</v>
      </c>
      <c r="S1910" s="161">
        <f>SUM(G1910,I1910,K1910,M1910,O1910,Q1910)</f>
        <v>0.99999999999999989</v>
      </c>
      <c r="T1910" s="120">
        <f>$AF1910*U1910</f>
        <v>0</v>
      </c>
      <c r="U1910" s="723">
        <v>0</v>
      </c>
      <c r="V1910" s="120">
        <f>$AF1910*W1910</f>
        <v>0</v>
      </c>
      <c r="W1910" s="69">
        <v>0.15</v>
      </c>
      <c r="X1910" s="120">
        <f>$AF1910*Y1910</f>
        <v>0</v>
      </c>
      <c r="Y1910" s="69">
        <v>0.6</v>
      </c>
      <c r="Z1910" s="120">
        <f>$AF1910*AA1910</f>
        <v>0</v>
      </c>
      <c r="AA1910" s="69">
        <v>0.25</v>
      </c>
      <c r="AB1910" s="315">
        <f>$AF1910*AC1910</f>
        <v>0</v>
      </c>
      <c r="AC1910" s="69">
        <v>0</v>
      </c>
      <c r="AD1910" s="120">
        <f>$AF1910*AE1910</f>
        <v>0</v>
      </c>
      <c r="AE1910" s="69">
        <v>0</v>
      </c>
      <c r="AF1910" s="88">
        <f>'Terms and Turnovers'!Z197</f>
        <v>0</v>
      </c>
      <c r="AG1910" s="161">
        <f>SUM(U1910,W1910,Y1910,AA1910,AC1910,AE1910)</f>
        <v>1</v>
      </c>
      <c r="AH1910" s="158">
        <f>SUM(R1910,AF1910)</f>
        <v>0</v>
      </c>
      <c r="AI1910" s="134">
        <f>S1910+AG1910</f>
        <v>2</v>
      </c>
      <c r="AJ1910" s="65"/>
      <c r="AL1910" s="461">
        <f>SUM(F1910,H1910,J1910,L1910,N1910,P1910,T1910,V1910,X1910,Z1910,AB1910,AD1910)</f>
        <v>0</v>
      </c>
      <c r="AM1910" s="462">
        <f>AL1910-AH1910</f>
        <v>0</v>
      </c>
      <c r="AV1910" s="56"/>
    </row>
    <row r="1911" spans="1:48" ht="13.5" customHeight="1" outlineLevel="2" thickBot="1">
      <c r="B1911" s="82"/>
      <c r="C1911" s="1234"/>
      <c r="D1911" s="1234"/>
      <c r="E1911" s="84" t="str">
        <f>'Terms and Turnovers'!$AD$12</f>
        <v>ACCESSORIES</v>
      </c>
      <c r="F1911" s="120">
        <f>$R1911*G1911</f>
        <v>0</v>
      </c>
      <c r="G1911" s="723"/>
      <c r="H1911" s="120">
        <f>$R1911*I1911</f>
        <v>0</v>
      </c>
      <c r="I1911" s="69">
        <v>0</v>
      </c>
      <c r="J1911" s="120">
        <f>$R1911*K1911</f>
        <v>0</v>
      </c>
      <c r="K1911" s="69">
        <v>0.3</v>
      </c>
      <c r="L1911" s="120">
        <f>$R1911*M1911</f>
        <v>0</v>
      </c>
      <c r="M1911" s="69">
        <v>0.6</v>
      </c>
      <c r="N1911" s="315">
        <f>$R1911*O1911</f>
        <v>0</v>
      </c>
      <c r="O1911" s="69">
        <v>0.1</v>
      </c>
      <c r="P1911" s="120">
        <f>$R1911*Q1911</f>
        <v>0</v>
      </c>
      <c r="Q1911" s="69">
        <v>0</v>
      </c>
      <c r="R1911" s="88">
        <f>'Terms and Turnovers'!AE197</f>
        <v>0</v>
      </c>
      <c r="S1911" s="161">
        <f>SUM(G1911,I1911,K1911,M1911,O1911,Q1911)</f>
        <v>0.99999999999999989</v>
      </c>
      <c r="T1911" s="120">
        <f>$AF1911*U1911</f>
        <v>0</v>
      </c>
      <c r="U1911" s="723">
        <v>0</v>
      </c>
      <c r="V1911" s="120">
        <f>$AF1911*W1911</f>
        <v>0</v>
      </c>
      <c r="W1911" s="69">
        <v>0.15</v>
      </c>
      <c r="X1911" s="120">
        <f>$AF1911*Y1911</f>
        <v>0</v>
      </c>
      <c r="Y1911" s="69">
        <v>0.6</v>
      </c>
      <c r="Z1911" s="120">
        <f>$AF1911*AA1911</f>
        <v>0</v>
      </c>
      <c r="AA1911" s="69">
        <v>0.25</v>
      </c>
      <c r="AB1911" s="315">
        <f>$AF1911*AC1911</f>
        <v>0</v>
      </c>
      <c r="AC1911" s="69">
        <v>0</v>
      </c>
      <c r="AD1911" s="120">
        <f>$AF1911*AE1911</f>
        <v>0</v>
      </c>
      <c r="AE1911" s="69">
        <v>0</v>
      </c>
      <c r="AF1911" s="88">
        <f>'Terms and Turnovers'!AJ197</f>
        <v>0</v>
      </c>
      <c r="AG1911" s="161">
        <f>SUM(U1911,W1911,Y1911,AA1911,AC1911,AE1911)</f>
        <v>1</v>
      </c>
      <c r="AH1911" s="158">
        <f>SUM(R1911,AF1911)</f>
        <v>0</v>
      </c>
      <c r="AI1911" s="134">
        <f>S1911+AG1911</f>
        <v>2</v>
      </c>
      <c r="AJ1911" s="65"/>
      <c r="AL1911" s="461">
        <f>SUM(F1911,H1911,J1911,L1911,N1911,P1911,T1911,V1911,X1911,Z1911,AB1911,AD1911)</f>
        <v>0</v>
      </c>
      <c r="AM1911" s="462">
        <f>AL1911-AH1911</f>
        <v>0</v>
      </c>
      <c r="AV1911" s="56"/>
    </row>
    <row r="1912" spans="1:48" ht="13.5" customHeight="1" outlineLevel="2" thickBot="1">
      <c r="B1912" s="82"/>
      <c r="C1912" s="1234"/>
      <c r="D1912" s="1234"/>
      <c r="E1912" s="84">
        <f>'Terms and Turnovers'!$AN$12</f>
        <v>0</v>
      </c>
      <c r="F1912" s="120">
        <f>$R1912*G1912</f>
        <v>0</v>
      </c>
      <c r="G1912" s="723"/>
      <c r="H1912" s="120">
        <f>$R1912*I1912</f>
        <v>0</v>
      </c>
      <c r="I1912" s="69">
        <v>0</v>
      </c>
      <c r="J1912" s="120">
        <f>$R1912*K1912</f>
        <v>0</v>
      </c>
      <c r="K1912" s="69">
        <v>0</v>
      </c>
      <c r="L1912" s="120">
        <f>$R1912*M1912</f>
        <v>0</v>
      </c>
      <c r="M1912" s="69">
        <v>0</v>
      </c>
      <c r="N1912" s="315">
        <f>$R1912*O1912</f>
        <v>0</v>
      </c>
      <c r="O1912" s="69">
        <v>0</v>
      </c>
      <c r="P1912" s="120">
        <f>$R1912*Q1912</f>
        <v>0</v>
      </c>
      <c r="Q1912" s="69">
        <v>0</v>
      </c>
      <c r="R1912" s="88">
        <f>'Terms and Turnovers'!AO197</f>
        <v>0</v>
      </c>
      <c r="S1912" s="161">
        <f>SUM(G1912,I1912,K1912,M1912,O1912,Q1912)</f>
        <v>0</v>
      </c>
      <c r="T1912" s="120">
        <f>$AF1912*U1912</f>
        <v>0</v>
      </c>
      <c r="U1912" s="723">
        <v>0</v>
      </c>
      <c r="V1912" s="120">
        <f>$AF1912*W1912</f>
        <v>0</v>
      </c>
      <c r="W1912" s="69">
        <v>0.4</v>
      </c>
      <c r="X1912" s="120">
        <f>$AF1912*Y1912</f>
        <v>0</v>
      </c>
      <c r="Y1912" s="69">
        <v>0.35</v>
      </c>
      <c r="Z1912" s="120">
        <f>$AF1912*AA1912</f>
        <v>0</v>
      </c>
      <c r="AA1912" s="69">
        <v>0.13</v>
      </c>
      <c r="AB1912" s="315">
        <f>$AF1912*AC1912</f>
        <v>0</v>
      </c>
      <c r="AC1912" s="69">
        <v>0.05</v>
      </c>
      <c r="AD1912" s="120">
        <f>$AF1912*AE1912</f>
        <v>0</v>
      </c>
      <c r="AE1912" s="69">
        <v>0.02</v>
      </c>
      <c r="AF1912" s="88">
        <f>'Terms and Turnovers'!AT197</f>
        <v>0</v>
      </c>
      <c r="AG1912" s="161">
        <f>SUM(U1912,W1912,Y1912,AA1912,AC1912,AE1912)</f>
        <v>0.95000000000000007</v>
      </c>
      <c r="AH1912" s="158">
        <f>SUM(R1912,AF1912)</f>
        <v>0</v>
      </c>
      <c r="AI1912" s="134">
        <f>S1912+AG1912</f>
        <v>0.95000000000000007</v>
      </c>
      <c r="AJ1912" s="65"/>
      <c r="AL1912" s="461">
        <f>SUM(F1912,H1912,J1912,L1912,N1912,P1912,T1912,V1912,X1912,Z1912,AB1912,AD1912)</f>
        <v>0</v>
      </c>
      <c r="AM1912" s="462">
        <f>AL1912-AH1912</f>
        <v>0</v>
      </c>
      <c r="AV1912" s="56"/>
    </row>
    <row r="1913" spans="1:48" ht="13.5" customHeight="1" outlineLevel="2" thickBot="1">
      <c r="B1913" s="82"/>
      <c r="C1913" s="1235"/>
      <c r="D1913" s="1235"/>
      <c r="E1913" s="85">
        <f>'Terms and Turnovers'!$AX$12</f>
        <v>0</v>
      </c>
      <c r="F1913" s="121">
        <f>$R1913*G1913</f>
        <v>0</v>
      </c>
      <c r="G1913" s="72"/>
      <c r="H1913" s="121">
        <f>$R1913*I1913</f>
        <v>0</v>
      </c>
      <c r="I1913" s="69">
        <v>0</v>
      </c>
      <c r="J1913" s="121">
        <f>$R1913*K1913</f>
        <v>0</v>
      </c>
      <c r="K1913" s="69">
        <v>0</v>
      </c>
      <c r="L1913" s="121">
        <f>$R1913*M1913</f>
        <v>0</v>
      </c>
      <c r="M1913" s="69">
        <v>0</v>
      </c>
      <c r="N1913" s="316">
        <f>$R1913*O1913</f>
        <v>0</v>
      </c>
      <c r="O1913" s="69">
        <v>0</v>
      </c>
      <c r="P1913" s="121">
        <f>$R1913*Q1913</f>
        <v>0</v>
      </c>
      <c r="Q1913" s="69">
        <v>0</v>
      </c>
      <c r="R1913" s="89">
        <f>'Terms and Turnovers'!AY197</f>
        <v>0</v>
      </c>
      <c r="S1913" s="162">
        <f>SUM(G1913,I1913,K1913,M1913,O1913,Q1913)</f>
        <v>0</v>
      </c>
      <c r="T1913" s="121">
        <f>$AF1913*U1913</f>
        <v>0</v>
      </c>
      <c r="U1913" s="72">
        <v>0</v>
      </c>
      <c r="V1913" s="121">
        <f>$AF1913*W1913</f>
        <v>0</v>
      </c>
      <c r="W1913" s="69">
        <v>0.4</v>
      </c>
      <c r="X1913" s="121">
        <f>$AF1913*Y1913</f>
        <v>0</v>
      </c>
      <c r="Y1913" s="69">
        <v>0.35</v>
      </c>
      <c r="Z1913" s="121">
        <f>$AF1913*AA1913</f>
        <v>0</v>
      </c>
      <c r="AA1913" s="69">
        <v>0.13</v>
      </c>
      <c r="AB1913" s="316">
        <f>$AF1913*AC1913</f>
        <v>0</v>
      </c>
      <c r="AC1913" s="69">
        <v>0.05</v>
      </c>
      <c r="AD1913" s="121">
        <f>$AF1913*AE1913</f>
        <v>0</v>
      </c>
      <c r="AE1913" s="69">
        <v>0.02</v>
      </c>
      <c r="AF1913" s="89">
        <f>'Terms and Turnovers'!BD197</f>
        <v>0</v>
      </c>
      <c r="AG1913" s="162">
        <f>SUM(U1913,W1913,Y1913,AA1913,AC1913,AE1913)</f>
        <v>0.95000000000000007</v>
      </c>
      <c r="AH1913" s="159">
        <f>SUM(R1913,AF1913)</f>
        <v>0</v>
      </c>
      <c r="AI1913" s="137">
        <f>S1913+AG1913</f>
        <v>0.95000000000000007</v>
      </c>
      <c r="AJ1913" s="65"/>
      <c r="AL1913" s="461">
        <f>SUM(F1913,H1913,J1913,L1913,N1913,P1913,T1913,V1913,X1913,Z1913,AB1913,AD1913)</f>
        <v>0</v>
      </c>
      <c r="AM1913" s="462">
        <f>AL1913-AH1913</f>
        <v>0</v>
      </c>
      <c r="AV1913" s="56"/>
    </row>
    <row r="1914" spans="1:48" ht="13.5" customHeight="1" outlineLevel="2" thickBot="1">
      <c r="A1914" s="119"/>
      <c r="B1914" s="82"/>
      <c r="C1914" s="425"/>
      <c r="D1914" s="425"/>
      <c r="E1914" s="426"/>
      <c r="F1914" s="427">
        <f>SUM(F1909:F1913)</f>
        <v>0</v>
      </c>
      <c r="G1914" s="428"/>
      <c r="H1914" s="427">
        <f>SUM(H1909:H1913)</f>
        <v>0</v>
      </c>
      <c r="I1914" s="69"/>
      <c r="J1914" s="427">
        <f>SUM(J1909:J1913)</f>
        <v>0</v>
      </c>
      <c r="K1914" s="69"/>
      <c r="L1914" s="427">
        <f>SUM(L1909:L1913)</f>
        <v>0</v>
      </c>
      <c r="M1914" s="69"/>
      <c r="N1914" s="427">
        <f>SUM(N1909:N1913)</f>
        <v>0</v>
      </c>
      <c r="O1914" s="69"/>
      <c r="P1914" s="427">
        <f>SUM(P1909:P1913)</f>
        <v>0</v>
      </c>
      <c r="Q1914" s="69"/>
      <c r="R1914" s="429"/>
      <c r="S1914" s="430"/>
      <c r="T1914" s="427">
        <f>SUM(T1909:T1913)</f>
        <v>0</v>
      </c>
      <c r="U1914" s="428"/>
      <c r="V1914" s="427">
        <f>SUM(V1909:V1913)</f>
        <v>0</v>
      </c>
      <c r="W1914" s="69"/>
      <c r="X1914" s="427">
        <f>SUM(X1909:X1913)</f>
        <v>0</v>
      </c>
      <c r="Y1914" s="69"/>
      <c r="Z1914" s="427">
        <f>SUM(Z1909:Z1913)</f>
        <v>0</v>
      </c>
      <c r="AA1914" s="69"/>
      <c r="AB1914" s="427">
        <f>SUM(AB1909:AB1913)</f>
        <v>0</v>
      </c>
      <c r="AC1914" s="69"/>
      <c r="AD1914" s="427">
        <f>SUM(AD1909:AD1913)</f>
        <v>0</v>
      </c>
      <c r="AE1914" s="69"/>
      <c r="AF1914" s="429"/>
      <c r="AG1914" s="430"/>
      <c r="AH1914" s="431"/>
      <c r="AI1914" s="432"/>
      <c r="AJ1914" s="65"/>
      <c r="AV1914" s="56"/>
    </row>
    <row r="1915" spans="1:48" ht="13.5" customHeight="1" outlineLevel="2" thickBot="1">
      <c r="A1915" s="119"/>
      <c r="B1915" s="82"/>
      <c r="C1915" s="433" t="s">
        <v>484</v>
      </c>
      <c r="D1915" s="433"/>
      <c r="E1915" s="426"/>
      <c r="F1915" s="434">
        <f>F1914</f>
        <v>0</v>
      </c>
      <c r="G1915" s="428"/>
      <c r="H1915" s="434">
        <f>H1914</f>
        <v>0</v>
      </c>
      <c r="I1915" s="69"/>
      <c r="J1915" s="434">
        <f>J1914</f>
        <v>0</v>
      </c>
      <c r="K1915" s="69"/>
      <c r="L1915" s="434">
        <f>L1914</f>
        <v>0</v>
      </c>
      <c r="M1915" s="69"/>
      <c r="N1915" s="434">
        <f>N1914</f>
        <v>0</v>
      </c>
      <c r="O1915" s="69"/>
      <c r="P1915" s="434">
        <f>P1914</f>
        <v>0</v>
      </c>
      <c r="Q1915" s="69"/>
      <c r="R1915" s="429"/>
      <c r="S1915" s="430"/>
      <c r="T1915" s="434">
        <f>T1914</f>
        <v>0</v>
      </c>
      <c r="U1915" s="428">
        <f>Q1914</f>
        <v>0</v>
      </c>
      <c r="V1915" s="434">
        <f>V1914</f>
        <v>0</v>
      </c>
      <c r="W1915" s="69">
        <f>S1914</f>
        <v>0</v>
      </c>
      <c r="X1915" s="434">
        <f>X1914</f>
        <v>0</v>
      </c>
      <c r="Y1915" s="69">
        <f>U1914</f>
        <v>0</v>
      </c>
      <c r="Z1915" s="434">
        <f>Z1914</f>
        <v>0</v>
      </c>
      <c r="AA1915" s="69">
        <f>W1914</f>
        <v>0</v>
      </c>
      <c r="AB1915" s="434">
        <f>AB1914</f>
        <v>0</v>
      </c>
      <c r="AC1915" s="69">
        <f>Y1914</f>
        <v>0</v>
      </c>
      <c r="AD1915" s="434">
        <f>AD1914</f>
        <v>0</v>
      </c>
      <c r="AE1915" s="69"/>
      <c r="AF1915" s="429"/>
      <c r="AG1915" s="430"/>
      <c r="AH1915" s="431"/>
      <c r="AI1915" s="432"/>
      <c r="AJ1915" s="65"/>
      <c r="AV1915" s="56"/>
    </row>
    <row r="1916" spans="1:48" ht="13.5" customHeight="1" outlineLevel="2" thickBot="1">
      <c r="B1916" s="82">
        <f>B1909+1</f>
        <v>67</v>
      </c>
      <c r="C1916" s="1233">
        <f>C475</f>
        <v>0</v>
      </c>
      <c r="D1916" s="1233">
        <f>D475</f>
        <v>0</v>
      </c>
      <c r="E1916" s="83" t="str">
        <f>'Terms and Turnovers'!$J$12</f>
        <v>FLIP-FLOPS</v>
      </c>
      <c r="F1916" s="121">
        <f>$R1916*G1916</f>
        <v>0</v>
      </c>
      <c r="G1916" s="69"/>
      <c r="H1916" s="316">
        <f>$R1916*I1916</f>
        <v>0</v>
      </c>
      <c r="I1916" s="69">
        <v>0.09</v>
      </c>
      <c r="J1916" s="118">
        <f>$R1916*K1916</f>
        <v>0</v>
      </c>
      <c r="K1916" s="69">
        <v>0.17</v>
      </c>
      <c r="L1916" s="314">
        <f>$R1916*M1916</f>
        <v>0</v>
      </c>
      <c r="M1916" s="69">
        <v>0.36</v>
      </c>
      <c r="N1916" s="314">
        <f>$R1916*O1916</f>
        <v>0</v>
      </c>
      <c r="O1916" s="69">
        <v>0.28000000000000003</v>
      </c>
      <c r="P1916" s="121">
        <f>$R1916*Q1916</f>
        <v>0</v>
      </c>
      <c r="Q1916" s="69">
        <v>0.1</v>
      </c>
      <c r="R1916" s="87">
        <f>'Terms and Turnovers'!K198</f>
        <v>0</v>
      </c>
      <c r="S1916" s="160">
        <f>SUM(G1916,I1916,K1916,M1916,O1916,Q1916)</f>
        <v>1</v>
      </c>
      <c r="T1916" s="118">
        <f>$AF1916*U1916</f>
        <v>0</v>
      </c>
      <c r="U1916" s="69">
        <v>0.03</v>
      </c>
      <c r="V1916" s="314">
        <f>$AF1916*W1916</f>
        <v>0</v>
      </c>
      <c r="W1916" s="69">
        <v>0.35</v>
      </c>
      <c r="X1916" s="118">
        <f>$AF1916*Y1916</f>
        <v>0</v>
      </c>
      <c r="Y1916" s="69">
        <v>0.43</v>
      </c>
      <c r="Z1916" s="314">
        <f>$AF1916*AA1916</f>
        <v>0</v>
      </c>
      <c r="AA1916" s="69">
        <v>0.13</v>
      </c>
      <c r="AB1916" s="314">
        <f>$AF1916*AC1916</f>
        <v>0</v>
      </c>
      <c r="AC1916" s="69">
        <v>0.05</v>
      </c>
      <c r="AD1916" s="118">
        <f>$AF1916*AE1916</f>
        <v>0</v>
      </c>
      <c r="AE1916" s="69">
        <v>0.01</v>
      </c>
      <c r="AF1916" s="87">
        <f>'Terms and Turnovers'!P198</f>
        <v>0</v>
      </c>
      <c r="AG1916" s="160">
        <f>SUM(U1916,W1916,Y1916,AA1916,AC1916,AE1916)</f>
        <v>1</v>
      </c>
      <c r="AH1916" s="157">
        <f>SUM(R1916,AF1916)</f>
        <v>0</v>
      </c>
      <c r="AI1916" s="131">
        <f>S1916+AG1916</f>
        <v>2</v>
      </c>
      <c r="AJ1916" s="65"/>
      <c r="AL1916" s="461">
        <f>SUM(F1916,H1916,J1916,L1916,N1916,P1916,T1916,V1916,X1916,Z1916,AB1916,AD1916)</f>
        <v>0</v>
      </c>
      <c r="AM1916" s="462">
        <f>AL1916-AH1916</f>
        <v>0</v>
      </c>
      <c r="AV1916" s="56"/>
    </row>
    <row r="1917" spans="1:48" ht="13.5" customHeight="1" outlineLevel="2" thickBot="1">
      <c r="B1917" s="82"/>
      <c r="C1917" s="1234"/>
      <c r="D1917" s="1234"/>
      <c r="E1917" s="84" t="str">
        <f>'Terms and Turnovers'!$T$12</f>
        <v>ORIGINALS</v>
      </c>
      <c r="F1917" s="121">
        <f>$R1917*G1917</f>
        <v>0</v>
      </c>
      <c r="G1917" s="723"/>
      <c r="H1917" s="121">
        <f>$R1917*I1917</f>
        <v>0</v>
      </c>
      <c r="I1917" s="69">
        <v>0</v>
      </c>
      <c r="J1917" s="120">
        <f>$R1917*K1917</f>
        <v>0</v>
      </c>
      <c r="K1917" s="69">
        <v>0.3</v>
      </c>
      <c r="L1917" s="120">
        <f>$R1917*M1917</f>
        <v>0</v>
      </c>
      <c r="M1917" s="69">
        <v>0.6</v>
      </c>
      <c r="N1917" s="315">
        <f>$R1917*O1917</f>
        <v>0</v>
      </c>
      <c r="O1917" s="69">
        <v>0.1</v>
      </c>
      <c r="P1917" s="121">
        <f>$R1917*Q1917</f>
        <v>0</v>
      </c>
      <c r="Q1917" s="69">
        <v>0</v>
      </c>
      <c r="R1917" s="88">
        <f>'Terms and Turnovers'!U198</f>
        <v>0</v>
      </c>
      <c r="S1917" s="161">
        <f>SUM(G1917,I1917,K1917,M1917,O1917,Q1917)</f>
        <v>0.99999999999999989</v>
      </c>
      <c r="T1917" s="120">
        <f>$AF1917*U1917</f>
        <v>0</v>
      </c>
      <c r="U1917" s="723">
        <v>0</v>
      </c>
      <c r="V1917" s="120">
        <f>$AF1917*W1917</f>
        <v>0</v>
      </c>
      <c r="W1917" s="69">
        <v>0.15</v>
      </c>
      <c r="X1917" s="120">
        <f>$AF1917*Y1917</f>
        <v>0</v>
      </c>
      <c r="Y1917" s="69">
        <v>0.6</v>
      </c>
      <c r="Z1917" s="120">
        <f>$AF1917*AA1917</f>
        <v>0</v>
      </c>
      <c r="AA1917" s="69">
        <v>0.25</v>
      </c>
      <c r="AB1917" s="315">
        <f>$AF1917*AC1917</f>
        <v>0</v>
      </c>
      <c r="AC1917" s="69">
        <v>0</v>
      </c>
      <c r="AD1917" s="120">
        <f>$AF1917*AE1917</f>
        <v>0</v>
      </c>
      <c r="AE1917" s="69">
        <v>0</v>
      </c>
      <c r="AF1917" s="88">
        <f>'Terms and Turnovers'!Z198</f>
        <v>0</v>
      </c>
      <c r="AG1917" s="161">
        <f>SUM(U1917,W1917,Y1917,AA1917,AC1917,AE1917)</f>
        <v>1</v>
      </c>
      <c r="AH1917" s="158">
        <f>SUM(R1917,AF1917)</f>
        <v>0</v>
      </c>
      <c r="AI1917" s="134">
        <f>S1917+AG1917</f>
        <v>2</v>
      </c>
      <c r="AJ1917" s="65"/>
      <c r="AL1917" s="461">
        <f>SUM(F1917,H1917,J1917,L1917,N1917,P1917,T1917,V1917,X1917,Z1917,AB1917,AD1917)</f>
        <v>0</v>
      </c>
      <c r="AM1917" s="462">
        <f>AL1917-AH1917</f>
        <v>0</v>
      </c>
      <c r="AV1917" s="56"/>
    </row>
    <row r="1918" spans="1:48" ht="13.5" customHeight="1" outlineLevel="2" thickBot="1">
      <c r="B1918" s="82"/>
      <c r="C1918" s="1234"/>
      <c r="D1918" s="1234"/>
      <c r="E1918" s="84" t="str">
        <f>'Terms and Turnovers'!$AD$12</f>
        <v>ACCESSORIES</v>
      </c>
      <c r="F1918" s="121">
        <f>$R1918*G1918</f>
        <v>0</v>
      </c>
      <c r="G1918" s="723"/>
      <c r="H1918" s="121">
        <f>$R1918*I1918</f>
        <v>0</v>
      </c>
      <c r="I1918" s="69">
        <v>0</v>
      </c>
      <c r="J1918" s="120">
        <f>$R1918*K1918</f>
        <v>0</v>
      </c>
      <c r="K1918" s="69">
        <v>0.3</v>
      </c>
      <c r="L1918" s="120">
        <f>$R1918*M1918</f>
        <v>0</v>
      </c>
      <c r="M1918" s="69">
        <v>0.6</v>
      </c>
      <c r="N1918" s="315">
        <f>$R1918*O1918</f>
        <v>0</v>
      </c>
      <c r="O1918" s="69">
        <v>0.1</v>
      </c>
      <c r="P1918" s="121">
        <f>$R1918*Q1918</f>
        <v>0</v>
      </c>
      <c r="Q1918" s="69">
        <v>0</v>
      </c>
      <c r="R1918" s="88">
        <f>'Terms and Turnovers'!AE198</f>
        <v>0</v>
      </c>
      <c r="S1918" s="161">
        <f>SUM(G1918,I1918,K1918,M1918,O1918,Q1918)</f>
        <v>0.99999999999999989</v>
      </c>
      <c r="T1918" s="120">
        <f>$AF1918*U1918</f>
        <v>0</v>
      </c>
      <c r="U1918" s="723">
        <v>0</v>
      </c>
      <c r="V1918" s="120">
        <f>$AF1918*W1918</f>
        <v>0</v>
      </c>
      <c r="W1918" s="69">
        <v>0.15</v>
      </c>
      <c r="X1918" s="120">
        <f>$AF1918*Y1918</f>
        <v>0</v>
      </c>
      <c r="Y1918" s="69">
        <v>0.6</v>
      </c>
      <c r="Z1918" s="120">
        <f>$AF1918*AA1918</f>
        <v>0</v>
      </c>
      <c r="AA1918" s="69">
        <v>0.25</v>
      </c>
      <c r="AB1918" s="315">
        <f>$AF1918*AC1918</f>
        <v>0</v>
      </c>
      <c r="AC1918" s="69">
        <v>0</v>
      </c>
      <c r="AD1918" s="120">
        <f>$AF1918*AE1918</f>
        <v>0</v>
      </c>
      <c r="AE1918" s="69">
        <v>0</v>
      </c>
      <c r="AF1918" s="88">
        <f>'Terms and Turnovers'!AJ198</f>
        <v>0</v>
      </c>
      <c r="AG1918" s="161">
        <f>SUM(U1918,W1918,Y1918,AA1918,AC1918,AE1918)</f>
        <v>1</v>
      </c>
      <c r="AH1918" s="158">
        <f>SUM(R1918,AF1918)</f>
        <v>0</v>
      </c>
      <c r="AI1918" s="134">
        <f>S1918+AG1918</f>
        <v>2</v>
      </c>
      <c r="AJ1918" s="65"/>
      <c r="AL1918" s="461">
        <f>SUM(F1918,H1918,J1918,L1918,N1918,P1918,T1918,V1918,X1918,Z1918,AB1918,AD1918)</f>
        <v>0</v>
      </c>
      <c r="AM1918" s="462">
        <f>AL1918-AH1918</f>
        <v>0</v>
      </c>
      <c r="AV1918" s="56"/>
    </row>
    <row r="1919" spans="1:48" ht="13.5" customHeight="1" outlineLevel="2" thickBot="1">
      <c r="B1919" s="82"/>
      <c r="C1919" s="1234"/>
      <c r="D1919" s="1234"/>
      <c r="E1919" s="84">
        <f>'Terms and Turnovers'!$AN$12</f>
        <v>0</v>
      </c>
      <c r="F1919" s="121">
        <f>$R1919*G1919</f>
        <v>0</v>
      </c>
      <c r="G1919" s="723"/>
      <c r="H1919" s="121">
        <f>$R1919*I1919</f>
        <v>0</v>
      </c>
      <c r="I1919" s="69">
        <v>0</v>
      </c>
      <c r="J1919" s="120">
        <f>$R1919*K1919</f>
        <v>0</v>
      </c>
      <c r="K1919" s="69">
        <v>0</v>
      </c>
      <c r="L1919" s="120">
        <f>$R1919*M1919</f>
        <v>0</v>
      </c>
      <c r="M1919" s="69">
        <v>0.73</v>
      </c>
      <c r="N1919" s="315">
        <f>$R1919*O1919</f>
        <v>0</v>
      </c>
      <c r="O1919" s="69">
        <v>0.17</v>
      </c>
      <c r="P1919" s="121">
        <f>$R1919*Q1919</f>
        <v>0</v>
      </c>
      <c r="Q1919" s="69">
        <v>0.1</v>
      </c>
      <c r="R1919" s="88">
        <f>'Terms and Turnovers'!AO198</f>
        <v>0</v>
      </c>
      <c r="S1919" s="161">
        <f>SUM(G1919,I1919,K1919,M1919,O1919,Q1919)</f>
        <v>1</v>
      </c>
      <c r="T1919" s="120">
        <f>$AF1919*U1919</f>
        <v>0</v>
      </c>
      <c r="U1919" s="723">
        <v>0</v>
      </c>
      <c r="V1919" s="120">
        <f>$AF1919*W1919</f>
        <v>0</v>
      </c>
      <c r="W1919" s="69">
        <v>0.4</v>
      </c>
      <c r="X1919" s="120">
        <f>$AF1919*Y1919</f>
        <v>0</v>
      </c>
      <c r="Y1919" s="69">
        <v>0.35</v>
      </c>
      <c r="Z1919" s="120">
        <f>$AF1919*AA1919</f>
        <v>0</v>
      </c>
      <c r="AA1919" s="69">
        <v>0.13</v>
      </c>
      <c r="AB1919" s="315">
        <f>$AF1919*AC1919</f>
        <v>0</v>
      </c>
      <c r="AC1919" s="69">
        <v>0.05</v>
      </c>
      <c r="AD1919" s="120">
        <f>$AF1919*AE1919</f>
        <v>0</v>
      </c>
      <c r="AE1919" s="69">
        <v>0.02</v>
      </c>
      <c r="AF1919" s="88">
        <f>'Terms and Turnovers'!AT198</f>
        <v>0</v>
      </c>
      <c r="AG1919" s="161">
        <f>SUM(U1919,W1919,Y1919,AA1919,AC1919,AE1919)</f>
        <v>0.95000000000000007</v>
      </c>
      <c r="AH1919" s="158">
        <f>SUM(R1919,AF1919)</f>
        <v>0</v>
      </c>
      <c r="AI1919" s="134">
        <f>S1919+AG1919</f>
        <v>1.9500000000000002</v>
      </c>
      <c r="AJ1919" s="65"/>
      <c r="AL1919" s="461">
        <f>SUM(F1919,H1919,J1919,L1919,N1919,P1919,T1919,V1919,X1919,Z1919,AB1919,AD1919)</f>
        <v>0</v>
      </c>
      <c r="AM1919" s="462">
        <f>AL1919-AH1919</f>
        <v>0</v>
      </c>
      <c r="AV1919" s="56"/>
    </row>
    <row r="1920" spans="1:48" ht="13.5" customHeight="1" outlineLevel="2" thickBot="1">
      <c r="B1920" s="82"/>
      <c r="C1920" s="1235"/>
      <c r="D1920" s="1235"/>
      <c r="E1920" s="85">
        <f>'Terms and Turnovers'!$AX$12</f>
        <v>0</v>
      </c>
      <c r="F1920" s="121">
        <f>$R1920*G1920</f>
        <v>0</v>
      </c>
      <c r="G1920" s="72"/>
      <c r="H1920" s="121">
        <f>$R1920*I1920</f>
        <v>0</v>
      </c>
      <c r="I1920" s="69">
        <v>0</v>
      </c>
      <c r="J1920" s="121">
        <f>$R1920*K1920</f>
        <v>0</v>
      </c>
      <c r="K1920" s="69">
        <v>0</v>
      </c>
      <c r="L1920" s="121">
        <f>$R1920*M1920</f>
        <v>0</v>
      </c>
      <c r="M1920" s="69">
        <v>0.73</v>
      </c>
      <c r="N1920" s="316">
        <f>$R1920*O1920</f>
        <v>0</v>
      </c>
      <c r="O1920" s="69">
        <v>0.17</v>
      </c>
      <c r="P1920" s="121">
        <f>$R1920*Q1920</f>
        <v>0</v>
      </c>
      <c r="Q1920" s="69">
        <v>0.1</v>
      </c>
      <c r="R1920" s="89">
        <f>'Terms and Turnovers'!AY198</f>
        <v>0</v>
      </c>
      <c r="S1920" s="162">
        <f>SUM(G1920,I1920,K1920,M1920,O1920,Q1920)</f>
        <v>1</v>
      </c>
      <c r="T1920" s="121">
        <f>$AF1920*U1920</f>
        <v>0</v>
      </c>
      <c r="U1920" s="72">
        <v>0</v>
      </c>
      <c r="V1920" s="121">
        <f>$AF1920*W1920</f>
        <v>0</v>
      </c>
      <c r="W1920" s="69">
        <v>0.4</v>
      </c>
      <c r="X1920" s="121">
        <f>$AF1920*Y1920</f>
        <v>0</v>
      </c>
      <c r="Y1920" s="69">
        <v>0.35</v>
      </c>
      <c r="Z1920" s="121">
        <f>$AF1920*AA1920</f>
        <v>0</v>
      </c>
      <c r="AA1920" s="69">
        <v>0.13</v>
      </c>
      <c r="AB1920" s="316">
        <f>$AF1920*AC1920</f>
        <v>0</v>
      </c>
      <c r="AC1920" s="69">
        <v>0.05</v>
      </c>
      <c r="AD1920" s="121">
        <f>$AF1920*AE1920</f>
        <v>0</v>
      </c>
      <c r="AE1920" s="69">
        <v>0.02</v>
      </c>
      <c r="AF1920" s="89">
        <f>'Terms and Turnovers'!BD198</f>
        <v>0</v>
      </c>
      <c r="AG1920" s="162">
        <f>SUM(U1920,W1920,Y1920,AA1920,AC1920,AE1920)</f>
        <v>0.95000000000000007</v>
      </c>
      <c r="AH1920" s="159">
        <f>SUM(R1920,AF1920)</f>
        <v>0</v>
      </c>
      <c r="AI1920" s="137">
        <f>S1920+AG1920</f>
        <v>1.9500000000000002</v>
      </c>
      <c r="AJ1920" s="65"/>
      <c r="AL1920" s="461">
        <f>SUM(F1920,H1920,J1920,L1920,N1920,P1920,T1920,V1920,X1920,Z1920,AB1920,AD1920)</f>
        <v>0</v>
      </c>
      <c r="AM1920" s="462">
        <f>AL1920-AH1920</f>
        <v>0</v>
      </c>
      <c r="AV1920" s="56"/>
    </row>
    <row r="1921" spans="1:48" ht="13.5" customHeight="1" outlineLevel="2" thickBot="1">
      <c r="A1921" s="119"/>
      <c r="B1921" s="82"/>
      <c r="C1921" s="425"/>
      <c r="D1921" s="425"/>
      <c r="E1921" s="426"/>
      <c r="F1921" s="427">
        <f>SUM(F1916:F1920)</f>
        <v>0</v>
      </c>
      <c r="G1921" s="428"/>
      <c r="H1921" s="427">
        <f>SUM(H1916:H1920)</f>
        <v>0</v>
      </c>
      <c r="I1921" s="69"/>
      <c r="J1921" s="427">
        <f>SUM(J1916:J1920)</f>
        <v>0</v>
      </c>
      <c r="K1921" s="69"/>
      <c r="L1921" s="427">
        <f>SUM(L1916:L1920)</f>
        <v>0</v>
      </c>
      <c r="M1921" s="69"/>
      <c r="N1921" s="427">
        <f>SUM(N1916:N1920)</f>
        <v>0</v>
      </c>
      <c r="O1921" s="69"/>
      <c r="P1921" s="427">
        <f>SUM(P1916:P1920)</f>
        <v>0</v>
      </c>
      <c r="Q1921" s="69"/>
      <c r="R1921" s="429"/>
      <c r="S1921" s="430"/>
      <c r="T1921" s="427">
        <f>SUM(T1916:T1920)</f>
        <v>0</v>
      </c>
      <c r="U1921" s="428"/>
      <c r="V1921" s="427">
        <f>SUM(V1916:V1920)</f>
        <v>0</v>
      </c>
      <c r="W1921" s="69"/>
      <c r="X1921" s="427">
        <f>SUM(X1916:X1920)</f>
        <v>0</v>
      </c>
      <c r="Y1921" s="69"/>
      <c r="Z1921" s="427">
        <f>SUM(Z1916:Z1920)</f>
        <v>0</v>
      </c>
      <c r="AA1921" s="69"/>
      <c r="AB1921" s="427">
        <f>SUM(AB1916:AB1920)</f>
        <v>0</v>
      </c>
      <c r="AC1921" s="69"/>
      <c r="AD1921" s="427">
        <f>SUM(AD1916:AD1920)</f>
        <v>0</v>
      </c>
      <c r="AE1921" s="69"/>
      <c r="AF1921" s="429"/>
      <c r="AG1921" s="430"/>
      <c r="AH1921" s="431"/>
      <c r="AI1921" s="432"/>
      <c r="AJ1921" s="65"/>
      <c r="AV1921" s="56"/>
    </row>
    <row r="1922" spans="1:48" ht="13.5" customHeight="1" outlineLevel="2" thickBot="1">
      <c r="A1922" s="119"/>
      <c r="B1922" s="82"/>
      <c r="C1922" s="433" t="s">
        <v>484</v>
      </c>
      <c r="D1922" s="433"/>
      <c r="E1922" s="426"/>
      <c r="F1922" s="434"/>
      <c r="G1922" s="428"/>
      <c r="H1922" s="434">
        <v>0</v>
      </c>
      <c r="I1922" s="69"/>
      <c r="J1922" s="434">
        <f>F1921</f>
        <v>0</v>
      </c>
      <c r="K1922" s="69"/>
      <c r="L1922" s="434">
        <f>H1921</f>
        <v>0</v>
      </c>
      <c r="M1922" s="69"/>
      <c r="N1922" s="434">
        <f>J1921</f>
        <v>0</v>
      </c>
      <c r="O1922" s="69"/>
      <c r="P1922" s="434">
        <f>L1921</f>
        <v>0</v>
      </c>
      <c r="Q1922" s="69"/>
      <c r="R1922" s="429"/>
      <c r="S1922" s="430"/>
      <c r="T1922" s="434">
        <f>N1921</f>
        <v>0</v>
      </c>
      <c r="U1922" s="428"/>
      <c r="V1922" s="434">
        <f>P1921</f>
        <v>0</v>
      </c>
      <c r="W1922" s="69"/>
      <c r="X1922" s="434">
        <f>T1921</f>
        <v>0</v>
      </c>
      <c r="Y1922" s="69"/>
      <c r="Z1922" s="434">
        <f>V1921</f>
        <v>0</v>
      </c>
      <c r="AA1922" s="69"/>
      <c r="AB1922" s="434">
        <f>X1921</f>
        <v>0</v>
      </c>
      <c r="AC1922" s="69"/>
      <c r="AD1922" s="434">
        <f>Z1921</f>
        <v>0</v>
      </c>
      <c r="AE1922" s="69"/>
      <c r="AF1922" s="429"/>
      <c r="AG1922" s="430"/>
      <c r="AH1922" s="431"/>
      <c r="AI1922" s="432"/>
      <c r="AJ1922" s="65"/>
      <c r="AV1922" s="56"/>
    </row>
    <row r="1923" spans="1:48" ht="13.5" customHeight="1" outlineLevel="2" thickBot="1">
      <c r="B1923" s="82">
        <f>B1916+1</f>
        <v>68</v>
      </c>
      <c r="C1923" s="1233">
        <f>C482</f>
        <v>0</v>
      </c>
      <c r="D1923" s="1233">
        <f>D482</f>
        <v>0</v>
      </c>
      <c r="E1923" s="83" t="str">
        <f>'Terms and Turnovers'!$J$12</f>
        <v>FLIP-FLOPS</v>
      </c>
      <c r="F1923" s="118">
        <f>$R1923*G1923</f>
        <v>0</v>
      </c>
      <c r="G1923" s="69"/>
      <c r="H1923" s="314">
        <f>$R1923*I1923</f>
        <v>0</v>
      </c>
      <c r="I1923" s="69">
        <v>0</v>
      </c>
      <c r="J1923" s="118">
        <f>$R1923*K1923</f>
        <v>0</v>
      </c>
      <c r="K1923" s="69">
        <v>0.25</v>
      </c>
      <c r="L1923" s="314">
        <f>$R1923*M1923</f>
        <v>0</v>
      </c>
      <c r="M1923" s="69">
        <v>0.4</v>
      </c>
      <c r="N1923" s="314">
        <f>$R1923*O1923</f>
        <v>0</v>
      </c>
      <c r="O1923" s="69">
        <v>0.35</v>
      </c>
      <c r="P1923" s="118">
        <f>$R1923*Q1923</f>
        <v>0</v>
      </c>
      <c r="Q1923" s="69">
        <v>0</v>
      </c>
      <c r="R1923" s="87">
        <f>'Terms and Turnovers'!K199</f>
        <v>0</v>
      </c>
      <c r="S1923" s="160">
        <f>SUM(G1923,I1923,K1923,M1923,O1923,Q1923)</f>
        <v>1</v>
      </c>
      <c r="T1923" s="118">
        <f>$AF1923*U1923</f>
        <v>0</v>
      </c>
      <c r="U1923" s="69">
        <v>0</v>
      </c>
      <c r="V1923" s="314">
        <f>$AF1923*W1923</f>
        <v>0</v>
      </c>
      <c r="W1923" s="69">
        <v>0.37</v>
      </c>
      <c r="X1923" s="118">
        <f>$AF1923*Y1923</f>
        <v>0</v>
      </c>
      <c r="Y1923" s="69">
        <v>0.43</v>
      </c>
      <c r="Z1923" s="314">
        <f>$AF1923*AA1923</f>
        <v>0</v>
      </c>
      <c r="AA1923" s="69">
        <v>0.13</v>
      </c>
      <c r="AB1923" s="314">
        <f>$AF1923*AC1923</f>
        <v>0</v>
      </c>
      <c r="AC1923" s="69">
        <v>0.05</v>
      </c>
      <c r="AD1923" s="118">
        <f>$AF1923*AE1923</f>
        <v>0</v>
      </c>
      <c r="AE1923" s="69">
        <v>0.02</v>
      </c>
      <c r="AF1923" s="87">
        <f>'Terms and Turnovers'!P199</f>
        <v>0</v>
      </c>
      <c r="AG1923" s="160">
        <f>SUM(U1923,W1923,Y1923,AA1923,AC1923,AE1923)</f>
        <v>1</v>
      </c>
      <c r="AH1923" s="157">
        <f>SUM(R1923,AF1923)</f>
        <v>0</v>
      </c>
      <c r="AI1923" s="131">
        <f>S1923+AG1923</f>
        <v>2</v>
      </c>
      <c r="AJ1923" s="65"/>
      <c r="AL1923" s="461">
        <f>SUM(F1923,H1923,J1923,L1923,N1923,P1923,T1923,V1923,X1923,Z1923,AB1923,AD1923)</f>
        <v>0</v>
      </c>
      <c r="AM1923" s="462">
        <f>AL1923-AH1923</f>
        <v>0</v>
      </c>
      <c r="AV1923" s="56"/>
    </row>
    <row r="1924" spans="1:48" ht="13.5" customHeight="1" outlineLevel="2" thickBot="1">
      <c r="B1924" s="82"/>
      <c r="C1924" s="1234"/>
      <c r="D1924" s="1234"/>
      <c r="E1924" s="84" t="str">
        <f>'Terms and Turnovers'!$T$12</f>
        <v>ORIGINALS</v>
      </c>
      <c r="F1924" s="120">
        <f>$R1924*G1924</f>
        <v>0</v>
      </c>
      <c r="G1924" s="723"/>
      <c r="H1924" s="120">
        <f>$R1924*I1924</f>
        <v>0</v>
      </c>
      <c r="I1924" s="69">
        <v>0</v>
      </c>
      <c r="J1924" s="120">
        <f>$R1924*K1924</f>
        <v>0</v>
      </c>
      <c r="K1924" s="69">
        <v>0.3</v>
      </c>
      <c r="L1924" s="120">
        <f>$R1924*M1924</f>
        <v>0</v>
      </c>
      <c r="M1924" s="69">
        <v>0.6</v>
      </c>
      <c r="N1924" s="315">
        <f>$R1924*O1924</f>
        <v>0</v>
      </c>
      <c r="O1924" s="69">
        <v>0.1</v>
      </c>
      <c r="P1924" s="120">
        <f>$R1924*Q1924</f>
        <v>0</v>
      </c>
      <c r="Q1924" s="69">
        <v>0</v>
      </c>
      <c r="R1924" s="88">
        <f>'Terms and Turnovers'!U199</f>
        <v>0</v>
      </c>
      <c r="S1924" s="161">
        <f>SUM(G1924,I1924,K1924,M1924,O1924,Q1924)</f>
        <v>0.99999999999999989</v>
      </c>
      <c r="T1924" s="120">
        <f>$AF1924*U1924</f>
        <v>0</v>
      </c>
      <c r="U1924" s="723">
        <v>0</v>
      </c>
      <c r="V1924" s="120">
        <f>$AF1924*W1924</f>
        <v>0</v>
      </c>
      <c r="W1924" s="69">
        <v>0.15</v>
      </c>
      <c r="X1924" s="120">
        <f>$AF1924*Y1924</f>
        <v>0</v>
      </c>
      <c r="Y1924" s="69">
        <v>0.6</v>
      </c>
      <c r="Z1924" s="120">
        <f>$AF1924*AA1924</f>
        <v>0</v>
      </c>
      <c r="AA1924" s="69">
        <v>0.25</v>
      </c>
      <c r="AB1924" s="315">
        <f>$AF1924*AC1924</f>
        <v>0</v>
      </c>
      <c r="AC1924" s="69">
        <v>0</v>
      </c>
      <c r="AD1924" s="120">
        <f>$AF1924*AE1924</f>
        <v>0</v>
      </c>
      <c r="AE1924" s="69">
        <v>0</v>
      </c>
      <c r="AF1924" s="88">
        <f>'Terms and Turnovers'!Z199</f>
        <v>0</v>
      </c>
      <c r="AG1924" s="161">
        <f>SUM(U1924,W1924,Y1924,AA1924,AC1924,AE1924)</f>
        <v>1</v>
      </c>
      <c r="AH1924" s="158">
        <f>SUM(R1924,AF1924)</f>
        <v>0</v>
      </c>
      <c r="AI1924" s="134">
        <f>S1924+AG1924</f>
        <v>2</v>
      </c>
      <c r="AJ1924" s="65"/>
      <c r="AL1924" s="461">
        <f>SUM(F1924,H1924,J1924,L1924,N1924,P1924,T1924,V1924,X1924,Z1924,AB1924,AD1924)</f>
        <v>0</v>
      </c>
      <c r="AM1924" s="462">
        <f>AL1924-AH1924</f>
        <v>0</v>
      </c>
      <c r="AV1924" s="56"/>
    </row>
    <row r="1925" spans="1:48" ht="13.5" customHeight="1" outlineLevel="2" thickBot="1">
      <c r="B1925" s="82"/>
      <c r="C1925" s="1234"/>
      <c r="D1925" s="1234"/>
      <c r="E1925" s="84" t="str">
        <f>'Terms and Turnovers'!$AD$12</f>
        <v>ACCESSORIES</v>
      </c>
      <c r="F1925" s="120">
        <f>$R1925*G1925</f>
        <v>0</v>
      </c>
      <c r="G1925" s="723"/>
      <c r="H1925" s="120">
        <f>$R1925*I1925</f>
        <v>0</v>
      </c>
      <c r="I1925" s="69">
        <v>0</v>
      </c>
      <c r="J1925" s="120">
        <f>$R1925*K1925</f>
        <v>0</v>
      </c>
      <c r="K1925" s="69">
        <v>0.3</v>
      </c>
      <c r="L1925" s="120">
        <f>$R1925*M1925</f>
        <v>0</v>
      </c>
      <c r="M1925" s="69">
        <v>0.6</v>
      </c>
      <c r="N1925" s="315">
        <f>$R1925*O1925</f>
        <v>0</v>
      </c>
      <c r="O1925" s="69">
        <v>0.1</v>
      </c>
      <c r="P1925" s="120">
        <f>$R1925*Q1925</f>
        <v>0</v>
      </c>
      <c r="Q1925" s="69">
        <v>0</v>
      </c>
      <c r="R1925" s="88">
        <f>'Terms and Turnovers'!AE199</f>
        <v>0</v>
      </c>
      <c r="S1925" s="161">
        <f>SUM(G1925,I1925,K1925,M1925,O1925,Q1925)</f>
        <v>0.99999999999999989</v>
      </c>
      <c r="T1925" s="120">
        <f>$AF1925*U1925</f>
        <v>0</v>
      </c>
      <c r="U1925" s="723">
        <v>0</v>
      </c>
      <c r="V1925" s="120">
        <f>$AF1925*W1925</f>
        <v>0</v>
      </c>
      <c r="W1925" s="69">
        <v>0.15</v>
      </c>
      <c r="X1925" s="120">
        <f>$AF1925*Y1925</f>
        <v>0</v>
      </c>
      <c r="Y1925" s="69">
        <v>0.6</v>
      </c>
      <c r="Z1925" s="120">
        <f>$AF1925*AA1925</f>
        <v>0</v>
      </c>
      <c r="AA1925" s="69">
        <v>0.25</v>
      </c>
      <c r="AB1925" s="315">
        <f>$AF1925*AC1925</f>
        <v>0</v>
      </c>
      <c r="AC1925" s="69">
        <v>0</v>
      </c>
      <c r="AD1925" s="120">
        <f>$AF1925*AE1925</f>
        <v>0</v>
      </c>
      <c r="AE1925" s="69">
        <v>0</v>
      </c>
      <c r="AF1925" s="88">
        <f>'Terms and Turnovers'!AJ199</f>
        <v>0</v>
      </c>
      <c r="AG1925" s="161">
        <f>SUM(U1925,W1925,Y1925,AA1925,AC1925,AE1925)</f>
        <v>1</v>
      </c>
      <c r="AH1925" s="158">
        <f>SUM(R1925,AF1925)</f>
        <v>0</v>
      </c>
      <c r="AI1925" s="134">
        <f>S1925+AG1925</f>
        <v>2</v>
      </c>
      <c r="AJ1925" s="65"/>
      <c r="AL1925" s="461">
        <f>SUM(F1925,H1925,J1925,L1925,N1925,P1925,T1925,V1925,X1925,Z1925,AB1925,AD1925)</f>
        <v>0</v>
      </c>
      <c r="AM1925" s="462">
        <f>AL1925-AH1925</f>
        <v>0</v>
      </c>
      <c r="AV1925" s="56"/>
    </row>
    <row r="1926" spans="1:48" ht="13.5" customHeight="1" outlineLevel="2" thickBot="1">
      <c r="B1926" s="82"/>
      <c r="C1926" s="1234"/>
      <c r="D1926" s="1234"/>
      <c r="E1926" s="84">
        <f>'Terms and Turnovers'!$AN$12</f>
        <v>0</v>
      </c>
      <c r="F1926" s="120">
        <f>$R1926*G1926</f>
        <v>0</v>
      </c>
      <c r="G1926" s="723"/>
      <c r="H1926" s="120">
        <f>$R1926*I1926</f>
        <v>0</v>
      </c>
      <c r="I1926" s="69">
        <v>0</v>
      </c>
      <c r="J1926" s="120">
        <f>$R1926*K1926</f>
        <v>0</v>
      </c>
      <c r="K1926" s="69">
        <v>0</v>
      </c>
      <c r="L1926" s="120">
        <f>$R1926*M1926</f>
        <v>0</v>
      </c>
      <c r="M1926" s="69">
        <v>0</v>
      </c>
      <c r="N1926" s="315">
        <f>$R1926*O1926</f>
        <v>0</v>
      </c>
      <c r="O1926" s="69">
        <v>0</v>
      </c>
      <c r="P1926" s="120">
        <f>$R1926*Q1926</f>
        <v>0</v>
      </c>
      <c r="Q1926" s="69">
        <v>0</v>
      </c>
      <c r="R1926" s="88">
        <f>'Terms and Turnovers'!AO199</f>
        <v>0</v>
      </c>
      <c r="S1926" s="161">
        <f>SUM(G1926,I1926,K1926,M1926,O1926,Q1926)</f>
        <v>0</v>
      </c>
      <c r="T1926" s="120">
        <f>$AF1926*U1926</f>
        <v>0</v>
      </c>
      <c r="U1926" s="723">
        <v>0</v>
      </c>
      <c r="V1926" s="120">
        <f>$AF1926*W1926</f>
        <v>0</v>
      </c>
      <c r="W1926" s="69">
        <v>0.4</v>
      </c>
      <c r="X1926" s="120">
        <f>$AF1926*Y1926</f>
        <v>0</v>
      </c>
      <c r="Y1926" s="69">
        <v>0.35</v>
      </c>
      <c r="Z1926" s="120">
        <f>$AF1926*AA1926</f>
        <v>0</v>
      </c>
      <c r="AA1926" s="69">
        <v>0.13</v>
      </c>
      <c r="AB1926" s="315">
        <f>$AF1926*AC1926</f>
        <v>0</v>
      </c>
      <c r="AC1926" s="69">
        <v>0.05</v>
      </c>
      <c r="AD1926" s="120">
        <f>$AF1926*AE1926</f>
        <v>0</v>
      </c>
      <c r="AE1926" s="69">
        <v>0.02</v>
      </c>
      <c r="AF1926" s="88">
        <f>'Terms and Turnovers'!AT199</f>
        <v>0</v>
      </c>
      <c r="AG1926" s="161">
        <f>SUM(U1926,W1926,Y1926,AA1926,AC1926,AE1926)</f>
        <v>0.95000000000000007</v>
      </c>
      <c r="AH1926" s="158">
        <f>SUM(R1926,AF1926)</f>
        <v>0</v>
      </c>
      <c r="AI1926" s="134">
        <f>S1926+AG1926</f>
        <v>0.95000000000000007</v>
      </c>
      <c r="AJ1926" s="65"/>
      <c r="AL1926" s="461">
        <f>SUM(F1926,H1926,J1926,L1926,N1926,P1926,T1926,V1926,X1926,Z1926,AB1926,AD1926)</f>
        <v>0</v>
      </c>
      <c r="AM1926" s="462">
        <f>AL1926-AH1926</f>
        <v>0</v>
      </c>
      <c r="AV1926" s="56"/>
    </row>
    <row r="1927" spans="1:48" ht="13.5" customHeight="1" outlineLevel="2" thickBot="1">
      <c r="B1927" s="82"/>
      <c r="C1927" s="1235"/>
      <c r="D1927" s="1235"/>
      <c r="E1927" s="85">
        <f>'Terms and Turnovers'!$AX$12</f>
        <v>0</v>
      </c>
      <c r="F1927" s="121">
        <f>$R1927*G1927</f>
        <v>0</v>
      </c>
      <c r="G1927" s="72"/>
      <c r="H1927" s="121">
        <f>$R1927*I1927</f>
        <v>0</v>
      </c>
      <c r="I1927" s="69">
        <v>0</v>
      </c>
      <c r="J1927" s="121">
        <f>$R1927*K1927</f>
        <v>0</v>
      </c>
      <c r="K1927" s="69">
        <v>0</v>
      </c>
      <c r="L1927" s="121">
        <f>$R1927*M1927</f>
        <v>0</v>
      </c>
      <c r="M1927" s="69">
        <v>0</v>
      </c>
      <c r="N1927" s="316">
        <f>$R1927*O1927</f>
        <v>0</v>
      </c>
      <c r="O1927" s="69">
        <v>0</v>
      </c>
      <c r="P1927" s="121">
        <f>$R1927*Q1927</f>
        <v>0</v>
      </c>
      <c r="Q1927" s="69">
        <v>0</v>
      </c>
      <c r="R1927" s="89">
        <f>'Terms and Turnovers'!AY199</f>
        <v>0</v>
      </c>
      <c r="S1927" s="162">
        <f>SUM(G1927,I1927,K1927,M1927,O1927,Q1927)</f>
        <v>0</v>
      </c>
      <c r="T1927" s="121">
        <f>$AF1927*U1927</f>
        <v>0</v>
      </c>
      <c r="U1927" s="72">
        <v>0</v>
      </c>
      <c r="V1927" s="121">
        <f>$AF1927*W1927</f>
        <v>0</v>
      </c>
      <c r="W1927" s="69">
        <v>0.4</v>
      </c>
      <c r="X1927" s="121">
        <f>$AF1927*Y1927</f>
        <v>0</v>
      </c>
      <c r="Y1927" s="69">
        <v>0.35</v>
      </c>
      <c r="Z1927" s="121">
        <f>$AF1927*AA1927</f>
        <v>0</v>
      </c>
      <c r="AA1927" s="69">
        <v>0.13</v>
      </c>
      <c r="AB1927" s="316">
        <f>$AF1927*AC1927</f>
        <v>0</v>
      </c>
      <c r="AC1927" s="69">
        <v>0.05</v>
      </c>
      <c r="AD1927" s="121">
        <f>$AF1927*AE1927</f>
        <v>0</v>
      </c>
      <c r="AE1927" s="69">
        <v>0.02</v>
      </c>
      <c r="AF1927" s="89">
        <f>'Terms and Turnovers'!BD199</f>
        <v>0</v>
      </c>
      <c r="AG1927" s="162">
        <f>SUM(U1927,W1927,Y1927,AA1927,AC1927,AE1927)</f>
        <v>0.95000000000000007</v>
      </c>
      <c r="AH1927" s="159">
        <f>SUM(R1927,AF1927)</f>
        <v>0</v>
      </c>
      <c r="AI1927" s="137">
        <f>S1927+AG1927</f>
        <v>0.95000000000000007</v>
      </c>
      <c r="AJ1927" s="65"/>
      <c r="AL1927" s="461">
        <f>SUM(F1927,H1927,J1927,L1927,N1927,P1927,T1927,V1927,X1927,Z1927,AB1927,AD1927)</f>
        <v>0</v>
      </c>
      <c r="AM1927" s="462">
        <f>AL1927-AH1927</f>
        <v>0</v>
      </c>
      <c r="AV1927" s="56"/>
    </row>
    <row r="1928" spans="1:48" ht="13.5" customHeight="1" outlineLevel="2" thickBot="1">
      <c r="A1928" s="119"/>
      <c r="B1928" s="82"/>
      <c r="C1928" s="425"/>
      <c r="D1928" s="425"/>
      <c r="E1928" s="426"/>
      <c r="F1928" s="427">
        <f>SUM(F1923:F1927)</f>
        <v>0</v>
      </c>
      <c r="G1928" s="428"/>
      <c r="H1928" s="427">
        <f>SUM(H1923:H1927)</f>
        <v>0</v>
      </c>
      <c r="I1928" s="69"/>
      <c r="J1928" s="427">
        <f>SUM(J1923:J1927)</f>
        <v>0</v>
      </c>
      <c r="K1928" s="69"/>
      <c r="L1928" s="427">
        <f>SUM(L1923:L1927)</f>
        <v>0</v>
      </c>
      <c r="M1928" s="69"/>
      <c r="N1928" s="427">
        <f>SUM(N1923:N1927)</f>
        <v>0</v>
      </c>
      <c r="O1928" s="69"/>
      <c r="P1928" s="427">
        <f>SUM(P1923:P1927)</f>
        <v>0</v>
      </c>
      <c r="Q1928" s="69"/>
      <c r="R1928" s="429"/>
      <c r="S1928" s="430"/>
      <c r="T1928" s="427">
        <f>SUM(T1923:T1927)</f>
        <v>0</v>
      </c>
      <c r="U1928" s="428"/>
      <c r="V1928" s="427">
        <f>SUM(V1923:V1927)</f>
        <v>0</v>
      </c>
      <c r="W1928" s="69"/>
      <c r="X1928" s="427">
        <f>SUM(X1923:X1927)</f>
        <v>0</v>
      </c>
      <c r="Y1928" s="69"/>
      <c r="Z1928" s="427">
        <f>SUM(Z1923:Z1927)</f>
        <v>0</v>
      </c>
      <c r="AA1928" s="69"/>
      <c r="AB1928" s="427">
        <f>SUM(AB1923:AB1927)</f>
        <v>0</v>
      </c>
      <c r="AC1928" s="69"/>
      <c r="AD1928" s="427">
        <f>SUM(AD1923:AD1927)</f>
        <v>0</v>
      </c>
      <c r="AE1928" s="69"/>
      <c r="AF1928" s="429"/>
      <c r="AG1928" s="430"/>
      <c r="AH1928" s="431"/>
      <c r="AI1928" s="432"/>
      <c r="AJ1928" s="65"/>
      <c r="AV1928" s="56"/>
    </row>
    <row r="1929" spans="1:48" ht="13.5" customHeight="1" outlineLevel="2" thickBot="1">
      <c r="A1929" s="119"/>
      <c r="B1929" s="82"/>
      <c r="C1929" s="433" t="s">
        <v>484</v>
      </c>
      <c r="D1929" s="433"/>
      <c r="E1929" s="426"/>
      <c r="F1929" s="434"/>
      <c r="G1929" s="428"/>
      <c r="H1929" s="434">
        <v>0</v>
      </c>
      <c r="I1929" s="69"/>
      <c r="J1929" s="434">
        <f>F1928</f>
        <v>0</v>
      </c>
      <c r="K1929" s="69"/>
      <c r="L1929" s="434">
        <f>H1928</f>
        <v>0</v>
      </c>
      <c r="M1929" s="69"/>
      <c r="N1929" s="434">
        <f>J1928</f>
        <v>0</v>
      </c>
      <c r="O1929" s="69"/>
      <c r="P1929" s="434">
        <f>L1928</f>
        <v>0</v>
      </c>
      <c r="Q1929" s="69"/>
      <c r="R1929" s="429"/>
      <c r="S1929" s="430"/>
      <c r="T1929" s="434">
        <f>N1928</f>
        <v>0</v>
      </c>
      <c r="U1929" s="428"/>
      <c r="V1929" s="434">
        <f>P1928</f>
        <v>0</v>
      </c>
      <c r="W1929" s="69"/>
      <c r="X1929" s="434">
        <f>T1928</f>
        <v>0</v>
      </c>
      <c r="Y1929" s="69"/>
      <c r="Z1929" s="434">
        <f>V1928</f>
        <v>0</v>
      </c>
      <c r="AA1929" s="69"/>
      <c r="AB1929" s="434">
        <f>X1928</f>
        <v>0</v>
      </c>
      <c r="AC1929" s="69"/>
      <c r="AD1929" s="434">
        <f>Z1928</f>
        <v>0</v>
      </c>
      <c r="AE1929" s="69"/>
      <c r="AF1929" s="429"/>
      <c r="AG1929" s="430"/>
      <c r="AH1929" s="431"/>
      <c r="AI1929" s="432"/>
      <c r="AJ1929" s="65"/>
      <c r="AV1929" s="56"/>
    </row>
    <row r="1930" spans="1:48" ht="13.5" customHeight="1" outlineLevel="2" thickBot="1">
      <c r="B1930" s="82">
        <f>B1923+1</f>
        <v>69</v>
      </c>
      <c r="C1930" s="1233">
        <f>C489</f>
        <v>0</v>
      </c>
      <c r="D1930" s="1233">
        <f>D489</f>
        <v>0</v>
      </c>
      <c r="E1930" s="83" t="str">
        <f>'Terms and Turnovers'!$J$12</f>
        <v>FLIP-FLOPS</v>
      </c>
      <c r="F1930" s="121">
        <f>$R1930*G1930</f>
        <v>0</v>
      </c>
      <c r="G1930" s="69"/>
      <c r="H1930" s="316">
        <f>$R1930*I1930</f>
        <v>0</v>
      </c>
      <c r="I1930" s="69">
        <v>0</v>
      </c>
      <c r="J1930" s="118">
        <f>$R1930*K1930</f>
        <v>0</v>
      </c>
      <c r="K1930" s="69">
        <v>0.7</v>
      </c>
      <c r="L1930" s="314">
        <f>$R1930*M1930</f>
        <v>0</v>
      </c>
      <c r="M1930" s="69">
        <v>0.15</v>
      </c>
      <c r="N1930" s="314">
        <f>$R1930*O1930</f>
        <v>0</v>
      </c>
      <c r="O1930" s="69">
        <v>0.1</v>
      </c>
      <c r="P1930" s="121">
        <f>$R1930*Q1930</f>
        <v>0</v>
      </c>
      <c r="Q1930" s="69">
        <v>0.05</v>
      </c>
      <c r="R1930" s="87">
        <f>'Terms and Turnovers'!K200</f>
        <v>0</v>
      </c>
      <c r="S1930" s="160">
        <f>SUM(G1930,I1930,K1930,M1930,O1930,Q1930)</f>
        <v>1</v>
      </c>
      <c r="T1930" s="121">
        <f>$AF1930*U1930</f>
        <v>0</v>
      </c>
      <c r="U1930" s="69">
        <v>0.05</v>
      </c>
      <c r="V1930" s="316">
        <f>$AF1930*W1930</f>
        <v>0</v>
      </c>
      <c r="W1930" s="69">
        <v>0.4</v>
      </c>
      <c r="X1930" s="118">
        <f>$AF1930*Y1930</f>
        <v>0</v>
      </c>
      <c r="Y1930" s="69">
        <v>0.35</v>
      </c>
      <c r="Z1930" s="314">
        <f>$AF1930*AA1930</f>
        <v>0</v>
      </c>
      <c r="AA1930" s="69">
        <v>0.13</v>
      </c>
      <c r="AB1930" s="314">
        <f>$AF1930*AC1930</f>
        <v>0</v>
      </c>
      <c r="AC1930" s="69">
        <v>0.05</v>
      </c>
      <c r="AD1930" s="121">
        <f>$AF1930*AE1930</f>
        <v>0</v>
      </c>
      <c r="AE1930" s="69">
        <v>0.02</v>
      </c>
      <c r="AF1930" s="87">
        <f>'Terms and Turnovers'!P200</f>
        <v>0</v>
      </c>
      <c r="AG1930" s="160">
        <f>SUM(U1930,W1930,Y1930,AA1930,AC1930,AE1930)</f>
        <v>1</v>
      </c>
      <c r="AH1930" s="157">
        <f>SUM(R1930,AF1930)</f>
        <v>0</v>
      </c>
      <c r="AI1930" s="131">
        <f>S1930+AG1930</f>
        <v>2</v>
      </c>
      <c r="AJ1930" s="65"/>
      <c r="AL1930" s="461">
        <f>SUM(F1930,H1930,J1930,L1930,N1930,P1930,T1930,V1930,X1930,Z1930,AB1930,AD1930)</f>
        <v>0</v>
      </c>
      <c r="AM1930" s="462">
        <f>AL1930-AH1930</f>
        <v>0</v>
      </c>
      <c r="AV1930" s="56"/>
    </row>
    <row r="1931" spans="1:48" ht="13.5" customHeight="1" outlineLevel="2" thickBot="1">
      <c r="B1931" s="82"/>
      <c r="C1931" s="1234"/>
      <c r="D1931" s="1234"/>
      <c r="E1931" s="84" t="str">
        <f>'Terms and Turnovers'!$T$12</f>
        <v>ORIGINALS</v>
      </c>
      <c r="F1931" s="121">
        <f>$R1931*G1931</f>
        <v>0</v>
      </c>
      <c r="G1931" s="723"/>
      <c r="H1931" s="121">
        <f>$R1931*I1931</f>
        <v>0</v>
      </c>
      <c r="I1931" s="69">
        <v>0</v>
      </c>
      <c r="J1931" s="120">
        <f>$R1931*K1931</f>
        <v>0</v>
      </c>
      <c r="K1931" s="69">
        <v>0.7</v>
      </c>
      <c r="L1931" s="120">
        <f>$R1931*M1931</f>
        <v>0</v>
      </c>
      <c r="M1931" s="69">
        <v>0.15</v>
      </c>
      <c r="N1931" s="315">
        <f>$R1931*O1931</f>
        <v>0</v>
      </c>
      <c r="O1931" s="69">
        <v>0.1</v>
      </c>
      <c r="P1931" s="121">
        <f>$R1931*Q1931</f>
        <v>0</v>
      </c>
      <c r="Q1931" s="69">
        <v>0.05</v>
      </c>
      <c r="R1931" s="88">
        <f>'Terms and Turnovers'!U200</f>
        <v>0</v>
      </c>
      <c r="S1931" s="161">
        <f>SUM(G1931,I1931,K1931,M1931,O1931,Q1931)</f>
        <v>1</v>
      </c>
      <c r="T1931" s="121">
        <f>$AF1931*U1931</f>
        <v>0</v>
      </c>
      <c r="U1931" s="723">
        <v>0.05</v>
      </c>
      <c r="V1931" s="121">
        <f>$AF1931*W1931</f>
        <v>0</v>
      </c>
      <c r="W1931" s="69">
        <v>0.4</v>
      </c>
      <c r="X1931" s="120">
        <f>$AF1931*Y1931</f>
        <v>0</v>
      </c>
      <c r="Y1931" s="69">
        <v>0.35</v>
      </c>
      <c r="Z1931" s="120">
        <f>$AF1931*AA1931</f>
        <v>0</v>
      </c>
      <c r="AA1931" s="69">
        <v>0.13</v>
      </c>
      <c r="AB1931" s="315">
        <f>$AF1931*AC1931</f>
        <v>0</v>
      </c>
      <c r="AC1931" s="69">
        <v>0.05</v>
      </c>
      <c r="AD1931" s="121">
        <f>$AF1931*AE1931</f>
        <v>0</v>
      </c>
      <c r="AE1931" s="69">
        <v>0.02</v>
      </c>
      <c r="AF1931" s="88">
        <f>'Terms and Turnovers'!Z200</f>
        <v>0</v>
      </c>
      <c r="AG1931" s="161">
        <f>SUM(U1931,W1931,Y1931,AA1931,AC1931,AE1931)</f>
        <v>1</v>
      </c>
      <c r="AH1931" s="158">
        <f>SUM(R1931,AF1931)</f>
        <v>0</v>
      </c>
      <c r="AI1931" s="134">
        <f>S1931+AG1931</f>
        <v>2</v>
      </c>
      <c r="AJ1931" s="65"/>
      <c r="AL1931" s="461">
        <f>SUM(F1931,H1931,J1931,L1931,N1931,P1931,T1931,V1931,X1931,Z1931,AB1931,AD1931)</f>
        <v>0</v>
      </c>
      <c r="AM1931" s="462">
        <f>AL1931-AH1931</f>
        <v>0</v>
      </c>
      <c r="AV1931" s="56"/>
    </row>
    <row r="1932" spans="1:48" ht="13.5" customHeight="1" outlineLevel="2" thickBot="1">
      <c r="B1932" s="82"/>
      <c r="C1932" s="1234"/>
      <c r="D1932" s="1234"/>
      <c r="E1932" s="84" t="str">
        <f>'Terms and Turnovers'!$AD$12</f>
        <v>ACCESSORIES</v>
      </c>
      <c r="F1932" s="121">
        <f>$R1932*G1932</f>
        <v>0</v>
      </c>
      <c r="G1932" s="723"/>
      <c r="H1932" s="121">
        <f>$R1932*I1932</f>
        <v>0</v>
      </c>
      <c r="I1932" s="69">
        <v>0</v>
      </c>
      <c r="J1932" s="120">
        <f>$R1932*K1932</f>
        <v>0</v>
      </c>
      <c r="K1932" s="69">
        <v>0.7</v>
      </c>
      <c r="L1932" s="120">
        <f>$R1932*M1932</f>
        <v>0</v>
      </c>
      <c r="M1932" s="69">
        <v>0.15</v>
      </c>
      <c r="N1932" s="315">
        <f>$R1932*O1932</f>
        <v>0</v>
      </c>
      <c r="O1932" s="69">
        <v>0.1</v>
      </c>
      <c r="P1932" s="121">
        <f>$R1932*Q1932</f>
        <v>0</v>
      </c>
      <c r="Q1932" s="69">
        <v>0.05</v>
      </c>
      <c r="R1932" s="88">
        <f>'Terms and Turnovers'!AE200</f>
        <v>0</v>
      </c>
      <c r="S1932" s="161">
        <f>SUM(G1932,I1932,K1932,M1932,O1932,Q1932)</f>
        <v>1</v>
      </c>
      <c r="T1932" s="121">
        <f>$AF1932*U1932</f>
        <v>0</v>
      </c>
      <c r="U1932" s="723">
        <v>0.05</v>
      </c>
      <c r="V1932" s="121">
        <f>$AF1932*W1932</f>
        <v>0</v>
      </c>
      <c r="W1932" s="69">
        <v>0.4</v>
      </c>
      <c r="X1932" s="120">
        <f>$AF1932*Y1932</f>
        <v>0</v>
      </c>
      <c r="Y1932" s="69">
        <v>0.35</v>
      </c>
      <c r="Z1932" s="120">
        <f>$AF1932*AA1932</f>
        <v>0</v>
      </c>
      <c r="AA1932" s="69">
        <v>0.13</v>
      </c>
      <c r="AB1932" s="315">
        <f>$AF1932*AC1932</f>
        <v>0</v>
      </c>
      <c r="AC1932" s="69">
        <v>0.05</v>
      </c>
      <c r="AD1932" s="121">
        <f>$AF1932*AE1932</f>
        <v>0</v>
      </c>
      <c r="AE1932" s="69">
        <v>0.02</v>
      </c>
      <c r="AF1932" s="88">
        <f>'Terms and Turnovers'!AJ200</f>
        <v>0</v>
      </c>
      <c r="AG1932" s="161">
        <f>SUM(U1932,W1932,Y1932,AA1932,AC1932,AE1932)</f>
        <v>1</v>
      </c>
      <c r="AH1932" s="158">
        <f>SUM(R1932,AF1932)</f>
        <v>0</v>
      </c>
      <c r="AI1932" s="134">
        <f>S1932+AG1932</f>
        <v>2</v>
      </c>
      <c r="AJ1932" s="65"/>
      <c r="AL1932" s="461">
        <f>SUM(F1932,H1932,J1932,L1932,N1932,P1932,T1932,V1932,X1932,Z1932,AB1932,AD1932)</f>
        <v>0</v>
      </c>
      <c r="AM1932" s="462">
        <f>AL1932-AH1932</f>
        <v>0</v>
      </c>
      <c r="AV1932" s="56"/>
    </row>
    <row r="1933" spans="1:48" ht="13.5" customHeight="1" outlineLevel="2" thickBot="1">
      <c r="B1933" s="82"/>
      <c r="C1933" s="1234"/>
      <c r="D1933" s="1234"/>
      <c r="E1933" s="84">
        <f>'Terms and Turnovers'!$AN$12</f>
        <v>0</v>
      </c>
      <c r="F1933" s="121">
        <f>$R1933*G1933</f>
        <v>0</v>
      </c>
      <c r="G1933" s="723"/>
      <c r="H1933" s="121">
        <f>$R1933*I1933</f>
        <v>0</v>
      </c>
      <c r="I1933" s="69">
        <v>0</v>
      </c>
      <c r="J1933" s="120">
        <f>$R1933*K1933</f>
        <v>0</v>
      </c>
      <c r="K1933" s="69">
        <v>0.7</v>
      </c>
      <c r="L1933" s="120">
        <f>$R1933*M1933</f>
        <v>0</v>
      </c>
      <c r="M1933" s="69">
        <v>0.15</v>
      </c>
      <c r="N1933" s="315">
        <f>$R1933*O1933</f>
        <v>0</v>
      </c>
      <c r="O1933" s="69">
        <v>0.1</v>
      </c>
      <c r="P1933" s="121">
        <f>$R1933*Q1933</f>
        <v>0</v>
      </c>
      <c r="Q1933" s="69">
        <v>0.05</v>
      </c>
      <c r="R1933" s="88">
        <f>'Terms and Turnovers'!AO200</f>
        <v>0</v>
      </c>
      <c r="S1933" s="161">
        <f>SUM(G1933,I1933,K1933,M1933,O1933,Q1933)</f>
        <v>1</v>
      </c>
      <c r="T1933" s="121">
        <f>$AF1933*U1933</f>
        <v>0</v>
      </c>
      <c r="U1933" s="723">
        <v>0.05</v>
      </c>
      <c r="V1933" s="121">
        <f>$AF1933*W1933</f>
        <v>0</v>
      </c>
      <c r="W1933" s="69">
        <v>0.4</v>
      </c>
      <c r="X1933" s="120">
        <f>$AF1933*Y1933</f>
        <v>0</v>
      </c>
      <c r="Y1933" s="69">
        <v>0.35</v>
      </c>
      <c r="Z1933" s="120">
        <f>$AF1933*AA1933</f>
        <v>0</v>
      </c>
      <c r="AA1933" s="69">
        <v>0.13</v>
      </c>
      <c r="AB1933" s="315">
        <f>$AF1933*AC1933</f>
        <v>0</v>
      </c>
      <c r="AC1933" s="69">
        <v>0.05</v>
      </c>
      <c r="AD1933" s="121">
        <f>$AF1933*AE1933</f>
        <v>0</v>
      </c>
      <c r="AE1933" s="69">
        <v>0.02</v>
      </c>
      <c r="AF1933" s="88">
        <f>'Terms and Turnovers'!AT200</f>
        <v>0</v>
      </c>
      <c r="AG1933" s="161">
        <f>SUM(U1933,W1933,Y1933,AA1933,AC1933,AE1933)</f>
        <v>1</v>
      </c>
      <c r="AH1933" s="158">
        <f>SUM(R1933,AF1933)</f>
        <v>0</v>
      </c>
      <c r="AI1933" s="134">
        <f>S1933+AG1933</f>
        <v>2</v>
      </c>
      <c r="AJ1933" s="65"/>
      <c r="AL1933" s="461">
        <f>SUM(F1933,H1933,J1933,L1933,N1933,P1933,T1933,V1933,X1933,Z1933,AB1933,AD1933)</f>
        <v>0</v>
      </c>
      <c r="AM1933" s="462">
        <f>AL1933-AH1933</f>
        <v>0</v>
      </c>
      <c r="AV1933" s="56"/>
    </row>
    <row r="1934" spans="1:48" ht="13.5" customHeight="1" outlineLevel="2" thickBot="1">
      <c r="B1934" s="82"/>
      <c r="C1934" s="1235"/>
      <c r="D1934" s="1235"/>
      <c r="E1934" s="85">
        <f>'Terms and Turnovers'!$AX$12</f>
        <v>0</v>
      </c>
      <c r="F1934" s="121">
        <f>$R1934*G1934</f>
        <v>0</v>
      </c>
      <c r="G1934" s="72"/>
      <c r="H1934" s="121">
        <f>$R1934*I1934</f>
        <v>0</v>
      </c>
      <c r="I1934" s="69">
        <v>0</v>
      </c>
      <c r="J1934" s="121">
        <f>$R1934*K1934</f>
        <v>0</v>
      </c>
      <c r="K1934" s="69">
        <v>0.7</v>
      </c>
      <c r="L1934" s="121">
        <f>$R1934*M1934</f>
        <v>0</v>
      </c>
      <c r="M1934" s="69">
        <v>0.15</v>
      </c>
      <c r="N1934" s="316">
        <f>$R1934*O1934</f>
        <v>0</v>
      </c>
      <c r="O1934" s="69">
        <v>0.1</v>
      </c>
      <c r="P1934" s="121">
        <f>$R1934*Q1934</f>
        <v>0</v>
      </c>
      <c r="Q1934" s="69">
        <v>0.05</v>
      </c>
      <c r="R1934" s="89">
        <f>'Terms and Turnovers'!AY200</f>
        <v>0</v>
      </c>
      <c r="S1934" s="162">
        <f>SUM(G1934,I1934,K1934,M1934,O1934,Q1934)</f>
        <v>1</v>
      </c>
      <c r="T1934" s="121">
        <f>$AF1934*U1934</f>
        <v>0</v>
      </c>
      <c r="U1934" s="72">
        <v>0.05</v>
      </c>
      <c r="V1934" s="121">
        <f>$AF1934*W1934</f>
        <v>0</v>
      </c>
      <c r="W1934" s="69">
        <v>0.4</v>
      </c>
      <c r="X1934" s="121">
        <f>$AF1934*Y1934</f>
        <v>0</v>
      </c>
      <c r="Y1934" s="69">
        <v>0.35</v>
      </c>
      <c r="Z1934" s="121">
        <f>$AF1934*AA1934</f>
        <v>0</v>
      </c>
      <c r="AA1934" s="69">
        <v>0.13</v>
      </c>
      <c r="AB1934" s="316">
        <f>$AF1934*AC1934</f>
        <v>0</v>
      </c>
      <c r="AC1934" s="69">
        <v>0.05</v>
      </c>
      <c r="AD1934" s="121">
        <f>$AF1934*AE1934</f>
        <v>0</v>
      </c>
      <c r="AE1934" s="69">
        <v>0.02</v>
      </c>
      <c r="AF1934" s="89">
        <f>'Terms and Turnovers'!BD200</f>
        <v>0</v>
      </c>
      <c r="AG1934" s="162">
        <f>SUM(U1934,W1934,Y1934,AA1934,AC1934,AE1934)</f>
        <v>1</v>
      </c>
      <c r="AH1934" s="159">
        <f>SUM(R1934,AF1934)</f>
        <v>0</v>
      </c>
      <c r="AI1934" s="137">
        <f>S1934+AG1934</f>
        <v>2</v>
      </c>
      <c r="AJ1934" s="65"/>
      <c r="AL1934" s="461">
        <f>SUM(F1934,H1934,J1934,L1934,N1934,P1934,T1934,V1934,X1934,Z1934,AB1934,AD1934)</f>
        <v>0</v>
      </c>
      <c r="AM1934" s="462">
        <f>AL1934-AH1934</f>
        <v>0</v>
      </c>
      <c r="AV1934" s="56"/>
    </row>
    <row r="1935" spans="1:48" ht="13.5" customHeight="1" outlineLevel="2" thickBot="1">
      <c r="A1935" s="119"/>
      <c r="B1935" s="82"/>
      <c r="C1935" s="425"/>
      <c r="D1935" s="425"/>
      <c r="E1935" s="426"/>
      <c r="F1935" s="427">
        <f>SUM(F1930:F1934)</f>
        <v>0</v>
      </c>
      <c r="G1935" s="428"/>
      <c r="H1935" s="427">
        <f>SUM(H1930:H1934)</f>
        <v>0</v>
      </c>
      <c r="I1935" s="69"/>
      <c r="J1935" s="427">
        <f>SUM(J1930:J1934)</f>
        <v>0</v>
      </c>
      <c r="K1935" s="69"/>
      <c r="L1935" s="427">
        <f>SUM(L1930:L1934)</f>
        <v>0</v>
      </c>
      <c r="M1935" s="69"/>
      <c r="N1935" s="427">
        <f>SUM(N1930:N1934)</f>
        <v>0</v>
      </c>
      <c r="O1935" s="69"/>
      <c r="P1935" s="427">
        <f>SUM(P1930:P1934)</f>
        <v>0</v>
      </c>
      <c r="Q1935" s="69"/>
      <c r="R1935" s="429"/>
      <c r="S1935" s="430"/>
      <c r="T1935" s="427">
        <f>SUM(T1930:T1934)</f>
        <v>0</v>
      </c>
      <c r="U1935" s="428"/>
      <c r="V1935" s="427">
        <f>SUM(V1930:V1934)</f>
        <v>0</v>
      </c>
      <c r="W1935" s="69"/>
      <c r="X1935" s="427">
        <f>SUM(X1930:X1934)</f>
        <v>0</v>
      </c>
      <c r="Y1935" s="69"/>
      <c r="Z1935" s="427">
        <f>SUM(Z1930:Z1934)</f>
        <v>0</v>
      </c>
      <c r="AA1935" s="69"/>
      <c r="AB1935" s="427">
        <f>SUM(AB1930:AB1934)</f>
        <v>0</v>
      </c>
      <c r="AC1935" s="69"/>
      <c r="AD1935" s="427">
        <f>SUM(AD1930:AD1934)</f>
        <v>0</v>
      </c>
      <c r="AE1935" s="69"/>
      <c r="AF1935" s="429"/>
      <c r="AG1935" s="430"/>
      <c r="AH1935" s="431"/>
      <c r="AI1935" s="432"/>
      <c r="AJ1935" s="65"/>
      <c r="AV1935" s="56"/>
    </row>
    <row r="1936" spans="1:48" ht="13.5" customHeight="1" outlineLevel="2" thickBot="1">
      <c r="A1936" s="119"/>
      <c r="B1936" s="82"/>
      <c r="C1936" s="433" t="s">
        <v>484</v>
      </c>
      <c r="D1936" s="433"/>
      <c r="E1936" s="426"/>
      <c r="F1936" s="434"/>
      <c r="G1936" s="428"/>
      <c r="H1936" s="434">
        <f>H1935</f>
        <v>0</v>
      </c>
      <c r="I1936" s="69"/>
      <c r="J1936" s="434">
        <f>J1935</f>
        <v>0</v>
      </c>
      <c r="K1936" s="69"/>
      <c r="L1936" s="434">
        <f>L1935</f>
        <v>0</v>
      </c>
      <c r="M1936" s="69"/>
      <c r="N1936" s="434">
        <f>N1935</f>
        <v>0</v>
      </c>
      <c r="O1936" s="69"/>
      <c r="P1936" s="434">
        <f>L1935</f>
        <v>0</v>
      </c>
      <c r="Q1936" s="69"/>
      <c r="R1936" s="429"/>
      <c r="S1936" s="430"/>
      <c r="T1936" s="434">
        <f>P1935</f>
        <v>0</v>
      </c>
      <c r="U1936" s="428"/>
      <c r="V1936" s="434"/>
      <c r="W1936" s="69"/>
      <c r="X1936" s="434">
        <f>T1935</f>
        <v>0</v>
      </c>
      <c r="Y1936" s="69"/>
      <c r="Z1936" s="434">
        <f>V1935</f>
        <v>0</v>
      </c>
      <c r="AA1936" s="69"/>
      <c r="AB1936" s="435">
        <f>X1935</f>
        <v>0</v>
      </c>
      <c r="AC1936" s="69"/>
      <c r="AD1936" s="435">
        <f>Z1935</f>
        <v>0</v>
      </c>
      <c r="AE1936" s="69"/>
      <c r="AF1936" s="429"/>
      <c r="AG1936" s="430"/>
      <c r="AH1936" s="431"/>
      <c r="AI1936" s="432"/>
      <c r="AJ1936" s="65"/>
      <c r="AV1936" s="56"/>
    </row>
    <row r="1937" spans="1:48" ht="13.5" customHeight="1" outlineLevel="2" thickBot="1">
      <c r="B1937" s="82">
        <f>B1930+1</f>
        <v>70</v>
      </c>
      <c r="C1937" s="1233">
        <f>C496</f>
        <v>0</v>
      </c>
      <c r="D1937" s="1233">
        <f>D496</f>
        <v>0</v>
      </c>
      <c r="E1937" s="83" t="str">
        <f>'Terms and Turnovers'!$J$12</f>
        <v>FLIP-FLOPS</v>
      </c>
      <c r="F1937" s="121">
        <f>$R1937*G1937</f>
        <v>0</v>
      </c>
      <c r="G1937" s="69">
        <v>0.06</v>
      </c>
      <c r="H1937" s="316">
        <f>$R1937*I1937</f>
        <v>0</v>
      </c>
      <c r="I1937" s="69">
        <v>0.11</v>
      </c>
      <c r="J1937" s="118">
        <f>$R1937*K1937</f>
        <v>0</v>
      </c>
      <c r="K1937" s="69">
        <v>0.12</v>
      </c>
      <c r="L1937" s="314">
        <f>$R1937*M1937</f>
        <v>0</v>
      </c>
      <c r="M1937" s="69">
        <v>0.26</v>
      </c>
      <c r="N1937" s="314">
        <f>$R1937*O1937</f>
        <v>0</v>
      </c>
      <c r="O1937" s="69">
        <v>0.25</v>
      </c>
      <c r="P1937" s="121">
        <f>$R1937*Q1937</f>
        <v>0</v>
      </c>
      <c r="Q1937" s="69">
        <v>0.2</v>
      </c>
      <c r="R1937" s="87">
        <f>'Terms and Turnovers'!K201</f>
        <v>0</v>
      </c>
      <c r="S1937" s="160">
        <f>SUM(G1937,I1937,K1937,M1937,O1937,Q1937)</f>
        <v>1</v>
      </c>
      <c r="T1937" s="121">
        <f>$AF1937*U1937</f>
        <v>0</v>
      </c>
      <c r="U1937" s="69">
        <v>0.24</v>
      </c>
      <c r="V1937" s="316">
        <f>$AF1937*W1937</f>
        <v>0</v>
      </c>
      <c r="W1937" s="69">
        <v>0.26</v>
      </c>
      <c r="X1937" s="118">
        <f>$AF1937*Y1937</f>
        <v>0</v>
      </c>
      <c r="Y1937" s="69">
        <v>0.14000000000000001</v>
      </c>
      <c r="Z1937" s="314">
        <f>$AF1937*AA1937</f>
        <v>0</v>
      </c>
      <c r="AA1937" s="69">
        <v>0.14000000000000001</v>
      </c>
      <c r="AB1937" s="314">
        <f>$AF1937*AC1937</f>
        <v>0</v>
      </c>
      <c r="AC1937" s="69">
        <v>0.09</v>
      </c>
      <c r="AD1937" s="121">
        <f>$AF1937*AE1937</f>
        <v>0</v>
      </c>
      <c r="AE1937" s="69">
        <v>0.13</v>
      </c>
      <c r="AF1937" s="87">
        <f>'Terms and Turnovers'!P201</f>
        <v>0</v>
      </c>
      <c r="AG1937" s="160">
        <f>SUM(U1937,W1937,Y1937,AA1937,AC1937,AE1937)</f>
        <v>1</v>
      </c>
      <c r="AH1937" s="157">
        <f>SUM(R1937,AF1937)</f>
        <v>0</v>
      </c>
      <c r="AI1937" s="131">
        <f>S1937+AG1937</f>
        <v>2</v>
      </c>
      <c r="AJ1937" s="65"/>
      <c r="AL1937" s="461">
        <f>SUM(F1937,H1937,J1937,L1937,N1937,P1937,T1937,V1937,X1937,Z1937,AB1937,AD1937)</f>
        <v>0</v>
      </c>
      <c r="AM1937" s="462">
        <f>AL1937-AH1937</f>
        <v>0</v>
      </c>
      <c r="AV1937" s="56"/>
    </row>
    <row r="1938" spans="1:48" ht="13.5" customHeight="1" outlineLevel="2" thickBot="1">
      <c r="B1938" s="82"/>
      <c r="C1938" s="1234"/>
      <c r="D1938" s="1234"/>
      <c r="E1938" s="84" t="str">
        <f>'Terms and Turnovers'!$T$12</f>
        <v>ORIGINALS</v>
      </c>
      <c r="F1938" s="121">
        <f>$R1938*G1938</f>
        <v>0</v>
      </c>
      <c r="G1938" s="69">
        <v>0.06</v>
      </c>
      <c r="H1938" s="121">
        <f>$R1938*I1938</f>
        <v>0</v>
      </c>
      <c r="I1938" s="69">
        <v>0.11</v>
      </c>
      <c r="J1938" s="120">
        <f>$R1938*K1938</f>
        <v>0</v>
      </c>
      <c r="K1938" s="69">
        <v>0.12</v>
      </c>
      <c r="L1938" s="120">
        <f>$R1938*M1938</f>
        <v>0</v>
      </c>
      <c r="M1938" s="69">
        <v>0.26</v>
      </c>
      <c r="N1938" s="315">
        <f>$R1938*O1938</f>
        <v>0</v>
      </c>
      <c r="O1938" s="69">
        <v>0.25</v>
      </c>
      <c r="P1938" s="121">
        <f>$R1938*Q1938</f>
        <v>0</v>
      </c>
      <c r="Q1938" s="69">
        <v>0.2</v>
      </c>
      <c r="R1938" s="88">
        <f>'Terms and Turnovers'!U201</f>
        <v>0</v>
      </c>
      <c r="S1938" s="161">
        <f>SUM(G1938,I1938,K1938,M1938,O1938,Q1938)</f>
        <v>1</v>
      </c>
      <c r="T1938" s="121">
        <f>$AF1938*U1938</f>
        <v>0</v>
      </c>
      <c r="U1938" s="69">
        <v>0.24</v>
      </c>
      <c r="V1938" s="121">
        <f>$AF1938*W1938</f>
        <v>0</v>
      </c>
      <c r="W1938" s="69">
        <v>0.26</v>
      </c>
      <c r="X1938" s="120">
        <f>$AF1938*Y1938</f>
        <v>0</v>
      </c>
      <c r="Y1938" s="69">
        <v>0.14000000000000001</v>
      </c>
      <c r="Z1938" s="120">
        <f>$AF1938*AA1938</f>
        <v>0</v>
      </c>
      <c r="AA1938" s="69">
        <v>0.14000000000000001</v>
      </c>
      <c r="AB1938" s="315">
        <f>$AF1938*AC1938</f>
        <v>0</v>
      </c>
      <c r="AC1938" s="69">
        <v>0.09</v>
      </c>
      <c r="AD1938" s="121">
        <f>$AF1938*AE1938</f>
        <v>0</v>
      </c>
      <c r="AE1938" s="69">
        <v>0.13</v>
      </c>
      <c r="AF1938" s="88">
        <f>'Terms and Turnovers'!Z201</f>
        <v>0</v>
      </c>
      <c r="AG1938" s="161">
        <f>SUM(U1938,W1938,Y1938,AA1938,AC1938,AE1938)</f>
        <v>1</v>
      </c>
      <c r="AH1938" s="158">
        <f>SUM(R1938,AF1938)</f>
        <v>0</v>
      </c>
      <c r="AI1938" s="134">
        <f>S1938+AG1938</f>
        <v>2</v>
      </c>
      <c r="AJ1938" s="65"/>
      <c r="AL1938" s="461">
        <f>SUM(F1938,H1938,J1938,L1938,N1938,P1938,T1938,V1938,X1938,Z1938,AB1938,AD1938)</f>
        <v>0</v>
      </c>
      <c r="AM1938" s="462">
        <f>AL1938-AH1938</f>
        <v>0</v>
      </c>
      <c r="AV1938" s="56"/>
    </row>
    <row r="1939" spans="1:48" ht="13.5" customHeight="1" outlineLevel="2" thickBot="1">
      <c r="B1939" s="82"/>
      <c r="C1939" s="1234"/>
      <c r="D1939" s="1234"/>
      <c r="E1939" s="84" t="str">
        <f>'Terms and Turnovers'!$AD$12</f>
        <v>ACCESSORIES</v>
      </c>
      <c r="F1939" s="121">
        <f>$R1939*G1939</f>
        <v>0</v>
      </c>
      <c r="G1939" s="69">
        <v>0.06</v>
      </c>
      <c r="H1939" s="121">
        <f>$R1939*I1939</f>
        <v>0</v>
      </c>
      <c r="I1939" s="69">
        <v>0.11</v>
      </c>
      <c r="J1939" s="120">
        <f>$R1939*K1939</f>
        <v>0</v>
      </c>
      <c r="K1939" s="69">
        <v>0.12</v>
      </c>
      <c r="L1939" s="120">
        <f>$R1939*M1939</f>
        <v>0</v>
      </c>
      <c r="M1939" s="69">
        <v>0.26</v>
      </c>
      <c r="N1939" s="315">
        <f>$R1939*O1939</f>
        <v>0</v>
      </c>
      <c r="O1939" s="69">
        <v>0.25</v>
      </c>
      <c r="P1939" s="121">
        <f>$R1939*Q1939</f>
        <v>0</v>
      </c>
      <c r="Q1939" s="69">
        <v>0.2</v>
      </c>
      <c r="R1939" s="88">
        <f>'Terms and Turnovers'!AE201</f>
        <v>0</v>
      </c>
      <c r="S1939" s="161">
        <f>SUM(G1939,I1939,K1939,M1939,O1939,Q1939)</f>
        <v>1</v>
      </c>
      <c r="T1939" s="121">
        <f>$AF1939*U1939</f>
        <v>0</v>
      </c>
      <c r="U1939" s="69">
        <v>0.24</v>
      </c>
      <c r="V1939" s="121">
        <f>$AF1939*W1939</f>
        <v>0</v>
      </c>
      <c r="W1939" s="69">
        <v>0.26</v>
      </c>
      <c r="X1939" s="120">
        <f>$AF1939*Y1939</f>
        <v>0</v>
      </c>
      <c r="Y1939" s="69">
        <v>0.14000000000000001</v>
      </c>
      <c r="Z1939" s="120">
        <f>$AF1939*AA1939</f>
        <v>0</v>
      </c>
      <c r="AA1939" s="69">
        <v>0.14000000000000001</v>
      </c>
      <c r="AB1939" s="315">
        <f>$AF1939*AC1939</f>
        <v>0</v>
      </c>
      <c r="AC1939" s="69">
        <v>0.09</v>
      </c>
      <c r="AD1939" s="121">
        <f>$AF1939*AE1939</f>
        <v>0</v>
      </c>
      <c r="AE1939" s="69">
        <v>0.13</v>
      </c>
      <c r="AF1939" s="88">
        <f>'Terms and Turnovers'!AJ201</f>
        <v>0</v>
      </c>
      <c r="AG1939" s="161">
        <f>SUM(U1939,W1939,Y1939,AA1939,AC1939,AE1939)</f>
        <v>1</v>
      </c>
      <c r="AH1939" s="158">
        <f>SUM(R1939,AF1939)</f>
        <v>0</v>
      </c>
      <c r="AI1939" s="134">
        <f>S1939+AG1939</f>
        <v>2</v>
      </c>
      <c r="AJ1939" s="65"/>
      <c r="AL1939" s="461">
        <f>SUM(F1939,H1939,J1939,L1939,N1939,P1939,T1939,V1939,X1939,Z1939,AB1939,AD1939)</f>
        <v>0</v>
      </c>
      <c r="AM1939" s="462">
        <f>AL1939-AH1939</f>
        <v>0</v>
      </c>
      <c r="AV1939" s="56"/>
    </row>
    <row r="1940" spans="1:48" ht="13.5" customHeight="1" outlineLevel="2" thickBot="1">
      <c r="B1940" s="82"/>
      <c r="C1940" s="1234"/>
      <c r="D1940" s="1234"/>
      <c r="E1940" s="84">
        <f>'Terms and Turnovers'!$AN$12</f>
        <v>0</v>
      </c>
      <c r="F1940" s="121">
        <f>$R1940*G1940</f>
        <v>0</v>
      </c>
      <c r="G1940" s="723"/>
      <c r="H1940" s="121">
        <f>$R1940*I1940</f>
        <v>0</v>
      </c>
      <c r="I1940" s="69">
        <v>7.0000000000000007E-2</v>
      </c>
      <c r="J1940" s="120">
        <f>$R1940*K1940</f>
        <v>0</v>
      </c>
      <c r="K1940" s="69">
        <v>0.31</v>
      </c>
      <c r="L1940" s="120">
        <f>$R1940*M1940</f>
        <v>0</v>
      </c>
      <c r="M1940" s="69">
        <v>0.35</v>
      </c>
      <c r="N1940" s="315">
        <f>$R1940*O1940</f>
        <v>0</v>
      </c>
      <c r="O1940" s="69">
        <v>0.17</v>
      </c>
      <c r="P1940" s="121">
        <f>$R1940*Q1940</f>
        <v>0</v>
      </c>
      <c r="Q1940" s="69">
        <v>0.1</v>
      </c>
      <c r="R1940" s="88">
        <f>'Terms and Turnovers'!AO201</f>
        <v>0</v>
      </c>
      <c r="S1940" s="161">
        <f>SUM(G1940,I1940,K1940,M1940,O1940,Q1940)</f>
        <v>1</v>
      </c>
      <c r="T1940" s="121">
        <f>$AF1940*U1940</f>
        <v>0</v>
      </c>
      <c r="U1940" s="723">
        <v>0.05</v>
      </c>
      <c r="V1940" s="121">
        <f>$AF1940*W1940</f>
        <v>0</v>
      </c>
      <c r="W1940" s="69">
        <v>0.4</v>
      </c>
      <c r="X1940" s="120">
        <f>$AF1940*Y1940</f>
        <v>0</v>
      </c>
      <c r="Y1940" s="69">
        <v>0.35</v>
      </c>
      <c r="Z1940" s="120">
        <f>$AF1940*AA1940</f>
        <v>0</v>
      </c>
      <c r="AA1940" s="69">
        <v>0.13</v>
      </c>
      <c r="AB1940" s="315">
        <f>$AF1940*AC1940</f>
        <v>0</v>
      </c>
      <c r="AC1940" s="69">
        <v>0.05</v>
      </c>
      <c r="AD1940" s="121">
        <f>$AF1940*AE1940</f>
        <v>0</v>
      </c>
      <c r="AE1940" s="69">
        <v>0.02</v>
      </c>
      <c r="AF1940" s="88">
        <f>'Terms and Turnovers'!AT201</f>
        <v>0</v>
      </c>
      <c r="AG1940" s="161">
        <f>SUM(U1940,W1940,Y1940,AA1940,AC1940,AE1940)</f>
        <v>1</v>
      </c>
      <c r="AH1940" s="158">
        <f>SUM(R1940,AF1940)</f>
        <v>0</v>
      </c>
      <c r="AI1940" s="134">
        <f>S1940+AG1940</f>
        <v>2</v>
      </c>
      <c r="AJ1940" s="65"/>
      <c r="AL1940" s="461">
        <f>SUM(F1940,H1940,J1940,L1940,N1940,P1940,T1940,V1940,X1940,Z1940,AB1940,AD1940)</f>
        <v>0</v>
      </c>
      <c r="AM1940" s="462">
        <f>AL1940-AH1940</f>
        <v>0</v>
      </c>
      <c r="AV1940" s="56"/>
    </row>
    <row r="1941" spans="1:48" ht="13.5" customHeight="1" outlineLevel="2" thickBot="1">
      <c r="B1941" s="82"/>
      <c r="C1941" s="1235"/>
      <c r="D1941" s="1235"/>
      <c r="E1941" s="85">
        <f>'Terms and Turnovers'!$AX$12</f>
        <v>0</v>
      </c>
      <c r="F1941" s="121">
        <f>$R1941*G1941</f>
        <v>0</v>
      </c>
      <c r="G1941" s="72"/>
      <c r="H1941" s="121">
        <f>$R1941*I1941</f>
        <v>0</v>
      </c>
      <c r="I1941" s="69">
        <v>7.0000000000000007E-2</v>
      </c>
      <c r="J1941" s="121">
        <f>$R1941*K1941</f>
        <v>0</v>
      </c>
      <c r="K1941" s="69">
        <v>0.31</v>
      </c>
      <c r="L1941" s="121">
        <f>$R1941*M1941</f>
        <v>0</v>
      </c>
      <c r="M1941" s="69">
        <v>0.35</v>
      </c>
      <c r="N1941" s="316">
        <f>$R1941*O1941</f>
        <v>0</v>
      </c>
      <c r="O1941" s="69">
        <v>0.17</v>
      </c>
      <c r="P1941" s="121">
        <f>$R1941*Q1941</f>
        <v>0</v>
      </c>
      <c r="Q1941" s="69">
        <v>0.1</v>
      </c>
      <c r="R1941" s="89">
        <f>'Terms and Turnovers'!AY201</f>
        <v>0</v>
      </c>
      <c r="S1941" s="162">
        <f>SUM(G1941,I1941,K1941,M1941,O1941,Q1941)</f>
        <v>1</v>
      </c>
      <c r="T1941" s="121">
        <f>$AF1941*U1941</f>
        <v>0</v>
      </c>
      <c r="U1941" s="72">
        <v>0.05</v>
      </c>
      <c r="V1941" s="121">
        <f>$AF1941*W1941</f>
        <v>0</v>
      </c>
      <c r="W1941" s="69">
        <v>0.4</v>
      </c>
      <c r="X1941" s="121">
        <f>$AF1941*Y1941</f>
        <v>0</v>
      </c>
      <c r="Y1941" s="69">
        <v>0.35</v>
      </c>
      <c r="Z1941" s="121">
        <f>$AF1941*AA1941</f>
        <v>0</v>
      </c>
      <c r="AA1941" s="69">
        <v>0.13</v>
      </c>
      <c r="AB1941" s="316">
        <f>$AF1941*AC1941</f>
        <v>0</v>
      </c>
      <c r="AC1941" s="69">
        <v>0.05</v>
      </c>
      <c r="AD1941" s="121">
        <f>$AF1941*AE1941</f>
        <v>0</v>
      </c>
      <c r="AE1941" s="69">
        <v>0.02</v>
      </c>
      <c r="AF1941" s="89">
        <f>'Terms and Turnovers'!BD201</f>
        <v>0</v>
      </c>
      <c r="AG1941" s="162">
        <f>SUM(U1941,W1941,Y1941,AA1941,AC1941,AE1941)</f>
        <v>1</v>
      </c>
      <c r="AH1941" s="159">
        <f>SUM(R1941,AF1941)</f>
        <v>0</v>
      </c>
      <c r="AI1941" s="137">
        <f>S1941+AG1941</f>
        <v>2</v>
      </c>
      <c r="AJ1941" s="65"/>
      <c r="AL1941" s="461">
        <f>SUM(F1941,H1941,J1941,L1941,N1941,P1941,T1941,V1941,X1941,Z1941,AB1941,AD1941)</f>
        <v>0</v>
      </c>
      <c r="AM1941" s="462">
        <f>AL1941-AH1941</f>
        <v>0</v>
      </c>
      <c r="AV1941" s="56"/>
    </row>
    <row r="1942" spans="1:48" ht="13.5" customHeight="1" outlineLevel="2" thickBot="1">
      <c r="A1942" s="119"/>
      <c r="B1942" s="82"/>
      <c r="C1942" s="425"/>
      <c r="D1942" s="425"/>
      <c r="E1942" s="426"/>
      <c r="F1942" s="427">
        <f>SUM(F1937:F1941)</f>
        <v>0</v>
      </c>
      <c r="G1942" s="428"/>
      <c r="H1942" s="427">
        <f>SUM(H1937:H1941)</f>
        <v>0</v>
      </c>
      <c r="I1942" s="69"/>
      <c r="J1942" s="427">
        <f>SUM(J1937:J1941)</f>
        <v>0</v>
      </c>
      <c r="K1942" s="69"/>
      <c r="L1942" s="427">
        <f>SUM(L1937:L1941)</f>
        <v>0</v>
      </c>
      <c r="M1942" s="69"/>
      <c r="N1942" s="427">
        <f>SUM(N1937:N1941)</f>
        <v>0</v>
      </c>
      <c r="O1942" s="69"/>
      <c r="P1942" s="427">
        <f>SUM(P1937:P1941)</f>
        <v>0</v>
      </c>
      <c r="Q1942" s="69"/>
      <c r="R1942" s="429"/>
      <c r="S1942" s="430"/>
      <c r="T1942" s="427">
        <f>SUM(T1937:T1941)</f>
        <v>0</v>
      </c>
      <c r="U1942" s="428"/>
      <c r="V1942" s="427">
        <f>SUM(V1937:V1941)</f>
        <v>0</v>
      </c>
      <c r="W1942" s="69"/>
      <c r="X1942" s="427">
        <f>SUM(X1937:X1941)</f>
        <v>0</v>
      </c>
      <c r="Y1942" s="69"/>
      <c r="Z1942" s="427">
        <f>SUM(Z1937:Z1941)</f>
        <v>0</v>
      </c>
      <c r="AA1942" s="69"/>
      <c r="AB1942" s="427">
        <f>SUM(AB1937:AB1941)</f>
        <v>0</v>
      </c>
      <c r="AC1942" s="69"/>
      <c r="AD1942" s="427">
        <f>SUM(AD1937:AD1941)</f>
        <v>0</v>
      </c>
      <c r="AE1942" s="69"/>
      <c r="AF1942" s="429"/>
      <c r="AG1942" s="430"/>
      <c r="AH1942" s="431"/>
      <c r="AI1942" s="432"/>
      <c r="AJ1942" s="65"/>
      <c r="AV1942" s="56"/>
    </row>
    <row r="1943" spans="1:48" ht="13.5" customHeight="1" outlineLevel="2" thickBot="1">
      <c r="A1943" s="119"/>
      <c r="B1943" s="82"/>
      <c r="C1943" s="433" t="s">
        <v>484</v>
      </c>
      <c r="D1943" s="433"/>
      <c r="E1943" s="426"/>
      <c r="F1943" s="434">
        <f>F1942/2</f>
        <v>0</v>
      </c>
      <c r="G1943" s="428"/>
      <c r="H1943" s="434">
        <f>F1942/2+H1942/2</f>
        <v>0</v>
      </c>
      <c r="I1943" s="69"/>
      <c r="J1943" s="434">
        <f>H1942/2+J1942/2</f>
        <v>0</v>
      </c>
      <c r="K1943" s="69"/>
      <c r="L1943" s="434">
        <f>J1942/2+L1942/2</f>
        <v>0</v>
      </c>
      <c r="M1943" s="69"/>
      <c r="N1943" s="434">
        <f>L1942/2+N1942/2</f>
        <v>0</v>
      </c>
      <c r="O1943" s="69"/>
      <c r="P1943" s="434">
        <f>N1942/2+P1942/2</f>
        <v>0</v>
      </c>
      <c r="Q1943" s="69"/>
      <c r="R1943" s="429"/>
      <c r="S1943" s="430"/>
      <c r="T1943" s="434">
        <f>P1942/2+T1942/2</f>
        <v>0</v>
      </c>
      <c r="U1943" s="428"/>
      <c r="V1943" s="434">
        <f>T1942/2+V1942/2</f>
        <v>0</v>
      </c>
      <c r="W1943" s="69"/>
      <c r="X1943" s="434">
        <f>V1942/2+X1942/2</f>
        <v>0</v>
      </c>
      <c r="Y1943" s="69"/>
      <c r="Z1943" s="434">
        <f>X1942/2+Z1942/2</f>
        <v>0</v>
      </c>
      <c r="AA1943" s="69"/>
      <c r="AB1943" s="434">
        <f>Z1942/2+AB1942/2</f>
        <v>0</v>
      </c>
      <c r="AC1943" s="69"/>
      <c r="AD1943" s="434">
        <f>AB1942/2+AD1942/2</f>
        <v>0</v>
      </c>
      <c r="AE1943" s="69"/>
      <c r="AF1943" s="429"/>
      <c r="AG1943" s="430"/>
      <c r="AH1943" s="431"/>
      <c r="AI1943" s="432"/>
      <c r="AJ1943" s="65"/>
      <c r="AV1943" s="56"/>
    </row>
    <row r="1944" spans="1:48" ht="13.5" customHeight="1" outlineLevel="2" thickBot="1">
      <c r="B1944" s="82">
        <f>B1937+1</f>
        <v>71</v>
      </c>
      <c r="C1944" s="1233">
        <f>C503</f>
        <v>0</v>
      </c>
      <c r="D1944" s="1233">
        <f>D503</f>
        <v>0</v>
      </c>
      <c r="E1944" s="83" t="str">
        <f>'Terms and Turnovers'!$J$12</f>
        <v>FLIP-FLOPS</v>
      </c>
      <c r="F1944" s="121">
        <f>$R1944*G1944</f>
        <v>0</v>
      </c>
      <c r="G1944" s="69"/>
      <c r="H1944" s="316">
        <f>$R1944*I1944</f>
        <v>0</v>
      </c>
      <c r="I1944" s="69">
        <v>7.0000000000000007E-2</v>
      </c>
      <c r="J1944" s="118">
        <f>$R1944*K1944</f>
        <v>0</v>
      </c>
      <c r="K1944" s="69">
        <v>0.31</v>
      </c>
      <c r="L1944" s="314">
        <f>$R1944*M1944</f>
        <v>0</v>
      </c>
      <c r="M1944" s="69">
        <v>0.35</v>
      </c>
      <c r="N1944" s="314">
        <f>$R1944*O1944</f>
        <v>0</v>
      </c>
      <c r="O1944" s="69">
        <v>0.17</v>
      </c>
      <c r="P1944" s="121">
        <f>$R1944*Q1944</f>
        <v>0</v>
      </c>
      <c r="Q1944" s="69">
        <v>0.1</v>
      </c>
      <c r="R1944" s="87">
        <f>'Terms and Turnovers'!K202</f>
        <v>0</v>
      </c>
      <c r="S1944" s="160">
        <f>SUM(G1944,I1944,K1944,M1944,O1944,Q1944)</f>
        <v>1</v>
      </c>
      <c r="T1944" s="121">
        <f>$AF1944*U1944</f>
        <v>0</v>
      </c>
      <c r="U1944" s="69">
        <v>0.05</v>
      </c>
      <c r="V1944" s="316">
        <f>$AF1944*W1944</f>
        <v>0</v>
      </c>
      <c r="W1944" s="69">
        <v>0.4</v>
      </c>
      <c r="X1944" s="118">
        <f>$AF1944*Y1944</f>
        <v>0</v>
      </c>
      <c r="Y1944" s="69">
        <v>0.35</v>
      </c>
      <c r="Z1944" s="314">
        <f>$AF1944*AA1944</f>
        <v>0</v>
      </c>
      <c r="AA1944" s="69">
        <v>0.13</v>
      </c>
      <c r="AB1944" s="314">
        <f>$AF1944*AC1944</f>
        <v>0</v>
      </c>
      <c r="AC1944" s="69">
        <v>0.05</v>
      </c>
      <c r="AD1944" s="121">
        <f>$AF1944*AE1944</f>
        <v>0</v>
      </c>
      <c r="AE1944" s="69">
        <v>0.02</v>
      </c>
      <c r="AF1944" s="87">
        <f>'Terms and Turnovers'!P202</f>
        <v>0</v>
      </c>
      <c r="AG1944" s="160">
        <f>SUM(U1944,W1944,Y1944,AA1944,AC1944,AE1944)</f>
        <v>1</v>
      </c>
      <c r="AH1944" s="157">
        <f>SUM(R1944,AF1944)</f>
        <v>0</v>
      </c>
      <c r="AI1944" s="131">
        <f>S1944+AG1944</f>
        <v>2</v>
      </c>
      <c r="AJ1944" s="65"/>
      <c r="AL1944" s="461">
        <f>SUM(F1944,H1944,J1944,L1944,N1944,P1944,T1944,V1944,X1944,Z1944,AB1944,AD1944)</f>
        <v>0</v>
      </c>
      <c r="AM1944" s="462">
        <f>AL1944-AH1944</f>
        <v>0</v>
      </c>
      <c r="AV1944" s="56"/>
    </row>
    <row r="1945" spans="1:48" ht="13.5" customHeight="1" outlineLevel="2" thickBot="1">
      <c r="B1945" s="82"/>
      <c r="C1945" s="1234"/>
      <c r="D1945" s="1234"/>
      <c r="E1945" s="84" t="str">
        <f>'Terms and Turnovers'!$T$12</f>
        <v>ORIGINALS</v>
      </c>
      <c r="F1945" s="121">
        <f>$R1945*G1945</f>
        <v>0</v>
      </c>
      <c r="G1945" s="723"/>
      <c r="H1945" s="121">
        <f>$R1945*I1945</f>
        <v>0</v>
      </c>
      <c r="I1945" s="69">
        <v>7.0000000000000007E-2</v>
      </c>
      <c r="J1945" s="120">
        <f>$R1945*K1945</f>
        <v>0</v>
      </c>
      <c r="K1945" s="69">
        <v>0.31</v>
      </c>
      <c r="L1945" s="120">
        <f>$R1945*M1945</f>
        <v>0</v>
      </c>
      <c r="M1945" s="69">
        <v>0.35</v>
      </c>
      <c r="N1945" s="315">
        <f>$R1945*O1945</f>
        <v>0</v>
      </c>
      <c r="O1945" s="69">
        <v>0.17</v>
      </c>
      <c r="P1945" s="121">
        <f>$R1945*Q1945</f>
        <v>0</v>
      </c>
      <c r="Q1945" s="69">
        <v>0.1</v>
      </c>
      <c r="R1945" s="88">
        <f>'Terms and Turnovers'!U202</f>
        <v>0</v>
      </c>
      <c r="S1945" s="161">
        <f>SUM(G1945,I1945,K1945,M1945,O1945,Q1945)</f>
        <v>1</v>
      </c>
      <c r="T1945" s="121">
        <f>$AF1945*U1945</f>
        <v>0</v>
      </c>
      <c r="U1945" s="723">
        <v>0.05</v>
      </c>
      <c r="V1945" s="121">
        <f>$AF1945*W1945</f>
        <v>0</v>
      </c>
      <c r="W1945" s="69">
        <v>0.4</v>
      </c>
      <c r="X1945" s="120">
        <f>$AF1945*Y1945</f>
        <v>0</v>
      </c>
      <c r="Y1945" s="69">
        <v>0.35</v>
      </c>
      <c r="Z1945" s="120">
        <f>$AF1945*AA1945</f>
        <v>0</v>
      </c>
      <c r="AA1945" s="69">
        <v>0.13</v>
      </c>
      <c r="AB1945" s="315">
        <f>$AF1945*AC1945</f>
        <v>0</v>
      </c>
      <c r="AC1945" s="69">
        <v>0.05</v>
      </c>
      <c r="AD1945" s="121">
        <f>$AF1945*AE1945</f>
        <v>0</v>
      </c>
      <c r="AE1945" s="69">
        <v>0.02</v>
      </c>
      <c r="AF1945" s="88">
        <f>'Terms and Turnovers'!Z202</f>
        <v>0</v>
      </c>
      <c r="AG1945" s="161">
        <f>SUM(U1945,W1945,Y1945,AA1945,AC1945,AE1945)</f>
        <v>1</v>
      </c>
      <c r="AH1945" s="158">
        <f>SUM(R1945,AF1945)</f>
        <v>0</v>
      </c>
      <c r="AI1945" s="134">
        <f>S1945+AG1945</f>
        <v>2</v>
      </c>
      <c r="AJ1945" s="65"/>
      <c r="AL1945" s="461">
        <f>SUM(F1945,H1945,J1945,L1945,N1945,P1945,T1945,V1945,X1945,Z1945,AB1945,AD1945)</f>
        <v>0</v>
      </c>
      <c r="AM1945" s="462">
        <f>AL1945-AH1945</f>
        <v>0</v>
      </c>
      <c r="AV1945" s="56"/>
    </row>
    <row r="1946" spans="1:48" ht="13.5" customHeight="1" outlineLevel="2" thickBot="1">
      <c r="B1946" s="82"/>
      <c r="C1946" s="1234"/>
      <c r="D1946" s="1234"/>
      <c r="E1946" s="84" t="str">
        <f>'Terms and Turnovers'!$AD$12</f>
        <v>ACCESSORIES</v>
      </c>
      <c r="F1946" s="121">
        <f>$R1946*G1946</f>
        <v>0</v>
      </c>
      <c r="G1946" s="723"/>
      <c r="H1946" s="121">
        <f>$R1946*I1946</f>
        <v>0</v>
      </c>
      <c r="I1946" s="69">
        <v>7.0000000000000007E-2</v>
      </c>
      <c r="J1946" s="120">
        <f>$R1946*K1946</f>
        <v>0</v>
      </c>
      <c r="K1946" s="69">
        <v>0.31</v>
      </c>
      <c r="L1946" s="120">
        <f>$R1946*M1946</f>
        <v>0</v>
      </c>
      <c r="M1946" s="69">
        <v>0.35</v>
      </c>
      <c r="N1946" s="315">
        <f>$R1946*O1946</f>
        <v>0</v>
      </c>
      <c r="O1946" s="69">
        <v>0.17</v>
      </c>
      <c r="P1946" s="121">
        <f>$R1946*Q1946</f>
        <v>0</v>
      </c>
      <c r="Q1946" s="69">
        <v>0.1</v>
      </c>
      <c r="R1946" s="88">
        <f>'Terms and Turnovers'!AE202</f>
        <v>0</v>
      </c>
      <c r="S1946" s="161">
        <f>SUM(G1946,I1946,K1946,M1946,O1946,Q1946)</f>
        <v>1</v>
      </c>
      <c r="T1946" s="121">
        <f>$AF1946*U1946</f>
        <v>0</v>
      </c>
      <c r="U1946" s="723">
        <v>0.05</v>
      </c>
      <c r="V1946" s="121">
        <f>$AF1946*W1946</f>
        <v>0</v>
      </c>
      <c r="W1946" s="69">
        <v>0.4</v>
      </c>
      <c r="X1946" s="120">
        <f>$AF1946*Y1946</f>
        <v>0</v>
      </c>
      <c r="Y1946" s="69">
        <v>0.35</v>
      </c>
      <c r="Z1946" s="120">
        <f>$AF1946*AA1946</f>
        <v>0</v>
      </c>
      <c r="AA1946" s="69">
        <v>0.13</v>
      </c>
      <c r="AB1946" s="315">
        <f>$AF1946*AC1946</f>
        <v>0</v>
      </c>
      <c r="AC1946" s="69">
        <v>0.05</v>
      </c>
      <c r="AD1946" s="121">
        <f>$AF1946*AE1946</f>
        <v>0</v>
      </c>
      <c r="AE1946" s="69">
        <v>0.02</v>
      </c>
      <c r="AF1946" s="88">
        <f>'Terms and Turnovers'!AJ202</f>
        <v>0</v>
      </c>
      <c r="AG1946" s="161">
        <f>SUM(U1946,W1946,Y1946,AA1946,AC1946,AE1946)</f>
        <v>1</v>
      </c>
      <c r="AH1946" s="158">
        <f>SUM(R1946,AF1946)</f>
        <v>0</v>
      </c>
      <c r="AI1946" s="134">
        <f>S1946+AG1946</f>
        <v>2</v>
      </c>
      <c r="AJ1946" s="65"/>
      <c r="AL1946" s="461">
        <f>SUM(F1946,H1946,J1946,L1946,N1946,P1946,T1946,V1946,X1946,Z1946,AB1946,AD1946)</f>
        <v>0</v>
      </c>
      <c r="AM1946" s="462">
        <f>AL1946-AH1946</f>
        <v>0</v>
      </c>
      <c r="AV1946" s="56"/>
    </row>
    <row r="1947" spans="1:48" ht="13.5" customHeight="1" outlineLevel="2" thickBot="1">
      <c r="B1947" s="82"/>
      <c r="C1947" s="1234"/>
      <c r="D1947" s="1234"/>
      <c r="E1947" s="84">
        <f>'Terms and Turnovers'!$AN$12</f>
        <v>0</v>
      </c>
      <c r="F1947" s="121">
        <f>$R1947*G1947</f>
        <v>0</v>
      </c>
      <c r="G1947" s="723"/>
      <c r="H1947" s="121">
        <f>$R1947*I1947</f>
        <v>0</v>
      </c>
      <c r="I1947" s="69">
        <v>7.0000000000000007E-2</v>
      </c>
      <c r="J1947" s="120">
        <f>$R1947*K1947</f>
        <v>0</v>
      </c>
      <c r="K1947" s="69">
        <v>0.31</v>
      </c>
      <c r="L1947" s="120">
        <f>$R1947*M1947</f>
        <v>0</v>
      </c>
      <c r="M1947" s="69">
        <v>0.35</v>
      </c>
      <c r="N1947" s="315">
        <f>$R1947*O1947</f>
        <v>0</v>
      </c>
      <c r="O1947" s="69">
        <v>0.17</v>
      </c>
      <c r="P1947" s="121">
        <f>$R1947*Q1947</f>
        <v>0</v>
      </c>
      <c r="Q1947" s="69">
        <v>0.1</v>
      </c>
      <c r="R1947" s="88">
        <f>'Terms and Turnovers'!AO202</f>
        <v>0</v>
      </c>
      <c r="S1947" s="161">
        <f>SUM(G1947,I1947,K1947,M1947,O1947,Q1947)</f>
        <v>1</v>
      </c>
      <c r="T1947" s="121">
        <f>$AF1947*U1947</f>
        <v>0</v>
      </c>
      <c r="U1947" s="723">
        <v>0.05</v>
      </c>
      <c r="V1947" s="121">
        <f>$AF1947*W1947</f>
        <v>0</v>
      </c>
      <c r="W1947" s="69">
        <v>0.4</v>
      </c>
      <c r="X1947" s="120">
        <f>$AF1947*Y1947</f>
        <v>0</v>
      </c>
      <c r="Y1947" s="69">
        <v>0.35</v>
      </c>
      <c r="Z1947" s="120">
        <f>$AF1947*AA1947</f>
        <v>0</v>
      </c>
      <c r="AA1947" s="69">
        <v>0.13</v>
      </c>
      <c r="AB1947" s="315">
        <f>$AF1947*AC1947</f>
        <v>0</v>
      </c>
      <c r="AC1947" s="69">
        <v>0.05</v>
      </c>
      <c r="AD1947" s="121">
        <f>$AF1947*AE1947</f>
        <v>0</v>
      </c>
      <c r="AE1947" s="69">
        <v>0.02</v>
      </c>
      <c r="AF1947" s="88">
        <f>'Terms and Turnovers'!AT202</f>
        <v>0</v>
      </c>
      <c r="AG1947" s="161">
        <f>SUM(U1947,W1947,Y1947,AA1947,AC1947,AE1947)</f>
        <v>1</v>
      </c>
      <c r="AH1947" s="158">
        <f>SUM(R1947,AF1947)</f>
        <v>0</v>
      </c>
      <c r="AI1947" s="134">
        <f>S1947+AG1947</f>
        <v>2</v>
      </c>
      <c r="AJ1947" s="65"/>
      <c r="AL1947" s="461">
        <f>SUM(F1947,H1947,J1947,L1947,N1947,P1947,T1947,V1947,X1947,Z1947,AB1947,AD1947)</f>
        <v>0</v>
      </c>
      <c r="AM1947" s="462">
        <f>AL1947-AH1947</f>
        <v>0</v>
      </c>
      <c r="AV1947" s="56"/>
    </row>
    <row r="1948" spans="1:48" ht="13.5" customHeight="1" outlineLevel="2" thickBot="1">
      <c r="B1948" s="82"/>
      <c r="C1948" s="1235"/>
      <c r="D1948" s="1235"/>
      <c r="E1948" s="85">
        <f>'Terms and Turnovers'!$AX$12</f>
        <v>0</v>
      </c>
      <c r="F1948" s="121">
        <f>$R1948*G1948</f>
        <v>0</v>
      </c>
      <c r="G1948" s="72"/>
      <c r="H1948" s="121">
        <f>$R1948*I1948</f>
        <v>0</v>
      </c>
      <c r="I1948" s="69">
        <v>7.0000000000000007E-2</v>
      </c>
      <c r="J1948" s="121">
        <f>$R1948*K1948</f>
        <v>0</v>
      </c>
      <c r="K1948" s="69">
        <v>0.31</v>
      </c>
      <c r="L1948" s="121">
        <f>$R1948*M1948</f>
        <v>0</v>
      </c>
      <c r="M1948" s="69">
        <v>0.35</v>
      </c>
      <c r="N1948" s="316">
        <f>$R1948*O1948</f>
        <v>0</v>
      </c>
      <c r="O1948" s="69">
        <v>0.17</v>
      </c>
      <c r="P1948" s="121">
        <f>$R1948*Q1948</f>
        <v>0</v>
      </c>
      <c r="Q1948" s="69">
        <v>0.1</v>
      </c>
      <c r="R1948" s="89">
        <f>'Terms and Turnovers'!AY202</f>
        <v>0</v>
      </c>
      <c r="S1948" s="162">
        <f>SUM(G1948,I1948,K1948,M1948,O1948,Q1948)</f>
        <v>1</v>
      </c>
      <c r="T1948" s="121">
        <f>$AF1948*U1948</f>
        <v>0</v>
      </c>
      <c r="U1948" s="72">
        <v>0.05</v>
      </c>
      <c r="V1948" s="121">
        <f>$AF1948*W1948</f>
        <v>0</v>
      </c>
      <c r="W1948" s="69">
        <v>0.4</v>
      </c>
      <c r="X1948" s="121">
        <f>$AF1948*Y1948</f>
        <v>0</v>
      </c>
      <c r="Y1948" s="69">
        <v>0.35</v>
      </c>
      <c r="Z1948" s="121">
        <f>$AF1948*AA1948</f>
        <v>0</v>
      </c>
      <c r="AA1948" s="69">
        <v>0.13</v>
      </c>
      <c r="AB1948" s="316">
        <f>$AF1948*AC1948</f>
        <v>0</v>
      </c>
      <c r="AC1948" s="69">
        <v>0.05</v>
      </c>
      <c r="AD1948" s="121">
        <f>$AF1948*AE1948</f>
        <v>0</v>
      </c>
      <c r="AE1948" s="69">
        <v>0.02</v>
      </c>
      <c r="AF1948" s="89">
        <f>'Terms and Turnovers'!BD202</f>
        <v>0</v>
      </c>
      <c r="AG1948" s="162">
        <f>SUM(U1948,W1948,Y1948,AA1948,AC1948,AE1948)</f>
        <v>1</v>
      </c>
      <c r="AH1948" s="159">
        <f>SUM(R1948,AF1948)</f>
        <v>0</v>
      </c>
      <c r="AI1948" s="137">
        <f>S1948+AG1948</f>
        <v>2</v>
      </c>
      <c r="AJ1948" s="65"/>
      <c r="AL1948" s="461">
        <f>SUM(F1948,H1948,J1948,L1948,N1948,P1948,T1948,V1948,X1948,Z1948,AB1948,AD1948)</f>
        <v>0</v>
      </c>
      <c r="AM1948" s="462">
        <f>AL1948-AH1948</f>
        <v>0</v>
      </c>
      <c r="AV1948" s="56"/>
    </row>
    <row r="1949" spans="1:48" ht="13.5" customHeight="1" outlineLevel="2" thickBot="1">
      <c r="A1949" s="119"/>
      <c r="B1949" s="82"/>
      <c r="C1949" s="425"/>
      <c r="D1949" s="425"/>
      <c r="E1949" s="426"/>
      <c r="F1949" s="427">
        <f>SUM(F1944:F1948)</f>
        <v>0</v>
      </c>
      <c r="G1949" s="428"/>
      <c r="H1949" s="427">
        <f>SUM(H1944:H1948)</f>
        <v>0</v>
      </c>
      <c r="I1949" s="69"/>
      <c r="J1949" s="427">
        <f>SUM(J1944:J1948)</f>
        <v>0</v>
      </c>
      <c r="K1949" s="69"/>
      <c r="L1949" s="427">
        <f>SUM(L1944:L1948)</f>
        <v>0</v>
      </c>
      <c r="M1949" s="69"/>
      <c r="N1949" s="427">
        <f>SUM(N1944:N1948)</f>
        <v>0</v>
      </c>
      <c r="O1949" s="69"/>
      <c r="P1949" s="427">
        <f>SUM(P1944:P1948)</f>
        <v>0</v>
      </c>
      <c r="Q1949" s="69"/>
      <c r="R1949" s="429"/>
      <c r="S1949" s="430"/>
      <c r="T1949" s="427">
        <f>SUM(T1944:T1948)</f>
        <v>0</v>
      </c>
      <c r="U1949" s="428"/>
      <c r="V1949" s="427">
        <f>SUM(V1944:V1948)</f>
        <v>0</v>
      </c>
      <c r="W1949" s="69"/>
      <c r="X1949" s="427">
        <f>SUM(X1944:X1948)</f>
        <v>0</v>
      </c>
      <c r="Y1949" s="69"/>
      <c r="Z1949" s="427">
        <f>SUM(Z1944:Z1948)</f>
        <v>0</v>
      </c>
      <c r="AA1949" s="69"/>
      <c r="AB1949" s="427">
        <f>SUM(AB1944:AB1948)</f>
        <v>0</v>
      </c>
      <c r="AC1949" s="69"/>
      <c r="AD1949" s="427">
        <f>SUM(AD1944:AD1948)</f>
        <v>0</v>
      </c>
      <c r="AE1949" s="69"/>
      <c r="AF1949" s="429"/>
      <c r="AG1949" s="430"/>
      <c r="AH1949" s="431"/>
      <c r="AI1949" s="432"/>
      <c r="AJ1949" s="65"/>
      <c r="AV1949" s="56"/>
    </row>
    <row r="1950" spans="1:48" ht="13.5" customHeight="1" outlineLevel="2" thickBot="1">
      <c r="A1950" s="119"/>
      <c r="B1950" s="82"/>
      <c r="C1950" s="433" t="s">
        <v>484</v>
      </c>
      <c r="D1950" s="433"/>
      <c r="E1950" s="426"/>
      <c r="F1950" s="434"/>
      <c r="G1950" s="428"/>
      <c r="H1950" s="434">
        <f>H1949</f>
        <v>0</v>
      </c>
      <c r="I1950" s="69"/>
      <c r="J1950" s="434">
        <f>J1949</f>
        <v>0</v>
      </c>
      <c r="K1950" s="69"/>
      <c r="L1950" s="434">
        <f>L1949</f>
        <v>0</v>
      </c>
      <c r="M1950" s="69"/>
      <c r="N1950" s="434">
        <f>N1949</f>
        <v>0</v>
      </c>
      <c r="O1950" s="69"/>
      <c r="P1950" s="434">
        <f>L1949</f>
        <v>0</v>
      </c>
      <c r="Q1950" s="69"/>
      <c r="R1950" s="429"/>
      <c r="S1950" s="430"/>
      <c r="T1950" s="434">
        <f>P1949</f>
        <v>0</v>
      </c>
      <c r="U1950" s="428"/>
      <c r="V1950" s="434">
        <f>R1949</f>
        <v>0</v>
      </c>
      <c r="W1950" s="69"/>
      <c r="X1950" s="434">
        <f>T1949</f>
        <v>0</v>
      </c>
      <c r="Y1950" s="69"/>
      <c r="Z1950" s="434">
        <f>V1949</f>
        <v>0</v>
      </c>
      <c r="AA1950" s="69"/>
      <c r="AB1950" s="435">
        <f>X1949</f>
        <v>0</v>
      </c>
      <c r="AC1950" s="69"/>
      <c r="AD1950" s="435">
        <f>Z1949</f>
        <v>0</v>
      </c>
      <c r="AE1950" s="69"/>
      <c r="AF1950" s="429"/>
      <c r="AG1950" s="430"/>
      <c r="AH1950" s="431"/>
      <c r="AI1950" s="432"/>
      <c r="AJ1950" s="65"/>
      <c r="AV1950" s="56"/>
    </row>
    <row r="1951" spans="1:48" ht="13.5" customHeight="1" outlineLevel="2" thickBot="1">
      <c r="B1951" s="82">
        <f>B1944+1</f>
        <v>72</v>
      </c>
      <c r="C1951" s="1233">
        <f>C510</f>
        <v>0</v>
      </c>
      <c r="D1951" s="1233">
        <f>D510</f>
        <v>0</v>
      </c>
      <c r="E1951" s="83" t="str">
        <f>'Terms and Turnovers'!$J$12</f>
        <v>FLIP-FLOPS</v>
      </c>
      <c r="F1951" s="121">
        <f>$R1951*G1951</f>
        <v>0</v>
      </c>
      <c r="G1951" s="69">
        <v>0.03</v>
      </c>
      <c r="H1951" s="316">
        <f>$R1951*I1951</f>
        <v>0</v>
      </c>
      <c r="I1951" s="69">
        <v>7.0000000000000007E-2</v>
      </c>
      <c r="J1951" s="118">
        <f>$R1951*K1951</f>
        <v>0</v>
      </c>
      <c r="K1951" s="69">
        <v>0.1</v>
      </c>
      <c r="L1951" s="314">
        <f>$R1951*M1951</f>
        <v>0</v>
      </c>
      <c r="M1951" s="69">
        <v>0.28000000000000003</v>
      </c>
      <c r="N1951" s="314">
        <f>$R1951*O1951</f>
        <v>0</v>
      </c>
      <c r="O1951" s="69">
        <v>0.32</v>
      </c>
      <c r="P1951" s="121">
        <f>$R1951*Q1951</f>
        <v>0</v>
      </c>
      <c r="Q1951" s="69">
        <v>0.2</v>
      </c>
      <c r="R1951" s="87">
        <f>'Terms and Turnovers'!K203</f>
        <v>0</v>
      </c>
      <c r="S1951" s="160">
        <f>SUM(G1951,I1951,K1951,M1951,O1951,Q1951)</f>
        <v>1</v>
      </c>
      <c r="T1951" s="121">
        <f>$AF1951*U1951</f>
        <v>0</v>
      </c>
      <c r="U1951" s="69">
        <v>0.2</v>
      </c>
      <c r="V1951" s="316">
        <f>$AF1951*W1951</f>
        <v>0</v>
      </c>
      <c r="W1951" s="69">
        <v>0.2</v>
      </c>
      <c r="X1951" s="118">
        <f>$AF1951*Y1951</f>
        <v>0</v>
      </c>
      <c r="Y1951" s="69">
        <v>0.3</v>
      </c>
      <c r="Z1951" s="314">
        <f>$AF1951*AA1951</f>
        <v>0</v>
      </c>
      <c r="AA1951" s="69">
        <v>0.17</v>
      </c>
      <c r="AB1951" s="314">
        <f>$AF1951*AC1951</f>
        <v>0</v>
      </c>
      <c r="AC1951" s="69">
        <v>0.08</v>
      </c>
      <c r="AD1951" s="121">
        <f>$AF1951*AE1951</f>
        <v>0</v>
      </c>
      <c r="AE1951" s="69">
        <v>0.05</v>
      </c>
      <c r="AF1951" s="87">
        <f>'Terms and Turnovers'!P203</f>
        <v>0</v>
      </c>
      <c r="AG1951" s="160">
        <f>SUM(U1951,W1951,Y1951,AA1951,AC1951,AE1951)</f>
        <v>1</v>
      </c>
      <c r="AH1951" s="157">
        <f>SUM(R1951,AF1951)</f>
        <v>0</v>
      </c>
      <c r="AI1951" s="131">
        <f>S1951+AG1951</f>
        <v>2</v>
      </c>
      <c r="AJ1951" s="65"/>
      <c r="AL1951" s="461">
        <f>SUM(F1951,H1951,J1951,L1951,N1951,P1951,T1951,V1951,X1951,Z1951,AB1951,AD1951)</f>
        <v>0</v>
      </c>
      <c r="AM1951" s="462">
        <f>AL1951-AH1951</f>
        <v>0</v>
      </c>
      <c r="AV1951" s="56"/>
    </row>
    <row r="1952" spans="1:48" ht="13.5" customHeight="1" outlineLevel="2" thickBot="1">
      <c r="B1952" s="82"/>
      <c r="C1952" s="1234"/>
      <c r="D1952" s="1234"/>
      <c r="E1952" s="84" t="str">
        <f>'Terms and Turnovers'!$T$12</f>
        <v>ORIGINALS</v>
      </c>
      <c r="F1952" s="121">
        <f>$R1952*G1952</f>
        <v>0</v>
      </c>
      <c r="G1952" s="723"/>
      <c r="H1952" s="121">
        <f>$R1952*I1952</f>
        <v>0</v>
      </c>
      <c r="I1952" s="69">
        <v>0</v>
      </c>
      <c r="J1952" s="120">
        <f>$R1952*K1952</f>
        <v>0</v>
      </c>
      <c r="K1952" s="69">
        <v>0.3</v>
      </c>
      <c r="L1952" s="120">
        <f>$R1952*M1952</f>
        <v>0</v>
      </c>
      <c r="M1952" s="69">
        <v>0.6</v>
      </c>
      <c r="N1952" s="315">
        <f>$R1952*O1952</f>
        <v>0</v>
      </c>
      <c r="O1952" s="69">
        <v>0.1</v>
      </c>
      <c r="P1952" s="121">
        <f>$R1952*Q1952</f>
        <v>0</v>
      </c>
      <c r="Q1952" s="69">
        <v>0</v>
      </c>
      <c r="R1952" s="88">
        <f>'Terms and Turnovers'!U203</f>
        <v>0</v>
      </c>
      <c r="S1952" s="161">
        <f>SUM(G1952,I1952,K1952,M1952,O1952,Q1952)</f>
        <v>0.99999999999999989</v>
      </c>
      <c r="T1952" s="121">
        <f>$AF1952*U1952</f>
        <v>0</v>
      </c>
      <c r="U1952" s="69">
        <v>0.2</v>
      </c>
      <c r="V1952" s="121">
        <f>$AF1952*W1952</f>
        <v>0</v>
      </c>
      <c r="W1952" s="69">
        <v>0.2</v>
      </c>
      <c r="X1952" s="120">
        <f>$AF1952*Y1952</f>
        <v>0</v>
      </c>
      <c r="Y1952" s="69">
        <v>0.3</v>
      </c>
      <c r="Z1952" s="120">
        <f>$AF1952*AA1952</f>
        <v>0</v>
      </c>
      <c r="AA1952" s="69">
        <v>0.17</v>
      </c>
      <c r="AB1952" s="315">
        <f>$AF1952*AC1952</f>
        <v>0</v>
      </c>
      <c r="AC1952" s="69">
        <v>0.08</v>
      </c>
      <c r="AD1952" s="121">
        <f>$AF1952*AE1952</f>
        <v>0</v>
      </c>
      <c r="AE1952" s="69">
        <v>0.05</v>
      </c>
      <c r="AF1952" s="88">
        <f>'Terms and Turnovers'!Z203</f>
        <v>0</v>
      </c>
      <c r="AG1952" s="161">
        <f>SUM(U1952,W1952,Y1952,AA1952,AC1952,AE1952)</f>
        <v>1</v>
      </c>
      <c r="AH1952" s="158">
        <f>SUM(R1952,AF1952)</f>
        <v>0</v>
      </c>
      <c r="AI1952" s="134">
        <f>S1952+AG1952</f>
        <v>2</v>
      </c>
      <c r="AJ1952" s="65"/>
      <c r="AL1952" s="461">
        <f>SUM(F1952,H1952,J1952,L1952,N1952,P1952,T1952,V1952,X1952,Z1952,AB1952,AD1952)</f>
        <v>0</v>
      </c>
      <c r="AM1952" s="462">
        <f>AL1952-AH1952</f>
        <v>0</v>
      </c>
      <c r="AV1952" s="56"/>
    </row>
    <row r="1953" spans="1:48" ht="13.5" customHeight="1" outlineLevel="2" thickBot="1">
      <c r="B1953" s="82"/>
      <c r="C1953" s="1234"/>
      <c r="D1953" s="1234"/>
      <c r="E1953" s="84" t="str">
        <f>'Terms and Turnovers'!$AD$12</f>
        <v>ACCESSORIES</v>
      </c>
      <c r="F1953" s="121">
        <f>$R1953*G1953</f>
        <v>0</v>
      </c>
      <c r="G1953" s="723"/>
      <c r="H1953" s="121">
        <f>$R1953*I1953</f>
        <v>0</v>
      </c>
      <c r="I1953" s="69">
        <v>0</v>
      </c>
      <c r="J1953" s="120">
        <f>$R1953*K1953</f>
        <v>0</v>
      </c>
      <c r="K1953" s="69">
        <v>0.3</v>
      </c>
      <c r="L1953" s="120">
        <f>$R1953*M1953</f>
        <v>0</v>
      </c>
      <c r="M1953" s="69">
        <v>0.6</v>
      </c>
      <c r="N1953" s="315">
        <f>$R1953*O1953</f>
        <v>0</v>
      </c>
      <c r="O1953" s="69">
        <v>0.1</v>
      </c>
      <c r="P1953" s="121">
        <f>$R1953*Q1953</f>
        <v>0</v>
      </c>
      <c r="Q1953" s="69">
        <v>0</v>
      </c>
      <c r="R1953" s="88">
        <f>'Terms and Turnovers'!AE203</f>
        <v>0</v>
      </c>
      <c r="S1953" s="161">
        <f>SUM(G1953,I1953,K1953,M1953,O1953,Q1953)</f>
        <v>0.99999999999999989</v>
      </c>
      <c r="T1953" s="121">
        <f>$AF1953*U1953</f>
        <v>0</v>
      </c>
      <c r="U1953" s="69">
        <v>0.2</v>
      </c>
      <c r="V1953" s="121">
        <f>$AF1953*W1953</f>
        <v>0</v>
      </c>
      <c r="W1953" s="69">
        <v>0.2</v>
      </c>
      <c r="X1953" s="120">
        <f>$AF1953*Y1953</f>
        <v>0</v>
      </c>
      <c r="Y1953" s="69">
        <v>0.3</v>
      </c>
      <c r="Z1953" s="120">
        <f>$AF1953*AA1953</f>
        <v>0</v>
      </c>
      <c r="AA1953" s="69">
        <v>0.17</v>
      </c>
      <c r="AB1953" s="315">
        <f>$AF1953*AC1953</f>
        <v>0</v>
      </c>
      <c r="AC1953" s="69">
        <v>0.08</v>
      </c>
      <c r="AD1953" s="121">
        <f>$AF1953*AE1953</f>
        <v>0</v>
      </c>
      <c r="AE1953" s="69">
        <v>0.05</v>
      </c>
      <c r="AF1953" s="88">
        <f>'Terms and Turnovers'!AJ203</f>
        <v>0</v>
      </c>
      <c r="AG1953" s="161">
        <f>SUM(U1953,W1953,Y1953,AA1953,AC1953,AE1953)</f>
        <v>1</v>
      </c>
      <c r="AH1953" s="158">
        <f>SUM(R1953,AF1953)</f>
        <v>0</v>
      </c>
      <c r="AI1953" s="134">
        <f>S1953+AG1953</f>
        <v>2</v>
      </c>
      <c r="AJ1953" s="65"/>
      <c r="AL1953" s="461">
        <f>SUM(F1953,H1953,J1953,L1953,N1953,P1953,T1953,V1953,X1953,Z1953,AB1953,AD1953)</f>
        <v>0</v>
      </c>
      <c r="AM1953" s="462">
        <f>AL1953-AH1953</f>
        <v>0</v>
      </c>
      <c r="AV1953" s="56"/>
    </row>
    <row r="1954" spans="1:48" ht="13.5" customHeight="1" outlineLevel="2" thickBot="1">
      <c r="B1954" s="82"/>
      <c r="C1954" s="1234"/>
      <c r="D1954" s="1234"/>
      <c r="E1954" s="84">
        <f>'Terms and Turnovers'!$AN$12</f>
        <v>0</v>
      </c>
      <c r="F1954" s="121">
        <f>$R1954*G1954</f>
        <v>0</v>
      </c>
      <c r="G1954" s="723"/>
      <c r="H1954" s="121">
        <f>$R1954*I1954</f>
        <v>0</v>
      </c>
      <c r="I1954" s="69">
        <v>7.0000000000000007E-2</v>
      </c>
      <c r="J1954" s="120">
        <f>$R1954*K1954</f>
        <v>0</v>
      </c>
      <c r="K1954" s="69">
        <v>0.31</v>
      </c>
      <c r="L1954" s="120">
        <f>$R1954*M1954</f>
        <v>0</v>
      </c>
      <c r="M1954" s="69">
        <v>0.35</v>
      </c>
      <c r="N1954" s="315">
        <f>$R1954*O1954</f>
        <v>0</v>
      </c>
      <c r="O1954" s="69">
        <v>0.17</v>
      </c>
      <c r="P1954" s="121">
        <f>$R1954*Q1954</f>
        <v>0</v>
      </c>
      <c r="Q1954" s="69">
        <v>0.1</v>
      </c>
      <c r="R1954" s="88">
        <f>'Terms and Turnovers'!AO203</f>
        <v>0</v>
      </c>
      <c r="S1954" s="161">
        <f>SUM(G1954,I1954,K1954,M1954,O1954,Q1954)</f>
        <v>1</v>
      </c>
      <c r="T1954" s="121">
        <f>$AF1954*U1954</f>
        <v>0</v>
      </c>
      <c r="U1954" s="723">
        <v>0.05</v>
      </c>
      <c r="V1954" s="121">
        <f>$AF1954*W1954</f>
        <v>0</v>
      </c>
      <c r="W1954" s="69">
        <v>0.4</v>
      </c>
      <c r="X1954" s="120">
        <f>$AF1954*Y1954</f>
        <v>0</v>
      </c>
      <c r="Y1954" s="69">
        <v>0.35</v>
      </c>
      <c r="Z1954" s="120">
        <f>$AF1954*AA1954</f>
        <v>0</v>
      </c>
      <c r="AA1954" s="69">
        <v>0.13</v>
      </c>
      <c r="AB1954" s="315">
        <f>$AF1954*AC1954</f>
        <v>0</v>
      </c>
      <c r="AC1954" s="69">
        <v>0.05</v>
      </c>
      <c r="AD1954" s="121">
        <f>$AF1954*AE1954</f>
        <v>0</v>
      </c>
      <c r="AE1954" s="69">
        <v>0.02</v>
      </c>
      <c r="AF1954" s="88">
        <f>'Terms and Turnovers'!AT203</f>
        <v>0</v>
      </c>
      <c r="AG1954" s="161">
        <f>SUM(U1954,W1954,Y1954,AA1954,AC1954,AE1954)</f>
        <v>1</v>
      </c>
      <c r="AH1954" s="158">
        <f>SUM(R1954,AF1954)</f>
        <v>0</v>
      </c>
      <c r="AI1954" s="134">
        <f>S1954+AG1954</f>
        <v>2</v>
      </c>
      <c r="AJ1954" s="65"/>
      <c r="AL1954" s="461">
        <f>SUM(F1954,H1954,J1954,L1954,N1954,P1954,T1954,V1954,X1954,Z1954,AB1954,AD1954)</f>
        <v>0</v>
      </c>
      <c r="AM1954" s="462">
        <f>AL1954-AH1954</f>
        <v>0</v>
      </c>
      <c r="AV1954" s="56"/>
    </row>
    <row r="1955" spans="1:48" ht="13.5" customHeight="1" outlineLevel="2" thickBot="1">
      <c r="B1955" s="82"/>
      <c r="C1955" s="1235"/>
      <c r="D1955" s="1235"/>
      <c r="E1955" s="85">
        <f>'Terms and Turnovers'!$AX$12</f>
        <v>0</v>
      </c>
      <c r="F1955" s="121">
        <f>$R1955*G1955</f>
        <v>0</v>
      </c>
      <c r="G1955" s="72"/>
      <c r="H1955" s="121">
        <f>$R1955*I1955</f>
        <v>0</v>
      </c>
      <c r="I1955" s="69">
        <v>7.0000000000000007E-2</v>
      </c>
      <c r="J1955" s="121">
        <f>$R1955*K1955</f>
        <v>0</v>
      </c>
      <c r="K1955" s="69">
        <v>0.31</v>
      </c>
      <c r="L1955" s="121">
        <f>$R1955*M1955</f>
        <v>0</v>
      </c>
      <c r="M1955" s="69">
        <v>0.35</v>
      </c>
      <c r="N1955" s="316">
        <f>$R1955*O1955</f>
        <v>0</v>
      </c>
      <c r="O1955" s="69">
        <v>0.17</v>
      </c>
      <c r="P1955" s="121">
        <f>$R1955*Q1955</f>
        <v>0</v>
      </c>
      <c r="Q1955" s="69">
        <v>0.1</v>
      </c>
      <c r="R1955" s="89">
        <f>'Terms and Turnovers'!AY203</f>
        <v>0</v>
      </c>
      <c r="S1955" s="162">
        <f>SUM(G1955,I1955,K1955,M1955,O1955,Q1955)</f>
        <v>1</v>
      </c>
      <c r="T1955" s="121">
        <f>$AF1955*U1955</f>
        <v>0</v>
      </c>
      <c r="U1955" s="72">
        <v>0.05</v>
      </c>
      <c r="V1955" s="121">
        <f>$AF1955*W1955</f>
        <v>0</v>
      </c>
      <c r="W1955" s="69">
        <v>0.4</v>
      </c>
      <c r="X1955" s="121">
        <f>$AF1955*Y1955</f>
        <v>0</v>
      </c>
      <c r="Y1955" s="69">
        <v>0.35</v>
      </c>
      <c r="Z1955" s="121">
        <f>$AF1955*AA1955</f>
        <v>0</v>
      </c>
      <c r="AA1955" s="69">
        <v>0.13</v>
      </c>
      <c r="AB1955" s="316">
        <f>$AF1955*AC1955</f>
        <v>0</v>
      </c>
      <c r="AC1955" s="69">
        <v>0.05</v>
      </c>
      <c r="AD1955" s="121">
        <f>$AF1955*AE1955</f>
        <v>0</v>
      </c>
      <c r="AE1955" s="69">
        <v>0.02</v>
      </c>
      <c r="AF1955" s="89">
        <f>'Terms and Turnovers'!BD203</f>
        <v>0</v>
      </c>
      <c r="AG1955" s="162">
        <f>SUM(U1955,W1955,Y1955,AA1955,AC1955,AE1955)</f>
        <v>1</v>
      </c>
      <c r="AH1955" s="159">
        <f>SUM(R1955,AF1955)</f>
        <v>0</v>
      </c>
      <c r="AI1955" s="137">
        <f>S1955+AG1955</f>
        <v>2</v>
      </c>
      <c r="AJ1955" s="65"/>
      <c r="AL1955" s="461">
        <f>SUM(F1955,H1955,J1955,L1955,N1955,P1955,T1955,V1955,X1955,Z1955,AB1955,AD1955)</f>
        <v>0</v>
      </c>
      <c r="AM1955" s="462">
        <f>AL1955-AH1955</f>
        <v>0</v>
      </c>
      <c r="AV1955" s="56"/>
    </row>
    <row r="1956" spans="1:48" ht="13.5" customHeight="1" outlineLevel="2" thickBot="1">
      <c r="A1956" s="119"/>
      <c r="B1956" s="82"/>
      <c r="C1956" s="425"/>
      <c r="D1956" s="425"/>
      <c r="E1956" s="426"/>
      <c r="F1956" s="427">
        <f>SUM(F1951:F1955)</f>
        <v>0</v>
      </c>
      <c r="G1956" s="428"/>
      <c r="H1956" s="427">
        <f>SUM(H1951:H1955)</f>
        <v>0</v>
      </c>
      <c r="I1956" s="69"/>
      <c r="J1956" s="427">
        <f>SUM(J1951:J1955)</f>
        <v>0</v>
      </c>
      <c r="K1956" s="69"/>
      <c r="L1956" s="427">
        <f>SUM(L1951:L1955)</f>
        <v>0</v>
      </c>
      <c r="M1956" s="69"/>
      <c r="N1956" s="427">
        <f>SUM(N1951:N1955)</f>
        <v>0</v>
      </c>
      <c r="O1956" s="69"/>
      <c r="P1956" s="427">
        <f>SUM(P1951:P1955)</f>
        <v>0</v>
      </c>
      <c r="Q1956" s="69"/>
      <c r="R1956" s="429"/>
      <c r="S1956" s="430"/>
      <c r="T1956" s="427">
        <f>SUM(T1951:T1955)</f>
        <v>0</v>
      </c>
      <c r="U1956" s="428"/>
      <c r="V1956" s="427">
        <f>SUM(V1951:V1955)</f>
        <v>0</v>
      </c>
      <c r="W1956" s="69"/>
      <c r="X1956" s="427">
        <f>SUM(X1951:X1955)</f>
        <v>0</v>
      </c>
      <c r="Y1956" s="69"/>
      <c r="Z1956" s="427">
        <f>SUM(Z1951:Z1955)</f>
        <v>0</v>
      </c>
      <c r="AA1956" s="69"/>
      <c r="AB1956" s="427">
        <f>SUM(AB1951:AB1955)</f>
        <v>0</v>
      </c>
      <c r="AC1956" s="69"/>
      <c r="AD1956" s="427">
        <f>SUM(AD1951:AD1955)</f>
        <v>0</v>
      </c>
      <c r="AE1956" s="69"/>
      <c r="AF1956" s="429"/>
      <c r="AG1956" s="430"/>
      <c r="AH1956" s="431"/>
      <c r="AI1956" s="432"/>
      <c r="AJ1956" s="65"/>
      <c r="AV1956" s="56"/>
    </row>
    <row r="1957" spans="1:48" ht="13.5" customHeight="1" outlineLevel="2" thickBot="1">
      <c r="A1957" s="119"/>
      <c r="B1957" s="82"/>
      <c r="C1957" s="433" t="s">
        <v>484</v>
      </c>
      <c r="D1957" s="433"/>
      <c r="E1957" s="426"/>
      <c r="F1957" s="434">
        <f>F1956</f>
        <v>0</v>
      </c>
      <c r="G1957" s="428"/>
      <c r="H1957" s="434">
        <f>H1956</f>
        <v>0</v>
      </c>
      <c r="I1957" s="69"/>
      <c r="J1957" s="434">
        <f>J1956</f>
        <v>0</v>
      </c>
      <c r="K1957" s="69"/>
      <c r="L1957" s="434">
        <f>L1956</f>
        <v>0</v>
      </c>
      <c r="M1957" s="69"/>
      <c r="N1957" s="434">
        <f>N1956</f>
        <v>0</v>
      </c>
      <c r="O1957" s="69"/>
      <c r="P1957" s="434">
        <f>P1956</f>
        <v>0</v>
      </c>
      <c r="Q1957" s="69"/>
      <c r="R1957" s="429"/>
      <c r="S1957" s="430"/>
      <c r="T1957" s="434">
        <f>T1956</f>
        <v>0</v>
      </c>
      <c r="U1957" s="428"/>
      <c r="V1957" s="434">
        <f>V1956</f>
        <v>0</v>
      </c>
      <c r="W1957" s="69"/>
      <c r="X1957" s="434">
        <f>X1956</f>
        <v>0</v>
      </c>
      <c r="Y1957" s="69">
        <f>W1956*0.3+Y1956*0.7</f>
        <v>0</v>
      </c>
      <c r="Z1957" s="434">
        <f>Z1956</f>
        <v>0</v>
      </c>
      <c r="AA1957" s="69">
        <f>Y1956*0.3+AA1956*0.7</f>
        <v>0</v>
      </c>
      <c r="AB1957" s="434">
        <f>AB1956</f>
        <v>0</v>
      </c>
      <c r="AC1957" s="69">
        <f>AA1956*0.3+AC1956*0.7</f>
        <v>0</v>
      </c>
      <c r="AD1957" s="434">
        <f>AD1956</f>
        <v>0</v>
      </c>
      <c r="AE1957" s="69"/>
      <c r="AF1957" s="429"/>
      <c r="AG1957" s="430"/>
      <c r="AH1957" s="431"/>
      <c r="AI1957" s="432"/>
      <c r="AJ1957" s="65"/>
      <c r="AV1957" s="56"/>
    </row>
    <row r="1958" spans="1:48" ht="13.5" customHeight="1" outlineLevel="2" thickBot="1">
      <c r="B1958" s="82">
        <f>B1951+1</f>
        <v>73</v>
      </c>
      <c r="C1958" s="1233">
        <f>C517</f>
        <v>0</v>
      </c>
      <c r="D1958" s="1233">
        <f>D517</f>
        <v>0</v>
      </c>
      <c r="E1958" s="83" t="str">
        <f>'Terms and Turnovers'!$J$12</f>
        <v>FLIP-FLOPS</v>
      </c>
      <c r="F1958" s="121">
        <f>$R1958*G1958</f>
        <v>0</v>
      </c>
      <c r="G1958" s="69"/>
      <c r="H1958" s="316">
        <f>$R1958*I1958</f>
        <v>0</v>
      </c>
      <c r="I1958" s="69">
        <v>7.0000000000000007E-2</v>
      </c>
      <c r="J1958" s="118">
        <f>$R1958*K1958</f>
        <v>0</v>
      </c>
      <c r="K1958" s="69">
        <v>0.31</v>
      </c>
      <c r="L1958" s="314">
        <f>$R1958*M1958</f>
        <v>0</v>
      </c>
      <c r="M1958" s="69">
        <v>0.35</v>
      </c>
      <c r="N1958" s="314">
        <f>$R1958*O1958</f>
        <v>0</v>
      </c>
      <c r="O1958" s="69">
        <v>0.17</v>
      </c>
      <c r="P1958" s="121">
        <f>$R1958*Q1958</f>
        <v>0</v>
      </c>
      <c r="Q1958" s="69">
        <v>0.1</v>
      </c>
      <c r="R1958" s="87">
        <f>'Terms and Turnovers'!K204</f>
        <v>0</v>
      </c>
      <c r="S1958" s="160">
        <f>SUM(G1958,I1958,K1958,M1958,O1958,Q1958)</f>
        <v>1</v>
      </c>
      <c r="T1958" s="121">
        <f>$AF1958*U1958</f>
        <v>0</v>
      </c>
      <c r="U1958" s="69">
        <v>0.2</v>
      </c>
      <c r="V1958" s="316">
        <f>$AF1958*W1958</f>
        <v>0</v>
      </c>
      <c r="W1958" s="69">
        <v>0.2</v>
      </c>
      <c r="X1958" s="118">
        <f>$AF1958*Y1958</f>
        <v>0</v>
      </c>
      <c r="Y1958" s="69">
        <v>0.3</v>
      </c>
      <c r="Z1958" s="314">
        <f>$AF1958*AA1958</f>
        <v>0</v>
      </c>
      <c r="AA1958" s="69">
        <v>0.17</v>
      </c>
      <c r="AB1958" s="314">
        <f>$AF1958*AC1958</f>
        <v>0</v>
      </c>
      <c r="AC1958" s="69">
        <v>0.08</v>
      </c>
      <c r="AD1958" s="121">
        <f>$AF1958*AE1958</f>
        <v>0</v>
      </c>
      <c r="AE1958" s="69">
        <v>0.05</v>
      </c>
      <c r="AF1958" s="87">
        <f>'Terms and Turnovers'!P204</f>
        <v>0</v>
      </c>
      <c r="AG1958" s="160">
        <f>SUM(U1958,W1958,Y1958,AA1958,AC1958,AE1958)</f>
        <v>1</v>
      </c>
      <c r="AH1958" s="157">
        <f>SUM(R1958,AF1958)</f>
        <v>0</v>
      </c>
      <c r="AI1958" s="131">
        <f>S1958+AG1958</f>
        <v>2</v>
      </c>
      <c r="AJ1958" s="65"/>
      <c r="AL1958" s="461">
        <f>SUM(F1958,H1958,J1958,L1958,N1958,P1958,T1958,V1958,X1958,Z1958,AB1958,AD1958)</f>
        <v>0</v>
      </c>
      <c r="AM1958" s="462">
        <f>AL1958-AH1958</f>
        <v>0</v>
      </c>
      <c r="AV1958" s="56"/>
    </row>
    <row r="1959" spans="1:48" ht="13.5" customHeight="1" outlineLevel="2" thickBot="1">
      <c r="B1959" s="82"/>
      <c r="C1959" s="1234"/>
      <c r="D1959" s="1234"/>
      <c r="E1959" s="84" t="str">
        <f>'Terms and Turnovers'!$T$12</f>
        <v>ORIGINALS</v>
      </c>
      <c r="F1959" s="121">
        <f>$R1959*G1959</f>
        <v>0</v>
      </c>
      <c r="G1959" s="723">
        <v>0.05</v>
      </c>
      <c r="H1959" s="121">
        <f>$R1959*I1959</f>
        <v>0</v>
      </c>
      <c r="I1959" s="69">
        <v>0.05</v>
      </c>
      <c r="J1959" s="120">
        <f>$R1959*K1959</f>
        <v>0</v>
      </c>
      <c r="K1959" s="69">
        <v>0.31</v>
      </c>
      <c r="L1959" s="120">
        <f>$R1959*M1959</f>
        <v>0</v>
      </c>
      <c r="M1959" s="69">
        <v>0.35</v>
      </c>
      <c r="N1959" s="315">
        <f>$R1959*O1959</f>
        <v>0</v>
      </c>
      <c r="O1959" s="69">
        <v>0.14000000000000001</v>
      </c>
      <c r="P1959" s="121">
        <f>$R1959*Q1959</f>
        <v>0</v>
      </c>
      <c r="Q1959" s="69">
        <v>0.1</v>
      </c>
      <c r="R1959" s="88">
        <f>'Terms and Turnovers'!U204</f>
        <v>0</v>
      </c>
      <c r="S1959" s="161">
        <f>SUM(G1959,I1959,K1959,M1959,O1959,Q1959)</f>
        <v>1</v>
      </c>
      <c r="T1959" s="121">
        <f>$AF1959*U1959</f>
        <v>0</v>
      </c>
      <c r="U1959" s="69">
        <v>0.2</v>
      </c>
      <c r="V1959" s="121">
        <f>$AF1959*W1959</f>
        <v>0</v>
      </c>
      <c r="W1959" s="69">
        <v>0.2</v>
      </c>
      <c r="X1959" s="120">
        <f>$AF1959*Y1959</f>
        <v>0</v>
      </c>
      <c r="Y1959" s="69">
        <v>0.3</v>
      </c>
      <c r="Z1959" s="120">
        <f>$AF1959*AA1959</f>
        <v>0</v>
      </c>
      <c r="AA1959" s="69">
        <v>0.17</v>
      </c>
      <c r="AB1959" s="315">
        <f>$AF1959*AC1959</f>
        <v>0</v>
      </c>
      <c r="AC1959" s="69">
        <v>0.08</v>
      </c>
      <c r="AD1959" s="121">
        <f>$AF1959*AE1959</f>
        <v>0</v>
      </c>
      <c r="AE1959" s="69">
        <v>0.05</v>
      </c>
      <c r="AF1959" s="88">
        <f>'Terms and Turnovers'!Z204</f>
        <v>0</v>
      </c>
      <c r="AG1959" s="161">
        <f>SUM(U1959,W1959,Y1959,AA1959,AC1959,AE1959)</f>
        <v>1</v>
      </c>
      <c r="AH1959" s="158">
        <f>SUM(R1959,AF1959)</f>
        <v>0</v>
      </c>
      <c r="AI1959" s="134">
        <f>S1959+AG1959</f>
        <v>2</v>
      </c>
      <c r="AJ1959" s="65"/>
      <c r="AL1959" s="461">
        <f>SUM(F1959,H1959,J1959,L1959,N1959,P1959,T1959,V1959,X1959,Z1959,AB1959,AD1959)</f>
        <v>0</v>
      </c>
      <c r="AM1959" s="462">
        <f>AL1959-AH1959</f>
        <v>0</v>
      </c>
      <c r="AV1959" s="56"/>
    </row>
    <row r="1960" spans="1:48" ht="13.5" customHeight="1" outlineLevel="2" thickBot="1">
      <c r="B1960" s="82"/>
      <c r="C1960" s="1234"/>
      <c r="D1960" s="1234"/>
      <c r="E1960" s="84" t="str">
        <f>'Terms and Turnovers'!$AD$12</f>
        <v>ACCESSORIES</v>
      </c>
      <c r="F1960" s="121">
        <f>$R1960*G1960</f>
        <v>0</v>
      </c>
      <c r="G1960" s="723"/>
      <c r="H1960" s="121">
        <f>$R1960*I1960</f>
        <v>0</v>
      </c>
      <c r="I1960" s="69">
        <v>7.0000000000000007E-2</v>
      </c>
      <c r="J1960" s="120">
        <f>$R1960*K1960</f>
        <v>0</v>
      </c>
      <c r="K1960" s="69">
        <v>0.31</v>
      </c>
      <c r="L1960" s="120">
        <f>$R1960*M1960</f>
        <v>0</v>
      </c>
      <c r="M1960" s="69">
        <v>0.35</v>
      </c>
      <c r="N1960" s="315">
        <f>$R1960*O1960</f>
        <v>0</v>
      </c>
      <c r="O1960" s="69">
        <v>0.17</v>
      </c>
      <c r="P1960" s="121">
        <f>$R1960*Q1960</f>
        <v>0</v>
      </c>
      <c r="Q1960" s="69">
        <v>0.1</v>
      </c>
      <c r="R1960" s="88">
        <f>'Terms and Turnovers'!AE204</f>
        <v>0</v>
      </c>
      <c r="S1960" s="161">
        <f>SUM(G1960,I1960,K1960,M1960,O1960,Q1960)</f>
        <v>1</v>
      </c>
      <c r="T1960" s="121">
        <f>$AF1960*U1960</f>
        <v>0</v>
      </c>
      <c r="U1960" s="69">
        <v>0.2</v>
      </c>
      <c r="V1960" s="121">
        <f>$AF1960*W1960</f>
        <v>0</v>
      </c>
      <c r="W1960" s="69">
        <v>0.2</v>
      </c>
      <c r="X1960" s="120">
        <f>$AF1960*Y1960</f>
        <v>0</v>
      </c>
      <c r="Y1960" s="69">
        <v>0.3</v>
      </c>
      <c r="Z1960" s="120">
        <f>$AF1960*AA1960</f>
        <v>0</v>
      </c>
      <c r="AA1960" s="69">
        <v>0.17</v>
      </c>
      <c r="AB1960" s="315">
        <f>$AF1960*AC1960</f>
        <v>0</v>
      </c>
      <c r="AC1960" s="69">
        <v>0.08</v>
      </c>
      <c r="AD1960" s="121">
        <f>$AF1960*AE1960</f>
        <v>0</v>
      </c>
      <c r="AE1960" s="69">
        <v>0.05</v>
      </c>
      <c r="AF1960" s="88">
        <f>'Terms and Turnovers'!AJ204</f>
        <v>0</v>
      </c>
      <c r="AG1960" s="161">
        <f>SUM(U1960,W1960,Y1960,AA1960,AC1960,AE1960)</f>
        <v>1</v>
      </c>
      <c r="AH1960" s="158">
        <f>SUM(R1960,AF1960)</f>
        <v>0</v>
      </c>
      <c r="AI1960" s="134">
        <f>S1960+AG1960</f>
        <v>2</v>
      </c>
      <c r="AJ1960" s="65"/>
      <c r="AL1960" s="461">
        <f>SUM(F1960,H1960,J1960,L1960,N1960,P1960,T1960,V1960,X1960,Z1960,AB1960,AD1960)</f>
        <v>0</v>
      </c>
      <c r="AM1960" s="462">
        <f>AL1960-AH1960</f>
        <v>0</v>
      </c>
      <c r="AV1960" s="56"/>
    </row>
    <row r="1961" spans="1:48" ht="13.5" customHeight="1" outlineLevel="2" thickBot="1">
      <c r="B1961" s="82"/>
      <c r="C1961" s="1234"/>
      <c r="D1961" s="1234"/>
      <c r="E1961" s="84">
        <f>'Terms and Turnovers'!$AN$12</f>
        <v>0</v>
      </c>
      <c r="F1961" s="121">
        <f>$R1961*G1961</f>
        <v>0</v>
      </c>
      <c r="G1961" s="723"/>
      <c r="H1961" s="121">
        <f>$R1961*I1961</f>
        <v>0</v>
      </c>
      <c r="I1961" s="69">
        <v>7.0000000000000007E-2</v>
      </c>
      <c r="J1961" s="120">
        <f>$R1961*K1961</f>
        <v>0</v>
      </c>
      <c r="K1961" s="69">
        <v>0.31</v>
      </c>
      <c r="L1961" s="120">
        <f>$R1961*M1961</f>
        <v>0</v>
      </c>
      <c r="M1961" s="69">
        <v>0.35</v>
      </c>
      <c r="N1961" s="315">
        <f>$R1961*O1961</f>
        <v>0</v>
      </c>
      <c r="O1961" s="69">
        <v>0.17</v>
      </c>
      <c r="P1961" s="121">
        <f>$R1961*Q1961</f>
        <v>0</v>
      </c>
      <c r="Q1961" s="69">
        <v>0.1</v>
      </c>
      <c r="R1961" s="88">
        <f>'Terms and Turnovers'!AO204</f>
        <v>0</v>
      </c>
      <c r="S1961" s="161">
        <f>SUM(G1961,I1961,K1961,M1961,O1961,Q1961)</f>
        <v>1</v>
      </c>
      <c r="T1961" s="121">
        <f>$AF1961*U1961</f>
        <v>0</v>
      </c>
      <c r="U1961" s="723">
        <v>0.05</v>
      </c>
      <c r="V1961" s="121">
        <f>$AF1961*W1961</f>
        <v>0</v>
      </c>
      <c r="W1961" s="69">
        <v>0.4</v>
      </c>
      <c r="X1961" s="120">
        <f>$AF1961*Y1961</f>
        <v>0</v>
      </c>
      <c r="Y1961" s="69">
        <v>0.35</v>
      </c>
      <c r="Z1961" s="120">
        <f>$AF1961*AA1961</f>
        <v>0</v>
      </c>
      <c r="AA1961" s="69">
        <v>0.13</v>
      </c>
      <c r="AB1961" s="315">
        <f>$AF1961*AC1961</f>
        <v>0</v>
      </c>
      <c r="AC1961" s="69">
        <v>0.05</v>
      </c>
      <c r="AD1961" s="121">
        <f>$AF1961*AE1961</f>
        <v>0</v>
      </c>
      <c r="AE1961" s="69">
        <v>0.02</v>
      </c>
      <c r="AF1961" s="88">
        <f>'Terms and Turnovers'!AT204</f>
        <v>0</v>
      </c>
      <c r="AG1961" s="161">
        <f>SUM(U1961,W1961,Y1961,AA1961,AC1961,AE1961)</f>
        <v>1</v>
      </c>
      <c r="AH1961" s="158">
        <f>SUM(R1961,AF1961)</f>
        <v>0</v>
      </c>
      <c r="AI1961" s="134">
        <f>S1961+AG1961</f>
        <v>2</v>
      </c>
      <c r="AJ1961" s="65"/>
      <c r="AL1961" s="461">
        <f>SUM(F1961,H1961,J1961,L1961,N1961,P1961,T1961,V1961,X1961,Z1961,AB1961,AD1961)</f>
        <v>0</v>
      </c>
      <c r="AM1961" s="462">
        <f>AL1961-AH1961</f>
        <v>0</v>
      </c>
      <c r="AV1961" s="56"/>
    </row>
    <row r="1962" spans="1:48" ht="13.5" customHeight="1" outlineLevel="2" thickBot="1">
      <c r="B1962" s="82"/>
      <c r="C1962" s="1235"/>
      <c r="D1962" s="1235"/>
      <c r="E1962" s="85">
        <f>'Terms and Turnovers'!$AX$12</f>
        <v>0</v>
      </c>
      <c r="F1962" s="121">
        <f>$R1962*G1962</f>
        <v>0</v>
      </c>
      <c r="G1962" s="72"/>
      <c r="H1962" s="121">
        <f>$R1962*I1962</f>
        <v>0</v>
      </c>
      <c r="I1962" s="69">
        <v>7.0000000000000007E-2</v>
      </c>
      <c r="J1962" s="121">
        <f>$R1962*K1962</f>
        <v>0</v>
      </c>
      <c r="K1962" s="69">
        <v>0.31</v>
      </c>
      <c r="L1962" s="121">
        <f>$R1962*M1962</f>
        <v>0</v>
      </c>
      <c r="M1962" s="69">
        <v>0.35</v>
      </c>
      <c r="N1962" s="316">
        <f>$R1962*O1962</f>
        <v>0</v>
      </c>
      <c r="O1962" s="69">
        <v>0.17</v>
      </c>
      <c r="P1962" s="121">
        <f>$R1962*Q1962</f>
        <v>0</v>
      </c>
      <c r="Q1962" s="69">
        <v>0.1</v>
      </c>
      <c r="R1962" s="89">
        <f>'Terms and Turnovers'!AY204</f>
        <v>0</v>
      </c>
      <c r="S1962" s="162">
        <f>SUM(G1962,I1962,K1962,M1962,O1962,Q1962)</f>
        <v>1</v>
      </c>
      <c r="T1962" s="121">
        <f>$AF1962*U1962</f>
        <v>0</v>
      </c>
      <c r="U1962" s="72">
        <v>0.05</v>
      </c>
      <c r="V1962" s="121">
        <f>$AF1962*W1962</f>
        <v>0</v>
      </c>
      <c r="W1962" s="69">
        <v>0.4</v>
      </c>
      <c r="X1962" s="121">
        <f>$AF1962*Y1962</f>
        <v>0</v>
      </c>
      <c r="Y1962" s="69">
        <v>0.35</v>
      </c>
      <c r="Z1962" s="121">
        <f>$AF1962*AA1962</f>
        <v>0</v>
      </c>
      <c r="AA1962" s="69">
        <v>0.13</v>
      </c>
      <c r="AB1962" s="316">
        <f>$AF1962*AC1962</f>
        <v>0</v>
      </c>
      <c r="AC1962" s="69">
        <v>0.05</v>
      </c>
      <c r="AD1962" s="121">
        <f>$AF1962*AE1962</f>
        <v>0</v>
      </c>
      <c r="AE1962" s="69">
        <v>0.02</v>
      </c>
      <c r="AF1962" s="89">
        <f>'Terms and Turnovers'!BD204</f>
        <v>0</v>
      </c>
      <c r="AG1962" s="162">
        <f>SUM(U1962,W1962,Y1962,AA1962,AC1962,AE1962)</f>
        <v>1</v>
      </c>
      <c r="AH1962" s="159">
        <f>SUM(R1962,AF1962)</f>
        <v>0</v>
      </c>
      <c r="AI1962" s="137">
        <f>S1962+AG1962</f>
        <v>2</v>
      </c>
      <c r="AJ1962" s="65"/>
      <c r="AL1962" s="461">
        <f>SUM(F1962,H1962,J1962,L1962,N1962,P1962,T1962,V1962,X1962,Z1962,AB1962,AD1962)</f>
        <v>0</v>
      </c>
      <c r="AM1962" s="462">
        <f>AL1962-AH1962</f>
        <v>0</v>
      </c>
      <c r="AV1962" s="56"/>
    </row>
    <row r="1963" spans="1:48" ht="13.5" customHeight="1" outlineLevel="2" thickBot="1">
      <c r="A1963" s="119"/>
      <c r="B1963" s="82"/>
      <c r="C1963" s="425"/>
      <c r="D1963" s="425"/>
      <c r="E1963" s="426"/>
      <c r="F1963" s="427">
        <f>SUM(F1958:F1962)</f>
        <v>0</v>
      </c>
      <c r="G1963" s="428"/>
      <c r="H1963" s="427">
        <f>SUM(H1958:H1962)</f>
        <v>0</v>
      </c>
      <c r="I1963" s="69"/>
      <c r="J1963" s="427">
        <f>SUM(J1958:J1962)</f>
        <v>0</v>
      </c>
      <c r="K1963" s="69"/>
      <c r="L1963" s="427">
        <f>SUM(L1958:L1962)</f>
        <v>0</v>
      </c>
      <c r="M1963" s="69"/>
      <c r="N1963" s="427">
        <f>SUM(N1958:N1962)</f>
        <v>0</v>
      </c>
      <c r="O1963" s="69"/>
      <c r="P1963" s="427">
        <f>SUM(P1958:P1962)</f>
        <v>0</v>
      </c>
      <c r="Q1963" s="69"/>
      <c r="R1963" s="429"/>
      <c r="S1963" s="430"/>
      <c r="T1963" s="427">
        <f>SUM(T1958:T1962)</f>
        <v>0</v>
      </c>
      <c r="U1963" s="428"/>
      <c r="V1963" s="427">
        <f>SUM(V1958:V1962)</f>
        <v>0</v>
      </c>
      <c r="W1963" s="69"/>
      <c r="X1963" s="427">
        <f>SUM(X1958:X1962)</f>
        <v>0</v>
      </c>
      <c r="Y1963" s="69"/>
      <c r="Z1963" s="427">
        <f>SUM(Z1958:Z1962)</f>
        <v>0</v>
      </c>
      <c r="AA1963" s="69"/>
      <c r="AB1963" s="427">
        <f>SUM(AB1958:AB1962)</f>
        <v>0</v>
      </c>
      <c r="AC1963" s="69"/>
      <c r="AD1963" s="427">
        <f>SUM(AD1958:AD1962)</f>
        <v>0</v>
      </c>
      <c r="AE1963" s="69"/>
      <c r="AF1963" s="429"/>
      <c r="AG1963" s="430"/>
      <c r="AH1963" s="431"/>
      <c r="AI1963" s="432"/>
      <c r="AJ1963" s="65"/>
      <c r="AV1963" s="56"/>
    </row>
    <row r="1964" spans="1:48" ht="13.5" customHeight="1" outlineLevel="2" thickBot="1">
      <c r="A1964" s="119"/>
      <c r="B1964" s="82"/>
      <c r="C1964" s="433" t="s">
        <v>484</v>
      </c>
      <c r="D1964" s="433"/>
      <c r="E1964" s="426"/>
      <c r="F1964" s="434">
        <f>F1963</f>
        <v>0</v>
      </c>
      <c r="G1964" s="428"/>
      <c r="H1964" s="434">
        <f>H1963</f>
        <v>0</v>
      </c>
      <c r="I1964" s="69"/>
      <c r="J1964" s="434">
        <f>J1963</f>
        <v>0</v>
      </c>
      <c r="K1964" s="69"/>
      <c r="L1964" s="434">
        <f>L1963</f>
        <v>0</v>
      </c>
      <c r="M1964" s="69"/>
      <c r="N1964" s="434">
        <f>N1963</f>
        <v>0</v>
      </c>
      <c r="O1964" s="69"/>
      <c r="P1964" s="434">
        <f>P1963</f>
        <v>0</v>
      </c>
      <c r="Q1964" s="69"/>
      <c r="R1964" s="429"/>
      <c r="S1964" s="430"/>
      <c r="T1964" s="434">
        <f>T1963</f>
        <v>0</v>
      </c>
      <c r="U1964" s="428"/>
      <c r="V1964" s="434">
        <f>V1963</f>
        <v>0</v>
      </c>
      <c r="W1964" s="69"/>
      <c r="X1964" s="434">
        <f>X1963</f>
        <v>0</v>
      </c>
      <c r="Y1964" s="69">
        <f>W1963*0.3+Y1963*0.7</f>
        <v>0</v>
      </c>
      <c r="Z1964" s="434">
        <f>Z1963</f>
        <v>0</v>
      </c>
      <c r="AA1964" s="69">
        <f>Y1963*0.3+AA1963*0.7</f>
        <v>0</v>
      </c>
      <c r="AB1964" s="434">
        <f>AB1963</f>
        <v>0</v>
      </c>
      <c r="AC1964" s="69">
        <f>AA1963*0.3+AC1963*0.7</f>
        <v>0</v>
      </c>
      <c r="AD1964" s="434">
        <f>AD1963</f>
        <v>0</v>
      </c>
      <c r="AE1964" s="69"/>
      <c r="AF1964" s="429"/>
      <c r="AG1964" s="430"/>
      <c r="AH1964" s="431"/>
      <c r="AI1964" s="432"/>
      <c r="AJ1964" s="65"/>
      <c r="AV1964" s="56"/>
    </row>
    <row r="1965" spans="1:48" ht="13.5" customHeight="1" outlineLevel="2" thickBot="1">
      <c r="B1965" s="82">
        <f>B1958+1</f>
        <v>74</v>
      </c>
      <c r="C1965" s="1233">
        <f>C524</f>
        <v>0</v>
      </c>
      <c r="D1965" s="1233">
        <f>D524</f>
        <v>0</v>
      </c>
      <c r="E1965" s="83" t="str">
        <f>'Terms and Turnovers'!$J$12</f>
        <v>FLIP-FLOPS</v>
      </c>
      <c r="F1965" s="121">
        <f>$R1965*G1965</f>
        <v>0</v>
      </c>
      <c r="G1965" s="69"/>
      <c r="H1965" s="316">
        <f>$R1965*I1965</f>
        <v>0</v>
      </c>
      <c r="I1965" s="69">
        <v>7.0000000000000007E-2</v>
      </c>
      <c r="J1965" s="118">
        <f>$R1965*K1965</f>
        <v>0</v>
      </c>
      <c r="K1965" s="69">
        <v>0.31</v>
      </c>
      <c r="L1965" s="314">
        <f>$R1965*M1965</f>
        <v>0</v>
      </c>
      <c r="M1965" s="69">
        <v>0.35</v>
      </c>
      <c r="N1965" s="314">
        <f>$R1965*O1965</f>
        <v>0</v>
      </c>
      <c r="O1965" s="69">
        <v>0.17</v>
      </c>
      <c r="P1965" s="121">
        <f>$R1965*Q1965</f>
        <v>0</v>
      </c>
      <c r="Q1965" s="69">
        <v>0.1</v>
      </c>
      <c r="R1965" s="87">
        <f>'Terms and Turnovers'!K205</f>
        <v>0</v>
      </c>
      <c r="S1965" s="160">
        <f>SUM(G1965,I1965,K1965,M1965,O1965,Q1965)</f>
        <v>1</v>
      </c>
      <c r="T1965" s="121">
        <f>$AF1965*U1965</f>
        <v>0</v>
      </c>
      <c r="U1965" s="69">
        <v>0.05</v>
      </c>
      <c r="V1965" s="316">
        <f>$AF1965*W1965</f>
        <v>0</v>
      </c>
      <c r="W1965" s="69">
        <v>0.4</v>
      </c>
      <c r="X1965" s="118">
        <f>$AF1965*Y1965</f>
        <v>0</v>
      </c>
      <c r="Y1965" s="69">
        <v>0.35</v>
      </c>
      <c r="Z1965" s="314">
        <f>$AF1965*AA1965</f>
        <v>0</v>
      </c>
      <c r="AA1965" s="69">
        <v>0.13</v>
      </c>
      <c r="AB1965" s="314">
        <f>$AF1965*AC1965</f>
        <v>0</v>
      </c>
      <c r="AC1965" s="69">
        <v>0.05</v>
      </c>
      <c r="AD1965" s="121">
        <f>$AF1965*AE1965</f>
        <v>0</v>
      </c>
      <c r="AE1965" s="69">
        <v>0.02</v>
      </c>
      <c r="AF1965" s="87">
        <f>'Terms and Turnovers'!P205</f>
        <v>0</v>
      </c>
      <c r="AG1965" s="160">
        <f>SUM(U1965,W1965,Y1965,AA1965,AC1965,AE1965)</f>
        <v>1</v>
      </c>
      <c r="AH1965" s="157">
        <f>SUM(R1965,AF1965)</f>
        <v>0</v>
      </c>
      <c r="AI1965" s="131">
        <f>S1965+AG1965</f>
        <v>2</v>
      </c>
      <c r="AJ1965" s="65"/>
      <c r="AV1965" s="56"/>
    </row>
    <row r="1966" spans="1:48" ht="13.5" customHeight="1" outlineLevel="2" thickBot="1">
      <c r="B1966" s="82"/>
      <c r="C1966" s="1234"/>
      <c r="D1966" s="1234"/>
      <c r="E1966" s="84" t="str">
        <f>'Terms and Turnovers'!$T$12</f>
        <v>ORIGINALS</v>
      </c>
      <c r="F1966" s="121">
        <f>$R1966*G1966</f>
        <v>0</v>
      </c>
      <c r="G1966" s="723"/>
      <c r="H1966" s="121">
        <f>$R1966*I1966</f>
        <v>0</v>
      </c>
      <c r="I1966" s="69">
        <v>7.0000000000000007E-2</v>
      </c>
      <c r="J1966" s="120">
        <f>$R1966*K1966</f>
        <v>0</v>
      </c>
      <c r="K1966" s="69">
        <v>0.31</v>
      </c>
      <c r="L1966" s="120">
        <f>$R1966*M1966</f>
        <v>0</v>
      </c>
      <c r="M1966" s="69">
        <v>0.35</v>
      </c>
      <c r="N1966" s="315">
        <f>$R1966*O1966</f>
        <v>0</v>
      </c>
      <c r="O1966" s="69">
        <v>0.17</v>
      </c>
      <c r="P1966" s="121">
        <f>$R1966*Q1966</f>
        <v>0</v>
      </c>
      <c r="Q1966" s="69">
        <v>0.1</v>
      </c>
      <c r="R1966" s="88">
        <f>'Terms and Turnovers'!U205</f>
        <v>0</v>
      </c>
      <c r="S1966" s="161">
        <f>SUM(G1966,I1966,K1966,M1966,O1966,Q1966)</f>
        <v>1</v>
      </c>
      <c r="T1966" s="121">
        <f>$AF1966*U1966</f>
        <v>0</v>
      </c>
      <c r="U1966" s="723">
        <v>0.05</v>
      </c>
      <c r="V1966" s="121">
        <f>$AF1966*W1966</f>
        <v>0</v>
      </c>
      <c r="W1966" s="69">
        <v>0.4</v>
      </c>
      <c r="X1966" s="120">
        <f>$AF1966*Y1966</f>
        <v>0</v>
      </c>
      <c r="Y1966" s="69">
        <v>0.35</v>
      </c>
      <c r="Z1966" s="120">
        <f>$AF1966*AA1966</f>
        <v>0</v>
      </c>
      <c r="AA1966" s="69">
        <v>0.13</v>
      </c>
      <c r="AB1966" s="315">
        <f>$AF1966*AC1966</f>
        <v>0</v>
      </c>
      <c r="AC1966" s="69">
        <v>0.05</v>
      </c>
      <c r="AD1966" s="121">
        <f>$AF1966*AE1966</f>
        <v>0</v>
      </c>
      <c r="AE1966" s="69">
        <v>0.02</v>
      </c>
      <c r="AF1966" s="88">
        <f>'Terms and Turnovers'!Z205</f>
        <v>0</v>
      </c>
      <c r="AG1966" s="161">
        <f>SUM(U1966,W1966,Y1966,AA1966,AC1966,AE1966)</f>
        <v>1</v>
      </c>
      <c r="AH1966" s="158">
        <f>SUM(R1966,AF1966)</f>
        <v>0</v>
      </c>
      <c r="AI1966" s="134">
        <f>S1966+AG1966</f>
        <v>2</v>
      </c>
      <c r="AJ1966" s="65"/>
      <c r="AV1966" s="56"/>
    </row>
    <row r="1967" spans="1:48" ht="13.5" customHeight="1" outlineLevel="2" thickBot="1">
      <c r="B1967" s="82"/>
      <c r="C1967" s="1234"/>
      <c r="D1967" s="1234"/>
      <c r="E1967" s="84" t="str">
        <f>'Terms and Turnovers'!$AD$12</f>
        <v>ACCESSORIES</v>
      </c>
      <c r="F1967" s="121">
        <f>$R1967*G1967</f>
        <v>0</v>
      </c>
      <c r="G1967" s="723"/>
      <c r="H1967" s="121">
        <f>$R1967*I1967</f>
        <v>0</v>
      </c>
      <c r="I1967" s="69">
        <v>7.0000000000000007E-2</v>
      </c>
      <c r="J1967" s="120">
        <f>$R1967*K1967</f>
        <v>0</v>
      </c>
      <c r="K1967" s="69">
        <v>0.31</v>
      </c>
      <c r="L1967" s="120">
        <f>$R1967*M1967</f>
        <v>0</v>
      </c>
      <c r="M1967" s="69">
        <v>0.35</v>
      </c>
      <c r="N1967" s="315">
        <f>$R1967*O1967</f>
        <v>0</v>
      </c>
      <c r="O1967" s="69">
        <v>0.17</v>
      </c>
      <c r="P1967" s="121">
        <f>$R1967*Q1967</f>
        <v>0</v>
      </c>
      <c r="Q1967" s="69">
        <v>0.1</v>
      </c>
      <c r="R1967" s="88">
        <f>'Terms and Turnovers'!AE205</f>
        <v>0</v>
      </c>
      <c r="S1967" s="161">
        <f>SUM(G1967,I1967,K1967,M1967,O1967,Q1967)</f>
        <v>1</v>
      </c>
      <c r="T1967" s="121">
        <f>$AF1967*U1967</f>
        <v>0</v>
      </c>
      <c r="U1967" s="723">
        <v>0.05</v>
      </c>
      <c r="V1967" s="121">
        <f>$AF1967*W1967</f>
        <v>0</v>
      </c>
      <c r="W1967" s="69">
        <v>0.4</v>
      </c>
      <c r="X1967" s="120">
        <f>$AF1967*Y1967</f>
        <v>0</v>
      </c>
      <c r="Y1967" s="69">
        <v>0.35</v>
      </c>
      <c r="Z1967" s="120">
        <f>$AF1967*AA1967</f>
        <v>0</v>
      </c>
      <c r="AA1967" s="69">
        <v>0.13</v>
      </c>
      <c r="AB1967" s="315">
        <f>$AF1967*AC1967</f>
        <v>0</v>
      </c>
      <c r="AC1967" s="69">
        <v>0.05</v>
      </c>
      <c r="AD1967" s="121">
        <f>$AF1967*AE1967</f>
        <v>0</v>
      </c>
      <c r="AE1967" s="69">
        <v>0.02</v>
      </c>
      <c r="AF1967" s="88">
        <f>'Terms and Turnovers'!AJ205</f>
        <v>0</v>
      </c>
      <c r="AG1967" s="161">
        <f>SUM(U1967,W1967,Y1967,AA1967,AC1967,AE1967)</f>
        <v>1</v>
      </c>
      <c r="AH1967" s="158">
        <f>SUM(R1967,AF1967)</f>
        <v>0</v>
      </c>
      <c r="AI1967" s="134">
        <f>S1967+AG1967</f>
        <v>2</v>
      </c>
      <c r="AJ1967" s="65"/>
      <c r="AV1967" s="56"/>
    </row>
    <row r="1968" spans="1:48" ht="13.5" customHeight="1" outlineLevel="2" thickBot="1">
      <c r="B1968" s="82"/>
      <c r="C1968" s="1234"/>
      <c r="D1968" s="1234"/>
      <c r="E1968" s="84">
        <f>'Terms and Turnovers'!$AN$12</f>
        <v>0</v>
      </c>
      <c r="F1968" s="121">
        <f>$R1968*G1968</f>
        <v>0</v>
      </c>
      <c r="G1968" s="723"/>
      <c r="H1968" s="121">
        <f>$R1968*I1968</f>
        <v>0</v>
      </c>
      <c r="I1968" s="69">
        <v>7.0000000000000007E-2</v>
      </c>
      <c r="J1968" s="120">
        <f>$R1968*K1968</f>
        <v>0</v>
      </c>
      <c r="K1968" s="69">
        <v>0.31</v>
      </c>
      <c r="L1968" s="120">
        <f>$R1968*M1968</f>
        <v>0</v>
      </c>
      <c r="M1968" s="69">
        <v>0.35</v>
      </c>
      <c r="N1968" s="315">
        <f>$R1968*O1968</f>
        <v>0</v>
      </c>
      <c r="O1968" s="69">
        <v>0.17</v>
      </c>
      <c r="P1968" s="121">
        <f>$R1968*Q1968</f>
        <v>0</v>
      </c>
      <c r="Q1968" s="69">
        <v>0.1</v>
      </c>
      <c r="R1968" s="88">
        <f>'Terms and Turnovers'!AO205</f>
        <v>0</v>
      </c>
      <c r="S1968" s="161">
        <f>SUM(G1968,I1968,K1968,M1968,O1968,Q1968)</f>
        <v>1</v>
      </c>
      <c r="T1968" s="121">
        <f>$AF1968*U1968</f>
        <v>0</v>
      </c>
      <c r="U1968" s="723">
        <v>0.05</v>
      </c>
      <c r="V1968" s="121">
        <f>$AF1968*W1968</f>
        <v>0</v>
      </c>
      <c r="W1968" s="69">
        <v>0.4</v>
      </c>
      <c r="X1968" s="120">
        <f>$AF1968*Y1968</f>
        <v>0</v>
      </c>
      <c r="Y1968" s="69">
        <v>0.35</v>
      </c>
      <c r="Z1968" s="120">
        <f>$AF1968*AA1968</f>
        <v>0</v>
      </c>
      <c r="AA1968" s="69">
        <v>0.13</v>
      </c>
      <c r="AB1968" s="315">
        <f>$AF1968*AC1968</f>
        <v>0</v>
      </c>
      <c r="AC1968" s="69">
        <v>0.05</v>
      </c>
      <c r="AD1968" s="121">
        <f>$AF1968*AE1968</f>
        <v>0</v>
      </c>
      <c r="AE1968" s="69">
        <v>0.02</v>
      </c>
      <c r="AF1968" s="88">
        <f>'Terms and Turnovers'!AT205</f>
        <v>0</v>
      </c>
      <c r="AG1968" s="161">
        <f>SUM(U1968,W1968,Y1968,AA1968,AC1968,AE1968)</f>
        <v>1</v>
      </c>
      <c r="AH1968" s="158">
        <f>SUM(R1968,AF1968)</f>
        <v>0</v>
      </c>
      <c r="AI1968" s="134">
        <f>S1968+AG1968</f>
        <v>2</v>
      </c>
      <c r="AJ1968" s="65"/>
      <c r="AV1968" s="56"/>
    </row>
    <row r="1969" spans="1:48" ht="13.5" customHeight="1" outlineLevel="2" thickBot="1">
      <c r="B1969" s="82"/>
      <c r="C1969" s="1235"/>
      <c r="D1969" s="1235"/>
      <c r="E1969" s="85">
        <f>'Terms and Turnovers'!$AX$12</f>
        <v>0</v>
      </c>
      <c r="F1969" s="121">
        <f>$R1969*G1969</f>
        <v>0</v>
      </c>
      <c r="G1969" s="72"/>
      <c r="H1969" s="121">
        <f>$R1969*I1969</f>
        <v>0</v>
      </c>
      <c r="I1969" s="69">
        <v>7.0000000000000007E-2</v>
      </c>
      <c r="J1969" s="121">
        <f>$R1969*K1969</f>
        <v>0</v>
      </c>
      <c r="K1969" s="69">
        <v>0.31</v>
      </c>
      <c r="L1969" s="121">
        <f>$R1969*M1969</f>
        <v>0</v>
      </c>
      <c r="M1969" s="69">
        <v>0.35</v>
      </c>
      <c r="N1969" s="316">
        <f>$R1969*O1969</f>
        <v>0</v>
      </c>
      <c r="O1969" s="69">
        <v>0.17</v>
      </c>
      <c r="P1969" s="121">
        <f>$R1969*Q1969</f>
        <v>0</v>
      </c>
      <c r="Q1969" s="69">
        <v>0.1</v>
      </c>
      <c r="R1969" s="89">
        <f>'Terms and Turnovers'!AY205</f>
        <v>0</v>
      </c>
      <c r="S1969" s="162">
        <f>SUM(G1969,I1969,K1969,M1969,O1969,Q1969)</f>
        <v>1</v>
      </c>
      <c r="T1969" s="121">
        <f>$AF1969*U1969</f>
        <v>0</v>
      </c>
      <c r="U1969" s="72">
        <v>0.05</v>
      </c>
      <c r="V1969" s="121">
        <f>$AF1969*W1969</f>
        <v>0</v>
      </c>
      <c r="W1969" s="69">
        <v>0.4</v>
      </c>
      <c r="X1969" s="121">
        <f>$AF1969*Y1969</f>
        <v>0</v>
      </c>
      <c r="Y1969" s="69">
        <v>0.35</v>
      </c>
      <c r="Z1969" s="121">
        <f>$AF1969*AA1969</f>
        <v>0</v>
      </c>
      <c r="AA1969" s="69">
        <v>0.13</v>
      </c>
      <c r="AB1969" s="316">
        <f>$AF1969*AC1969</f>
        <v>0</v>
      </c>
      <c r="AC1969" s="69">
        <v>0.05</v>
      </c>
      <c r="AD1969" s="121">
        <f>$AF1969*AE1969</f>
        <v>0</v>
      </c>
      <c r="AE1969" s="69">
        <v>0.02</v>
      </c>
      <c r="AF1969" s="89">
        <f>'Terms and Turnovers'!BD205</f>
        <v>0</v>
      </c>
      <c r="AG1969" s="162">
        <f>SUM(U1969,W1969,Y1969,AA1969,AC1969,AE1969)</f>
        <v>1</v>
      </c>
      <c r="AH1969" s="159">
        <f>SUM(R1969,AF1969)</f>
        <v>0</v>
      </c>
      <c r="AI1969" s="137">
        <f>S1969+AG1969</f>
        <v>2</v>
      </c>
      <c r="AJ1969" s="65"/>
      <c r="AV1969" s="56"/>
    </row>
    <row r="1970" spans="1:48" ht="13.5" customHeight="1" outlineLevel="2" thickBot="1">
      <c r="A1970" s="119"/>
      <c r="B1970" s="82"/>
      <c r="C1970" s="425"/>
      <c r="D1970" s="425"/>
      <c r="E1970" s="426"/>
      <c r="F1970" s="427">
        <f>SUM(F1965:F1969)</f>
        <v>0</v>
      </c>
      <c r="G1970" s="428"/>
      <c r="H1970" s="427">
        <f>SUM(H1965:H1969)</f>
        <v>0</v>
      </c>
      <c r="I1970" s="69"/>
      <c r="J1970" s="427">
        <f>SUM(J1965:J1969)</f>
        <v>0</v>
      </c>
      <c r="K1970" s="69"/>
      <c r="L1970" s="427">
        <f>SUM(L1965:L1969)</f>
        <v>0</v>
      </c>
      <c r="M1970" s="69"/>
      <c r="N1970" s="427">
        <f>SUM(N1965:N1969)</f>
        <v>0</v>
      </c>
      <c r="O1970" s="69"/>
      <c r="P1970" s="427">
        <f>SUM(P1965:P1969)</f>
        <v>0</v>
      </c>
      <c r="Q1970" s="69"/>
      <c r="R1970" s="429"/>
      <c r="S1970" s="430"/>
      <c r="T1970" s="427">
        <f>SUM(T1965:T1969)</f>
        <v>0</v>
      </c>
      <c r="U1970" s="428"/>
      <c r="V1970" s="427">
        <f>SUM(V1965:V1969)</f>
        <v>0</v>
      </c>
      <c r="W1970" s="69"/>
      <c r="X1970" s="427">
        <f>SUM(X1965:X1969)</f>
        <v>0</v>
      </c>
      <c r="Y1970" s="69"/>
      <c r="Z1970" s="427">
        <f>SUM(Z1965:Z1969)</f>
        <v>0</v>
      </c>
      <c r="AA1970" s="69"/>
      <c r="AB1970" s="427">
        <f>SUM(AB1965:AB1969)</f>
        <v>0</v>
      </c>
      <c r="AC1970" s="69"/>
      <c r="AD1970" s="427">
        <f>SUM(AD1965:AD1969)</f>
        <v>0</v>
      </c>
      <c r="AE1970" s="69"/>
      <c r="AF1970" s="429"/>
      <c r="AG1970" s="430"/>
      <c r="AH1970" s="431"/>
      <c r="AI1970" s="432"/>
      <c r="AJ1970" s="65"/>
      <c r="AV1970" s="56"/>
    </row>
    <row r="1971" spans="1:48" ht="13.5" customHeight="1" outlineLevel="2" thickBot="1">
      <c r="A1971" s="119"/>
      <c r="B1971" s="82"/>
      <c r="C1971" s="433" t="s">
        <v>484</v>
      </c>
      <c r="D1971" s="433"/>
      <c r="E1971" s="426"/>
      <c r="F1971" s="434">
        <f>F1970</f>
        <v>0</v>
      </c>
      <c r="G1971" s="428"/>
      <c r="H1971" s="434">
        <f>H1970</f>
        <v>0</v>
      </c>
      <c r="I1971" s="69"/>
      <c r="J1971" s="434">
        <f>J1970</f>
        <v>0</v>
      </c>
      <c r="K1971" s="69"/>
      <c r="L1971" s="434">
        <f>L1970</f>
        <v>0</v>
      </c>
      <c r="M1971" s="69"/>
      <c r="N1971" s="434">
        <f>N1970</f>
        <v>0</v>
      </c>
      <c r="O1971" s="69"/>
      <c r="P1971" s="434">
        <f>P1970</f>
        <v>0</v>
      </c>
      <c r="Q1971" s="69"/>
      <c r="R1971" s="429"/>
      <c r="S1971" s="430"/>
      <c r="T1971" s="434">
        <f>T1969</f>
        <v>0</v>
      </c>
      <c r="U1971" s="428"/>
      <c r="V1971" s="434">
        <f>V1969</f>
        <v>0</v>
      </c>
      <c r="W1971" s="69"/>
      <c r="X1971" s="434">
        <f>X1970</f>
        <v>0</v>
      </c>
      <c r="Y1971" s="69">
        <f>W1969*0.3+Y1969*0.7</f>
        <v>0.36499999999999999</v>
      </c>
      <c r="Z1971" s="434">
        <f>Z1970</f>
        <v>0</v>
      </c>
      <c r="AA1971" s="69">
        <f>Y1969*0.3+AA1969*0.7</f>
        <v>0.19600000000000001</v>
      </c>
      <c r="AB1971" s="434">
        <f>AB1970</f>
        <v>0</v>
      </c>
      <c r="AC1971" s="69">
        <f>AA1969*0.3+AC1969*0.7</f>
        <v>7.3999999999999996E-2</v>
      </c>
      <c r="AD1971" s="434">
        <f>AD1970</f>
        <v>0</v>
      </c>
      <c r="AE1971" s="69"/>
      <c r="AF1971" s="429"/>
      <c r="AG1971" s="430"/>
      <c r="AH1971" s="431"/>
      <c r="AI1971" s="432"/>
      <c r="AJ1971" s="65"/>
      <c r="AV1971" s="56"/>
    </row>
    <row r="1972" spans="1:48" ht="13.5" customHeight="1" outlineLevel="2" thickBot="1">
      <c r="B1972" s="82">
        <f>B1965+1</f>
        <v>75</v>
      </c>
      <c r="C1972" s="1233">
        <f>C531</f>
        <v>0</v>
      </c>
      <c r="D1972" s="1233">
        <f>D531</f>
        <v>0</v>
      </c>
      <c r="E1972" s="83" t="str">
        <f>'Terms and Turnovers'!$J$12</f>
        <v>FLIP-FLOPS</v>
      </c>
      <c r="F1972" s="121">
        <f>$R1972*G1972</f>
        <v>0</v>
      </c>
      <c r="G1972" s="69"/>
      <c r="H1972" s="316">
        <f>$R1972*I1972</f>
        <v>0</v>
      </c>
      <c r="I1972" s="69">
        <v>7.0000000000000007E-2</v>
      </c>
      <c r="J1972" s="118">
        <f>$R1972*K1972</f>
        <v>0</v>
      </c>
      <c r="K1972" s="69">
        <v>0.31</v>
      </c>
      <c r="L1972" s="314">
        <f>$R1972*M1972</f>
        <v>0</v>
      </c>
      <c r="M1972" s="69">
        <v>0.35</v>
      </c>
      <c r="N1972" s="314">
        <f>$R1972*O1972</f>
        <v>0</v>
      </c>
      <c r="O1972" s="69">
        <v>0.17</v>
      </c>
      <c r="P1972" s="121">
        <f>$R1972*Q1972</f>
        <v>0</v>
      </c>
      <c r="Q1972" s="69">
        <v>0.1</v>
      </c>
      <c r="R1972" s="87">
        <f>'Terms and Turnovers'!K206</f>
        <v>0</v>
      </c>
      <c r="S1972" s="160">
        <f>SUM(G1972,I1972,K1972,M1972,O1972,Q1972)</f>
        <v>1</v>
      </c>
      <c r="T1972" s="121">
        <f>$AF1972*U1972</f>
        <v>0</v>
      </c>
      <c r="U1972" s="69">
        <v>0</v>
      </c>
      <c r="V1972" s="314">
        <f>$AF1972*W1972</f>
        <v>0</v>
      </c>
      <c r="W1972" s="69">
        <v>0.37</v>
      </c>
      <c r="X1972" s="118">
        <f>$AF1972*Y1972</f>
        <v>0</v>
      </c>
      <c r="Y1972" s="69">
        <v>0.43</v>
      </c>
      <c r="Z1972" s="314">
        <f>$AF1972*AA1972</f>
        <v>0</v>
      </c>
      <c r="AA1972" s="69">
        <v>0.13</v>
      </c>
      <c r="AB1972" s="314">
        <f>$AF1972*AC1972</f>
        <v>0</v>
      </c>
      <c r="AC1972" s="69">
        <v>0.05</v>
      </c>
      <c r="AD1972" s="118">
        <f>$AF1972*AE1972</f>
        <v>0</v>
      </c>
      <c r="AE1972" s="69">
        <v>0.02</v>
      </c>
      <c r="AF1972" s="87">
        <f>'Terms and Turnovers'!P206</f>
        <v>0</v>
      </c>
      <c r="AG1972" s="160">
        <f>SUM(U1972,W1972,Y1972,AA1972,AC1972,AE1972)</f>
        <v>1</v>
      </c>
      <c r="AH1972" s="157">
        <f>SUM(R1972,AF1972)</f>
        <v>0</v>
      </c>
      <c r="AI1972" s="131">
        <f>S1972+AG1972</f>
        <v>2</v>
      </c>
      <c r="AJ1972" s="65"/>
      <c r="AV1972" s="56"/>
    </row>
    <row r="1973" spans="1:48" ht="13.5" customHeight="1" outlineLevel="2" thickBot="1">
      <c r="B1973" s="82"/>
      <c r="C1973" s="1234"/>
      <c r="D1973" s="1234"/>
      <c r="E1973" s="84" t="str">
        <f>'Terms and Turnovers'!$T$12</f>
        <v>ORIGINALS</v>
      </c>
      <c r="F1973" s="121">
        <f>$R1973*G1973</f>
        <v>0</v>
      </c>
      <c r="G1973" s="723"/>
      <c r="H1973" s="121">
        <f>$R1973*I1973</f>
        <v>0</v>
      </c>
      <c r="I1973" s="69">
        <v>7.0000000000000007E-2</v>
      </c>
      <c r="J1973" s="120">
        <f>$R1973*K1973</f>
        <v>0</v>
      </c>
      <c r="K1973" s="69">
        <v>0.31</v>
      </c>
      <c r="L1973" s="120">
        <f>$R1973*M1973</f>
        <v>0</v>
      </c>
      <c r="M1973" s="69">
        <v>0.35</v>
      </c>
      <c r="N1973" s="315">
        <f>$R1973*O1973</f>
        <v>0</v>
      </c>
      <c r="O1973" s="69">
        <v>0.17</v>
      </c>
      <c r="P1973" s="121">
        <f>$R1973*Q1973</f>
        <v>0</v>
      </c>
      <c r="Q1973" s="69">
        <v>0.1</v>
      </c>
      <c r="R1973" s="88">
        <f>'Terms and Turnovers'!U206</f>
        <v>0</v>
      </c>
      <c r="S1973" s="161">
        <f>SUM(G1973,I1973,K1973,M1973,O1973,Q1973)</f>
        <v>1</v>
      </c>
      <c r="T1973" s="121">
        <f>$AF1973*U1973</f>
        <v>0</v>
      </c>
      <c r="U1973" s="723">
        <v>0</v>
      </c>
      <c r="V1973" s="120">
        <f>$AF1973*W1973</f>
        <v>0</v>
      </c>
      <c r="W1973" s="69">
        <v>0.15</v>
      </c>
      <c r="X1973" s="120">
        <f>$AF1973*Y1973</f>
        <v>0</v>
      </c>
      <c r="Y1973" s="69">
        <v>0.6</v>
      </c>
      <c r="Z1973" s="120">
        <f>$AF1973*AA1973</f>
        <v>0</v>
      </c>
      <c r="AA1973" s="69">
        <v>0.25</v>
      </c>
      <c r="AB1973" s="315">
        <f>$AF1973*AC1973</f>
        <v>0</v>
      </c>
      <c r="AC1973" s="69">
        <v>0</v>
      </c>
      <c r="AD1973" s="120">
        <f>$AF1973*AE1973</f>
        <v>0</v>
      </c>
      <c r="AE1973" s="69">
        <v>0</v>
      </c>
      <c r="AF1973" s="88">
        <f>'Terms and Turnovers'!Z206</f>
        <v>0</v>
      </c>
      <c r="AG1973" s="161">
        <f>SUM(U1973,W1973,Y1973,AA1973,AC1973,AE1973)</f>
        <v>1</v>
      </c>
      <c r="AH1973" s="158">
        <f>SUM(R1973,AF1973)</f>
        <v>0</v>
      </c>
      <c r="AI1973" s="134">
        <f>S1973+AG1973</f>
        <v>2</v>
      </c>
      <c r="AJ1973" s="65"/>
      <c r="AV1973" s="56"/>
    </row>
    <row r="1974" spans="1:48" ht="13.5" customHeight="1" outlineLevel="2" thickBot="1">
      <c r="B1974" s="82"/>
      <c r="C1974" s="1234"/>
      <c r="D1974" s="1234"/>
      <c r="E1974" s="84" t="str">
        <f>'Terms and Turnovers'!$AD$12</f>
        <v>ACCESSORIES</v>
      </c>
      <c r="F1974" s="121">
        <f>$R1974*G1974</f>
        <v>0</v>
      </c>
      <c r="G1974" s="723"/>
      <c r="H1974" s="121">
        <f>$R1974*I1974</f>
        <v>0</v>
      </c>
      <c r="I1974" s="69">
        <v>7.0000000000000007E-2</v>
      </c>
      <c r="J1974" s="120">
        <f>$R1974*K1974</f>
        <v>0</v>
      </c>
      <c r="K1974" s="69">
        <v>0.31</v>
      </c>
      <c r="L1974" s="120">
        <f>$R1974*M1974</f>
        <v>0</v>
      </c>
      <c r="M1974" s="69">
        <v>0.35</v>
      </c>
      <c r="N1974" s="315">
        <f>$R1974*O1974</f>
        <v>0</v>
      </c>
      <c r="O1974" s="69">
        <v>0.17</v>
      </c>
      <c r="P1974" s="121">
        <f>$R1974*Q1974</f>
        <v>0</v>
      </c>
      <c r="Q1974" s="69">
        <v>0.1</v>
      </c>
      <c r="R1974" s="88">
        <f>'Terms and Turnovers'!AE206</f>
        <v>0</v>
      </c>
      <c r="S1974" s="161">
        <f>SUM(G1974,I1974,K1974,M1974,O1974,Q1974)</f>
        <v>1</v>
      </c>
      <c r="T1974" s="121">
        <f>$AF1974*U1974</f>
        <v>0</v>
      </c>
      <c r="U1974" s="723">
        <v>0</v>
      </c>
      <c r="V1974" s="120">
        <f>$AF1974*W1974</f>
        <v>0</v>
      </c>
      <c r="W1974" s="69">
        <v>0.15</v>
      </c>
      <c r="X1974" s="120">
        <f>$AF1974*Y1974</f>
        <v>0</v>
      </c>
      <c r="Y1974" s="69">
        <v>0.6</v>
      </c>
      <c r="Z1974" s="120">
        <f>$AF1974*AA1974</f>
        <v>0</v>
      </c>
      <c r="AA1974" s="69">
        <v>0.25</v>
      </c>
      <c r="AB1974" s="315">
        <f>$AF1974*AC1974</f>
        <v>0</v>
      </c>
      <c r="AC1974" s="69">
        <v>0</v>
      </c>
      <c r="AD1974" s="120">
        <f>$AF1974*AE1974</f>
        <v>0</v>
      </c>
      <c r="AE1974" s="69">
        <v>0</v>
      </c>
      <c r="AF1974" s="88">
        <f>'Terms and Turnovers'!AJ206</f>
        <v>0</v>
      </c>
      <c r="AG1974" s="161">
        <f>SUM(U1974,W1974,Y1974,AA1974,AC1974,AE1974)</f>
        <v>1</v>
      </c>
      <c r="AH1974" s="158">
        <f>SUM(R1974,AF1974)</f>
        <v>0</v>
      </c>
      <c r="AI1974" s="134">
        <f>S1974+AG1974</f>
        <v>2</v>
      </c>
      <c r="AJ1974" s="65"/>
      <c r="AV1974" s="56"/>
    </row>
    <row r="1975" spans="1:48" ht="13.5" customHeight="1" outlineLevel="2" thickBot="1">
      <c r="B1975" s="82"/>
      <c r="C1975" s="1234"/>
      <c r="D1975" s="1234"/>
      <c r="E1975" s="84">
        <f>'Terms and Turnovers'!$AN$12</f>
        <v>0</v>
      </c>
      <c r="F1975" s="121">
        <f>$R1975*G1975</f>
        <v>0</v>
      </c>
      <c r="G1975" s="723"/>
      <c r="H1975" s="121">
        <f>$R1975*I1975</f>
        <v>0</v>
      </c>
      <c r="I1975" s="69">
        <v>7.0000000000000007E-2</v>
      </c>
      <c r="J1975" s="120">
        <f>$R1975*K1975</f>
        <v>0</v>
      </c>
      <c r="K1975" s="69">
        <v>0.31</v>
      </c>
      <c r="L1975" s="120">
        <f>$R1975*M1975</f>
        <v>0</v>
      </c>
      <c r="M1975" s="69">
        <v>0.35</v>
      </c>
      <c r="N1975" s="315">
        <f>$R1975*O1975</f>
        <v>0</v>
      </c>
      <c r="O1975" s="69">
        <v>0.17</v>
      </c>
      <c r="P1975" s="121">
        <f>$R1975*Q1975</f>
        <v>0</v>
      </c>
      <c r="Q1975" s="69">
        <v>0.1</v>
      </c>
      <c r="R1975" s="88">
        <f>'Terms and Turnovers'!AO206</f>
        <v>0</v>
      </c>
      <c r="S1975" s="161">
        <f>SUM(G1975,I1975,K1975,M1975,O1975,Q1975)</f>
        <v>1</v>
      </c>
      <c r="T1975" s="121">
        <f>$AF1975*U1975</f>
        <v>0</v>
      </c>
      <c r="U1975" s="723">
        <v>0</v>
      </c>
      <c r="V1975" s="120">
        <f>$AF1975*W1975</f>
        <v>0</v>
      </c>
      <c r="W1975" s="69">
        <v>0.4</v>
      </c>
      <c r="X1975" s="120">
        <f>$AF1975*Y1975</f>
        <v>0</v>
      </c>
      <c r="Y1975" s="69">
        <v>0.35</v>
      </c>
      <c r="Z1975" s="120">
        <f>$AF1975*AA1975</f>
        <v>0</v>
      </c>
      <c r="AA1975" s="69">
        <v>0.13</v>
      </c>
      <c r="AB1975" s="315">
        <f>$AF1975*AC1975</f>
        <v>0</v>
      </c>
      <c r="AC1975" s="69">
        <v>0.05</v>
      </c>
      <c r="AD1975" s="120">
        <f>$AF1975*AE1975</f>
        <v>0</v>
      </c>
      <c r="AE1975" s="69">
        <v>0.02</v>
      </c>
      <c r="AF1975" s="88">
        <f>'Terms and Turnovers'!AT206</f>
        <v>0</v>
      </c>
      <c r="AG1975" s="161">
        <f>SUM(U1975,W1975,Y1975,AA1975,AC1975,AE1975)</f>
        <v>0.95000000000000007</v>
      </c>
      <c r="AH1975" s="158">
        <f>SUM(R1975,AF1975)</f>
        <v>0</v>
      </c>
      <c r="AI1975" s="134">
        <f>S1975+AG1975</f>
        <v>1.9500000000000002</v>
      </c>
      <c r="AJ1975" s="65"/>
      <c r="AV1975" s="56"/>
    </row>
    <row r="1976" spans="1:48" ht="13.5" customHeight="1" outlineLevel="2" thickBot="1">
      <c r="B1976" s="82"/>
      <c r="C1976" s="1235"/>
      <c r="D1976" s="1235"/>
      <c r="E1976" s="85">
        <f>'Terms and Turnovers'!$AX$12</f>
        <v>0</v>
      </c>
      <c r="F1976" s="121">
        <f>$R1976*G1976</f>
        <v>0</v>
      </c>
      <c r="G1976" s="72"/>
      <c r="H1976" s="121">
        <f>$R1976*I1976</f>
        <v>0</v>
      </c>
      <c r="I1976" s="69">
        <v>7.0000000000000007E-2</v>
      </c>
      <c r="J1976" s="121">
        <f>$R1976*K1976</f>
        <v>0</v>
      </c>
      <c r="K1976" s="69">
        <v>0.31</v>
      </c>
      <c r="L1976" s="121">
        <f>$R1976*M1976</f>
        <v>0</v>
      </c>
      <c r="M1976" s="69">
        <v>0.35</v>
      </c>
      <c r="N1976" s="316">
        <f>$R1976*O1976</f>
        <v>0</v>
      </c>
      <c r="O1976" s="69">
        <v>0.17</v>
      </c>
      <c r="P1976" s="121">
        <f>$R1976*Q1976</f>
        <v>0</v>
      </c>
      <c r="Q1976" s="69">
        <v>0.1</v>
      </c>
      <c r="R1976" s="89">
        <f>'Terms and Turnovers'!AY206</f>
        <v>0</v>
      </c>
      <c r="S1976" s="162">
        <f>SUM(G1976,I1976,K1976,M1976,O1976,Q1976)</f>
        <v>1</v>
      </c>
      <c r="T1976" s="121">
        <f>$AF1976*U1976</f>
        <v>0</v>
      </c>
      <c r="U1976" s="72">
        <v>0</v>
      </c>
      <c r="V1976" s="121">
        <f>$AF1976*W1976</f>
        <v>0</v>
      </c>
      <c r="W1976" s="69">
        <v>0.4</v>
      </c>
      <c r="X1976" s="121">
        <f>$AF1976*Y1976</f>
        <v>0</v>
      </c>
      <c r="Y1976" s="69">
        <v>0.35</v>
      </c>
      <c r="Z1976" s="121">
        <f>$AF1976*AA1976</f>
        <v>0</v>
      </c>
      <c r="AA1976" s="69">
        <v>0.13</v>
      </c>
      <c r="AB1976" s="316">
        <f>$AF1976*AC1976</f>
        <v>0</v>
      </c>
      <c r="AC1976" s="69">
        <v>0.05</v>
      </c>
      <c r="AD1976" s="121">
        <f>$AF1976*AE1976</f>
        <v>0</v>
      </c>
      <c r="AE1976" s="69">
        <v>0.02</v>
      </c>
      <c r="AF1976" s="89">
        <f>'Terms and Turnovers'!BD1815</f>
        <v>0</v>
      </c>
      <c r="AG1976" s="162">
        <f>SUM(U1976,W1976,Y1976,AA1976,AC1976,AE1976)</f>
        <v>0.95000000000000007</v>
      </c>
      <c r="AH1976" s="159">
        <f>SUM(R1976,AF1976)</f>
        <v>0</v>
      </c>
      <c r="AI1976" s="137">
        <f>S1976+AG1976</f>
        <v>1.9500000000000002</v>
      </c>
      <c r="AJ1976" s="65"/>
      <c r="AV1976" s="56"/>
    </row>
    <row r="1977" spans="1:48" ht="13.5" customHeight="1" outlineLevel="2" thickBot="1">
      <c r="A1977" s="119"/>
      <c r="B1977" s="82"/>
      <c r="C1977" s="425"/>
      <c r="D1977" s="425"/>
      <c r="E1977" s="426"/>
      <c r="F1977" s="427">
        <f>SUM(F1972:F1976)</f>
        <v>0</v>
      </c>
      <c r="G1977" s="428"/>
      <c r="H1977" s="427">
        <f>SUM(H1972:H1976)</f>
        <v>0</v>
      </c>
      <c r="I1977" s="69"/>
      <c r="J1977" s="427">
        <f>SUM(J1972:J1976)</f>
        <v>0</v>
      </c>
      <c r="K1977" s="69"/>
      <c r="L1977" s="427">
        <f>SUM(L1972:L1976)</f>
        <v>0</v>
      </c>
      <c r="M1977" s="69"/>
      <c r="N1977" s="427">
        <f>SUM(N1972:N1976)</f>
        <v>0</v>
      </c>
      <c r="O1977" s="69"/>
      <c r="P1977" s="427">
        <f>SUM(P1972:P1976)</f>
        <v>0</v>
      </c>
      <c r="Q1977" s="69"/>
      <c r="R1977" s="429"/>
      <c r="S1977" s="430"/>
      <c r="T1977" s="427">
        <f>SUM(T1972:T1976)</f>
        <v>0</v>
      </c>
      <c r="U1977" s="428"/>
      <c r="V1977" s="427">
        <f>SUM(V1972:V1976)</f>
        <v>0</v>
      </c>
      <c r="W1977" s="69"/>
      <c r="X1977" s="427">
        <f>SUM(X1972:X1976)</f>
        <v>0</v>
      </c>
      <c r="Y1977" s="69"/>
      <c r="Z1977" s="427">
        <f>SUM(Z1972:Z1976)</f>
        <v>0</v>
      </c>
      <c r="AA1977" s="69"/>
      <c r="AB1977" s="427">
        <f>SUM(AB1972:AB1976)</f>
        <v>0</v>
      </c>
      <c r="AC1977" s="69"/>
      <c r="AD1977" s="427">
        <f>SUM(AD1972:AD1976)</f>
        <v>0</v>
      </c>
      <c r="AE1977" s="69"/>
      <c r="AF1977" s="429"/>
      <c r="AG1977" s="430"/>
      <c r="AH1977" s="431"/>
      <c r="AI1977" s="432"/>
      <c r="AJ1977" s="65"/>
      <c r="AV1977" s="56"/>
    </row>
    <row r="1978" spans="1:48" ht="13.5" customHeight="1" outlineLevel="2" thickBot="1">
      <c r="A1978" s="119"/>
      <c r="B1978" s="82"/>
      <c r="C1978" s="433" t="s">
        <v>484</v>
      </c>
      <c r="D1978" s="433"/>
      <c r="E1978" s="426"/>
      <c r="F1978" s="434"/>
      <c r="G1978" s="428"/>
      <c r="H1978" s="434">
        <v>0</v>
      </c>
      <c r="I1978" s="69"/>
      <c r="J1978" s="434">
        <f>F1977</f>
        <v>0</v>
      </c>
      <c r="K1978" s="69"/>
      <c r="L1978" s="434">
        <f>H1977</f>
        <v>0</v>
      </c>
      <c r="M1978" s="69"/>
      <c r="N1978" s="434">
        <f>J1977</f>
        <v>0</v>
      </c>
      <c r="O1978" s="69"/>
      <c r="P1978" s="434">
        <f>L1977</f>
        <v>0</v>
      </c>
      <c r="Q1978" s="69"/>
      <c r="R1978" s="429"/>
      <c r="S1978" s="430"/>
      <c r="T1978" s="434">
        <f>N1977</f>
        <v>0</v>
      </c>
      <c r="U1978" s="428"/>
      <c r="V1978" s="434">
        <f>P1977</f>
        <v>0</v>
      </c>
      <c r="W1978" s="69"/>
      <c r="X1978" s="434">
        <f>T1977</f>
        <v>0</v>
      </c>
      <c r="Y1978" s="69"/>
      <c r="Z1978" s="434">
        <f>V1977</f>
        <v>0</v>
      </c>
      <c r="AA1978" s="69"/>
      <c r="AB1978" s="434">
        <f>X1977</f>
        <v>0</v>
      </c>
      <c r="AC1978" s="69"/>
      <c r="AD1978" s="434">
        <f>Z1977</f>
        <v>0</v>
      </c>
      <c r="AE1978" s="69"/>
      <c r="AF1978" s="429"/>
      <c r="AG1978" s="430"/>
      <c r="AH1978" s="431"/>
      <c r="AI1978" s="432"/>
      <c r="AJ1978" s="65"/>
      <c r="AV1978" s="56"/>
    </row>
    <row r="1979" spans="1:48" ht="13.5" customHeight="1" outlineLevel="2" thickBot="1">
      <c r="B1979" s="82">
        <f>B1972+1</f>
        <v>76</v>
      </c>
      <c r="C1979" s="1233">
        <f>C538</f>
        <v>0</v>
      </c>
      <c r="D1979" s="1233">
        <f>D538</f>
        <v>0</v>
      </c>
      <c r="E1979" s="83" t="str">
        <f>'Terms and Turnovers'!$J$12</f>
        <v>FLIP-FLOPS</v>
      </c>
      <c r="F1979" s="121">
        <f>$R1979*G1979</f>
        <v>0</v>
      </c>
      <c r="G1979" s="69"/>
      <c r="H1979" s="316">
        <f>$R1979*I1979</f>
        <v>0</v>
      </c>
      <c r="I1979" s="69">
        <v>7.0000000000000007E-2</v>
      </c>
      <c r="J1979" s="118">
        <f>$R1979*K1979</f>
        <v>0</v>
      </c>
      <c r="K1979" s="69">
        <v>0.31</v>
      </c>
      <c r="L1979" s="314">
        <f>$R1979*M1979</f>
        <v>0</v>
      </c>
      <c r="M1979" s="69">
        <v>0.35</v>
      </c>
      <c r="N1979" s="314">
        <f>$R1979*O1979</f>
        <v>0</v>
      </c>
      <c r="O1979" s="69">
        <v>0.17</v>
      </c>
      <c r="P1979" s="121">
        <f>$R1979*Q1979</f>
        <v>0</v>
      </c>
      <c r="Q1979" s="69">
        <v>0.1</v>
      </c>
      <c r="R1979" s="87">
        <f>'Terms and Turnovers'!K207</f>
        <v>0</v>
      </c>
      <c r="S1979" s="160">
        <f>SUM(G1979,I1979,K1979,M1979,O1979,Q1979)</f>
        <v>1</v>
      </c>
      <c r="T1979" s="121">
        <f>$AF1979*U1979</f>
        <v>0</v>
      </c>
      <c r="U1979" s="69">
        <v>0</v>
      </c>
      <c r="V1979" s="314">
        <f>$AF1979*W1979</f>
        <v>0</v>
      </c>
      <c r="W1979" s="69">
        <v>0.37</v>
      </c>
      <c r="X1979" s="118">
        <f>$AF1979*Y1979</f>
        <v>0</v>
      </c>
      <c r="Y1979" s="69">
        <v>0.43</v>
      </c>
      <c r="Z1979" s="314">
        <f>$AF1979*AA1979</f>
        <v>0</v>
      </c>
      <c r="AA1979" s="69">
        <v>0.13</v>
      </c>
      <c r="AB1979" s="314">
        <f>$AF1979*AC1979</f>
        <v>0</v>
      </c>
      <c r="AC1979" s="69">
        <v>0.05</v>
      </c>
      <c r="AD1979" s="118">
        <f>$AF1979*AE1979</f>
        <v>0</v>
      </c>
      <c r="AE1979" s="69">
        <v>0.02</v>
      </c>
      <c r="AF1979" s="87">
        <f>'Terms and Turnovers'!P207</f>
        <v>0</v>
      </c>
      <c r="AG1979" s="160">
        <f>SUM(U1979,W1979,Y1979,AA1979,AC1979,AE1979)</f>
        <v>1</v>
      </c>
      <c r="AH1979" s="157">
        <f>SUM(R1979,AF1979)</f>
        <v>0</v>
      </c>
      <c r="AI1979" s="131">
        <f>S1979+AG1979</f>
        <v>2</v>
      </c>
      <c r="AJ1979" s="65"/>
      <c r="AV1979" s="56"/>
    </row>
    <row r="1980" spans="1:48" ht="13.5" customHeight="1" outlineLevel="2" thickBot="1">
      <c r="B1980" s="82"/>
      <c r="C1980" s="1234"/>
      <c r="D1980" s="1234"/>
      <c r="E1980" s="84" t="str">
        <f>'Terms and Turnovers'!$T$12</f>
        <v>ORIGINALS</v>
      </c>
      <c r="F1980" s="121">
        <f>$R1980*G1980</f>
        <v>0</v>
      </c>
      <c r="G1980" s="723"/>
      <c r="H1980" s="121">
        <f>$R1980*I1980</f>
        <v>0</v>
      </c>
      <c r="I1980" s="69">
        <v>7.0000000000000007E-2</v>
      </c>
      <c r="J1980" s="120">
        <f>$R1980*K1980</f>
        <v>0</v>
      </c>
      <c r="K1980" s="69">
        <v>0.31</v>
      </c>
      <c r="L1980" s="120">
        <f>$R1980*M1980</f>
        <v>0</v>
      </c>
      <c r="M1980" s="69">
        <v>0.35</v>
      </c>
      <c r="N1980" s="315">
        <f>$R1980*O1980</f>
        <v>0</v>
      </c>
      <c r="O1980" s="69">
        <v>0.17</v>
      </c>
      <c r="P1980" s="121">
        <f>$R1980*Q1980</f>
        <v>0</v>
      </c>
      <c r="Q1980" s="69">
        <v>0.1</v>
      </c>
      <c r="R1980" s="88">
        <f>'Terms and Turnovers'!U207</f>
        <v>0</v>
      </c>
      <c r="S1980" s="161">
        <f>SUM(G1980,I1980,K1980,M1980,O1980,Q1980)</f>
        <v>1</v>
      </c>
      <c r="T1980" s="121">
        <f>$AF1980*U1980</f>
        <v>0</v>
      </c>
      <c r="U1980" s="723">
        <v>0</v>
      </c>
      <c r="V1980" s="120">
        <f>$AF1980*W1980</f>
        <v>0</v>
      </c>
      <c r="W1980" s="69">
        <v>0.15</v>
      </c>
      <c r="X1980" s="120">
        <f>$AF1980*Y1980</f>
        <v>0</v>
      </c>
      <c r="Y1980" s="69">
        <v>0.6</v>
      </c>
      <c r="Z1980" s="120">
        <f>$AF1980*AA1980</f>
        <v>0</v>
      </c>
      <c r="AA1980" s="69">
        <v>0.25</v>
      </c>
      <c r="AB1980" s="315">
        <f>$AF1980*AC1980</f>
        <v>0</v>
      </c>
      <c r="AC1980" s="69">
        <v>0</v>
      </c>
      <c r="AD1980" s="120">
        <f>$AF1980*AE1980</f>
        <v>0</v>
      </c>
      <c r="AE1980" s="69">
        <v>0</v>
      </c>
      <c r="AF1980" s="88">
        <f>'Terms and Turnovers'!Z207</f>
        <v>0</v>
      </c>
      <c r="AG1980" s="161">
        <f>SUM(U1980,W1980,Y1980,AA1980,AC1980,AE1980)</f>
        <v>1</v>
      </c>
      <c r="AH1980" s="158">
        <f>SUM(R1980,AF1980)</f>
        <v>0</v>
      </c>
      <c r="AI1980" s="134">
        <f>S1980+AG1980</f>
        <v>2</v>
      </c>
      <c r="AJ1980" s="65"/>
      <c r="AV1980" s="56"/>
    </row>
    <row r="1981" spans="1:48" ht="13.5" customHeight="1" outlineLevel="2" thickBot="1">
      <c r="B1981" s="82"/>
      <c r="C1981" s="1234"/>
      <c r="D1981" s="1234"/>
      <c r="E1981" s="84" t="str">
        <f>'Terms and Turnovers'!$AD$12</f>
        <v>ACCESSORIES</v>
      </c>
      <c r="F1981" s="121">
        <f>$R1981*G1981</f>
        <v>0</v>
      </c>
      <c r="G1981" s="723"/>
      <c r="H1981" s="121">
        <f>$R1981*I1981</f>
        <v>0</v>
      </c>
      <c r="I1981" s="69">
        <v>7.0000000000000007E-2</v>
      </c>
      <c r="J1981" s="120">
        <f>$R1981*K1981</f>
        <v>0</v>
      </c>
      <c r="K1981" s="69">
        <v>0.31</v>
      </c>
      <c r="L1981" s="120">
        <f>$R1981*M1981</f>
        <v>0</v>
      </c>
      <c r="M1981" s="69">
        <v>0.35</v>
      </c>
      <c r="N1981" s="315">
        <f>$R1981*O1981</f>
        <v>0</v>
      </c>
      <c r="O1981" s="69">
        <v>0.17</v>
      </c>
      <c r="P1981" s="121">
        <f>$R1981*Q1981</f>
        <v>0</v>
      </c>
      <c r="Q1981" s="69">
        <v>0.1</v>
      </c>
      <c r="R1981" s="88">
        <f>'Terms and Turnovers'!AE207</f>
        <v>0</v>
      </c>
      <c r="S1981" s="161">
        <f>SUM(G1981,I1981,K1981,M1981,O1981,Q1981)</f>
        <v>1</v>
      </c>
      <c r="T1981" s="121">
        <f>$AF1981*U1981</f>
        <v>0</v>
      </c>
      <c r="U1981" s="723">
        <v>0</v>
      </c>
      <c r="V1981" s="120">
        <f>$AF1981*W1981</f>
        <v>0</v>
      </c>
      <c r="W1981" s="69">
        <v>0.15</v>
      </c>
      <c r="X1981" s="120">
        <f>$AF1981*Y1981</f>
        <v>0</v>
      </c>
      <c r="Y1981" s="69">
        <v>0.6</v>
      </c>
      <c r="Z1981" s="120">
        <f>$AF1981*AA1981</f>
        <v>0</v>
      </c>
      <c r="AA1981" s="69">
        <v>0.25</v>
      </c>
      <c r="AB1981" s="315">
        <f>$AF1981*AC1981</f>
        <v>0</v>
      </c>
      <c r="AC1981" s="69">
        <v>0</v>
      </c>
      <c r="AD1981" s="120">
        <f>$AF1981*AE1981</f>
        <v>0</v>
      </c>
      <c r="AE1981" s="69">
        <v>0</v>
      </c>
      <c r="AF1981" s="88">
        <f>'Terms and Turnovers'!AJ207</f>
        <v>0</v>
      </c>
      <c r="AG1981" s="161">
        <f>SUM(U1981,W1981,Y1981,AA1981,AC1981,AE1981)</f>
        <v>1</v>
      </c>
      <c r="AH1981" s="158">
        <f>SUM(R1981,AF1981)</f>
        <v>0</v>
      </c>
      <c r="AI1981" s="134">
        <f>S1981+AG1981</f>
        <v>2</v>
      </c>
      <c r="AJ1981" s="65"/>
      <c r="AV1981" s="56"/>
    </row>
    <row r="1982" spans="1:48" ht="13.5" customHeight="1" outlineLevel="2" thickBot="1">
      <c r="B1982" s="82"/>
      <c r="C1982" s="1234"/>
      <c r="D1982" s="1234"/>
      <c r="E1982" s="84">
        <f>'Terms and Turnovers'!$AN$12</f>
        <v>0</v>
      </c>
      <c r="F1982" s="121">
        <f>$R1982*G1982</f>
        <v>0</v>
      </c>
      <c r="G1982" s="723"/>
      <c r="H1982" s="121">
        <f>$R1982*I1982</f>
        <v>0</v>
      </c>
      <c r="I1982" s="69">
        <v>7.0000000000000007E-2</v>
      </c>
      <c r="J1982" s="120">
        <f>$R1982*K1982</f>
        <v>0</v>
      </c>
      <c r="K1982" s="69">
        <v>0.31</v>
      </c>
      <c r="L1982" s="120">
        <f>$R1982*M1982</f>
        <v>0</v>
      </c>
      <c r="M1982" s="69">
        <v>0.35</v>
      </c>
      <c r="N1982" s="315">
        <f>$R1982*O1982</f>
        <v>0</v>
      </c>
      <c r="O1982" s="69">
        <v>0.17</v>
      </c>
      <c r="P1982" s="121">
        <f>$R1982*Q1982</f>
        <v>0</v>
      </c>
      <c r="Q1982" s="69">
        <v>0.1</v>
      </c>
      <c r="R1982" s="88">
        <f>'Terms and Turnovers'!AO207</f>
        <v>0</v>
      </c>
      <c r="S1982" s="161">
        <f>SUM(G1982,I1982,K1982,M1982,O1982,Q1982)</f>
        <v>1</v>
      </c>
      <c r="T1982" s="121">
        <f>$AF1982*U1982</f>
        <v>0</v>
      </c>
      <c r="U1982" s="723">
        <v>0</v>
      </c>
      <c r="V1982" s="120">
        <f>$AF1982*W1982</f>
        <v>0</v>
      </c>
      <c r="W1982" s="69">
        <v>0.4</v>
      </c>
      <c r="X1982" s="120">
        <f>$AF1982*Y1982</f>
        <v>0</v>
      </c>
      <c r="Y1982" s="69">
        <v>0.35</v>
      </c>
      <c r="Z1982" s="120">
        <f>$AF1982*AA1982</f>
        <v>0</v>
      </c>
      <c r="AA1982" s="69">
        <v>0.13</v>
      </c>
      <c r="AB1982" s="315">
        <f>$AF1982*AC1982</f>
        <v>0</v>
      </c>
      <c r="AC1982" s="69">
        <v>0.05</v>
      </c>
      <c r="AD1982" s="120">
        <f>$AF1982*AE1982</f>
        <v>0</v>
      </c>
      <c r="AE1982" s="69">
        <v>0.02</v>
      </c>
      <c r="AF1982" s="88">
        <f>'Terms and Turnovers'!AT207</f>
        <v>0</v>
      </c>
      <c r="AG1982" s="161">
        <f>SUM(U1982,W1982,Y1982,AA1982,AC1982,AE1982)</f>
        <v>0.95000000000000007</v>
      </c>
      <c r="AH1982" s="158">
        <f>SUM(R1982,AF1982)</f>
        <v>0</v>
      </c>
      <c r="AI1982" s="134">
        <f>S1982+AG1982</f>
        <v>1.9500000000000002</v>
      </c>
      <c r="AJ1982" s="65"/>
      <c r="AV1982" s="56"/>
    </row>
    <row r="1983" spans="1:48" ht="13.5" customHeight="1" outlineLevel="2" thickBot="1">
      <c r="B1983" s="82"/>
      <c r="C1983" s="1235"/>
      <c r="D1983" s="1235"/>
      <c r="E1983" s="85">
        <f>'Terms and Turnovers'!$AX$12</f>
        <v>0</v>
      </c>
      <c r="F1983" s="121">
        <f>$R1983*G1983</f>
        <v>0</v>
      </c>
      <c r="G1983" s="72"/>
      <c r="H1983" s="121">
        <f>$R1983*I1983</f>
        <v>0</v>
      </c>
      <c r="I1983" s="69">
        <v>7.0000000000000007E-2</v>
      </c>
      <c r="J1983" s="121">
        <f>$R1983*K1983</f>
        <v>0</v>
      </c>
      <c r="K1983" s="69">
        <v>0.31</v>
      </c>
      <c r="L1983" s="121">
        <f>$R1983*M1983</f>
        <v>0</v>
      </c>
      <c r="M1983" s="69">
        <v>0.35</v>
      </c>
      <c r="N1983" s="316">
        <f>$R1983*O1983</f>
        <v>0</v>
      </c>
      <c r="O1983" s="69">
        <v>0.17</v>
      </c>
      <c r="P1983" s="121">
        <f>$R1983*Q1983</f>
        <v>0</v>
      </c>
      <c r="Q1983" s="69">
        <v>0.1</v>
      </c>
      <c r="R1983" s="89">
        <f>'Terms and Turnovers'!AY207</f>
        <v>0</v>
      </c>
      <c r="S1983" s="162">
        <f>SUM(G1983,I1983,K1983,M1983,O1983,Q1983)</f>
        <v>1</v>
      </c>
      <c r="T1983" s="121">
        <f>$AF1983*U1983</f>
        <v>0</v>
      </c>
      <c r="U1983" s="72">
        <v>0</v>
      </c>
      <c r="V1983" s="121">
        <f>$AF1983*W1983</f>
        <v>0</v>
      </c>
      <c r="W1983" s="69">
        <v>0.4</v>
      </c>
      <c r="X1983" s="121">
        <f>$AF1983*Y1983</f>
        <v>0</v>
      </c>
      <c r="Y1983" s="69">
        <v>0.35</v>
      </c>
      <c r="Z1983" s="121">
        <f>$AF1983*AA1983</f>
        <v>0</v>
      </c>
      <c r="AA1983" s="69">
        <v>0.13</v>
      </c>
      <c r="AB1983" s="316">
        <f>$AF1983*AC1983</f>
        <v>0</v>
      </c>
      <c r="AC1983" s="69">
        <v>0.05</v>
      </c>
      <c r="AD1983" s="121">
        <f>$AF1983*AE1983</f>
        <v>0</v>
      </c>
      <c r="AE1983" s="69">
        <v>0.02</v>
      </c>
      <c r="AF1983" s="89">
        <f>'Terms and Turnovers'!BD207</f>
        <v>0</v>
      </c>
      <c r="AG1983" s="162">
        <f>SUM(U1983,W1983,Y1983,AA1983,AC1983,AE1983)</f>
        <v>0.95000000000000007</v>
      </c>
      <c r="AH1983" s="159">
        <f>SUM(R1983,AF1983)</f>
        <v>0</v>
      </c>
      <c r="AI1983" s="137">
        <f>S1983+AG1983</f>
        <v>1.9500000000000002</v>
      </c>
      <c r="AJ1983" s="65"/>
      <c r="AV1983" s="56"/>
    </row>
    <row r="1984" spans="1:48" ht="13.5" customHeight="1" outlineLevel="2" thickBot="1">
      <c r="A1984" s="119"/>
      <c r="B1984" s="82"/>
      <c r="C1984" s="425"/>
      <c r="D1984" s="425"/>
      <c r="E1984" s="426"/>
      <c r="F1984" s="427">
        <f>SUM(F1979:F1983)</f>
        <v>0</v>
      </c>
      <c r="G1984" s="428"/>
      <c r="H1984" s="427">
        <f>SUM(H1979:H1983)</f>
        <v>0</v>
      </c>
      <c r="I1984" s="69"/>
      <c r="J1984" s="427">
        <f>SUM(J1979:J1983)</f>
        <v>0</v>
      </c>
      <c r="K1984" s="69"/>
      <c r="L1984" s="427">
        <f>SUM(L1979:L1983)</f>
        <v>0</v>
      </c>
      <c r="M1984" s="69"/>
      <c r="N1984" s="427">
        <f>SUM(N1979:N1983)</f>
        <v>0</v>
      </c>
      <c r="O1984" s="69"/>
      <c r="P1984" s="427">
        <f>SUM(P1979:P1983)</f>
        <v>0</v>
      </c>
      <c r="Q1984" s="69"/>
      <c r="R1984" s="429"/>
      <c r="S1984" s="430"/>
      <c r="T1984" s="427">
        <f>SUM(T1979:T1983)</f>
        <v>0</v>
      </c>
      <c r="U1984" s="428"/>
      <c r="V1984" s="427">
        <f>SUM(V1979:V1983)</f>
        <v>0</v>
      </c>
      <c r="W1984" s="69"/>
      <c r="X1984" s="427">
        <f>SUM(X1979:X1983)</f>
        <v>0</v>
      </c>
      <c r="Y1984" s="69"/>
      <c r="Z1984" s="427">
        <f>SUM(Z1979:Z1983)</f>
        <v>0</v>
      </c>
      <c r="AA1984" s="69"/>
      <c r="AB1984" s="427">
        <f>SUM(AB1979:AB1983)</f>
        <v>0</v>
      </c>
      <c r="AC1984" s="69"/>
      <c r="AD1984" s="427">
        <f>SUM(AD1979:AD1983)</f>
        <v>0</v>
      </c>
      <c r="AE1984" s="69"/>
      <c r="AF1984" s="429"/>
      <c r="AG1984" s="430"/>
      <c r="AH1984" s="431"/>
      <c r="AI1984" s="432"/>
      <c r="AJ1984" s="65"/>
      <c r="AV1984" s="56"/>
    </row>
    <row r="1985" spans="1:48" ht="13.5" customHeight="1" outlineLevel="2" thickBot="1">
      <c r="A1985" s="119"/>
      <c r="B1985" s="82"/>
      <c r="C1985" s="433" t="s">
        <v>484</v>
      </c>
      <c r="D1985" s="433"/>
      <c r="E1985" s="426"/>
      <c r="F1985" s="434">
        <f>F1984</f>
        <v>0</v>
      </c>
      <c r="G1985" s="428"/>
      <c r="H1985" s="434">
        <f>H1984</f>
        <v>0</v>
      </c>
      <c r="I1985" s="69"/>
      <c r="J1985" s="434">
        <f>J1984</f>
        <v>0</v>
      </c>
      <c r="K1985" s="69"/>
      <c r="L1985" s="434">
        <f>L1984</f>
        <v>0</v>
      </c>
      <c r="M1985" s="69"/>
      <c r="N1985" s="434">
        <f>N1984</f>
        <v>0</v>
      </c>
      <c r="O1985" s="69"/>
      <c r="P1985" s="434">
        <f>P1984</f>
        <v>0</v>
      </c>
      <c r="Q1985" s="69"/>
      <c r="R1985" s="429"/>
      <c r="S1985" s="430"/>
      <c r="T1985" s="434">
        <f>T1983</f>
        <v>0</v>
      </c>
      <c r="U1985" s="428"/>
      <c r="V1985" s="434">
        <f>V1984</f>
        <v>0</v>
      </c>
      <c r="W1985" s="69"/>
      <c r="X1985" s="434">
        <f>X1984</f>
        <v>0</v>
      </c>
      <c r="Y1985" s="69">
        <f>W1983*0.3+Y1983*0.7</f>
        <v>0.36499999999999999</v>
      </c>
      <c r="Z1985" s="434">
        <f>Z1984</f>
        <v>0</v>
      </c>
      <c r="AA1985" s="69">
        <f>Y1983*0.3+AA1983*0.7</f>
        <v>0.19600000000000001</v>
      </c>
      <c r="AB1985" s="434">
        <f>AB1984</f>
        <v>0</v>
      </c>
      <c r="AC1985" s="69">
        <f>AA1983*0.3+AC1983*0.7</f>
        <v>7.3999999999999996E-2</v>
      </c>
      <c r="AD1985" s="434">
        <f>AD1984</f>
        <v>0</v>
      </c>
      <c r="AE1985" s="69"/>
      <c r="AF1985" s="429"/>
      <c r="AG1985" s="430"/>
      <c r="AH1985" s="431"/>
      <c r="AI1985" s="432"/>
      <c r="AJ1985" s="65"/>
      <c r="AV1985" s="56"/>
    </row>
    <row r="1986" spans="1:48" ht="13.5" customHeight="1" outlineLevel="2" thickBot="1">
      <c r="B1986" s="82">
        <f>B1979+1</f>
        <v>77</v>
      </c>
      <c r="C1986" s="1233">
        <f>C545</f>
        <v>0</v>
      </c>
      <c r="D1986" s="1233">
        <f>D545</f>
        <v>0</v>
      </c>
      <c r="E1986" s="83" t="str">
        <f>'Terms and Turnovers'!$J$12</f>
        <v>FLIP-FLOPS</v>
      </c>
      <c r="F1986" s="121">
        <f>$R1986*G1986</f>
        <v>0</v>
      </c>
      <c r="G1986" s="69"/>
      <c r="H1986" s="316">
        <f>$R1986*I1986</f>
        <v>0</v>
      </c>
      <c r="I1986" s="69">
        <v>7.0000000000000007E-2</v>
      </c>
      <c r="J1986" s="118">
        <f>$R1986*K1986</f>
        <v>0</v>
      </c>
      <c r="K1986" s="69">
        <v>0.31</v>
      </c>
      <c r="L1986" s="314">
        <f>$R1986*M1986</f>
        <v>0</v>
      </c>
      <c r="M1986" s="69">
        <v>0.35</v>
      </c>
      <c r="N1986" s="314">
        <f>$R1986*O1986</f>
        <v>0</v>
      </c>
      <c r="O1986" s="69">
        <v>0.17</v>
      </c>
      <c r="P1986" s="121">
        <f>$R1986*Q1986</f>
        <v>0</v>
      </c>
      <c r="Q1986" s="69">
        <v>0.1</v>
      </c>
      <c r="R1986" s="87">
        <f>'Terms and Turnovers'!K208</f>
        <v>0</v>
      </c>
      <c r="S1986" s="160">
        <f>SUM(G1986,I1986,K1986,M1986,O1986,Q1986)</f>
        <v>1</v>
      </c>
      <c r="T1986" s="121">
        <f>$AF1986*U1986</f>
        <v>0</v>
      </c>
      <c r="U1986" s="69">
        <v>0</v>
      </c>
      <c r="V1986" s="314">
        <f>$AF1986*W1986</f>
        <v>0</v>
      </c>
      <c r="W1986" s="69">
        <v>0.37</v>
      </c>
      <c r="X1986" s="118">
        <f>$AF1986*Y1986</f>
        <v>0</v>
      </c>
      <c r="Y1986" s="69">
        <v>0.43</v>
      </c>
      <c r="Z1986" s="314">
        <f>$AF1986*AA1986</f>
        <v>0</v>
      </c>
      <c r="AA1986" s="69">
        <v>0.13</v>
      </c>
      <c r="AB1986" s="314">
        <f>$AF1986*AC1986</f>
        <v>0</v>
      </c>
      <c r="AC1986" s="69">
        <v>0.05</v>
      </c>
      <c r="AD1986" s="118">
        <f>$AF1986*AE1986</f>
        <v>0</v>
      </c>
      <c r="AE1986" s="69">
        <v>0.02</v>
      </c>
      <c r="AF1986" s="87">
        <f>'Terms and Turnovers'!P208</f>
        <v>0</v>
      </c>
      <c r="AG1986" s="160">
        <f>SUM(U1986,W1986,Y1986,AA1986,AC1986,AE1986)</f>
        <v>1</v>
      </c>
      <c r="AH1986" s="157">
        <f>SUM(R1986,AF1986)</f>
        <v>0</v>
      </c>
      <c r="AI1986" s="131">
        <f>S1986+AG1986</f>
        <v>2</v>
      </c>
      <c r="AJ1986" s="65"/>
      <c r="AV1986" s="56"/>
    </row>
    <row r="1987" spans="1:48" ht="13.5" customHeight="1" outlineLevel="2" thickBot="1">
      <c r="B1987" s="82"/>
      <c r="C1987" s="1234"/>
      <c r="D1987" s="1234"/>
      <c r="E1987" s="84" t="str">
        <f>'Terms and Turnovers'!$T$12</f>
        <v>ORIGINALS</v>
      </c>
      <c r="F1987" s="121">
        <f>$R1987*G1987</f>
        <v>0</v>
      </c>
      <c r="G1987" s="723"/>
      <c r="H1987" s="121">
        <f>$R1987*I1987</f>
        <v>0</v>
      </c>
      <c r="I1987" s="69">
        <v>7.0000000000000007E-2</v>
      </c>
      <c r="J1987" s="120">
        <f>$R1987*K1987</f>
        <v>0</v>
      </c>
      <c r="K1987" s="69">
        <v>0.31</v>
      </c>
      <c r="L1987" s="120">
        <f>$R1987*M1987</f>
        <v>0</v>
      </c>
      <c r="M1987" s="69">
        <v>0.35</v>
      </c>
      <c r="N1987" s="315">
        <f>$R1987*O1987</f>
        <v>0</v>
      </c>
      <c r="O1987" s="69">
        <v>0.17</v>
      </c>
      <c r="P1987" s="121">
        <f>$R1987*Q1987</f>
        <v>0</v>
      </c>
      <c r="Q1987" s="69">
        <v>0.1</v>
      </c>
      <c r="R1987" s="88">
        <f>'Terms and Turnovers'!U208</f>
        <v>0</v>
      </c>
      <c r="S1987" s="161">
        <f>SUM(G1987,I1987,K1987,M1987,O1987,Q1987)</f>
        <v>1</v>
      </c>
      <c r="T1987" s="121">
        <f>$AF1987*U1987</f>
        <v>0</v>
      </c>
      <c r="U1987" s="723">
        <v>0</v>
      </c>
      <c r="V1987" s="120">
        <f>$AF1987*W1987</f>
        <v>0</v>
      </c>
      <c r="W1987" s="69">
        <v>0.15</v>
      </c>
      <c r="X1987" s="120">
        <f>$AF1987*Y1987</f>
        <v>0</v>
      </c>
      <c r="Y1987" s="69">
        <v>0.6</v>
      </c>
      <c r="Z1987" s="120">
        <f>$AF1987*AA1987</f>
        <v>0</v>
      </c>
      <c r="AA1987" s="69">
        <v>0.25</v>
      </c>
      <c r="AB1987" s="315">
        <f>$AF1987*AC1987</f>
        <v>0</v>
      </c>
      <c r="AC1987" s="69">
        <v>0</v>
      </c>
      <c r="AD1987" s="120">
        <f>$AF1987*AE1987</f>
        <v>0</v>
      </c>
      <c r="AE1987" s="69">
        <v>0</v>
      </c>
      <c r="AF1987" s="88">
        <f>'Terms and Turnovers'!Z208</f>
        <v>0</v>
      </c>
      <c r="AG1987" s="161">
        <f>SUM(U1987,W1987,Y1987,AA1987,AC1987,AE1987)</f>
        <v>1</v>
      </c>
      <c r="AH1987" s="158">
        <f>SUM(R1987,AF1987)</f>
        <v>0</v>
      </c>
      <c r="AI1987" s="134">
        <f>S1987+AG1987</f>
        <v>2</v>
      </c>
      <c r="AJ1987" s="65"/>
      <c r="AV1987" s="56"/>
    </row>
    <row r="1988" spans="1:48" ht="13.5" customHeight="1" outlineLevel="2" thickBot="1">
      <c r="B1988" s="82"/>
      <c r="C1988" s="1234"/>
      <c r="D1988" s="1234"/>
      <c r="E1988" s="84" t="str">
        <f>'Terms and Turnovers'!$AD$12</f>
        <v>ACCESSORIES</v>
      </c>
      <c r="F1988" s="121">
        <f>$R1988*G1988</f>
        <v>0</v>
      </c>
      <c r="G1988" s="723"/>
      <c r="H1988" s="121">
        <f>$R1988*I1988</f>
        <v>0</v>
      </c>
      <c r="I1988" s="69">
        <v>7.0000000000000007E-2</v>
      </c>
      <c r="J1988" s="120">
        <f>$R1988*K1988</f>
        <v>0</v>
      </c>
      <c r="K1988" s="69">
        <v>0.31</v>
      </c>
      <c r="L1988" s="120">
        <f>$R1988*M1988</f>
        <v>0</v>
      </c>
      <c r="M1988" s="69">
        <v>0.35</v>
      </c>
      <c r="N1988" s="315">
        <f>$R1988*O1988</f>
        <v>0</v>
      </c>
      <c r="O1988" s="69">
        <v>0.17</v>
      </c>
      <c r="P1988" s="121">
        <f>$R1988*Q1988</f>
        <v>0</v>
      </c>
      <c r="Q1988" s="69">
        <v>0.1</v>
      </c>
      <c r="R1988" s="88">
        <f>'Terms and Turnovers'!AE208</f>
        <v>0</v>
      </c>
      <c r="S1988" s="161">
        <f>SUM(G1988,I1988,K1988,M1988,O1988,Q1988)</f>
        <v>1</v>
      </c>
      <c r="T1988" s="121">
        <f>$AF1988*U1988</f>
        <v>0</v>
      </c>
      <c r="U1988" s="723">
        <v>0</v>
      </c>
      <c r="V1988" s="120">
        <f>$AF1988*W1988</f>
        <v>0</v>
      </c>
      <c r="W1988" s="69">
        <v>0.15</v>
      </c>
      <c r="X1988" s="120">
        <f>$AF1988*Y1988</f>
        <v>0</v>
      </c>
      <c r="Y1988" s="69">
        <v>0.6</v>
      </c>
      <c r="Z1988" s="120">
        <f>$AF1988*AA1988</f>
        <v>0</v>
      </c>
      <c r="AA1988" s="69">
        <v>0.25</v>
      </c>
      <c r="AB1988" s="315">
        <f>$AF1988*AC1988</f>
        <v>0</v>
      </c>
      <c r="AC1988" s="69">
        <v>0</v>
      </c>
      <c r="AD1988" s="120">
        <f>$AF1988*AE1988</f>
        <v>0</v>
      </c>
      <c r="AE1988" s="69">
        <v>0</v>
      </c>
      <c r="AF1988" s="88">
        <f>'Terms and Turnovers'!AJ208</f>
        <v>0</v>
      </c>
      <c r="AG1988" s="161">
        <f>SUM(U1988,W1988,Y1988,AA1988,AC1988,AE1988)</f>
        <v>1</v>
      </c>
      <c r="AH1988" s="158">
        <f>SUM(R1988,AF1988)</f>
        <v>0</v>
      </c>
      <c r="AI1988" s="134">
        <f>S1988+AG1988</f>
        <v>2</v>
      </c>
      <c r="AJ1988" s="65"/>
      <c r="AV1988" s="56"/>
    </row>
    <row r="1989" spans="1:48" ht="13.5" customHeight="1" outlineLevel="2" thickBot="1">
      <c r="B1989" s="82"/>
      <c r="C1989" s="1234"/>
      <c r="D1989" s="1234"/>
      <c r="E1989" s="84">
        <f>'Terms and Turnovers'!$AN$12</f>
        <v>0</v>
      </c>
      <c r="F1989" s="121">
        <f>$R1989*G1989</f>
        <v>0</v>
      </c>
      <c r="G1989" s="723"/>
      <c r="H1989" s="121">
        <f>$R1989*I1989</f>
        <v>0</v>
      </c>
      <c r="I1989" s="69">
        <v>7.0000000000000007E-2</v>
      </c>
      <c r="J1989" s="120">
        <f>$R1989*K1989</f>
        <v>0</v>
      </c>
      <c r="K1989" s="69">
        <v>0.31</v>
      </c>
      <c r="L1989" s="120">
        <f>$R1989*M1989</f>
        <v>0</v>
      </c>
      <c r="M1989" s="69">
        <v>0.35</v>
      </c>
      <c r="N1989" s="315">
        <f>$R1989*O1989</f>
        <v>0</v>
      </c>
      <c r="O1989" s="69">
        <v>0.17</v>
      </c>
      <c r="P1989" s="121">
        <f>$R1989*Q1989</f>
        <v>0</v>
      </c>
      <c r="Q1989" s="69">
        <v>0.1</v>
      </c>
      <c r="R1989" s="88">
        <f>'Terms and Turnovers'!AO208</f>
        <v>0</v>
      </c>
      <c r="S1989" s="161">
        <f>SUM(G1989,I1989,K1989,M1989,O1989,Q1989)</f>
        <v>1</v>
      </c>
      <c r="T1989" s="121">
        <f>$AF1989*U1989</f>
        <v>0</v>
      </c>
      <c r="U1989" s="723">
        <v>0</v>
      </c>
      <c r="V1989" s="120">
        <f>$AF1989*W1989</f>
        <v>0</v>
      </c>
      <c r="W1989" s="69">
        <v>0.4</v>
      </c>
      <c r="X1989" s="120">
        <f>$AF1989*Y1989</f>
        <v>0</v>
      </c>
      <c r="Y1989" s="69">
        <v>0.35</v>
      </c>
      <c r="Z1989" s="120">
        <f>$AF1989*AA1989</f>
        <v>0</v>
      </c>
      <c r="AA1989" s="69">
        <v>0.13</v>
      </c>
      <c r="AB1989" s="315">
        <f>$AF1989*AC1989</f>
        <v>0</v>
      </c>
      <c r="AC1989" s="69">
        <v>0.05</v>
      </c>
      <c r="AD1989" s="120">
        <f>$AF1989*AE1989</f>
        <v>0</v>
      </c>
      <c r="AE1989" s="69">
        <v>0.02</v>
      </c>
      <c r="AF1989" s="88">
        <f>'Terms and Turnovers'!AT208</f>
        <v>0</v>
      </c>
      <c r="AG1989" s="161">
        <f>SUM(U1989,W1989,Y1989,AA1989,AC1989,AE1989)</f>
        <v>0.95000000000000007</v>
      </c>
      <c r="AH1989" s="158">
        <f>SUM(R1989,AF1989)</f>
        <v>0</v>
      </c>
      <c r="AI1989" s="134">
        <f>S1989+AG1989</f>
        <v>1.9500000000000002</v>
      </c>
      <c r="AJ1989" s="65"/>
      <c r="AV1989" s="56"/>
    </row>
    <row r="1990" spans="1:48" ht="13.5" customHeight="1" outlineLevel="2" thickBot="1">
      <c r="B1990" s="82"/>
      <c r="C1990" s="1235"/>
      <c r="D1990" s="1235"/>
      <c r="E1990" s="85">
        <f>'Terms and Turnovers'!$AX$12</f>
        <v>0</v>
      </c>
      <c r="F1990" s="121">
        <f>$R1990*G1990</f>
        <v>0</v>
      </c>
      <c r="G1990" s="72"/>
      <c r="H1990" s="121">
        <f>$R1990*I1990</f>
        <v>0</v>
      </c>
      <c r="I1990" s="69">
        <v>7.0000000000000007E-2</v>
      </c>
      <c r="J1990" s="121">
        <f>$R1990*K1990</f>
        <v>0</v>
      </c>
      <c r="K1990" s="69">
        <v>0.31</v>
      </c>
      <c r="L1990" s="121">
        <f>$R1990*M1990</f>
        <v>0</v>
      </c>
      <c r="M1990" s="69">
        <v>0.35</v>
      </c>
      <c r="N1990" s="316">
        <f>$R1990*O1990</f>
        <v>0</v>
      </c>
      <c r="O1990" s="69">
        <v>0.17</v>
      </c>
      <c r="P1990" s="121">
        <f>$R1990*Q1990</f>
        <v>0</v>
      </c>
      <c r="Q1990" s="69">
        <v>0.1</v>
      </c>
      <c r="R1990" s="89">
        <f>'Terms and Turnovers'!AY208</f>
        <v>0</v>
      </c>
      <c r="S1990" s="162">
        <f>SUM(G1990,I1990,K1990,M1990,O1990,Q1990)</f>
        <v>1</v>
      </c>
      <c r="T1990" s="121">
        <f>$AF1990*U1990</f>
        <v>0</v>
      </c>
      <c r="U1990" s="72">
        <v>0</v>
      </c>
      <c r="V1990" s="121">
        <f>$AF1990*W1990</f>
        <v>0</v>
      </c>
      <c r="W1990" s="69">
        <v>0.4</v>
      </c>
      <c r="X1990" s="121">
        <f>$AF1990*Y1990</f>
        <v>0</v>
      </c>
      <c r="Y1990" s="69">
        <v>0.35</v>
      </c>
      <c r="Z1990" s="121">
        <f>$AF1990*AA1990</f>
        <v>0</v>
      </c>
      <c r="AA1990" s="69">
        <v>0.13</v>
      </c>
      <c r="AB1990" s="316">
        <f>$AF1990*AC1990</f>
        <v>0</v>
      </c>
      <c r="AC1990" s="69">
        <v>0.05</v>
      </c>
      <c r="AD1990" s="121">
        <f>$AF1990*AE1990</f>
        <v>0</v>
      </c>
      <c r="AE1990" s="69">
        <v>0.02</v>
      </c>
      <c r="AF1990" s="89">
        <f>'Terms and Turnovers'!BD208</f>
        <v>0</v>
      </c>
      <c r="AG1990" s="162">
        <f>SUM(U1990,W1990,Y1990,AA1990,AC1990,AE1990)</f>
        <v>0.95000000000000007</v>
      </c>
      <c r="AH1990" s="159">
        <f>SUM(R1990,AF1990)</f>
        <v>0</v>
      </c>
      <c r="AI1990" s="137">
        <f>S1990+AG1990</f>
        <v>1.9500000000000002</v>
      </c>
      <c r="AJ1990" s="65"/>
      <c r="AV1990" s="56"/>
    </row>
    <row r="1991" spans="1:48" ht="13.5" customHeight="1" outlineLevel="2" thickBot="1">
      <c r="A1991" s="119"/>
      <c r="B1991" s="82"/>
      <c r="C1991" s="425"/>
      <c r="D1991" s="425"/>
      <c r="E1991" s="426"/>
      <c r="F1991" s="427">
        <f>SUM(F1986:F1990)</f>
        <v>0</v>
      </c>
      <c r="G1991" s="428"/>
      <c r="H1991" s="427">
        <f>SUM(H1986:H1990)</f>
        <v>0</v>
      </c>
      <c r="I1991" s="69"/>
      <c r="J1991" s="427">
        <f>SUM(J1986:J1990)</f>
        <v>0</v>
      </c>
      <c r="K1991" s="69"/>
      <c r="L1991" s="427">
        <f>SUM(L1986:L1990)</f>
        <v>0</v>
      </c>
      <c r="M1991" s="69"/>
      <c r="N1991" s="427">
        <f>SUM(N1986:N1990)</f>
        <v>0</v>
      </c>
      <c r="O1991" s="69"/>
      <c r="P1991" s="427">
        <f>SUM(P1986:P1990)</f>
        <v>0</v>
      </c>
      <c r="Q1991" s="69"/>
      <c r="R1991" s="429"/>
      <c r="S1991" s="430"/>
      <c r="T1991" s="427">
        <f>SUM(T1986:T1990)</f>
        <v>0</v>
      </c>
      <c r="U1991" s="428"/>
      <c r="V1991" s="427">
        <f>SUM(V1986:V1990)</f>
        <v>0</v>
      </c>
      <c r="W1991" s="69"/>
      <c r="X1991" s="427">
        <f>SUM(X1986:X1990)</f>
        <v>0</v>
      </c>
      <c r="Y1991" s="69"/>
      <c r="Z1991" s="427">
        <f>SUM(Z1986:Z1990)</f>
        <v>0</v>
      </c>
      <c r="AA1991" s="69"/>
      <c r="AB1991" s="427">
        <f>SUM(AB1986:AB1990)</f>
        <v>0</v>
      </c>
      <c r="AC1991" s="69"/>
      <c r="AD1991" s="427">
        <f>SUM(AD1986:AD1990)</f>
        <v>0</v>
      </c>
      <c r="AE1991" s="69"/>
      <c r="AF1991" s="429"/>
      <c r="AG1991" s="430"/>
      <c r="AH1991" s="431"/>
      <c r="AI1991" s="432"/>
      <c r="AJ1991" s="65"/>
      <c r="AV1991" s="56"/>
    </row>
    <row r="1992" spans="1:48" ht="13.5" customHeight="1" outlineLevel="2" thickBot="1">
      <c r="A1992" s="119"/>
      <c r="B1992" s="82"/>
      <c r="C1992" s="433" t="s">
        <v>484</v>
      </c>
      <c r="D1992" s="433"/>
      <c r="E1992" s="426"/>
      <c r="F1992" s="434">
        <f>F1991</f>
        <v>0</v>
      </c>
      <c r="G1992" s="428"/>
      <c r="H1992" s="434">
        <f>H1991</f>
        <v>0</v>
      </c>
      <c r="I1992" s="69"/>
      <c r="J1992" s="434">
        <f>J1991</f>
        <v>0</v>
      </c>
      <c r="K1992" s="69"/>
      <c r="L1992" s="434">
        <f>L1991</f>
        <v>0</v>
      </c>
      <c r="M1992" s="69"/>
      <c r="N1992" s="434">
        <f>N1991</f>
        <v>0</v>
      </c>
      <c r="O1992" s="69"/>
      <c r="P1992" s="434">
        <f>P1991</f>
        <v>0</v>
      </c>
      <c r="Q1992" s="69"/>
      <c r="R1992" s="429"/>
      <c r="S1992" s="430"/>
      <c r="T1992" s="434">
        <f>T1990</f>
        <v>0</v>
      </c>
      <c r="U1992" s="428"/>
      <c r="V1992" s="434">
        <f>V1991</f>
        <v>0</v>
      </c>
      <c r="W1992" s="69"/>
      <c r="X1992" s="434">
        <f>X1991</f>
        <v>0</v>
      </c>
      <c r="Y1992" s="69">
        <f>W1990*0.3+Y1990*0.7</f>
        <v>0.36499999999999999</v>
      </c>
      <c r="Z1992" s="434">
        <f>Z1991</f>
        <v>0</v>
      </c>
      <c r="AA1992" s="69">
        <f>Y1990*0.3+AA1990*0.7</f>
        <v>0.19600000000000001</v>
      </c>
      <c r="AB1992" s="434">
        <f>AB1991</f>
        <v>0</v>
      </c>
      <c r="AC1992" s="69">
        <f>AA1990*0.3+AC1990*0.7</f>
        <v>7.3999999999999996E-2</v>
      </c>
      <c r="AD1992" s="434">
        <f>AD1991</f>
        <v>0</v>
      </c>
      <c r="AE1992" s="69"/>
      <c r="AF1992" s="429"/>
      <c r="AG1992" s="430"/>
      <c r="AH1992" s="431"/>
      <c r="AI1992" s="432"/>
      <c r="AJ1992" s="65"/>
      <c r="AV1992" s="56"/>
    </row>
    <row r="1993" spans="1:48" ht="13.5" customHeight="1" outlineLevel="2" thickBot="1">
      <c r="B1993" s="82">
        <f>B1986+1</f>
        <v>78</v>
      </c>
      <c r="C1993" s="1233">
        <f>C552</f>
        <v>0</v>
      </c>
      <c r="D1993" s="1233">
        <f>D552</f>
        <v>0</v>
      </c>
      <c r="E1993" s="83" t="str">
        <f>'Terms and Turnovers'!$J$12</f>
        <v>FLIP-FLOPS</v>
      </c>
      <c r="F1993" s="121">
        <f>$R1993*G1993</f>
        <v>0</v>
      </c>
      <c r="G1993" s="69"/>
      <c r="H1993" s="316">
        <f>$R1993*I1993</f>
        <v>0</v>
      </c>
      <c r="I1993" s="69">
        <v>7.0000000000000007E-2</v>
      </c>
      <c r="J1993" s="118">
        <f>$R1993*K1993</f>
        <v>0</v>
      </c>
      <c r="K1993" s="69">
        <v>0.31</v>
      </c>
      <c r="L1993" s="314">
        <f>$R1993*M1993</f>
        <v>0</v>
      </c>
      <c r="M1993" s="69">
        <v>0.35</v>
      </c>
      <c r="N1993" s="314">
        <f>$R1993*O1993</f>
        <v>0</v>
      </c>
      <c r="O1993" s="69">
        <v>0.17</v>
      </c>
      <c r="P1993" s="121">
        <f>$R1993*Q1993</f>
        <v>0</v>
      </c>
      <c r="Q1993" s="69">
        <v>0.1</v>
      </c>
      <c r="R1993" s="87">
        <f>'Terms and Turnovers'!K209</f>
        <v>0</v>
      </c>
      <c r="S1993" s="160">
        <f>SUM(G1993,I1993,K1993,M1993,O1993,Q1993)</f>
        <v>1</v>
      </c>
      <c r="T1993" s="121">
        <f>$AF1993*U1993</f>
        <v>0</v>
      </c>
      <c r="U1993" s="69">
        <v>0</v>
      </c>
      <c r="V1993" s="314">
        <f>$AF1993*W1993</f>
        <v>0</v>
      </c>
      <c r="W1993" s="69">
        <v>0.37</v>
      </c>
      <c r="X1993" s="118">
        <f>$AF1993*Y1993</f>
        <v>0</v>
      </c>
      <c r="Y1993" s="69">
        <v>0.43</v>
      </c>
      <c r="Z1993" s="314">
        <f>$AF1993*AA1993</f>
        <v>0</v>
      </c>
      <c r="AA1993" s="69">
        <v>0.13</v>
      </c>
      <c r="AB1993" s="314">
        <f>$AF1993*AC1993</f>
        <v>0</v>
      </c>
      <c r="AC1993" s="69">
        <v>0.05</v>
      </c>
      <c r="AD1993" s="118">
        <f>$AF1993*AE1993</f>
        <v>0</v>
      </c>
      <c r="AE1993" s="69">
        <v>0.02</v>
      </c>
      <c r="AF1993" s="87">
        <f>'Terms and Turnovers'!P209</f>
        <v>0</v>
      </c>
      <c r="AG1993" s="160">
        <f>SUM(U1993,W1993,Y1993,AA1993,AC1993,AE1993)</f>
        <v>1</v>
      </c>
      <c r="AH1993" s="157">
        <f>SUM(R1993,AF1993)</f>
        <v>0</v>
      </c>
      <c r="AI1993" s="131">
        <f>S1993+AG1993</f>
        <v>2</v>
      </c>
      <c r="AJ1993" s="65"/>
      <c r="AV1993" s="56"/>
    </row>
    <row r="1994" spans="1:48" ht="13.5" customHeight="1" outlineLevel="2" thickBot="1">
      <c r="B1994" s="82"/>
      <c r="C1994" s="1234"/>
      <c r="D1994" s="1234"/>
      <c r="E1994" s="84" t="str">
        <f>'Terms and Turnovers'!$T$12</f>
        <v>ORIGINALS</v>
      </c>
      <c r="F1994" s="121">
        <f>$R1994*G1994</f>
        <v>0</v>
      </c>
      <c r="G1994" s="723"/>
      <c r="H1994" s="121">
        <f>$R1994*I1994</f>
        <v>0</v>
      </c>
      <c r="I1994" s="69">
        <v>7.0000000000000007E-2</v>
      </c>
      <c r="J1994" s="120">
        <f>$R1994*K1994</f>
        <v>0</v>
      </c>
      <c r="K1994" s="69">
        <v>0.31</v>
      </c>
      <c r="L1994" s="120">
        <f>$R1994*M1994</f>
        <v>0</v>
      </c>
      <c r="M1994" s="69">
        <v>0.35</v>
      </c>
      <c r="N1994" s="315">
        <f>$R1994*O1994</f>
        <v>0</v>
      </c>
      <c r="O1994" s="69">
        <v>0.17</v>
      </c>
      <c r="P1994" s="121">
        <f>$R1994*Q1994</f>
        <v>0</v>
      </c>
      <c r="Q1994" s="69">
        <v>0.1</v>
      </c>
      <c r="R1994" s="88">
        <f>'Terms and Turnovers'!U209</f>
        <v>0</v>
      </c>
      <c r="S1994" s="161">
        <f>SUM(G1994,I1994,K1994,M1994,O1994,Q1994)</f>
        <v>1</v>
      </c>
      <c r="T1994" s="121">
        <f>$AF1994*U1994</f>
        <v>0</v>
      </c>
      <c r="U1994" s="723">
        <v>0</v>
      </c>
      <c r="V1994" s="120">
        <f>$AF1994*W1994</f>
        <v>0</v>
      </c>
      <c r="W1994" s="69">
        <v>0.15</v>
      </c>
      <c r="X1994" s="120">
        <f>$AF1994*Y1994</f>
        <v>0</v>
      </c>
      <c r="Y1994" s="69">
        <v>0.6</v>
      </c>
      <c r="Z1994" s="120">
        <f>$AF1994*AA1994</f>
        <v>0</v>
      </c>
      <c r="AA1994" s="69">
        <v>0.25</v>
      </c>
      <c r="AB1994" s="315">
        <f>$AF1994*AC1994</f>
        <v>0</v>
      </c>
      <c r="AC1994" s="69">
        <v>0</v>
      </c>
      <c r="AD1994" s="120">
        <f>$AF1994*AE1994</f>
        <v>0</v>
      </c>
      <c r="AE1994" s="69">
        <v>0</v>
      </c>
      <c r="AF1994" s="88">
        <f>'Terms and Turnovers'!Z209</f>
        <v>0</v>
      </c>
      <c r="AG1994" s="161">
        <f>SUM(U1994,W1994,Y1994,AA1994,AC1994,AE1994)</f>
        <v>1</v>
      </c>
      <c r="AH1994" s="158">
        <f>SUM(R1994,AF1994)</f>
        <v>0</v>
      </c>
      <c r="AI1994" s="134">
        <f>S1994+AG1994</f>
        <v>2</v>
      </c>
      <c r="AJ1994" s="65"/>
      <c r="AV1994" s="56"/>
    </row>
    <row r="1995" spans="1:48" ht="13.5" customHeight="1" outlineLevel="2" thickBot="1">
      <c r="B1995" s="82"/>
      <c r="C1995" s="1234"/>
      <c r="D1995" s="1234"/>
      <c r="E1995" s="84" t="str">
        <f>'Terms and Turnovers'!$AD$12</f>
        <v>ACCESSORIES</v>
      </c>
      <c r="F1995" s="121">
        <f>$R1995*G1995</f>
        <v>0</v>
      </c>
      <c r="G1995" s="723"/>
      <c r="H1995" s="121">
        <f>$R1995*I1995</f>
        <v>0</v>
      </c>
      <c r="I1995" s="69">
        <v>7.0000000000000007E-2</v>
      </c>
      <c r="J1995" s="120">
        <f>$R1995*K1995</f>
        <v>0</v>
      </c>
      <c r="K1995" s="69">
        <v>0.31</v>
      </c>
      <c r="L1995" s="120">
        <f>$R1995*M1995</f>
        <v>0</v>
      </c>
      <c r="M1995" s="69">
        <v>0.35</v>
      </c>
      <c r="N1995" s="315">
        <f>$R1995*O1995</f>
        <v>0</v>
      </c>
      <c r="O1995" s="69">
        <v>0.17</v>
      </c>
      <c r="P1995" s="121">
        <f>$R1995*Q1995</f>
        <v>0</v>
      </c>
      <c r="Q1995" s="69">
        <v>0.1</v>
      </c>
      <c r="R1995" s="88">
        <f>'Terms and Turnovers'!AE209</f>
        <v>0</v>
      </c>
      <c r="S1995" s="161">
        <f>SUM(G1995,I1995,K1995,M1995,O1995,Q1995)</f>
        <v>1</v>
      </c>
      <c r="T1995" s="121">
        <f>$AF1995*U1995</f>
        <v>0</v>
      </c>
      <c r="U1995" s="723">
        <v>0</v>
      </c>
      <c r="V1995" s="120">
        <f>$AF1995*W1995</f>
        <v>0</v>
      </c>
      <c r="W1995" s="69">
        <v>0.15</v>
      </c>
      <c r="X1995" s="120">
        <f>$AF1995*Y1995</f>
        <v>0</v>
      </c>
      <c r="Y1995" s="69">
        <v>0.6</v>
      </c>
      <c r="Z1995" s="120">
        <f>$AF1995*AA1995</f>
        <v>0</v>
      </c>
      <c r="AA1995" s="69">
        <v>0.25</v>
      </c>
      <c r="AB1995" s="315">
        <f>$AF1995*AC1995</f>
        <v>0</v>
      </c>
      <c r="AC1995" s="69">
        <v>0</v>
      </c>
      <c r="AD1995" s="120">
        <f>$AF1995*AE1995</f>
        <v>0</v>
      </c>
      <c r="AE1995" s="69">
        <v>0</v>
      </c>
      <c r="AF1995" s="88">
        <f>'Terms and Turnovers'!AJ209</f>
        <v>0</v>
      </c>
      <c r="AG1995" s="161">
        <f>SUM(U1995,W1995,Y1995,AA1995,AC1995,AE1995)</f>
        <v>1</v>
      </c>
      <c r="AH1995" s="158">
        <f>SUM(R1995,AF1995)</f>
        <v>0</v>
      </c>
      <c r="AI1995" s="134">
        <f>S1995+AG1995</f>
        <v>2</v>
      </c>
      <c r="AJ1995" s="65"/>
      <c r="AV1995" s="56"/>
    </row>
    <row r="1996" spans="1:48" ht="13.5" customHeight="1" outlineLevel="2" thickBot="1">
      <c r="B1996" s="82"/>
      <c r="C1996" s="1234"/>
      <c r="D1996" s="1234"/>
      <c r="E1996" s="84">
        <f>'Terms and Turnovers'!$AN$12</f>
        <v>0</v>
      </c>
      <c r="F1996" s="121">
        <f>$R1996*G1996</f>
        <v>0</v>
      </c>
      <c r="G1996" s="723"/>
      <c r="H1996" s="121">
        <f>$R1996*I1996</f>
        <v>0</v>
      </c>
      <c r="I1996" s="69">
        <v>7.0000000000000007E-2</v>
      </c>
      <c r="J1996" s="120">
        <f>$R1996*K1996</f>
        <v>0</v>
      </c>
      <c r="K1996" s="69">
        <v>0.31</v>
      </c>
      <c r="L1996" s="120">
        <f>$R1996*M1996</f>
        <v>0</v>
      </c>
      <c r="M1996" s="69">
        <v>0.35</v>
      </c>
      <c r="N1996" s="315">
        <f>$R1996*O1996</f>
        <v>0</v>
      </c>
      <c r="O1996" s="69">
        <v>0.17</v>
      </c>
      <c r="P1996" s="121">
        <f>$R1996*Q1996</f>
        <v>0</v>
      </c>
      <c r="Q1996" s="69">
        <v>0.1</v>
      </c>
      <c r="R1996" s="88">
        <f>'Terms and Turnovers'!AO209</f>
        <v>0</v>
      </c>
      <c r="S1996" s="161">
        <f>SUM(G1996,I1996,K1996,M1996,O1996,Q1996)</f>
        <v>1</v>
      </c>
      <c r="T1996" s="121">
        <f>$AF1996*U1996</f>
        <v>0</v>
      </c>
      <c r="U1996" s="723">
        <v>0</v>
      </c>
      <c r="V1996" s="120">
        <f>$AF1996*W1996</f>
        <v>0</v>
      </c>
      <c r="W1996" s="69">
        <v>0.4</v>
      </c>
      <c r="X1996" s="120">
        <f>$AF1996*Y1996</f>
        <v>0</v>
      </c>
      <c r="Y1996" s="69">
        <v>0.35</v>
      </c>
      <c r="Z1996" s="120">
        <f>$AF1996*AA1996</f>
        <v>0</v>
      </c>
      <c r="AA1996" s="69">
        <v>0.13</v>
      </c>
      <c r="AB1996" s="315">
        <f>$AF1996*AC1996</f>
        <v>0</v>
      </c>
      <c r="AC1996" s="69">
        <v>0.05</v>
      </c>
      <c r="AD1996" s="120">
        <f>$AF1996*AE1996</f>
        <v>0</v>
      </c>
      <c r="AE1996" s="69">
        <v>0.02</v>
      </c>
      <c r="AF1996" s="88">
        <f>'Terms and Turnovers'!AT209</f>
        <v>0</v>
      </c>
      <c r="AG1996" s="161">
        <f>SUM(U1996,W1996,Y1996,AA1996,AC1996,AE1996)</f>
        <v>0.95000000000000007</v>
      </c>
      <c r="AH1996" s="158">
        <f>SUM(R1996,AF1996)</f>
        <v>0</v>
      </c>
      <c r="AI1996" s="134">
        <f>S1996+AG1996</f>
        <v>1.9500000000000002</v>
      </c>
      <c r="AJ1996" s="65"/>
      <c r="AV1996" s="56"/>
    </row>
    <row r="1997" spans="1:48" ht="13.5" customHeight="1" outlineLevel="2" thickBot="1">
      <c r="B1997" s="82"/>
      <c r="C1997" s="1235"/>
      <c r="D1997" s="1235"/>
      <c r="E1997" s="85">
        <f>'Terms and Turnovers'!$AX$12</f>
        <v>0</v>
      </c>
      <c r="F1997" s="121">
        <f>$R1997*G1997</f>
        <v>0</v>
      </c>
      <c r="G1997" s="72"/>
      <c r="H1997" s="121">
        <f>$R1997*I1997</f>
        <v>0</v>
      </c>
      <c r="I1997" s="69">
        <v>7.0000000000000007E-2</v>
      </c>
      <c r="J1997" s="121">
        <f>$R1997*K1997</f>
        <v>0</v>
      </c>
      <c r="K1997" s="69">
        <v>0.31</v>
      </c>
      <c r="L1997" s="121">
        <f>$R1997*M1997</f>
        <v>0</v>
      </c>
      <c r="M1997" s="69">
        <v>0.35</v>
      </c>
      <c r="N1997" s="316">
        <f>$R1997*O1997</f>
        <v>0</v>
      </c>
      <c r="O1997" s="69">
        <v>0.17</v>
      </c>
      <c r="P1997" s="121">
        <f>$R1997*Q1997</f>
        <v>0</v>
      </c>
      <c r="Q1997" s="69">
        <v>0.1</v>
      </c>
      <c r="R1997" s="89">
        <f>'Terms and Turnovers'!AY209</f>
        <v>0</v>
      </c>
      <c r="S1997" s="162">
        <f>SUM(G1997,I1997,K1997,M1997,O1997,Q1997)</f>
        <v>1</v>
      </c>
      <c r="T1997" s="121">
        <f>$AF1997*U1997</f>
        <v>0</v>
      </c>
      <c r="U1997" s="72">
        <v>0</v>
      </c>
      <c r="V1997" s="121">
        <f>$AF1997*W1997</f>
        <v>0</v>
      </c>
      <c r="W1997" s="69">
        <v>0.4</v>
      </c>
      <c r="X1997" s="121">
        <f>$AF1997*Y1997</f>
        <v>0</v>
      </c>
      <c r="Y1997" s="69">
        <v>0.35</v>
      </c>
      <c r="Z1997" s="121">
        <f>$AF1997*AA1997</f>
        <v>0</v>
      </c>
      <c r="AA1997" s="69">
        <v>0.13</v>
      </c>
      <c r="AB1997" s="316">
        <f>$AF1997*AC1997</f>
        <v>0</v>
      </c>
      <c r="AC1997" s="69">
        <v>0.05</v>
      </c>
      <c r="AD1997" s="121">
        <f>$AF1997*AE1997</f>
        <v>0</v>
      </c>
      <c r="AE1997" s="69">
        <v>0.02</v>
      </c>
      <c r="AF1997" s="89">
        <f>'Terms and Turnovers'!BD209</f>
        <v>0</v>
      </c>
      <c r="AG1997" s="162">
        <f>SUM(U1997,W1997,Y1997,AA1997,AC1997,AE1997)</f>
        <v>0.95000000000000007</v>
      </c>
      <c r="AH1997" s="159">
        <f>SUM(R1997,AF1997)</f>
        <v>0</v>
      </c>
      <c r="AI1997" s="137">
        <f>S1997+AG1997</f>
        <v>1.9500000000000002</v>
      </c>
      <c r="AJ1997" s="65"/>
      <c r="AV1997" s="56"/>
    </row>
    <row r="1998" spans="1:48" ht="13.5" customHeight="1" outlineLevel="2" thickBot="1">
      <c r="A1998" s="119"/>
      <c r="B1998" s="82"/>
      <c r="C1998" s="425"/>
      <c r="D1998" s="425"/>
      <c r="E1998" s="426"/>
      <c r="F1998" s="427">
        <f>SUM(F1993:F1997)</f>
        <v>0</v>
      </c>
      <c r="G1998" s="428"/>
      <c r="H1998" s="427">
        <f>SUM(H1993:H1997)</f>
        <v>0</v>
      </c>
      <c r="I1998" s="69"/>
      <c r="J1998" s="427">
        <f>SUM(J1993:J1997)</f>
        <v>0</v>
      </c>
      <c r="K1998" s="69"/>
      <c r="L1998" s="427">
        <f>SUM(L1993:L1997)</f>
        <v>0</v>
      </c>
      <c r="M1998" s="69"/>
      <c r="N1998" s="427">
        <f>SUM(N1993:N1997)</f>
        <v>0</v>
      </c>
      <c r="O1998" s="69"/>
      <c r="P1998" s="427">
        <f>SUM(P1993:P1997)</f>
        <v>0</v>
      </c>
      <c r="Q1998" s="69"/>
      <c r="R1998" s="429"/>
      <c r="S1998" s="430"/>
      <c r="T1998" s="427">
        <f>SUM(T1993:T1997)</f>
        <v>0</v>
      </c>
      <c r="U1998" s="428"/>
      <c r="V1998" s="427">
        <f>SUM(V1993:V1997)</f>
        <v>0</v>
      </c>
      <c r="W1998" s="69"/>
      <c r="X1998" s="427">
        <f>SUM(X1993:X1997)</f>
        <v>0</v>
      </c>
      <c r="Y1998" s="69"/>
      <c r="Z1998" s="427">
        <f>SUM(Z1993:Z1997)</f>
        <v>0</v>
      </c>
      <c r="AA1998" s="69"/>
      <c r="AB1998" s="427">
        <f>SUM(AB1993:AB1997)</f>
        <v>0</v>
      </c>
      <c r="AC1998" s="69"/>
      <c r="AD1998" s="427">
        <f>SUM(AD1993:AD1997)</f>
        <v>0</v>
      </c>
      <c r="AE1998" s="69"/>
      <c r="AF1998" s="429"/>
      <c r="AG1998" s="430"/>
      <c r="AH1998" s="431"/>
      <c r="AI1998" s="432"/>
      <c r="AJ1998" s="65"/>
      <c r="AV1998" s="56"/>
    </row>
    <row r="1999" spans="1:48" ht="13.5" customHeight="1" outlineLevel="2" thickBot="1">
      <c r="A1999" s="119"/>
      <c r="B1999" s="82"/>
      <c r="C1999" s="433" t="s">
        <v>484</v>
      </c>
      <c r="D1999" s="433"/>
      <c r="E1999" s="426"/>
      <c r="F1999" s="434">
        <f>F1998</f>
        <v>0</v>
      </c>
      <c r="G1999" s="428"/>
      <c r="H1999" s="434">
        <f>H1998</f>
        <v>0</v>
      </c>
      <c r="I1999" s="69"/>
      <c r="J1999" s="434">
        <f>J1998</f>
        <v>0</v>
      </c>
      <c r="K1999" s="69"/>
      <c r="L1999" s="434">
        <f>L1998</f>
        <v>0</v>
      </c>
      <c r="M1999" s="69"/>
      <c r="N1999" s="434">
        <f>N1998</f>
        <v>0</v>
      </c>
      <c r="O1999" s="69"/>
      <c r="P1999" s="434">
        <f>P1998</f>
        <v>0</v>
      </c>
      <c r="Q1999" s="69"/>
      <c r="R1999" s="429"/>
      <c r="S1999" s="430"/>
      <c r="T1999" s="434">
        <f>T1997</f>
        <v>0</v>
      </c>
      <c r="U1999" s="428"/>
      <c r="V1999" s="434">
        <f>V1998</f>
        <v>0</v>
      </c>
      <c r="W1999" s="69"/>
      <c r="X1999" s="434">
        <f>X1998</f>
        <v>0</v>
      </c>
      <c r="Y1999" s="69">
        <f>W1997*0.3+Y1997*0.7</f>
        <v>0.36499999999999999</v>
      </c>
      <c r="Z1999" s="434">
        <f>Z1998</f>
        <v>0</v>
      </c>
      <c r="AA1999" s="69">
        <f>Y1997*0.3+AA1997*0.7</f>
        <v>0.19600000000000001</v>
      </c>
      <c r="AB1999" s="434">
        <f>AB1998</f>
        <v>0</v>
      </c>
      <c r="AC1999" s="69">
        <f>AA1997*0.3+AC1997*0.7</f>
        <v>7.3999999999999996E-2</v>
      </c>
      <c r="AD1999" s="434">
        <f>AD1998</f>
        <v>0</v>
      </c>
      <c r="AE1999" s="69"/>
      <c r="AF1999" s="429"/>
      <c r="AG1999" s="430"/>
      <c r="AH1999" s="431"/>
      <c r="AI1999" s="432"/>
      <c r="AJ1999" s="65"/>
      <c r="AV1999" s="56"/>
    </row>
    <row r="2000" spans="1:48" ht="13.5" customHeight="1" outlineLevel="2" thickBot="1">
      <c r="B2000" s="82">
        <f>B1993+1</f>
        <v>79</v>
      </c>
      <c r="C2000" s="1233">
        <f>C559</f>
        <v>0</v>
      </c>
      <c r="D2000" s="1233">
        <f>D559</f>
        <v>0</v>
      </c>
      <c r="E2000" s="83" t="str">
        <f>'Terms and Turnovers'!$J$12</f>
        <v>FLIP-FLOPS</v>
      </c>
      <c r="F2000" s="121">
        <f>$R2000*G2000</f>
        <v>0</v>
      </c>
      <c r="G2000" s="69"/>
      <c r="H2000" s="316">
        <f>$R2000*I2000</f>
        <v>0</v>
      </c>
      <c r="I2000" s="69">
        <v>7.0000000000000007E-2</v>
      </c>
      <c r="J2000" s="118">
        <f>$R2000*K2000</f>
        <v>0</v>
      </c>
      <c r="K2000" s="69">
        <v>0.31</v>
      </c>
      <c r="L2000" s="314">
        <f>$R2000*M2000</f>
        <v>0</v>
      </c>
      <c r="M2000" s="69">
        <v>0.35</v>
      </c>
      <c r="N2000" s="314">
        <f>$R2000*O2000</f>
        <v>0</v>
      </c>
      <c r="O2000" s="69">
        <v>0.17</v>
      </c>
      <c r="P2000" s="121">
        <f>$R2000*Q2000</f>
        <v>0</v>
      </c>
      <c r="Q2000" s="69">
        <v>0.1</v>
      </c>
      <c r="R2000" s="87">
        <f>'Terms and Turnovers'!K210</f>
        <v>0</v>
      </c>
      <c r="S2000" s="160">
        <f>SUM(G2000,I2000,K2000,M2000,O2000,Q2000)</f>
        <v>1</v>
      </c>
      <c r="T2000" s="121">
        <f>$AF2000*U2000</f>
        <v>0</v>
      </c>
      <c r="U2000" s="69">
        <v>0</v>
      </c>
      <c r="V2000" s="314">
        <f>$AF2000*W2000</f>
        <v>0</v>
      </c>
      <c r="W2000" s="69">
        <v>0.37</v>
      </c>
      <c r="X2000" s="118">
        <f>$AF2000*Y2000</f>
        <v>0</v>
      </c>
      <c r="Y2000" s="69">
        <v>0.43</v>
      </c>
      <c r="Z2000" s="314">
        <f>$AF2000*AA2000</f>
        <v>0</v>
      </c>
      <c r="AA2000" s="69">
        <v>0.13</v>
      </c>
      <c r="AB2000" s="314">
        <f>$AF2000*AC2000</f>
        <v>0</v>
      </c>
      <c r="AC2000" s="69">
        <v>0.05</v>
      </c>
      <c r="AD2000" s="118">
        <f>$AF2000*AE2000</f>
        <v>0</v>
      </c>
      <c r="AE2000" s="69">
        <v>0.02</v>
      </c>
      <c r="AF2000" s="87">
        <f>'Terms and Turnovers'!P210</f>
        <v>0</v>
      </c>
      <c r="AG2000" s="160">
        <f>SUM(U2000,W2000,Y2000,AA2000,AC2000,AE2000)</f>
        <v>1</v>
      </c>
      <c r="AH2000" s="157">
        <f>SUM(R2000,AF2000)</f>
        <v>0</v>
      </c>
      <c r="AI2000" s="131">
        <f>S2000+AG2000</f>
        <v>2</v>
      </c>
      <c r="AJ2000" s="65"/>
      <c r="AV2000" s="56"/>
    </row>
    <row r="2001" spans="1:48" ht="13.5" customHeight="1" outlineLevel="2" thickBot="1">
      <c r="B2001" s="82"/>
      <c r="C2001" s="1234"/>
      <c r="D2001" s="1234"/>
      <c r="E2001" s="84" t="str">
        <f>'Terms and Turnovers'!$T$12</f>
        <v>ORIGINALS</v>
      </c>
      <c r="F2001" s="121">
        <f>$R2001*G2001</f>
        <v>0</v>
      </c>
      <c r="G2001" s="723"/>
      <c r="H2001" s="121">
        <f>$R2001*I2001</f>
        <v>0</v>
      </c>
      <c r="I2001" s="69">
        <v>7.0000000000000007E-2</v>
      </c>
      <c r="J2001" s="120">
        <f>$R2001*K2001</f>
        <v>0</v>
      </c>
      <c r="K2001" s="69">
        <v>0.31</v>
      </c>
      <c r="L2001" s="120">
        <f>$R2001*M2001</f>
        <v>0</v>
      </c>
      <c r="M2001" s="69">
        <v>0.35</v>
      </c>
      <c r="N2001" s="315">
        <f>$R2001*O2001</f>
        <v>0</v>
      </c>
      <c r="O2001" s="69">
        <v>0.17</v>
      </c>
      <c r="P2001" s="121">
        <f>$R2001*Q2001</f>
        <v>0</v>
      </c>
      <c r="Q2001" s="69">
        <v>0.1</v>
      </c>
      <c r="R2001" s="88">
        <f>'Terms and Turnovers'!U210</f>
        <v>0</v>
      </c>
      <c r="S2001" s="161">
        <f>SUM(G2001,I2001,K2001,M2001,O2001,Q2001)</f>
        <v>1</v>
      </c>
      <c r="T2001" s="121">
        <f>$AF2001*U2001</f>
        <v>0</v>
      </c>
      <c r="U2001" s="723">
        <v>0</v>
      </c>
      <c r="V2001" s="120">
        <f>$AF2001*W2001</f>
        <v>0</v>
      </c>
      <c r="W2001" s="69">
        <v>0.15</v>
      </c>
      <c r="X2001" s="120">
        <f>$AF2001*Y2001</f>
        <v>0</v>
      </c>
      <c r="Y2001" s="69">
        <v>0.6</v>
      </c>
      <c r="Z2001" s="120">
        <f>$AF2001*AA2001</f>
        <v>0</v>
      </c>
      <c r="AA2001" s="69">
        <v>0.25</v>
      </c>
      <c r="AB2001" s="315">
        <f>$AF2001*AC2001</f>
        <v>0</v>
      </c>
      <c r="AC2001" s="69">
        <v>0</v>
      </c>
      <c r="AD2001" s="120">
        <f>$AF2001*AE2001</f>
        <v>0</v>
      </c>
      <c r="AE2001" s="69">
        <v>0</v>
      </c>
      <c r="AF2001" s="88">
        <f>'Terms and Turnovers'!Z210</f>
        <v>0</v>
      </c>
      <c r="AG2001" s="161">
        <f>SUM(U2001,W2001,Y2001,AA2001,AC2001,AE2001)</f>
        <v>1</v>
      </c>
      <c r="AH2001" s="158">
        <f>SUM(R2001,AF2001)</f>
        <v>0</v>
      </c>
      <c r="AI2001" s="134">
        <f>S2001+AG2001</f>
        <v>2</v>
      </c>
      <c r="AJ2001" s="65"/>
      <c r="AV2001" s="56"/>
    </row>
    <row r="2002" spans="1:48" ht="13.5" customHeight="1" outlineLevel="2" thickBot="1">
      <c r="B2002" s="82"/>
      <c r="C2002" s="1234"/>
      <c r="D2002" s="1234"/>
      <c r="E2002" s="84" t="str">
        <f>'Terms and Turnovers'!$AD$12</f>
        <v>ACCESSORIES</v>
      </c>
      <c r="F2002" s="121">
        <f>$R2002*G2002</f>
        <v>0</v>
      </c>
      <c r="G2002" s="723"/>
      <c r="H2002" s="121">
        <f>$R2002*I2002</f>
        <v>0</v>
      </c>
      <c r="I2002" s="69">
        <v>7.0000000000000007E-2</v>
      </c>
      <c r="J2002" s="120">
        <f>$R2002*K2002</f>
        <v>0</v>
      </c>
      <c r="K2002" s="69">
        <v>0.31</v>
      </c>
      <c r="L2002" s="120">
        <f>$R2002*M2002</f>
        <v>0</v>
      </c>
      <c r="M2002" s="69">
        <v>0.35</v>
      </c>
      <c r="N2002" s="315">
        <f>$R2002*O2002</f>
        <v>0</v>
      </c>
      <c r="O2002" s="69">
        <v>0.17</v>
      </c>
      <c r="P2002" s="121">
        <f>$R2002*Q2002</f>
        <v>0</v>
      </c>
      <c r="Q2002" s="69">
        <v>0.1</v>
      </c>
      <c r="R2002" s="88">
        <f>'Terms and Turnovers'!AE210</f>
        <v>0</v>
      </c>
      <c r="S2002" s="161">
        <f>SUM(G2002,I2002,K2002,M2002,O2002,Q2002)</f>
        <v>1</v>
      </c>
      <c r="T2002" s="121">
        <f>$AF2002*U2002</f>
        <v>0</v>
      </c>
      <c r="U2002" s="723">
        <v>0</v>
      </c>
      <c r="V2002" s="120">
        <f>$AF2002*W2002</f>
        <v>0</v>
      </c>
      <c r="W2002" s="69">
        <v>0.15</v>
      </c>
      <c r="X2002" s="120">
        <f>$AF2002*Y2002</f>
        <v>0</v>
      </c>
      <c r="Y2002" s="69">
        <v>0.6</v>
      </c>
      <c r="Z2002" s="120">
        <f>$AF2002*AA2002</f>
        <v>0</v>
      </c>
      <c r="AA2002" s="69">
        <v>0.25</v>
      </c>
      <c r="AB2002" s="315">
        <f>$AF2002*AC2002</f>
        <v>0</v>
      </c>
      <c r="AC2002" s="69">
        <v>0</v>
      </c>
      <c r="AD2002" s="120">
        <f>$AF2002*AE2002</f>
        <v>0</v>
      </c>
      <c r="AE2002" s="69">
        <v>0</v>
      </c>
      <c r="AF2002" s="88">
        <f>'Terms and Turnovers'!AJ210</f>
        <v>0</v>
      </c>
      <c r="AG2002" s="161">
        <f>SUM(U2002,W2002,Y2002,AA2002,AC2002,AE2002)</f>
        <v>1</v>
      </c>
      <c r="AH2002" s="158">
        <f>SUM(R2002,AF2002)</f>
        <v>0</v>
      </c>
      <c r="AI2002" s="134">
        <f>S2002+AG2002</f>
        <v>2</v>
      </c>
      <c r="AJ2002" s="65"/>
      <c r="AV2002" s="56"/>
    </row>
    <row r="2003" spans="1:48" ht="13.5" customHeight="1" outlineLevel="2" thickBot="1">
      <c r="B2003" s="82"/>
      <c r="C2003" s="1234"/>
      <c r="D2003" s="1234"/>
      <c r="E2003" s="84">
        <f>'Terms and Turnovers'!$AN$12</f>
        <v>0</v>
      </c>
      <c r="F2003" s="121">
        <f>$R2003*G2003</f>
        <v>0</v>
      </c>
      <c r="G2003" s="723"/>
      <c r="H2003" s="121">
        <f>$R2003*I2003</f>
        <v>0</v>
      </c>
      <c r="I2003" s="69">
        <v>7.0000000000000007E-2</v>
      </c>
      <c r="J2003" s="120">
        <f>$R2003*K2003</f>
        <v>0</v>
      </c>
      <c r="K2003" s="69">
        <v>0.31</v>
      </c>
      <c r="L2003" s="120">
        <f>$R2003*M2003</f>
        <v>0</v>
      </c>
      <c r="M2003" s="69">
        <v>0.35</v>
      </c>
      <c r="N2003" s="315">
        <f>$R2003*O2003</f>
        <v>0</v>
      </c>
      <c r="O2003" s="69">
        <v>0.17</v>
      </c>
      <c r="P2003" s="121">
        <f>$R2003*Q2003</f>
        <v>0</v>
      </c>
      <c r="Q2003" s="69">
        <v>0.1</v>
      </c>
      <c r="R2003" s="88">
        <f>'Terms and Turnovers'!AO210</f>
        <v>0</v>
      </c>
      <c r="S2003" s="161">
        <f>SUM(G2003,I2003,K2003,M2003,O2003,Q2003)</f>
        <v>1</v>
      </c>
      <c r="T2003" s="121">
        <f>$AF2003*U2003</f>
        <v>0</v>
      </c>
      <c r="U2003" s="723">
        <v>0</v>
      </c>
      <c r="V2003" s="120">
        <f>$AF2003*W2003</f>
        <v>0</v>
      </c>
      <c r="W2003" s="69">
        <v>0.4</v>
      </c>
      <c r="X2003" s="120">
        <f>$AF2003*Y2003</f>
        <v>0</v>
      </c>
      <c r="Y2003" s="69">
        <v>0.35</v>
      </c>
      <c r="Z2003" s="120">
        <f>$AF2003*AA2003</f>
        <v>0</v>
      </c>
      <c r="AA2003" s="69">
        <v>0.13</v>
      </c>
      <c r="AB2003" s="315">
        <f>$AF2003*AC2003</f>
        <v>0</v>
      </c>
      <c r="AC2003" s="69">
        <v>0.05</v>
      </c>
      <c r="AD2003" s="120">
        <f>$AF2003*AE2003</f>
        <v>0</v>
      </c>
      <c r="AE2003" s="69">
        <v>0.02</v>
      </c>
      <c r="AF2003" s="88">
        <f>'Terms and Turnovers'!AT210</f>
        <v>0</v>
      </c>
      <c r="AG2003" s="161">
        <f>SUM(U2003,W2003,Y2003,AA2003,AC2003,AE2003)</f>
        <v>0.95000000000000007</v>
      </c>
      <c r="AH2003" s="158">
        <f>SUM(R2003,AF2003)</f>
        <v>0</v>
      </c>
      <c r="AI2003" s="134">
        <f>S2003+AG2003</f>
        <v>1.9500000000000002</v>
      </c>
      <c r="AJ2003" s="65"/>
      <c r="AV2003" s="56"/>
    </row>
    <row r="2004" spans="1:48" ht="13.5" customHeight="1" outlineLevel="2" thickBot="1">
      <c r="B2004" s="82"/>
      <c r="C2004" s="1235"/>
      <c r="D2004" s="1235"/>
      <c r="E2004" s="85">
        <f>'Terms and Turnovers'!$AX$12</f>
        <v>0</v>
      </c>
      <c r="F2004" s="121">
        <f>$R2004*G2004</f>
        <v>0</v>
      </c>
      <c r="G2004" s="72"/>
      <c r="H2004" s="121">
        <f>$R2004*I2004</f>
        <v>0</v>
      </c>
      <c r="I2004" s="69">
        <v>7.0000000000000007E-2</v>
      </c>
      <c r="J2004" s="121">
        <f>$R2004*K2004</f>
        <v>0</v>
      </c>
      <c r="K2004" s="69">
        <v>0.31</v>
      </c>
      <c r="L2004" s="121">
        <f>$R2004*M2004</f>
        <v>0</v>
      </c>
      <c r="M2004" s="69">
        <v>0.35</v>
      </c>
      <c r="N2004" s="316">
        <f>$R2004*O2004</f>
        <v>0</v>
      </c>
      <c r="O2004" s="69">
        <v>0.17</v>
      </c>
      <c r="P2004" s="121">
        <f>$R2004*Q2004</f>
        <v>0</v>
      </c>
      <c r="Q2004" s="69">
        <v>0.1</v>
      </c>
      <c r="R2004" s="89">
        <f>'Terms and Turnovers'!AY210</f>
        <v>0</v>
      </c>
      <c r="S2004" s="162">
        <f>SUM(G2004,I2004,K2004,M2004,O2004,Q2004)</f>
        <v>1</v>
      </c>
      <c r="T2004" s="121">
        <f>$AF2004*U2004</f>
        <v>0</v>
      </c>
      <c r="U2004" s="72">
        <v>0</v>
      </c>
      <c r="V2004" s="121">
        <f>$AF2004*W2004</f>
        <v>0</v>
      </c>
      <c r="W2004" s="69">
        <v>0.4</v>
      </c>
      <c r="X2004" s="121">
        <f>$AF2004*Y2004</f>
        <v>0</v>
      </c>
      <c r="Y2004" s="69">
        <v>0.35</v>
      </c>
      <c r="Z2004" s="121">
        <f>$AF2004*AA2004</f>
        <v>0</v>
      </c>
      <c r="AA2004" s="69">
        <v>0.13</v>
      </c>
      <c r="AB2004" s="316">
        <f>$AF2004*AC2004</f>
        <v>0</v>
      </c>
      <c r="AC2004" s="69">
        <v>0.05</v>
      </c>
      <c r="AD2004" s="121">
        <f>$AF2004*AE2004</f>
        <v>0</v>
      </c>
      <c r="AE2004" s="69">
        <v>0.02</v>
      </c>
      <c r="AF2004" s="89">
        <f>'Terms and Turnovers'!BD210</f>
        <v>0</v>
      </c>
      <c r="AG2004" s="162">
        <f>SUM(U2004,W2004,Y2004,AA2004,AC2004,AE2004)</f>
        <v>0.95000000000000007</v>
      </c>
      <c r="AH2004" s="159">
        <f>SUM(R2004,AF2004)</f>
        <v>0</v>
      </c>
      <c r="AI2004" s="137">
        <f>S2004+AG2004</f>
        <v>1.9500000000000002</v>
      </c>
      <c r="AJ2004" s="65"/>
      <c r="AV2004" s="56"/>
    </row>
    <row r="2005" spans="1:48" ht="13.5" customHeight="1" outlineLevel="2" thickBot="1">
      <c r="A2005" s="119"/>
      <c r="B2005" s="82"/>
      <c r="C2005" s="425"/>
      <c r="D2005" s="425"/>
      <c r="E2005" s="426"/>
      <c r="F2005" s="427">
        <f>SUM(F2000:F2004)</f>
        <v>0</v>
      </c>
      <c r="G2005" s="428"/>
      <c r="H2005" s="427">
        <f>SUM(H2000:H2004)</f>
        <v>0</v>
      </c>
      <c r="I2005" s="69"/>
      <c r="J2005" s="427">
        <f>SUM(J2000:J2004)</f>
        <v>0</v>
      </c>
      <c r="K2005" s="69"/>
      <c r="L2005" s="427">
        <f>SUM(L2000:L2004)</f>
        <v>0</v>
      </c>
      <c r="M2005" s="69"/>
      <c r="N2005" s="427">
        <f>SUM(N2000:N2004)</f>
        <v>0</v>
      </c>
      <c r="O2005" s="69"/>
      <c r="P2005" s="427">
        <f>SUM(P2000:P2004)</f>
        <v>0</v>
      </c>
      <c r="Q2005" s="69"/>
      <c r="R2005" s="429"/>
      <c r="S2005" s="430"/>
      <c r="T2005" s="427">
        <f>SUM(T2000:T2004)</f>
        <v>0</v>
      </c>
      <c r="U2005" s="428"/>
      <c r="V2005" s="427">
        <f>SUM(V2000:V2004)</f>
        <v>0</v>
      </c>
      <c r="W2005" s="69"/>
      <c r="X2005" s="427">
        <f>SUM(X2000:X2004)</f>
        <v>0</v>
      </c>
      <c r="Y2005" s="69"/>
      <c r="Z2005" s="427">
        <f>SUM(Z2000:Z2004)</f>
        <v>0</v>
      </c>
      <c r="AA2005" s="69"/>
      <c r="AB2005" s="427">
        <f>SUM(AB2000:AB2004)</f>
        <v>0</v>
      </c>
      <c r="AC2005" s="69"/>
      <c r="AD2005" s="427">
        <f>SUM(AD2000:AD2004)</f>
        <v>0</v>
      </c>
      <c r="AE2005" s="69"/>
      <c r="AF2005" s="429"/>
      <c r="AG2005" s="430"/>
      <c r="AH2005" s="431"/>
      <c r="AI2005" s="432"/>
      <c r="AJ2005" s="65"/>
      <c r="AV2005" s="56"/>
    </row>
    <row r="2006" spans="1:48" ht="13.5" customHeight="1" outlineLevel="2" thickBot="1">
      <c r="A2006" s="119"/>
      <c r="B2006" s="82"/>
      <c r="C2006" s="433" t="s">
        <v>484</v>
      </c>
      <c r="D2006" s="433"/>
      <c r="E2006" s="426"/>
      <c r="F2006" s="434">
        <f>F2005</f>
        <v>0</v>
      </c>
      <c r="G2006" s="428"/>
      <c r="H2006" s="434">
        <f>H2005</f>
        <v>0</v>
      </c>
      <c r="I2006" s="69"/>
      <c r="J2006" s="434">
        <f>J2005</f>
        <v>0</v>
      </c>
      <c r="K2006" s="69"/>
      <c r="L2006" s="434">
        <f>L2005</f>
        <v>0</v>
      </c>
      <c r="M2006" s="69"/>
      <c r="N2006" s="434">
        <f>N2005</f>
        <v>0</v>
      </c>
      <c r="O2006" s="69"/>
      <c r="P2006" s="434">
        <f>P2005</f>
        <v>0</v>
      </c>
      <c r="Q2006" s="69"/>
      <c r="R2006" s="429"/>
      <c r="S2006" s="430"/>
      <c r="T2006" s="434">
        <f>T2004</f>
        <v>0</v>
      </c>
      <c r="U2006" s="428"/>
      <c r="V2006" s="434">
        <f>V2005</f>
        <v>0</v>
      </c>
      <c r="W2006" s="69"/>
      <c r="X2006" s="434">
        <f>X2005</f>
        <v>0</v>
      </c>
      <c r="Y2006" s="69">
        <f>W2004*0.3+Y2004*0.7</f>
        <v>0.36499999999999999</v>
      </c>
      <c r="Z2006" s="434">
        <f>Z2005</f>
        <v>0</v>
      </c>
      <c r="AA2006" s="69">
        <f>Y2004*0.3+AA2004*0.7</f>
        <v>0.19600000000000001</v>
      </c>
      <c r="AB2006" s="434">
        <f>AB2005</f>
        <v>0</v>
      </c>
      <c r="AC2006" s="69">
        <f>AA2004*0.3+AC2004*0.7</f>
        <v>7.3999999999999996E-2</v>
      </c>
      <c r="AD2006" s="434">
        <f>AD2005</f>
        <v>0</v>
      </c>
      <c r="AE2006" s="69"/>
      <c r="AF2006" s="429"/>
      <c r="AG2006" s="430"/>
      <c r="AH2006" s="431"/>
      <c r="AI2006" s="432"/>
      <c r="AJ2006" s="65"/>
      <c r="AV2006" s="56"/>
    </row>
    <row r="2007" spans="1:48" ht="13.5" customHeight="1" outlineLevel="2" thickBot="1">
      <c r="B2007" s="82">
        <f>B2000+1</f>
        <v>80</v>
      </c>
      <c r="C2007" s="1233">
        <f>C566</f>
        <v>0</v>
      </c>
      <c r="D2007" s="1233">
        <f>D566</f>
        <v>0</v>
      </c>
      <c r="E2007" s="83" t="str">
        <f>'Terms and Turnovers'!$J$12</f>
        <v>FLIP-FLOPS</v>
      </c>
      <c r="F2007" s="121">
        <f>$R2007*G2007</f>
        <v>0</v>
      </c>
      <c r="G2007" s="69"/>
      <c r="H2007" s="316">
        <f>$R2007*I2007</f>
        <v>0</v>
      </c>
      <c r="I2007" s="69">
        <v>7.0000000000000007E-2</v>
      </c>
      <c r="J2007" s="118">
        <f>$R2007*K2007</f>
        <v>0</v>
      </c>
      <c r="K2007" s="69">
        <v>0.31</v>
      </c>
      <c r="L2007" s="314">
        <f>$R2007*M2007</f>
        <v>0</v>
      </c>
      <c r="M2007" s="69">
        <v>0.35</v>
      </c>
      <c r="N2007" s="314">
        <f>$R2007*O2007</f>
        <v>0</v>
      </c>
      <c r="O2007" s="69">
        <v>0.17</v>
      </c>
      <c r="P2007" s="121">
        <f>$R2007*Q2007</f>
        <v>0</v>
      </c>
      <c r="Q2007" s="69">
        <v>0.1</v>
      </c>
      <c r="R2007" s="87">
        <f>'Terms and Turnovers'!K211</f>
        <v>0</v>
      </c>
      <c r="S2007" s="160">
        <f>SUM(G2007,I2007,K2007,M2007,O2007,Q2007)</f>
        <v>1</v>
      </c>
      <c r="T2007" s="118">
        <f>$AF2007*U2007</f>
        <v>0</v>
      </c>
      <c r="U2007" s="69">
        <v>0</v>
      </c>
      <c r="V2007" s="314">
        <f>$AF2007*W2007</f>
        <v>0</v>
      </c>
      <c r="W2007" s="69">
        <v>0.37</v>
      </c>
      <c r="X2007" s="118">
        <f>$AF2007*Y2007</f>
        <v>0</v>
      </c>
      <c r="Y2007" s="69">
        <v>0.43</v>
      </c>
      <c r="Z2007" s="314">
        <f>$AF2007*AA2007</f>
        <v>0</v>
      </c>
      <c r="AA2007" s="69">
        <v>0.13</v>
      </c>
      <c r="AB2007" s="314">
        <f>$AF2007*AC2007</f>
        <v>0</v>
      </c>
      <c r="AC2007" s="69">
        <v>0.05</v>
      </c>
      <c r="AD2007" s="118">
        <f>$AF2007*AE2007</f>
        <v>0</v>
      </c>
      <c r="AE2007" s="69">
        <v>0.02</v>
      </c>
      <c r="AF2007" s="87">
        <f>'Terms and Turnovers'!P211</f>
        <v>0</v>
      </c>
      <c r="AG2007" s="160">
        <f>SUM(U2007,W2007,Y2007,AA2007,AC2007,AE2007)</f>
        <v>1</v>
      </c>
      <c r="AH2007" s="157">
        <f>SUM(R2007,AF2007)</f>
        <v>0</v>
      </c>
      <c r="AI2007" s="131">
        <f>S2007+AG2007</f>
        <v>2</v>
      </c>
      <c r="AJ2007" s="65"/>
      <c r="AV2007" s="56"/>
    </row>
    <row r="2008" spans="1:48" ht="13.5" customHeight="1" outlineLevel="2" thickBot="1">
      <c r="B2008" s="82"/>
      <c r="C2008" s="1234"/>
      <c r="D2008" s="1234"/>
      <c r="E2008" s="84" t="str">
        <f>'Terms and Turnovers'!$T$12</f>
        <v>ORIGINALS</v>
      </c>
      <c r="F2008" s="121">
        <f>$R2008*G2008</f>
        <v>0</v>
      </c>
      <c r="G2008" s="723"/>
      <c r="H2008" s="121">
        <f>$R2008*I2008</f>
        <v>0</v>
      </c>
      <c r="I2008" s="69">
        <v>7.0000000000000007E-2</v>
      </c>
      <c r="J2008" s="120">
        <f>$R2008*K2008</f>
        <v>0</v>
      </c>
      <c r="K2008" s="69">
        <v>0.31</v>
      </c>
      <c r="L2008" s="120">
        <f>$R2008*M2008</f>
        <v>0</v>
      </c>
      <c r="M2008" s="69">
        <v>0.35</v>
      </c>
      <c r="N2008" s="315">
        <f>$R2008*O2008</f>
        <v>0</v>
      </c>
      <c r="O2008" s="69">
        <v>0.17</v>
      </c>
      <c r="P2008" s="121">
        <f>$R2008*Q2008</f>
        <v>0</v>
      </c>
      <c r="Q2008" s="69">
        <v>0.1</v>
      </c>
      <c r="R2008" s="88">
        <f>'Terms and Turnovers'!U211</f>
        <v>0</v>
      </c>
      <c r="S2008" s="161">
        <f>SUM(G2008,I2008,K2008,M2008,O2008,Q2008)</f>
        <v>1</v>
      </c>
      <c r="T2008" s="120">
        <f>$AF2008*U2008</f>
        <v>0</v>
      </c>
      <c r="U2008" s="723">
        <v>0</v>
      </c>
      <c r="V2008" s="120">
        <f>$AF2008*W2008</f>
        <v>0</v>
      </c>
      <c r="W2008" s="69">
        <v>0.15</v>
      </c>
      <c r="X2008" s="120">
        <f>$AF2008*Y2008</f>
        <v>0</v>
      </c>
      <c r="Y2008" s="69">
        <v>0.6</v>
      </c>
      <c r="Z2008" s="120">
        <f>$AF2008*AA2008</f>
        <v>0</v>
      </c>
      <c r="AA2008" s="69">
        <v>0.25</v>
      </c>
      <c r="AB2008" s="315">
        <f>$AF2008*AC2008</f>
        <v>0</v>
      </c>
      <c r="AC2008" s="69">
        <v>0</v>
      </c>
      <c r="AD2008" s="120">
        <f>$AF2008*AE2008</f>
        <v>0</v>
      </c>
      <c r="AE2008" s="69">
        <v>0</v>
      </c>
      <c r="AF2008" s="88">
        <f>'Terms and Turnovers'!Z211</f>
        <v>0</v>
      </c>
      <c r="AG2008" s="161">
        <f>SUM(U2008,W2008,Y2008,AA2008,AC2008,AE2008)</f>
        <v>1</v>
      </c>
      <c r="AH2008" s="158">
        <f>SUM(R2008,AF2008)</f>
        <v>0</v>
      </c>
      <c r="AI2008" s="134">
        <f>S2008+AG2008</f>
        <v>2</v>
      </c>
      <c r="AJ2008" s="65"/>
      <c r="AV2008" s="56"/>
    </row>
    <row r="2009" spans="1:48" ht="13.5" customHeight="1" outlineLevel="2" thickBot="1">
      <c r="B2009" s="82"/>
      <c r="C2009" s="1234"/>
      <c r="D2009" s="1234"/>
      <c r="E2009" s="84" t="str">
        <f>'Terms and Turnovers'!$AD$12</f>
        <v>ACCESSORIES</v>
      </c>
      <c r="F2009" s="121">
        <f>$R2009*G2009</f>
        <v>0</v>
      </c>
      <c r="G2009" s="723"/>
      <c r="H2009" s="121">
        <f>$R2009*I2009</f>
        <v>0</v>
      </c>
      <c r="I2009" s="69">
        <v>7.0000000000000007E-2</v>
      </c>
      <c r="J2009" s="120">
        <f>$R2009*K2009</f>
        <v>0</v>
      </c>
      <c r="K2009" s="69">
        <v>0.31</v>
      </c>
      <c r="L2009" s="120">
        <f>$R2009*M2009</f>
        <v>0</v>
      </c>
      <c r="M2009" s="69">
        <v>0.35</v>
      </c>
      <c r="N2009" s="315">
        <f>$R2009*O2009</f>
        <v>0</v>
      </c>
      <c r="O2009" s="69">
        <v>0.17</v>
      </c>
      <c r="P2009" s="121">
        <f>$R2009*Q2009</f>
        <v>0</v>
      </c>
      <c r="Q2009" s="69">
        <v>0.1</v>
      </c>
      <c r="R2009" s="88">
        <f>'Terms and Turnovers'!AE211</f>
        <v>0</v>
      </c>
      <c r="S2009" s="161">
        <f>SUM(G2009,I2009,K2009,M2009,O2009,Q2009)</f>
        <v>1</v>
      </c>
      <c r="T2009" s="120">
        <f>$AF2009*U2009</f>
        <v>0</v>
      </c>
      <c r="U2009" s="723">
        <v>0</v>
      </c>
      <c r="V2009" s="120">
        <f>$AF2009*W2009</f>
        <v>0</v>
      </c>
      <c r="W2009" s="69">
        <v>0.15</v>
      </c>
      <c r="X2009" s="120">
        <f>$AF2009*Y2009</f>
        <v>0</v>
      </c>
      <c r="Y2009" s="69">
        <v>0.6</v>
      </c>
      <c r="Z2009" s="120">
        <f>$AF2009*AA2009</f>
        <v>0</v>
      </c>
      <c r="AA2009" s="69">
        <v>0.25</v>
      </c>
      <c r="AB2009" s="315">
        <f>$AF2009*AC2009</f>
        <v>0</v>
      </c>
      <c r="AC2009" s="69">
        <v>0</v>
      </c>
      <c r="AD2009" s="120">
        <f>$AF2009*AE2009</f>
        <v>0</v>
      </c>
      <c r="AE2009" s="69">
        <v>0</v>
      </c>
      <c r="AF2009" s="88">
        <f>'Terms and Turnovers'!AJ211</f>
        <v>0</v>
      </c>
      <c r="AG2009" s="161">
        <f>SUM(U2009,W2009,Y2009,AA2009,AC2009,AE2009)</f>
        <v>1</v>
      </c>
      <c r="AH2009" s="158">
        <f>SUM(R2009,AF2009)</f>
        <v>0</v>
      </c>
      <c r="AI2009" s="134">
        <f>S2009+AG2009</f>
        <v>2</v>
      </c>
      <c r="AJ2009" s="65"/>
      <c r="AV2009" s="56"/>
    </row>
    <row r="2010" spans="1:48" ht="13.5" customHeight="1" outlineLevel="2" thickBot="1">
      <c r="B2010" s="82"/>
      <c r="C2010" s="1234"/>
      <c r="D2010" s="1234"/>
      <c r="E2010" s="84">
        <f>'Terms and Turnovers'!$AN$12</f>
        <v>0</v>
      </c>
      <c r="F2010" s="121">
        <f>$R2010*G2010</f>
        <v>0</v>
      </c>
      <c r="G2010" s="723"/>
      <c r="H2010" s="121">
        <f>$R2010*I2010</f>
        <v>0</v>
      </c>
      <c r="I2010" s="69">
        <v>7.0000000000000007E-2</v>
      </c>
      <c r="J2010" s="120">
        <f>$R2010*K2010</f>
        <v>0</v>
      </c>
      <c r="K2010" s="69">
        <v>0.31</v>
      </c>
      <c r="L2010" s="120">
        <f>$R2010*M2010</f>
        <v>0</v>
      </c>
      <c r="M2010" s="69">
        <v>0.35</v>
      </c>
      <c r="N2010" s="315">
        <f>$R2010*O2010</f>
        <v>0</v>
      </c>
      <c r="O2010" s="69">
        <v>0.17</v>
      </c>
      <c r="P2010" s="121">
        <f>$R2010*Q2010</f>
        <v>0</v>
      </c>
      <c r="Q2010" s="69">
        <v>0.1</v>
      </c>
      <c r="R2010" s="88">
        <f>'Terms and Turnovers'!AO211</f>
        <v>0</v>
      </c>
      <c r="S2010" s="161">
        <f>SUM(G2010,I2010,K2010,M2010,O2010,Q2010)</f>
        <v>1</v>
      </c>
      <c r="T2010" s="120">
        <f>$AF2010*U2010</f>
        <v>0</v>
      </c>
      <c r="U2010" s="723">
        <v>0</v>
      </c>
      <c r="V2010" s="120">
        <f>$AF2010*W2010</f>
        <v>0</v>
      </c>
      <c r="W2010" s="69">
        <v>0.4</v>
      </c>
      <c r="X2010" s="120">
        <f>$AF2010*Y2010</f>
        <v>0</v>
      </c>
      <c r="Y2010" s="69">
        <v>0.35</v>
      </c>
      <c r="Z2010" s="120">
        <f>$AF2010*AA2010</f>
        <v>0</v>
      </c>
      <c r="AA2010" s="69">
        <v>0.13</v>
      </c>
      <c r="AB2010" s="315">
        <f>$AF2010*AC2010</f>
        <v>0</v>
      </c>
      <c r="AC2010" s="69">
        <v>0.05</v>
      </c>
      <c r="AD2010" s="120">
        <f>$AF2010*AE2010</f>
        <v>0</v>
      </c>
      <c r="AE2010" s="69">
        <v>0.02</v>
      </c>
      <c r="AF2010" s="88">
        <f>'Terms and Turnovers'!AT211</f>
        <v>0</v>
      </c>
      <c r="AG2010" s="161">
        <f>SUM(U2010,W2010,Y2010,AA2010,AC2010,AE2010)</f>
        <v>0.95000000000000007</v>
      </c>
      <c r="AH2010" s="158">
        <f>SUM(R2010,AF2010)</f>
        <v>0</v>
      </c>
      <c r="AI2010" s="134">
        <f>S2010+AG2010</f>
        <v>1.9500000000000002</v>
      </c>
      <c r="AJ2010" s="65"/>
      <c r="AV2010" s="56"/>
    </row>
    <row r="2011" spans="1:48" ht="13.5" customHeight="1" outlineLevel="2" thickBot="1">
      <c r="B2011" s="82"/>
      <c r="C2011" s="1235"/>
      <c r="D2011" s="1235"/>
      <c r="E2011" s="85">
        <f>'Terms and Turnovers'!$AX$12</f>
        <v>0</v>
      </c>
      <c r="F2011" s="121">
        <f>$R2011*G2011</f>
        <v>0</v>
      </c>
      <c r="G2011" s="72"/>
      <c r="H2011" s="121">
        <f>$R2011*I2011</f>
        <v>0</v>
      </c>
      <c r="I2011" s="69">
        <v>7.0000000000000007E-2</v>
      </c>
      <c r="J2011" s="121">
        <f>$R2011*K2011</f>
        <v>0</v>
      </c>
      <c r="K2011" s="69">
        <v>0.31</v>
      </c>
      <c r="L2011" s="121">
        <f>$R2011*M2011</f>
        <v>0</v>
      </c>
      <c r="M2011" s="69">
        <v>0.35</v>
      </c>
      <c r="N2011" s="316">
        <f>$R2011*O2011</f>
        <v>0</v>
      </c>
      <c r="O2011" s="69">
        <v>0.17</v>
      </c>
      <c r="P2011" s="121">
        <f>$R2011*Q2011</f>
        <v>0</v>
      </c>
      <c r="Q2011" s="69">
        <v>0.1</v>
      </c>
      <c r="R2011" s="89">
        <f>'Terms and Turnovers'!AY211</f>
        <v>0</v>
      </c>
      <c r="S2011" s="162">
        <f>SUM(G2011,I2011,K2011,M2011,O2011,Q2011)</f>
        <v>1</v>
      </c>
      <c r="T2011" s="121">
        <f>$AF2011*U2011</f>
        <v>0</v>
      </c>
      <c r="U2011" s="72">
        <v>0</v>
      </c>
      <c r="V2011" s="121">
        <f>$AF2011*W2011</f>
        <v>0</v>
      </c>
      <c r="W2011" s="69">
        <v>0.4</v>
      </c>
      <c r="X2011" s="121">
        <f>$AF2011*Y2011</f>
        <v>0</v>
      </c>
      <c r="Y2011" s="69">
        <v>0.35</v>
      </c>
      <c r="Z2011" s="121">
        <f>$AF2011*AA2011</f>
        <v>0</v>
      </c>
      <c r="AA2011" s="69">
        <v>0.13</v>
      </c>
      <c r="AB2011" s="316">
        <f>$AF2011*AC2011</f>
        <v>0</v>
      </c>
      <c r="AC2011" s="69">
        <v>0.05</v>
      </c>
      <c r="AD2011" s="121">
        <f>$AF2011*AE2011</f>
        <v>0</v>
      </c>
      <c r="AE2011" s="69">
        <v>0.02</v>
      </c>
      <c r="AF2011" s="89">
        <f>'Terms and Turnovers'!BD211</f>
        <v>0</v>
      </c>
      <c r="AG2011" s="162">
        <f>SUM(U2011,W2011,Y2011,AA2011,AC2011,AE2011)</f>
        <v>0.95000000000000007</v>
      </c>
      <c r="AH2011" s="159">
        <f>SUM(R2011,AF2011)</f>
        <v>0</v>
      </c>
      <c r="AI2011" s="137">
        <f>S2011+AG2011</f>
        <v>1.9500000000000002</v>
      </c>
      <c r="AJ2011" s="65"/>
      <c r="AV2011" s="56"/>
    </row>
    <row r="2012" spans="1:48" ht="13.5" customHeight="1" outlineLevel="2" thickBot="1">
      <c r="A2012" s="119"/>
      <c r="B2012" s="82"/>
      <c r="C2012" s="425"/>
      <c r="D2012" s="425"/>
      <c r="E2012" s="426"/>
      <c r="F2012" s="427">
        <f>SUM(F2007:F2011)</f>
        <v>0</v>
      </c>
      <c r="G2012" s="428"/>
      <c r="H2012" s="427">
        <f>SUM(H2007:H2011)</f>
        <v>0</v>
      </c>
      <c r="I2012" s="69"/>
      <c r="J2012" s="427">
        <f>SUM(J2007:J2011)</f>
        <v>0</v>
      </c>
      <c r="K2012" s="69"/>
      <c r="L2012" s="427">
        <f>SUM(L2007:L2011)</f>
        <v>0</v>
      </c>
      <c r="M2012" s="69"/>
      <c r="N2012" s="427">
        <f>SUM(N2007:N2011)</f>
        <v>0</v>
      </c>
      <c r="O2012" s="69"/>
      <c r="P2012" s="427">
        <f>SUM(P2007:P2011)</f>
        <v>0</v>
      </c>
      <c r="Q2012" s="69"/>
      <c r="R2012" s="429"/>
      <c r="S2012" s="430"/>
      <c r="T2012" s="427">
        <f>SUM(T2007:T2011)</f>
        <v>0</v>
      </c>
      <c r="U2012" s="428"/>
      <c r="V2012" s="427">
        <f>SUM(V2007:V2011)</f>
        <v>0</v>
      </c>
      <c r="W2012" s="69"/>
      <c r="X2012" s="427">
        <f>SUM(X2007:X2011)</f>
        <v>0</v>
      </c>
      <c r="Y2012" s="69"/>
      <c r="Z2012" s="427">
        <f>SUM(Z2007:Z2011)</f>
        <v>0</v>
      </c>
      <c r="AA2012" s="69"/>
      <c r="AB2012" s="427">
        <f>SUM(AB2007:AB2011)</f>
        <v>0</v>
      </c>
      <c r="AC2012" s="69"/>
      <c r="AD2012" s="427">
        <f>SUM(AD2007:AD2011)</f>
        <v>0</v>
      </c>
      <c r="AE2012" s="69"/>
      <c r="AF2012" s="429"/>
      <c r="AG2012" s="430"/>
      <c r="AH2012" s="431"/>
      <c r="AI2012" s="432"/>
      <c r="AJ2012" s="65"/>
      <c r="AV2012" s="56"/>
    </row>
    <row r="2013" spans="1:48" ht="13.5" customHeight="1" outlineLevel="2" thickBot="1">
      <c r="A2013" s="119"/>
      <c r="B2013" s="82"/>
      <c r="C2013" s="433" t="s">
        <v>484</v>
      </c>
      <c r="D2013" s="433"/>
      <c r="E2013" s="426"/>
      <c r="F2013" s="434">
        <f>F2012</f>
        <v>0</v>
      </c>
      <c r="G2013" s="428"/>
      <c r="H2013" s="434">
        <f>H2012</f>
        <v>0</v>
      </c>
      <c r="I2013" s="69"/>
      <c r="J2013" s="434">
        <f>J2012</f>
        <v>0</v>
      </c>
      <c r="K2013" s="69"/>
      <c r="L2013" s="434">
        <f>L2012</f>
        <v>0</v>
      </c>
      <c r="M2013" s="69"/>
      <c r="N2013" s="434">
        <f>N2012</f>
        <v>0</v>
      </c>
      <c r="O2013" s="69"/>
      <c r="P2013" s="434">
        <f>P2012</f>
        <v>0</v>
      </c>
      <c r="Q2013" s="69"/>
      <c r="R2013" s="429"/>
      <c r="S2013" s="430"/>
      <c r="T2013" s="434">
        <f>T2011</f>
        <v>0</v>
      </c>
      <c r="U2013" s="428"/>
      <c r="V2013" s="434">
        <f>V2012</f>
        <v>0</v>
      </c>
      <c r="W2013" s="69"/>
      <c r="X2013" s="434">
        <f>X2012</f>
        <v>0</v>
      </c>
      <c r="Y2013" s="69">
        <f>W2011*0.3+Y2011*0.7</f>
        <v>0.36499999999999999</v>
      </c>
      <c r="Z2013" s="434">
        <f>Z2012</f>
        <v>0</v>
      </c>
      <c r="AA2013" s="69">
        <f>Y2011*0.3+AA2011*0.7</f>
        <v>0.19600000000000001</v>
      </c>
      <c r="AB2013" s="434">
        <f>AB2012</f>
        <v>0</v>
      </c>
      <c r="AC2013" s="69">
        <f>AA2011*0.3+AC2011*0.7</f>
        <v>7.3999999999999996E-2</v>
      </c>
      <c r="AD2013" s="434">
        <f>AD2012</f>
        <v>0</v>
      </c>
      <c r="AE2013" s="69"/>
      <c r="AF2013" s="429"/>
      <c r="AG2013" s="430"/>
      <c r="AH2013" s="431"/>
      <c r="AI2013" s="432"/>
      <c r="AJ2013" s="65"/>
      <c r="AV2013" s="56"/>
    </row>
    <row r="2014" spans="1:48" ht="13.5" customHeight="1" outlineLevel="2" thickBot="1">
      <c r="B2014" s="82">
        <f>B2007+1</f>
        <v>81</v>
      </c>
      <c r="C2014" s="1233">
        <f>C573</f>
        <v>0</v>
      </c>
      <c r="D2014" s="1233">
        <f>D573</f>
        <v>0</v>
      </c>
      <c r="E2014" s="83" t="str">
        <f>'Terms and Turnovers'!$J$12</f>
        <v>FLIP-FLOPS</v>
      </c>
      <c r="F2014" s="121">
        <f>$R2014*G2014</f>
        <v>0</v>
      </c>
      <c r="G2014" s="69"/>
      <c r="H2014" s="316">
        <f>$R2014*I2014</f>
        <v>0</v>
      </c>
      <c r="I2014" s="69">
        <v>7.0000000000000007E-2</v>
      </c>
      <c r="J2014" s="118">
        <f>$R2014*K2014</f>
        <v>0</v>
      </c>
      <c r="K2014" s="69">
        <v>0.31</v>
      </c>
      <c r="L2014" s="314">
        <f>$R2014*M2014</f>
        <v>0</v>
      </c>
      <c r="M2014" s="69">
        <v>0.35</v>
      </c>
      <c r="N2014" s="314">
        <f>$R2014*O2014</f>
        <v>0</v>
      </c>
      <c r="O2014" s="69">
        <v>0.17</v>
      </c>
      <c r="P2014" s="121">
        <f>$R2014*Q2014</f>
        <v>0</v>
      </c>
      <c r="Q2014" s="69">
        <v>0.1</v>
      </c>
      <c r="R2014" s="87">
        <f>'Terms and Turnovers'!K212</f>
        <v>0</v>
      </c>
      <c r="S2014" s="160">
        <f>SUM(G2014,I2014,K2014,M2014,O2014,Q2014)</f>
        <v>1</v>
      </c>
      <c r="T2014" s="118">
        <f>$AF2014*U2014</f>
        <v>0</v>
      </c>
      <c r="U2014" s="69">
        <v>0</v>
      </c>
      <c r="V2014" s="314">
        <f>$AF2014*W2014</f>
        <v>0</v>
      </c>
      <c r="W2014" s="69">
        <v>0.37</v>
      </c>
      <c r="X2014" s="118">
        <f>$AF2014*Y2014</f>
        <v>0</v>
      </c>
      <c r="Y2014" s="69">
        <v>0.43</v>
      </c>
      <c r="Z2014" s="314">
        <f>$AF2014*AA2014</f>
        <v>0</v>
      </c>
      <c r="AA2014" s="69">
        <v>0.13</v>
      </c>
      <c r="AB2014" s="314">
        <f>$AF2014*AC2014</f>
        <v>0</v>
      </c>
      <c r="AC2014" s="69">
        <v>0.05</v>
      </c>
      <c r="AD2014" s="118">
        <f>$AF2014*AE2014</f>
        <v>0</v>
      </c>
      <c r="AE2014" s="69">
        <v>0.02</v>
      </c>
      <c r="AF2014" s="87">
        <f>'Terms and Turnovers'!P212</f>
        <v>0</v>
      </c>
      <c r="AG2014" s="160">
        <f>SUM(U2014,W2014,Y2014,AA2014,AC2014,AE2014)</f>
        <v>1</v>
      </c>
      <c r="AH2014" s="157">
        <f>SUM(R2014,AF2014)</f>
        <v>0</v>
      </c>
      <c r="AI2014" s="131">
        <f>S2014+AG2014</f>
        <v>2</v>
      </c>
      <c r="AJ2014" s="65"/>
      <c r="AV2014" s="56"/>
    </row>
    <row r="2015" spans="1:48" ht="13.5" customHeight="1" outlineLevel="2" thickBot="1">
      <c r="B2015" s="82"/>
      <c r="C2015" s="1234"/>
      <c r="D2015" s="1234"/>
      <c r="E2015" s="84" t="str">
        <f>'Terms and Turnovers'!$T$12</f>
        <v>ORIGINALS</v>
      </c>
      <c r="F2015" s="121">
        <f>$R2015*G2015</f>
        <v>0</v>
      </c>
      <c r="G2015" s="723"/>
      <c r="H2015" s="121">
        <f>$R2015*I2015</f>
        <v>0</v>
      </c>
      <c r="I2015" s="69">
        <v>7.0000000000000007E-2</v>
      </c>
      <c r="J2015" s="120">
        <f>$R2015*K2015</f>
        <v>0</v>
      </c>
      <c r="K2015" s="69">
        <v>0.31</v>
      </c>
      <c r="L2015" s="120">
        <f>$R2015*M2015</f>
        <v>0</v>
      </c>
      <c r="M2015" s="69">
        <v>0.35</v>
      </c>
      <c r="N2015" s="315">
        <f>$R2015*O2015</f>
        <v>0</v>
      </c>
      <c r="O2015" s="69">
        <v>0.17</v>
      </c>
      <c r="P2015" s="121">
        <f>$R2015*Q2015</f>
        <v>0</v>
      </c>
      <c r="Q2015" s="69">
        <v>0.1</v>
      </c>
      <c r="R2015" s="88">
        <f>'Terms and Turnovers'!U212</f>
        <v>0</v>
      </c>
      <c r="S2015" s="161">
        <f>SUM(G2015,I2015,K2015,M2015,O2015,Q2015)</f>
        <v>1</v>
      </c>
      <c r="T2015" s="120">
        <f>$AF2015*U2015</f>
        <v>0</v>
      </c>
      <c r="U2015" s="723">
        <v>0</v>
      </c>
      <c r="V2015" s="120">
        <f>$AF2015*W2015</f>
        <v>0</v>
      </c>
      <c r="W2015" s="69">
        <v>0.15</v>
      </c>
      <c r="X2015" s="120">
        <f>$AF2015*Y2015</f>
        <v>0</v>
      </c>
      <c r="Y2015" s="69">
        <v>0.6</v>
      </c>
      <c r="Z2015" s="120">
        <f>$AF2015*AA2015</f>
        <v>0</v>
      </c>
      <c r="AA2015" s="69">
        <v>0.25</v>
      </c>
      <c r="AB2015" s="315">
        <f>$AF2015*AC2015</f>
        <v>0</v>
      </c>
      <c r="AC2015" s="69">
        <v>0</v>
      </c>
      <c r="AD2015" s="120">
        <f>$AF2015*AE2015</f>
        <v>0</v>
      </c>
      <c r="AE2015" s="69">
        <v>0</v>
      </c>
      <c r="AF2015" s="88">
        <f>'Terms and Turnovers'!Z212</f>
        <v>0</v>
      </c>
      <c r="AG2015" s="161">
        <f>SUM(U2015,W2015,Y2015,AA2015,AC2015,AE2015)</f>
        <v>1</v>
      </c>
      <c r="AH2015" s="158">
        <f>SUM(R2015,AF2015)</f>
        <v>0</v>
      </c>
      <c r="AI2015" s="134">
        <f>S2015+AG2015</f>
        <v>2</v>
      </c>
      <c r="AJ2015" s="65"/>
      <c r="AV2015" s="56"/>
    </row>
    <row r="2016" spans="1:48" ht="13.5" customHeight="1" outlineLevel="2" thickBot="1">
      <c r="B2016" s="82"/>
      <c r="C2016" s="1234"/>
      <c r="D2016" s="1234"/>
      <c r="E2016" s="84" t="str">
        <f>'Terms and Turnovers'!$AD$12</f>
        <v>ACCESSORIES</v>
      </c>
      <c r="F2016" s="121">
        <f>$R2016*G2016</f>
        <v>0</v>
      </c>
      <c r="G2016" s="723"/>
      <c r="H2016" s="121">
        <f>$R2016*I2016</f>
        <v>0</v>
      </c>
      <c r="I2016" s="69">
        <v>7.0000000000000007E-2</v>
      </c>
      <c r="J2016" s="120">
        <f>$R2016*K2016</f>
        <v>0</v>
      </c>
      <c r="K2016" s="69">
        <v>0.31</v>
      </c>
      <c r="L2016" s="120">
        <f>$R2016*M2016</f>
        <v>0</v>
      </c>
      <c r="M2016" s="69">
        <v>0.35</v>
      </c>
      <c r="N2016" s="315">
        <f>$R2016*O2016</f>
        <v>0</v>
      </c>
      <c r="O2016" s="69">
        <v>0.17</v>
      </c>
      <c r="P2016" s="121">
        <f>$R2016*Q2016</f>
        <v>0</v>
      </c>
      <c r="Q2016" s="69">
        <v>0.1</v>
      </c>
      <c r="R2016" s="88">
        <f>'Terms and Turnovers'!AE212</f>
        <v>0</v>
      </c>
      <c r="S2016" s="161">
        <f>SUM(G2016,I2016,K2016,M2016,O2016,Q2016)</f>
        <v>1</v>
      </c>
      <c r="T2016" s="120">
        <f>$AF2016*U2016</f>
        <v>0</v>
      </c>
      <c r="U2016" s="723">
        <v>0</v>
      </c>
      <c r="V2016" s="120">
        <f>$AF2016*W2016</f>
        <v>0</v>
      </c>
      <c r="W2016" s="69">
        <v>0.15</v>
      </c>
      <c r="X2016" s="120">
        <f>$AF2016*Y2016</f>
        <v>0</v>
      </c>
      <c r="Y2016" s="69">
        <v>0.6</v>
      </c>
      <c r="Z2016" s="120">
        <f>$AF2016*AA2016</f>
        <v>0</v>
      </c>
      <c r="AA2016" s="69">
        <v>0.25</v>
      </c>
      <c r="AB2016" s="315">
        <f>$AF2016*AC2016</f>
        <v>0</v>
      </c>
      <c r="AC2016" s="69">
        <v>0</v>
      </c>
      <c r="AD2016" s="120">
        <f>$AF2016*AE2016</f>
        <v>0</v>
      </c>
      <c r="AE2016" s="69">
        <v>0</v>
      </c>
      <c r="AF2016" s="88">
        <f>'Terms and Turnovers'!AJ212</f>
        <v>0</v>
      </c>
      <c r="AG2016" s="161">
        <f>SUM(U2016,W2016,Y2016,AA2016,AC2016,AE2016)</f>
        <v>1</v>
      </c>
      <c r="AH2016" s="158">
        <f>SUM(R2016,AF2016)</f>
        <v>0</v>
      </c>
      <c r="AI2016" s="134">
        <f>S2016+AG2016</f>
        <v>2</v>
      </c>
      <c r="AJ2016" s="65"/>
      <c r="AV2016" s="56"/>
    </row>
    <row r="2017" spans="1:48" ht="13.5" customHeight="1" outlineLevel="2" thickBot="1">
      <c r="B2017" s="82"/>
      <c r="C2017" s="1234"/>
      <c r="D2017" s="1234"/>
      <c r="E2017" s="84">
        <f>'Terms and Turnovers'!$AN$12</f>
        <v>0</v>
      </c>
      <c r="F2017" s="121">
        <f>$R2017*G2017</f>
        <v>0</v>
      </c>
      <c r="G2017" s="723"/>
      <c r="H2017" s="121">
        <f>$R2017*I2017</f>
        <v>0</v>
      </c>
      <c r="I2017" s="69">
        <v>7.0000000000000007E-2</v>
      </c>
      <c r="J2017" s="120">
        <f>$R2017*K2017</f>
        <v>0</v>
      </c>
      <c r="K2017" s="69">
        <v>0.31</v>
      </c>
      <c r="L2017" s="120">
        <f>$R2017*M2017</f>
        <v>0</v>
      </c>
      <c r="M2017" s="69">
        <v>0.35</v>
      </c>
      <c r="N2017" s="315">
        <f>$R2017*O2017</f>
        <v>0</v>
      </c>
      <c r="O2017" s="69">
        <v>0.17</v>
      </c>
      <c r="P2017" s="121">
        <f>$R2017*Q2017</f>
        <v>0</v>
      </c>
      <c r="Q2017" s="69">
        <v>0.1</v>
      </c>
      <c r="R2017" s="88">
        <f>'Terms and Turnovers'!AO212</f>
        <v>0</v>
      </c>
      <c r="S2017" s="161">
        <f>SUM(G2017,I2017,K2017,M2017,O2017,Q2017)</f>
        <v>1</v>
      </c>
      <c r="T2017" s="120">
        <f>$AF2017*U2017</f>
        <v>0</v>
      </c>
      <c r="U2017" s="723">
        <v>0</v>
      </c>
      <c r="V2017" s="120">
        <f>$AF2017*W2017</f>
        <v>0</v>
      </c>
      <c r="W2017" s="69">
        <v>0.4</v>
      </c>
      <c r="X2017" s="120">
        <f>$AF2017*Y2017</f>
        <v>0</v>
      </c>
      <c r="Y2017" s="69">
        <v>0.35</v>
      </c>
      <c r="Z2017" s="120">
        <f>$AF2017*AA2017</f>
        <v>0</v>
      </c>
      <c r="AA2017" s="69">
        <v>0.13</v>
      </c>
      <c r="AB2017" s="315">
        <f>$AF2017*AC2017</f>
        <v>0</v>
      </c>
      <c r="AC2017" s="69">
        <v>0.05</v>
      </c>
      <c r="AD2017" s="120">
        <f>$AF2017*AE2017</f>
        <v>0</v>
      </c>
      <c r="AE2017" s="69">
        <v>0.02</v>
      </c>
      <c r="AF2017" s="88">
        <f>'Terms and Turnovers'!AT212</f>
        <v>0</v>
      </c>
      <c r="AG2017" s="161">
        <f>SUM(U2017,W2017,Y2017,AA2017,AC2017,AE2017)</f>
        <v>0.95000000000000007</v>
      </c>
      <c r="AH2017" s="158">
        <f>SUM(R2017,AF2017)</f>
        <v>0</v>
      </c>
      <c r="AI2017" s="134">
        <f>S2017+AG2017</f>
        <v>1.9500000000000002</v>
      </c>
      <c r="AJ2017" s="65"/>
      <c r="AV2017" s="56"/>
    </row>
    <row r="2018" spans="1:48" ht="13.5" customHeight="1" outlineLevel="2" thickBot="1">
      <c r="B2018" s="82"/>
      <c r="C2018" s="1235"/>
      <c r="D2018" s="1235"/>
      <c r="E2018" s="85">
        <f>'Terms and Turnovers'!$AX$12</f>
        <v>0</v>
      </c>
      <c r="F2018" s="121">
        <f>$R2018*G2018</f>
        <v>0</v>
      </c>
      <c r="G2018" s="72"/>
      <c r="H2018" s="121">
        <f>$R2018*I2018</f>
        <v>0</v>
      </c>
      <c r="I2018" s="69">
        <v>7.0000000000000007E-2</v>
      </c>
      <c r="J2018" s="121">
        <f>$R2018*K2018</f>
        <v>0</v>
      </c>
      <c r="K2018" s="69">
        <v>0.31</v>
      </c>
      <c r="L2018" s="121">
        <f>$R2018*M2018</f>
        <v>0</v>
      </c>
      <c r="M2018" s="69">
        <v>0.35</v>
      </c>
      <c r="N2018" s="316">
        <f>$R2018*O2018</f>
        <v>0</v>
      </c>
      <c r="O2018" s="69">
        <v>0.17</v>
      </c>
      <c r="P2018" s="121">
        <f>$R2018*Q2018</f>
        <v>0</v>
      </c>
      <c r="Q2018" s="69">
        <v>0.1</v>
      </c>
      <c r="R2018" s="89">
        <f>'Terms and Turnovers'!AY212</f>
        <v>0</v>
      </c>
      <c r="S2018" s="162">
        <f>SUM(G2018,I2018,K2018,M2018,O2018,Q2018)</f>
        <v>1</v>
      </c>
      <c r="T2018" s="121">
        <f>$AF2018*U2018</f>
        <v>0</v>
      </c>
      <c r="U2018" s="72">
        <v>0</v>
      </c>
      <c r="V2018" s="121">
        <f>$AF2018*W2018</f>
        <v>0</v>
      </c>
      <c r="W2018" s="69">
        <v>0.4</v>
      </c>
      <c r="X2018" s="121">
        <f>$AF2018*Y2018</f>
        <v>0</v>
      </c>
      <c r="Y2018" s="69">
        <v>0.35</v>
      </c>
      <c r="Z2018" s="121">
        <f>$AF2018*AA2018</f>
        <v>0</v>
      </c>
      <c r="AA2018" s="69">
        <v>0.13</v>
      </c>
      <c r="AB2018" s="316">
        <f>$AF2018*AC2018</f>
        <v>0</v>
      </c>
      <c r="AC2018" s="69">
        <v>0.05</v>
      </c>
      <c r="AD2018" s="121">
        <f>$AF2018*AE2018</f>
        <v>0</v>
      </c>
      <c r="AE2018" s="69">
        <v>0.02</v>
      </c>
      <c r="AF2018" s="89">
        <f>'Terms and Turnovers'!BD212</f>
        <v>0</v>
      </c>
      <c r="AG2018" s="162">
        <f>SUM(U2018,W2018,Y2018,AA2018,AC2018,AE2018)</f>
        <v>0.95000000000000007</v>
      </c>
      <c r="AH2018" s="159">
        <f>SUM(R2018,AF2018)</f>
        <v>0</v>
      </c>
      <c r="AI2018" s="137">
        <f>S2018+AG2018</f>
        <v>1.9500000000000002</v>
      </c>
      <c r="AJ2018" s="65"/>
      <c r="AV2018" s="56"/>
    </row>
    <row r="2019" spans="1:48" ht="13.5" customHeight="1" outlineLevel="2" thickBot="1">
      <c r="A2019" s="119"/>
      <c r="B2019" s="82"/>
      <c r="C2019" s="425"/>
      <c r="D2019" s="425"/>
      <c r="E2019" s="426"/>
      <c r="F2019" s="427">
        <f>SUM(F2014:F2018)</f>
        <v>0</v>
      </c>
      <c r="G2019" s="428"/>
      <c r="H2019" s="427">
        <f>SUM(H2014:H2018)</f>
        <v>0</v>
      </c>
      <c r="I2019" s="69"/>
      <c r="J2019" s="427">
        <f>SUM(J2014:J2018)</f>
        <v>0</v>
      </c>
      <c r="K2019" s="69"/>
      <c r="L2019" s="427">
        <f>SUM(L2014:L2018)</f>
        <v>0</v>
      </c>
      <c r="M2019" s="69"/>
      <c r="N2019" s="427">
        <f>SUM(N2014:N2018)</f>
        <v>0</v>
      </c>
      <c r="O2019" s="69"/>
      <c r="P2019" s="427">
        <f>SUM(P2014:P2018)</f>
        <v>0</v>
      </c>
      <c r="Q2019" s="69"/>
      <c r="R2019" s="429"/>
      <c r="S2019" s="430"/>
      <c r="T2019" s="427">
        <f>SUM(T2014:T2018)</f>
        <v>0</v>
      </c>
      <c r="U2019" s="428"/>
      <c r="V2019" s="427">
        <f>SUM(V2014:V2018)</f>
        <v>0</v>
      </c>
      <c r="W2019" s="69"/>
      <c r="X2019" s="427">
        <f>SUM(X2014:X2018)</f>
        <v>0</v>
      </c>
      <c r="Y2019" s="69"/>
      <c r="Z2019" s="427">
        <f>SUM(Z2014:Z2018)</f>
        <v>0</v>
      </c>
      <c r="AA2019" s="69"/>
      <c r="AB2019" s="427">
        <f>SUM(AB2014:AB2018)</f>
        <v>0</v>
      </c>
      <c r="AC2019" s="69"/>
      <c r="AD2019" s="427">
        <f>SUM(AD2014:AD2018)</f>
        <v>0</v>
      </c>
      <c r="AE2019" s="69"/>
      <c r="AF2019" s="429"/>
      <c r="AG2019" s="430"/>
      <c r="AH2019" s="431"/>
      <c r="AI2019" s="432"/>
      <c r="AJ2019" s="65"/>
      <c r="AV2019" s="56"/>
    </row>
    <row r="2020" spans="1:48" ht="13.5" customHeight="1" outlineLevel="2" thickBot="1">
      <c r="A2020" s="119"/>
      <c r="B2020" s="82"/>
      <c r="C2020" s="433" t="s">
        <v>484</v>
      </c>
      <c r="D2020" s="433"/>
      <c r="E2020" s="426"/>
      <c r="F2020" s="434">
        <f>F2019</f>
        <v>0</v>
      </c>
      <c r="G2020" s="428"/>
      <c r="H2020" s="434">
        <f>H2019</f>
        <v>0</v>
      </c>
      <c r="I2020" s="69"/>
      <c r="J2020" s="434">
        <f>J2019</f>
        <v>0</v>
      </c>
      <c r="K2020" s="69"/>
      <c r="L2020" s="434">
        <f>L2019</f>
        <v>0</v>
      </c>
      <c r="M2020" s="69"/>
      <c r="N2020" s="434">
        <f>N2019</f>
        <v>0</v>
      </c>
      <c r="O2020" s="69"/>
      <c r="P2020" s="434">
        <f>P2019</f>
        <v>0</v>
      </c>
      <c r="Q2020" s="69"/>
      <c r="R2020" s="429"/>
      <c r="S2020" s="430"/>
      <c r="T2020" s="434">
        <f>T2018</f>
        <v>0</v>
      </c>
      <c r="U2020" s="428"/>
      <c r="V2020" s="434">
        <f>V2019</f>
        <v>0</v>
      </c>
      <c r="W2020" s="69"/>
      <c r="X2020" s="434">
        <f>X2019</f>
        <v>0</v>
      </c>
      <c r="Y2020" s="69">
        <f>W2018*0.3+Y2018*0.7</f>
        <v>0.36499999999999999</v>
      </c>
      <c r="Z2020" s="434">
        <f>Z2019</f>
        <v>0</v>
      </c>
      <c r="AA2020" s="69">
        <f>Y2018*0.3+AA2018*0.7</f>
        <v>0.19600000000000001</v>
      </c>
      <c r="AB2020" s="434">
        <f>AB2019</f>
        <v>0</v>
      </c>
      <c r="AC2020" s="69">
        <f>AA2018*0.3+AC2018*0.7</f>
        <v>7.3999999999999996E-2</v>
      </c>
      <c r="AD2020" s="434">
        <f>AD2019</f>
        <v>0</v>
      </c>
      <c r="AE2020" s="69"/>
      <c r="AF2020" s="429"/>
      <c r="AG2020" s="430"/>
      <c r="AH2020" s="431"/>
      <c r="AI2020" s="432"/>
      <c r="AJ2020" s="65"/>
      <c r="AV2020" s="56"/>
    </row>
    <row r="2021" spans="1:48" ht="13.5" customHeight="1" outlineLevel="2" thickBot="1">
      <c r="B2021" s="82">
        <f>B2014+1</f>
        <v>82</v>
      </c>
      <c r="C2021" s="1233">
        <f>C580</f>
        <v>0</v>
      </c>
      <c r="D2021" s="1233">
        <f>D580</f>
        <v>0</v>
      </c>
      <c r="E2021" s="83" t="str">
        <f>'Terms and Turnovers'!$J$12</f>
        <v>FLIP-FLOPS</v>
      </c>
      <c r="F2021" s="121">
        <f>$R2021*G2021</f>
        <v>0</v>
      </c>
      <c r="G2021" s="69"/>
      <c r="H2021" s="316">
        <f>$R2021*I2021</f>
        <v>0</v>
      </c>
      <c r="I2021" s="69">
        <v>7.0000000000000007E-2</v>
      </c>
      <c r="J2021" s="118">
        <f>$R2021*K2021</f>
        <v>0</v>
      </c>
      <c r="K2021" s="69">
        <v>0.31</v>
      </c>
      <c r="L2021" s="314">
        <f>$R2021*M2021</f>
        <v>0</v>
      </c>
      <c r="M2021" s="69">
        <v>0.35</v>
      </c>
      <c r="N2021" s="314">
        <f>$R2021*O2021</f>
        <v>0</v>
      </c>
      <c r="O2021" s="69">
        <v>0.17</v>
      </c>
      <c r="P2021" s="121">
        <f>$R2021*Q2021</f>
        <v>0</v>
      </c>
      <c r="Q2021" s="69">
        <v>0.1</v>
      </c>
      <c r="R2021" s="87">
        <f>'Terms and Turnovers'!K213</f>
        <v>0</v>
      </c>
      <c r="S2021" s="160">
        <f>SUM(G2021,I2021,K2021,M2021,O2021,Q2021)</f>
        <v>1</v>
      </c>
      <c r="T2021" s="118">
        <f>$AF2021*U2021</f>
        <v>0</v>
      </c>
      <c r="U2021" s="69">
        <v>0</v>
      </c>
      <c r="V2021" s="314">
        <f>$AF2021*W2021</f>
        <v>0</v>
      </c>
      <c r="W2021" s="69">
        <v>0.37</v>
      </c>
      <c r="X2021" s="118">
        <f>$AF2021*Y2021</f>
        <v>0</v>
      </c>
      <c r="Y2021" s="69">
        <v>0.43</v>
      </c>
      <c r="Z2021" s="314">
        <f>$AF2021*AA2021</f>
        <v>0</v>
      </c>
      <c r="AA2021" s="69">
        <v>0.13</v>
      </c>
      <c r="AB2021" s="314">
        <f>$AF2021*AC2021</f>
        <v>0</v>
      </c>
      <c r="AC2021" s="69">
        <v>0.05</v>
      </c>
      <c r="AD2021" s="118">
        <f>$AF2021*AE2021</f>
        <v>0</v>
      </c>
      <c r="AE2021" s="69">
        <v>0.02</v>
      </c>
      <c r="AF2021" s="87">
        <f>'Terms and Turnovers'!P213</f>
        <v>0</v>
      </c>
      <c r="AG2021" s="160">
        <f>SUM(U2021,W2021,Y2021,AA2021,AC2021,AE2021)</f>
        <v>1</v>
      </c>
      <c r="AH2021" s="157">
        <f>SUM(R2021,AF2021)</f>
        <v>0</v>
      </c>
      <c r="AI2021" s="131">
        <f>S2021+AG2021</f>
        <v>2</v>
      </c>
      <c r="AJ2021" s="65"/>
      <c r="AV2021" s="56"/>
    </row>
    <row r="2022" spans="1:48" ht="13.5" customHeight="1" outlineLevel="2" thickBot="1">
      <c r="B2022" s="82"/>
      <c r="C2022" s="1234"/>
      <c r="D2022" s="1234"/>
      <c r="E2022" s="84" t="str">
        <f>'Terms and Turnovers'!$T$12</f>
        <v>ORIGINALS</v>
      </c>
      <c r="F2022" s="121">
        <f>$R2022*G2022</f>
        <v>0</v>
      </c>
      <c r="G2022" s="723"/>
      <c r="H2022" s="121">
        <f>$R2022*I2022</f>
        <v>0</v>
      </c>
      <c r="I2022" s="69">
        <v>7.0000000000000007E-2</v>
      </c>
      <c r="J2022" s="120">
        <f>$R2022*K2022</f>
        <v>0</v>
      </c>
      <c r="K2022" s="69">
        <v>0.31</v>
      </c>
      <c r="L2022" s="120">
        <f>$R2022*M2022</f>
        <v>0</v>
      </c>
      <c r="M2022" s="69">
        <v>0.35</v>
      </c>
      <c r="N2022" s="315">
        <f>$R2022*O2022</f>
        <v>0</v>
      </c>
      <c r="O2022" s="69">
        <v>0.17</v>
      </c>
      <c r="P2022" s="121">
        <f>$R2022*Q2022</f>
        <v>0</v>
      </c>
      <c r="Q2022" s="69">
        <v>0.1</v>
      </c>
      <c r="R2022" s="88">
        <f>'Terms and Turnovers'!U213</f>
        <v>0</v>
      </c>
      <c r="S2022" s="161">
        <f>SUM(G2022,I2022,K2022,M2022,O2022,Q2022)</f>
        <v>1</v>
      </c>
      <c r="T2022" s="120">
        <f>$AF2022*U2022</f>
        <v>0</v>
      </c>
      <c r="U2022" s="723">
        <v>0</v>
      </c>
      <c r="V2022" s="120">
        <f>$AF2022*W2022</f>
        <v>0</v>
      </c>
      <c r="W2022" s="69">
        <v>0.15</v>
      </c>
      <c r="X2022" s="120">
        <f>$AF2022*Y2022</f>
        <v>0</v>
      </c>
      <c r="Y2022" s="69">
        <v>0.6</v>
      </c>
      <c r="Z2022" s="120">
        <f>$AF2022*AA2022</f>
        <v>0</v>
      </c>
      <c r="AA2022" s="69">
        <v>0.25</v>
      </c>
      <c r="AB2022" s="315">
        <f>$AF2022*AC2022</f>
        <v>0</v>
      </c>
      <c r="AC2022" s="69">
        <v>0</v>
      </c>
      <c r="AD2022" s="120">
        <f>$AF2022*AE2022</f>
        <v>0</v>
      </c>
      <c r="AE2022" s="69">
        <v>0</v>
      </c>
      <c r="AF2022" s="88">
        <f>'Terms and Turnovers'!Z213</f>
        <v>0</v>
      </c>
      <c r="AG2022" s="161">
        <f>SUM(U2022,W2022,Y2022,AA2022,AC2022,AE2022)</f>
        <v>1</v>
      </c>
      <c r="AH2022" s="158">
        <f>SUM(R2022,AF2022)</f>
        <v>0</v>
      </c>
      <c r="AI2022" s="134">
        <f>S2022+AG2022</f>
        <v>2</v>
      </c>
      <c r="AJ2022" s="65"/>
      <c r="AV2022" s="56"/>
    </row>
    <row r="2023" spans="1:48" ht="13.5" customHeight="1" outlineLevel="2" thickBot="1">
      <c r="B2023" s="82"/>
      <c r="C2023" s="1234"/>
      <c r="D2023" s="1234"/>
      <c r="E2023" s="84" t="str">
        <f>'Terms and Turnovers'!$AD$12</f>
        <v>ACCESSORIES</v>
      </c>
      <c r="F2023" s="121">
        <f>$R2023*G2023</f>
        <v>0</v>
      </c>
      <c r="G2023" s="723"/>
      <c r="H2023" s="121">
        <f>$R2023*I2023</f>
        <v>0</v>
      </c>
      <c r="I2023" s="69">
        <v>7.0000000000000007E-2</v>
      </c>
      <c r="J2023" s="120">
        <f>$R2023*K2023</f>
        <v>0</v>
      </c>
      <c r="K2023" s="69">
        <v>0.31</v>
      </c>
      <c r="L2023" s="120">
        <f>$R2023*M2023</f>
        <v>0</v>
      </c>
      <c r="M2023" s="69">
        <v>0.35</v>
      </c>
      <c r="N2023" s="315">
        <f>$R2023*O2023</f>
        <v>0</v>
      </c>
      <c r="O2023" s="69">
        <v>0.17</v>
      </c>
      <c r="P2023" s="121">
        <f>$R2023*Q2023</f>
        <v>0</v>
      </c>
      <c r="Q2023" s="69">
        <v>0.1</v>
      </c>
      <c r="R2023" s="88">
        <f>'Terms and Turnovers'!AE213</f>
        <v>0</v>
      </c>
      <c r="S2023" s="161">
        <f>SUM(G2023,I2023,K2023,M2023,O2023,Q2023)</f>
        <v>1</v>
      </c>
      <c r="T2023" s="120">
        <f>$AF2023*U2023</f>
        <v>0</v>
      </c>
      <c r="U2023" s="723">
        <v>0</v>
      </c>
      <c r="V2023" s="120">
        <f>$AF2023*W2023</f>
        <v>0</v>
      </c>
      <c r="W2023" s="69">
        <v>0.15</v>
      </c>
      <c r="X2023" s="120">
        <f>$AF2023*Y2023</f>
        <v>0</v>
      </c>
      <c r="Y2023" s="69">
        <v>0.6</v>
      </c>
      <c r="Z2023" s="120">
        <f>$AF2023*AA2023</f>
        <v>0</v>
      </c>
      <c r="AA2023" s="69">
        <v>0.25</v>
      </c>
      <c r="AB2023" s="315">
        <f>$AF2023*AC2023</f>
        <v>0</v>
      </c>
      <c r="AC2023" s="69">
        <v>0</v>
      </c>
      <c r="AD2023" s="120">
        <f>$AF2023*AE2023</f>
        <v>0</v>
      </c>
      <c r="AE2023" s="69">
        <v>0</v>
      </c>
      <c r="AF2023" s="88">
        <f>'Terms and Turnovers'!AJ213</f>
        <v>0</v>
      </c>
      <c r="AG2023" s="161">
        <f>SUM(U2023,W2023,Y2023,AA2023,AC2023,AE2023)</f>
        <v>1</v>
      </c>
      <c r="AH2023" s="158">
        <f>SUM(R2023,AF2023)</f>
        <v>0</v>
      </c>
      <c r="AI2023" s="134">
        <f>S2023+AG2023</f>
        <v>2</v>
      </c>
      <c r="AJ2023" s="65"/>
      <c r="AV2023" s="56"/>
    </row>
    <row r="2024" spans="1:48" ht="13.5" customHeight="1" outlineLevel="2" thickBot="1">
      <c r="B2024" s="82"/>
      <c r="C2024" s="1234"/>
      <c r="D2024" s="1234"/>
      <c r="E2024" s="84">
        <f>'Terms and Turnovers'!$AN$12</f>
        <v>0</v>
      </c>
      <c r="F2024" s="121">
        <f>$R2025*G2025</f>
        <v>0</v>
      </c>
      <c r="G2024" s="723"/>
      <c r="H2024" s="121">
        <f>$R2025*I2025</f>
        <v>0</v>
      </c>
      <c r="I2024" s="69">
        <v>7.0000000000000007E-2</v>
      </c>
      <c r="J2024" s="120">
        <f>$R2025*K2025</f>
        <v>0</v>
      </c>
      <c r="K2024" s="69">
        <v>0.31</v>
      </c>
      <c r="L2024" s="120">
        <f>$R2025*M2025</f>
        <v>0</v>
      </c>
      <c r="M2024" s="69">
        <v>0.35</v>
      </c>
      <c r="N2024" s="315">
        <f>$R2025*O2025</f>
        <v>0</v>
      </c>
      <c r="O2024" s="69">
        <v>0.17</v>
      </c>
      <c r="P2024" s="121">
        <f>$R2025*Q2025</f>
        <v>0</v>
      </c>
      <c r="Q2024" s="69">
        <v>0.1</v>
      </c>
      <c r="R2024" s="88">
        <f>'Terms and Turnovers'!AO213</f>
        <v>0</v>
      </c>
      <c r="S2024" s="161">
        <f>SUM(G2025,I2025,K2025,M2025,O2025,Q2025)</f>
        <v>1</v>
      </c>
      <c r="T2024" s="120">
        <f>$AF2025*U2025</f>
        <v>0</v>
      </c>
      <c r="U2024" s="723">
        <v>0</v>
      </c>
      <c r="V2024" s="120">
        <f>$AF2025*W2025</f>
        <v>0</v>
      </c>
      <c r="W2024" s="69">
        <v>0.4</v>
      </c>
      <c r="X2024" s="120">
        <f>$AF2025*Y2025</f>
        <v>0</v>
      </c>
      <c r="Y2024" s="69">
        <v>0.35</v>
      </c>
      <c r="Z2024" s="120">
        <f>$AF2025*AA2025</f>
        <v>0</v>
      </c>
      <c r="AA2024" s="69">
        <v>0.13</v>
      </c>
      <c r="AB2024" s="315">
        <f>$AF2025*AC2025</f>
        <v>0</v>
      </c>
      <c r="AC2024" s="69">
        <v>0.05</v>
      </c>
      <c r="AD2024" s="120">
        <f>$AF2025*AE2025</f>
        <v>0</v>
      </c>
      <c r="AE2024" s="69">
        <v>0.02</v>
      </c>
      <c r="AF2024" s="88">
        <f>'Terms and Turnovers'!AT213</f>
        <v>0</v>
      </c>
      <c r="AG2024" s="161">
        <f>SUM(U2025,W2025,Y2025,AA2025,AC2025,AE2025)</f>
        <v>0.95000000000000007</v>
      </c>
      <c r="AH2024" s="158">
        <f>SUM(R2025,AF2025)</f>
        <v>0</v>
      </c>
      <c r="AI2024" s="134">
        <f>S2025+AG2025</f>
        <v>1.9500000000000002</v>
      </c>
      <c r="AJ2024" s="65"/>
      <c r="AV2024" s="56"/>
    </row>
    <row r="2025" spans="1:48" ht="13.5" customHeight="1" outlineLevel="2" thickBot="1">
      <c r="B2025" s="82"/>
      <c r="C2025" s="1235"/>
      <c r="D2025" s="1235"/>
      <c r="E2025" s="85">
        <f>'Terms and Turnovers'!$AX$12</f>
        <v>0</v>
      </c>
      <c r="F2025" s="121">
        <f>$R2025*G2025</f>
        <v>0</v>
      </c>
      <c r="G2025" s="72"/>
      <c r="H2025" s="121">
        <f>$R2025*I2025</f>
        <v>0</v>
      </c>
      <c r="I2025" s="69">
        <v>7.0000000000000007E-2</v>
      </c>
      <c r="J2025" s="121">
        <f>$R2025*K2025</f>
        <v>0</v>
      </c>
      <c r="K2025" s="69">
        <v>0.31</v>
      </c>
      <c r="L2025" s="121">
        <f>$R2025*M2025</f>
        <v>0</v>
      </c>
      <c r="M2025" s="69">
        <v>0.35</v>
      </c>
      <c r="N2025" s="316">
        <f>$R2025*O2025</f>
        <v>0</v>
      </c>
      <c r="O2025" s="69">
        <v>0.17</v>
      </c>
      <c r="P2025" s="121">
        <f>$R2025*Q2025</f>
        <v>0</v>
      </c>
      <c r="Q2025" s="69">
        <v>0.1</v>
      </c>
      <c r="R2025" s="89">
        <f>'Terms and Turnovers'!AY213</f>
        <v>0</v>
      </c>
      <c r="S2025" s="162">
        <f>SUM(G2025,I2025,K2025,M2025,O2025,Q2025)</f>
        <v>1</v>
      </c>
      <c r="T2025" s="121">
        <f>$AF2025*U2025</f>
        <v>0</v>
      </c>
      <c r="U2025" s="72">
        <v>0</v>
      </c>
      <c r="V2025" s="121">
        <f>$AF2025*W2025</f>
        <v>0</v>
      </c>
      <c r="W2025" s="69">
        <v>0.4</v>
      </c>
      <c r="X2025" s="121">
        <f>$AF2025*Y2025</f>
        <v>0</v>
      </c>
      <c r="Y2025" s="69">
        <v>0.35</v>
      </c>
      <c r="Z2025" s="121">
        <f>$AF2025*AA2025</f>
        <v>0</v>
      </c>
      <c r="AA2025" s="69">
        <v>0.13</v>
      </c>
      <c r="AB2025" s="316">
        <f>$AF2025*AC2025</f>
        <v>0</v>
      </c>
      <c r="AC2025" s="69">
        <v>0.05</v>
      </c>
      <c r="AD2025" s="121">
        <f>$AF2025*AE2025</f>
        <v>0</v>
      </c>
      <c r="AE2025" s="69">
        <v>0.02</v>
      </c>
      <c r="AF2025" s="89">
        <f>'Terms and Turnovers'!BD213</f>
        <v>0</v>
      </c>
      <c r="AG2025" s="162">
        <f>SUM(U2025,W2025,Y2025,AA2025,AC2025,AE2025)</f>
        <v>0.95000000000000007</v>
      </c>
      <c r="AH2025" s="159">
        <f>SUM(R2025,AF2025)</f>
        <v>0</v>
      </c>
      <c r="AI2025" s="137">
        <f>S2025+AG2025</f>
        <v>1.9500000000000002</v>
      </c>
      <c r="AJ2025" s="65"/>
      <c r="AV2025" s="56"/>
    </row>
    <row r="2026" spans="1:48" ht="13.5" customHeight="1" outlineLevel="2" thickBot="1">
      <c r="A2026" s="119"/>
      <c r="B2026" s="82"/>
      <c r="C2026" s="425"/>
      <c r="D2026" s="425"/>
      <c r="E2026" s="426"/>
      <c r="F2026" s="427">
        <f>SUM(F2021:F2025)</f>
        <v>0</v>
      </c>
      <c r="G2026" s="428"/>
      <c r="H2026" s="427">
        <f>SUM(H2021:H2025)</f>
        <v>0</v>
      </c>
      <c r="I2026" s="69"/>
      <c r="J2026" s="427">
        <f>SUM(J2021:J2025)</f>
        <v>0</v>
      </c>
      <c r="K2026" s="69"/>
      <c r="L2026" s="427">
        <f>SUM(L2021:L2025)</f>
        <v>0</v>
      </c>
      <c r="M2026" s="69"/>
      <c r="N2026" s="427">
        <f>SUM(N2021:N2025)</f>
        <v>0</v>
      </c>
      <c r="O2026" s="69"/>
      <c r="P2026" s="427">
        <f>SUM(P2021:P2025)</f>
        <v>0</v>
      </c>
      <c r="Q2026" s="69"/>
      <c r="R2026" s="429"/>
      <c r="S2026" s="430"/>
      <c r="T2026" s="427">
        <f>SUM(T2021:T2025)</f>
        <v>0</v>
      </c>
      <c r="U2026" s="428"/>
      <c r="V2026" s="427">
        <f>SUM(V2021:V2025)</f>
        <v>0</v>
      </c>
      <c r="W2026" s="69"/>
      <c r="X2026" s="427">
        <f>SUM(X2021:X2025)</f>
        <v>0</v>
      </c>
      <c r="Y2026" s="69"/>
      <c r="Z2026" s="427">
        <f>SUM(Z2021:Z2025)</f>
        <v>0</v>
      </c>
      <c r="AA2026" s="69"/>
      <c r="AB2026" s="427">
        <f>SUM(AB2021:AB2025)</f>
        <v>0</v>
      </c>
      <c r="AC2026" s="69"/>
      <c r="AD2026" s="427">
        <f>SUM(AD2021:AD2025)</f>
        <v>0</v>
      </c>
      <c r="AE2026" s="69"/>
      <c r="AF2026" s="429"/>
      <c r="AG2026" s="430"/>
      <c r="AH2026" s="431"/>
      <c r="AI2026" s="432"/>
      <c r="AJ2026" s="65"/>
      <c r="AV2026" s="56"/>
    </row>
    <row r="2027" spans="1:48" ht="13.5" customHeight="1" outlineLevel="2" thickBot="1">
      <c r="A2027" s="119"/>
      <c r="B2027" s="82"/>
      <c r="C2027" s="433" t="s">
        <v>484</v>
      </c>
      <c r="D2027" s="433"/>
      <c r="E2027" s="426"/>
      <c r="F2027" s="434">
        <f>F2026</f>
        <v>0</v>
      </c>
      <c r="G2027" s="428"/>
      <c r="H2027" s="434">
        <f>H2026</f>
        <v>0</v>
      </c>
      <c r="I2027" s="69"/>
      <c r="J2027" s="434">
        <f>J2026</f>
        <v>0</v>
      </c>
      <c r="K2027" s="69"/>
      <c r="L2027" s="434">
        <f>L2026</f>
        <v>0</v>
      </c>
      <c r="M2027" s="69"/>
      <c r="N2027" s="434">
        <f>N2026</f>
        <v>0</v>
      </c>
      <c r="O2027" s="69"/>
      <c r="P2027" s="434">
        <f>P2026</f>
        <v>0</v>
      </c>
      <c r="Q2027" s="69"/>
      <c r="R2027" s="429"/>
      <c r="S2027" s="430"/>
      <c r="T2027" s="434">
        <f>T2025</f>
        <v>0</v>
      </c>
      <c r="U2027" s="428"/>
      <c r="V2027" s="434">
        <f>V2026</f>
        <v>0</v>
      </c>
      <c r="W2027" s="69"/>
      <c r="X2027" s="434">
        <f>X2026</f>
        <v>0</v>
      </c>
      <c r="Y2027" s="69">
        <f>W2025*0.3+Y2025*0.7</f>
        <v>0.36499999999999999</v>
      </c>
      <c r="Z2027" s="434">
        <f>Z2026</f>
        <v>0</v>
      </c>
      <c r="AA2027" s="69">
        <f>Y2025*0.3+AA2025*0.7</f>
        <v>0.19600000000000001</v>
      </c>
      <c r="AB2027" s="434">
        <f>AB2026</f>
        <v>0</v>
      </c>
      <c r="AC2027" s="69">
        <f>AA2025*0.3+AC2025*0.7</f>
        <v>7.3999999999999996E-2</v>
      </c>
      <c r="AD2027" s="434">
        <f>AD2026</f>
        <v>0</v>
      </c>
      <c r="AE2027" s="69"/>
      <c r="AF2027" s="429"/>
      <c r="AG2027" s="430"/>
      <c r="AH2027" s="431"/>
      <c r="AI2027" s="432"/>
      <c r="AJ2027" s="65"/>
      <c r="AV2027" s="56"/>
    </row>
    <row r="2028" spans="1:48" ht="13.5" customHeight="1" outlineLevel="2" thickBot="1">
      <c r="B2028" s="82">
        <f>B2021+1</f>
        <v>83</v>
      </c>
      <c r="C2028" s="1233">
        <f>C587</f>
        <v>0</v>
      </c>
      <c r="D2028" s="1233">
        <f>D587</f>
        <v>0</v>
      </c>
      <c r="E2028" s="83" t="str">
        <f>'Terms and Turnovers'!$J$12</f>
        <v>FLIP-FLOPS</v>
      </c>
      <c r="F2028" s="121">
        <f>$R2028*G2028</f>
        <v>0</v>
      </c>
      <c r="G2028" s="69"/>
      <c r="H2028" s="316">
        <f>$R2028*I2028</f>
        <v>0</v>
      </c>
      <c r="I2028" s="69">
        <v>7.0000000000000007E-2</v>
      </c>
      <c r="J2028" s="118">
        <f>$R2028*K2028</f>
        <v>0</v>
      </c>
      <c r="K2028" s="69">
        <v>0.31</v>
      </c>
      <c r="L2028" s="314">
        <f>$R2028*M2028</f>
        <v>0</v>
      </c>
      <c r="M2028" s="69">
        <v>0.35</v>
      </c>
      <c r="N2028" s="314">
        <f>$R2028*O2028</f>
        <v>0</v>
      </c>
      <c r="O2028" s="69">
        <v>0.17</v>
      </c>
      <c r="P2028" s="121">
        <f>$R2028*Q2028</f>
        <v>0</v>
      </c>
      <c r="Q2028" s="69">
        <v>0.1</v>
      </c>
      <c r="R2028" s="87">
        <f>'Terms and Turnovers'!K214</f>
        <v>0</v>
      </c>
      <c r="S2028" s="160">
        <f>SUM(G2028,I2028,K2028,M2028,O2028,Q2028)</f>
        <v>1</v>
      </c>
      <c r="T2028" s="118">
        <f>$AF2028*U2028</f>
        <v>0</v>
      </c>
      <c r="U2028" s="69">
        <v>0</v>
      </c>
      <c r="V2028" s="314">
        <f>$AF2028*W2028</f>
        <v>0</v>
      </c>
      <c r="W2028" s="69">
        <v>0.37</v>
      </c>
      <c r="X2028" s="118">
        <f>$AF2028*Y2028</f>
        <v>0</v>
      </c>
      <c r="Y2028" s="69">
        <v>0.43</v>
      </c>
      <c r="Z2028" s="314">
        <f>$AF2028*AA2028</f>
        <v>0</v>
      </c>
      <c r="AA2028" s="69">
        <v>0.13</v>
      </c>
      <c r="AB2028" s="314">
        <f>$AF2028*AC2028</f>
        <v>0</v>
      </c>
      <c r="AC2028" s="69">
        <v>0.05</v>
      </c>
      <c r="AD2028" s="118">
        <f>$AF2028*AE2028</f>
        <v>0</v>
      </c>
      <c r="AE2028" s="69">
        <v>0.02</v>
      </c>
      <c r="AF2028" s="87">
        <f>'Terms and Turnovers'!P214</f>
        <v>0</v>
      </c>
      <c r="AG2028" s="160">
        <f>SUM(U2028,W2028,Y2028,AA2028,AC2028,AE2028)</f>
        <v>1</v>
      </c>
      <c r="AH2028" s="157">
        <f>SUM(R2028,AF2028)</f>
        <v>0</v>
      </c>
      <c r="AI2028" s="131">
        <f>S2028+AG2028</f>
        <v>2</v>
      </c>
      <c r="AJ2028" s="65"/>
      <c r="AV2028" s="56"/>
    </row>
    <row r="2029" spans="1:48" ht="13.5" customHeight="1" outlineLevel="2" thickBot="1">
      <c r="B2029" s="82"/>
      <c r="C2029" s="1234"/>
      <c r="D2029" s="1234"/>
      <c r="E2029" s="84" t="str">
        <f>'Terms and Turnovers'!$T$12</f>
        <v>ORIGINALS</v>
      </c>
      <c r="F2029" s="121">
        <f>$R2029*G2029</f>
        <v>0</v>
      </c>
      <c r="G2029" s="723"/>
      <c r="H2029" s="121">
        <f>$R2029*I2029</f>
        <v>0</v>
      </c>
      <c r="I2029" s="69">
        <v>7.0000000000000007E-2</v>
      </c>
      <c r="J2029" s="120">
        <f>$R2029*K2029</f>
        <v>0</v>
      </c>
      <c r="K2029" s="69">
        <v>0.31</v>
      </c>
      <c r="L2029" s="120">
        <f>$R2029*M2029</f>
        <v>0</v>
      </c>
      <c r="M2029" s="69">
        <v>0.35</v>
      </c>
      <c r="N2029" s="315">
        <f>$R2029*O2029</f>
        <v>0</v>
      </c>
      <c r="O2029" s="69">
        <v>0.17</v>
      </c>
      <c r="P2029" s="121">
        <f>$R2029*Q2029</f>
        <v>0</v>
      </c>
      <c r="Q2029" s="69">
        <v>0.1</v>
      </c>
      <c r="R2029" s="88">
        <f>'Terms and Turnovers'!U214</f>
        <v>0</v>
      </c>
      <c r="S2029" s="161">
        <f>SUM(G2029,I2029,K2029,M2029,O2029,Q2029)</f>
        <v>1</v>
      </c>
      <c r="T2029" s="120">
        <f>$AF2029*U2029</f>
        <v>0</v>
      </c>
      <c r="U2029" s="723">
        <v>0</v>
      </c>
      <c r="V2029" s="120">
        <f>$AF2029*W2029</f>
        <v>0</v>
      </c>
      <c r="W2029" s="69">
        <v>0.15</v>
      </c>
      <c r="X2029" s="120">
        <f>$AF2029*Y2029</f>
        <v>0</v>
      </c>
      <c r="Y2029" s="69">
        <v>0.6</v>
      </c>
      <c r="Z2029" s="120">
        <f>$AF2029*AA2029</f>
        <v>0</v>
      </c>
      <c r="AA2029" s="69">
        <v>0.25</v>
      </c>
      <c r="AB2029" s="315">
        <f>$AF2029*AC2029</f>
        <v>0</v>
      </c>
      <c r="AC2029" s="69">
        <v>0</v>
      </c>
      <c r="AD2029" s="120">
        <f>$AF2029*AE2029</f>
        <v>0</v>
      </c>
      <c r="AE2029" s="69">
        <v>0</v>
      </c>
      <c r="AF2029" s="88">
        <f>'Terms and Turnovers'!Z214</f>
        <v>0</v>
      </c>
      <c r="AG2029" s="161">
        <f>SUM(U2029,W2029,Y2029,AA2029,AC2029,AE2029)</f>
        <v>1</v>
      </c>
      <c r="AH2029" s="158">
        <f>SUM(R2029,AF2029)</f>
        <v>0</v>
      </c>
      <c r="AI2029" s="134">
        <f>S2029+AG2029</f>
        <v>2</v>
      </c>
      <c r="AJ2029" s="65"/>
      <c r="AV2029" s="56"/>
    </row>
    <row r="2030" spans="1:48" ht="13.5" customHeight="1" outlineLevel="2" thickBot="1">
      <c r="B2030" s="82"/>
      <c r="C2030" s="1234"/>
      <c r="D2030" s="1234"/>
      <c r="E2030" s="84" t="str">
        <f>'Terms and Turnovers'!$AD$12</f>
        <v>ACCESSORIES</v>
      </c>
      <c r="F2030" s="121">
        <f>$R2030*G2030</f>
        <v>0</v>
      </c>
      <c r="G2030" s="723"/>
      <c r="H2030" s="121">
        <f>$R2030*I2030</f>
        <v>0</v>
      </c>
      <c r="I2030" s="69">
        <v>7.0000000000000007E-2</v>
      </c>
      <c r="J2030" s="120">
        <f>$R2030*K2030</f>
        <v>0</v>
      </c>
      <c r="K2030" s="69">
        <v>0.31</v>
      </c>
      <c r="L2030" s="120">
        <f>$R2030*M2030</f>
        <v>0</v>
      </c>
      <c r="M2030" s="69">
        <v>0.35</v>
      </c>
      <c r="N2030" s="315">
        <f>$R2030*O2030</f>
        <v>0</v>
      </c>
      <c r="O2030" s="69">
        <v>0.17</v>
      </c>
      <c r="P2030" s="121">
        <f>$R2030*Q2030</f>
        <v>0</v>
      </c>
      <c r="Q2030" s="69">
        <v>0.1</v>
      </c>
      <c r="R2030" s="88">
        <f>'Terms and Turnovers'!AE214</f>
        <v>0</v>
      </c>
      <c r="S2030" s="161">
        <f>SUM(G2030,I2030,K2030,M2030,O2030,Q2030)</f>
        <v>1</v>
      </c>
      <c r="T2030" s="120">
        <f>$AF2030*U2030</f>
        <v>0</v>
      </c>
      <c r="U2030" s="723">
        <v>0</v>
      </c>
      <c r="V2030" s="120">
        <f>$AF2030*W2030</f>
        <v>0</v>
      </c>
      <c r="W2030" s="69">
        <v>0.15</v>
      </c>
      <c r="X2030" s="120">
        <f>$AF2030*Y2030</f>
        <v>0</v>
      </c>
      <c r="Y2030" s="69">
        <v>0.6</v>
      </c>
      <c r="Z2030" s="120">
        <f>$AF2030*AA2030</f>
        <v>0</v>
      </c>
      <c r="AA2030" s="69">
        <v>0.25</v>
      </c>
      <c r="AB2030" s="315">
        <f>$AF2030*AC2030</f>
        <v>0</v>
      </c>
      <c r="AC2030" s="69">
        <v>0</v>
      </c>
      <c r="AD2030" s="120">
        <f>$AF2030*AE2030</f>
        <v>0</v>
      </c>
      <c r="AE2030" s="69">
        <v>0</v>
      </c>
      <c r="AF2030" s="88">
        <f>'Terms and Turnovers'!AJ214</f>
        <v>0</v>
      </c>
      <c r="AG2030" s="161">
        <f>SUM(U2030,W2030,Y2030,AA2030,AC2030,AE2030)</f>
        <v>1</v>
      </c>
      <c r="AH2030" s="158">
        <f>SUM(R2030,AF2030)</f>
        <v>0</v>
      </c>
      <c r="AI2030" s="134">
        <f>S2030+AG2030</f>
        <v>2</v>
      </c>
      <c r="AJ2030" s="65"/>
      <c r="AV2030" s="56"/>
    </row>
    <row r="2031" spans="1:48" ht="13.5" customHeight="1" outlineLevel="2" thickBot="1">
      <c r="B2031" s="82"/>
      <c r="C2031" s="1234"/>
      <c r="D2031" s="1234"/>
      <c r="E2031" s="84">
        <f>'Terms and Turnovers'!$AN$12</f>
        <v>0</v>
      </c>
      <c r="F2031" s="121">
        <f>$R2031*G2031</f>
        <v>0</v>
      </c>
      <c r="G2031" s="723"/>
      <c r="H2031" s="121">
        <f>$R2031*I2031</f>
        <v>0</v>
      </c>
      <c r="I2031" s="69">
        <v>7.0000000000000007E-2</v>
      </c>
      <c r="J2031" s="120">
        <f>$R2031*K2031</f>
        <v>0</v>
      </c>
      <c r="K2031" s="69">
        <v>0.31</v>
      </c>
      <c r="L2031" s="120">
        <f>$R2031*M2031</f>
        <v>0</v>
      </c>
      <c r="M2031" s="69">
        <v>0.35</v>
      </c>
      <c r="N2031" s="315">
        <f>$R2031*O2031</f>
        <v>0</v>
      </c>
      <c r="O2031" s="69">
        <v>0.17</v>
      </c>
      <c r="P2031" s="121">
        <f>$R2031*Q2031</f>
        <v>0</v>
      </c>
      <c r="Q2031" s="69">
        <v>0.1</v>
      </c>
      <c r="R2031" s="88">
        <f>'Terms and Turnovers'!AO214</f>
        <v>0</v>
      </c>
      <c r="S2031" s="161">
        <f>SUM(G2031,I2031,K2031,M2031,O2031,Q2031)</f>
        <v>1</v>
      </c>
      <c r="T2031" s="120">
        <f>$AF2031*U2031</f>
        <v>0</v>
      </c>
      <c r="U2031" s="723">
        <v>0</v>
      </c>
      <c r="V2031" s="120">
        <f>$AF2031*W2031</f>
        <v>0</v>
      </c>
      <c r="W2031" s="69">
        <v>0.4</v>
      </c>
      <c r="X2031" s="120">
        <f>$AF2031*Y2031</f>
        <v>0</v>
      </c>
      <c r="Y2031" s="69">
        <v>0.35</v>
      </c>
      <c r="Z2031" s="120">
        <f>$AF2031*AA2031</f>
        <v>0</v>
      </c>
      <c r="AA2031" s="69">
        <v>0.13</v>
      </c>
      <c r="AB2031" s="315">
        <f>$AF2031*AC2031</f>
        <v>0</v>
      </c>
      <c r="AC2031" s="69">
        <v>0.05</v>
      </c>
      <c r="AD2031" s="120">
        <f>$AF2031*AE2031</f>
        <v>0</v>
      </c>
      <c r="AE2031" s="69">
        <v>0.02</v>
      </c>
      <c r="AF2031" s="88">
        <f>'Terms and Turnovers'!AT214</f>
        <v>0</v>
      </c>
      <c r="AG2031" s="161">
        <f>SUM(U2031,W2031,Y2031,AA2031,AC2031,AE2031)</f>
        <v>0.95000000000000007</v>
      </c>
      <c r="AH2031" s="158">
        <f>SUM(R2031,AF2031)</f>
        <v>0</v>
      </c>
      <c r="AI2031" s="134">
        <f>S2031+AG2031</f>
        <v>1.9500000000000002</v>
      </c>
      <c r="AJ2031" s="65"/>
      <c r="AV2031" s="56"/>
    </row>
    <row r="2032" spans="1:48" ht="13.5" customHeight="1" outlineLevel="2" thickBot="1">
      <c r="B2032" s="82"/>
      <c r="C2032" s="1235"/>
      <c r="D2032" s="1235"/>
      <c r="E2032" s="85">
        <f>'Terms and Turnovers'!$AX$12</f>
        <v>0</v>
      </c>
      <c r="F2032" s="121">
        <f>$R2032*G2032</f>
        <v>0</v>
      </c>
      <c r="G2032" s="72"/>
      <c r="H2032" s="121">
        <f>$R2032*I2032</f>
        <v>0</v>
      </c>
      <c r="I2032" s="69">
        <v>7.0000000000000007E-2</v>
      </c>
      <c r="J2032" s="121">
        <f>$R2032*K2032</f>
        <v>0</v>
      </c>
      <c r="K2032" s="69">
        <v>0.31</v>
      </c>
      <c r="L2032" s="121">
        <f>$R2032*M2032</f>
        <v>0</v>
      </c>
      <c r="M2032" s="69">
        <v>0.35</v>
      </c>
      <c r="N2032" s="316">
        <f>$R2032*O2032</f>
        <v>0</v>
      </c>
      <c r="O2032" s="69">
        <v>0.17</v>
      </c>
      <c r="P2032" s="121">
        <f>$R2032*Q2032</f>
        <v>0</v>
      </c>
      <c r="Q2032" s="69">
        <v>0.1</v>
      </c>
      <c r="R2032" s="89">
        <f>'Terms and Turnovers'!AY214</f>
        <v>0</v>
      </c>
      <c r="S2032" s="162">
        <f>SUM(G2032,I2032,K2032,M2032,O2032,Q2032)</f>
        <v>1</v>
      </c>
      <c r="T2032" s="121">
        <f>$AF2032*U2032</f>
        <v>0</v>
      </c>
      <c r="U2032" s="72">
        <v>0</v>
      </c>
      <c r="V2032" s="121">
        <f>$AF2032*W2032</f>
        <v>0</v>
      </c>
      <c r="W2032" s="69">
        <v>0.4</v>
      </c>
      <c r="X2032" s="121">
        <f>$AF2032*Y2032</f>
        <v>0</v>
      </c>
      <c r="Y2032" s="69">
        <v>0.35</v>
      </c>
      <c r="Z2032" s="121">
        <f>$AF2032*AA2032</f>
        <v>0</v>
      </c>
      <c r="AA2032" s="69">
        <v>0.13</v>
      </c>
      <c r="AB2032" s="316">
        <f>$AF2032*AC2032</f>
        <v>0</v>
      </c>
      <c r="AC2032" s="69">
        <v>0.05</v>
      </c>
      <c r="AD2032" s="121">
        <f>$AF2032*AE2032</f>
        <v>0</v>
      </c>
      <c r="AE2032" s="69">
        <v>0.02</v>
      </c>
      <c r="AF2032" s="89">
        <f>'Terms and Turnovers'!BD214</f>
        <v>0</v>
      </c>
      <c r="AG2032" s="162">
        <f>SUM(U2032,W2032,Y2032,AA2032,AC2032,AE2032)</f>
        <v>0.95000000000000007</v>
      </c>
      <c r="AH2032" s="159">
        <f>SUM(R2032,AF2032)</f>
        <v>0</v>
      </c>
      <c r="AI2032" s="137">
        <f>S2032+AG2032</f>
        <v>1.9500000000000002</v>
      </c>
      <c r="AJ2032" s="65"/>
      <c r="AV2032" s="56"/>
    </row>
    <row r="2033" spans="1:48" ht="13.5" customHeight="1" outlineLevel="2" thickBot="1">
      <c r="A2033" s="119"/>
      <c r="B2033" s="82"/>
      <c r="C2033" s="425"/>
      <c r="D2033" s="425"/>
      <c r="E2033" s="426"/>
      <c r="F2033" s="427">
        <f>SUM(F2028:F2032)</f>
        <v>0</v>
      </c>
      <c r="G2033" s="428"/>
      <c r="H2033" s="427">
        <f>SUM(H2028:H2032)</f>
        <v>0</v>
      </c>
      <c r="I2033" s="69"/>
      <c r="J2033" s="427">
        <f>SUM(J2028:J2032)</f>
        <v>0</v>
      </c>
      <c r="K2033" s="69"/>
      <c r="L2033" s="427">
        <f>SUM(L2028:L2032)</f>
        <v>0</v>
      </c>
      <c r="M2033" s="69"/>
      <c r="N2033" s="427">
        <f>SUM(N2028:N2032)</f>
        <v>0</v>
      </c>
      <c r="O2033" s="69"/>
      <c r="P2033" s="427">
        <f>SUM(P2028:P2032)</f>
        <v>0</v>
      </c>
      <c r="Q2033" s="69"/>
      <c r="R2033" s="429"/>
      <c r="S2033" s="430"/>
      <c r="T2033" s="427">
        <f>SUM(T2028:T2032)</f>
        <v>0</v>
      </c>
      <c r="U2033" s="428"/>
      <c r="V2033" s="427">
        <f>SUM(V2028:V2032)</f>
        <v>0</v>
      </c>
      <c r="W2033" s="69"/>
      <c r="X2033" s="427">
        <f>SUM(X2028:X2032)</f>
        <v>0</v>
      </c>
      <c r="Y2033" s="69"/>
      <c r="Z2033" s="427">
        <f>SUM(Z2028:Z2032)</f>
        <v>0</v>
      </c>
      <c r="AA2033" s="69"/>
      <c r="AB2033" s="427">
        <f>SUM(AB2028:AB2032)</f>
        <v>0</v>
      </c>
      <c r="AC2033" s="69"/>
      <c r="AD2033" s="427">
        <f>SUM(AD2028:AD2032)</f>
        <v>0</v>
      </c>
      <c r="AE2033" s="69"/>
      <c r="AF2033" s="429"/>
      <c r="AG2033" s="430"/>
      <c r="AH2033" s="431"/>
      <c r="AI2033" s="432"/>
      <c r="AJ2033" s="65"/>
      <c r="AV2033" s="56"/>
    </row>
    <row r="2034" spans="1:48" ht="13.5" customHeight="1" outlineLevel="2" thickBot="1">
      <c r="A2034" s="119"/>
      <c r="B2034" s="82"/>
      <c r="C2034" s="433" t="s">
        <v>484</v>
      </c>
      <c r="D2034" s="433"/>
      <c r="E2034" s="426"/>
      <c r="F2034" s="434">
        <f>F2033</f>
        <v>0</v>
      </c>
      <c r="G2034" s="428"/>
      <c r="H2034" s="434">
        <f>H2033</f>
        <v>0</v>
      </c>
      <c r="I2034" s="69"/>
      <c r="J2034" s="434">
        <f>J2033</f>
        <v>0</v>
      </c>
      <c r="K2034" s="69"/>
      <c r="L2034" s="434">
        <f>L2033</f>
        <v>0</v>
      </c>
      <c r="M2034" s="69"/>
      <c r="N2034" s="434">
        <f>N2033</f>
        <v>0</v>
      </c>
      <c r="O2034" s="69"/>
      <c r="P2034" s="434">
        <f>P2033</f>
        <v>0</v>
      </c>
      <c r="Q2034" s="69"/>
      <c r="R2034" s="429"/>
      <c r="S2034" s="430"/>
      <c r="T2034" s="434">
        <f>T2032</f>
        <v>0</v>
      </c>
      <c r="U2034" s="428"/>
      <c r="V2034" s="434">
        <f>V2033</f>
        <v>0</v>
      </c>
      <c r="W2034" s="69"/>
      <c r="X2034" s="434">
        <f>X2033</f>
        <v>0</v>
      </c>
      <c r="Y2034" s="69">
        <f>W2032*0.3+Y2032*0.7</f>
        <v>0.36499999999999999</v>
      </c>
      <c r="Z2034" s="434">
        <f>Z2033</f>
        <v>0</v>
      </c>
      <c r="AA2034" s="69">
        <f>Y2032*0.3+AA2032*0.7</f>
        <v>0.19600000000000001</v>
      </c>
      <c r="AB2034" s="434">
        <f>AB2033</f>
        <v>0</v>
      </c>
      <c r="AC2034" s="69">
        <f>AA2032*0.3+AC2032*0.7</f>
        <v>7.3999999999999996E-2</v>
      </c>
      <c r="AD2034" s="434">
        <f>AD2033</f>
        <v>0</v>
      </c>
      <c r="AE2034" s="69"/>
      <c r="AF2034" s="429"/>
      <c r="AG2034" s="430"/>
      <c r="AH2034" s="431"/>
      <c r="AI2034" s="432"/>
      <c r="AJ2034" s="65"/>
      <c r="AV2034" s="56"/>
    </row>
    <row r="2035" spans="1:48" ht="13.5" customHeight="1" outlineLevel="2" thickBot="1">
      <c r="B2035" s="82">
        <f>B2028+1</f>
        <v>84</v>
      </c>
      <c r="C2035" s="1233">
        <f>C594</f>
        <v>0</v>
      </c>
      <c r="D2035" s="1233">
        <f>D594</f>
        <v>0</v>
      </c>
      <c r="E2035" s="83" t="str">
        <f>'Terms and Turnovers'!$J$12</f>
        <v>FLIP-FLOPS</v>
      </c>
      <c r="F2035" s="121">
        <f>$R2035*G2035</f>
        <v>0</v>
      </c>
      <c r="G2035" s="69"/>
      <c r="H2035" s="316">
        <f>$R2035*I2035</f>
        <v>0</v>
      </c>
      <c r="I2035" s="69">
        <v>7.0000000000000007E-2</v>
      </c>
      <c r="J2035" s="118">
        <f>$R2035*K2035</f>
        <v>0</v>
      </c>
      <c r="K2035" s="69">
        <v>0.31</v>
      </c>
      <c r="L2035" s="314">
        <f>$R2035*M2035</f>
        <v>0</v>
      </c>
      <c r="M2035" s="69">
        <v>0.35</v>
      </c>
      <c r="N2035" s="314">
        <f>$R2035*O2035</f>
        <v>0</v>
      </c>
      <c r="O2035" s="69">
        <v>0.17</v>
      </c>
      <c r="P2035" s="121">
        <f>$R2035*Q2035</f>
        <v>0</v>
      </c>
      <c r="Q2035" s="69">
        <v>0.1</v>
      </c>
      <c r="R2035" s="87">
        <f>'Terms and Turnovers'!K215</f>
        <v>0</v>
      </c>
      <c r="S2035" s="160">
        <f>SUM(G2035,I2035,K2035,M2035,O2035,Q2035)</f>
        <v>1</v>
      </c>
      <c r="T2035" s="118">
        <f>$AF2035*U2035</f>
        <v>0</v>
      </c>
      <c r="U2035" s="69">
        <v>0</v>
      </c>
      <c r="V2035" s="314">
        <f>$AF2035*W2035</f>
        <v>0</v>
      </c>
      <c r="W2035" s="69">
        <v>0.37</v>
      </c>
      <c r="X2035" s="118">
        <f>$AF2035*Y2035</f>
        <v>0</v>
      </c>
      <c r="Y2035" s="69">
        <v>0.43</v>
      </c>
      <c r="Z2035" s="314">
        <f>$AF2035*AA2035</f>
        <v>0</v>
      </c>
      <c r="AA2035" s="69">
        <v>0.13</v>
      </c>
      <c r="AB2035" s="314">
        <f>$AF2035*AC2035</f>
        <v>0</v>
      </c>
      <c r="AC2035" s="69">
        <v>0.05</v>
      </c>
      <c r="AD2035" s="118">
        <f>$AF2035*AE2035</f>
        <v>0</v>
      </c>
      <c r="AE2035" s="69">
        <v>0.02</v>
      </c>
      <c r="AF2035" s="87">
        <f>'Terms and Turnovers'!P215</f>
        <v>0</v>
      </c>
      <c r="AG2035" s="160">
        <f>SUM(U2035,W2035,Y2035,AA2035,AC2035,AE2035)</f>
        <v>1</v>
      </c>
      <c r="AH2035" s="157">
        <f>SUM(R2035,AF2035)</f>
        <v>0</v>
      </c>
      <c r="AI2035" s="131">
        <f>S2035+AG2035</f>
        <v>2</v>
      </c>
      <c r="AJ2035" s="65"/>
      <c r="AV2035" s="56"/>
    </row>
    <row r="2036" spans="1:48" ht="13.5" customHeight="1" outlineLevel="2" thickBot="1">
      <c r="B2036" s="82"/>
      <c r="C2036" s="1234"/>
      <c r="D2036" s="1234"/>
      <c r="E2036" s="84" t="str">
        <f>'Terms and Turnovers'!$T$12</f>
        <v>ORIGINALS</v>
      </c>
      <c r="F2036" s="121">
        <f>$R2036*G2036</f>
        <v>0</v>
      </c>
      <c r="G2036" s="723"/>
      <c r="H2036" s="121">
        <f>$R2036*I2036</f>
        <v>0</v>
      </c>
      <c r="I2036" s="69">
        <v>7.0000000000000007E-2</v>
      </c>
      <c r="J2036" s="120">
        <f>$R2036*K2036</f>
        <v>0</v>
      </c>
      <c r="K2036" s="69">
        <v>0.31</v>
      </c>
      <c r="L2036" s="120">
        <f>$R2036*M2036</f>
        <v>0</v>
      </c>
      <c r="M2036" s="69">
        <v>0.35</v>
      </c>
      <c r="N2036" s="315">
        <f>$R2036*O2036</f>
        <v>0</v>
      </c>
      <c r="O2036" s="69">
        <v>0.17</v>
      </c>
      <c r="P2036" s="121">
        <f>$R2036*Q2036</f>
        <v>0</v>
      </c>
      <c r="Q2036" s="69">
        <v>0.1</v>
      </c>
      <c r="R2036" s="88">
        <f>'Terms and Turnovers'!U215</f>
        <v>0</v>
      </c>
      <c r="S2036" s="161">
        <f>SUM(G2036,I2036,K2036,M2036,O2036,Q2036)</f>
        <v>1</v>
      </c>
      <c r="T2036" s="120">
        <f>$AF2036*U2036</f>
        <v>0</v>
      </c>
      <c r="U2036" s="723">
        <v>0</v>
      </c>
      <c r="V2036" s="120">
        <f>$AF2036*W2036</f>
        <v>0</v>
      </c>
      <c r="W2036" s="69">
        <v>0.15</v>
      </c>
      <c r="X2036" s="120">
        <f>$AF2036*Y2036</f>
        <v>0</v>
      </c>
      <c r="Y2036" s="69">
        <v>0.6</v>
      </c>
      <c r="Z2036" s="120">
        <f>$AF2036*AA2036</f>
        <v>0</v>
      </c>
      <c r="AA2036" s="69">
        <v>0.25</v>
      </c>
      <c r="AB2036" s="315">
        <f>$AF2036*AC2036</f>
        <v>0</v>
      </c>
      <c r="AC2036" s="69">
        <v>0</v>
      </c>
      <c r="AD2036" s="120">
        <f>$AF2036*AE2036</f>
        <v>0</v>
      </c>
      <c r="AE2036" s="69">
        <v>0</v>
      </c>
      <c r="AF2036" s="88">
        <f>'Terms and Turnovers'!Z215</f>
        <v>0</v>
      </c>
      <c r="AG2036" s="161">
        <f>SUM(U2036,W2036,Y2036,AA2036,AC2036,AE2036)</f>
        <v>1</v>
      </c>
      <c r="AH2036" s="158">
        <f>SUM(R2036,AF2036)</f>
        <v>0</v>
      </c>
      <c r="AI2036" s="134">
        <f>S2036+AG2036</f>
        <v>2</v>
      </c>
      <c r="AJ2036" s="65"/>
      <c r="AV2036" s="56"/>
    </row>
    <row r="2037" spans="1:48" ht="13.5" customHeight="1" outlineLevel="2" thickBot="1">
      <c r="B2037" s="82"/>
      <c r="C2037" s="1234"/>
      <c r="D2037" s="1234"/>
      <c r="E2037" s="84" t="str">
        <f>'Terms and Turnovers'!$AD$12</f>
        <v>ACCESSORIES</v>
      </c>
      <c r="F2037" s="121">
        <f>$R2037*G2037</f>
        <v>0</v>
      </c>
      <c r="G2037" s="723"/>
      <c r="H2037" s="121">
        <f>$R2037*I2037</f>
        <v>0</v>
      </c>
      <c r="I2037" s="69">
        <v>7.0000000000000007E-2</v>
      </c>
      <c r="J2037" s="120">
        <f>$R2037*K2037</f>
        <v>0</v>
      </c>
      <c r="K2037" s="69">
        <v>0.31</v>
      </c>
      <c r="L2037" s="120">
        <f>$R2037*M2037</f>
        <v>0</v>
      </c>
      <c r="M2037" s="69">
        <v>0.35</v>
      </c>
      <c r="N2037" s="315">
        <f>$R2037*O2037</f>
        <v>0</v>
      </c>
      <c r="O2037" s="69">
        <v>0.17</v>
      </c>
      <c r="P2037" s="121">
        <f>$R2037*Q2037</f>
        <v>0</v>
      </c>
      <c r="Q2037" s="69">
        <v>0.1</v>
      </c>
      <c r="R2037" s="88">
        <f>'Terms and Turnovers'!AE215</f>
        <v>0</v>
      </c>
      <c r="S2037" s="161">
        <f>SUM(G2037,I2037,K2037,M2037,O2037,Q2037)</f>
        <v>1</v>
      </c>
      <c r="T2037" s="120">
        <f>$AF2037*U2037</f>
        <v>0</v>
      </c>
      <c r="U2037" s="723">
        <v>0</v>
      </c>
      <c r="V2037" s="120">
        <f>$AF2037*W2037</f>
        <v>0</v>
      </c>
      <c r="W2037" s="69">
        <v>0.15</v>
      </c>
      <c r="X2037" s="120">
        <f>$AF2037*Y2037</f>
        <v>0</v>
      </c>
      <c r="Y2037" s="69">
        <v>0.6</v>
      </c>
      <c r="Z2037" s="120">
        <f>$AF2037*AA2037</f>
        <v>0</v>
      </c>
      <c r="AA2037" s="69">
        <v>0.25</v>
      </c>
      <c r="AB2037" s="315">
        <f>$AF2037*AC2037</f>
        <v>0</v>
      </c>
      <c r="AC2037" s="69">
        <v>0</v>
      </c>
      <c r="AD2037" s="120">
        <f>$AF2037*AE2037</f>
        <v>0</v>
      </c>
      <c r="AE2037" s="69">
        <v>0</v>
      </c>
      <c r="AF2037" s="88">
        <f>'Terms and Turnovers'!AJ215</f>
        <v>0</v>
      </c>
      <c r="AG2037" s="161">
        <f>SUM(U2037,W2037,Y2037,AA2037,AC2037,AE2037)</f>
        <v>1</v>
      </c>
      <c r="AH2037" s="158">
        <f>SUM(R2037,AF2037)</f>
        <v>0</v>
      </c>
      <c r="AI2037" s="134">
        <f>S2037+AG2037</f>
        <v>2</v>
      </c>
      <c r="AJ2037" s="65"/>
      <c r="AV2037" s="56"/>
    </row>
    <row r="2038" spans="1:48" ht="13.5" customHeight="1" outlineLevel="2" thickBot="1">
      <c r="B2038" s="82"/>
      <c r="C2038" s="1234"/>
      <c r="D2038" s="1234"/>
      <c r="E2038" s="84">
        <f>'Terms and Turnovers'!$AN$12</f>
        <v>0</v>
      </c>
      <c r="F2038" s="121">
        <f>$R2038*G2038</f>
        <v>0</v>
      </c>
      <c r="G2038" s="723"/>
      <c r="H2038" s="121">
        <f>$R2038*I2038</f>
        <v>0</v>
      </c>
      <c r="I2038" s="69">
        <v>7.0000000000000007E-2</v>
      </c>
      <c r="J2038" s="120">
        <f>$R2038*K2038</f>
        <v>0</v>
      </c>
      <c r="K2038" s="69">
        <v>0.31</v>
      </c>
      <c r="L2038" s="120">
        <f>$R2038*M2038</f>
        <v>0</v>
      </c>
      <c r="M2038" s="69">
        <v>0.35</v>
      </c>
      <c r="N2038" s="315">
        <f>$R2038*O2038</f>
        <v>0</v>
      </c>
      <c r="O2038" s="69">
        <v>0.17</v>
      </c>
      <c r="P2038" s="121">
        <f>$R2038*Q2038</f>
        <v>0</v>
      </c>
      <c r="Q2038" s="69">
        <v>0.1</v>
      </c>
      <c r="R2038" s="88">
        <f>'Terms and Turnovers'!AO215</f>
        <v>0</v>
      </c>
      <c r="S2038" s="161">
        <f>SUM(G2038,I2038,K2038,M2038,O2038,Q2038)</f>
        <v>1</v>
      </c>
      <c r="T2038" s="120">
        <f>$AF2038*U2038</f>
        <v>0</v>
      </c>
      <c r="U2038" s="723">
        <v>0</v>
      </c>
      <c r="V2038" s="120">
        <f>$AF2038*W2038</f>
        <v>0</v>
      </c>
      <c r="W2038" s="69">
        <v>0.4</v>
      </c>
      <c r="X2038" s="120">
        <f>$AF2038*Y2038</f>
        <v>0</v>
      </c>
      <c r="Y2038" s="69">
        <v>0.35</v>
      </c>
      <c r="Z2038" s="120">
        <f>$AF2038*AA2038</f>
        <v>0</v>
      </c>
      <c r="AA2038" s="69">
        <v>0.13</v>
      </c>
      <c r="AB2038" s="315">
        <f>$AF2038*AC2038</f>
        <v>0</v>
      </c>
      <c r="AC2038" s="69">
        <v>0.05</v>
      </c>
      <c r="AD2038" s="120">
        <f>$AF2038*AE2038</f>
        <v>0</v>
      </c>
      <c r="AE2038" s="69">
        <v>0.02</v>
      </c>
      <c r="AF2038" s="88">
        <f>'Terms and Turnovers'!AT215</f>
        <v>0</v>
      </c>
      <c r="AG2038" s="161">
        <f>SUM(U2038,W2038,Y2038,AA2038,AC2038,AE2038)</f>
        <v>0.95000000000000007</v>
      </c>
      <c r="AH2038" s="158">
        <f>SUM(R2038,AF2038)</f>
        <v>0</v>
      </c>
      <c r="AI2038" s="134">
        <f>S2038+AG2038</f>
        <v>1.9500000000000002</v>
      </c>
      <c r="AJ2038" s="65"/>
      <c r="AV2038" s="56"/>
    </row>
    <row r="2039" spans="1:48" ht="13.5" customHeight="1" outlineLevel="2" thickBot="1">
      <c r="B2039" s="82"/>
      <c r="C2039" s="1235"/>
      <c r="D2039" s="1235"/>
      <c r="E2039" s="85">
        <f>'Terms and Turnovers'!$AX$12</f>
        <v>0</v>
      </c>
      <c r="F2039" s="121">
        <f>$R2039*G2039</f>
        <v>0</v>
      </c>
      <c r="G2039" s="72"/>
      <c r="H2039" s="121">
        <f>$R2039*I2039</f>
        <v>0</v>
      </c>
      <c r="I2039" s="69">
        <v>7.0000000000000007E-2</v>
      </c>
      <c r="J2039" s="121">
        <f>$R2039*K2039</f>
        <v>0</v>
      </c>
      <c r="K2039" s="69">
        <v>0.31</v>
      </c>
      <c r="L2039" s="121">
        <f>$R2039*M2039</f>
        <v>0</v>
      </c>
      <c r="M2039" s="69">
        <v>0.35</v>
      </c>
      <c r="N2039" s="316">
        <f>$R2039*O2039</f>
        <v>0</v>
      </c>
      <c r="O2039" s="69">
        <v>0.17</v>
      </c>
      <c r="P2039" s="121">
        <f>$R2039*Q2039</f>
        <v>0</v>
      </c>
      <c r="Q2039" s="69">
        <v>0.1</v>
      </c>
      <c r="R2039" s="89">
        <f>'Terms and Turnovers'!AY215</f>
        <v>0</v>
      </c>
      <c r="S2039" s="162">
        <f>SUM(G2039,I2039,K2039,M2039,O2039,Q2039)</f>
        <v>1</v>
      </c>
      <c r="T2039" s="121">
        <f>$AF2039*U2039</f>
        <v>0</v>
      </c>
      <c r="U2039" s="72">
        <v>0</v>
      </c>
      <c r="V2039" s="121">
        <f>$AF2039*W2039</f>
        <v>0</v>
      </c>
      <c r="W2039" s="69">
        <v>0.4</v>
      </c>
      <c r="X2039" s="121">
        <f>$AF2039*Y2039</f>
        <v>0</v>
      </c>
      <c r="Y2039" s="69">
        <v>0.35</v>
      </c>
      <c r="Z2039" s="121">
        <f>$AF2039*AA2039</f>
        <v>0</v>
      </c>
      <c r="AA2039" s="69">
        <v>0.13</v>
      </c>
      <c r="AB2039" s="316">
        <f>$AF2039*AC2039</f>
        <v>0</v>
      </c>
      <c r="AC2039" s="69">
        <v>0.05</v>
      </c>
      <c r="AD2039" s="121">
        <f>$AF2039*AE2039</f>
        <v>0</v>
      </c>
      <c r="AE2039" s="69">
        <v>0.02</v>
      </c>
      <c r="AF2039" s="89">
        <f>'Terms and Turnovers'!BD215</f>
        <v>0</v>
      </c>
      <c r="AG2039" s="162">
        <f>SUM(U2039,W2039,Y2039,AA2039,AC2039,AE2039)</f>
        <v>0.95000000000000007</v>
      </c>
      <c r="AH2039" s="159">
        <f>SUM(R2039,AF2039)</f>
        <v>0</v>
      </c>
      <c r="AI2039" s="137">
        <f>S2039+AG2039</f>
        <v>1.9500000000000002</v>
      </c>
      <c r="AJ2039" s="65"/>
      <c r="AV2039" s="56"/>
    </row>
    <row r="2040" spans="1:48" ht="13.5" customHeight="1" outlineLevel="2" thickBot="1">
      <c r="A2040" s="119"/>
      <c r="B2040" s="82"/>
      <c r="C2040" s="425"/>
      <c r="D2040" s="425"/>
      <c r="E2040" s="426"/>
      <c r="F2040" s="427">
        <f>SUM(F2035:F2039)</f>
        <v>0</v>
      </c>
      <c r="G2040" s="428"/>
      <c r="H2040" s="427">
        <f>SUM(H2035:H2039)</f>
        <v>0</v>
      </c>
      <c r="I2040" s="69"/>
      <c r="J2040" s="427">
        <f>SUM(J2035:J2039)</f>
        <v>0</v>
      </c>
      <c r="K2040" s="69"/>
      <c r="L2040" s="427">
        <f>SUM(L2035:L2039)</f>
        <v>0</v>
      </c>
      <c r="M2040" s="69"/>
      <c r="N2040" s="427">
        <f>SUM(N2035:N2039)</f>
        <v>0</v>
      </c>
      <c r="O2040" s="69"/>
      <c r="P2040" s="427">
        <f>SUM(P2035:P2039)</f>
        <v>0</v>
      </c>
      <c r="Q2040" s="69"/>
      <c r="R2040" s="429"/>
      <c r="S2040" s="430"/>
      <c r="T2040" s="427">
        <f>SUM(T2035:T2039)</f>
        <v>0</v>
      </c>
      <c r="U2040" s="428"/>
      <c r="V2040" s="427">
        <f>SUM(V2035:V2039)</f>
        <v>0</v>
      </c>
      <c r="W2040" s="69"/>
      <c r="X2040" s="427">
        <f>SUM(X2035:X2039)</f>
        <v>0</v>
      </c>
      <c r="Y2040" s="69"/>
      <c r="Z2040" s="427">
        <f>SUM(Z2035:Z2039)</f>
        <v>0</v>
      </c>
      <c r="AA2040" s="69"/>
      <c r="AB2040" s="427">
        <f>SUM(AB2035:AB2039)</f>
        <v>0</v>
      </c>
      <c r="AC2040" s="69"/>
      <c r="AD2040" s="427">
        <f>SUM(AD2035:AD2039)</f>
        <v>0</v>
      </c>
      <c r="AE2040" s="69"/>
      <c r="AF2040" s="429"/>
      <c r="AG2040" s="430"/>
      <c r="AH2040" s="431"/>
      <c r="AI2040" s="432"/>
      <c r="AJ2040" s="65"/>
      <c r="AV2040" s="56"/>
    </row>
    <row r="2041" spans="1:48" ht="13.5" customHeight="1" outlineLevel="2" thickBot="1">
      <c r="A2041" s="119"/>
      <c r="B2041" s="82"/>
      <c r="C2041" s="433" t="s">
        <v>484</v>
      </c>
      <c r="D2041" s="433"/>
      <c r="E2041" s="426"/>
      <c r="F2041" s="434">
        <f>F2040</f>
        <v>0</v>
      </c>
      <c r="G2041" s="428"/>
      <c r="H2041" s="434">
        <f>H2040</f>
        <v>0</v>
      </c>
      <c r="I2041" s="69"/>
      <c r="J2041" s="434">
        <f>J2040</f>
        <v>0</v>
      </c>
      <c r="K2041" s="69"/>
      <c r="L2041" s="434">
        <f>L2040</f>
        <v>0</v>
      </c>
      <c r="M2041" s="69"/>
      <c r="N2041" s="434">
        <f>N2040</f>
        <v>0</v>
      </c>
      <c r="O2041" s="69"/>
      <c r="P2041" s="434">
        <f>P2040</f>
        <v>0</v>
      </c>
      <c r="Q2041" s="69"/>
      <c r="R2041" s="429"/>
      <c r="S2041" s="430"/>
      <c r="T2041" s="434">
        <f>T2039</f>
        <v>0</v>
      </c>
      <c r="U2041" s="428"/>
      <c r="V2041" s="434">
        <f>V2040</f>
        <v>0</v>
      </c>
      <c r="W2041" s="69"/>
      <c r="X2041" s="434">
        <f>X2040</f>
        <v>0</v>
      </c>
      <c r="Y2041" s="69">
        <f>W2039*0.3+Y2039*0.7</f>
        <v>0.36499999999999999</v>
      </c>
      <c r="Z2041" s="434">
        <f>Z2040</f>
        <v>0</v>
      </c>
      <c r="AA2041" s="69">
        <f>Y2039*0.3+AA2039*0.7</f>
        <v>0.19600000000000001</v>
      </c>
      <c r="AB2041" s="434">
        <f>AB2040</f>
        <v>0</v>
      </c>
      <c r="AC2041" s="69">
        <f>AA2039*0.3+AC2039*0.7</f>
        <v>7.3999999999999996E-2</v>
      </c>
      <c r="AD2041" s="434">
        <f>AD2040</f>
        <v>0</v>
      </c>
      <c r="AE2041" s="69"/>
      <c r="AF2041" s="429"/>
      <c r="AG2041" s="430"/>
      <c r="AH2041" s="431"/>
      <c r="AI2041" s="432"/>
      <c r="AJ2041" s="65"/>
      <c r="AV2041" s="56"/>
    </row>
    <row r="2042" spans="1:48" ht="13.5" customHeight="1" outlineLevel="2" thickBot="1">
      <c r="B2042" s="82">
        <f>B2035+1</f>
        <v>85</v>
      </c>
      <c r="C2042" s="1233">
        <f>C601</f>
        <v>0</v>
      </c>
      <c r="D2042" s="1233">
        <f>D601</f>
        <v>0</v>
      </c>
      <c r="E2042" s="83" t="str">
        <f>'Terms and Turnovers'!$J$12</f>
        <v>FLIP-FLOPS</v>
      </c>
      <c r="F2042" s="121">
        <f>$R2042*G2042</f>
        <v>0</v>
      </c>
      <c r="G2042" s="69"/>
      <c r="H2042" s="316">
        <f>$R2042*I2042</f>
        <v>0</v>
      </c>
      <c r="I2042" s="69">
        <v>7.0000000000000007E-2</v>
      </c>
      <c r="J2042" s="118">
        <f>$R2042*K2042</f>
        <v>0</v>
      </c>
      <c r="K2042" s="69">
        <v>0.31</v>
      </c>
      <c r="L2042" s="314">
        <f>$R2042*M2042</f>
        <v>0</v>
      </c>
      <c r="M2042" s="69">
        <v>0.35</v>
      </c>
      <c r="N2042" s="314">
        <f>$R2042*O2042</f>
        <v>0</v>
      </c>
      <c r="O2042" s="69">
        <v>0.17</v>
      </c>
      <c r="P2042" s="121">
        <f>$R2042*Q2042</f>
        <v>0</v>
      </c>
      <c r="Q2042" s="69">
        <v>0.1</v>
      </c>
      <c r="R2042" s="87">
        <f>'Terms and Turnovers'!K216</f>
        <v>0</v>
      </c>
      <c r="S2042" s="160">
        <f>SUM(G2042,I2042,K2042,M2042,O2042,Q2042)</f>
        <v>1</v>
      </c>
      <c r="T2042" s="118">
        <f>$AF2042*U2042</f>
        <v>0</v>
      </c>
      <c r="U2042" s="69">
        <v>0</v>
      </c>
      <c r="V2042" s="314">
        <f>$AF2042*W2042</f>
        <v>0</v>
      </c>
      <c r="W2042" s="69">
        <v>0.37</v>
      </c>
      <c r="X2042" s="118">
        <f>$AF2042*Y2042</f>
        <v>0</v>
      </c>
      <c r="Y2042" s="69">
        <v>0.43</v>
      </c>
      <c r="Z2042" s="314">
        <f>$AF2042*AA2042</f>
        <v>0</v>
      </c>
      <c r="AA2042" s="69">
        <v>0.13</v>
      </c>
      <c r="AB2042" s="314">
        <f>$AF2042*AC2042</f>
        <v>0</v>
      </c>
      <c r="AC2042" s="69">
        <v>0.05</v>
      </c>
      <c r="AD2042" s="118">
        <f>$AF2042*AE2042</f>
        <v>0</v>
      </c>
      <c r="AE2042" s="69">
        <v>0.02</v>
      </c>
      <c r="AF2042" s="87">
        <f>'Terms and Turnovers'!P216</f>
        <v>0</v>
      </c>
      <c r="AG2042" s="160">
        <f>SUM(U2042,W2042,Y2042,AA2042,AC2042,AE2042)</f>
        <v>1</v>
      </c>
      <c r="AH2042" s="157">
        <f>SUM(R2042,AF2042)</f>
        <v>0</v>
      </c>
      <c r="AI2042" s="131">
        <f>S2042+AG2042</f>
        <v>2</v>
      </c>
      <c r="AJ2042" s="65"/>
      <c r="AV2042" s="56"/>
    </row>
    <row r="2043" spans="1:48" ht="13.5" customHeight="1" outlineLevel="2" thickBot="1">
      <c r="B2043" s="82"/>
      <c r="C2043" s="1234"/>
      <c r="D2043" s="1234"/>
      <c r="E2043" s="84" t="str">
        <f>'Terms and Turnovers'!$T$12</f>
        <v>ORIGINALS</v>
      </c>
      <c r="F2043" s="121">
        <f>$R2043*G2043</f>
        <v>0</v>
      </c>
      <c r="G2043" s="723"/>
      <c r="H2043" s="121">
        <f>$R2043*I2043</f>
        <v>0</v>
      </c>
      <c r="I2043" s="69">
        <v>7.0000000000000007E-2</v>
      </c>
      <c r="J2043" s="120">
        <f>$R2043*K2043</f>
        <v>0</v>
      </c>
      <c r="K2043" s="69">
        <v>0.31</v>
      </c>
      <c r="L2043" s="120">
        <f>$R2043*M2043</f>
        <v>0</v>
      </c>
      <c r="M2043" s="69">
        <v>0.35</v>
      </c>
      <c r="N2043" s="315">
        <f>$R2043*O2043</f>
        <v>0</v>
      </c>
      <c r="O2043" s="69">
        <v>0.17</v>
      </c>
      <c r="P2043" s="121">
        <f>$R2043*Q2043</f>
        <v>0</v>
      </c>
      <c r="Q2043" s="69">
        <v>0.1</v>
      </c>
      <c r="R2043" s="88">
        <f>'Terms and Turnovers'!U216</f>
        <v>0</v>
      </c>
      <c r="S2043" s="161">
        <f>SUM(G2043,I2043,K2043,M2043,O2043,Q2043)</f>
        <v>1</v>
      </c>
      <c r="T2043" s="120">
        <f>$AF2043*U2043</f>
        <v>0</v>
      </c>
      <c r="U2043" s="723">
        <v>0</v>
      </c>
      <c r="V2043" s="120">
        <f>$AF2043*W2043</f>
        <v>0</v>
      </c>
      <c r="W2043" s="69">
        <v>0.15</v>
      </c>
      <c r="X2043" s="120">
        <f>$AF2043*Y2043</f>
        <v>0</v>
      </c>
      <c r="Y2043" s="69">
        <v>0.6</v>
      </c>
      <c r="Z2043" s="120">
        <f>$AF2043*AA2043</f>
        <v>0</v>
      </c>
      <c r="AA2043" s="69">
        <v>0.25</v>
      </c>
      <c r="AB2043" s="315">
        <f>$AF2043*AC2043</f>
        <v>0</v>
      </c>
      <c r="AC2043" s="69">
        <v>0</v>
      </c>
      <c r="AD2043" s="120">
        <f>$AF2043*AE2043</f>
        <v>0</v>
      </c>
      <c r="AE2043" s="69">
        <v>0</v>
      </c>
      <c r="AF2043" s="88">
        <f>'Terms and Turnovers'!Z216</f>
        <v>0</v>
      </c>
      <c r="AG2043" s="161">
        <f>SUM(U2043,W2043,Y2043,AA2043,AC2043,AE2043)</f>
        <v>1</v>
      </c>
      <c r="AH2043" s="158">
        <f>SUM(R2043,AF2043)</f>
        <v>0</v>
      </c>
      <c r="AI2043" s="134">
        <f>S2043+AG2043</f>
        <v>2</v>
      </c>
      <c r="AJ2043" s="65"/>
      <c r="AV2043" s="56"/>
    </row>
    <row r="2044" spans="1:48" ht="13.5" customHeight="1" outlineLevel="2" thickBot="1">
      <c r="B2044" s="82"/>
      <c r="C2044" s="1234"/>
      <c r="D2044" s="1234"/>
      <c r="E2044" s="84" t="str">
        <f>'Terms and Turnovers'!$AD$12</f>
        <v>ACCESSORIES</v>
      </c>
      <c r="F2044" s="121">
        <f>$R2044*G2044</f>
        <v>0</v>
      </c>
      <c r="G2044" s="723"/>
      <c r="H2044" s="121">
        <f>$R2044*I2044</f>
        <v>0</v>
      </c>
      <c r="I2044" s="69">
        <v>7.0000000000000007E-2</v>
      </c>
      <c r="J2044" s="120">
        <f>$R2044*K2044</f>
        <v>0</v>
      </c>
      <c r="K2044" s="69">
        <v>0.31</v>
      </c>
      <c r="L2044" s="120">
        <f>$R2044*M2044</f>
        <v>0</v>
      </c>
      <c r="M2044" s="69">
        <v>0.35</v>
      </c>
      <c r="N2044" s="315">
        <f>$R2044*O2044</f>
        <v>0</v>
      </c>
      <c r="O2044" s="69">
        <v>0.17</v>
      </c>
      <c r="P2044" s="121">
        <f>$R2044*Q2044</f>
        <v>0</v>
      </c>
      <c r="Q2044" s="69">
        <v>0.1</v>
      </c>
      <c r="R2044" s="88">
        <f>'Terms and Turnovers'!AE216</f>
        <v>0</v>
      </c>
      <c r="S2044" s="161">
        <f>SUM(G2044,I2044,K2044,M2044,O2044,Q2044)</f>
        <v>1</v>
      </c>
      <c r="T2044" s="120">
        <f>$AF2044*U2044</f>
        <v>0</v>
      </c>
      <c r="U2044" s="723">
        <v>0</v>
      </c>
      <c r="V2044" s="120">
        <f>$AF2044*W2044</f>
        <v>0</v>
      </c>
      <c r="W2044" s="69">
        <v>0.15</v>
      </c>
      <c r="X2044" s="120">
        <f>$AF2044*Y2044</f>
        <v>0</v>
      </c>
      <c r="Y2044" s="69">
        <v>0.6</v>
      </c>
      <c r="Z2044" s="120">
        <f>$AF2044*AA2044</f>
        <v>0</v>
      </c>
      <c r="AA2044" s="69">
        <v>0.25</v>
      </c>
      <c r="AB2044" s="315">
        <f>$AF2044*AC2044</f>
        <v>0</v>
      </c>
      <c r="AC2044" s="69">
        <v>0</v>
      </c>
      <c r="AD2044" s="120">
        <f>$AF2044*AE2044</f>
        <v>0</v>
      </c>
      <c r="AE2044" s="69">
        <v>0</v>
      </c>
      <c r="AF2044" s="88">
        <f>'Terms and Turnovers'!AJ216</f>
        <v>0</v>
      </c>
      <c r="AG2044" s="161">
        <f>SUM(U2044,W2044,Y2044,AA2044,AC2044,AE2044)</f>
        <v>1</v>
      </c>
      <c r="AH2044" s="158">
        <f>SUM(R2044,AF2044)</f>
        <v>0</v>
      </c>
      <c r="AI2044" s="134">
        <f>S2044+AG2044</f>
        <v>2</v>
      </c>
      <c r="AJ2044" s="65"/>
      <c r="AV2044" s="56"/>
    </row>
    <row r="2045" spans="1:48" ht="13.5" customHeight="1" outlineLevel="2" thickBot="1">
      <c r="B2045" s="82"/>
      <c r="C2045" s="1234"/>
      <c r="D2045" s="1234"/>
      <c r="E2045" s="84">
        <f>'Terms and Turnovers'!$AN$12</f>
        <v>0</v>
      </c>
      <c r="F2045" s="121">
        <f>$R2045*G2045</f>
        <v>0</v>
      </c>
      <c r="G2045" s="723"/>
      <c r="H2045" s="121">
        <f>$R2045*I2045</f>
        <v>0</v>
      </c>
      <c r="I2045" s="69">
        <v>7.0000000000000007E-2</v>
      </c>
      <c r="J2045" s="120">
        <f>$R2045*K2045</f>
        <v>0</v>
      </c>
      <c r="K2045" s="69">
        <v>0.31</v>
      </c>
      <c r="L2045" s="120">
        <f>$R2045*M2045</f>
        <v>0</v>
      </c>
      <c r="M2045" s="69">
        <v>0.35</v>
      </c>
      <c r="N2045" s="315">
        <f>$R2045*O2045</f>
        <v>0</v>
      </c>
      <c r="O2045" s="69">
        <v>0.17</v>
      </c>
      <c r="P2045" s="121">
        <f>$R2045*Q2045</f>
        <v>0</v>
      </c>
      <c r="Q2045" s="69">
        <v>0.1</v>
      </c>
      <c r="R2045" s="88">
        <f>'Terms and Turnovers'!AO216</f>
        <v>0</v>
      </c>
      <c r="S2045" s="161">
        <f>SUM(G2045,I2045,K2045,M2045,O2045,Q2045)</f>
        <v>1</v>
      </c>
      <c r="T2045" s="120">
        <f>$AF2045*U2045</f>
        <v>0</v>
      </c>
      <c r="U2045" s="723">
        <v>0</v>
      </c>
      <c r="V2045" s="120">
        <f>$AF2045*W2045</f>
        <v>0</v>
      </c>
      <c r="W2045" s="69">
        <v>0.4</v>
      </c>
      <c r="X2045" s="120">
        <f>$AF2045*Y2045</f>
        <v>0</v>
      </c>
      <c r="Y2045" s="69">
        <v>0.35</v>
      </c>
      <c r="Z2045" s="120">
        <f>$AF2045*AA2045</f>
        <v>0</v>
      </c>
      <c r="AA2045" s="69">
        <v>0.13</v>
      </c>
      <c r="AB2045" s="315">
        <f>$AF2045*AC2045</f>
        <v>0</v>
      </c>
      <c r="AC2045" s="69">
        <v>0.05</v>
      </c>
      <c r="AD2045" s="120">
        <f>$AF2045*AE2045</f>
        <v>0</v>
      </c>
      <c r="AE2045" s="69">
        <v>0.02</v>
      </c>
      <c r="AF2045" s="88">
        <f>'Terms and Turnovers'!AT216</f>
        <v>0</v>
      </c>
      <c r="AG2045" s="161">
        <f>SUM(U2045,W2045,Y2045,AA2045,AC2045,AE2045)</f>
        <v>0.95000000000000007</v>
      </c>
      <c r="AH2045" s="158">
        <f>SUM(R2045,AF2045)</f>
        <v>0</v>
      </c>
      <c r="AI2045" s="134">
        <f>S2045+AG2045</f>
        <v>1.9500000000000002</v>
      </c>
      <c r="AJ2045" s="65"/>
      <c r="AV2045" s="56"/>
    </row>
    <row r="2046" spans="1:48" ht="13.5" customHeight="1" outlineLevel="2" thickBot="1">
      <c r="B2046" s="82"/>
      <c r="C2046" s="1235"/>
      <c r="D2046" s="1235"/>
      <c r="E2046" s="85">
        <f>'Terms and Turnovers'!$AX$12</f>
        <v>0</v>
      </c>
      <c r="F2046" s="121">
        <f>$R2046*G2046</f>
        <v>0</v>
      </c>
      <c r="G2046" s="72"/>
      <c r="H2046" s="121">
        <f>$R2046*I2046</f>
        <v>0</v>
      </c>
      <c r="I2046" s="69">
        <v>7.0000000000000007E-2</v>
      </c>
      <c r="J2046" s="121">
        <f>$R2046*K2046</f>
        <v>0</v>
      </c>
      <c r="K2046" s="69">
        <v>0.31</v>
      </c>
      <c r="L2046" s="121">
        <f>$R2046*M2046</f>
        <v>0</v>
      </c>
      <c r="M2046" s="69">
        <v>0.35</v>
      </c>
      <c r="N2046" s="316">
        <f>$R2046*O2046</f>
        <v>0</v>
      </c>
      <c r="O2046" s="69">
        <v>0.17</v>
      </c>
      <c r="P2046" s="121">
        <f>$R2046*Q2046</f>
        <v>0</v>
      </c>
      <c r="Q2046" s="69">
        <v>0.1</v>
      </c>
      <c r="R2046" s="89">
        <f>'Terms and Turnovers'!AY216</f>
        <v>0</v>
      </c>
      <c r="S2046" s="162">
        <f>SUM(G2046,I2046,K2046,M2046,O2046,Q2046)</f>
        <v>1</v>
      </c>
      <c r="T2046" s="121">
        <f>$AF2046*U2046</f>
        <v>0</v>
      </c>
      <c r="U2046" s="72">
        <v>0</v>
      </c>
      <c r="V2046" s="121">
        <f>$AF2046*W2046</f>
        <v>0</v>
      </c>
      <c r="W2046" s="69">
        <v>0.4</v>
      </c>
      <c r="X2046" s="121">
        <f>$AF2046*Y2046</f>
        <v>0</v>
      </c>
      <c r="Y2046" s="69">
        <v>0.35</v>
      </c>
      <c r="Z2046" s="121">
        <f>$AF2046*AA2046</f>
        <v>0</v>
      </c>
      <c r="AA2046" s="69">
        <v>0.13</v>
      </c>
      <c r="AB2046" s="316">
        <f>$AF2046*AC2046</f>
        <v>0</v>
      </c>
      <c r="AC2046" s="69">
        <v>0.05</v>
      </c>
      <c r="AD2046" s="121">
        <f>$AF2046*AE2046</f>
        <v>0</v>
      </c>
      <c r="AE2046" s="69">
        <v>0.02</v>
      </c>
      <c r="AF2046" s="89">
        <f>'Terms and Turnovers'!BD216</f>
        <v>0</v>
      </c>
      <c r="AG2046" s="162">
        <f>SUM(U2046,W2046,Y2046,AA2046,AC2046,AE2046)</f>
        <v>0.95000000000000007</v>
      </c>
      <c r="AH2046" s="159">
        <f>SUM(R2046,AF2046)</f>
        <v>0</v>
      </c>
      <c r="AI2046" s="137">
        <f>S2046+AG2046</f>
        <v>1.9500000000000002</v>
      </c>
      <c r="AJ2046" s="65"/>
      <c r="AV2046" s="56"/>
    </row>
    <row r="2047" spans="1:48" ht="13.5" customHeight="1" outlineLevel="2" thickBot="1">
      <c r="A2047" s="119"/>
      <c r="B2047" s="82"/>
      <c r="C2047" s="425"/>
      <c r="D2047" s="425"/>
      <c r="E2047" s="426"/>
      <c r="F2047" s="427">
        <f>SUM(F2042:F2046)</f>
        <v>0</v>
      </c>
      <c r="G2047" s="428"/>
      <c r="H2047" s="427">
        <f>SUM(H2042:H2046)</f>
        <v>0</v>
      </c>
      <c r="I2047" s="69"/>
      <c r="J2047" s="427">
        <f>SUM(J2042:J2046)</f>
        <v>0</v>
      </c>
      <c r="K2047" s="69"/>
      <c r="L2047" s="427">
        <f>SUM(L2042:L2046)</f>
        <v>0</v>
      </c>
      <c r="M2047" s="69"/>
      <c r="N2047" s="427">
        <f>SUM(N2042:N2046)</f>
        <v>0</v>
      </c>
      <c r="O2047" s="69"/>
      <c r="P2047" s="427">
        <f>SUM(P2042:P2046)</f>
        <v>0</v>
      </c>
      <c r="Q2047" s="69"/>
      <c r="R2047" s="429"/>
      <c r="S2047" s="430"/>
      <c r="T2047" s="427">
        <f>SUM(T2042:T2046)</f>
        <v>0</v>
      </c>
      <c r="U2047" s="428"/>
      <c r="V2047" s="427">
        <f>SUM(V2042:V2046)</f>
        <v>0</v>
      </c>
      <c r="W2047" s="69"/>
      <c r="X2047" s="427">
        <f>SUM(X2042:X2046)</f>
        <v>0</v>
      </c>
      <c r="Y2047" s="69"/>
      <c r="Z2047" s="427">
        <f>SUM(Z2042:Z2046)</f>
        <v>0</v>
      </c>
      <c r="AA2047" s="69"/>
      <c r="AB2047" s="427">
        <f>SUM(AB2042:AB2046)</f>
        <v>0</v>
      </c>
      <c r="AC2047" s="69"/>
      <c r="AD2047" s="427">
        <f>SUM(AD2042:AD2046)</f>
        <v>0</v>
      </c>
      <c r="AE2047" s="69"/>
      <c r="AF2047" s="429"/>
      <c r="AG2047" s="430"/>
      <c r="AH2047" s="431"/>
      <c r="AI2047" s="432"/>
      <c r="AJ2047" s="65"/>
      <c r="AV2047" s="56"/>
    </row>
    <row r="2048" spans="1:48" ht="13.5" customHeight="1" outlineLevel="2" thickBot="1">
      <c r="A2048" s="119"/>
      <c r="B2048" s="82"/>
      <c r="C2048" s="433" t="s">
        <v>484</v>
      </c>
      <c r="D2048" s="433"/>
      <c r="E2048" s="426"/>
      <c r="F2048" s="434">
        <f>F2047</f>
        <v>0</v>
      </c>
      <c r="G2048" s="428"/>
      <c r="H2048" s="434">
        <f>H2047</f>
        <v>0</v>
      </c>
      <c r="I2048" s="69"/>
      <c r="J2048" s="434">
        <f>J2047</f>
        <v>0</v>
      </c>
      <c r="K2048" s="69"/>
      <c r="L2048" s="434">
        <f>L2047</f>
        <v>0</v>
      </c>
      <c r="M2048" s="69"/>
      <c r="N2048" s="434">
        <f>N2047</f>
        <v>0</v>
      </c>
      <c r="O2048" s="69"/>
      <c r="P2048" s="434">
        <f>P2047</f>
        <v>0</v>
      </c>
      <c r="Q2048" s="69"/>
      <c r="R2048" s="429"/>
      <c r="S2048" s="430"/>
      <c r="T2048" s="434">
        <f>T2046</f>
        <v>0</v>
      </c>
      <c r="U2048" s="428"/>
      <c r="V2048" s="434">
        <f>V2047</f>
        <v>0</v>
      </c>
      <c r="W2048" s="69"/>
      <c r="X2048" s="434">
        <f>X2047</f>
        <v>0</v>
      </c>
      <c r="Y2048" s="69">
        <f>W2046*0.3+Y2046*0.7</f>
        <v>0.36499999999999999</v>
      </c>
      <c r="Z2048" s="434">
        <f>Z2047</f>
        <v>0</v>
      </c>
      <c r="AA2048" s="69">
        <f>Y2046*0.3+AA2046*0.7</f>
        <v>0.19600000000000001</v>
      </c>
      <c r="AB2048" s="434">
        <f>AB2047</f>
        <v>0</v>
      </c>
      <c r="AC2048" s="69">
        <f>AA2046*0.3+AC2046*0.7</f>
        <v>7.3999999999999996E-2</v>
      </c>
      <c r="AD2048" s="434">
        <f>AD2047</f>
        <v>0</v>
      </c>
      <c r="AE2048" s="69"/>
      <c r="AF2048" s="429"/>
      <c r="AG2048" s="430"/>
      <c r="AH2048" s="431"/>
      <c r="AI2048" s="432"/>
      <c r="AJ2048" s="65"/>
      <c r="AV2048" s="56"/>
    </row>
    <row r="2049" spans="1:48" ht="13.5" customHeight="1" outlineLevel="2" thickBot="1">
      <c r="B2049" s="82">
        <f>B2042+1</f>
        <v>86</v>
      </c>
      <c r="C2049" s="1233">
        <f>C608</f>
        <v>0</v>
      </c>
      <c r="D2049" s="1233">
        <f>D608</f>
        <v>0</v>
      </c>
      <c r="E2049" s="83" t="str">
        <f>'Terms and Turnovers'!$J$12</f>
        <v>FLIP-FLOPS</v>
      </c>
      <c r="F2049" s="121">
        <f>$R2049*G2049</f>
        <v>0</v>
      </c>
      <c r="G2049" s="69"/>
      <c r="H2049" s="316">
        <f>$R2049*I2049</f>
        <v>0</v>
      </c>
      <c r="I2049" s="69">
        <v>7.0000000000000007E-2</v>
      </c>
      <c r="J2049" s="118">
        <f>$R2049*K2049</f>
        <v>0</v>
      </c>
      <c r="K2049" s="69">
        <v>0.31</v>
      </c>
      <c r="L2049" s="314">
        <f>$R2049*M2049</f>
        <v>0</v>
      </c>
      <c r="M2049" s="69">
        <v>0.35</v>
      </c>
      <c r="N2049" s="314">
        <f>$R2049*O2049</f>
        <v>0</v>
      </c>
      <c r="O2049" s="69">
        <v>0.17</v>
      </c>
      <c r="P2049" s="121">
        <f>$R2049*Q2049</f>
        <v>0</v>
      </c>
      <c r="Q2049" s="69">
        <v>0.1</v>
      </c>
      <c r="R2049" s="87">
        <f>'Terms and Turnovers'!K217</f>
        <v>0</v>
      </c>
      <c r="S2049" s="160">
        <f>SUM(G2049,I2049,K2049,M2049,O2049,Q2049)</f>
        <v>1</v>
      </c>
      <c r="T2049" s="118">
        <f>$AF2049*U2049</f>
        <v>0</v>
      </c>
      <c r="U2049" s="69">
        <v>0</v>
      </c>
      <c r="V2049" s="314">
        <f>$AF2049*W2049</f>
        <v>0</v>
      </c>
      <c r="W2049" s="69">
        <v>0.37</v>
      </c>
      <c r="X2049" s="118">
        <f>$AF2049*Y2049</f>
        <v>0</v>
      </c>
      <c r="Y2049" s="69">
        <v>0.43</v>
      </c>
      <c r="Z2049" s="314">
        <f>$AF2049*AA2049</f>
        <v>0</v>
      </c>
      <c r="AA2049" s="69">
        <v>0.13</v>
      </c>
      <c r="AB2049" s="314">
        <f>$AF2049*AC2049</f>
        <v>0</v>
      </c>
      <c r="AC2049" s="69">
        <v>0.05</v>
      </c>
      <c r="AD2049" s="118">
        <f>$AF2049*AE2049</f>
        <v>0</v>
      </c>
      <c r="AE2049" s="69">
        <v>0.02</v>
      </c>
      <c r="AF2049" s="87">
        <f>'Terms and Turnovers'!P217</f>
        <v>0</v>
      </c>
      <c r="AG2049" s="160">
        <f>SUM(U2049,W2049,Y2049,AA2049,AC2049,AE2049)</f>
        <v>1</v>
      </c>
      <c r="AH2049" s="157">
        <f>SUM(R2049,AF2049)</f>
        <v>0</v>
      </c>
      <c r="AI2049" s="131">
        <f>S2049+AG2049</f>
        <v>2</v>
      </c>
      <c r="AJ2049" s="65"/>
      <c r="AV2049" s="56"/>
    </row>
    <row r="2050" spans="1:48" ht="13.5" customHeight="1" outlineLevel="2" thickBot="1">
      <c r="B2050" s="82"/>
      <c r="C2050" s="1234"/>
      <c r="D2050" s="1234"/>
      <c r="E2050" s="84" t="str">
        <f>'Terms and Turnovers'!$T$12</f>
        <v>ORIGINALS</v>
      </c>
      <c r="F2050" s="121">
        <f>$R2050*G2050</f>
        <v>0</v>
      </c>
      <c r="G2050" s="723"/>
      <c r="H2050" s="121">
        <f>$R2050*I2050</f>
        <v>0</v>
      </c>
      <c r="I2050" s="69">
        <v>7.0000000000000007E-2</v>
      </c>
      <c r="J2050" s="120">
        <f>$R2050*K2050</f>
        <v>0</v>
      </c>
      <c r="K2050" s="69">
        <v>0.31</v>
      </c>
      <c r="L2050" s="120">
        <f>$R2050*M2050</f>
        <v>0</v>
      </c>
      <c r="M2050" s="69">
        <v>0.35</v>
      </c>
      <c r="N2050" s="315">
        <f>$R2050*O2050</f>
        <v>0</v>
      </c>
      <c r="O2050" s="69">
        <v>0.17</v>
      </c>
      <c r="P2050" s="121">
        <f>$R2050*Q2050</f>
        <v>0</v>
      </c>
      <c r="Q2050" s="69">
        <v>0.1</v>
      </c>
      <c r="R2050" s="88">
        <f>'Terms and Turnovers'!U217</f>
        <v>0</v>
      </c>
      <c r="S2050" s="161">
        <f>SUM(G2050,I2050,K2050,M2050,O2050,Q2050)</f>
        <v>1</v>
      </c>
      <c r="T2050" s="120">
        <f>$AF2050*U2050</f>
        <v>0</v>
      </c>
      <c r="U2050" s="723">
        <v>0</v>
      </c>
      <c r="V2050" s="120">
        <f>$AF2050*W2050</f>
        <v>0</v>
      </c>
      <c r="W2050" s="69">
        <v>0.15</v>
      </c>
      <c r="X2050" s="120">
        <f>$AF2050*Y2050</f>
        <v>0</v>
      </c>
      <c r="Y2050" s="69">
        <v>0.6</v>
      </c>
      <c r="Z2050" s="120">
        <f>$AF2050*AA2050</f>
        <v>0</v>
      </c>
      <c r="AA2050" s="69">
        <v>0.25</v>
      </c>
      <c r="AB2050" s="315">
        <f>$AF2050*AC2050</f>
        <v>0</v>
      </c>
      <c r="AC2050" s="69">
        <v>0</v>
      </c>
      <c r="AD2050" s="120">
        <f>$AF2050*AE2050</f>
        <v>0</v>
      </c>
      <c r="AE2050" s="69">
        <v>0</v>
      </c>
      <c r="AF2050" s="88">
        <f>'Terms and Turnovers'!Z217</f>
        <v>0</v>
      </c>
      <c r="AG2050" s="161">
        <f>SUM(U2050,W2050,Y2050,AA2050,AC2050,AE2050)</f>
        <v>1</v>
      </c>
      <c r="AH2050" s="158">
        <f>SUM(R2050,AF2050)</f>
        <v>0</v>
      </c>
      <c r="AI2050" s="134">
        <f>S2050+AG2050</f>
        <v>2</v>
      </c>
      <c r="AJ2050" s="65"/>
      <c r="AV2050" s="56"/>
    </row>
    <row r="2051" spans="1:48" ht="13.5" customHeight="1" outlineLevel="2" thickBot="1">
      <c r="B2051" s="82"/>
      <c r="C2051" s="1234"/>
      <c r="D2051" s="1234"/>
      <c r="E2051" s="84" t="str">
        <f>'Terms and Turnovers'!$AD$12</f>
        <v>ACCESSORIES</v>
      </c>
      <c r="F2051" s="121">
        <f>$R2051*G2051</f>
        <v>0</v>
      </c>
      <c r="G2051" s="723"/>
      <c r="H2051" s="121">
        <f>$R2051*I2051</f>
        <v>0</v>
      </c>
      <c r="I2051" s="69">
        <v>7.0000000000000007E-2</v>
      </c>
      <c r="J2051" s="120">
        <f>$R2051*K2051</f>
        <v>0</v>
      </c>
      <c r="K2051" s="69">
        <v>0.31</v>
      </c>
      <c r="L2051" s="120">
        <f>$R2051*M2051</f>
        <v>0</v>
      </c>
      <c r="M2051" s="69">
        <v>0.35</v>
      </c>
      <c r="N2051" s="315">
        <f>$R2051*O2051</f>
        <v>0</v>
      </c>
      <c r="O2051" s="69">
        <v>0.17</v>
      </c>
      <c r="P2051" s="121">
        <f>$R2051*Q2051</f>
        <v>0</v>
      </c>
      <c r="Q2051" s="69">
        <v>0.1</v>
      </c>
      <c r="R2051" s="88">
        <f>'Terms and Turnovers'!AE217</f>
        <v>0</v>
      </c>
      <c r="S2051" s="161">
        <f>SUM(G2051,I2051,K2051,M2051,O2051,Q2051)</f>
        <v>1</v>
      </c>
      <c r="T2051" s="120">
        <f>$AF2051*U2051</f>
        <v>0</v>
      </c>
      <c r="U2051" s="723">
        <v>0</v>
      </c>
      <c r="V2051" s="120">
        <f>$AF2051*W2051</f>
        <v>0</v>
      </c>
      <c r="W2051" s="69">
        <v>0.15</v>
      </c>
      <c r="X2051" s="120">
        <f>$AF2051*Y2051</f>
        <v>0</v>
      </c>
      <c r="Y2051" s="69">
        <v>0.6</v>
      </c>
      <c r="Z2051" s="120">
        <f>$AF2051*AA2051</f>
        <v>0</v>
      </c>
      <c r="AA2051" s="69">
        <v>0.25</v>
      </c>
      <c r="AB2051" s="315">
        <f>$AF2051*AC2051</f>
        <v>0</v>
      </c>
      <c r="AC2051" s="69">
        <v>0</v>
      </c>
      <c r="AD2051" s="120">
        <f>$AF2051*AE2051</f>
        <v>0</v>
      </c>
      <c r="AE2051" s="69">
        <v>0</v>
      </c>
      <c r="AF2051" s="88">
        <f>'Terms and Turnovers'!AJ217</f>
        <v>0</v>
      </c>
      <c r="AG2051" s="161">
        <f>SUM(U2051,W2051,Y2051,AA2051,AC2051,AE2051)</f>
        <v>1</v>
      </c>
      <c r="AH2051" s="158">
        <f>SUM(R2051,AF2051)</f>
        <v>0</v>
      </c>
      <c r="AI2051" s="134">
        <f>S2051+AG2051</f>
        <v>2</v>
      </c>
      <c r="AJ2051" s="65"/>
      <c r="AV2051" s="56"/>
    </row>
    <row r="2052" spans="1:48" ht="13.5" customHeight="1" outlineLevel="2" thickBot="1">
      <c r="B2052" s="82"/>
      <c r="C2052" s="1234"/>
      <c r="D2052" s="1234"/>
      <c r="E2052" s="84">
        <f>'Terms and Turnovers'!$AN$12</f>
        <v>0</v>
      </c>
      <c r="F2052" s="121">
        <f>$R2052*G2052</f>
        <v>0</v>
      </c>
      <c r="G2052" s="723"/>
      <c r="H2052" s="121">
        <f>$R2052*I2052</f>
        <v>0</v>
      </c>
      <c r="I2052" s="69">
        <v>7.0000000000000007E-2</v>
      </c>
      <c r="J2052" s="120">
        <f>$R2052*K2052</f>
        <v>0</v>
      </c>
      <c r="K2052" s="69">
        <v>0.31</v>
      </c>
      <c r="L2052" s="120">
        <f>$R2052*M2052</f>
        <v>0</v>
      </c>
      <c r="M2052" s="69">
        <v>0.35</v>
      </c>
      <c r="N2052" s="315">
        <f>$R2052*O2052</f>
        <v>0</v>
      </c>
      <c r="O2052" s="69">
        <v>0.17</v>
      </c>
      <c r="P2052" s="121">
        <f>$R2052*Q2052</f>
        <v>0</v>
      </c>
      <c r="Q2052" s="69">
        <v>0.1</v>
      </c>
      <c r="R2052" s="88">
        <f>'Terms and Turnovers'!AO217</f>
        <v>0</v>
      </c>
      <c r="S2052" s="161">
        <f>SUM(G2052,I2052,K2052,M2052,O2052,Q2052)</f>
        <v>1</v>
      </c>
      <c r="T2052" s="120">
        <f>$AF2052*U2052</f>
        <v>0</v>
      </c>
      <c r="U2052" s="723">
        <v>0</v>
      </c>
      <c r="V2052" s="120">
        <f>$AF2052*W2052</f>
        <v>0</v>
      </c>
      <c r="W2052" s="69">
        <v>0.4</v>
      </c>
      <c r="X2052" s="120">
        <f>$AF2052*Y2052</f>
        <v>0</v>
      </c>
      <c r="Y2052" s="69">
        <v>0.35</v>
      </c>
      <c r="Z2052" s="120">
        <f>$AF2052*AA2052</f>
        <v>0</v>
      </c>
      <c r="AA2052" s="69">
        <v>0.13</v>
      </c>
      <c r="AB2052" s="315">
        <f>$AF2052*AC2052</f>
        <v>0</v>
      </c>
      <c r="AC2052" s="69">
        <v>0.05</v>
      </c>
      <c r="AD2052" s="120">
        <f>$AF2052*AE2052</f>
        <v>0</v>
      </c>
      <c r="AE2052" s="69">
        <v>0.02</v>
      </c>
      <c r="AF2052" s="88">
        <f>'Terms and Turnovers'!AT217</f>
        <v>0</v>
      </c>
      <c r="AG2052" s="161">
        <f>SUM(U2052,W2052,Y2052,AA2052,AC2052,AE2052)</f>
        <v>0.95000000000000007</v>
      </c>
      <c r="AH2052" s="158">
        <f>SUM(R2052,AF2052)</f>
        <v>0</v>
      </c>
      <c r="AI2052" s="134">
        <f>S2052+AG2052</f>
        <v>1.9500000000000002</v>
      </c>
      <c r="AJ2052" s="65"/>
      <c r="AV2052" s="56"/>
    </row>
    <row r="2053" spans="1:48" ht="13.5" customHeight="1" outlineLevel="2" thickBot="1">
      <c r="B2053" s="82"/>
      <c r="C2053" s="1235"/>
      <c r="D2053" s="1235"/>
      <c r="E2053" s="85">
        <f>'Terms and Turnovers'!$AX$12</f>
        <v>0</v>
      </c>
      <c r="F2053" s="121">
        <f>$R2053*G2053</f>
        <v>0</v>
      </c>
      <c r="G2053" s="72"/>
      <c r="H2053" s="121">
        <f>$R2053*I2053</f>
        <v>0</v>
      </c>
      <c r="I2053" s="69">
        <v>7.0000000000000007E-2</v>
      </c>
      <c r="J2053" s="121">
        <f>$R2053*K2053</f>
        <v>0</v>
      </c>
      <c r="K2053" s="69">
        <v>0.31</v>
      </c>
      <c r="L2053" s="121">
        <f>$R2053*M2053</f>
        <v>0</v>
      </c>
      <c r="M2053" s="69">
        <v>0.35</v>
      </c>
      <c r="N2053" s="316">
        <f>$R2053*O2053</f>
        <v>0</v>
      </c>
      <c r="O2053" s="69">
        <v>0.17</v>
      </c>
      <c r="P2053" s="121">
        <f>$R2053*Q2053</f>
        <v>0</v>
      </c>
      <c r="Q2053" s="69">
        <v>0.1</v>
      </c>
      <c r="R2053" s="89">
        <f>'Terms and Turnovers'!AY217</f>
        <v>0</v>
      </c>
      <c r="S2053" s="162">
        <f>SUM(G2053,I2053,K2053,M2053,O2053,Q2053)</f>
        <v>1</v>
      </c>
      <c r="T2053" s="121">
        <f>$AF2053*U2053</f>
        <v>0</v>
      </c>
      <c r="U2053" s="72">
        <v>0</v>
      </c>
      <c r="V2053" s="121">
        <f>$AF2053*W2053</f>
        <v>0</v>
      </c>
      <c r="W2053" s="69">
        <v>0.4</v>
      </c>
      <c r="X2053" s="121">
        <f>$AF2053*Y2053</f>
        <v>0</v>
      </c>
      <c r="Y2053" s="69">
        <v>0.35</v>
      </c>
      <c r="Z2053" s="121">
        <f>$AF2053*AA2053</f>
        <v>0</v>
      </c>
      <c r="AA2053" s="69">
        <v>0.13</v>
      </c>
      <c r="AB2053" s="316">
        <f>$AF2053*AC2053</f>
        <v>0</v>
      </c>
      <c r="AC2053" s="69">
        <v>0.05</v>
      </c>
      <c r="AD2053" s="121">
        <f>$AF2053*AE2053</f>
        <v>0</v>
      </c>
      <c r="AE2053" s="69">
        <v>0.02</v>
      </c>
      <c r="AF2053" s="89">
        <f>'Terms and Turnovers'!BD217</f>
        <v>0</v>
      </c>
      <c r="AG2053" s="162">
        <f>SUM(U2053,W2053,Y2053,AA2053,AC2053,AE2053)</f>
        <v>0.95000000000000007</v>
      </c>
      <c r="AH2053" s="159">
        <f>SUM(R2053,AF2053)</f>
        <v>0</v>
      </c>
      <c r="AI2053" s="137">
        <f>S2053+AG2053</f>
        <v>1.9500000000000002</v>
      </c>
      <c r="AJ2053" s="65"/>
      <c r="AV2053" s="56"/>
    </row>
    <row r="2054" spans="1:48" ht="13.5" customHeight="1" outlineLevel="2" thickBot="1">
      <c r="A2054" s="119"/>
      <c r="B2054" s="82"/>
      <c r="C2054" s="425"/>
      <c r="D2054" s="425"/>
      <c r="E2054" s="426"/>
      <c r="F2054" s="427">
        <f>SUM(F2049:F2053)</f>
        <v>0</v>
      </c>
      <c r="G2054" s="428"/>
      <c r="H2054" s="427">
        <f>SUM(H2049:H2053)</f>
        <v>0</v>
      </c>
      <c r="I2054" s="69"/>
      <c r="J2054" s="427">
        <f>SUM(J2049:J2053)</f>
        <v>0</v>
      </c>
      <c r="K2054" s="69"/>
      <c r="L2054" s="427">
        <f>SUM(L2049:L2053)</f>
        <v>0</v>
      </c>
      <c r="M2054" s="69"/>
      <c r="N2054" s="427">
        <f>SUM(N2049:N2053)</f>
        <v>0</v>
      </c>
      <c r="O2054" s="69"/>
      <c r="P2054" s="427">
        <f>SUM(P2049:P2053)</f>
        <v>0</v>
      </c>
      <c r="Q2054" s="69"/>
      <c r="R2054" s="429"/>
      <c r="S2054" s="430"/>
      <c r="T2054" s="427">
        <f>SUM(T2049:T2053)</f>
        <v>0</v>
      </c>
      <c r="U2054" s="428"/>
      <c r="V2054" s="427">
        <f>SUM(V2049:V2053)</f>
        <v>0</v>
      </c>
      <c r="W2054" s="69"/>
      <c r="X2054" s="427">
        <f>SUM(X2049:X2053)</f>
        <v>0</v>
      </c>
      <c r="Y2054" s="69"/>
      <c r="Z2054" s="427">
        <f>SUM(Z2049:Z2053)</f>
        <v>0</v>
      </c>
      <c r="AA2054" s="69"/>
      <c r="AB2054" s="427">
        <f>SUM(AB2049:AB2053)</f>
        <v>0</v>
      </c>
      <c r="AC2054" s="69"/>
      <c r="AD2054" s="427">
        <f>SUM(AD2049:AD2053)</f>
        <v>0</v>
      </c>
      <c r="AE2054" s="69"/>
      <c r="AF2054" s="429"/>
      <c r="AG2054" s="430"/>
      <c r="AH2054" s="431"/>
      <c r="AI2054" s="432"/>
      <c r="AJ2054" s="65"/>
      <c r="AV2054" s="56"/>
    </row>
    <row r="2055" spans="1:48" ht="13.5" customHeight="1" outlineLevel="2" thickBot="1">
      <c r="A2055" s="119"/>
      <c r="B2055" s="82"/>
      <c r="C2055" s="433" t="s">
        <v>484</v>
      </c>
      <c r="D2055" s="433"/>
      <c r="E2055" s="426"/>
      <c r="F2055" s="434">
        <f>F2054</f>
        <v>0</v>
      </c>
      <c r="G2055" s="428"/>
      <c r="H2055" s="434">
        <f>H2054</f>
        <v>0</v>
      </c>
      <c r="I2055" s="69"/>
      <c r="J2055" s="434">
        <f>J2054</f>
        <v>0</v>
      </c>
      <c r="K2055" s="69"/>
      <c r="L2055" s="434">
        <f>L2054</f>
        <v>0</v>
      </c>
      <c r="M2055" s="69"/>
      <c r="N2055" s="434">
        <f>N2054</f>
        <v>0</v>
      </c>
      <c r="O2055" s="69"/>
      <c r="P2055" s="434">
        <f>P2054</f>
        <v>0</v>
      </c>
      <c r="Q2055" s="69"/>
      <c r="R2055" s="429"/>
      <c r="S2055" s="430"/>
      <c r="T2055" s="434">
        <f>T2053</f>
        <v>0</v>
      </c>
      <c r="U2055" s="428"/>
      <c r="V2055" s="434">
        <f>V2054</f>
        <v>0</v>
      </c>
      <c r="W2055" s="69"/>
      <c r="X2055" s="434">
        <f>X2054</f>
        <v>0</v>
      </c>
      <c r="Y2055" s="69">
        <f>W2053*0.3+Y2053*0.7</f>
        <v>0.36499999999999999</v>
      </c>
      <c r="Z2055" s="434">
        <f>Z2054</f>
        <v>0</v>
      </c>
      <c r="AA2055" s="69">
        <f>Y2053*0.3+AA2053*0.7</f>
        <v>0.19600000000000001</v>
      </c>
      <c r="AB2055" s="434">
        <f>AB2054</f>
        <v>0</v>
      </c>
      <c r="AC2055" s="69">
        <f>AA2053*0.3+AC2053*0.7</f>
        <v>7.3999999999999996E-2</v>
      </c>
      <c r="AD2055" s="434">
        <f>AD2054</f>
        <v>0</v>
      </c>
      <c r="AE2055" s="69"/>
      <c r="AF2055" s="429"/>
      <c r="AG2055" s="430"/>
      <c r="AH2055" s="431"/>
      <c r="AI2055" s="432"/>
      <c r="AJ2055" s="65"/>
      <c r="AV2055" s="56"/>
    </row>
    <row r="2056" spans="1:48" ht="13.5" customHeight="1" outlineLevel="2" thickBot="1">
      <c r="B2056" s="82">
        <f>B2049+1</f>
        <v>87</v>
      </c>
      <c r="C2056" s="1233">
        <f>C615</f>
        <v>0</v>
      </c>
      <c r="D2056" s="1233">
        <f>D615</f>
        <v>0</v>
      </c>
      <c r="E2056" s="83" t="str">
        <f>'Terms and Turnovers'!$J$12</f>
        <v>FLIP-FLOPS</v>
      </c>
      <c r="F2056" s="121">
        <f>$R2056*G2056</f>
        <v>0</v>
      </c>
      <c r="G2056" s="69"/>
      <c r="H2056" s="316">
        <f>$R2056*I2056</f>
        <v>0</v>
      </c>
      <c r="I2056" s="69">
        <v>7.0000000000000007E-2</v>
      </c>
      <c r="J2056" s="118">
        <f>$R2056*K2056</f>
        <v>0</v>
      </c>
      <c r="K2056" s="69">
        <v>0.31</v>
      </c>
      <c r="L2056" s="314">
        <f>$R2056*M2056</f>
        <v>0</v>
      </c>
      <c r="M2056" s="69">
        <v>0.35</v>
      </c>
      <c r="N2056" s="314">
        <f>$R2056*O2056</f>
        <v>0</v>
      </c>
      <c r="O2056" s="69">
        <v>0.17</v>
      </c>
      <c r="P2056" s="121">
        <f>$R2056*Q2056</f>
        <v>0</v>
      </c>
      <c r="Q2056" s="69">
        <v>0.1</v>
      </c>
      <c r="R2056" s="87">
        <f>'Terms and Turnovers'!K218</f>
        <v>0</v>
      </c>
      <c r="S2056" s="160">
        <f>SUM(G2056,I2056,K2056,M2056,O2056,Q2056)</f>
        <v>1</v>
      </c>
      <c r="T2056" s="118">
        <f>$AF2056*U2056</f>
        <v>0</v>
      </c>
      <c r="U2056" s="69">
        <v>0</v>
      </c>
      <c r="V2056" s="314">
        <f>$AF2056*W2056</f>
        <v>0</v>
      </c>
      <c r="W2056" s="69">
        <v>0.37</v>
      </c>
      <c r="X2056" s="118">
        <f>$AF2056*Y2056</f>
        <v>0</v>
      </c>
      <c r="Y2056" s="69">
        <v>0.43</v>
      </c>
      <c r="Z2056" s="314">
        <f>$AF2056*AA2056</f>
        <v>0</v>
      </c>
      <c r="AA2056" s="69">
        <v>0.13</v>
      </c>
      <c r="AB2056" s="314">
        <f>$AF2056*AC2056</f>
        <v>0</v>
      </c>
      <c r="AC2056" s="69">
        <v>0.05</v>
      </c>
      <c r="AD2056" s="118">
        <f>$AF2056*AE2056</f>
        <v>0</v>
      </c>
      <c r="AE2056" s="69">
        <v>0.02</v>
      </c>
      <c r="AF2056" s="87">
        <f>'Terms and Turnovers'!P218</f>
        <v>0</v>
      </c>
      <c r="AG2056" s="160">
        <f>SUM(U2056,W2056,Y2056,AA2056,AC2056,AE2056)</f>
        <v>1</v>
      </c>
      <c r="AH2056" s="157">
        <f>SUM(R2056,AF2056)</f>
        <v>0</v>
      </c>
      <c r="AI2056" s="131">
        <f>S2056+AG2056</f>
        <v>2</v>
      </c>
      <c r="AJ2056" s="65"/>
      <c r="AV2056" s="56"/>
    </row>
    <row r="2057" spans="1:48" ht="13.5" customHeight="1" outlineLevel="2" thickBot="1">
      <c r="B2057" s="82"/>
      <c r="C2057" s="1234"/>
      <c r="D2057" s="1234"/>
      <c r="E2057" s="84" t="str">
        <f>'Terms and Turnovers'!$T$12</f>
        <v>ORIGINALS</v>
      </c>
      <c r="F2057" s="121">
        <f>$R2057*G2057</f>
        <v>0</v>
      </c>
      <c r="G2057" s="723"/>
      <c r="H2057" s="121">
        <f>$R2057*I2057</f>
        <v>0</v>
      </c>
      <c r="I2057" s="69">
        <v>7.0000000000000007E-2</v>
      </c>
      <c r="J2057" s="120">
        <f>$R2057*K2057</f>
        <v>0</v>
      </c>
      <c r="K2057" s="69">
        <v>0.31</v>
      </c>
      <c r="L2057" s="120">
        <f>$R2057*M2057</f>
        <v>0</v>
      </c>
      <c r="M2057" s="69">
        <v>0.35</v>
      </c>
      <c r="N2057" s="315">
        <f>$R2057*O2057</f>
        <v>0</v>
      </c>
      <c r="O2057" s="69">
        <v>0.17</v>
      </c>
      <c r="P2057" s="121">
        <f>$R2057*Q2057</f>
        <v>0</v>
      </c>
      <c r="Q2057" s="69">
        <v>0.1</v>
      </c>
      <c r="R2057" s="88">
        <f>'Terms and Turnovers'!U218</f>
        <v>0</v>
      </c>
      <c r="S2057" s="161">
        <f>SUM(G2057,I2057,K2057,M2057,O2057,Q2057)</f>
        <v>1</v>
      </c>
      <c r="T2057" s="120">
        <f>$AF2057*U2057</f>
        <v>0</v>
      </c>
      <c r="U2057" s="723">
        <v>0</v>
      </c>
      <c r="V2057" s="120">
        <f>$AF2057*W2057</f>
        <v>0</v>
      </c>
      <c r="W2057" s="69">
        <v>0.15</v>
      </c>
      <c r="X2057" s="120">
        <f>$AF2057*Y2057</f>
        <v>0</v>
      </c>
      <c r="Y2057" s="69">
        <v>0.6</v>
      </c>
      <c r="Z2057" s="120">
        <f>$AF2057*AA2057</f>
        <v>0</v>
      </c>
      <c r="AA2057" s="69">
        <v>0.25</v>
      </c>
      <c r="AB2057" s="315">
        <f>$AF2057*AC2057</f>
        <v>0</v>
      </c>
      <c r="AC2057" s="69">
        <v>0</v>
      </c>
      <c r="AD2057" s="120">
        <f>$AF2057*AE2057</f>
        <v>0</v>
      </c>
      <c r="AE2057" s="69">
        <v>0</v>
      </c>
      <c r="AF2057" s="88">
        <f>'Terms and Turnovers'!Z218</f>
        <v>0</v>
      </c>
      <c r="AG2057" s="161">
        <f>SUM(U2057,W2057,Y2057,AA2057,AC2057,AE2057)</f>
        <v>1</v>
      </c>
      <c r="AH2057" s="158">
        <f>SUM(R2057,AF2057)</f>
        <v>0</v>
      </c>
      <c r="AI2057" s="134">
        <f>S2057+AG2057</f>
        <v>2</v>
      </c>
      <c r="AJ2057" s="65"/>
      <c r="AV2057" s="56"/>
    </row>
    <row r="2058" spans="1:48" ht="13.5" customHeight="1" outlineLevel="2" thickBot="1">
      <c r="B2058" s="82"/>
      <c r="C2058" s="1234"/>
      <c r="D2058" s="1234"/>
      <c r="E2058" s="84" t="str">
        <f>'Terms and Turnovers'!$AD$12</f>
        <v>ACCESSORIES</v>
      </c>
      <c r="F2058" s="121">
        <f>$R2058*G2058</f>
        <v>0</v>
      </c>
      <c r="G2058" s="723"/>
      <c r="H2058" s="121">
        <f>$R2058*I2058</f>
        <v>0</v>
      </c>
      <c r="I2058" s="69">
        <v>7.0000000000000007E-2</v>
      </c>
      <c r="J2058" s="120">
        <f>$R2058*K2058</f>
        <v>0</v>
      </c>
      <c r="K2058" s="69">
        <v>0.31</v>
      </c>
      <c r="L2058" s="120">
        <f>$R2058*M2058</f>
        <v>0</v>
      </c>
      <c r="M2058" s="69">
        <v>0.35</v>
      </c>
      <c r="N2058" s="315">
        <f>$R2058*O2058</f>
        <v>0</v>
      </c>
      <c r="O2058" s="69">
        <v>0.17</v>
      </c>
      <c r="P2058" s="121">
        <f>$R2058*Q2058</f>
        <v>0</v>
      </c>
      <c r="Q2058" s="69">
        <v>0.1</v>
      </c>
      <c r="R2058" s="88">
        <f>'Terms and Turnovers'!AE218</f>
        <v>0</v>
      </c>
      <c r="S2058" s="161">
        <f>SUM(G2058,I2058,K2058,M2058,O2058,Q2058)</f>
        <v>1</v>
      </c>
      <c r="T2058" s="120">
        <f>$AF2058*U2058</f>
        <v>0</v>
      </c>
      <c r="U2058" s="723">
        <v>0</v>
      </c>
      <c r="V2058" s="120">
        <f>$AF2058*W2058</f>
        <v>0</v>
      </c>
      <c r="W2058" s="69">
        <v>0.15</v>
      </c>
      <c r="X2058" s="120">
        <f>$AF2058*Y2058</f>
        <v>0</v>
      </c>
      <c r="Y2058" s="69">
        <v>0.6</v>
      </c>
      <c r="Z2058" s="120">
        <f>$AF2058*AA2058</f>
        <v>0</v>
      </c>
      <c r="AA2058" s="69">
        <v>0.25</v>
      </c>
      <c r="AB2058" s="315">
        <f>$AF2058*AC2058</f>
        <v>0</v>
      </c>
      <c r="AC2058" s="69">
        <v>0</v>
      </c>
      <c r="AD2058" s="120">
        <f>$AF2058*AE2058</f>
        <v>0</v>
      </c>
      <c r="AE2058" s="69">
        <v>0</v>
      </c>
      <c r="AF2058" s="88">
        <f>'Terms and Turnovers'!AJ218</f>
        <v>0</v>
      </c>
      <c r="AG2058" s="161">
        <f>SUM(U2058,W2058,Y2058,AA2058,AC2058,AE2058)</f>
        <v>1</v>
      </c>
      <c r="AH2058" s="158">
        <f>SUM(R2058,AF2058)</f>
        <v>0</v>
      </c>
      <c r="AI2058" s="134">
        <f>S2058+AG2058</f>
        <v>2</v>
      </c>
      <c r="AJ2058" s="65"/>
      <c r="AV2058" s="56"/>
    </row>
    <row r="2059" spans="1:48" ht="13.5" customHeight="1" outlineLevel="2" thickBot="1">
      <c r="B2059" s="82"/>
      <c r="C2059" s="1234"/>
      <c r="D2059" s="1234"/>
      <c r="E2059" s="84">
        <f>'Terms and Turnovers'!$AN$12</f>
        <v>0</v>
      </c>
      <c r="F2059" s="121">
        <f>$R2059*G2059</f>
        <v>0</v>
      </c>
      <c r="G2059" s="723"/>
      <c r="H2059" s="121">
        <f>$R2059*I2059</f>
        <v>0</v>
      </c>
      <c r="I2059" s="69">
        <v>7.0000000000000007E-2</v>
      </c>
      <c r="J2059" s="120">
        <f>$R2059*K2059</f>
        <v>0</v>
      </c>
      <c r="K2059" s="69">
        <v>0.31</v>
      </c>
      <c r="L2059" s="120">
        <f>$R2059*M2059</f>
        <v>0</v>
      </c>
      <c r="M2059" s="69">
        <v>0.35</v>
      </c>
      <c r="N2059" s="315">
        <f>$R2059*O2059</f>
        <v>0</v>
      </c>
      <c r="O2059" s="69">
        <v>0.17</v>
      </c>
      <c r="P2059" s="121">
        <f>$R2059*Q2059</f>
        <v>0</v>
      </c>
      <c r="Q2059" s="69">
        <v>0.1</v>
      </c>
      <c r="R2059" s="88">
        <f>'Terms and Turnovers'!AO218</f>
        <v>0</v>
      </c>
      <c r="S2059" s="161">
        <f>SUM(G2059,I2059,K2059,M2059,O2059,Q2059)</f>
        <v>1</v>
      </c>
      <c r="T2059" s="120">
        <f>$AF2059*U2059</f>
        <v>0</v>
      </c>
      <c r="U2059" s="723">
        <v>0</v>
      </c>
      <c r="V2059" s="120">
        <f>$AF2059*W2059</f>
        <v>0</v>
      </c>
      <c r="W2059" s="69">
        <v>0.4</v>
      </c>
      <c r="X2059" s="120">
        <f>$AF2059*Y2059</f>
        <v>0</v>
      </c>
      <c r="Y2059" s="69">
        <v>0.35</v>
      </c>
      <c r="Z2059" s="120">
        <f>$AF2059*AA2059</f>
        <v>0</v>
      </c>
      <c r="AA2059" s="69">
        <v>0.13</v>
      </c>
      <c r="AB2059" s="315">
        <f>$AF2059*AC2059</f>
        <v>0</v>
      </c>
      <c r="AC2059" s="69">
        <v>0.05</v>
      </c>
      <c r="AD2059" s="120">
        <f>$AF2059*AE2059</f>
        <v>0</v>
      </c>
      <c r="AE2059" s="69">
        <v>0.02</v>
      </c>
      <c r="AF2059" s="88">
        <f>'Terms and Turnovers'!AT218</f>
        <v>0</v>
      </c>
      <c r="AG2059" s="161">
        <f>SUM(U2059,W2059,Y2059,AA2059,AC2059,AE2059)</f>
        <v>0.95000000000000007</v>
      </c>
      <c r="AH2059" s="158">
        <f>SUM(R2059,AF2059)</f>
        <v>0</v>
      </c>
      <c r="AI2059" s="134">
        <f>S2059+AG2059</f>
        <v>1.9500000000000002</v>
      </c>
      <c r="AJ2059" s="65"/>
      <c r="AV2059" s="56"/>
    </row>
    <row r="2060" spans="1:48" ht="13.5" customHeight="1" outlineLevel="2" thickBot="1">
      <c r="B2060" s="82"/>
      <c r="C2060" s="1235"/>
      <c r="D2060" s="1235"/>
      <c r="E2060" s="85">
        <f>'Terms and Turnovers'!$AX$12</f>
        <v>0</v>
      </c>
      <c r="F2060" s="121">
        <f>$R2060*G2060</f>
        <v>0</v>
      </c>
      <c r="G2060" s="72"/>
      <c r="H2060" s="121">
        <f>$R2060*I2060</f>
        <v>0</v>
      </c>
      <c r="I2060" s="69">
        <v>7.0000000000000007E-2</v>
      </c>
      <c r="J2060" s="121">
        <f>$R2060*K2060</f>
        <v>0</v>
      </c>
      <c r="K2060" s="69">
        <v>0.31</v>
      </c>
      <c r="L2060" s="121">
        <f>$R2060*M2060</f>
        <v>0</v>
      </c>
      <c r="M2060" s="69">
        <v>0.35</v>
      </c>
      <c r="N2060" s="316">
        <f>$R2060*O2060</f>
        <v>0</v>
      </c>
      <c r="O2060" s="69">
        <v>0.17</v>
      </c>
      <c r="P2060" s="121">
        <f>$R2060*Q2060</f>
        <v>0</v>
      </c>
      <c r="Q2060" s="69">
        <v>0.1</v>
      </c>
      <c r="R2060" s="89">
        <f>'Terms and Turnovers'!AY218</f>
        <v>0</v>
      </c>
      <c r="S2060" s="162">
        <f>SUM(G2060,I2060,K2060,M2060,O2060,Q2060)</f>
        <v>1</v>
      </c>
      <c r="T2060" s="121">
        <f>$AF2060*U2060</f>
        <v>0</v>
      </c>
      <c r="U2060" s="72">
        <v>0</v>
      </c>
      <c r="V2060" s="121">
        <f>$AF2060*W2060</f>
        <v>0</v>
      </c>
      <c r="W2060" s="69">
        <v>0.4</v>
      </c>
      <c r="X2060" s="121">
        <f>$AF2060*Y2060</f>
        <v>0</v>
      </c>
      <c r="Y2060" s="69">
        <v>0.35</v>
      </c>
      <c r="Z2060" s="121">
        <f>$AF2060*AA2060</f>
        <v>0</v>
      </c>
      <c r="AA2060" s="69">
        <v>0.13</v>
      </c>
      <c r="AB2060" s="316">
        <f>$AF2060*AC2060</f>
        <v>0</v>
      </c>
      <c r="AC2060" s="69">
        <v>0.05</v>
      </c>
      <c r="AD2060" s="121">
        <f>$AF2060*AE2060</f>
        <v>0</v>
      </c>
      <c r="AE2060" s="69">
        <v>0.02</v>
      </c>
      <c r="AF2060" s="89">
        <f>'Terms and Turnovers'!BD218</f>
        <v>0</v>
      </c>
      <c r="AG2060" s="162">
        <f>SUM(U2060,W2060,Y2060,AA2060,AC2060,AE2060)</f>
        <v>0.95000000000000007</v>
      </c>
      <c r="AH2060" s="159">
        <f>SUM(R2060,AF2060)</f>
        <v>0</v>
      </c>
      <c r="AI2060" s="137">
        <f>S2060+AG2060</f>
        <v>1.9500000000000002</v>
      </c>
      <c r="AJ2060" s="65"/>
      <c r="AV2060" s="56"/>
    </row>
    <row r="2061" spans="1:48" ht="13.5" customHeight="1" outlineLevel="2" thickBot="1">
      <c r="A2061" s="119"/>
      <c r="B2061" s="82"/>
      <c r="C2061" s="425"/>
      <c r="D2061" s="425"/>
      <c r="E2061" s="426"/>
      <c r="F2061" s="427">
        <f>SUM(F2056:F2060)</f>
        <v>0</v>
      </c>
      <c r="G2061" s="428"/>
      <c r="H2061" s="427">
        <f>SUM(H2056:H2060)</f>
        <v>0</v>
      </c>
      <c r="I2061" s="69"/>
      <c r="J2061" s="427">
        <f>SUM(J2056:J2060)</f>
        <v>0</v>
      </c>
      <c r="K2061" s="69"/>
      <c r="L2061" s="427">
        <f>SUM(L2056:L2060)</f>
        <v>0</v>
      </c>
      <c r="M2061" s="69"/>
      <c r="N2061" s="427">
        <f>SUM(N2056:N2060)</f>
        <v>0</v>
      </c>
      <c r="O2061" s="69"/>
      <c r="P2061" s="427">
        <f>SUM(P2056:P2060)</f>
        <v>0</v>
      </c>
      <c r="Q2061" s="69"/>
      <c r="R2061" s="429"/>
      <c r="S2061" s="430"/>
      <c r="T2061" s="427">
        <f>SUM(T2056:T2060)</f>
        <v>0</v>
      </c>
      <c r="U2061" s="428"/>
      <c r="V2061" s="427">
        <f>SUM(V2056:V2060)</f>
        <v>0</v>
      </c>
      <c r="W2061" s="69"/>
      <c r="X2061" s="427">
        <f>SUM(X2056:X2060)</f>
        <v>0</v>
      </c>
      <c r="Y2061" s="69"/>
      <c r="Z2061" s="427">
        <f>SUM(Z2056:Z2060)</f>
        <v>0</v>
      </c>
      <c r="AA2061" s="69"/>
      <c r="AB2061" s="427">
        <f>SUM(AB2056:AB2060)</f>
        <v>0</v>
      </c>
      <c r="AC2061" s="69"/>
      <c r="AD2061" s="427">
        <f>SUM(AD2056:AD2060)</f>
        <v>0</v>
      </c>
      <c r="AE2061" s="69"/>
      <c r="AF2061" s="429"/>
      <c r="AG2061" s="430"/>
      <c r="AH2061" s="431"/>
      <c r="AI2061" s="432"/>
      <c r="AJ2061" s="65"/>
      <c r="AV2061" s="56"/>
    </row>
    <row r="2062" spans="1:48" ht="13.5" customHeight="1" outlineLevel="2" thickBot="1">
      <c r="A2062" s="119"/>
      <c r="B2062" s="82"/>
      <c r="C2062" s="433" t="s">
        <v>484</v>
      </c>
      <c r="D2062" s="433"/>
      <c r="E2062" s="426"/>
      <c r="F2062" s="434">
        <f>F2061</f>
        <v>0</v>
      </c>
      <c r="G2062" s="428"/>
      <c r="H2062" s="434">
        <f>H2061</f>
        <v>0</v>
      </c>
      <c r="I2062" s="69"/>
      <c r="J2062" s="434">
        <f>J2061</f>
        <v>0</v>
      </c>
      <c r="K2062" s="69"/>
      <c r="L2062" s="434">
        <f>L2061</f>
        <v>0</v>
      </c>
      <c r="M2062" s="69"/>
      <c r="N2062" s="434">
        <f>N2061</f>
        <v>0</v>
      </c>
      <c r="O2062" s="69"/>
      <c r="P2062" s="434">
        <f>P2061</f>
        <v>0</v>
      </c>
      <c r="Q2062" s="69"/>
      <c r="R2062" s="429"/>
      <c r="S2062" s="430"/>
      <c r="T2062" s="434">
        <f>T2060</f>
        <v>0</v>
      </c>
      <c r="U2062" s="428"/>
      <c r="V2062" s="434">
        <f>V2061</f>
        <v>0</v>
      </c>
      <c r="W2062" s="69"/>
      <c r="X2062" s="434">
        <f>X2061</f>
        <v>0</v>
      </c>
      <c r="Y2062" s="69">
        <f>W2060*0.3+Y2060*0.7</f>
        <v>0.36499999999999999</v>
      </c>
      <c r="Z2062" s="434">
        <f>Z2061</f>
        <v>0</v>
      </c>
      <c r="AA2062" s="69">
        <f>Y2060*0.3+AA2060*0.7</f>
        <v>0.19600000000000001</v>
      </c>
      <c r="AB2062" s="434">
        <f>AB2061</f>
        <v>0</v>
      </c>
      <c r="AC2062" s="69">
        <f>AA2060*0.3+AC2060*0.7</f>
        <v>7.3999999999999996E-2</v>
      </c>
      <c r="AD2062" s="434">
        <f>AD2061</f>
        <v>0</v>
      </c>
      <c r="AE2062" s="69"/>
      <c r="AF2062" s="429"/>
      <c r="AG2062" s="430"/>
      <c r="AH2062" s="431"/>
      <c r="AI2062" s="432"/>
      <c r="AJ2062" s="65"/>
      <c r="AV2062" s="56"/>
    </row>
    <row r="2063" spans="1:48" ht="13.5" customHeight="1" outlineLevel="2" thickBot="1">
      <c r="B2063" s="82">
        <f>B2056+1</f>
        <v>88</v>
      </c>
      <c r="C2063" s="1233">
        <f>C622</f>
        <v>0</v>
      </c>
      <c r="D2063" s="1233">
        <f>D622</f>
        <v>0</v>
      </c>
      <c r="E2063" s="83" t="str">
        <f>'Terms and Turnovers'!$J$12</f>
        <v>FLIP-FLOPS</v>
      </c>
      <c r="F2063" s="121">
        <f>$R2063*G2063</f>
        <v>0</v>
      </c>
      <c r="G2063" s="69"/>
      <c r="H2063" s="316">
        <f>$R2063*I2063</f>
        <v>0</v>
      </c>
      <c r="I2063" s="69">
        <v>7.0000000000000007E-2</v>
      </c>
      <c r="J2063" s="118">
        <f>$R2063*K2063</f>
        <v>0</v>
      </c>
      <c r="K2063" s="69">
        <v>0.31</v>
      </c>
      <c r="L2063" s="314">
        <f>$R2063*M2063</f>
        <v>0</v>
      </c>
      <c r="M2063" s="69">
        <v>0.35</v>
      </c>
      <c r="N2063" s="314">
        <f>$R2063*O2063</f>
        <v>0</v>
      </c>
      <c r="O2063" s="69">
        <v>0.17</v>
      </c>
      <c r="P2063" s="121">
        <f>$R2063*Q2063</f>
        <v>0</v>
      </c>
      <c r="Q2063" s="69">
        <v>0.1</v>
      </c>
      <c r="R2063" s="87">
        <f>'Terms and Turnovers'!K219</f>
        <v>0</v>
      </c>
      <c r="S2063" s="160">
        <f>SUM(G2063,I2063,K2063,M2063,O2063,Q2063)</f>
        <v>1</v>
      </c>
      <c r="T2063" s="118">
        <f>$AF2063*U2063</f>
        <v>0</v>
      </c>
      <c r="U2063" s="69">
        <v>0</v>
      </c>
      <c r="V2063" s="314">
        <f>$AF2063*W2063</f>
        <v>0</v>
      </c>
      <c r="W2063" s="69">
        <v>0.37</v>
      </c>
      <c r="X2063" s="118">
        <f>$AF2063*Y2063</f>
        <v>0</v>
      </c>
      <c r="Y2063" s="69">
        <v>0.43</v>
      </c>
      <c r="Z2063" s="314">
        <f>$AF2063*AA2063</f>
        <v>0</v>
      </c>
      <c r="AA2063" s="69">
        <v>0.13</v>
      </c>
      <c r="AB2063" s="314">
        <f>$AF2063*AC2063</f>
        <v>0</v>
      </c>
      <c r="AC2063" s="69">
        <v>0.05</v>
      </c>
      <c r="AD2063" s="118">
        <f>$AF2063*AE2063</f>
        <v>0</v>
      </c>
      <c r="AE2063" s="69">
        <v>0.02</v>
      </c>
      <c r="AF2063" s="87">
        <f>'Terms and Turnovers'!P219</f>
        <v>0</v>
      </c>
      <c r="AG2063" s="160">
        <f>SUM(U2063,W2063,Y2063,AA2063,AC2063,AE2063)</f>
        <v>1</v>
      </c>
      <c r="AH2063" s="157">
        <f>SUM(R2063,AF2063)</f>
        <v>0</v>
      </c>
      <c r="AI2063" s="131">
        <f>S2063+AG2063</f>
        <v>2</v>
      </c>
      <c r="AJ2063" s="65"/>
      <c r="AV2063" s="56"/>
    </row>
    <row r="2064" spans="1:48" ht="13.5" customHeight="1" outlineLevel="2" thickBot="1">
      <c r="B2064" s="82"/>
      <c r="C2064" s="1234"/>
      <c r="D2064" s="1234"/>
      <c r="E2064" s="84" t="str">
        <f>'Terms and Turnovers'!$T$12</f>
        <v>ORIGINALS</v>
      </c>
      <c r="F2064" s="121">
        <f>$R2064*G2064</f>
        <v>0</v>
      </c>
      <c r="G2064" s="723"/>
      <c r="H2064" s="121">
        <f>$R2064*I2064</f>
        <v>0</v>
      </c>
      <c r="I2064" s="69">
        <v>7.0000000000000007E-2</v>
      </c>
      <c r="J2064" s="120">
        <f>$R2064*K2064</f>
        <v>0</v>
      </c>
      <c r="K2064" s="69">
        <v>0.31</v>
      </c>
      <c r="L2064" s="120">
        <f>$R2064*M2064</f>
        <v>0</v>
      </c>
      <c r="M2064" s="69">
        <v>0.35</v>
      </c>
      <c r="N2064" s="315">
        <f>$R2064*O2064</f>
        <v>0</v>
      </c>
      <c r="O2064" s="69">
        <v>0.17</v>
      </c>
      <c r="P2064" s="121">
        <f>$R2064*Q2064</f>
        <v>0</v>
      </c>
      <c r="Q2064" s="69">
        <v>0.1</v>
      </c>
      <c r="R2064" s="88">
        <f>'Terms and Turnovers'!U219</f>
        <v>0</v>
      </c>
      <c r="S2064" s="161">
        <f>SUM(G2064,I2064,K2064,M2064,O2064,Q2064)</f>
        <v>1</v>
      </c>
      <c r="T2064" s="120">
        <f>$AF2064*U2064</f>
        <v>0</v>
      </c>
      <c r="U2064" s="723">
        <v>0</v>
      </c>
      <c r="V2064" s="120">
        <f>$AF2064*W2064</f>
        <v>0</v>
      </c>
      <c r="W2064" s="69">
        <v>0.15</v>
      </c>
      <c r="X2064" s="120">
        <f>$AF2064*Y2064</f>
        <v>0</v>
      </c>
      <c r="Y2064" s="69">
        <v>0.6</v>
      </c>
      <c r="Z2064" s="120">
        <f>$AF2064*AA2064</f>
        <v>0</v>
      </c>
      <c r="AA2064" s="69">
        <v>0.25</v>
      </c>
      <c r="AB2064" s="315">
        <f>$AF2064*AC2064</f>
        <v>0</v>
      </c>
      <c r="AC2064" s="69">
        <v>0</v>
      </c>
      <c r="AD2064" s="120">
        <f>$AF2064*AE2064</f>
        <v>0</v>
      </c>
      <c r="AE2064" s="69">
        <v>0</v>
      </c>
      <c r="AF2064" s="88">
        <f>'Terms and Turnovers'!Z219</f>
        <v>0</v>
      </c>
      <c r="AG2064" s="161">
        <f>SUM(U2064,W2064,Y2064,AA2064,AC2064,AE2064)</f>
        <v>1</v>
      </c>
      <c r="AH2064" s="158">
        <f>SUM(R2064,AF2064)</f>
        <v>0</v>
      </c>
      <c r="AI2064" s="134">
        <f>S2064+AG2064</f>
        <v>2</v>
      </c>
      <c r="AJ2064" s="65"/>
      <c r="AV2064" s="56"/>
    </row>
    <row r="2065" spans="1:48" ht="13.5" customHeight="1" outlineLevel="2" thickBot="1">
      <c r="B2065" s="82"/>
      <c r="C2065" s="1234"/>
      <c r="D2065" s="1234"/>
      <c r="E2065" s="84" t="str">
        <f>'Terms and Turnovers'!$AD$12</f>
        <v>ACCESSORIES</v>
      </c>
      <c r="F2065" s="121">
        <f>$R2065*G2065</f>
        <v>0</v>
      </c>
      <c r="G2065" s="723"/>
      <c r="H2065" s="121">
        <f>$R2065*I2065</f>
        <v>0</v>
      </c>
      <c r="I2065" s="69">
        <v>7.0000000000000007E-2</v>
      </c>
      <c r="J2065" s="120">
        <f>$R2065*K2065</f>
        <v>0</v>
      </c>
      <c r="K2065" s="69">
        <v>0.31</v>
      </c>
      <c r="L2065" s="120">
        <f>$R2065*M2065</f>
        <v>0</v>
      </c>
      <c r="M2065" s="69">
        <v>0.35</v>
      </c>
      <c r="N2065" s="315">
        <f>$R2065*O2065</f>
        <v>0</v>
      </c>
      <c r="O2065" s="69">
        <v>0.17</v>
      </c>
      <c r="P2065" s="121">
        <f>$R2065*Q2065</f>
        <v>0</v>
      </c>
      <c r="Q2065" s="69">
        <v>0.1</v>
      </c>
      <c r="R2065" s="88">
        <f>'Terms and Turnovers'!AE219</f>
        <v>0</v>
      </c>
      <c r="S2065" s="161">
        <f>SUM(G2065,I2065,K2065,M2065,O2065,Q2065)</f>
        <v>1</v>
      </c>
      <c r="T2065" s="120">
        <f>$AF2065*U2065</f>
        <v>0</v>
      </c>
      <c r="U2065" s="723">
        <v>0</v>
      </c>
      <c r="V2065" s="120">
        <f>$AF2065*W2065</f>
        <v>0</v>
      </c>
      <c r="W2065" s="69">
        <v>0.15</v>
      </c>
      <c r="X2065" s="120">
        <f>$AF2065*Y2065</f>
        <v>0</v>
      </c>
      <c r="Y2065" s="69">
        <v>0.6</v>
      </c>
      <c r="Z2065" s="120">
        <f>$AF2065*AA2065</f>
        <v>0</v>
      </c>
      <c r="AA2065" s="69">
        <v>0.25</v>
      </c>
      <c r="AB2065" s="315">
        <f>$AF2065*AC2065</f>
        <v>0</v>
      </c>
      <c r="AC2065" s="69">
        <v>0</v>
      </c>
      <c r="AD2065" s="120">
        <f>$AF2065*AE2065</f>
        <v>0</v>
      </c>
      <c r="AE2065" s="69">
        <v>0</v>
      </c>
      <c r="AF2065" s="88">
        <f>'Terms and Turnovers'!AJ219</f>
        <v>0</v>
      </c>
      <c r="AG2065" s="161">
        <f>SUM(U2065,W2065,Y2065,AA2065,AC2065,AE2065)</f>
        <v>1</v>
      </c>
      <c r="AH2065" s="158">
        <f>SUM(R2065,AF2065)</f>
        <v>0</v>
      </c>
      <c r="AI2065" s="134">
        <f>S2065+AG2065</f>
        <v>2</v>
      </c>
      <c r="AJ2065" s="65"/>
      <c r="AV2065" s="56"/>
    </row>
    <row r="2066" spans="1:48" ht="13.5" customHeight="1" outlineLevel="2" thickBot="1">
      <c r="B2066" s="82"/>
      <c r="C2066" s="1234"/>
      <c r="D2066" s="1234"/>
      <c r="E2066" s="84">
        <f>'Terms and Turnovers'!$AN$12</f>
        <v>0</v>
      </c>
      <c r="F2066" s="121">
        <f>$R2066*G2066</f>
        <v>0</v>
      </c>
      <c r="G2066" s="723"/>
      <c r="H2066" s="121">
        <f>$R2066*I2066</f>
        <v>0</v>
      </c>
      <c r="I2066" s="69">
        <v>7.0000000000000007E-2</v>
      </c>
      <c r="J2066" s="120">
        <f>$R2066*K2066</f>
        <v>0</v>
      </c>
      <c r="K2066" s="69">
        <v>0.31</v>
      </c>
      <c r="L2066" s="120">
        <f>$R2066*M2066</f>
        <v>0</v>
      </c>
      <c r="M2066" s="69">
        <v>0.35</v>
      </c>
      <c r="N2066" s="315">
        <f>$R2066*O2066</f>
        <v>0</v>
      </c>
      <c r="O2066" s="69">
        <v>0.17</v>
      </c>
      <c r="P2066" s="121">
        <f>$R2066*Q2066</f>
        <v>0</v>
      </c>
      <c r="Q2066" s="69">
        <v>0.1</v>
      </c>
      <c r="R2066" s="88">
        <f>'Terms and Turnovers'!AO219</f>
        <v>0</v>
      </c>
      <c r="S2066" s="161">
        <f>SUM(G2066,I2066,K2066,M2066,O2066,Q2066)</f>
        <v>1</v>
      </c>
      <c r="T2066" s="120">
        <f>$AF2066*U2066</f>
        <v>0</v>
      </c>
      <c r="U2066" s="723">
        <v>0</v>
      </c>
      <c r="V2066" s="120">
        <f>$AF2066*W2066</f>
        <v>0</v>
      </c>
      <c r="W2066" s="69">
        <v>0.4</v>
      </c>
      <c r="X2066" s="120">
        <f>$AF2066*Y2066</f>
        <v>0</v>
      </c>
      <c r="Y2066" s="69">
        <v>0.35</v>
      </c>
      <c r="Z2066" s="120">
        <f>$AF2066*AA2066</f>
        <v>0</v>
      </c>
      <c r="AA2066" s="69">
        <v>0.13</v>
      </c>
      <c r="AB2066" s="315">
        <f>$AF2066*AC2066</f>
        <v>0</v>
      </c>
      <c r="AC2066" s="69">
        <v>0.05</v>
      </c>
      <c r="AD2066" s="120">
        <f>$AF2066*AE2066</f>
        <v>0</v>
      </c>
      <c r="AE2066" s="69">
        <v>0.02</v>
      </c>
      <c r="AF2066" s="88">
        <f>'Terms and Turnovers'!AT219</f>
        <v>0</v>
      </c>
      <c r="AG2066" s="161">
        <f>SUM(U2066,W2066,Y2066,AA2066,AC2066,AE2066)</f>
        <v>0.95000000000000007</v>
      </c>
      <c r="AH2066" s="158">
        <f>SUM(R2066,AF2066)</f>
        <v>0</v>
      </c>
      <c r="AI2066" s="134">
        <f>S2066+AG2066</f>
        <v>1.9500000000000002</v>
      </c>
      <c r="AJ2066" s="65"/>
      <c r="AV2066" s="56"/>
    </row>
    <row r="2067" spans="1:48" ht="13.5" customHeight="1" outlineLevel="2" thickBot="1">
      <c r="B2067" s="82"/>
      <c r="C2067" s="1235"/>
      <c r="D2067" s="1235"/>
      <c r="E2067" s="85">
        <f>'Terms and Turnovers'!$AX$12</f>
        <v>0</v>
      </c>
      <c r="F2067" s="121">
        <f>$R2067*G2067</f>
        <v>0</v>
      </c>
      <c r="G2067" s="72"/>
      <c r="H2067" s="121">
        <f>$R2067*I2067</f>
        <v>0</v>
      </c>
      <c r="I2067" s="69">
        <v>7.0000000000000007E-2</v>
      </c>
      <c r="J2067" s="121">
        <f>$R2067*K2067</f>
        <v>0</v>
      </c>
      <c r="K2067" s="69">
        <v>0.31</v>
      </c>
      <c r="L2067" s="121">
        <f>$R2067*M2067</f>
        <v>0</v>
      </c>
      <c r="M2067" s="69">
        <v>0.35</v>
      </c>
      <c r="N2067" s="316">
        <f>$R2067*O2067</f>
        <v>0</v>
      </c>
      <c r="O2067" s="69">
        <v>0.17</v>
      </c>
      <c r="P2067" s="121">
        <f>$R2067*Q2067</f>
        <v>0</v>
      </c>
      <c r="Q2067" s="69">
        <v>0.1</v>
      </c>
      <c r="R2067" s="89">
        <f>'Terms and Turnovers'!AY219</f>
        <v>0</v>
      </c>
      <c r="S2067" s="162">
        <f>SUM(G2067,I2067,K2067,M2067,O2067,Q2067)</f>
        <v>1</v>
      </c>
      <c r="T2067" s="121">
        <f>$AF2067*U2067</f>
        <v>0</v>
      </c>
      <c r="U2067" s="72">
        <v>0</v>
      </c>
      <c r="V2067" s="121">
        <f>$AF2067*W2067</f>
        <v>0</v>
      </c>
      <c r="W2067" s="69">
        <v>0.4</v>
      </c>
      <c r="X2067" s="121">
        <f>$AF2067*Y2067</f>
        <v>0</v>
      </c>
      <c r="Y2067" s="69">
        <v>0.35</v>
      </c>
      <c r="Z2067" s="121">
        <f>$AF2067*AA2067</f>
        <v>0</v>
      </c>
      <c r="AA2067" s="69">
        <v>0.13</v>
      </c>
      <c r="AB2067" s="316">
        <f>$AF2067*AC2067</f>
        <v>0</v>
      </c>
      <c r="AC2067" s="69">
        <v>0.05</v>
      </c>
      <c r="AD2067" s="121">
        <f>$AF2067*AE2067</f>
        <v>0</v>
      </c>
      <c r="AE2067" s="69">
        <v>0.02</v>
      </c>
      <c r="AF2067" s="89">
        <f>'Terms and Turnovers'!BD219</f>
        <v>0</v>
      </c>
      <c r="AG2067" s="162">
        <f>SUM(U2067,W2067,Y2067,AA2067,AC2067,AE2067)</f>
        <v>0.95000000000000007</v>
      </c>
      <c r="AH2067" s="159">
        <f>SUM(R2067,AF2067)</f>
        <v>0</v>
      </c>
      <c r="AI2067" s="137">
        <f>S2067+AG2067</f>
        <v>1.9500000000000002</v>
      </c>
      <c r="AJ2067" s="65"/>
      <c r="AV2067" s="56"/>
    </row>
    <row r="2068" spans="1:48" ht="13.5" customHeight="1" outlineLevel="2" thickBot="1">
      <c r="A2068" s="119"/>
      <c r="B2068" s="82"/>
      <c r="C2068" s="425"/>
      <c r="D2068" s="425"/>
      <c r="E2068" s="426"/>
      <c r="F2068" s="427">
        <f>SUM(F2063:F2067)</f>
        <v>0</v>
      </c>
      <c r="G2068" s="428"/>
      <c r="H2068" s="427">
        <f>SUM(H2063:H2067)</f>
        <v>0</v>
      </c>
      <c r="I2068" s="69"/>
      <c r="J2068" s="427">
        <f>SUM(J2063:J2067)</f>
        <v>0</v>
      </c>
      <c r="K2068" s="69"/>
      <c r="L2068" s="427">
        <f>SUM(L2063:L2067)</f>
        <v>0</v>
      </c>
      <c r="M2068" s="69"/>
      <c r="N2068" s="427">
        <f>SUM(N2063:N2067)</f>
        <v>0</v>
      </c>
      <c r="O2068" s="69"/>
      <c r="P2068" s="427">
        <f>SUM(P2063:P2067)</f>
        <v>0</v>
      </c>
      <c r="Q2068" s="69"/>
      <c r="R2068" s="429"/>
      <c r="S2068" s="430"/>
      <c r="T2068" s="427">
        <f>SUM(T2063:T2067)</f>
        <v>0</v>
      </c>
      <c r="U2068" s="428"/>
      <c r="V2068" s="427">
        <f>SUM(V2063:V2067)</f>
        <v>0</v>
      </c>
      <c r="W2068" s="69"/>
      <c r="X2068" s="427">
        <f>SUM(X2063:X2067)</f>
        <v>0</v>
      </c>
      <c r="Y2068" s="69"/>
      <c r="Z2068" s="427">
        <f>SUM(Z2063:Z2067)</f>
        <v>0</v>
      </c>
      <c r="AA2068" s="69"/>
      <c r="AB2068" s="427">
        <f>SUM(AB2063:AB2067)</f>
        <v>0</v>
      </c>
      <c r="AC2068" s="69"/>
      <c r="AD2068" s="427">
        <f>SUM(AD2063:AD2067)</f>
        <v>0</v>
      </c>
      <c r="AE2068" s="69"/>
      <c r="AF2068" s="429"/>
      <c r="AG2068" s="430"/>
      <c r="AH2068" s="431"/>
      <c r="AI2068" s="432"/>
      <c r="AJ2068" s="65"/>
      <c r="AV2068" s="56"/>
    </row>
    <row r="2069" spans="1:48" ht="13.5" customHeight="1" outlineLevel="2" thickBot="1">
      <c r="A2069" s="119"/>
      <c r="B2069" s="82"/>
      <c r="C2069" s="433" t="s">
        <v>484</v>
      </c>
      <c r="D2069" s="433"/>
      <c r="E2069" s="426"/>
      <c r="F2069" s="434">
        <f>F2068</f>
        <v>0</v>
      </c>
      <c r="G2069" s="428"/>
      <c r="H2069" s="434">
        <f>H2068</f>
        <v>0</v>
      </c>
      <c r="I2069" s="69"/>
      <c r="J2069" s="434">
        <f>J2068</f>
        <v>0</v>
      </c>
      <c r="K2069" s="69"/>
      <c r="L2069" s="434">
        <f>L2068</f>
        <v>0</v>
      </c>
      <c r="M2069" s="69"/>
      <c r="N2069" s="434">
        <f>N2068</f>
        <v>0</v>
      </c>
      <c r="O2069" s="69"/>
      <c r="P2069" s="434">
        <f>P2068</f>
        <v>0</v>
      </c>
      <c r="Q2069" s="69"/>
      <c r="R2069" s="429"/>
      <c r="S2069" s="430"/>
      <c r="T2069" s="434">
        <f>T2067</f>
        <v>0</v>
      </c>
      <c r="U2069" s="428"/>
      <c r="V2069" s="434">
        <f>V2068</f>
        <v>0</v>
      </c>
      <c r="W2069" s="69"/>
      <c r="X2069" s="434">
        <f>X2068</f>
        <v>0</v>
      </c>
      <c r="Y2069" s="69">
        <f>W2067*0.3+Y2067*0.7</f>
        <v>0.36499999999999999</v>
      </c>
      <c r="Z2069" s="434">
        <f>Z2068</f>
        <v>0</v>
      </c>
      <c r="AA2069" s="69">
        <f>Y2067*0.3+AA2067*0.7</f>
        <v>0.19600000000000001</v>
      </c>
      <c r="AB2069" s="434">
        <f>AB2068</f>
        <v>0</v>
      </c>
      <c r="AC2069" s="69">
        <f>AA2067*0.3+AC2067*0.7</f>
        <v>7.3999999999999996E-2</v>
      </c>
      <c r="AD2069" s="434">
        <f>AD2068</f>
        <v>0</v>
      </c>
      <c r="AE2069" s="69"/>
      <c r="AF2069" s="429"/>
      <c r="AG2069" s="430"/>
      <c r="AH2069" s="431"/>
      <c r="AI2069" s="432"/>
      <c r="AJ2069" s="65"/>
      <c r="AV2069" s="56"/>
    </row>
    <row r="2070" spans="1:48" ht="13.5" customHeight="1" outlineLevel="2" thickBot="1">
      <c r="B2070" s="82">
        <f>B2063+1</f>
        <v>89</v>
      </c>
      <c r="C2070" s="1233">
        <f>C629</f>
        <v>0</v>
      </c>
      <c r="D2070" s="1233">
        <f>D629</f>
        <v>0</v>
      </c>
      <c r="E2070" s="83" t="str">
        <f>'Terms and Turnovers'!$J$12</f>
        <v>FLIP-FLOPS</v>
      </c>
      <c r="F2070" s="121">
        <f>$R2070*G2070</f>
        <v>0</v>
      </c>
      <c r="G2070" s="69"/>
      <c r="H2070" s="316">
        <f>$R2070*I2070</f>
        <v>0</v>
      </c>
      <c r="I2070" s="69">
        <v>7.0000000000000007E-2</v>
      </c>
      <c r="J2070" s="118">
        <f>$R2070*K2070</f>
        <v>0</v>
      </c>
      <c r="K2070" s="69">
        <v>0.31</v>
      </c>
      <c r="L2070" s="314">
        <f>$R2070*M2070</f>
        <v>0</v>
      </c>
      <c r="M2070" s="69">
        <v>0.35</v>
      </c>
      <c r="N2070" s="314">
        <f>$R2070*O2070</f>
        <v>0</v>
      </c>
      <c r="O2070" s="69">
        <v>0.17</v>
      </c>
      <c r="P2070" s="121">
        <f>$R2070*Q2070</f>
        <v>0</v>
      </c>
      <c r="Q2070" s="69">
        <v>0.1</v>
      </c>
      <c r="R2070" s="87">
        <f>'Terms and Turnovers'!K220</f>
        <v>0</v>
      </c>
      <c r="S2070" s="160">
        <f>SUM(G2070,I2070,K2070,M2070,O2070,Q2070)</f>
        <v>1</v>
      </c>
      <c r="T2070" s="118">
        <f>$AF2070*U2070</f>
        <v>0</v>
      </c>
      <c r="U2070" s="69">
        <v>0</v>
      </c>
      <c r="V2070" s="314">
        <f>$AF2070*W2070</f>
        <v>0</v>
      </c>
      <c r="W2070" s="69">
        <v>0.37</v>
      </c>
      <c r="X2070" s="118">
        <f>$AF2070*Y2070</f>
        <v>0</v>
      </c>
      <c r="Y2070" s="69">
        <v>0.43</v>
      </c>
      <c r="Z2070" s="314">
        <f>$AF2070*AA2070</f>
        <v>0</v>
      </c>
      <c r="AA2070" s="69">
        <v>0.13</v>
      </c>
      <c r="AB2070" s="314">
        <f>$AF2070*AC2070</f>
        <v>0</v>
      </c>
      <c r="AC2070" s="69">
        <v>0.05</v>
      </c>
      <c r="AD2070" s="118">
        <f>$AF2070*AE2070</f>
        <v>0</v>
      </c>
      <c r="AE2070" s="69">
        <v>0.02</v>
      </c>
      <c r="AF2070" s="87">
        <f>'Terms and Turnovers'!P220</f>
        <v>0</v>
      </c>
      <c r="AG2070" s="160">
        <f>SUM(U2070,W2070,Y2070,AA2070,AC2070,AE2070)</f>
        <v>1</v>
      </c>
      <c r="AH2070" s="157">
        <f>SUM(R2070,AF2070)</f>
        <v>0</v>
      </c>
      <c r="AI2070" s="131">
        <f>S2070+AG2070</f>
        <v>2</v>
      </c>
      <c r="AJ2070" s="65"/>
      <c r="AV2070" s="56"/>
    </row>
    <row r="2071" spans="1:48" ht="13.5" customHeight="1" outlineLevel="2" thickBot="1">
      <c r="B2071" s="82"/>
      <c r="C2071" s="1234"/>
      <c r="D2071" s="1234"/>
      <c r="E2071" s="84" t="str">
        <f>'Terms and Turnovers'!$T$12</f>
        <v>ORIGINALS</v>
      </c>
      <c r="F2071" s="121">
        <f>$R2071*G2071</f>
        <v>0</v>
      </c>
      <c r="G2071" s="723"/>
      <c r="H2071" s="121">
        <f>$R2071*I2071</f>
        <v>0</v>
      </c>
      <c r="I2071" s="69">
        <v>7.0000000000000007E-2</v>
      </c>
      <c r="J2071" s="120">
        <f>$R2071*K2071</f>
        <v>0</v>
      </c>
      <c r="K2071" s="69">
        <v>0.31</v>
      </c>
      <c r="L2071" s="120">
        <f>$R2071*M2071</f>
        <v>0</v>
      </c>
      <c r="M2071" s="69">
        <v>0.35</v>
      </c>
      <c r="N2071" s="315">
        <f>$R2071*O2071</f>
        <v>0</v>
      </c>
      <c r="O2071" s="69">
        <v>0.17</v>
      </c>
      <c r="P2071" s="121">
        <f>$R2071*Q2071</f>
        <v>0</v>
      </c>
      <c r="Q2071" s="69">
        <v>0.1</v>
      </c>
      <c r="R2071" s="88">
        <f>'Terms and Turnovers'!U220</f>
        <v>0</v>
      </c>
      <c r="S2071" s="161">
        <f>SUM(G2071,I2071,K2071,M2071,O2071,Q2071)</f>
        <v>1</v>
      </c>
      <c r="T2071" s="120">
        <f>$AF2071*U2071</f>
        <v>0</v>
      </c>
      <c r="U2071" s="723">
        <v>0</v>
      </c>
      <c r="V2071" s="120">
        <f>$AF2071*W2071</f>
        <v>0</v>
      </c>
      <c r="W2071" s="69">
        <v>0.15</v>
      </c>
      <c r="X2071" s="120">
        <f>$AF2071*Y2071</f>
        <v>0</v>
      </c>
      <c r="Y2071" s="69">
        <v>0.6</v>
      </c>
      <c r="Z2071" s="120">
        <f>$AF2071*AA2071</f>
        <v>0</v>
      </c>
      <c r="AA2071" s="69">
        <v>0.25</v>
      </c>
      <c r="AB2071" s="315">
        <f>$AF2071*AC2071</f>
        <v>0</v>
      </c>
      <c r="AC2071" s="69">
        <v>0</v>
      </c>
      <c r="AD2071" s="120">
        <f>$AF2071*AE2071</f>
        <v>0</v>
      </c>
      <c r="AE2071" s="69">
        <v>0</v>
      </c>
      <c r="AF2071" s="88">
        <f>'Terms and Turnovers'!Z220</f>
        <v>0</v>
      </c>
      <c r="AG2071" s="161">
        <f>SUM(U2071,W2071,Y2071,AA2071,AC2071,AE2071)</f>
        <v>1</v>
      </c>
      <c r="AH2071" s="158">
        <f>SUM(R2071,AF2071)</f>
        <v>0</v>
      </c>
      <c r="AI2071" s="134">
        <f>S2071+AG2071</f>
        <v>2</v>
      </c>
      <c r="AJ2071" s="65"/>
      <c r="AV2071" s="56"/>
    </row>
    <row r="2072" spans="1:48" ht="13.5" customHeight="1" outlineLevel="2" thickBot="1">
      <c r="B2072" s="82"/>
      <c r="C2072" s="1234"/>
      <c r="D2072" s="1234"/>
      <c r="E2072" s="84" t="str">
        <f>'Terms and Turnovers'!$AD$12</f>
        <v>ACCESSORIES</v>
      </c>
      <c r="F2072" s="121">
        <f>$R2072*G2072</f>
        <v>0</v>
      </c>
      <c r="G2072" s="723"/>
      <c r="H2072" s="121">
        <f>$R2072*I2072</f>
        <v>0</v>
      </c>
      <c r="I2072" s="69">
        <v>7.0000000000000007E-2</v>
      </c>
      <c r="J2072" s="120">
        <f>$R2072*K2072</f>
        <v>0</v>
      </c>
      <c r="K2072" s="69">
        <v>0.31</v>
      </c>
      <c r="L2072" s="120">
        <f>$R2072*M2072</f>
        <v>0</v>
      </c>
      <c r="M2072" s="69">
        <v>0.35</v>
      </c>
      <c r="N2072" s="315">
        <f>$R2072*O2072</f>
        <v>0</v>
      </c>
      <c r="O2072" s="69">
        <v>0.17</v>
      </c>
      <c r="P2072" s="121">
        <f>$R2072*Q2072</f>
        <v>0</v>
      </c>
      <c r="Q2072" s="69">
        <v>0.1</v>
      </c>
      <c r="R2072" s="88">
        <f>'Terms and Turnovers'!AE220</f>
        <v>0</v>
      </c>
      <c r="S2072" s="161">
        <f>SUM(G2072,I2072,K2072,M2072,O2072,Q2072)</f>
        <v>1</v>
      </c>
      <c r="T2072" s="120">
        <f>$AF2072*U2072</f>
        <v>0</v>
      </c>
      <c r="U2072" s="723">
        <v>0</v>
      </c>
      <c r="V2072" s="120">
        <f>$AF2072*W2072</f>
        <v>0</v>
      </c>
      <c r="W2072" s="69">
        <v>0.15</v>
      </c>
      <c r="X2072" s="120">
        <f>$AF2072*Y2072</f>
        <v>0</v>
      </c>
      <c r="Y2072" s="69">
        <v>0.6</v>
      </c>
      <c r="Z2072" s="120">
        <f>$AF2072*AA2072</f>
        <v>0</v>
      </c>
      <c r="AA2072" s="69">
        <v>0.25</v>
      </c>
      <c r="AB2072" s="315">
        <f>$AF2072*AC2072</f>
        <v>0</v>
      </c>
      <c r="AC2072" s="69">
        <v>0</v>
      </c>
      <c r="AD2072" s="120">
        <f>$AF2072*AE2072</f>
        <v>0</v>
      </c>
      <c r="AE2072" s="69">
        <v>0</v>
      </c>
      <c r="AF2072" s="88">
        <f>'Terms and Turnovers'!AJ220</f>
        <v>0</v>
      </c>
      <c r="AG2072" s="161">
        <f>SUM(U2072,W2072,Y2072,AA2072,AC2072,AE2072)</f>
        <v>1</v>
      </c>
      <c r="AH2072" s="158">
        <f>SUM(R2072,AF2072)</f>
        <v>0</v>
      </c>
      <c r="AI2072" s="134">
        <f>S2072+AG2072</f>
        <v>2</v>
      </c>
      <c r="AJ2072" s="65"/>
      <c r="AV2072" s="56"/>
    </row>
    <row r="2073" spans="1:48" ht="13.5" customHeight="1" outlineLevel="2" thickBot="1">
      <c r="B2073" s="82"/>
      <c r="C2073" s="1234"/>
      <c r="D2073" s="1234"/>
      <c r="E2073" s="84">
        <f>'Terms and Turnovers'!$AN$12</f>
        <v>0</v>
      </c>
      <c r="F2073" s="121">
        <f>$R2073*G2073</f>
        <v>0</v>
      </c>
      <c r="G2073" s="723"/>
      <c r="H2073" s="121">
        <f>$R2073*I2073</f>
        <v>0</v>
      </c>
      <c r="I2073" s="69">
        <v>7.0000000000000007E-2</v>
      </c>
      <c r="J2073" s="120">
        <f>$R2073*K2073</f>
        <v>0</v>
      </c>
      <c r="K2073" s="69">
        <v>0.31</v>
      </c>
      <c r="L2073" s="120">
        <f>$R2073*M2073</f>
        <v>0</v>
      </c>
      <c r="M2073" s="69">
        <v>0.35</v>
      </c>
      <c r="N2073" s="315">
        <f>$R2073*O2073</f>
        <v>0</v>
      </c>
      <c r="O2073" s="69">
        <v>0.17</v>
      </c>
      <c r="P2073" s="121">
        <f>$R2073*Q2073</f>
        <v>0</v>
      </c>
      <c r="Q2073" s="69">
        <v>0.1</v>
      </c>
      <c r="R2073" s="88">
        <f>'Terms and Turnovers'!AO220</f>
        <v>0</v>
      </c>
      <c r="S2073" s="161">
        <f>SUM(G2073,I2073,K2073,M2073,O2073,Q2073)</f>
        <v>1</v>
      </c>
      <c r="T2073" s="120">
        <f>$AF2073*U2073</f>
        <v>0</v>
      </c>
      <c r="U2073" s="723">
        <v>0</v>
      </c>
      <c r="V2073" s="120">
        <f>$AF2073*W2073</f>
        <v>0</v>
      </c>
      <c r="W2073" s="69">
        <v>0.4</v>
      </c>
      <c r="X2073" s="120">
        <f>$AF2073*Y2073</f>
        <v>0</v>
      </c>
      <c r="Y2073" s="69">
        <v>0.35</v>
      </c>
      <c r="Z2073" s="120">
        <f>$AF2073*AA2073</f>
        <v>0</v>
      </c>
      <c r="AA2073" s="69">
        <v>0.13</v>
      </c>
      <c r="AB2073" s="315">
        <f>$AF2073*AC2073</f>
        <v>0</v>
      </c>
      <c r="AC2073" s="69">
        <v>0.05</v>
      </c>
      <c r="AD2073" s="120">
        <f>$AF2073*AE2073</f>
        <v>0</v>
      </c>
      <c r="AE2073" s="69">
        <v>0.02</v>
      </c>
      <c r="AF2073" s="88">
        <f>'Terms and Turnovers'!AT220</f>
        <v>0</v>
      </c>
      <c r="AG2073" s="161">
        <f>SUM(U2073,W2073,Y2073,AA2073,AC2073,AE2073)</f>
        <v>0.95000000000000007</v>
      </c>
      <c r="AH2073" s="158">
        <f>SUM(R2073,AF2073)</f>
        <v>0</v>
      </c>
      <c r="AI2073" s="134">
        <f>S2073+AG2073</f>
        <v>1.9500000000000002</v>
      </c>
      <c r="AJ2073" s="65"/>
      <c r="AV2073" s="56"/>
    </row>
    <row r="2074" spans="1:48" ht="13.5" customHeight="1" outlineLevel="2" thickBot="1">
      <c r="B2074" s="82"/>
      <c r="C2074" s="1235"/>
      <c r="D2074" s="1235"/>
      <c r="E2074" s="85">
        <f>'Terms and Turnovers'!$AX$12</f>
        <v>0</v>
      </c>
      <c r="F2074" s="121">
        <f>$R2074*G2074</f>
        <v>0</v>
      </c>
      <c r="G2074" s="72"/>
      <c r="H2074" s="121">
        <f>$R2074*I2074</f>
        <v>0</v>
      </c>
      <c r="I2074" s="69">
        <v>7.0000000000000007E-2</v>
      </c>
      <c r="J2074" s="121">
        <f>$R2074*K2074</f>
        <v>0</v>
      </c>
      <c r="K2074" s="69">
        <v>0.31</v>
      </c>
      <c r="L2074" s="121">
        <f>$R2074*M2074</f>
        <v>0</v>
      </c>
      <c r="M2074" s="69">
        <v>0.35</v>
      </c>
      <c r="N2074" s="316">
        <f>$R2074*O2074</f>
        <v>0</v>
      </c>
      <c r="O2074" s="69">
        <v>0.17</v>
      </c>
      <c r="P2074" s="121">
        <f>$R2074*Q2074</f>
        <v>0</v>
      </c>
      <c r="Q2074" s="69">
        <v>0.1</v>
      </c>
      <c r="R2074" s="89">
        <f>'Terms and Turnovers'!AY220</f>
        <v>0</v>
      </c>
      <c r="S2074" s="162">
        <f>SUM(G2074,I2074,K2074,M2074,O2074,Q2074)</f>
        <v>1</v>
      </c>
      <c r="T2074" s="121">
        <f>$AF2074*U2074</f>
        <v>0</v>
      </c>
      <c r="U2074" s="72">
        <v>0</v>
      </c>
      <c r="V2074" s="121">
        <f>$AF2074*W2074</f>
        <v>0</v>
      </c>
      <c r="W2074" s="69">
        <v>0.4</v>
      </c>
      <c r="X2074" s="121">
        <f>$AF2074*Y2074</f>
        <v>0</v>
      </c>
      <c r="Y2074" s="69">
        <v>0.35</v>
      </c>
      <c r="Z2074" s="121">
        <f>$AF2074*AA2074</f>
        <v>0</v>
      </c>
      <c r="AA2074" s="69">
        <v>0.13</v>
      </c>
      <c r="AB2074" s="316">
        <f>$AF2074*AC2074</f>
        <v>0</v>
      </c>
      <c r="AC2074" s="69">
        <v>0.05</v>
      </c>
      <c r="AD2074" s="121">
        <f>$AF2074*AE2074</f>
        <v>0</v>
      </c>
      <c r="AE2074" s="69">
        <v>0.02</v>
      </c>
      <c r="AF2074" s="89">
        <f>'Terms and Turnovers'!BD220</f>
        <v>0</v>
      </c>
      <c r="AG2074" s="162">
        <f>SUM(U2074,W2074,Y2074,AA2074,AC2074,AE2074)</f>
        <v>0.95000000000000007</v>
      </c>
      <c r="AH2074" s="159">
        <f>SUM(R2074,AF2074)</f>
        <v>0</v>
      </c>
      <c r="AI2074" s="137">
        <f>S2074+AG2074</f>
        <v>1.9500000000000002</v>
      </c>
      <c r="AJ2074" s="65"/>
      <c r="AV2074" s="56"/>
    </row>
    <row r="2075" spans="1:48" ht="13.5" customHeight="1" outlineLevel="2" thickBot="1">
      <c r="A2075" s="119"/>
      <c r="B2075" s="82"/>
      <c r="C2075" s="425"/>
      <c r="D2075" s="425"/>
      <c r="E2075" s="426"/>
      <c r="F2075" s="427">
        <f>SUM(F2070:F2074)</f>
        <v>0</v>
      </c>
      <c r="G2075" s="428"/>
      <c r="H2075" s="427">
        <f>SUM(H2070:H2074)</f>
        <v>0</v>
      </c>
      <c r="I2075" s="69"/>
      <c r="J2075" s="427">
        <f>SUM(J2070:J2074)</f>
        <v>0</v>
      </c>
      <c r="K2075" s="69"/>
      <c r="L2075" s="427">
        <f>SUM(L2070:L2074)</f>
        <v>0</v>
      </c>
      <c r="M2075" s="69"/>
      <c r="N2075" s="427">
        <f>SUM(N2070:N2074)</f>
        <v>0</v>
      </c>
      <c r="O2075" s="69"/>
      <c r="P2075" s="427">
        <f>SUM(P2070:P2074)</f>
        <v>0</v>
      </c>
      <c r="Q2075" s="69"/>
      <c r="R2075" s="429"/>
      <c r="S2075" s="430"/>
      <c r="T2075" s="427">
        <f>SUM(T2070:T2074)</f>
        <v>0</v>
      </c>
      <c r="U2075" s="428"/>
      <c r="V2075" s="427">
        <f>SUM(V2070:V2074)</f>
        <v>0</v>
      </c>
      <c r="W2075" s="69"/>
      <c r="X2075" s="427">
        <f>SUM(X2070:X2074)</f>
        <v>0</v>
      </c>
      <c r="Y2075" s="69"/>
      <c r="Z2075" s="427">
        <f>SUM(Z2070:Z2074)</f>
        <v>0</v>
      </c>
      <c r="AA2075" s="69"/>
      <c r="AB2075" s="427">
        <f>SUM(AB2070:AB2074)</f>
        <v>0</v>
      </c>
      <c r="AC2075" s="69"/>
      <c r="AD2075" s="427">
        <f>SUM(AD2070:AD2074)</f>
        <v>0</v>
      </c>
      <c r="AE2075" s="69"/>
      <c r="AF2075" s="429"/>
      <c r="AG2075" s="430"/>
      <c r="AH2075" s="431"/>
      <c r="AI2075" s="432"/>
      <c r="AJ2075" s="65"/>
      <c r="AV2075" s="56"/>
    </row>
    <row r="2076" spans="1:48" ht="13.5" customHeight="1" outlineLevel="2" thickBot="1">
      <c r="A2076" s="119"/>
      <c r="B2076" s="82"/>
      <c r="C2076" s="433" t="s">
        <v>484</v>
      </c>
      <c r="D2076" s="433"/>
      <c r="E2076" s="426"/>
      <c r="F2076" s="434">
        <f>F2075</f>
        <v>0</v>
      </c>
      <c r="G2076" s="428"/>
      <c r="H2076" s="434">
        <f>H2075</f>
        <v>0</v>
      </c>
      <c r="I2076" s="69"/>
      <c r="J2076" s="434">
        <f>J2075</f>
        <v>0</v>
      </c>
      <c r="K2076" s="69"/>
      <c r="L2076" s="434">
        <f>L2075</f>
        <v>0</v>
      </c>
      <c r="M2076" s="69"/>
      <c r="N2076" s="434">
        <f>N2075</f>
        <v>0</v>
      </c>
      <c r="O2076" s="69"/>
      <c r="P2076" s="434">
        <f>P2075</f>
        <v>0</v>
      </c>
      <c r="Q2076" s="69"/>
      <c r="R2076" s="429"/>
      <c r="S2076" s="430"/>
      <c r="T2076" s="434">
        <f>T2074</f>
        <v>0</v>
      </c>
      <c r="U2076" s="428"/>
      <c r="V2076" s="434">
        <f>V2075</f>
        <v>0</v>
      </c>
      <c r="W2076" s="69"/>
      <c r="X2076" s="434">
        <f>X2075</f>
        <v>0</v>
      </c>
      <c r="Y2076" s="69">
        <f>W2074*0.3+Y2074*0.7</f>
        <v>0.36499999999999999</v>
      </c>
      <c r="Z2076" s="434">
        <f>Z2075</f>
        <v>0</v>
      </c>
      <c r="AA2076" s="69">
        <f>Y2074*0.3+AA2074*0.7</f>
        <v>0.19600000000000001</v>
      </c>
      <c r="AB2076" s="434">
        <f>AB2075</f>
        <v>0</v>
      </c>
      <c r="AC2076" s="69">
        <f>AA2074*0.3+AC2074*0.7</f>
        <v>7.3999999999999996E-2</v>
      </c>
      <c r="AD2076" s="434">
        <f>AD2075</f>
        <v>0</v>
      </c>
      <c r="AE2076" s="69"/>
      <c r="AF2076" s="429"/>
      <c r="AG2076" s="430"/>
      <c r="AH2076" s="431"/>
      <c r="AI2076" s="432"/>
      <c r="AJ2076" s="65"/>
      <c r="AV2076" s="56"/>
    </row>
    <row r="2077" spans="1:48" ht="13.5" customHeight="1" outlineLevel="2" thickBot="1">
      <c r="B2077" s="82">
        <f>B2070+1</f>
        <v>90</v>
      </c>
      <c r="C2077" s="1233">
        <f>C636</f>
        <v>0</v>
      </c>
      <c r="D2077" s="1233">
        <f>D636</f>
        <v>0</v>
      </c>
      <c r="E2077" s="83" t="str">
        <f>'Terms and Turnovers'!$J$12</f>
        <v>FLIP-FLOPS</v>
      </c>
      <c r="F2077" s="121">
        <f>$R2077*G2077</f>
        <v>0</v>
      </c>
      <c r="G2077" s="69"/>
      <c r="H2077" s="316">
        <f>$R2077*I2077</f>
        <v>0</v>
      </c>
      <c r="I2077" s="69">
        <v>7.0000000000000007E-2</v>
      </c>
      <c r="J2077" s="118">
        <f>$R2077*K2077</f>
        <v>0</v>
      </c>
      <c r="K2077" s="69">
        <v>0.31</v>
      </c>
      <c r="L2077" s="314">
        <f>$R2077*M2077</f>
        <v>0</v>
      </c>
      <c r="M2077" s="69">
        <v>0.35</v>
      </c>
      <c r="N2077" s="314">
        <f>$R2077*O2077</f>
        <v>0</v>
      </c>
      <c r="O2077" s="69">
        <v>0.17</v>
      </c>
      <c r="P2077" s="121">
        <f>$R2077*Q2077</f>
        <v>0</v>
      </c>
      <c r="Q2077" s="69">
        <v>0.1</v>
      </c>
      <c r="R2077" s="87">
        <f>'Terms and Turnovers'!K221</f>
        <v>0</v>
      </c>
      <c r="S2077" s="160">
        <f>SUM(G2077,I2077,K2077,M2077,O2077,Q2077)</f>
        <v>1</v>
      </c>
      <c r="T2077" s="118">
        <f>$AF2077*U2077</f>
        <v>0</v>
      </c>
      <c r="U2077" s="69">
        <v>0</v>
      </c>
      <c r="V2077" s="314">
        <f>$AF2077*W2077</f>
        <v>0</v>
      </c>
      <c r="W2077" s="69">
        <v>0.37</v>
      </c>
      <c r="X2077" s="118">
        <f>$AF2077*Y2077</f>
        <v>0</v>
      </c>
      <c r="Y2077" s="69">
        <v>0.43</v>
      </c>
      <c r="Z2077" s="314">
        <f>$AF2077*AA2077</f>
        <v>0</v>
      </c>
      <c r="AA2077" s="69">
        <v>0.13</v>
      </c>
      <c r="AB2077" s="314">
        <f>$AF2077*AC2077</f>
        <v>0</v>
      </c>
      <c r="AC2077" s="69">
        <v>0.05</v>
      </c>
      <c r="AD2077" s="118">
        <f>$AF2077*AE2077</f>
        <v>0</v>
      </c>
      <c r="AE2077" s="69">
        <v>0.02</v>
      </c>
      <c r="AF2077" s="87">
        <f>'Terms and Turnovers'!P221</f>
        <v>0</v>
      </c>
      <c r="AG2077" s="160">
        <f>SUM(U2077,W2077,Y2077,AA2077,AC2077,AE2077)</f>
        <v>1</v>
      </c>
      <c r="AH2077" s="157">
        <f>SUM(R2077,AF2077)</f>
        <v>0</v>
      </c>
      <c r="AI2077" s="131">
        <f>S2077+AG2077</f>
        <v>2</v>
      </c>
      <c r="AJ2077" s="65"/>
      <c r="AV2077" s="56"/>
    </row>
    <row r="2078" spans="1:48" ht="13.5" customHeight="1" outlineLevel="2" thickBot="1">
      <c r="B2078" s="82"/>
      <c r="C2078" s="1234"/>
      <c r="D2078" s="1234"/>
      <c r="E2078" s="84" t="str">
        <f>'Terms and Turnovers'!$T$12</f>
        <v>ORIGINALS</v>
      </c>
      <c r="F2078" s="121">
        <f>$R2078*G2078</f>
        <v>0</v>
      </c>
      <c r="G2078" s="723"/>
      <c r="H2078" s="121">
        <f>$R2078*I2078</f>
        <v>0</v>
      </c>
      <c r="I2078" s="69">
        <v>7.0000000000000007E-2</v>
      </c>
      <c r="J2078" s="120">
        <f>$R2078*K2078</f>
        <v>0</v>
      </c>
      <c r="K2078" s="69">
        <v>0.31</v>
      </c>
      <c r="L2078" s="120">
        <f>$R2078*M2078</f>
        <v>0</v>
      </c>
      <c r="M2078" s="69">
        <v>0.35</v>
      </c>
      <c r="N2078" s="315">
        <f>$R2078*O2078</f>
        <v>0</v>
      </c>
      <c r="O2078" s="69">
        <v>0.17</v>
      </c>
      <c r="P2078" s="121">
        <f>$R2078*Q2078</f>
        <v>0</v>
      </c>
      <c r="Q2078" s="69">
        <v>0.1</v>
      </c>
      <c r="R2078" s="88">
        <f>'Terms and Turnovers'!U221</f>
        <v>0</v>
      </c>
      <c r="S2078" s="161">
        <f>SUM(G2078,I2078,K2078,M2078,O2078,Q2078)</f>
        <v>1</v>
      </c>
      <c r="T2078" s="120">
        <f>$AF2078*U2078</f>
        <v>0</v>
      </c>
      <c r="U2078" s="723">
        <v>0</v>
      </c>
      <c r="V2078" s="120">
        <f>$AF2078*W2078</f>
        <v>0</v>
      </c>
      <c r="W2078" s="69">
        <v>0.15</v>
      </c>
      <c r="X2078" s="120">
        <f>$AF2078*Y2078</f>
        <v>0</v>
      </c>
      <c r="Y2078" s="69">
        <v>0.6</v>
      </c>
      <c r="Z2078" s="120">
        <f>$AF2078*AA2078</f>
        <v>0</v>
      </c>
      <c r="AA2078" s="69">
        <v>0.25</v>
      </c>
      <c r="AB2078" s="315">
        <f>$AF2078*AC2078</f>
        <v>0</v>
      </c>
      <c r="AC2078" s="69">
        <v>0</v>
      </c>
      <c r="AD2078" s="120">
        <f>$AF2078*AE2078</f>
        <v>0</v>
      </c>
      <c r="AE2078" s="69">
        <v>0</v>
      </c>
      <c r="AF2078" s="88">
        <f>'Terms and Turnovers'!Z221</f>
        <v>0</v>
      </c>
      <c r="AG2078" s="161">
        <f>SUM(U2078,W2078,Y2078,AA2078,AC2078,AE2078)</f>
        <v>1</v>
      </c>
      <c r="AH2078" s="158">
        <f>SUM(R2078,AF2078)</f>
        <v>0</v>
      </c>
      <c r="AI2078" s="134">
        <f>S2078+AG2078</f>
        <v>2</v>
      </c>
      <c r="AJ2078" s="65"/>
      <c r="AV2078" s="56"/>
    </row>
    <row r="2079" spans="1:48" ht="13.5" customHeight="1" outlineLevel="2" thickBot="1">
      <c r="B2079" s="82"/>
      <c r="C2079" s="1234"/>
      <c r="D2079" s="1234"/>
      <c r="E2079" s="84" t="str">
        <f>'Terms and Turnovers'!$AD$12</f>
        <v>ACCESSORIES</v>
      </c>
      <c r="F2079" s="121">
        <f>$R2079*G2079</f>
        <v>0</v>
      </c>
      <c r="G2079" s="723"/>
      <c r="H2079" s="121">
        <f>$R2079*I2079</f>
        <v>0</v>
      </c>
      <c r="I2079" s="69">
        <v>7.0000000000000007E-2</v>
      </c>
      <c r="J2079" s="120">
        <f>$R2079*K2079</f>
        <v>0</v>
      </c>
      <c r="K2079" s="69">
        <v>0.31</v>
      </c>
      <c r="L2079" s="120">
        <f>$R2079*M2079</f>
        <v>0</v>
      </c>
      <c r="M2079" s="69">
        <v>0.35</v>
      </c>
      <c r="N2079" s="315">
        <f>$R2079*O2079</f>
        <v>0</v>
      </c>
      <c r="O2079" s="69">
        <v>0.17</v>
      </c>
      <c r="P2079" s="121">
        <f>$R2079*Q2079</f>
        <v>0</v>
      </c>
      <c r="Q2079" s="69">
        <v>0.1</v>
      </c>
      <c r="R2079" s="88">
        <f>'Terms and Turnovers'!AE221</f>
        <v>0</v>
      </c>
      <c r="S2079" s="161">
        <f>SUM(G2079,I2079,K2079,M2079,O2079,Q2079)</f>
        <v>1</v>
      </c>
      <c r="T2079" s="120">
        <f>$AF2079*U2079</f>
        <v>0</v>
      </c>
      <c r="U2079" s="723">
        <v>0</v>
      </c>
      <c r="V2079" s="120">
        <f>$AF2079*W2079</f>
        <v>0</v>
      </c>
      <c r="W2079" s="69">
        <v>0.15</v>
      </c>
      <c r="X2079" s="120">
        <f>$AF2079*Y2079</f>
        <v>0</v>
      </c>
      <c r="Y2079" s="69">
        <v>0.6</v>
      </c>
      <c r="Z2079" s="120">
        <f>$AF2079*AA2079</f>
        <v>0</v>
      </c>
      <c r="AA2079" s="69">
        <v>0.25</v>
      </c>
      <c r="AB2079" s="315">
        <f>$AF2079*AC2079</f>
        <v>0</v>
      </c>
      <c r="AC2079" s="69">
        <v>0</v>
      </c>
      <c r="AD2079" s="120">
        <f>$AF2079*AE2079</f>
        <v>0</v>
      </c>
      <c r="AE2079" s="69">
        <v>0</v>
      </c>
      <c r="AF2079" s="88">
        <f>'Terms and Turnovers'!AJ221</f>
        <v>0</v>
      </c>
      <c r="AG2079" s="161">
        <f>SUM(U2079,W2079,Y2079,AA2079,AC2079,AE2079)</f>
        <v>1</v>
      </c>
      <c r="AH2079" s="158">
        <f>SUM(R2079,AF2079)</f>
        <v>0</v>
      </c>
      <c r="AI2079" s="134">
        <f>S2079+AG2079</f>
        <v>2</v>
      </c>
      <c r="AJ2079" s="65"/>
      <c r="AV2079" s="56"/>
    </row>
    <row r="2080" spans="1:48" ht="13.5" customHeight="1" outlineLevel="2" thickBot="1">
      <c r="B2080" s="82"/>
      <c r="C2080" s="1234"/>
      <c r="D2080" s="1234"/>
      <c r="E2080" s="84">
        <f>'Terms and Turnovers'!$AN$12</f>
        <v>0</v>
      </c>
      <c r="F2080" s="121">
        <f>$R2080*G2080</f>
        <v>0</v>
      </c>
      <c r="G2080" s="723"/>
      <c r="H2080" s="121">
        <f>$R2080*I2080</f>
        <v>0</v>
      </c>
      <c r="I2080" s="69">
        <v>7.0000000000000007E-2</v>
      </c>
      <c r="J2080" s="120">
        <f>$R2080*K2080</f>
        <v>0</v>
      </c>
      <c r="K2080" s="69">
        <v>0.31</v>
      </c>
      <c r="L2080" s="120">
        <f>$R2080*M2080</f>
        <v>0</v>
      </c>
      <c r="M2080" s="69">
        <v>0.35</v>
      </c>
      <c r="N2080" s="315">
        <f>$R2080*O2080</f>
        <v>0</v>
      </c>
      <c r="O2080" s="69">
        <v>0.17</v>
      </c>
      <c r="P2080" s="121">
        <f>$R2080*Q2080</f>
        <v>0</v>
      </c>
      <c r="Q2080" s="69">
        <v>0.1</v>
      </c>
      <c r="R2080" s="88">
        <f>'Terms and Turnovers'!AO221</f>
        <v>0</v>
      </c>
      <c r="S2080" s="161">
        <f>SUM(G2080,I2080,K2080,M2080,O2080,Q2080)</f>
        <v>1</v>
      </c>
      <c r="T2080" s="120">
        <f>$AF2080*U2080</f>
        <v>0</v>
      </c>
      <c r="U2080" s="723">
        <v>0</v>
      </c>
      <c r="V2080" s="120">
        <f>$AF2080*W2080</f>
        <v>0</v>
      </c>
      <c r="W2080" s="69">
        <v>0.4</v>
      </c>
      <c r="X2080" s="120">
        <f>$AF2080*Y2080</f>
        <v>0</v>
      </c>
      <c r="Y2080" s="69">
        <v>0.35</v>
      </c>
      <c r="Z2080" s="120">
        <f>$AF2080*AA2080</f>
        <v>0</v>
      </c>
      <c r="AA2080" s="69">
        <v>0.13</v>
      </c>
      <c r="AB2080" s="315">
        <f>$AF2080*AC2080</f>
        <v>0</v>
      </c>
      <c r="AC2080" s="69">
        <v>0.05</v>
      </c>
      <c r="AD2080" s="120">
        <f>$AF2080*AE2080</f>
        <v>0</v>
      </c>
      <c r="AE2080" s="69">
        <v>0.02</v>
      </c>
      <c r="AF2080" s="88">
        <f>'Terms and Turnovers'!AT221</f>
        <v>0</v>
      </c>
      <c r="AG2080" s="161">
        <f>SUM(U2080,W2080,Y2080,AA2080,AC2080,AE2080)</f>
        <v>0.95000000000000007</v>
      </c>
      <c r="AH2080" s="158">
        <f>SUM(R2080,AF2080)</f>
        <v>0</v>
      </c>
      <c r="AI2080" s="134">
        <f>S2080+AG2080</f>
        <v>1.9500000000000002</v>
      </c>
      <c r="AJ2080" s="65"/>
      <c r="AV2080" s="56"/>
    </row>
    <row r="2081" spans="1:48" ht="13.5" customHeight="1" outlineLevel="2" thickBot="1">
      <c r="B2081" s="82"/>
      <c r="C2081" s="1235"/>
      <c r="D2081" s="1235"/>
      <c r="E2081" s="85">
        <f>'Terms and Turnovers'!$AX$12</f>
        <v>0</v>
      </c>
      <c r="F2081" s="121">
        <f>$R2081*G2081</f>
        <v>0</v>
      </c>
      <c r="G2081" s="72"/>
      <c r="H2081" s="121">
        <f>$R2081*I2081</f>
        <v>0</v>
      </c>
      <c r="I2081" s="69">
        <v>7.0000000000000007E-2</v>
      </c>
      <c r="J2081" s="121">
        <f>$R2081*K2081</f>
        <v>0</v>
      </c>
      <c r="K2081" s="69">
        <v>0.31</v>
      </c>
      <c r="L2081" s="121">
        <f>$R2081*M2081</f>
        <v>0</v>
      </c>
      <c r="M2081" s="69">
        <v>0.35</v>
      </c>
      <c r="N2081" s="316">
        <f>$R2081*O2081</f>
        <v>0</v>
      </c>
      <c r="O2081" s="69">
        <v>0.17</v>
      </c>
      <c r="P2081" s="121">
        <f>$R2081*Q2081</f>
        <v>0</v>
      </c>
      <c r="Q2081" s="69">
        <v>0.1</v>
      </c>
      <c r="R2081" s="89">
        <f>'Terms and Turnovers'!AY221</f>
        <v>0</v>
      </c>
      <c r="S2081" s="162">
        <f>SUM(G2081,I2081,K2081,M2081,O2081,Q2081)</f>
        <v>1</v>
      </c>
      <c r="T2081" s="121">
        <f>$AF2081*U2081</f>
        <v>0</v>
      </c>
      <c r="U2081" s="72">
        <v>0</v>
      </c>
      <c r="V2081" s="121">
        <f>$AF2081*W2081</f>
        <v>0</v>
      </c>
      <c r="W2081" s="69">
        <v>0.4</v>
      </c>
      <c r="X2081" s="121">
        <f>$AF2081*Y2081</f>
        <v>0</v>
      </c>
      <c r="Y2081" s="69">
        <v>0.35</v>
      </c>
      <c r="Z2081" s="121">
        <f>$AF2081*AA2081</f>
        <v>0</v>
      </c>
      <c r="AA2081" s="69">
        <v>0.13</v>
      </c>
      <c r="AB2081" s="316">
        <f>$AF2081*AC2081</f>
        <v>0</v>
      </c>
      <c r="AC2081" s="69">
        <v>0.05</v>
      </c>
      <c r="AD2081" s="121">
        <f>$AF2081*AE2081</f>
        <v>0</v>
      </c>
      <c r="AE2081" s="69">
        <v>0.02</v>
      </c>
      <c r="AF2081" s="89">
        <f>'Terms and Turnovers'!BD221</f>
        <v>0</v>
      </c>
      <c r="AG2081" s="162">
        <f>SUM(U2081,W2081,Y2081,AA2081,AC2081,AE2081)</f>
        <v>0.95000000000000007</v>
      </c>
      <c r="AH2081" s="159">
        <f>SUM(R2081,AF2081)</f>
        <v>0</v>
      </c>
      <c r="AI2081" s="137">
        <f>S2081+AG2081</f>
        <v>1.9500000000000002</v>
      </c>
      <c r="AJ2081" s="65"/>
      <c r="AV2081" s="56"/>
    </row>
    <row r="2082" spans="1:48" ht="13.5" customHeight="1" outlineLevel="2" thickBot="1">
      <c r="A2082" s="119"/>
      <c r="B2082" s="82"/>
      <c r="C2082" s="425"/>
      <c r="D2082" s="425"/>
      <c r="E2082" s="426"/>
      <c r="F2082" s="427">
        <f>SUM(F2077:F2081)</f>
        <v>0</v>
      </c>
      <c r="G2082" s="428"/>
      <c r="H2082" s="427">
        <f>SUM(H2077:H2081)</f>
        <v>0</v>
      </c>
      <c r="I2082" s="69"/>
      <c r="J2082" s="427">
        <f>SUM(J2077:J2081)</f>
        <v>0</v>
      </c>
      <c r="K2082" s="69"/>
      <c r="L2082" s="427">
        <f>SUM(L2077:L2081)</f>
        <v>0</v>
      </c>
      <c r="M2082" s="69"/>
      <c r="N2082" s="427">
        <f>SUM(N2077:N2081)</f>
        <v>0</v>
      </c>
      <c r="O2082" s="69"/>
      <c r="P2082" s="427">
        <f>SUM(P2077:P2081)</f>
        <v>0</v>
      </c>
      <c r="Q2082" s="69"/>
      <c r="R2082" s="429"/>
      <c r="S2082" s="430"/>
      <c r="T2082" s="427">
        <f>SUM(T2077:T2081)</f>
        <v>0</v>
      </c>
      <c r="U2082" s="428"/>
      <c r="V2082" s="427">
        <f>SUM(V2077:V2081)</f>
        <v>0</v>
      </c>
      <c r="W2082" s="69"/>
      <c r="X2082" s="427">
        <f>SUM(X2077:X2081)</f>
        <v>0</v>
      </c>
      <c r="Y2082" s="69"/>
      <c r="Z2082" s="427">
        <f>SUM(Z2077:Z2081)</f>
        <v>0</v>
      </c>
      <c r="AA2082" s="69"/>
      <c r="AB2082" s="427">
        <f>SUM(AB2077:AB2081)</f>
        <v>0</v>
      </c>
      <c r="AC2082" s="69"/>
      <c r="AD2082" s="427">
        <f>SUM(AD2077:AD2081)</f>
        <v>0</v>
      </c>
      <c r="AE2082" s="69"/>
      <c r="AF2082" s="429"/>
      <c r="AG2082" s="430"/>
      <c r="AH2082" s="431"/>
      <c r="AI2082" s="432"/>
      <c r="AJ2082" s="65"/>
      <c r="AV2082" s="56"/>
    </row>
    <row r="2083" spans="1:48" ht="13.5" customHeight="1" outlineLevel="2" thickBot="1">
      <c r="A2083" s="119"/>
      <c r="B2083" s="82"/>
      <c r="C2083" s="433" t="s">
        <v>484</v>
      </c>
      <c r="D2083" s="433"/>
      <c r="E2083" s="426"/>
      <c r="F2083" s="434">
        <f>F2082</f>
        <v>0</v>
      </c>
      <c r="G2083" s="428"/>
      <c r="H2083" s="434">
        <f>H2082</f>
        <v>0</v>
      </c>
      <c r="I2083" s="69"/>
      <c r="J2083" s="434">
        <f>J2082</f>
        <v>0</v>
      </c>
      <c r="K2083" s="69"/>
      <c r="L2083" s="434">
        <f>L2082</f>
        <v>0</v>
      </c>
      <c r="M2083" s="69"/>
      <c r="N2083" s="434">
        <f>N2082</f>
        <v>0</v>
      </c>
      <c r="O2083" s="69"/>
      <c r="P2083" s="434">
        <f>P2082</f>
        <v>0</v>
      </c>
      <c r="Q2083" s="69"/>
      <c r="R2083" s="429"/>
      <c r="S2083" s="430"/>
      <c r="T2083" s="434">
        <f>T2081</f>
        <v>0</v>
      </c>
      <c r="U2083" s="428"/>
      <c r="V2083" s="434">
        <f>V2082</f>
        <v>0</v>
      </c>
      <c r="W2083" s="69"/>
      <c r="X2083" s="434">
        <f>X2082</f>
        <v>0</v>
      </c>
      <c r="Y2083" s="69">
        <f>W2081*0.3+Y2081*0.7</f>
        <v>0.36499999999999999</v>
      </c>
      <c r="Z2083" s="434">
        <f>Z2082</f>
        <v>0</v>
      </c>
      <c r="AA2083" s="69">
        <f>Y2081*0.3+AA2081*0.7</f>
        <v>0.19600000000000001</v>
      </c>
      <c r="AB2083" s="434">
        <f>AB2082</f>
        <v>0</v>
      </c>
      <c r="AC2083" s="69">
        <f>AA2081*0.3+AC2081*0.7</f>
        <v>7.3999999999999996E-2</v>
      </c>
      <c r="AD2083" s="434">
        <f>AD2082</f>
        <v>0</v>
      </c>
      <c r="AE2083" s="69"/>
      <c r="AF2083" s="429"/>
      <c r="AG2083" s="430"/>
      <c r="AH2083" s="431"/>
      <c r="AI2083" s="432"/>
      <c r="AJ2083" s="65"/>
      <c r="AV2083" s="56"/>
    </row>
    <row r="2084" spans="1:48" ht="13.5" customHeight="1" outlineLevel="2" thickBot="1">
      <c r="B2084" s="82">
        <f>B2077+1</f>
        <v>91</v>
      </c>
      <c r="C2084" s="1233">
        <f>C643</f>
        <v>0</v>
      </c>
      <c r="D2084" s="1233">
        <f>D643</f>
        <v>0</v>
      </c>
      <c r="E2084" s="83" t="str">
        <f>'Terms and Turnovers'!$J$12</f>
        <v>FLIP-FLOPS</v>
      </c>
      <c r="F2084" s="121">
        <f>$R2084*G2084</f>
        <v>0</v>
      </c>
      <c r="G2084" s="69"/>
      <c r="H2084" s="316">
        <f>$R2084*I2084</f>
        <v>0</v>
      </c>
      <c r="I2084" s="69">
        <v>7.0000000000000007E-2</v>
      </c>
      <c r="J2084" s="118">
        <f>$R2084*K2084</f>
        <v>0</v>
      </c>
      <c r="K2084" s="69">
        <v>0.31</v>
      </c>
      <c r="L2084" s="314">
        <f>$R2084*M2084</f>
        <v>0</v>
      </c>
      <c r="M2084" s="69">
        <v>0.35</v>
      </c>
      <c r="N2084" s="314">
        <f>$R2084*O2084</f>
        <v>0</v>
      </c>
      <c r="O2084" s="69">
        <v>0.17</v>
      </c>
      <c r="P2084" s="121">
        <f>$R2084*Q2084</f>
        <v>0</v>
      </c>
      <c r="Q2084" s="69">
        <v>0.1</v>
      </c>
      <c r="R2084" s="87">
        <f>'Terms and Turnovers'!K222</f>
        <v>0</v>
      </c>
      <c r="S2084" s="160">
        <f>SUM(G2084,I2084,K2084,M2084,O2084,Q2084)</f>
        <v>1</v>
      </c>
      <c r="T2084" s="118">
        <f>$AF2084*U2084</f>
        <v>0</v>
      </c>
      <c r="U2084" s="69">
        <v>0</v>
      </c>
      <c r="V2084" s="314">
        <f>$AF2084*W2084</f>
        <v>0</v>
      </c>
      <c r="W2084" s="69">
        <v>0.37</v>
      </c>
      <c r="X2084" s="118">
        <f>$AF2084*Y2084</f>
        <v>0</v>
      </c>
      <c r="Y2084" s="69">
        <v>0.43</v>
      </c>
      <c r="Z2084" s="314">
        <f>$AF2084*AA2084</f>
        <v>0</v>
      </c>
      <c r="AA2084" s="69">
        <v>0.13</v>
      </c>
      <c r="AB2084" s="314">
        <f>$AF2084*AC2084</f>
        <v>0</v>
      </c>
      <c r="AC2084" s="69">
        <v>0.05</v>
      </c>
      <c r="AD2084" s="118">
        <f>$AF2084*AE2084</f>
        <v>0</v>
      </c>
      <c r="AE2084" s="69">
        <v>0.02</v>
      </c>
      <c r="AF2084" s="87">
        <f>'Terms and Turnovers'!P222</f>
        <v>0</v>
      </c>
      <c r="AG2084" s="160">
        <f>SUM(U2084,W2084,Y2084,AA2084,AC2084,AE2084)</f>
        <v>1</v>
      </c>
      <c r="AH2084" s="157">
        <f>SUM(R2084,AF2084)</f>
        <v>0</v>
      </c>
      <c r="AI2084" s="131">
        <f>S2084+AG2084</f>
        <v>2</v>
      </c>
      <c r="AJ2084" s="65"/>
      <c r="AV2084" s="56"/>
    </row>
    <row r="2085" spans="1:48" ht="13.5" customHeight="1" outlineLevel="2" thickBot="1">
      <c r="B2085" s="82"/>
      <c r="C2085" s="1234"/>
      <c r="D2085" s="1234"/>
      <c r="E2085" s="84" t="str">
        <f>'Terms and Turnovers'!$T$12</f>
        <v>ORIGINALS</v>
      </c>
      <c r="F2085" s="121">
        <f>$R2085*G2085</f>
        <v>0</v>
      </c>
      <c r="G2085" s="723"/>
      <c r="H2085" s="121">
        <f>$R2085*I2085</f>
        <v>0</v>
      </c>
      <c r="I2085" s="69">
        <v>7.0000000000000007E-2</v>
      </c>
      <c r="J2085" s="120">
        <f>$R2085*K2085</f>
        <v>0</v>
      </c>
      <c r="K2085" s="69">
        <v>0.31</v>
      </c>
      <c r="L2085" s="120">
        <f>$R2085*M2085</f>
        <v>0</v>
      </c>
      <c r="M2085" s="69">
        <v>0.35</v>
      </c>
      <c r="N2085" s="315">
        <f>$R2085*O2085</f>
        <v>0</v>
      </c>
      <c r="O2085" s="69">
        <v>0.17</v>
      </c>
      <c r="P2085" s="121">
        <f>$R2085*Q2085</f>
        <v>0</v>
      </c>
      <c r="Q2085" s="69">
        <v>0.1</v>
      </c>
      <c r="R2085" s="88">
        <f>'Terms and Turnovers'!U222</f>
        <v>0</v>
      </c>
      <c r="S2085" s="161">
        <f>SUM(G2085,I2085,K2085,M2085,O2085,Q2085)</f>
        <v>1</v>
      </c>
      <c r="T2085" s="120">
        <f>$AF2085*U2085</f>
        <v>0</v>
      </c>
      <c r="U2085" s="723">
        <v>0</v>
      </c>
      <c r="V2085" s="120">
        <f>$AF2085*W2085</f>
        <v>0</v>
      </c>
      <c r="W2085" s="69">
        <v>0.15</v>
      </c>
      <c r="X2085" s="120">
        <f>$AF2085*Y2085</f>
        <v>0</v>
      </c>
      <c r="Y2085" s="69">
        <v>0.6</v>
      </c>
      <c r="Z2085" s="120">
        <f>$AF2085*AA2085</f>
        <v>0</v>
      </c>
      <c r="AA2085" s="69">
        <v>0.25</v>
      </c>
      <c r="AB2085" s="315">
        <f>$AF2085*AC2085</f>
        <v>0</v>
      </c>
      <c r="AC2085" s="69">
        <v>0</v>
      </c>
      <c r="AD2085" s="120">
        <f>$AF2085*AE2085</f>
        <v>0</v>
      </c>
      <c r="AE2085" s="69">
        <v>0</v>
      </c>
      <c r="AF2085" s="88">
        <f>'Terms and Turnovers'!Z222</f>
        <v>0</v>
      </c>
      <c r="AG2085" s="161">
        <f>SUM(U2085,W2085,Y2085,AA2085,AC2085,AE2085)</f>
        <v>1</v>
      </c>
      <c r="AH2085" s="158">
        <f>SUM(R2085,AF2085)</f>
        <v>0</v>
      </c>
      <c r="AI2085" s="134">
        <f>S2085+AG2085</f>
        <v>2</v>
      </c>
      <c r="AJ2085" s="65"/>
      <c r="AV2085" s="56"/>
    </row>
    <row r="2086" spans="1:48" ht="13.5" customHeight="1" outlineLevel="2" thickBot="1">
      <c r="B2086" s="82"/>
      <c r="C2086" s="1234"/>
      <c r="D2086" s="1234"/>
      <c r="E2086" s="84" t="str">
        <f>'Terms and Turnovers'!$AD$12</f>
        <v>ACCESSORIES</v>
      </c>
      <c r="F2086" s="121">
        <f>$R2086*G2086</f>
        <v>0</v>
      </c>
      <c r="G2086" s="723"/>
      <c r="H2086" s="121">
        <f>$R2086*I2086</f>
        <v>0</v>
      </c>
      <c r="I2086" s="69">
        <v>7.0000000000000007E-2</v>
      </c>
      <c r="J2086" s="120">
        <f>$R2086*K2086</f>
        <v>0</v>
      </c>
      <c r="K2086" s="69">
        <v>0.31</v>
      </c>
      <c r="L2086" s="120">
        <f>$R2086*M2086</f>
        <v>0</v>
      </c>
      <c r="M2086" s="69">
        <v>0.35</v>
      </c>
      <c r="N2086" s="315">
        <f>$R2086*O2086</f>
        <v>0</v>
      </c>
      <c r="O2086" s="69">
        <v>0.17</v>
      </c>
      <c r="P2086" s="121">
        <f>$R2086*Q2086</f>
        <v>0</v>
      </c>
      <c r="Q2086" s="69">
        <v>0.1</v>
      </c>
      <c r="R2086" s="88">
        <f>'Terms and Turnovers'!AE222</f>
        <v>0</v>
      </c>
      <c r="S2086" s="161">
        <f>SUM(G2086,I2086,K2086,M2086,O2086,Q2086)</f>
        <v>1</v>
      </c>
      <c r="T2086" s="120">
        <f>$AF2086*U2086</f>
        <v>0</v>
      </c>
      <c r="U2086" s="723">
        <v>0</v>
      </c>
      <c r="V2086" s="120">
        <f>$AF2086*W2086</f>
        <v>0</v>
      </c>
      <c r="W2086" s="69">
        <v>0.15</v>
      </c>
      <c r="X2086" s="120">
        <f>$AF2086*Y2086</f>
        <v>0</v>
      </c>
      <c r="Y2086" s="69">
        <v>0.6</v>
      </c>
      <c r="Z2086" s="120">
        <f>$AF2086*AA2086</f>
        <v>0</v>
      </c>
      <c r="AA2086" s="69">
        <v>0.25</v>
      </c>
      <c r="AB2086" s="315">
        <f>$AF2086*AC2086</f>
        <v>0</v>
      </c>
      <c r="AC2086" s="69">
        <v>0</v>
      </c>
      <c r="AD2086" s="120">
        <f>$AF2086*AE2086</f>
        <v>0</v>
      </c>
      <c r="AE2086" s="69">
        <v>0.02</v>
      </c>
      <c r="AF2086" s="88">
        <f>'Terms and Turnovers'!AJ222</f>
        <v>0</v>
      </c>
      <c r="AG2086" s="161">
        <f>SUM(U2086,W2086,Y2086,AA2086,AC2086,AE2086)</f>
        <v>1.02</v>
      </c>
      <c r="AH2086" s="158">
        <f>SUM(R2086,AF2086)</f>
        <v>0</v>
      </c>
      <c r="AI2086" s="134">
        <f>S2086+AG2086</f>
        <v>2.02</v>
      </c>
      <c r="AJ2086" s="65"/>
      <c r="AV2086" s="56"/>
    </row>
    <row r="2087" spans="1:48" ht="13.5" customHeight="1" outlineLevel="2" thickBot="1">
      <c r="B2087" s="82"/>
      <c r="C2087" s="1234"/>
      <c r="D2087" s="1234"/>
      <c r="E2087" s="84">
        <f>'Terms and Turnovers'!$AN$12</f>
        <v>0</v>
      </c>
      <c r="F2087" s="121">
        <f>$R2087*G2087</f>
        <v>0</v>
      </c>
      <c r="G2087" s="723"/>
      <c r="H2087" s="121">
        <f>$R2087*I2087</f>
        <v>0</v>
      </c>
      <c r="I2087" s="69">
        <v>7.0000000000000007E-2</v>
      </c>
      <c r="J2087" s="120">
        <f>$R2087*K2087</f>
        <v>0</v>
      </c>
      <c r="K2087" s="69">
        <v>0.31</v>
      </c>
      <c r="L2087" s="120">
        <f>$R2087*M2087</f>
        <v>0</v>
      </c>
      <c r="M2087" s="69">
        <v>0.35</v>
      </c>
      <c r="N2087" s="315">
        <f>$R2087*O2087</f>
        <v>0</v>
      </c>
      <c r="O2087" s="69">
        <v>0.17</v>
      </c>
      <c r="P2087" s="121">
        <f>$R2087*Q2087</f>
        <v>0</v>
      </c>
      <c r="Q2087" s="69">
        <v>0.1</v>
      </c>
      <c r="R2087" s="88">
        <f>'Terms and Turnovers'!AO222</f>
        <v>0</v>
      </c>
      <c r="S2087" s="161">
        <f>SUM(G2087,I2087,K2087,M2087,O2087,Q2087)</f>
        <v>1</v>
      </c>
      <c r="T2087" s="120">
        <f>$AF2087*U2087</f>
        <v>0</v>
      </c>
      <c r="U2087" s="723">
        <v>0</v>
      </c>
      <c r="V2087" s="120">
        <f>$AF2087*W2087</f>
        <v>0</v>
      </c>
      <c r="W2087" s="69">
        <v>0.4</v>
      </c>
      <c r="X2087" s="120">
        <f>$AF2087*Y2087</f>
        <v>0</v>
      </c>
      <c r="Y2087" s="69">
        <v>0.35</v>
      </c>
      <c r="Z2087" s="120">
        <f>$AF2087*AA2087</f>
        <v>0</v>
      </c>
      <c r="AA2087" s="69">
        <v>0.13</v>
      </c>
      <c r="AB2087" s="315">
        <f>$AF2087*AC2087</f>
        <v>0</v>
      </c>
      <c r="AC2087" s="69">
        <v>0.05</v>
      </c>
      <c r="AD2087" s="120">
        <f>$AF2087*AE2087</f>
        <v>0</v>
      </c>
      <c r="AE2087" s="69">
        <v>0.02</v>
      </c>
      <c r="AF2087" s="88">
        <f>'Terms and Turnovers'!AT222</f>
        <v>0</v>
      </c>
      <c r="AG2087" s="161">
        <f>SUM(U2087,W2087,Y2087,AA2087,AC2087,AE2087)</f>
        <v>0.95000000000000007</v>
      </c>
      <c r="AH2087" s="158">
        <f>SUM(R2087,AF2087)</f>
        <v>0</v>
      </c>
      <c r="AI2087" s="134">
        <f>S2087+AG2087</f>
        <v>1.9500000000000002</v>
      </c>
      <c r="AJ2087" s="65"/>
      <c r="AV2087" s="56"/>
    </row>
    <row r="2088" spans="1:48" ht="13.5" customHeight="1" outlineLevel="2" thickBot="1">
      <c r="B2088" s="82"/>
      <c r="C2088" s="1235"/>
      <c r="D2088" s="1235"/>
      <c r="E2088" s="85">
        <f>'Terms and Turnovers'!$AX$12</f>
        <v>0</v>
      </c>
      <c r="F2088" s="121">
        <f>$R2088*G2088</f>
        <v>0</v>
      </c>
      <c r="G2088" s="72"/>
      <c r="H2088" s="121">
        <f>$R2088*I2088</f>
        <v>0</v>
      </c>
      <c r="I2088" s="69">
        <v>7.0000000000000007E-2</v>
      </c>
      <c r="J2088" s="121">
        <f>$R2088*K2088</f>
        <v>0</v>
      </c>
      <c r="K2088" s="69">
        <v>0.31</v>
      </c>
      <c r="L2088" s="121">
        <f>$R2088*M2088</f>
        <v>0</v>
      </c>
      <c r="M2088" s="69">
        <v>0.35</v>
      </c>
      <c r="N2088" s="316">
        <f>$R2088*O2088</f>
        <v>0</v>
      </c>
      <c r="O2088" s="69">
        <v>0.17</v>
      </c>
      <c r="P2088" s="121">
        <f>$R2088*Q2088</f>
        <v>0</v>
      </c>
      <c r="Q2088" s="69">
        <v>0.1</v>
      </c>
      <c r="R2088" s="89">
        <f>'Terms and Turnovers'!AY222</f>
        <v>0</v>
      </c>
      <c r="S2088" s="162">
        <f>SUM(G2088,I2088,K2088,M2088,O2088,Q2088)</f>
        <v>1</v>
      </c>
      <c r="T2088" s="121">
        <f>$AF2088*U2088</f>
        <v>0</v>
      </c>
      <c r="U2088" s="72">
        <v>0</v>
      </c>
      <c r="V2088" s="121">
        <f>$AF2088*W2088</f>
        <v>0</v>
      </c>
      <c r="W2088" s="69">
        <v>0.4</v>
      </c>
      <c r="X2088" s="121">
        <f>$AF2088*Y2088</f>
        <v>0</v>
      </c>
      <c r="Y2088" s="69">
        <v>0.35</v>
      </c>
      <c r="Z2088" s="121">
        <f>$AF2088*AA2088</f>
        <v>0</v>
      </c>
      <c r="AA2088" s="69">
        <v>0.13</v>
      </c>
      <c r="AB2088" s="316">
        <f>$AF2088*AC2088</f>
        <v>0</v>
      </c>
      <c r="AC2088" s="69">
        <v>0.05</v>
      </c>
      <c r="AD2088" s="121">
        <f>$AF2088*AE2088</f>
        <v>0</v>
      </c>
      <c r="AE2088" s="69">
        <v>0.02</v>
      </c>
      <c r="AF2088" s="89">
        <f>'Terms and Turnovers'!BD222</f>
        <v>0</v>
      </c>
      <c r="AG2088" s="162">
        <f>SUM(U2088,W2088,Y2088,AA2088,AC2088,AE2088)</f>
        <v>0.95000000000000007</v>
      </c>
      <c r="AH2088" s="159">
        <f>SUM(R2088,AF2088)</f>
        <v>0</v>
      </c>
      <c r="AI2088" s="137">
        <f>S2088+AG2088</f>
        <v>1.9500000000000002</v>
      </c>
      <c r="AJ2088" s="65"/>
      <c r="AV2088" s="56"/>
    </row>
    <row r="2089" spans="1:48" ht="13.5" customHeight="1" outlineLevel="2" thickBot="1">
      <c r="A2089" s="119"/>
      <c r="B2089" s="82"/>
      <c r="C2089" s="425"/>
      <c r="D2089" s="425"/>
      <c r="E2089" s="426"/>
      <c r="F2089" s="427">
        <f>SUM(F2084:F2088)</f>
        <v>0</v>
      </c>
      <c r="G2089" s="428"/>
      <c r="H2089" s="427">
        <f>SUM(H2084:H2088)</f>
        <v>0</v>
      </c>
      <c r="I2089" s="69"/>
      <c r="J2089" s="427">
        <f>SUM(J2084:J2088)</f>
        <v>0</v>
      </c>
      <c r="K2089" s="69"/>
      <c r="L2089" s="427">
        <f>SUM(L2084:L2088)</f>
        <v>0</v>
      </c>
      <c r="M2089" s="69"/>
      <c r="N2089" s="427">
        <f>SUM(N2084:N2088)</f>
        <v>0</v>
      </c>
      <c r="O2089" s="69"/>
      <c r="P2089" s="427">
        <f>SUM(P2084:P2088)</f>
        <v>0</v>
      </c>
      <c r="Q2089" s="69"/>
      <c r="R2089" s="429"/>
      <c r="S2089" s="430"/>
      <c r="T2089" s="427">
        <f>SUM(T2084:T2088)</f>
        <v>0</v>
      </c>
      <c r="U2089" s="428"/>
      <c r="V2089" s="427">
        <f>SUM(V2084:V2088)</f>
        <v>0</v>
      </c>
      <c r="W2089" s="69"/>
      <c r="X2089" s="427">
        <f>SUM(X2084:X2088)</f>
        <v>0</v>
      </c>
      <c r="Y2089" s="69"/>
      <c r="Z2089" s="427">
        <f>SUM(Z2084:Z2088)</f>
        <v>0</v>
      </c>
      <c r="AA2089" s="69"/>
      <c r="AB2089" s="427">
        <f>SUM(AB2084:AB2088)</f>
        <v>0</v>
      </c>
      <c r="AC2089" s="69"/>
      <c r="AD2089" s="427">
        <f>SUM(AD2084:AD2088)</f>
        <v>0</v>
      </c>
      <c r="AE2089" s="69"/>
      <c r="AF2089" s="429"/>
      <c r="AG2089" s="430"/>
      <c r="AH2089" s="431"/>
      <c r="AI2089" s="432"/>
      <c r="AJ2089" s="65"/>
      <c r="AV2089" s="56"/>
    </row>
    <row r="2090" spans="1:48" ht="13.5" customHeight="1" outlineLevel="2" thickBot="1">
      <c r="A2090" s="119"/>
      <c r="B2090" s="82"/>
      <c r="C2090" s="433" t="s">
        <v>484</v>
      </c>
      <c r="D2090" s="433"/>
      <c r="E2090" s="426"/>
      <c r="F2090" s="434">
        <f>F2089</f>
        <v>0</v>
      </c>
      <c r="G2090" s="428"/>
      <c r="H2090" s="434">
        <f>H2089</f>
        <v>0</v>
      </c>
      <c r="I2090" s="69"/>
      <c r="J2090" s="434">
        <f>J2089</f>
        <v>0</v>
      </c>
      <c r="K2090" s="69"/>
      <c r="L2090" s="434">
        <f>L2089</f>
        <v>0</v>
      </c>
      <c r="M2090" s="69"/>
      <c r="N2090" s="434">
        <f>N2089</f>
        <v>0</v>
      </c>
      <c r="O2090" s="69"/>
      <c r="P2090" s="434">
        <f>P2089</f>
        <v>0</v>
      </c>
      <c r="Q2090" s="69"/>
      <c r="R2090" s="429"/>
      <c r="S2090" s="430"/>
      <c r="T2090" s="434">
        <f>T2088</f>
        <v>0</v>
      </c>
      <c r="U2090" s="428"/>
      <c r="V2090" s="434">
        <f>V2089</f>
        <v>0</v>
      </c>
      <c r="W2090" s="69"/>
      <c r="X2090" s="434">
        <f>X2089</f>
        <v>0</v>
      </c>
      <c r="Y2090" s="69">
        <f>W2088*0.3+Y2088*0.7</f>
        <v>0.36499999999999999</v>
      </c>
      <c r="Z2090" s="434">
        <f>Z2089</f>
        <v>0</v>
      </c>
      <c r="AA2090" s="69">
        <f>Y2088*0.3+AA2088*0.7</f>
        <v>0.19600000000000001</v>
      </c>
      <c r="AB2090" s="434">
        <f>AB2089</f>
        <v>0</v>
      </c>
      <c r="AC2090" s="69">
        <f>AA2088*0.3+AC2088*0.7</f>
        <v>7.3999999999999996E-2</v>
      </c>
      <c r="AD2090" s="434">
        <f>AD2089</f>
        <v>0</v>
      </c>
      <c r="AE2090" s="69"/>
      <c r="AF2090" s="429"/>
      <c r="AG2090" s="430"/>
      <c r="AH2090" s="431"/>
      <c r="AI2090" s="432"/>
      <c r="AJ2090" s="65"/>
      <c r="AV2090" s="56"/>
    </row>
    <row r="2091" spans="1:48" ht="13.5" customHeight="1" outlineLevel="2" thickBot="1">
      <c r="B2091" s="82">
        <f>B2084+1</f>
        <v>92</v>
      </c>
      <c r="C2091" s="1233">
        <f>C650</f>
        <v>0</v>
      </c>
      <c r="D2091" s="1233">
        <f>D650</f>
        <v>0</v>
      </c>
      <c r="E2091" s="83" t="str">
        <f>'Terms and Turnovers'!$J$12</f>
        <v>FLIP-FLOPS</v>
      </c>
      <c r="F2091" s="121">
        <f>$R2091*G2091</f>
        <v>0</v>
      </c>
      <c r="G2091" s="69"/>
      <c r="H2091" s="316">
        <f>$R2091*I2091</f>
        <v>0</v>
      </c>
      <c r="I2091" s="69">
        <v>7.0000000000000007E-2</v>
      </c>
      <c r="J2091" s="118">
        <f>$R2091*K2091</f>
        <v>0</v>
      </c>
      <c r="K2091" s="69">
        <v>0.31</v>
      </c>
      <c r="L2091" s="314">
        <f>$R2091*M2091</f>
        <v>0</v>
      </c>
      <c r="M2091" s="69">
        <v>0.35</v>
      </c>
      <c r="N2091" s="314">
        <f>$R2091*O2091</f>
        <v>0</v>
      </c>
      <c r="O2091" s="69">
        <v>0.17</v>
      </c>
      <c r="P2091" s="121">
        <f>$R2091*Q2091</f>
        <v>0</v>
      </c>
      <c r="Q2091" s="69">
        <v>0.1</v>
      </c>
      <c r="R2091" s="87">
        <f>'Terms and Turnovers'!K223</f>
        <v>0</v>
      </c>
      <c r="S2091" s="160">
        <f>SUM(G2091,I2091,K2091,M2091,O2091,Q2091)</f>
        <v>1</v>
      </c>
      <c r="T2091" s="118">
        <f>$AF2091*U2091</f>
        <v>0</v>
      </c>
      <c r="U2091" s="69">
        <v>0</v>
      </c>
      <c r="V2091" s="118">
        <f>$AF2091*W2091</f>
        <v>0</v>
      </c>
      <c r="W2091" s="69">
        <v>0.37</v>
      </c>
      <c r="X2091" s="118">
        <f>$AF2091*Y2091</f>
        <v>0</v>
      </c>
      <c r="Y2091" s="69">
        <v>0.35</v>
      </c>
      <c r="Z2091" s="118">
        <f>$AF2091*AA2091</f>
        <v>0</v>
      </c>
      <c r="AA2091" s="358">
        <v>0.13</v>
      </c>
      <c r="AB2091" s="118">
        <f>$AF2091*AC2091</f>
        <v>0</v>
      </c>
      <c r="AC2091" s="69">
        <v>0.05</v>
      </c>
      <c r="AD2091" s="118">
        <f>$AF2091*AE2091</f>
        <v>0</v>
      </c>
      <c r="AE2091" s="69">
        <v>0.02</v>
      </c>
      <c r="AF2091" s="87">
        <f>'Terms and Turnovers'!P223</f>
        <v>0</v>
      </c>
      <c r="AG2091" s="160">
        <f>SUM(U2091,W2091,Y2091,AA2091,AC2091,AE2091)</f>
        <v>0.92</v>
      </c>
      <c r="AH2091" s="157">
        <f>SUM(R2091,AF2091)</f>
        <v>0</v>
      </c>
      <c r="AI2091" s="131">
        <f>S2091+AG2091</f>
        <v>1.92</v>
      </c>
      <c r="AJ2091" s="65"/>
      <c r="AV2091" s="56"/>
    </row>
    <row r="2092" spans="1:48" ht="13.5" customHeight="1" outlineLevel="2" thickBot="1">
      <c r="B2092" s="82"/>
      <c r="C2092" s="1234"/>
      <c r="D2092" s="1234"/>
      <c r="E2092" s="84" t="str">
        <f>'Terms and Turnovers'!$T$12</f>
        <v>ORIGINALS</v>
      </c>
      <c r="F2092" s="121">
        <f>$R2092*G2092</f>
        <v>0</v>
      </c>
      <c r="G2092" s="723"/>
      <c r="H2092" s="121">
        <f>$R2092*I2092</f>
        <v>0</v>
      </c>
      <c r="I2092" s="69">
        <v>7.0000000000000007E-2</v>
      </c>
      <c r="J2092" s="120">
        <f>$R2092*K2092</f>
        <v>0</v>
      </c>
      <c r="K2092" s="69">
        <v>0.31</v>
      </c>
      <c r="L2092" s="120">
        <f>$R2092*M2092</f>
        <v>0</v>
      </c>
      <c r="M2092" s="69">
        <v>0.35</v>
      </c>
      <c r="N2092" s="315">
        <f>$R2092*O2092</f>
        <v>0</v>
      </c>
      <c r="O2092" s="69">
        <v>0.17</v>
      </c>
      <c r="P2092" s="121">
        <f>$R2092*Q2092</f>
        <v>0</v>
      </c>
      <c r="Q2092" s="69">
        <v>0.1</v>
      </c>
      <c r="R2092" s="88">
        <f>'Terms and Turnovers'!U223</f>
        <v>0</v>
      </c>
      <c r="S2092" s="161">
        <f>SUM(G2092,I2092,K2092,M2092,O2092,Q2092)</f>
        <v>1</v>
      </c>
      <c r="T2092" s="120">
        <f>$AF2092*U2092</f>
        <v>0</v>
      </c>
      <c r="U2092" s="723">
        <v>0</v>
      </c>
      <c r="V2092" s="120">
        <f>$AF2092*W2092</f>
        <v>0</v>
      </c>
      <c r="W2092" s="69">
        <v>0.15</v>
      </c>
      <c r="X2092" s="120">
        <f>$AF2092*Y2092</f>
        <v>0</v>
      </c>
      <c r="Y2092" s="723">
        <v>0.35</v>
      </c>
      <c r="Z2092" s="120">
        <f>$AF2092*AA2092</f>
        <v>0</v>
      </c>
      <c r="AA2092" s="358">
        <v>0.13</v>
      </c>
      <c r="AB2092" s="120">
        <f>$AF2092*AC2092</f>
        <v>0</v>
      </c>
      <c r="AC2092" s="69">
        <v>0.05</v>
      </c>
      <c r="AD2092" s="120">
        <f>$AF2092*AE2092</f>
        <v>0</v>
      </c>
      <c r="AE2092" s="69">
        <v>0.02</v>
      </c>
      <c r="AF2092" s="88">
        <f>'Terms and Turnovers'!Z223</f>
        <v>0</v>
      </c>
      <c r="AG2092" s="161">
        <f>SUM(U2092,W2092,Y2092,AA2092,AC2092,AE2092)</f>
        <v>0.70000000000000007</v>
      </c>
      <c r="AH2092" s="158">
        <f>SUM(R2092,AF2092)</f>
        <v>0</v>
      </c>
      <c r="AI2092" s="134">
        <f>S2092+AG2092</f>
        <v>1.7000000000000002</v>
      </c>
      <c r="AJ2092" s="65"/>
      <c r="AV2092" s="56"/>
    </row>
    <row r="2093" spans="1:48" ht="13.5" customHeight="1" outlineLevel="2" thickBot="1">
      <c r="B2093" s="82"/>
      <c r="C2093" s="1234"/>
      <c r="D2093" s="1234"/>
      <c r="E2093" s="84" t="str">
        <f>'Terms and Turnovers'!$AD$12</f>
        <v>ACCESSORIES</v>
      </c>
      <c r="F2093" s="121">
        <f>$R2093*G2093</f>
        <v>0</v>
      </c>
      <c r="G2093" s="723"/>
      <c r="H2093" s="121">
        <f>$R2093*I2093</f>
        <v>0</v>
      </c>
      <c r="I2093" s="69">
        <v>7.0000000000000007E-2</v>
      </c>
      <c r="J2093" s="120">
        <f>$R2093*K2093</f>
        <v>0</v>
      </c>
      <c r="K2093" s="69">
        <v>0.31</v>
      </c>
      <c r="L2093" s="120">
        <f>$R2093*M2093</f>
        <v>0</v>
      </c>
      <c r="M2093" s="69">
        <v>0.35</v>
      </c>
      <c r="N2093" s="315">
        <f>$R2093*O2093</f>
        <v>0</v>
      </c>
      <c r="O2093" s="69">
        <v>0.17</v>
      </c>
      <c r="P2093" s="121">
        <f>$R2093*Q2093</f>
        <v>0</v>
      </c>
      <c r="Q2093" s="69">
        <v>0.1</v>
      </c>
      <c r="R2093" s="88">
        <f>'Terms and Turnovers'!AE223</f>
        <v>0</v>
      </c>
      <c r="S2093" s="161">
        <f>SUM(G2093,I2093,K2093,M2093,O2093,Q2093)</f>
        <v>1</v>
      </c>
      <c r="T2093" s="120">
        <f>$AF2093*U2093</f>
        <v>0</v>
      </c>
      <c r="U2093" s="723">
        <v>0</v>
      </c>
      <c r="V2093" s="120">
        <f>$AF2093*W2093</f>
        <v>0</v>
      </c>
      <c r="W2093" s="69">
        <v>0.15</v>
      </c>
      <c r="X2093" s="120">
        <f>$AF2093*Y2093</f>
        <v>0</v>
      </c>
      <c r="Y2093" s="723">
        <v>0.35</v>
      </c>
      <c r="Z2093" s="120">
        <f>$AF2093*AA2093</f>
        <v>0</v>
      </c>
      <c r="AA2093" s="358">
        <v>0.13</v>
      </c>
      <c r="AB2093" s="120">
        <f>$AF2093*AC2093</f>
        <v>0</v>
      </c>
      <c r="AC2093" s="69">
        <v>0.05</v>
      </c>
      <c r="AD2093" s="120">
        <f>$AF2093*AE2093</f>
        <v>0</v>
      </c>
      <c r="AE2093" s="69">
        <v>0.02</v>
      </c>
      <c r="AF2093" s="88">
        <f>'Terms and Turnovers'!AJ223</f>
        <v>0</v>
      </c>
      <c r="AG2093" s="161">
        <f>SUM(U2093,W2093,Y2093,AA2093,AC2093,AE2093)</f>
        <v>0.70000000000000007</v>
      </c>
      <c r="AH2093" s="158">
        <f>SUM(R2093,AF2093)</f>
        <v>0</v>
      </c>
      <c r="AI2093" s="134">
        <f>S2093+AG2093</f>
        <v>1.7000000000000002</v>
      </c>
      <c r="AJ2093" s="65"/>
      <c r="AV2093" s="56"/>
    </row>
    <row r="2094" spans="1:48" ht="13.5" customHeight="1" outlineLevel="2" thickBot="1">
      <c r="B2094" s="82"/>
      <c r="C2094" s="1234"/>
      <c r="D2094" s="1234"/>
      <c r="E2094" s="84">
        <f>'Terms and Turnovers'!$AN$12</f>
        <v>0</v>
      </c>
      <c r="F2094" s="121">
        <f>$R2094*G2094</f>
        <v>0</v>
      </c>
      <c r="G2094" s="723"/>
      <c r="H2094" s="121">
        <f>$R2094*I2094</f>
        <v>0</v>
      </c>
      <c r="I2094" s="69">
        <v>7.0000000000000007E-2</v>
      </c>
      <c r="J2094" s="120">
        <f>$R2094*K2094</f>
        <v>0</v>
      </c>
      <c r="K2094" s="69">
        <v>0.31</v>
      </c>
      <c r="L2094" s="120">
        <f>$R2094*M2094</f>
        <v>0</v>
      </c>
      <c r="M2094" s="69">
        <v>0.35</v>
      </c>
      <c r="N2094" s="315">
        <f>$R2094*O2094</f>
        <v>0</v>
      </c>
      <c r="O2094" s="69">
        <v>0.17</v>
      </c>
      <c r="P2094" s="121">
        <f>$R2094*Q2094</f>
        <v>0</v>
      </c>
      <c r="Q2094" s="69">
        <v>0.1</v>
      </c>
      <c r="R2094" s="88">
        <f>'Terms and Turnovers'!AO223</f>
        <v>0</v>
      </c>
      <c r="S2094" s="161">
        <f>SUM(G2094,I2094,K2094,M2094,O2094,Q2094)</f>
        <v>1</v>
      </c>
      <c r="T2094" s="120">
        <f>$AF2094*U2094</f>
        <v>0</v>
      </c>
      <c r="U2094" s="723">
        <v>0</v>
      </c>
      <c r="V2094" s="120">
        <f>$AF2094*W2094</f>
        <v>0</v>
      </c>
      <c r="W2094" s="69">
        <v>0.4</v>
      </c>
      <c r="X2094" s="120">
        <f>$AF2094*Y2094</f>
        <v>0</v>
      </c>
      <c r="Y2094" s="723">
        <v>0.35</v>
      </c>
      <c r="Z2094" s="120">
        <f>$AF2094*AA2094</f>
        <v>0</v>
      </c>
      <c r="AA2094" s="358">
        <v>0.13</v>
      </c>
      <c r="AB2094" s="120">
        <f>$AF2094*AC2094</f>
        <v>0</v>
      </c>
      <c r="AC2094" s="69">
        <v>0.05</v>
      </c>
      <c r="AD2094" s="120">
        <f>$AF2094*AE2094</f>
        <v>0</v>
      </c>
      <c r="AE2094" s="69">
        <v>0.02</v>
      </c>
      <c r="AF2094" s="88">
        <f>'Terms and Turnovers'!AT223</f>
        <v>0</v>
      </c>
      <c r="AG2094" s="161">
        <f>SUM(U2094,W2094,Y2094,AA2094,AC2094,AE2094)</f>
        <v>0.95000000000000007</v>
      </c>
      <c r="AH2094" s="158">
        <f>SUM(R2094,AF2094)</f>
        <v>0</v>
      </c>
      <c r="AI2094" s="134">
        <f>S2094+AG2094</f>
        <v>1.9500000000000002</v>
      </c>
      <c r="AJ2094" s="65"/>
      <c r="AV2094" s="56"/>
    </row>
    <row r="2095" spans="1:48" ht="13.5" customHeight="1" outlineLevel="2" thickBot="1">
      <c r="B2095" s="82"/>
      <c r="C2095" s="1235"/>
      <c r="D2095" s="1235"/>
      <c r="E2095" s="85">
        <f>'Terms and Turnovers'!$AX$12</f>
        <v>0</v>
      </c>
      <c r="F2095" s="121">
        <f>$R2095*G2095</f>
        <v>0</v>
      </c>
      <c r="G2095" s="72"/>
      <c r="H2095" s="121">
        <f>$R2095*I2095</f>
        <v>0</v>
      </c>
      <c r="I2095" s="69">
        <v>7.0000000000000007E-2</v>
      </c>
      <c r="J2095" s="121">
        <f>$R2095*K2095</f>
        <v>0</v>
      </c>
      <c r="K2095" s="69">
        <v>0.31</v>
      </c>
      <c r="L2095" s="121">
        <f>$R2095*M2095</f>
        <v>0</v>
      </c>
      <c r="M2095" s="69">
        <v>0.35</v>
      </c>
      <c r="N2095" s="316">
        <f>$R2095*O2095</f>
        <v>0</v>
      </c>
      <c r="O2095" s="69">
        <v>0.17</v>
      </c>
      <c r="P2095" s="121">
        <f>$R2095*Q2095</f>
        <v>0</v>
      </c>
      <c r="Q2095" s="69">
        <v>0.1</v>
      </c>
      <c r="R2095" s="89">
        <f>'Terms and Turnovers'!AY223</f>
        <v>0</v>
      </c>
      <c r="S2095" s="162">
        <f>SUM(G2095,I2095,K2095,M2095,O2095,Q2095)</f>
        <v>1</v>
      </c>
      <c r="T2095" s="121">
        <f>$AF2095*U2095</f>
        <v>0</v>
      </c>
      <c r="U2095" s="72">
        <v>0</v>
      </c>
      <c r="V2095" s="121">
        <f>$AF2095*W2095</f>
        <v>0</v>
      </c>
      <c r="W2095" s="69">
        <v>0.4</v>
      </c>
      <c r="X2095" s="121">
        <f>$AF2095*Y2095</f>
        <v>0</v>
      </c>
      <c r="Y2095" s="72">
        <v>0.35</v>
      </c>
      <c r="Z2095" s="121">
        <f>$AF2095*AA2095</f>
        <v>0</v>
      </c>
      <c r="AA2095" s="358">
        <v>0.13</v>
      </c>
      <c r="AB2095" s="121">
        <f>$AF2095*AC2095</f>
        <v>0</v>
      </c>
      <c r="AC2095" s="69">
        <v>0.05</v>
      </c>
      <c r="AD2095" s="121">
        <f>$AF2095*AE2095</f>
        <v>0</v>
      </c>
      <c r="AE2095" s="69">
        <v>0.02</v>
      </c>
      <c r="AF2095" s="89">
        <f>'Terms and Turnovers'!BD223</f>
        <v>0</v>
      </c>
      <c r="AG2095" s="162">
        <f>SUM(U2095,W2095,Y2095,AA2095,AC2095,AE2095)</f>
        <v>0.95000000000000007</v>
      </c>
      <c r="AH2095" s="159">
        <f>SUM(R2095,AF2095)</f>
        <v>0</v>
      </c>
      <c r="AI2095" s="137">
        <f>S2095+AG2095</f>
        <v>1.9500000000000002</v>
      </c>
      <c r="AJ2095" s="65"/>
      <c r="AV2095" s="56"/>
    </row>
    <row r="2096" spans="1:48" ht="13.5" customHeight="1" outlineLevel="2" thickBot="1">
      <c r="A2096" s="119"/>
      <c r="B2096" s="82"/>
      <c r="C2096" s="425"/>
      <c r="D2096" s="425"/>
      <c r="E2096" s="426"/>
      <c r="F2096" s="427">
        <f>SUM(F2091:F2095)</f>
        <v>0</v>
      </c>
      <c r="G2096" s="428"/>
      <c r="H2096" s="427">
        <f>SUM(H2091:H2095)</f>
        <v>0</v>
      </c>
      <c r="I2096" s="69"/>
      <c r="J2096" s="427">
        <f>SUM(J2091:J2095)</f>
        <v>0</v>
      </c>
      <c r="K2096" s="69"/>
      <c r="L2096" s="427">
        <f>SUM(L2091:L2095)</f>
        <v>0</v>
      </c>
      <c r="M2096" s="69"/>
      <c r="N2096" s="427">
        <f>SUM(N2091:N2095)</f>
        <v>0</v>
      </c>
      <c r="O2096" s="69"/>
      <c r="P2096" s="427">
        <f>SUM(P2091:P2095)</f>
        <v>0</v>
      </c>
      <c r="Q2096" s="69"/>
      <c r="R2096" s="429"/>
      <c r="S2096" s="430"/>
      <c r="T2096" s="427">
        <f>SUM(T2091:T2095)</f>
        <v>0</v>
      </c>
      <c r="U2096" s="428"/>
      <c r="V2096" s="427">
        <f>SUM(V2091:V2095)</f>
        <v>0</v>
      </c>
      <c r="W2096" s="69"/>
      <c r="X2096" s="427">
        <f>SUM(X2091:X2095)</f>
        <v>0</v>
      </c>
      <c r="Y2096" s="69"/>
      <c r="Z2096" s="427">
        <f>SUM(Z2091:Z2095)</f>
        <v>0</v>
      </c>
      <c r="AA2096" s="69"/>
      <c r="AB2096" s="427">
        <f>SUM(AB2091:AB2095)</f>
        <v>0</v>
      </c>
      <c r="AC2096" s="69"/>
      <c r="AD2096" s="427">
        <f>SUM(AD2091:AD2095)</f>
        <v>0</v>
      </c>
      <c r="AE2096" s="69"/>
      <c r="AF2096" s="429"/>
      <c r="AG2096" s="430"/>
      <c r="AH2096" s="431"/>
      <c r="AI2096" s="432"/>
      <c r="AJ2096" s="65"/>
      <c r="AV2096" s="56"/>
    </row>
    <row r="2097" spans="1:48" ht="13.5" customHeight="1" outlineLevel="2" thickBot="1">
      <c r="A2097" s="119"/>
      <c r="B2097" s="82"/>
      <c r="C2097" s="433" t="s">
        <v>484</v>
      </c>
      <c r="D2097" s="433"/>
      <c r="E2097" s="426"/>
      <c r="F2097" s="434">
        <f>F2096</f>
        <v>0</v>
      </c>
      <c r="G2097" s="428"/>
      <c r="H2097" s="434">
        <f>H2096</f>
        <v>0</v>
      </c>
      <c r="I2097" s="69"/>
      <c r="J2097" s="434">
        <f>J2096</f>
        <v>0</v>
      </c>
      <c r="K2097" s="69"/>
      <c r="L2097" s="434">
        <f>L2096</f>
        <v>0</v>
      </c>
      <c r="M2097" s="69"/>
      <c r="N2097" s="434">
        <f>N2096</f>
        <v>0</v>
      </c>
      <c r="O2097" s="69"/>
      <c r="P2097" s="434">
        <f>P2096</f>
        <v>0</v>
      </c>
      <c r="Q2097" s="69"/>
      <c r="R2097" s="429"/>
      <c r="S2097" s="430"/>
      <c r="T2097" s="434">
        <f>T2095</f>
        <v>0</v>
      </c>
      <c r="U2097" s="428"/>
      <c r="V2097" s="434">
        <f>V2096</f>
        <v>0</v>
      </c>
      <c r="W2097" s="69"/>
      <c r="X2097" s="434">
        <f>X2096</f>
        <v>0</v>
      </c>
      <c r="Y2097" s="69">
        <f>W2095*0.3+Y2095*0.7</f>
        <v>0.36499999999999999</v>
      </c>
      <c r="Z2097" s="434">
        <f>Z2096</f>
        <v>0</v>
      </c>
      <c r="AA2097" s="69">
        <f>Y2095*0.3+AA2095*0.7</f>
        <v>0.19600000000000001</v>
      </c>
      <c r="AB2097" s="434">
        <f>AB2096</f>
        <v>0</v>
      </c>
      <c r="AC2097" s="69">
        <f>AA2095*0.3+AC2095*0.7</f>
        <v>7.3999999999999996E-2</v>
      </c>
      <c r="AD2097" s="434">
        <f>AD2096</f>
        <v>0</v>
      </c>
      <c r="AE2097" s="69"/>
      <c r="AF2097" s="429"/>
      <c r="AG2097" s="430"/>
      <c r="AH2097" s="431"/>
      <c r="AI2097" s="432"/>
      <c r="AJ2097" s="65"/>
      <c r="AV2097" s="56"/>
    </row>
    <row r="2098" spans="1:48" ht="13.5" customHeight="1" outlineLevel="2" thickBot="1">
      <c r="B2098" s="82">
        <f>B2091+1</f>
        <v>93</v>
      </c>
      <c r="C2098" s="1233">
        <f>C657</f>
        <v>0</v>
      </c>
      <c r="D2098" s="1233">
        <f>D657</f>
        <v>0</v>
      </c>
      <c r="E2098" s="83" t="str">
        <f>'Terms and Turnovers'!$J$12</f>
        <v>FLIP-FLOPS</v>
      </c>
      <c r="F2098" s="121">
        <f>$R2098*G2098</f>
        <v>0</v>
      </c>
      <c r="G2098" s="69"/>
      <c r="H2098" s="316">
        <f>$R2098*I2098</f>
        <v>0</v>
      </c>
      <c r="I2098" s="69">
        <v>7.0000000000000007E-2</v>
      </c>
      <c r="J2098" s="118">
        <f>$R2098*K2098</f>
        <v>0</v>
      </c>
      <c r="K2098" s="69">
        <v>0.31</v>
      </c>
      <c r="L2098" s="314">
        <f>$R2098*M2098</f>
        <v>0</v>
      </c>
      <c r="M2098" s="69">
        <v>0.35</v>
      </c>
      <c r="N2098" s="314">
        <f>$R2098*O2098</f>
        <v>0</v>
      </c>
      <c r="O2098" s="69">
        <v>0.17</v>
      </c>
      <c r="P2098" s="121">
        <f>$R2098*Q2098</f>
        <v>0</v>
      </c>
      <c r="Q2098" s="69">
        <v>0.1</v>
      </c>
      <c r="R2098" s="87">
        <f>'Terms and Turnovers'!K224</f>
        <v>0</v>
      </c>
      <c r="S2098" s="160">
        <f>SUM(G2098,I2098,K2098,M2098,O2098,Q2098)</f>
        <v>1</v>
      </c>
      <c r="T2098" s="118">
        <f>$AF2098*U2098</f>
        <v>0</v>
      </c>
      <c r="U2098" s="69">
        <v>0.05</v>
      </c>
      <c r="V2098" s="118">
        <f>$AF2098*W2098</f>
        <v>0</v>
      </c>
      <c r="W2098" s="69">
        <v>0.4</v>
      </c>
      <c r="X2098" s="118">
        <f>$AF2098*Y2098</f>
        <v>0</v>
      </c>
      <c r="Y2098" s="69">
        <v>0.35</v>
      </c>
      <c r="Z2098" s="118">
        <f>$AF2098*AA2098</f>
        <v>0</v>
      </c>
      <c r="AA2098" s="358">
        <v>0.13</v>
      </c>
      <c r="AB2098" s="118">
        <f>$AF2098*AC2098</f>
        <v>0</v>
      </c>
      <c r="AC2098" s="69">
        <v>0.05</v>
      </c>
      <c r="AD2098" s="118">
        <f>$AF2098*AE2098</f>
        <v>0</v>
      </c>
      <c r="AE2098" s="69">
        <v>0.02</v>
      </c>
      <c r="AF2098" s="87">
        <f>'Terms and Turnovers'!P224</f>
        <v>0</v>
      </c>
      <c r="AG2098" s="160">
        <f>SUM(U2098,W2098,Y2098,AA2098,AC2098,AE2098)</f>
        <v>1</v>
      </c>
      <c r="AH2098" s="157">
        <f>SUM(R2098,AF2098)</f>
        <v>0</v>
      </c>
      <c r="AI2098" s="131">
        <f>S2098+AG2098</f>
        <v>2</v>
      </c>
      <c r="AJ2098" s="65"/>
      <c r="AV2098" s="56"/>
    </row>
    <row r="2099" spans="1:48" ht="13.5" customHeight="1" outlineLevel="2" thickBot="1">
      <c r="B2099" s="82"/>
      <c r="C2099" s="1234"/>
      <c r="D2099" s="1234"/>
      <c r="E2099" s="84" t="str">
        <f>'Terms and Turnovers'!$T$12</f>
        <v>ORIGINALS</v>
      </c>
      <c r="F2099" s="121">
        <f>$R2099*G2099</f>
        <v>0</v>
      </c>
      <c r="G2099" s="723"/>
      <c r="H2099" s="121">
        <f>$R2099*I2099</f>
        <v>0</v>
      </c>
      <c r="I2099" s="69">
        <v>7.0000000000000007E-2</v>
      </c>
      <c r="J2099" s="120">
        <f>$R2099*K2099</f>
        <v>0</v>
      </c>
      <c r="K2099" s="69">
        <v>0.31</v>
      </c>
      <c r="L2099" s="120">
        <f>$R2099*M2099</f>
        <v>0</v>
      </c>
      <c r="M2099" s="69">
        <v>0.35</v>
      </c>
      <c r="N2099" s="315">
        <f>$R2099*O2099</f>
        <v>0</v>
      </c>
      <c r="O2099" s="69">
        <v>0.17</v>
      </c>
      <c r="P2099" s="121">
        <f>$R2099*Q2099</f>
        <v>0</v>
      </c>
      <c r="Q2099" s="69">
        <v>0.1</v>
      </c>
      <c r="R2099" s="88">
        <f>'Terms and Turnovers'!U224</f>
        <v>0</v>
      </c>
      <c r="S2099" s="161">
        <f>SUM(G2099,I2099,K2099,M2099,O2099,Q2099)</f>
        <v>1</v>
      </c>
      <c r="T2099" s="120">
        <f>$AF2099*U2099</f>
        <v>0</v>
      </c>
      <c r="U2099" s="69">
        <v>0.05</v>
      </c>
      <c r="V2099" s="120">
        <f>$AF2099*W2099</f>
        <v>0</v>
      </c>
      <c r="W2099" s="69">
        <v>0.4</v>
      </c>
      <c r="X2099" s="120">
        <f>$AF2099*Y2099</f>
        <v>0</v>
      </c>
      <c r="Y2099" s="723">
        <v>0.35</v>
      </c>
      <c r="Z2099" s="120">
        <f>$AF2099*AA2099</f>
        <v>0</v>
      </c>
      <c r="AA2099" s="358">
        <v>0.13</v>
      </c>
      <c r="AB2099" s="120">
        <f>$AF2099*AC2099</f>
        <v>0</v>
      </c>
      <c r="AC2099" s="69">
        <v>0.05</v>
      </c>
      <c r="AD2099" s="120">
        <f>$AF2099*AE2099</f>
        <v>0</v>
      </c>
      <c r="AE2099" s="69">
        <v>0.02</v>
      </c>
      <c r="AF2099" s="88">
        <f>'Terms and Turnovers'!Z224</f>
        <v>0</v>
      </c>
      <c r="AG2099" s="161">
        <f>SUM(U2099,W2099,Y2099,AA2099,AC2099,AE2099)</f>
        <v>1</v>
      </c>
      <c r="AH2099" s="158">
        <f>SUM(R2099,AF2099)</f>
        <v>0</v>
      </c>
      <c r="AI2099" s="134">
        <f>S2099+AG2099</f>
        <v>2</v>
      </c>
      <c r="AJ2099" s="65"/>
      <c r="AV2099" s="56"/>
    </row>
    <row r="2100" spans="1:48" ht="13.5" customHeight="1" outlineLevel="2" thickBot="1">
      <c r="B2100" s="82"/>
      <c r="C2100" s="1234"/>
      <c r="D2100" s="1234"/>
      <c r="E2100" s="84" t="str">
        <f>'Terms and Turnovers'!$AD$12</f>
        <v>ACCESSORIES</v>
      </c>
      <c r="F2100" s="121">
        <f>$R2100*G2100</f>
        <v>0</v>
      </c>
      <c r="G2100" s="723"/>
      <c r="H2100" s="121">
        <f>$R2100*I2100</f>
        <v>0</v>
      </c>
      <c r="I2100" s="69">
        <v>7.0000000000000007E-2</v>
      </c>
      <c r="J2100" s="120">
        <f>$R2100*K2100</f>
        <v>0</v>
      </c>
      <c r="K2100" s="69">
        <v>0.31</v>
      </c>
      <c r="L2100" s="120">
        <f>$R2100*M2100</f>
        <v>0</v>
      </c>
      <c r="M2100" s="69">
        <v>0.35</v>
      </c>
      <c r="N2100" s="315">
        <f>$R2100*O2100</f>
        <v>0</v>
      </c>
      <c r="O2100" s="69">
        <v>0.17</v>
      </c>
      <c r="P2100" s="121">
        <f>$R2100*Q2100</f>
        <v>0</v>
      </c>
      <c r="Q2100" s="69">
        <v>0.1</v>
      </c>
      <c r="R2100" s="88">
        <f>'Terms and Turnovers'!AE224</f>
        <v>0</v>
      </c>
      <c r="S2100" s="161">
        <f>SUM(G2100,I2100,K2100,M2100,O2100,Q2100)</f>
        <v>1</v>
      </c>
      <c r="T2100" s="120">
        <f>$AF2100*U2100</f>
        <v>0</v>
      </c>
      <c r="U2100" s="69">
        <v>0.05</v>
      </c>
      <c r="V2100" s="120">
        <f>$AF2100*W2100</f>
        <v>0</v>
      </c>
      <c r="W2100" s="69">
        <v>0.4</v>
      </c>
      <c r="X2100" s="120">
        <f>$AF2100*Y2100</f>
        <v>0</v>
      </c>
      <c r="Y2100" s="723">
        <v>0.35</v>
      </c>
      <c r="Z2100" s="120">
        <f>$AF2100*AA2100</f>
        <v>0</v>
      </c>
      <c r="AA2100" s="358">
        <v>0.13</v>
      </c>
      <c r="AB2100" s="120">
        <f>$AF2100*AC2100</f>
        <v>0</v>
      </c>
      <c r="AC2100" s="69">
        <v>0.05</v>
      </c>
      <c r="AD2100" s="120">
        <f>$AF2100*AE2100</f>
        <v>0</v>
      </c>
      <c r="AE2100" s="69">
        <v>0.02</v>
      </c>
      <c r="AF2100" s="88">
        <f>'Terms and Turnovers'!AJ224</f>
        <v>0</v>
      </c>
      <c r="AG2100" s="161">
        <f>SUM(U2100,W2100,Y2100,AA2100,AC2100,AE2100)</f>
        <v>1</v>
      </c>
      <c r="AH2100" s="158">
        <f>SUM(R2100,AF2100)</f>
        <v>0</v>
      </c>
      <c r="AI2100" s="134">
        <f>S2100+AG2100</f>
        <v>2</v>
      </c>
      <c r="AJ2100" s="65"/>
      <c r="AV2100" s="56"/>
    </row>
    <row r="2101" spans="1:48" ht="13.5" customHeight="1" outlineLevel="2" thickBot="1">
      <c r="B2101" s="82"/>
      <c r="C2101" s="1234"/>
      <c r="D2101" s="1234"/>
      <c r="E2101" s="84">
        <f>'Terms and Turnovers'!$AN$12</f>
        <v>0</v>
      </c>
      <c r="F2101" s="121">
        <f>$R2101*G2101</f>
        <v>0</v>
      </c>
      <c r="G2101" s="723"/>
      <c r="H2101" s="121">
        <f>$R2101*I2101</f>
        <v>0</v>
      </c>
      <c r="I2101" s="69">
        <v>7.0000000000000007E-2</v>
      </c>
      <c r="J2101" s="120">
        <f>$R2101*K2101</f>
        <v>0</v>
      </c>
      <c r="K2101" s="69">
        <v>0.31</v>
      </c>
      <c r="L2101" s="120">
        <f>$R2101*M2101</f>
        <v>0</v>
      </c>
      <c r="M2101" s="69">
        <v>0.35</v>
      </c>
      <c r="N2101" s="315">
        <f>$R2101*O2101</f>
        <v>0</v>
      </c>
      <c r="O2101" s="69">
        <v>0.17</v>
      </c>
      <c r="P2101" s="121">
        <f>$R2101*Q2101</f>
        <v>0</v>
      </c>
      <c r="Q2101" s="69">
        <v>0.1</v>
      </c>
      <c r="R2101" s="88">
        <f>'Terms and Turnovers'!AO224</f>
        <v>0</v>
      </c>
      <c r="S2101" s="161">
        <f>SUM(G2101,I2101,K2101,M2101,O2101,Q2101)</f>
        <v>1</v>
      </c>
      <c r="T2101" s="120">
        <f>$AF2101*U2101</f>
        <v>0</v>
      </c>
      <c r="U2101" s="69">
        <v>0.05</v>
      </c>
      <c r="V2101" s="120">
        <f>$AF2101*W2101</f>
        <v>0</v>
      </c>
      <c r="W2101" s="69">
        <v>0.4</v>
      </c>
      <c r="X2101" s="120">
        <f>$AF2101*Y2101</f>
        <v>0</v>
      </c>
      <c r="Y2101" s="723">
        <v>0.35</v>
      </c>
      <c r="Z2101" s="120">
        <f>$AF2101*AA2101</f>
        <v>0</v>
      </c>
      <c r="AA2101" s="358">
        <v>0.13</v>
      </c>
      <c r="AB2101" s="120">
        <f>$AF2101*AC2101</f>
        <v>0</v>
      </c>
      <c r="AC2101" s="69">
        <v>0.05</v>
      </c>
      <c r="AD2101" s="120">
        <f>$AF2101*AE2101</f>
        <v>0</v>
      </c>
      <c r="AE2101" s="69">
        <v>0.02</v>
      </c>
      <c r="AF2101" s="88">
        <f>'Terms and Turnovers'!AT224</f>
        <v>0</v>
      </c>
      <c r="AG2101" s="161">
        <f>SUM(U2101,W2101,Y2101,AA2101,AC2101,AE2101)</f>
        <v>1</v>
      </c>
      <c r="AH2101" s="158">
        <f>SUM(R2101,AF2101)</f>
        <v>0</v>
      </c>
      <c r="AI2101" s="134">
        <f>S2101+AG2101</f>
        <v>2</v>
      </c>
      <c r="AJ2101" s="65"/>
      <c r="AV2101" s="56"/>
    </row>
    <row r="2102" spans="1:48" ht="13.5" customHeight="1" outlineLevel="2" thickBot="1">
      <c r="B2102" s="82"/>
      <c r="C2102" s="1235"/>
      <c r="D2102" s="1235"/>
      <c r="E2102" s="85">
        <f>'Terms and Turnovers'!$AX$12</f>
        <v>0</v>
      </c>
      <c r="F2102" s="121">
        <f>$R2102*G2102</f>
        <v>0</v>
      </c>
      <c r="G2102" s="72"/>
      <c r="H2102" s="121">
        <f>$R2102*I2102</f>
        <v>0</v>
      </c>
      <c r="I2102" s="69">
        <v>7.0000000000000007E-2</v>
      </c>
      <c r="J2102" s="121">
        <f>$R2102*K2102</f>
        <v>0</v>
      </c>
      <c r="K2102" s="69">
        <v>0.31</v>
      </c>
      <c r="L2102" s="121">
        <f>$R2102*M2102</f>
        <v>0</v>
      </c>
      <c r="M2102" s="69">
        <v>0.35</v>
      </c>
      <c r="N2102" s="316">
        <f>$R2102*O2102</f>
        <v>0</v>
      </c>
      <c r="O2102" s="69">
        <v>0.17</v>
      </c>
      <c r="P2102" s="121">
        <f>$R2102*Q2102</f>
        <v>0</v>
      </c>
      <c r="Q2102" s="69">
        <v>0.1</v>
      </c>
      <c r="R2102" s="89">
        <f>'Terms and Turnovers'!AY224</f>
        <v>0</v>
      </c>
      <c r="S2102" s="162">
        <f>SUM(G2102,I2102,K2102,M2102,O2102,Q2102)</f>
        <v>1</v>
      </c>
      <c r="T2102" s="121">
        <f>$AF2102*U2102</f>
        <v>0</v>
      </c>
      <c r="U2102" s="69">
        <v>0.05</v>
      </c>
      <c r="V2102" s="121">
        <f>$AF2102*W2102</f>
        <v>0</v>
      </c>
      <c r="W2102" s="69">
        <v>0.4</v>
      </c>
      <c r="X2102" s="121">
        <f>$AF2102*Y2102</f>
        <v>0</v>
      </c>
      <c r="Y2102" s="72">
        <v>0.35</v>
      </c>
      <c r="Z2102" s="121">
        <f>$AF2102*AA2102</f>
        <v>0</v>
      </c>
      <c r="AA2102" s="358">
        <v>0.13</v>
      </c>
      <c r="AB2102" s="121">
        <f>$AF2102*AC2102</f>
        <v>0</v>
      </c>
      <c r="AC2102" s="69">
        <v>0.05</v>
      </c>
      <c r="AD2102" s="121">
        <f>$AF2102*AE2102</f>
        <v>0</v>
      </c>
      <c r="AE2102" s="69">
        <v>0.02</v>
      </c>
      <c r="AF2102" s="89">
        <f>'Terms and Turnovers'!BD224</f>
        <v>0</v>
      </c>
      <c r="AG2102" s="162">
        <f>SUM(U2102,W2102,Y2102,AA2102,AC2102,AE2102)</f>
        <v>1</v>
      </c>
      <c r="AH2102" s="159">
        <f>SUM(R2102,AF2102)</f>
        <v>0</v>
      </c>
      <c r="AI2102" s="137">
        <f>S2102+AG2102</f>
        <v>2</v>
      </c>
      <c r="AJ2102" s="65"/>
      <c r="AV2102" s="56"/>
    </row>
    <row r="2103" spans="1:48" ht="13.5" customHeight="1" outlineLevel="2" thickBot="1">
      <c r="A2103" s="119"/>
      <c r="B2103" s="82"/>
      <c r="C2103" s="425"/>
      <c r="D2103" s="425"/>
      <c r="E2103" s="426"/>
      <c r="F2103" s="427">
        <f>SUM(F2098:F2102)</f>
        <v>0</v>
      </c>
      <c r="G2103" s="428"/>
      <c r="H2103" s="427">
        <f>SUM(H2098:H2102)</f>
        <v>0</v>
      </c>
      <c r="I2103" s="69"/>
      <c r="J2103" s="427">
        <f>SUM(J2098:J2102)</f>
        <v>0</v>
      </c>
      <c r="K2103" s="69"/>
      <c r="L2103" s="427">
        <f>SUM(L2098:L2102)</f>
        <v>0</v>
      </c>
      <c r="M2103" s="69"/>
      <c r="N2103" s="427">
        <f>SUM(N2098:N2102)</f>
        <v>0</v>
      </c>
      <c r="O2103" s="69"/>
      <c r="P2103" s="427">
        <f>SUM(P2098:P2102)</f>
        <v>0</v>
      </c>
      <c r="Q2103" s="69"/>
      <c r="R2103" s="429"/>
      <c r="S2103" s="430"/>
      <c r="T2103" s="427">
        <f>SUM(T2098:T2102)</f>
        <v>0</v>
      </c>
      <c r="U2103" s="428"/>
      <c r="V2103" s="427">
        <f>SUM(V2098:V2102)</f>
        <v>0</v>
      </c>
      <c r="W2103" s="69"/>
      <c r="X2103" s="427">
        <f>SUM(X2098:X2102)</f>
        <v>0</v>
      </c>
      <c r="Y2103" s="69"/>
      <c r="Z2103" s="427">
        <f>SUM(Z2098:Z2102)</f>
        <v>0</v>
      </c>
      <c r="AA2103" s="69"/>
      <c r="AB2103" s="427">
        <f>SUM(AB2098:AB2102)</f>
        <v>0</v>
      </c>
      <c r="AC2103" s="69"/>
      <c r="AD2103" s="427">
        <f>SUM(AD2098:AD2102)</f>
        <v>0</v>
      </c>
      <c r="AE2103" s="69"/>
      <c r="AF2103" s="429"/>
      <c r="AG2103" s="430"/>
      <c r="AH2103" s="431"/>
      <c r="AI2103" s="432"/>
      <c r="AJ2103" s="65"/>
      <c r="AV2103" s="56"/>
    </row>
    <row r="2104" spans="1:48" ht="13.5" customHeight="1" outlineLevel="2" thickBot="1">
      <c r="A2104" s="119"/>
      <c r="B2104" s="82"/>
      <c r="C2104" s="433" t="s">
        <v>484</v>
      </c>
      <c r="D2104" s="433"/>
      <c r="E2104" s="426"/>
      <c r="F2104" s="434"/>
      <c r="G2104" s="428"/>
      <c r="H2104" s="434">
        <v>0</v>
      </c>
      <c r="I2104" s="69"/>
      <c r="J2104" s="434">
        <f>F2103</f>
        <v>0</v>
      </c>
      <c r="K2104" s="69"/>
      <c r="L2104" s="434">
        <f>H2103</f>
        <v>0</v>
      </c>
      <c r="M2104" s="69"/>
      <c r="N2104" s="434">
        <f>J2103</f>
        <v>0</v>
      </c>
      <c r="O2104" s="69"/>
      <c r="P2104" s="434">
        <f>L2103</f>
        <v>0</v>
      </c>
      <c r="Q2104" s="69"/>
      <c r="R2104" s="429"/>
      <c r="S2104" s="430"/>
      <c r="T2104" s="434">
        <f>N2103</f>
        <v>0</v>
      </c>
      <c r="U2104" s="428"/>
      <c r="V2104" s="434">
        <f>P2103</f>
        <v>0</v>
      </c>
      <c r="W2104" s="69"/>
      <c r="X2104" s="434">
        <f>T2103</f>
        <v>0</v>
      </c>
      <c r="Y2104" s="69"/>
      <c r="Z2104" s="434">
        <f>V2103</f>
        <v>0</v>
      </c>
      <c r="AA2104" s="69"/>
      <c r="AB2104" s="434">
        <f>X2103</f>
        <v>0</v>
      </c>
      <c r="AC2104" s="69"/>
      <c r="AD2104" s="434">
        <f>Z2103</f>
        <v>0</v>
      </c>
      <c r="AE2104" s="69"/>
      <c r="AF2104" s="429"/>
      <c r="AG2104" s="430"/>
      <c r="AH2104" s="431"/>
      <c r="AI2104" s="432"/>
      <c r="AJ2104" s="65"/>
      <c r="AV2104" s="56"/>
    </row>
    <row r="2105" spans="1:48" ht="13.5" customHeight="1" outlineLevel="2" thickBot="1">
      <c r="B2105" s="82">
        <f>B2098+1</f>
        <v>94</v>
      </c>
      <c r="C2105" s="1233">
        <f>C664</f>
        <v>0</v>
      </c>
      <c r="D2105" s="1233">
        <f>D664</f>
        <v>0</v>
      </c>
      <c r="E2105" s="83" t="str">
        <f>'Terms and Turnovers'!$J$12</f>
        <v>FLIP-FLOPS</v>
      </c>
      <c r="F2105" s="121">
        <f>$R2105*G2105</f>
        <v>0</v>
      </c>
      <c r="G2105" s="69"/>
      <c r="H2105" s="316">
        <f>$R2105*I2105</f>
        <v>0</v>
      </c>
      <c r="I2105" s="69">
        <v>7.0000000000000007E-2</v>
      </c>
      <c r="J2105" s="118">
        <f>$R2105*K2105</f>
        <v>0</v>
      </c>
      <c r="K2105" s="69">
        <v>0.31</v>
      </c>
      <c r="L2105" s="314">
        <f>$R2105*M2105</f>
        <v>0</v>
      </c>
      <c r="M2105" s="69">
        <v>0.35</v>
      </c>
      <c r="N2105" s="314">
        <f>$R2105*O2105</f>
        <v>0</v>
      </c>
      <c r="O2105" s="69">
        <v>0.17</v>
      </c>
      <c r="P2105" s="121">
        <f>$R2105*Q2105</f>
        <v>0</v>
      </c>
      <c r="Q2105" s="69">
        <v>0.1</v>
      </c>
      <c r="R2105" s="87">
        <f>'Terms and Turnovers'!K225</f>
        <v>0</v>
      </c>
      <c r="S2105" s="160">
        <f>SUM(G2105,I2105,K2105,M2105,O2105,Q2105)</f>
        <v>1</v>
      </c>
      <c r="T2105" s="118">
        <f>$AF2105*U2105</f>
        <v>0</v>
      </c>
      <c r="U2105" s="69">
        <v>0.05</v>
      </c>
      <c r="V2105" s="118">
        <f>$AF2105*W2105</f>
        <v>0</v>
      </c>
      <c r="W2105" s="69">
        <v>0.4</v>
      </c>
      <c r="X2105" s="118">
        <f>$AF2105*Y2105</f>
        <v>0</v>
      </c>
      <c r="Y2105" s="69">
        <v>0.35</v>
      </c>
      <c r="Z2105" s="118">
        <f>$AF2105*AA2105</f>
        <v>0</v>
      </c>
      <c r="AA2105" s="358">
        <v>0.13</v>
      </c>
      <c r="AB2105" s="118">
        <f>$AF2105*AC2105</f>
        <v>0</v>
      </c>
      <c r="AC2105" s="69">
        <v>0.05</v>
      </c>
      <c r="AD2105" s="118">
        <f>$AF2105*AE2105</f>
        <v>0</v>
      </c>
      <c r="AE2105" s="69">
        <v>0.02</v>
      </c>
      <c r="AF2105" s="87">
        <f>'Terms and Turnovers'!P225</f>
        <v>0</v>
      </c>
      <c r="AG2105" s="160">
        <f>SUM(U2105,W2105,Y2105,AA2105,AC2105,AE2105)</f>
        <v>1</v>
      </c>
      <c r="AH2105" s="157">
        <f>SUM(R2105,AF2105)</f>
        <v>0</v>
      </c>
      <c r="AI2105" s="131">
        <f>S2105+AG2105</f>
        <v>2</v>
      </c>
      <c r="AJ2105" s="65"/>
      <c r="AV2105" s="56"/>
    </row>
    <row r="2106" spans="1:48" ht="13.5" customHeight="1" outlineLevel="2" thickBot="1">
      <c r="B2106" s="82"/>
      <c r="C2106" s="1234"/>
      <c r="D2106" s="1234"/>
      <c r="E2106" s="84" t="str">
        <f>'Terms and Turnovers'!$T$12</f>
        <v>ORIGINALS</v>
      </c>
      <c r="F2106" s="121">
        <f>$R2106*G2106</f>
        <v>0</v>
      </c>
      <c r="G2106" s="723"/>
      <c r="H2106" s="121">
        <f>$R2106*I2106</f>
        <v>0</v>
      </c>
      <c r="I2106" s="69">
        <v>7.0000000000000007E-2</v>
      </c>
      <c r="J2106" s="120">
        <f>$R2106*K2106</f>
        <v>0</v>
      </c>
      <c r="K2106" s="69">
        <v>0.31</v>
      </c>
      <c r="L2106" s="120">
        <f>$R2106*M2106</f>
        <v>0</v>
      </c>
      <c r="M2106" s="69">
        <v>0.35</v>
      </c>
      <c r="N2106" s="315">
        <f>$R2106*O2106</f>
        <v>0</v>
      </c>
      <c r="O2106" s="69">
        <v>0.17</v>
      </c>
      <c r="P2106" s="121">
        <f>$R2106*Q2106</f>
        <v>0</v>
      </c>
      <c r="Q2106" s="69">
        <v>0.1</v>
      </c>
      <c r="R2106" s="88">
        <f>'Terms and Turnovers'!U225</f>
        <v>0</v>
      </c>
      <c r="S2106" s="161">
        <f>SUM(G2106,I2106,K2106,M2106,O2106,Q2106)</f>
        <v>1</v>
      </c>
      <c r="T2106" s="120">
        <f>$AF2106*U2106</f>
        <v>0</v>
      </c>
      <c r="U2106" s="69">
        <v>0.05</v>
      </c>
      <c r="V2106" s="120">
        <f>$AF2106*W2106</f>
        <v>0</v>
      </c>
      <c r="W2106" s="69">
        <v>0.4</v>
      </c>
      <c r="X2106" s="120">
        <f>$AF2106*Y2106</f>
        <v>0</v>
      </c>
      <c r="Y2106" s="723">
        <v>0.35</v>
      </c>
      <c r="Z2106" s="120">
        <f>$AF2106*AA2106</f>
        <v>0</v>
      </c>
      <c r="AA2106" s="358">
        <v>0.13</v>
      </c>
      <c r="AB2106" s="120">
        <f>$AF2106*AC2106</f>
        <v>0</v>
      </c>
      <c r="AC2106" s="69">
        <v>0.05</v>
      </c>
      <c r="AD2106" s="120">
        <f>$AF2106*AE2106</f>
        <v>0</v>
      </c>
      <c r="AE2106" s="69">
        <v>0.02</v>
      </c>
      <c r="AF2106" s="88">
        <f>'Terms and Turnovers'!Z225</f>
        <v>0</v>
      </c>
      <c r="AG2106" s="161">
        <f>SUM(U2106,W2106,Y2106,AA2106,AC2106,AE2106)</f>
        <v>1</v>
      </c>
      <c r="AH2106" s="158">
        <f>SUM(R2106,AF2106)</f>
        <v>0</v>
      </c>
      <c r="AI2106" s="134">
        <f>S2106+AG2106</f>
        <v>2</v>
      </c>
      <c r="AJ2106" s="65"/>
      <c r="AV2106" s="56"/>
    </row>
    <row r="2107" spans="1:48" ht="13.5" customHeight="1" outlineLevel="2" thickBot="1">
      <c r="B2107" s="82"/>
      <c r="C2107" s="1234"/>
      <c r="D2107" s="1234"/>
      <c r="E2107" s="84" t="str">
        <f>'Terms and Turnovers'!$AD$12</f>
        <v>ACCESSORIES</v>
      </c>
      <c r="F2107" s="121">
        <f>$R2107*G2107</f>
        <v>0</v>
      </c>
      <c r="G2107" s="723"/>
      <c r="H2107" s="121">
        <f>$R2107*I2107</f>
        <v>0</v>
      </c>
      <c r="I2107" s="69">
        <v>7.0000000000000007E-2</v>
      </c>
      <c r="J2107" s="120">
        <f>$R2107*K2107</f>
        <v>0</v>
      </c>
      <c r="K2107" s="69">
        <v>0.31</v>
      </c>
      <c r="L2107" s="120">
        <f>$R2107*M2107</f>
        <v>0</v>
      </c>
      <c r="M2107" s="69">
        <v>0.35</v>
      </c>
      <c r="N2107" s="315">
        <f>$R2107*O2107</f>
        <v>0</v>
      </c>
      <c r="O2107" s="69">
        <v>0.17</v>
      </c>
      <c r="P2107" s="121">
        <f>$R2107*Q2107</f>
        <v>0</v>
      </c>
      <c r="Q2107" s="69">
        <v>0.1</v>
      </c>
      <c r="R2107" s="88">
        <f>'Terms and Turnovers'!AE225</f>
        <v>0</v>
      </c>
      <c r="S2107" s="161">
        <f>SUM(G2107,I2107,K2107,M2107,O2107,Q2107)</f>
        <v>1</v>
      </c>
      <c r="T2107" s="120">
        <f>$AF2107*U2107</f>
        <v>0</v>
      </c>
      <c r="U2107" s="69">
        <v>0.05</v>
      </c>
      <c r="V2107" s="120">
        <f>$AF2107*W2107</f>
        <v>0</v>
      </c>
      <c r="W2107" s="69">
        <v>0.4</v>
      </c>
      <c r="X2107" s="120">
        <f>$AF2107*Y2107</f>
        <v>0</v>
      </c>
      <c r="Y2107" s="723">
        <v>0.35</v>
      </c>
      <c r="Z2107" s="120">
        <f>$AF2107*AA2107</f>
        <v>0</v>
      </c>
      <c r="AA2107" s="358">
        <v>0.13</v>
      </c>
      <c r="AB2107" s="120">
        <f>$AF2107*AC2107</f>
        <v>0</v>
      </c>
      <c r="AC2107" s="69">
        <v>0.05</v>
      </c>
      <c r="AD2107" s="120">
        <f>$AF2107*AE2107</f>
        <v>0</v>
      </c>
      <c r="AE2107" s="69">
        <v>0.02</v>
      </c>
      <c r="AF2107" s="88">
        <f>'Terms and Turnovers'!AJ225</f>
        <v>0</v>
      </c>
      <c r="AG2107" s="161">
        <f>SUM(U2107,W2107,Y2107,AA2107,AC2107,AE2107)</f>
        <v>1</v>
      </c>
      <c r="AH2107" s="158">
        <f>SUM(R2107,AF2107)</f>
        <v>0</v>
      </c>
      <c r="AI2107" s="134">
        <f>S2107+AG2107</f>
        <v>2</v>
      </c>
      <c r="AJ2107" s="65"/>
      <c r="AV2107" s="56"/>
    </row>
    <row r="2108" spans="1:48" ht="13.5" customHeight="1" outlineLevel="2" thickBot="1">
      <c r="B2108" s="82"/>
      <c r="C2108" s="1234"/>
      <c r="D2108" s="1234"/>
      <c r="E2108" s="84">
        <f>'Terms and Turnovers'!$AN$12</f>
        <v>0</v>
      </c>
      <c r="F2108" s="121">
        <f>$R2108*G2108</f>
        <v>0</v>
      </c>
      <c r="G2108" s="723"/>
      <c r="H2108" s="121">
        <f>$R2108*I2108</f>
        <v>0</v>
      </c>
      <c r="I2108" s="69">
        <v>7.0000000000000007E-2</v>
      </c>
      <c r="J2108" s="120">
        <f>$R2108*K2108</f>
        <v>0</v>
      </c>
      <c r="K2108" s="69">
        <v>0.31</v>
      </c>
      <c r="L2108" s="120">
        <f>$R2108*M2108</f>
        <v>0</v>
      </c>
      <c r="M2108" s="69">
        <v>0.35</v>
      </c>
      <c r="N2108" s="315">
        <f>$R2108*O2108</f>
        <v>0</v>
      </c>
      <c r="O2108" s="69">
        <v>0.17</v>
      </c>
      <c r="P2108" s="121">
        <f>$R2108*Q2108</f>
        <v>0</v>
      </c>
      <c r="Q2108" s="69">
        <v>0.1</v>
      </c>
      <c r="R2108" s="88">
        <f>'Terms and Turnovers'!AO225</f>
        <v>0</v>
      </c>
      <c r="S2108" s="161">
        <f>SUM(G2108,I2108,K2108,M2108,O2108,Q2108)</f>
        <v>1</v>
      </c>
      <c r="T2108" s="120">
        <f>$AF2108*U2108</f>
        <v>0</v>
      </c>
      <c r="U2108" s="69">
        <v>0.05</v>
      </c>
      <c r="V2108" s="120">
        <f>$AF2108*W2108</f>
        <v>0</v>
      </c>
      <c r="W2108" s="69">
        <v>0.4</v>
      </c>
      <c r="X2108" s="120">
        <f>$AF2108*Y2108</f>
        <v>0</v>
      </c>
      <c r="Y2108" s="723">
        <v>0.35</v>
      </c>
      <c r="Z2108" s="120">
        <f>$AF2108*AA2108</f>
        <v>0</v>
      </c>
      <c r="AA2108" s="358">
        <v>0.13</v>
      </c>
      <c r="AB2108" s="120">
        <f>$AF2108*AC2108</f>
        <v>0</v>
      </c>
      <c r="AC2108" s="69">
        <v>0.05</v>
      </c>
      <c r="AD2108" s="120">
        <f>$AF2108*AE2108</f>
        <v>0</v>
      </c>
      <c r="AE2108" s="69">
        <v>0.02</v>
      </c>
      <c r="AF2108" s="88">
        <f>'Terms and Turnovers'!AT225</f>
        <v>0</v>
      </c>
      <c r="AG2108" s="161">
        <f>SUM(U2108,W2108,Y2108,AA2108,AC2108,AE2108)</f>
        <v>1</v>
      </c>
      <c r="AH2108" s="158">
        <f>SUM(R2108,AF2108)</f>
        <v>0</v>
      </c>
      <c r="AI2108" s="134">
        <f>S2108+AG2108</f>
        <v>2</v>
      </c>
      <c r="AJ2108" s="65"/>
      <c r="AV2108" s="56"/>
    </row>
    <row r="2109" spans="1:48" ht="13.5" customHeight="1" outlineLevel="2" thickBot="1">
      <c r="B2109" s="82"/>
      <c r="C2109" s="1235"/>
      <c r="D2109" s="1235"/>
      <c r="E2109" s="85">
        <f>'Terms and Turnovers'!$AX$12</f>
        <v>0</v>
      </c>
      <c r="F2109" s="121">
        <f>$R2109*G2109</f>
        <v>0</v>
      </c>
      <c r="G2109" s="72"/>
      <c r="H2109" s="121">
        <f>$R2109*I2109</f>
        <v>0</v>
      </c>
      <c r="I2109" s="69">
        <v>7.0000000000000007E-2</v>
      </c>
      <c r="J2109" s="121">
        <f>$R2109*K2109</f>
        <v>0</v>
      </c>
      <c r="K2109" s="69">
        <v>0.31</v>
      </c>
      <c r="L2109" s="121">
        <f>$R2109*M2109</f>
        <v>0</v>
      </c>
      <c r="M2109" s="69">
        <v>0.35</v>
      </c>
      <c r="N2109" s="316">
        <f>$R2109*O2109</f>
        <v>0</v>
      </c>
      <c r="O2109" s="69">
        <v>0.17</v>
      </c>
      <c r="P2109" s="121">
        <f>$R2109*Q2109</f>
        <v>0</v>
      </c>
      <c r="Q2109" s="69">
        <v>0.1</v>
      </c>
      <c r="R2109" s="89">
        <f>'Terms and Turnovers'!AY225</f>
        <v>0</v>
      </c>
      <c r="S2109" s="162">
        <f>SUM(G2109,I2109,K2109,M2109,O2109,Q2109)</f>
        <v>1</v>
      </c>
      <c r="T2109" s="121">
        <f>$AF2109*U2109</f>
        <v>0</v>
      </c>
      <c r="U2109" s="69">
        <v>0.05</v>
      </c>
      <c r="V2109" s="121">
        <f>$AF2109*W2109</f>
        <v>0</v>
      </c>
      <c r="W2109" s="69">
        <v>0.4</v>
      </c>
      <c r="X2109" s="121">
        <f>$AF2109*Y2109</f>
        <v>0</v>
      </c>
      <c r="Y2109" s="72">
        <v>0.35</v>
      </c>
      <c r="Z2109" s="121">
        <f>$AF2109*AA2109</f>
        <v>0</v>
      </c>
      <c r="AA2109" s="358">
        <v>0.13</v>
      </c>
      <c r="AB2109" s="121">
        <f>$AF2109*AC2109</f>
        <v>0</v>
      </c>
      <c r="AC2109" s="69">
        <v>0.05</v>
      </c>
      <c r="AD2109" s="121">
        <f>$AF2109*AE2109</f>
        <v>0</v>
      </c>
      <c r="AE2109" s="69">
        <v>0.02</v>
      </c>
      <c r="AF2109" s="89">
        <f>'Terms and Turnovers'!BD225</f>
        <v>0</v>
      </c>
      <c r="AG2109" s="162">
        <f>SUM(U2109,W2109,Y2109,AA2109,AC2109,AE2109)</f>
        <v>1</v>
      </c>
      <c r="AH2109" s="159">
        <f>SUM(R2109,AF2109)</f>
        <v>0</v>
      </c>
      <c r="AI2109" s="137">
        <f>S2109+AG2109</f>
        <v>2</v>
      </c>
      <c r="AJ2109" s="65"/>
      <c r="AV2109" s="56"/>
    </row>
    <row r="2110" spans="1:48" ht="13.5" customHeight="1" outlineLevel="2" thickBot="1">
      <c r="A2110" s="119"/>
      <c r="B2110" s="82"/>
      <c r="C2110" s="425"/>
      <c r="D2110" s="425"/>
      <c r="E2110" s="426"/>
      <c r="F2110" s="427">
        <f>SUM(F2105:F2109)</f>
        <v>0</v>
      </c>
      <c r="G2110" s="428"/>
      <c r="H2110" s="427">
        <f>SUM(H2105:H2109)</f>
        <v>0</v>
      </c>
      <c r="I2110" s="69"/>
      <c r="J2110" s="427">
        <f>SUM(J2105:J2109)</f>
        <v>0</v>
      </c>
      <c r="K2110" s="69"/>
      <c r="L2110" s="427">
        <f>SUM(L2105:L2109)</f>
        <v>0</v>
      </c>
      <c r="M2110" s="69"/>
      <c r="N2110" s="427">
        <f>SUM(N2105:N2109)</f>
        <v>0</v>
      </c>
      <c r="O2110" s="69"/>
      <c r="P2110" s="427">
        <f>SUM(P2105:P2109)</f>
        <v>0</v>
      </c>
      <c r="Q2110" s="69"/>
      <c r="R2110" s="429"/>
      <c r="S2110" s="430"/>
      <c r="T2110" s="427">
        <f>SUM(T2105:T2109)</f>
        <v>0</v>
      </c>
      <c r="U2110" s="428"/>
      <c r="V2110" s="427">
        <f>SUM(V2105:V2109)</f>
        <v>0</v>
      </c>
      <c r="W2110" s="69"/>
      <c r="X2110" s="427">
        <f>SUM(X2105:X2109)</f>
        <v>0</v>
      </c>
      <c r="Y2110" s="69"/>
      <c r="Z2110" s="427">
        <f>SUM(Z2105:Z2109)</f>
        <v>0</v>
      </c>
      <c r="AA2110" s="69"/>
      <c r="AB2110" s="427">
        <f>SUM(AB2105:AB2109)</f>
        <v>0</v>
      </c>
      <c r="AC2110" s="69"/>
      <c r="AD2110" s="427">
        <f>SUM(AD2105:AD2109)</f>
        <v>0</v>
      </c>
      <c r="AE2110" s="69"/>
      <c r="AF2110" s="429"/>
      <c r="AG2110" s="430"/>
      <c r="AH2110" s="431"/>
      <c r="AI2110" s="432"/>
      <c r="AJ2110" s="65"/>
      <c r="AV2110" s="56"/>
    </row>
    <row r="2111" spans="1:48" ht="13.5" customHeight="1" outlineLevel="2" thickBot="1">
      <c r="A2111" s="119"/>
      <c r="B2111" s="82"/>
      <c r="C2111" s="433" t="s">
        <v>484</v>
      </c>
      <c r="D2111" s="433"/>
      <c r="E2111" s="426"/>
      <c r="F2111" s="434">
        <f>F2110</f>
        <v>0</v>
      </c>
      <c r="G2111" s="428"/>
      <c r="H2111" s="434"/>
      <c r="I2111" s="69"/>
      <c r="J2111" s="434"/>
      <c r="K2111" s="69"/>
      <c r="L2111" s="434"/>
      <c r="M2111" s="69"/>
      <c r="N2111" s="434">
        <f>H2110</f>
        <v>0</v>
      </c>
      <c r="O2111" s="69"/>
      <c r="P2111" s="434">
        <f>J2110</f>
        <v>0</v>
      </c>
      <c r="Q2111" s="69"/>
      <c r="R2111" s="429"/>
      <c r="S2111" s="430"/>
      <c r="T2111" s="434">
        <f>L2110</f>
        <v>0</v>
      </c>
      <c r="U2111" s="428"/>
      <c r="V2111" s="434">
        <f>N2110</f>
        <v>0</v>
      </c>
      <c r="W2111" s="69"/>
      <c r="X2111" s="434">
        <f>P2110</f>
        <v>0</v>
      </c>
      <c r="Y2111" s="69">
        <f>W2109*0.3+Y2109*0.7</f>
        <v>0.36499999999999999</v>
      </c>
      <c r="Z2111" s="434">
        <f>T2110</f>
        <v>0</v>
      </c>
      <c r="AA2111" s="69">
        <f>Y2109*0.3+AA2109*0.7</f>
        <v>0.19600000000000001</v>
      </c>
      <c r="AB2111" s="434">
        <f>V2110</f>
        <v>0</v>
      </c>
      <c r="AC2111" s="69">
        <f>AA2109*0.3+AC2109*0.7</f>
        <v>7.3999999999999996E-2</v>
      </c>
      <c r="AD2111" s="434">
        <f>X2110</f>
        <v>0</v>
      </c>
      <c r="AE2111" s="69"/>
      <c r="AF2111" s="429"/>
      <c r="AG2111" s="430"/>
      <c r="AH2111" s="431"/>
      <c r="AI2111" s="432"/>
      <c r="AJ2111" s="65"/>
      <c r="AV2111" s="56"/>
    </row>
    <row r="2112" spans="1:48" ht="13.5" customHeight="1" outlineLevel="2" thickBot="1">
      <c r="B2112" s="82">
        <f>B2105+1</f>
        <v>95</v>
      </c>
      <c r="C2112" s="1233">
        <f>C671</f>
        <v>0</v>
      </c>
      <c r="D2112" s="1233">
        <f>D671</f>
        <v>0</v>
      </c>
      <c r="E2112" s="83" t="str">
        <f>'Terms and Turnovers'!$J$12</f>
        <v>FLIP-FLOPS</v>
      </c>
      <c r="F2112" s="121">
        <f>$R2112*G2112</f>
        <v>0</v>
      </c>
      <c r="G2112" s="69"/>
      <c r="H2112" s="316">
        <f>$R2112*I2112</f>
        <v>0</v>
      </c>
      <c r="I2112" s="69">
        <v>7.0000000000000007E-2</v>
      </c>
      <c r="J2112" s="118">
        <f>$R2112*K2112</f>
        <v>0</v>
      </c>
      <c r="K2112" s="69">
        <v>0.31</v>
      </c>
      <c r="L2112" s="314">
        <f>$R2112*M2112</f>
        <v>0</v>
      </c>
      <c r="M2112" s="69">
        <v>0.35</v>
      </c>
      <c r="N2112" s="314">
        <f>$R2112*O2112</f>
        <v>0</v>
      </c>
      <c r="O2112" s="69">
        <v>0.17</v>
      </c>
      <c r="P2112" s="121">
        <f>$R2112*Q2112</f>
        <v>0</v>
      </c>
      <c r="Q2112" s="69">
        <v>0.1</v>
      </c>
      <c r="R2112" s="87">
        <f>'Terms and Turnovers'!K226</f>
        <v>0</v>
      </c>
      <c r="S2112" s="160">
        <f>SUM(G2112,I2112,K2112,M2112,O2112,Q2112)</f>
        <v>1</v>
      </c>
      <c r="T2112" s="118">
        <f>$AF2112*U2112</f>
        <v>0</v>
      </c>
      <c r="U2112" s="69">
        <v>0.05</v>
      </c>
      <c r="V2112" s="118">
        <f>$AF2112*W2112</f>
        <v>0</v>
      </c>
      <c r="W2112" s="69">
        <v>0.4</v>
      </c>
      <c r="X2112" s="118">
        <f>$AF2112*Y2112</f>
        <v>0</v>
      </c>
      <c r="Y2112" s="69">
        <v>0.35</v>
      </c>
      <c r="Z2112" s="118">
        <f>$AF2112*AA2112</f>
        <v>0</v>
      </c>
      <c r="AA2112" s="358">
        <v>0.13</v>
      </c>
      <c r="AB2112" s="118">
        <f>$AF2112*AC2112</f>
        <v>0</v>
      </c>
      <c r="AC2112" s="69">
        <v>0.05</v>
      </c>
      <c r="AD2112" s="118">
        <f>$AF2112*AE2112</f>
        <v>0</v>
      </c>
      <c r="AE2112" s="69">
        <v>0.02</v>
      </c>
      <c r="AF2112" s="87">
        <f>'Terms and Turnovers'!P226</f>
        <v>0</v>
      </c>
      <c r="AG2112" s="160">
        <f>SUM(U2112,W2112,Y2112,AA2112,AC2112,AE2112)</f>
        <v>1</v>
      </c>
      <c r="AH2112" s="157">
        <f>SUM(R2112,AF2112)</f>
        <v>0</v>
      </c>
      <c r="AI2112" s="131">
        <f>S2112+AG2112</f>
        <v>2</v>
      </c>
      <c r="AJ2112" s="65"/>
      <c r="AV2112" s="56"/>
    </row>
    <row r="2113" spans="1:48" ht="13.5" customHeight="1" outlineLevel="2" thickBot="1">
      <c r="B2113" s="82"/>
      <c r="C2113" s="1234"/>
      <c r="D2113" s="1234"/>
      <c r="E2113" s="84" t="str">
        <f>'Terms and Turnovers'!$T$12</f>
        <v>ORIGINALS</v>
      </c>
      <c r="F2113" s="121">
        <f>$R2113*G2113</f>
        <v>0</v>
      </c>
      <c r="G2113" s="723"/>
      <c r="H2113" s="121">
        <f>$R2113*I2113</f>
        <v>0</v>
      </c>
      <c r="I2113" s="69">
        <v>7.0000000000000007E-2</v>
      </c>
      <c r="J2113" s="120">
        <f>$R2113*K2113</f>
        <v>0</v>
      </c>
      <c r="K2113" s="69">
        <v>0.31</v>
      </c>
      <c r="L2113" s="120">
        <f>$R2113*M2113</f>
        <v>0</v>
      </c>
      <c r="M2113" s="69">
        <v>0.35</v>
      </c>
      <c r="N2113" s="315">
        <f>$R2113*O2113</f>
        <v>0</v>
      </c>
      <c r="O2113" s="69">
        <v>0.17</v>
      </c>
      <c r="P2113" s="121">
        <f>$R2113*Q2113</f>
        <v>0</v>
      </c>
      <c r="Q2113" s="69">
        <v>0.1</v>
      </c>
      <c r="R2113" s="88">
        <f>'Terms and Turnovers'!U226</f>
        <v>0</v>
      </c>
      <c r="S2113" s="161">
        <f>SUM(G2113,I2113,K2113,M2113,O2113,Q2113)</f>
        <v>1</v>
      </c>
      <c r="T2113" s="120">
        <f>$AF2113*U2113</f>
        <v>0</v>
      </c>
      <c r="U2113" s="69">
        <v>0.05</v>
      </c>
      <c r="V2113" s="120">
        <f>$AF2113*W2113</f>
        <v>0</v>
      </c>
      <c r="W2113" s="69">
        <v>0.4</v>
      </c>
      <c r="X2113" s="120">
        <f>$AF2113*Y2113</f>
        <v>0</v>
      </c>
      <c r="Y2113" s="723">
        <v>0.35</v>
      </c>
      <c r="Z2113" s="120">
        <f>$AF2113*AA2113</f>
        <v>0</v>
      </c>
      <c r="AA2113" s="358">
        <v>0.13</v>
      </c>
      <c r="AB2113" s="120">
        <f>$AF2113*AC2113</f>
        <v>0</v>
      </c>
      <c r="AC2113" s="69">
        <v>0.05</v>
      </c>
      <c r="AD2113" s="120">
        <f>$AF2113*AE2113</f>
        <v>0</v>
      </c>
      <c r="AE2113" s="69">
        <v>0.02</v>
      </c>
      <c r="AF2113" s="88">
        <f>'Terms and Turnovers'!Z226</f>
        <v>0</v>
      </c>
      <c r="AG2113" s="161">
        <f>SUM(U2113,W2113,Y2113,AA2113,AC2113,AE2113)</f>
        <v>1</v>
      </c>
      <c r="AH2113" s="158">
        <f>SUM(R2113,AF2113)</f>
        <v>0</v>
      </c>
      <c r="AI2113" s="134">
        <f>S2113+AG2113</f>
        <v>2</v>
      </c>
      <c r="AJ2113" s="65"/>
      <c r="AV2113" s="56"/>
    </row>
    <row r="2114" spans="1:48" ht="13.5" customHeight="1" outlineLevel="2" thickBot="1">
      <c r="B2114" s="82"/>
      <c r="C2114" s="1234"/>
      <c r="D2114" s="1234"/>
      <c r="E2114" s="84" t="str">
        <f>'Terms and Turnovers'!$AD$12</f>
        <v>ACCESSORIES</v>
      </c>
      <c r="F2114" s="121">
        <f>$R2114*G2114</f>
        <v>0</v>
      </c>
      <c r="G2114" s="723"/>
      <c r="H2114" s="121">
        <f>$R2114*I2114</f>
        <v>0</v>
      </c>
      <c r="I2114" s="69">
        <v>7.0000000000000007E-2</v>
      </c>
      <c r="J2114" s="120">
        <f>$R2114*K2114</f>
        <v>0</v>
      </c>
      <c r="K2114" s="69">
        <v>0.31</v>
      </c>
      <c r="L2114" s="120">
        <f>$R2114*M2114</f>
        <v>0</v>
      </c>
      <c r="M2114" s="69">
        <v>0.35</v>
      </c>
      <c r="N2114" s="315">
        <f>$R2114*O2114</f>
        <v>0</v>
      </c>
      <c r="O2114" s="69">
        <v>0.17</v>
      </c>
      <c r="P2114" s="121">
        <f>$R2114*Q2114</f>
        <v>0</v>
      </c>
      <c r="Q2114" s="69">
        <v>0.1</v>
      </c>
      <c r="R2114" s="88">
        <f>'Terms and Turnovers'!AE226</f>
        <v>0</v>
      </c>
      <c r="S2114" s="161">
        <f>SUM(G2114,I2114,K2114,M2114,O2114,Q2114)</f>
        <v>1</v>
      </c>
      <c r="T2114" s="120">
        <f>$AF2114*U2114</f>
        <v>0</v>
      </c>
      <c r="U2114" s="69">
        <v>0.05</v>
      </c>
      <c r="V2114" s="120">
        <f>$AF2114*W2114</f>
        <v>0</v>
      </c>
      <c r="W2114" s="69">
        <v>0.4</v>
      </c>
      <c r="X2114" s="120">
        <f>$AF2114*Y2114</f>
        <v>0</v>
      </c>
      <c r="Y2114" s="723">
        <v>0.35</v>
      </c>
      <c r="Z2114" s="120">
        <f>$AF2114*AA2114</f>
        <v>0</v>
      </c>
      <c r="AA2114" s="358">
        <v>0.13</v>
      </c>
      <c r="AB2114" s="120">
        <f>$AF2114*AC2114</f>
        <v>0</v>
      </c>
      <c r="AC2114" s="69">
        <v>0.05</v>
      </c>
      <c r="AD2114" s="120">
        <f>$AF2114*AE2114</f>
        <v>0</v>
      </c>
      <c r="AE2114" s="69">
        <v>0.02</v>
      </c>
      <c r="AF2114" s="88">
        <f>'Terms and Turnovers'!AJ226</f>
        <v>0</v>
      </c>
      <c r="AG2114" s="161">
        <f>SUM(U2114,W2114,Y2114,AA2114,AC2114,AE2114)</f>
        <v>1</v>
      </c>
      <c r="AH2114" s="158">
        <f>SUM(R2114,AF2114)</f>
        <v>0</v>
      </c>
      <c r="AI2114" s="134">
        <f>S2114+AG2114</f>
        <v>2</v>
      </c>
      <c r="AJ2114" s="65"/>
      <c r="AV2114" s="56"/>
    </row>
    <row r="2115" spans="1:48" ht="13.5" customHeight="1" outlineLevel="2" thickBot="1">
      <c r="B2115" s="82"/>
      <c r="C2115" s="1234"/>
      <c r="D2115" s="1234"/>
      <c r="E2115" s="84">
        <f>'Terms and Turnovers'!$AN$12</f>
        <v>0</v>
      </c>
      <c r="F2115" s="121">
        <f>$R2115*G2115</f>
        <v>0</v>
      </c>
      <c r="G2115" s="723"/>
      <c r="H2115" s="121">
        <f>$R2115*I2115</f>
        <v>0</v>
      </c>
      <c r="I2115" s="69">
        <v>7.0000000000000007E-2</v>
      </c>
      <c r="J2115" s="120">
        <f>$R2115*K2115</f>
        <v>0</v>
      </c>
      <c r="K2115" s="69">
        <v>0.31</v>
      </c>
      <c r="L2115" s="120">
        <f>$R2115*M2115</f>
        <v>0</v>
      </c>
      <c r="M2115" s="69">
        <v>0.35</v>
      </c>
      <c r="N2115" s="315">
        <f>$R2115*O2115</f>
        <v>0</v>
      </c>
      <c r="O2115" s="69">
        <v>0.17</v>
      </c>
      <c r="P2115" s="121">
        <f>$R2115*Q2115</f>
        <v>0</v>
      </c>
      <c r="Q2115" s="69">
        <v>0.1</v>
      </c>
      <c r="R2115" s="88">
        <f>'Terms and Turnovers'!AO226</f>
        <v>0</v>
      </c>
      <c r="S2115" s="161">
        <f>SUM(G2115,I2115,K2115,M2115,O2115,Q2115)</f>
        <v>1</v>
      </c>
      <c r="T2115" s="120">
        <f>$AF2115*U2115</f>
        <v>0</v>
      </c>
      <c r="U2115" s="69">
        <v>0.05</v>
      </c>
      <c r="V2115" s="120">
        <f>$AF2115*W2115</f>
        <v>0</v>
      </c>
      <c r="W2115" s="69">
        <v>0.4</v>
      </c>
      <c r="X2115" s="120">
        <f>$AF2115*Y2115</f>
        <v>0</v>
      </c>
      <c r="Y2115" s="723">
        <v>0.35</v>
      </c>
      <c r="Z2115" s="120">
        <f>$AF2115*AA2115</f>
        <v>0</v>
      </c>
      <c r="AA2115" s="358">
        <v>0.13</v>
      </c>
      <c r="AB2115" s="120">
        <f>$AF2115*AC2115</f>
        <v>0</v>
      </c>
      <c r="AC2115" s="69">
        <v>0.05</v>
      </c>
      <c r="AD2115" s="120">
        <f>$AF2115*AE2115</f>
        <v>0</v>
      </c>
      <c r="AE2115" s="69">
        <v>0.02</v>
      </c>
      <c r="AF2115" s="88">
        <f>'Terms and Turnovers'!AT226</f>
        <v>0</v>
      </c>
      <c r="AG2115" s="161">
        <f>SUM(U2115,W2115,Y2115,AA2115,AC2115,AE2115)</f>
        <v>1</v>
      </c>
      <c r="AH2115" s="158">
        <f>SUM(R2115,AF2115)</f>
        <v>0</v>
      </c>
      <c r="AI2115" s="134">
        <f>S2115+AG2115</f>
        <v>2</v>
      </c>
      <c r="AJ2115" s="65"/>
      <c r="AV2115" s="56"/>
    </row>
    <row r="2116" spans="1:48" ht="13.5" customHeight="1" outlineLevel="2" thickBot="1">
      <c r="B2116" s="82"/>
      <c r="C2116" s="1235"/>
      <c r="D2116" s="1235"/>
      <c r="E2116" s="85">
        <f>'Terms and Turnovers'!$AX$12</f>
        <v>0</v>
      </c>
      <c r="F2116" s="121">
        <f>$R2116*G2116</f>
        <v>0</v>
      </c>
      <c r="G2116" s="72"/>
      <c r="H2116" s="121">
        <f>$R2116*I2116</f>
        <v>0</v>
      </c>
      <c r="I2116" s="69">
        <v>7.0000000000000007E-2</v>
      </c>
      <c r="J2116" s="121">
        <f>$R2116*K2116</f>
        <v>0</v>
      </c>
      <c r="K2116" s="69">
        <v>0.31</v>
      </c>
      <c r="L2116" s="121">
        <f>$R2116*M2116</f>
        <v>0</v>
      </c>
      <c r="M2116" s="69">
        <v>0.35</v>
      </c>
      <c r="N2116" s="316">
        <f>$R2116*O2116</f>
        <v>0</v>
      </c>
      <c r="O2116" s="69">
        <v>0.17</v>
      </c>
      <c r="P2116" s="121">
        <f>$R2116*Q2116</f>
        <v>0</v>
      </c>
      <c r="Q2116" s="69">
        <v>0.1</v>
      </c>
      <c r="R2116" s="89">
        <f>'Terms and Turnovers'!AY226</f>
        <v>0</v>
      </c>
      <c r="S2116" s="162">
        <f>SUM(G2116,I2116,K2116,M2116,O2116,Q2116)</f>
        <v>1</v>
      </c>
      <c r="T2116" s="121">
        <f>$AF2116*U2116</f>
        <v>0</v>
      </c>
      <c r="U2116" s="69">
        <v>0.05</v>
      </c>
      <c r="V2116" s="121">
        <f>$AF2116*W2116</f>
        <v>0</v>
      </c>
      <c r="W2116" s="69">
        <v>0.4</v>
      </c>
      <c r="X2116" s="121">
        <f>$AF2116*Y2116</f>
        <v>0</v>
      </c>
      <c r="Y2116" s="72">
        <v>0.35</v>
      </c>
      <c r="Z2116" s="121">
        <f>$AF2116*AA2116</f>
        <v>0</v>
      </c>
      <c r="AA2116" s="358">
        <v>0.13</v>
      </c>
      <c r="AB2116" s="121">
        <f>$AF2116*AC2116</f>
        <v>0</v>
      </c>
      <c r="AC2116" s="69">
        <v>0.05</v>
      </c>
      <c r="AD2116" s="121">
        <f>$AF2116*AE2116</f>
        <v>0</v>
      </c>
      <c r="AE2116" s="69">
        <v>0.02</v>
      </c>
      <c r="AF2116" s="89">
        <f>'Terms and Turnovers'!BD226</f>
        <v>0</v>
      </c>
      <c r="AG2116" s="162">
        <f>SUM(U2116,W2116,Y2116,AA2116,AC2116,AE2116)</f>
        <v>1</v>
      </c>
      <c r="AH2116" s="159">
        <f>SUM(R2116,AF2116)</f>
        <v>0</v>
      </c>
      <c r="AI2116" s="137">
        <f>S2116+AG2116</f>
        <v>2</v>
      </c>
      <c r="AJ2116" s="65"/>
      <c r="AV2116" s="56"/>
    </row>
    <row r="2117" spans="1:48" ht="13.5" customHeight="1" outlineLevel="2" thickBot="1">
      <c r="A2117" s="119"/>
      <c r="B2117" s="82"/>
      <c r="C2117" s="425"/>
      <c r="D2117" s="425"/>
      <c r="E2117" s="426"/>
      <c r="F2117" s="427">
        <f>SUM(F2112:F2116)</f>
        <v>0</v>
      </c>
      <c r="G2117" s="428"/>
      <c r="H2117" s="427">
        <f>SUM(H2112:H2116)</f>
        <v>0</v>
      </c>
      <c r="I2117" s="69"/>
      <c r="J2117" s="427">
        <f>SUM(J2112:J2116)</f>
        <v>0</v>
      </c>
      <c r="K2117" s="69"/>
      <c r="L2117" s="427">
        <f>SUM(L2112:L2116)</f>
        <v>0</v>
      </c>
      <c r="M2117" s="69"/>
      <c r="N2117" s="427">
        <f>SUM(N2112:N2116)</f>
        <v>0</v>
      </c>
      <c r="O2117" s="69"/>
      <c r="P2117" s="427">
        <f>SUM(P2112:P2116)</f>
        <v>0</v>
      </c>
      <c r="Q2117" s="69"/>
      <c r="R2117" s="429"/>
      <c r="S2117" s="430"/>
      <c r="T2117" s="427">
        <f>SUM(T2112:T2116)</f>
        <v>0</v>
      </c>
      <c r="U2117" s="428"/>
      <c r="V2117" s="427">
        <f>SUM(V2112:V2116)</f>
        <v>0</v>
      </c>
      <c r="W2117" s="69"/>
      <c r="X2117" s="427">
        <f>SUM(X2112:X2116)</f>
        <v>0</v>
      </c>
      <c r="Y2117" s="69"/>
      <c r="Z2117" s="427">
        <f>SUM(Z2112:Z2116)</f>
        <v>0</v>
      </c>
      <c r="AA2117" s="69"/>
      <c r="AB2117" s="427">
        <f>SUM(AB2112:AB2116)</f>
        <v>0</v>
      </c>
      <c r="AC2117" s="69"/>
      <c r="AD2117" s="427">
        <f>SUM(AD2112:AD2116)</f>
        <v>0</v>
      </c>
      <c r="AE2117" s="69"/>
      <c r="AF2117" s="429"/>
      <c r="AG2117" s="430"/>
      <c r="AH2117" s="431"/>
      <c r="AI2117" s="432"/>
      <c r="AJ2117" s="65"/>
      <c r="AV2117" s="56"/>
    </row>
    <row r="2118" spans="1:48" ht="13.5" customHeight="1" outlineLevel="2" thickBot="1">
      <c r="A2118" s="119"/>
      <c r="B2118" s="82"/>
      <c r="C2118" s="433" t="s">
        <v>484</v>
      </c>
      <c r="D2118" s="433"/>
      <c r="E2118" s="426"/>
      <c r="F2118" s="434">
        <f>F2117</f>
        <v>0</v>
      </c>
      <c r="G2118" s="428"/>
      <c r="H2118" s="434">
        <f>H2117</f>
        <v>0</v>
      </c>
      <c r="I2118" s="69"/>
      <c r="J2118" s="434">
        <f>J2117</f>
        <v>0</v>
      </c>
      <c r="K2118" s="69"/>
      <c r="L2118" s="434">
        <f>L2117</f>
        <v>0</v>
      </c>
      <c r="M2118" s="69"/>
      <c r="N2118" s="434">
        <f>N2117</f>
        <v>0</v>
      </c>
      <c r="O2118" s="69"/>
      <c r="P2118" s="434">
        <f>P2117</f>
        <v>0</v>
      </c>
      <c r="Q2118" s="69"/>
      <c r="R2118" s="429"/>
      <c r="S2118" s="430"/>
      <c r="T2118" s="434">
        <f>T2116</f>
        <v>0</v>
      </c>
      <c r="U2118" s="428"/>
      <c r="V2118" s="434">
        <f>V2117</f>
        <v>0</v>
      </c>
      <c r="W2118" s="69"/>
      <c r="X2118" s="434">
        <f>X2117</f>
        <v>0</v>
      </c>
      <c r="Y2118" s="69">
        <f>W2116*0.3+Y2116*0.7</f>
        <v>0.36499999999999999</v>
      </c>
      <c r="Z2118" s="434">
        <f>Z2117</f>
        <v>0</v>
      </c>
      <c r="AA2118" s="69">
        <f>Y2116*0.3+AA2116*0.7</f>
        <v>0.19600000000000001</v>
      </c>
      <c r="AB2118" s="434">
        <f>AB2117</f>
        <v>0</v>
      </c>
      <c r="AC2118" s="69">
        <f>AA2116*0.3+AC2116*0.7</f>
        <v>7.3999999999999996E-2</v>
      </c>
      <c r="AD2118" s="434">
        <f>AD2117</f>
        <v>0</v>
      </c>
      <c r="AE2118" s="69"/>
      <c r="AF2118" s="429"/>
      <c r="AG2118" s="430"/>
      <c r="AH2118" s="431"/>
      <c r="AI2118" s="432"/>
      <c r="AJ2118" s="65"/>
      <c r="AV2118" s="56"/>
    </row>
    <row r="2119" spans="1:48" ht="13.5" customHeight="1" outlineLevel="2" thickBot="1">
      <c r="B2119" s="82">
        <f>B2112+1</f>
        <v>96</v>
      </c>
      <c r="C2119" s="1233">
        <f>C678</f>
        <v>0</v>
      </c>
      <c r="D2119" s="1233">
        <f>D678</f>
        <v>0</v>
      </c>
      <c r="E2119" s="83" t="str">
        <f>'Terms and Turnovers'!$J$12</f>
        <v>FLIP-FLOPS</v>
      </c>
      <c r="F2119" s="121">
        <f>$R2119*G2119</f>
        <v>0</v>
      </c>
      <c r="G2119" s="69"/>
      <c r="H2119" s="316">
        <f>$R2119*I2119</f>
        <v>0</v>
      </c>
      <c r="I2119" s="69">
        <v>7.0000000000000007E-2</v>
      </c>
      <c r="J2119" s="118">
        <f>$R2119*K2119</f>
        <v>0</v>
      </c>
      <c r="K2119" s="69">
        <v>0.31</v>
      </c>
      <c r="L2119" s="314">
        <f>$R2119*M2119</f>
        <v>0</v>
      </c>
      <c r="M2119" s="69">
        <v>0.35</v>
      </c>
      <c r="N2119" s="314">
        <f>$R2119*O2119</f>
        <v>0</v>
      </c>
      <c r="O2119" s="69">
        <v>0.17</v>
      </c>
      <c r="P2119" s="121">
        <f>$R2119*Q2119</f>
        <v>0</v>
      </c>
      <c r="Q2119" s="69">
        <v>0.1</v>
      </c>
      <c r="R2119" s="87">
        <f>'Terms and Turnovers'!K227</f>
        <v>0</v>
      </c>
      <c r="S2119" s="160">
        <f>SUM(G2119,I2119,K2119,M2119,O2119,Q2119)</f>
        <v>1</v>
      </c>
      <c r="T2119" s="118">
        <f>$AF2119*U2119</f>
        <v>0</v>
      </c>
      <c r="U2119" s="69">
        <v>0.05</v>
      </c>
      <c r="V2119" s="118">
        <f>$AF2119*W2119</f>
        <v>0</v>
      </c>
      <c r="W2119" s="69">
        <v>0.4</v>
      </c>
      <c r="X2119" s="118">
        <f>$AF2119*Y2119</f>
        <v>0</v>
      </c>
      <c r="Y2119" s="69">
        <v>0.35</v>
      </c>
      <c r="Z2119" s="118">
        <f>$AF2119*AA2119</f>
        <v>0</v>
      </c>
      <c r="AA2119" s="358">
        <v>0.13</v>
      </c>
      <c r="AB2119" s="118">
        <f>$AF2119*AC2119</f>
        <v>0</v>
      </c>
      <c r="AC2119" s="69">
        <v>0.05</v>
      </c>
      <c r="AD2119" s="118">
        <f>$AF2119*AE2119</f>
        <v>0</v>
      </c>
      <c r="AE2119" s="69">
        <v>0.02</v>
      </c>
      <c r="AF2119" s="87">
        <f>'Terms and Turnovers'!P227</f>
        <v>0</v>
      </c>
      <c r="AG2119" s="160">
        <f>SUM(U2119,W2119,Y2119,AA2119,AC2119,AE2119)</f>
        <v>1</v>
      </c>
      <c r="AH2119" s="157">
        <f>SUM(R2119,AF2119)</f>
        <v>0</v>
      </c>
      <c r="AI2119" s="131">
        <f>S2119+AG2119</f>
        <v>2</v>
      </c>
      <c r="AJ2119" s="65"/>
      <c r="AV2119" s="56"/>
    </row>
    <row r="2120" spans="1:48" ht="13.5" customHeight="1" outlineLevel="2" thickBot="1">
      <c r="B2120" s="82"/>
      <c r="C2120" s="1234"/>
      <c r="D2120" s="1234"/>
      <c r="E2120" s="84" t="str">
        <f>'Terms and Turnovers'!$T$12</f>
        <v>ORIGINALS</v>
      </c>
      <c r="F2120" s="121">
        <f>$R2120*G2120</f>
        <v>0</v>
      </c>
      <c r="G2120" s="723"/>
      <c r="H2120" s="121">
        <f>$R2120*I2120</f>
        <v>0</v>
      </c>
      <c r="I2120" s="69">
        <v>7.0000000000000007E-2</v>
      </c>
      <c r="J2120" s="120">
        <f>$R2120*K2120</f>
        <v>0</v>
      </c>
      <c r="K2120" s="69">
        <v>0.31</v>
      </c>
      <c r="L2120" s="120">
        <f>$R2120*M2120</f>
        <v>0</v>
      </c>
      <c r="M2120" s="69">
        <v>0.35</v>
      </c>
      <c r="N2120" s="315">
        <f>$R2120*O2120</f>
        <v>0</v>
      </c>
      <c r="O2120" s="69">
        <v>0.17</v>
      </c>
      <c r="P2120" s="121">
        <f>$R2120*Q2120</f>
        <v>0</v>
      </c>
      <c r="Q2120" s="69">
        <v>0.1</v>
      </c>
      <c r="R2120" s="88">
        <f>'Terms and Turnovers'!U227</f>
        <v>0</v>
      </c>
      <c r="S2120" s="161">
        <f>SUM(G2120,I2120,K2120,M2120,O2120,Q2120)</f>
        <v>1</v>
      </c>
      <c r="T2120" s="120">
        <f>$AF2120*U2120</f>
        <v>0</v>
      </c>
      <c r="U2120" s="69">
        <v>0.05</v>
      </c>
      <c r="V2120" s="120">
        <f>$AF2120*W2120</f>
        <v>0</v>
      </c>
      <c r="W2120" s="69">
        <v>0.4</v>
      </c>
      <c r="X2120" s="120">
        <f>$AF2120*Y2120</f>
        <v>0</v>
      </c>
      <c r="Y2120" s="723">
        <v>0.35</v>
      </c>
      <c r="Z2120" s="120">
        <f>$AF2120*AA2120</f>
        <v>0</v>
      </c>
      <c r="AA2120" s="358">
        <v>0.13</v>
      </c>
      <c r="AB2120" s="120">
        <f>$AF2120*AC2120</f>
        <v>0</v>
      </c>
      <c r="AC2120" s="69">
        <v>0.05</v>
      </c>
      <c r="AD2120" s="120">
        <f>$AF2120*AE2120</f>
        <v>0</v>
      </c>
      <c r="AE2120" s="69">
        <v>0.02</v>
      </c>
      <c r="AF2120" s="88">
        <f>'Terms and Turnovers'!Z227</f>
        <v>0</v>
      </c>
      <c r="AG2120" s="161">
        <f>SUM(U2120,W2120,Y2120,AA2120,AC2120,AE2120)</f>
        <v>1</v>
      </c>
      <c r="AH2120" s="158">
        <f>SUM(R2120,AF2120)</f>
        <v>0</v>
      </c>
      <c r="AI2120" s="134">
        <f>S2120+AG2120</f>
        <v>2</v>
      </c>
      <c r="AJ2120" s="65"/>
      <c r="AV2120" s="56"/>
    </row>
    <row r="2121" spans="1:48" ht="13.5" customHeight="1" outlineLevel="2" thickBot="1">
      <c r="B2121" s="82"/>
      <c r="C2121" s="1234"/>
      <c r="D2121" s="1234"/>
      <c r="E2121" s="84" t="str">
        <f>'Terms and Turnovers'!$AD$12</f>
        <v>ACCESSORIES</v>
      </c>
      <c r="F2121" s="121">
        <f>$R2121*G2121</f>
        <v>0</v>
      </c>
      <c r="G2121" s="723"/>
      <c r="H2121" s="121">
        <f>$R2121*I2121</f>
        <v>0</v>
      </c>
      <c r="I2121" s="69">
        <v>7.0000000000000007E-2</v>
      </c>
      <c r="J2121" s="120">
        <f>$R2121*K2121</f>
        <v>0</v>
      </c>
      <c r="K2121" s="69">
        <v>0.31</v>
      </c>
      <c r="L2121" s="120">
        <f>$R2121*M2121</f>
        <v>0</v>
      </c>
      <c r="M2121" s="69">
        <v>0.35</v>
      </c>
      <c r="N2121" s="315">
        <f>$R2121*O2121</f>
        <v>0</v>
      </c>
      <c r="O2121" s="69">
        <v>0.17</v>
      </c>
      <c r="P2121" s="121">
        <f>$R2121*Q2121</f>
        <v>0</v>
      </c>
      <c r="Q2121" s="69">
        <v>0.1</v>
      </c>
      <c r="R2121" s="88">
        <f>'Terms and Turnovers'!AE227</f>
        <v>0</v>
      </c>
      <c r="S2121" s="161">
        <f>SUM(G2121,I2121,K2121,M2121,O2121,Q2121)</f>
        <v>1</v>
      </c>
      <c r="T2121" s="120">
        <f>$AF2121*U2121</f>
        <v>0</v>
      </c>
      <c r="U2121" s="69">
        <v>0.05</v>
      </c>
      <c r="V2121" s="120">
        <f>$AF2121*W2121</f>
        <v>0</v>
      </c>
      <c r="W2121" s="69">
        <v>0.4</v>
      </c>
      <c r="X2121" s="120">
        <f>$AF2121*Y2121</f>
        <v>0</v>
      </c>
      <c r="Y2121" s="723">
        <v>0.35</v>
      </c>
      <c r="Z2121" s="120">
        <f>$AF2121*AA2121</f>
        <v>0</v>
      </c>
      <c r="AA2121" s="358">
        <v>0.13</v>
      </c>
      <c r="AB2121" s="120">
        <f>$AF2121*AC2121</f>
        <v>0</v>
      </c>
      <c r="AC2121" s="69">
        <v>0.05</v>
      </c>
      <c r="AD2121" s="120">
        <f>$AF2121*AE2121</f>
        <v>0</v>
      </c>
      <c r="AE2121" s="69">
        <v>0.02</v>
      </c>
      <c r="AF2121" s="88">
        <f>'Terms and Turnovers'!AJ227</f>
        <v>0</v>
      </c>
      <c r="AG2121" s="161">
        <f>SUM(U2121,W2121,Y2121,AA2121,AC2121,AE2121)</f>
        <v>1</v>
      </c>
      <c r="AH2121" s="158">
        <f>SUM(R2121,AF2121)</f>
        <v>0</v>
      </c>
      <c r="AI2121" s="134">
        <f>S2121+AG2121</f>
        <v>2</v>
      </c>
      <c r="AJ2121" s="65"/>
      <c r="AV2121" s="56"/>
    </row>
    <row r="2122" spans="1:48" ht="13.5" customHeight="1" outlineLevel="2" thickBot="1">
      <c r="B2122" s="82"/>
      <c r="C2122" s="1234"/>
      <c r="D2122" s="1234"/>
      <c r="E2122" s="84">
        <f>'Terms and Turnovers'!$AN$12</f>
        <v>0</v>
      </c>
      <c r="F2122" s="121">
        <f>$R2122*G2122</f>
        <v>0</v>
      </c>
      <c r="G2122" s="723"/>
      <c r="H2122" s="121">
        <f>$R2122*I2122</f>
        <v>0</v>
      </c>
      <c r="I2122" s="69">
        <v>7.0000000000000007E-2</v>
      </c>
      <c r="J2122" s="120">
        <f>$R2122*K2122</f>
        <v>0</v>
      </c>
      <c r="K2122" s="69">
        <v>0.31</v>
      </c>
      <c r="L2122" s="120">
        <f>$R2122*M2122</f>
        <v>0</v>
      </c>
      <c r="M2122" s="69">
        <v>0.35</v>
      </c>
      <c r="N2122" s="315">
        <f>$R2122*O2122</f>
        <v>0</v>
      </c>
      <c r="O2122" s="69">
        <v>0.17</v>
      </c>
      <c r="P2122" s="121">
        <f>$R2122*Q2122</f>
        <v>0</v>
      </c>
      <c r="Q2122" s="69">
        <v>0.1</v>
      </c>
      <c r="R2122" s="88">
        <f>'Terms and Turnovers'!AO227</f>
        <v>0</v>
      </c>
      <c r="S2122" s="161">
        <f>SUM(G2122,I2122,K2122,M2122,O2122,Q2122)</f>
        <v>1</v>
      </c>
      <c r="T2122" s="120">
        <f>$AF2122*U2122</f>
        <v>0</v>
      </c>
      <c r="U2122" s="69">
        <v>0.05</v>
      </c>
      <c r="V2122" s="120">
        <f>$AF2122*W2122</f>
        <v>0</v>
      </c>
      <c r="W2122" s="69">
        <v>0.4</v>
      </c>
      <c r="X2122" s="120">
        <f>$AF2122*Y2122</f>
        <v>0</v>
      </c>
      <c r="Y2122" s="723">
        <v>0.35</v>
      </c>
      <c r="Z2122" s="120">
        <f>$AF2122*AA2122</f>
        <v>0</v>
      </c>
      <c r="AA2122" s="358">
        <v>0.13</v>
      </c>
      <c r="AB2122" s="120">
        <f>$AF2122*AC2122</f>
        <v>0</v>
      </c>
      <c r="AC2122" s="69">
        <v>0.05</v>
      </c>
      <c r="AD2122" s="120">
        <f>$AF2122*AE2122</f>
        <v>0</v>
      </c>
      <c r="AE2122" s="69">
        <v>0.02</v>
      </c>
      <c r="AF2122" s="88">
        <f>'Terms and Turnovers'!AT227</f>
        <v>0</v>
      </c>
      <c r="AG2122" s="161">
        <f>SUM(U2122,W2122,Y2122,AA2122,AC2122,AE2122)</f>
        <v>1</v>
      </c>
      <c r="AH2122" s="158">
        <f>SUM(R2122,AF2122)</f>
        <v>0</v>
      </c>
      <c r="AI2122" s="134">
        <f>S2122+AG2122</f>
        <v>2</v>
      </c>
      <c r="AJ2122" s="65"/>
      <c r="AV2122" s="56"/>
    </row>
    <row r="2123" spans="1:48" ht="13.5" customHeight="1" outlineLevel="2" thickBot="1">
      <c r="B2123" s="82"/>
      <c r="C2123" s="1235"/>
      <c r="D2123" s="1235"/>
      <c r="E2123" s="85">
        <f>'Terms and Turnovers'!$AX$12</f>
        <v>0</v>
      </c>
      <c r="F2123" s="121">
        <f>$R2123*G2123</f>
        <v>0</v>
      </c>
      <c r="G2123" s="72"/>
      <c r="H2123" s="121">
        <f>$R2123*I2123</f>
        <v>0</v>
      </c>
      <c r="I2123" s="69">
        <v>7.0000000000000007E-2</v>
      </c>
      <c r="J2123" s="121">
        <f>$R2123*K2123</f>
        <v>0</v>
      </c>
      <c r="K2123" s="69">
        <v>0.31</v>
      </c>
      <c r="L2123" s="121">
        <f>$R2123*M2123</f>
        <v>0</v>
      </c>
      <c r="M2123" s="69">
        <v>0.35</v>
      </c>
      <c r="N2123" s="316">
        <f>$R2123*O2123</f>
        <v>0</v>
      </c>
      <c r="O2123" s="69">
        <v>0.17</v>
      </c>
      <c r="P2123" s="121">
        <f>$R2123*Q2123</f>
        <v>0</v>
      </c>
      <c r="Q2123" s="69">
        <v>0.1</v>
      </c>
      <c r="R2123" s="89">
        <f>'Terms and Turnovers'!AY227</f>
        <v>0</v>
      </c>
      <c r="S2123" s="162">
        <f>SUM(G2123,I2123,K2123,M2123,O2123,Q2123)</f>
        <v>1</v>
      </c>
      <c r="T2123" s="121">
        <f>$AF2123*U2123</f>
        <v>0</v>
      </c>
      <c r="U2123" s="69">
        <v>0.05</v>
      </c>
      <c r="V2123" s="121">
        <f>$AF2123*W2123</f>
        <v>0</v>
      </c>
      <c r="W2123" s="69">
        <v>0.4</v>
      </c>
      <c r="X2123" s="121">
        <f>$AF2123*Y2123</f>
        <v>0</v>
      </c>
      <c r="Y2123" s="72">
        <v>0.35</v>
      </c>
      <c r="Z2123" s="121">
        <f>$AF2123*AA2123</f>
        <v>0</v>
      </c>
      <c r="AA2123" s="358">
        <v>0.13</v>
      </c>
      <c r="AB2123" s="121">
        <f>$AF2123*AC2123</f>
        <v>0</v>
      </c>
      <c r="AC2123" s="69">
        <v>0.05</v>
      </c>
      <c r="AD2123" s="121">
        <f>$AF2123*AE2123</f>
        <v>0</v>
      </c>
      <c r="AE2123" s="69">
        <v>0.02</v>
      </c>
      <c r="AF2123" s="89">
        <f>'Terms and Turnovers'!BD227</f>
        <v>0</v>
      </c>
      <c r="AG2123" s="162">
        <f>SUM(U2123,W2123,Y2123,AA2123,AC2123,AE2123)</f>
        <v>1</v>
      </c>
      <c r="AH2123" s="159">
        <f>SUM(R2123,AF2123)</f>
        <v>0</v>
      </c>
      <c r="AI2123" s="137">
        <f>S2123+AG2123</f>
        <v>2</v>
      </c>
      <c r="AJ2123" s="65"/>
      <c r="AV2123" s="56"/>
    </row>
    <row r="2124" spans="1:48" ht="13.5" customHeight="1" outlineLevel="2" thickBot="1">
      <c r="A2124" s="119"/>
      <c r="B2124" s="82"/>
      <c r="C2124" s="425"/>
      <c r="D2124" s="425"/>
      <c r="E2124" s="426"/>
      <c r="F2124" s="427">
        <f>SUM(F2119:F2123)</f>
        <v>0</v>
      </c>
      <c r="G2124" s="428"/>
      <c r="H2124" s="427">
        <f>SUM(H2119:H2123)</f>
        <v>0</v>
      </c>
      <c r="I2124" s="69"/>
      <c r="J2124" s="427">
        <f>SUM(J2119:J2123)</f>
        <v>0</v>
      </c>
      <c r="K2124" s="69"/>
      <c r="L2124" s="427">
        <f>SUM(L2119:L2123)</f>
        <v>0</v>
      </c>
      <c r="M2124" s="69"/>
      <c r="N2124" s="427">
        <f>SUM(N2119:N2123)</f>
        <v>0</v>
      </c>
      <c r="O2124" s="69"/>
      <c r="P2124" s="427">
        <f>SUM(P2119:P2123)</f>
        <v>0</v>
      </c>
      <c r="Q2124" s="69"/>
      <c r="R2124" s="429"/>
      <c r="S2124" s="430"/>
      <c r="T2124" s="427">
        <f>SUM(T2119:T2123)</f>
        <v>0</v>
      </c>
      <c r="U2124" s="428"/>
      <c r="V2124" s="427">
        <f>SUM(V2119:V2123)</f>
        <v>0</v>
      </c>
      <c r="W2124" s="69"/>
      <c r="X2124" s="427">
        <f>SUM(X2119:X2123)</f>
        <v>0</v>
      </c>
      <c r="Y2124" s="69"/>
      <c r="Z2124" s="427">
        <f>SUM(Z2119:Z2123)</f>
        <v>0</v>
      </c>
      <c r="AA2124" s="69"/>
      <c r="AB2124" s="427">
        <f>SUM(AB2119:AB2123)</f>
        <v>0</v>
      </c>
      <c r="AC2124" s="69"/>
      <c r="AD2124" s="427">
        <f>SUM(AD2119:AD2123)</f>
        <v>0</v>
      </c>
      <c r="AE2124" s="69"/>
      <c r="AF2124" s="429"/>
      <c r="AG2124" s="430"/>
      <c r="AH2124" s="431"/>
      <c r="AI2124" s="432"/>
      <c r="AJ2124" s="65"/>
      <c r="AV2124" s="56"/>
    </row>
    <row r="2125" spans="1:48" ht="13.5" customHeight="1" outlineLevel="2" thickBot="1">
      <c r="A2125" s="119"/>
      <c r="B2125" s="82"/>
      <c r="C2125" s="433" t="s">
        <v>484</v>
      </c>
      <c r="D2125" s="433"/>
      <c r="E2125" s="426"/>
      <c r="F2125" s="434">
        <f>F2124</f>
        <v>0</v>
      </c>
      <c r="G2125" s="428"/>
      <c r="H2125" s="434">
        <f>H2124</f>
        <v>0</v>
      </c>
      <c r="I2125" s="69"/>
      <c r="J2125" s="434">
        <f>J2124</f>
        <v>0</v>
      </c>
      <c r="K2125" s="69"/>
      <c r="L2125" s="434">
        <f>L2124</f>
        <v>0</v>
      </c>
      <c r="M2125" s="69"/>
      <c r="N2125" s="434">
        <f>N2124</f>
        <v>0</v>
      </c>
      <c r="O2125" s="69"/>
      <c r="P2125" s="434">
        <f>P2124</f>
        <v>0</v>
      </c>
      <c r="Q2125" s="69"/>
      <c r="R2125" s="429"/>
      <c r="S2125" s="430"/>
      <c r="T2125" s="434">
        <f>T2123</f>
        <v>0</v>
      </c>
      <c r="U2125" s="428"/>
      <c r="V2125" s="434">
        <f>V2124</f>
        <v>0</v>
      </c>
      <c r="W2125" s="69"/>
      <c r="X2125" s="434">
        <f>X2124</f>
        <v>0</v>
      </c>
      <c r="Y2125" s="69">
        <f>W2123*0.3+Y2123*0.7</f>
        <v>0.36499999999999999</v>
      </c>
      <c r="Z2125" s="434">
        <f>Z2124</f>
        <v>0</v>
      </c>
      <c r="AA2125" s="69">
        <f>Y2123*0.3+AA2123*0.7</f>
        <v>0.19600000000000001</v>
      </c>
      <c r="AB2125" s="434">
        <f>AB2124</f>
        <v>0</v>
      </c>
      <c r="AC2125" s="69">
        <f>AA2123*0.3+AC2123*0.7</f>
        <v>7.3999999999999996E-2</v>
      </c>
      <c r="AD2125" s="434">
        <f>AD2124</f>
        <v>0</v>
      </c>
      <c r="AE2125" s="69"/>
      <c r="AF2125" s="429"/>
      <c r="AG2125" s="430"/>
      <c r="AH2125" s="431"/>
      <c r="AI2125" s="432"/>
      <c r="AJ2125" s="65"/>
      <c r="AV2125" s="56"/>
    </row>
    <row r="2126" spans="1:48" ht="13.5" customHeight="1" outlineLevel="2" thickBot="1">
      <c r="B2126" s="82">
        <f>B2119+1</f>
        <v>97</v>
      </c>
      <c r="C2126" s="1233">
        <f>C685</f>
        <v>0</v>
      </c>
      <c r="D2126" s="1233">
        <f>D685</f>
        <v>0</v>
      </c>
      <c r="E2126" s="83" t="str">
        <f>'Terms and Turnovers'!$J$12</f>
        <v>FLIP-FLOPS</v>
      </c>
      <c r="F2126" s="121">
        <f>$R2126*G2126</f>
        <v>0</v>
      </c>
      <c r="G2126" s="69"/>
      <c r="H2126" s="316">
        <f>$R2126*I2126</f>
        <v>0</v>
      </c>
      <c r="I2126" s="69">
        <v>7.0000000000000007E-2</v>
      </c>
      <c r="J2126" s="118">
        <f>$R2126*K2126</f>
        <v>0</v>
      </c>
      <c r="K2126" s="69">
        <v>0.31</v>
      </c>
      <c r="L2126" s="314">
        <f>$R2126*M2126</f>
        <v>0</v>
      </c>
      <c r="M2126" s="69">
        <v>0.35</v>
      </c>
      <c r="N2126" s="314">
        <f>$R2126*O2126</f>
        <v>0</v>
      </c>
      <c r="O2126" s="69">
        <v>0.17</v>
      </c>
      <c r="P2126" s="121">
        <f>$R2126*Q2126</f>
        <v>0</v>
      </c>
      <c r="Q2126" s="69">
        <v>0.1</v>
      </c>
      <c r="R2126" s="87">
        <f>'Terms and Turnovers'!K228</f>
        <v>0</v>
      </c>
      <c r="S2126" s="160">
        <f>SUM(G2126,I2126,K2126,M2126,O2126,Q2126)</f>
        <v>1</v>
      </c>
      <c r="T2126" s="118">
        <f>$AF2126*U2126</f>
        <v>0</v>
      </c>
      <c r="U2126" s="69">
        <v>0.05</v>
      </c>
      <c r="V2126" s="118">
        <f>$AF2126*W2126</f>
        <v>0</v>
      </c>
      <c r="W2126" s="69">
        <v>0.4</v>
      </c>
      <c r="X2126" s="118">
        <f>$AF2126*Y2126</f>
        <v>0</v>
      </c>
      <c r="Y2126" s="69">
        <v>0.35</v>
      </c>
      <c r="Z2126" s="118">
        <f>$AF2126*AA2126</f>
        <v>0</v>
      </c>
      <c r="AA2126" s="358">
        <v>0.13</v>
      </c>
      <c r="AB2126" s="118">
        <f>$AF2126*AC2126</f>
        <v>0</v>
      </c>
      <c r="AC2126" s="69">
        <v>0.05</v>
      </c>
      <c r="AD2126" s="118">
        <f>$AF2126*AE2126</f>
        <v>0</v>
      </c>
      <c r="AE2126" s="69">
        <v>0.02</v>
      </c>
      <c r="AF2126" s="87">
        <f>'Terms and Turnovers'!P228</f>
        <v>0</v>
      </c>
      <c r="AG2126" s="160">
        <f>SUM(U2126,W2126,Y2126,AA2126,AC2126,AE2126)</f>
        <v>1</v>
      </c>
      <c r="AH2126" s="157">
        <f>SUM(R2126,AF2126)</f>
        <v>0</v>
      </c>
      <c r="AI2126" s="131">
        <f>S2126+AG2126</f>
        <v>2</v>
      </c>
      <c r="AJ2126" s="65"/>
      <c r="AV2126" s="56"/>
    </row>
    <row r="2127" spans="1:48" ht="13.5" customHeight="1" outlineLevel="2" thickBot="1">
      <c r="B2127" s="82"/>
      <c r="C2127" s="1234"/>
      <c r="D2127" s="1234"/>
      <c r="E2127" s="84" t="str">
        <f>'Terms and Turnovers'!$T$12</f>
        <v>ORIGINALS</v>
      </c>
      <c r="F2127" s="121">
        <f>$R2127*G2127</f>
        <v>0</v>
      </c>
      <c r="G2127" s="723"/>
      <c r="H2127" s="121">
        <f>$R2127*I2127</f>
        <v>0</v>
      </c>
      <c r="I2127" s="69">
        <v>7.0000000000000007E-2</v>
      </c>
      <c r="J2127" s="120">
        <f>$R2127*K2127</f>
        <v>0</v>
      </c>
      <c r="K2127" s="69">
        <v>0.31</v>
      </c>
      <c r="L2127" s="120">
        <f>$R2127*M2127</f>
        <v>0</v>
      </c>
      <c r="M2127" s="69">
        <v>0.35</v>
      </c>
      <c r="N2127" s="315">
        <f>$R2127*O2127</f>
        <v>0</v>
      </c>
      <c r="O2127" s="69">
        <v>0.17</v>
      </c>
      <c r="P2127" s="121">
        <f>$R2127*Q2127</f>
        <v>0</v>
      </c>
      <c r="Q2127" s="69">
        <v>0.1</v>
      </c>
      <c r="R2127" s="88">
        <f>'Terms and Turnovers'!U228</f>
        <v>0</v>
      </c>
      <c r="S2127" s="161">
        <f>SUM(G2127,I2127,K2127,M2127,O2127,Q2127)</f>
        <v>1</v>
      </c>
      <c r="T2127" s="120">
        <f>$AF2127*U2127</f>
        <v>0</v>
      </c>
      <c r="U2127" s="69">
        <v>0.05</v>
      </c>
      <c r="V2127" s="120">
        <f>$AF2127*W2127</f>
        <v>0</v>
      </c>
      <c r="W2127" s="69">
        <v>0.4</v>
      </c>
      <c r="X2127" s="120">
        <f>$AF2127*Y2127</f>
        <v>0</v>
      </c>
      <c r="Y2127" s="723">
        <v>0.35</v>
      </c>
      <c r="Z2127" s="120">
        <f>$AF2127*AA2127</f>
        <v>0</v>
      </c>
      <c r="AA2127" s="358">
        <v>0.13</v>
      </c>
      <c r="AB2127" s="120">
        <f>$AF2127*AC2127</f>
        <v>0</v>
      </c>
      <c r="AC2127" s="69">
        <v>0.05</v>
      </c>
      <c r="AD2127" s="120">
        <f>$AF2127*AE2127</f>
        <v>0</v>
      </c>
      <c r="AE2127" s="69">
        <v>0.02</v>
      </c>
      <c r="AF2127" s="88">
        <f>'Terms and Turnovers'!Z228</f>
        <v>0</v>
      </c>
      <c r="AG2127" s="161">
        <f>SUM(U2127,W2127,Y2127,AA2127,AC2127,AE2127)</f>
        <v>1</v>
      </c>
      <c r="AH2127" s="158">
        <f>SUM(R2127,AF2127)</f>
        <v>0</v>
      </c>
      <c r="AI2127" s="134">
        <f>S2127+AG2127</f>
        <v>2</v>
      </c>
      <c r="AJ2127" s="65"/>
      <c r="AV2127" s="56"/>
    </row>
    <row r="2128" spans="1:48" ht="13.5" customHeight="1" outlineLevel="2" thickBot="1">
      <c r="B2128" s="82"/>
      <c r="C2128" s="1234"/>
      <c r="D2128" s="1234"/>
      <c r="E2128" s="84" t="str">
        <f>'Terms and Turnovers'!$AD$12</f>
        <v>ACCESSORIES</v>
      </c>
      <c r="F2128" s="121">
        <f>$R2128*G2128</f>
        <v>0</v>
      </c>
      <c r="G2128" s="723"/>
      <c r="H2128" s="121">
        <f>$R2128*I2128</f>
        <v>0</v>
      </c>
      <c r="I2128" s="69">
        <v>7.0000000000000007E-2</v>
      </c>
      <c r="J2128" s="120">
        <f>$R2128*K2128</f>
        <v>0</v>
      </c>
      <c r="K2128" s="69">
        <v>0.31</v>
      </c>
      <c r="L2128" s="120">
        <f>$R2128*M2128</f>
        <v>0</v>
      </c>
      <c r="M2128" s="69">
        <v>0.35</v>
      </c>
      <c r="N2128" s="315">
        <f>$R2128*O2128</f>
        <v>0</v>
      </c>
      <c r="O2128" s="69">
        <v>0.17</v>
      </c>
      <c r="P2128" s="121">
        <f>$R2128*Q2128</f>
        <v>0</v>
      </c>
      <c r="Q2128" s="69">
        <v>0.1</v>
      </c>
      <c r="R2128" s="88">
        <f>'Terms and Turnovers'!AE228</f>
        <v>0</v>
      </c>
      <c r="S2128" s="161">
        <f>SUM(G2128,I2128,K2128,M2128,O2128,Q2128)</f>
        <v>1</v>
      </c>
      <c r="T2128" s="120">
        <f>$AF2128*U2128</f>
        <v>0</v>
      </c>
      <c r="U2128" s="69">
        <v>0.05</v>
      </c>
      <c r="V2128" s="120">
        <f>$AF2128*W2128</f>
        <v>0</v>
      </c>
      <c r="W2128" s="69">
        <v>0.4</v>
      </c>
      <c r="X2128" s="120">
        <f>$AF2128*Y2128</f>
        <v>0</v>
      </c>
      <c r="Y2128" s="723">
        <v>0.35</v>
      </c>
      <c r="Z2128" s="120">
        <f>$AF2128*AA2128</f>
        <v>0</v>
      </c>
      <c r="AA2128" s="358">
        <v>0.13</v>
      </c>
      <c r="AB2128" s="120">
        <f>$AF2128*AC2128</f>
        <v>0</v>
      </c>
      <c r="AC2128" s="69">
        <v>0.05</v>
      </c>
      <c r="AD2128" s="120">
        <f>$AF2128*AE2128</f>
        <v>0</v>
      </c>
      <c r="AE2128" s="69">
        <v>0.02</v>
      </c>
      <c r="AF2128" s="88">
        <f>'Terms and Turnovers'!AJ228</f>
        <v>0</v>
      </c>
      <c r="AG2128" s="161">
        <f>SUM(U2128,W2128,Y2128,AA2128,AC2128,AE2128)</f>
        <v>1</v>
      </c>
      <c r="AH2128" s="158">
        <f>SUM(R2128,AF2128)</f>
        <v>0</v>
      </c>
      <c r="AI2128" s="134">
        <f>S2128+AG2128</f>
        <v>2</v>
      </c>
      <c r="AJ2128" s="65"/>
      <c r="AV2128" s="56"/>
    </row>
    <row r="2129" spans="1:48" ht="13.5" customHeight="1" outlineLevel="2" thickBot="1">
      <c r="B2129" s="82"/>
      <c r="C2129" s="1234"/>
      <c r="D2129" s="1234"/>
      <c r="E2129" s="84">
        <f>'Terms and Turnovers'!$AN$12</f>
        <v>0</v>
      </c>
      <c r="F2129" s="121">
        <f>$R2129*G2129</f>
        <v>0</v>
      </c>
      <c r="G2129" s="723"/>
      <c r="H2129" s="121">
        <f>$R2129*I2129</f>
        <v>0</v>
      </c>
      <c r="I2129" s="69">
        <v>7.0000000000000007E-2</v>
      </c>
      <c r="J2129" s="120">
        <f>$R2129*K2129</f>
        <v>0</v>
      </c>
      <c r="K2129" s="69">
        <v>0.31</v>
      </c>
      <c r="L2129" s="120">
        <f>$R2129*M2129</f>
        <v>0</v>
      </c>
      <c r="M2129" s="69">
        <v>0.35</v>
      </c>
      <c r="N2129" s="315">
        <f>$R2129*O2129</f>
        <v>0</v>
      </c>
      <c r="O2129" s="69">
        <v>0.17</v>
      </c>
      <c r="P2129" s="121">
        <f>$R2129*Q2129</f>
        <v>0</v>
      </c>
      <c r="Q2129" s="69">
        <v>0.1</v>
      </c>
      <c r="R2129" s="88">
        <f>'Terms and Turnovers'!AO228</f>
        <v>0</v>
      </c>
      <c r="S2129" s="161">
        <f>SUM(G2129,I2129,K2129,M2129,O2129,Q2129)</f>
        <v>1</v>
      </c>
      <c r="T2129" s="120">
        <f>$AF2129*U2129</f>
        <v>0</v>
      </c>
      <c r="U2129" s="69">
        <v>0.05</v>
      </c>
      <c r="V2129" s="120">
        <f>$AF2129*W2129</f>
        <v>0</v>
      </c>
      <c r="W2129" s="69">
        <v>0.4</v>
      </c>
      <c r="X2129" s="120">
        <f>$AF2129*Y2129</f>
        <v>0</v>
      </c>
      <c r="Y2129" s="723">
        <v>0.35</v>
      </c>
      <c r="Z2129" s="120">
        <f>$AF2129*AA2129</f>
        <v>0</v>
      </c>
      <c r="AA2129" s="358">
        <v>0.13</v>
      </c>
      <c r="AB2129" s="120">
        <f>$AF2129*AC2129</f>
        <v>0</v>
      </c>
      <c r="AC2129" s="69">
        <v>0.05</v>
      </c>
      <c r="AD2129" s="120">
        <f>$AF2129*AE2129</f>
        <v>0</v>
      </c>
      <c r="AE2129" s="69">
        <v>0.02</v>
      </c>
      <c r="AF2129" s="88">
        <f>'Terms and Turnovers'!AT228</f>
        <v>0</v>
      </c>
      <c r="AG2129" s="161">
        <f>SUM(U2129,W2129,Y2129,AA2129,AC2129,AE2129)</f>
        <v>1</v>
      </c>
      <c r="AH2129" s="158">
        <f>SUM(R2129,AF2129)</f>
        <v>0</v>
      </c>
      <c r="AI2129" s="134">
        <f>S2129+AG2129</f>
        <v>2</v>
      </c>
      <c r="AJ2129" s="65"/>
      <c r="AV2129" s="56"/>
    </row>
    <row r="2130" spans="1:48" ht="13.5" customHeight="1" outlineLevel="2" thickBot="1">
      <c r="B2130" s="82"/>
      <c r="C2130" s="1235"/>
      <c r="D2130" s="1235"/>
      <c r="E2130" s="85">
        <f>'Terms and Turnovers'!$AX$12</f>
        <v>0</v>
      </c>
      <c r="F2130" s="121">
        <f>$R2130*G2130</f>
        <v>0</v>
      </c>
      <c r="G2130" s="72"/>
      <c r="H2130" s="121">
        <f>$R2130*I2130</f>
        <v>0</v>
      </c>
      <c r="I2130" s="69">
        <v>7.0000000000000007E-2</v>
      </c>
      <c r="J2130" s="121">
        <f>$R2130*K2130</f>
        <v>0</v>
      </c>
      <c r="K2130" s="69">
        <v>0.31</v>
      </c>
      <c r="L2130" s="121">
        <f>$R2130*M2130</f>
        <v>0</v>
      </c>
      <c r="M2130" s="69">
        <v>0.35</v>
      </c>
      <c r="N2130" s="316">
        <f>$R2130*O2130</f>
        <v>0</v>
      </c>
      <c r="O2130" s="69">
        <v>0.17</v>
      </c>
      <c r="P2130" s="121">
        <f>$R2130*Q2130</f>
        <v>0</v>
      </c>
      <c r="Q2130" s="69">
        <v>0.1</v>
      </c>
      <c r="R2130" s="89">
        <f>'Terms and Turnovers'!AY228</f>
        <v>0</v>
      </c>
      <c r="S2130" s="162">
        <f>SUM(G2130,I2130,K2130,M2130,O2130,Q2130)</f>
        <v>1</v>
      </c>
      <c r="T2130" s="121">
        <f>$AF2130*U2130</f>
        <v>0</v>
      </c>
      <c r="U2130" s="69">
        <v>0.05</v>
      </c>
      <c r="V2130" s="121">
        <f>$AF2130*W2130</f>
        <v>0</v>
      </c>
      <c r="W2130" s="69">
        <v>0.4</v>
      </c>
      <c r="X2130" s="121">
        <f>$AF2130*Y2130</f>
        <v>0</v>
      </c>
      <c r="Y2130" s="72">
        <v>0.35</v>
      </c>
      <c r="Z2130" s="121">
        <f>$AF2130*AA2130</f>
        <v>0</v>
      </c>
      <c r="AA2130" s="358">
        <v>0.13</v>
      </c>
      <c r="AB2130" s="121">
        <f>$AF2130*AC2130</f>
        <v>0</v>
      </c>
      <c r="AC2130" s="69">
        <v>0.05</v>
      </c>
      <c r="AD2130" s="121">
        <f>$AF2130*AE2130</f>
        <v>0</v>
      </c>
      <c r="AE2130" s="69">
        <v>0.02</v>
      </c>
      <c r="AF2130" s="89">
        <f>'Terms and Turnovers'!BD228</f>
        <v>0</v>
      </c>
      <c r="AG2130" s="162">
        <f>SUM(U2130,W2130,Y2130,AA2130,AC2130,AE2130)</f>
        <v>1</v>
      </c>
      <c r="AH2130" s="159">
        <f>SUM(R2130,AF2130)</f>
        <v>0</v>
      </c>
      <c r="AI2130" s="137">
        <f>S2130+AG2130</f>
        <v>2</v>
      </c>
      <c r="AJ2130" s="65"/>
      <c r="AV2130" s="56"/>
    </row>
    <row r="2131" spans="1:48" ht="13.5" customHeight="1" outlineLevel="2" thickBot="1">
      <c r="A2131" s="119"/>
      <c r="B2131" s="82"/>
      <c r="C2131" s="425"/>
      <c r="D2131" s="425"/>
      <c r="E2131" s="426"/>
      <c r="F2131" s="427">
        <f>SUM(F2126:F2130)</f>
        <v>0</v>
      </c>
      <c r="G2131" s="428"/>
      <c r="H2131" s="427">
        <f>SUM(H2126:H2130)</f>
        <v>0</v>
      </c>
      <c r="I2131" s="69"/>
      <c r="J2131" s="427">
        <f>SUM(J2126:J2130)</f>
        <v>0</v>
      </c>
      <c r="K2131" s="69"/>
      <c r="L2131" s="427">
        <f>SUM(L2126:L2130)</f>
        <v>0</v>
      </c>
      <c r="M2131" s="69"/>
      <c r="N2131" s="427">
        <f>SUM(N2126:N2130)</f>
        <v>0</v>
      </c>
      <c r="O2131" s="69"/>
      <c r="P2131" s="427">
        <f>SUM(P2126:P2130)</f>
        <v>0</v>
      </c>
      <c r="Q2131" s="69"/>
      <c r="R2131" s="429"/>
      <c r="S2131" s="430"/>
      <c r="T2131" s="427">
        <f>SUM(T2126:T2130)</f>
        <v>0</v>
      </c>
      <c r="U2131" s="428"/>
      <c r="V2131" s="427">
        <f>SUM(V2126:V2130)</f>
        <v>0</v>
      </c>
      <c r="W2131" s="69"/>
      <c r="X2131" s="427">
        <f>SUM(X2126:X2130)</f>
        <v>0</v>
      </c>
      <c r="Y2131" s="69"/>
      <c r="Z2131" s="427">
        <f>SUM(Z2126:Z2130)</f>
        <v>0</v>
      </c>
      <c r="AA2131" s="69"/>
      <c r="AB2131" s="427">
        <f>SUM(AB2126:AB2130)</f>
        <v>0</v>
      </c>
      <c r="AC2131" s="69"/>
      <c r="AD2131" s="427">
        <f>SUM(AD2126:AD2130)</f>
        <v>0</v>
      </c>
      <c r="AE2131" s="69"/>
      <c r="AF2131" s="429"/>
      <c r="AG2131" s="430"/>
      <c r="AH2131" s="431"/>
      <c r="AI2131" s="432"/>
      <c r="AJ2131" s="65"/>
      <c r="AV2131" s="56"/>
    </row>
    <row r="2132" spans="1:48" ht="13.5" customHeight="1" outlineLevel="2" thickBot="1">
      <c r="A2132" s="119"/>
      <c r="B2132" s="82"/>
      <c r="C2132" s="433" t="s">
        <v>484</v>
      </c>
      <c r="D2132" s="433"/>
      <c r="E2132" s="426"/>
      <c r="F2132" s="434">
        <f>F2131</f>
        <v>0</v>
      </c>
      <c r="G2132" s="428"/>
      <c r="H2132" s="434">
        <f>H2131</f>
        <v>0</v>
      </c>
      <c r="I2132" s="69"/>
      <c r="J2132" s="434">
        <f>J2131</f>
        <v>0</v>
      </c>
      <c r="K2132" s="69"/>
      <c r="L2132" s="434">
        <f>L2131</f>
        <v>0</v>
      </c>
      <c r="M2132" s="69"/>
      <c r="N2132" s="434">
        <f>N2131</f>
        <v>0</v>
      </c>
      <c r="O2132" s="69"/>
      <c r="P2132" s="434">
        <f>P2131</f>
        <v>0</v>
      </c>
      <c r="Q2132" s="69"/>
      <c r="R2132" s="429"/>
      <c r="S2132" s="430"/>
      <c r="T2132" s="434">
        <f>T2130</f>
        <v>0</v>
      </c>
      <c r="U2132" s="428"/>
      <c r="V2132" s="434">
        <f>V2131</f>
        <v>0</v>
      </c>
      <c r="W2132" s="69"/>
      <c r="X2132" s="434">
        <f>X2131</f>
        <v>0</v>
      </c>
      <c r="Y2132" s="69">
        <f>W2130*0.3+Y2130*0.7</f>
        <v>0.36499999999999999</v>
      </c>
      <c r="Z2132" s="434">
        <f>Z2131</f>
        <v>0</v>
      </c>
      <c r="AA2132" s="69">
        <f>Y2130*0.3+AA2130*0.7</f>
        <v>0.19600000000000001</v>
      </c>
      <c r="AB2132" s="434">
        <f>AB2131</f>
        <v>0</v>
      </c>
      <c r="AC2132" s="69">
        <f>AA2130*0.3+AC2130*0.7</f>
        <v>7.3999999999999996E-2</v>
      </c>
      <c r="AD2132" s="434">
        <f>AD2131</f>
        <v>0</v>
      </c>
      <c r="AE2132" s="69"/>
      <c r="AF2132" s="429"/>
      <c r="AG2132" s="430"/>
      <c r="AH2132" s="431"/>
      <c r="AI2132" s="432"/>
      <c r="AJ2132" s="65"/>
      <c r="AV2132" s="56"/>
    </row>
    <row r="2133" spans="1:48" ht="13.5" customHeight="1" outlineLevel="2" thickBot="1">
      <c r="B2133" s="82">
        <f>B2126+1</f>
        <v>98</v>
      </c>
      <c r="C2133" s="1233">
        <f>C692</f>
        <v>0</v>
      </c>
      <c r="D2133" s="1233">
        <f>D692</f>
        <v>0</v>
      </c>
      <c r="E2133" s="83" t="str">
        <f>'Terms and Turnovers'!$J$12</f>
        <v>FLIP-FLOPS</v>
      </c>
      <c r="F2133" s="121">
        <f>$R2133*G2133</f>
        <v>0</v>
      </c>
      <c r="G2133" s="69"/>
      <c r="H2133" s="316">
        <f>$R2133*I2133</f>
        <v>0</v>
      </c>
      <c r="I2133" s="69">
        <v>7.0000000000000007E-2</v>
      </c>
      <c r="J2133" s="118">
        <f>$R2133*K2133</f>
        <v>0</v>
      </c>
      <c r="K2133" s="69">
        <v>0.31</v>
      </c>
      <c r="L2133" s="314">
        <f>$R2133*M2133</f>
        <v>0</v>
      </c>
      <c r="M2133" s="69">
        <v>0.35</v>
      </c>
      <c r="N2133" s="314">
        <f>$R2133*O2133</f>
        <v>0</v>
      </c>
      <c r="O2133" s="69">
        <v>0.17</v>
      </c>
      <c r="P2133" s="121">
        <f>$R2133*Q2133</f>
        <v>0</v>
      </c>
      <c r="Q2133" s="69">
        <v>0.1</v>
      </c>
      <c r="R2133" s="87">
        <f>'Terms and Turnovers'!K229</f>
        <v>0</v>
      </c>
      <c r="S2133" s="160">
        <f>SUM(G2133,I2133,K2133,M2133,O2133,Q2133)</f>
        <v>1</v>
      </c>
      <c r="T2133" s="118">
        <f>$AF2133*U2133</f>
        <v>0</v>
      </c>
      <c r="U2133" s="69">
        <v>0.05</v>
      </c>
      <c r="V2133" s="118">
        <f>$AF2133*W2133</f>
        <v>0</v>
      </c>
      <c r="W2133" s="69">
        <v>0.4</v>
      </c>
      <c r="X2133" s="118">
        <f>$AF2133*Y2133</f>
        <v>0</v>
      </c>
      <c r="Y2133" s="69">
        <v>0.35</v>
      </c>
      <c r="Z2133" s="118">
        <f>$AF2133*AA2133</f>
        <v>0</v>
      </c>
      <c r="AA2133" s="358">
        <v>0.13</v>
      </c>
      <c r="AB2133" s="118">
        <f>$AF2133*AC2133</f>
        <v>0</v>
      </c>
      <c r="AC2133" s="69">
        <v>0.05</v>
      </c>
      <c r="AD2133" s="118">
        <f>$AF2133*AE2133</f>
        <v>0</v>
      </c>
      <c r="AE2133" s="69">
        <v>0.02</v>
      </c>
      <c r="AF2133" s="87">
        <f>'Terms and Turnovers'!P229</f>
        <v>0</v>
      </c>
      <c r="AG2133" s="160">
        <f>SUM(U2133,W2133,Y2133,AA2133,AC2133,AE2133)</f>
        <v>1</v>
      </c>
      <c r="AH2133" s="157">
        <f>SUM(R2133,AF2133)</f>
        <v>0</v>
      </c>
      <c r="AI2133" s="131">
        <f>S2133+AG2133</f>
        <v>2</v>
      </c>
      <c r="AJ2133" s="65"/>
      <c r="AV2133" s="56"/>
    </row>
    <row r="2134" spans="1:48" ht="13.5" customHeight="1" outlineLevel="2" thickBot="1">
      <c r="B2134" s="82"/>
      <c r="C2134" s="1234"/>
      <c r="D2134" s="1234"/>
      <c r="E2134" s="84" t="str">
        <f>'Terms and Turnovers'!$T$12</f>
        <v>ORIGINALS</v>
      </c>
      <c r="F2134" s="121">
        <f>$R2134*G2134</f>
        <v>0</v>
      </c>
      <c r="G2134" s="723"/>
      <c r="H2134" s="121">
        <f>$R2134*I2134</f>
        <v>0</v>
      </c>
      <c r="I2134" s="69">
        <v>7.0000000000000007E-2</v>
      </c>
      <c r="J2134" s="120">
        <f>$R2134*K2134</f>
        <v>0</v>
      </c>
      <c r="K2134" s="69">
        <v>0.31</v>
      </c>
      <c r="L2134" s="120">
        <f>$R2134*M2134</f>
        <v>0</v>
      </c>
      <c r="M2134" s="69">
        <v>0.35</v>
      </c>
      <c r="N2134" s="315">
        <f>$R2134*O2134</f>
        <v>0</v>
      </c>
      <c r="O2134" s="69">
        <v>0.17</v>
      </c>
      <c r="P2134" s="121">
        <f>$R2134*Q2134</f>
        <v>0</v>
      </c>
      <c r="Q2134" s="69">
        <v>0.1</v>
      </c>
      <c r="R2134" s="88">
        <f>'Terms and Turnovers'!U229</f>
        <v>0</v>
      </c>
      <c r="S2134" s="161">
        <f>SUM(G2134,I2134,K2134,M2134,O2134,Q2134)</f>
        <v>1</v>
      </c>
      <c r="T2134" s="120">
        <f>$AF2134*U2134</f>
        <v>0</v>
      </c>
      <c r="U2134" s="69">
        <v>0.05</v>
      </c>
      <c r="V2134" s="120">
        <f>$AF2134*W2134</f>
        <v>0</v>
      </c>
      <c r="W2134" s="69">
        <v>0.4</v>
      </c>
      <c r="X2134" s="120">
        <f>$AF2134*Y2134</f>
        <v>0</v>
      </c>
      <c r="Y2134" s="723">
        <v>0.35</v>
      </c>
      <c r="Z2134" s="120">
        <f>$AF2134*AA2134</f>
        <v>0</v>
      </c>
      <c r="AA2134" s="358">
        <v>0.13</v>
      </c>
      <c r="AB2134" s="120">
        <f>$AF2134*AC2134</f>
        <v>0</v>
      </c>
      <c r="AC2134" s="69">
        <v>0.05</v>
      </c>
      <c r="AD2134" s="120">
        <f>$AF2134*AE2134</f>
        <v>0</v>
      </c>
      <c r="AE2134" s="69">
        <v>0.02</v>
      </c>
      <c r="AF2134" s="88">
        <f>'Terms and Turnovers'!Z229</f>
        <v>0</v>
      </c>
      <c r="AG2134" s="161">
        <f>SUM(U2134,W2134,Y2134,AA2134,AC2134,AE2134)</f>
        <v>1</v>
      </c>
      <c r="AH2134" s="158">
        <f>SUM(R2134,AF2134)</f>
        <v>0</v>
      </c>
      <c r="AI2134" s="134">
        <f>S2134+AG2134</f>
        <v>2</v>
      </c>
      <c r="AJ2134" s="65"/>
      <c r="AV2134" s="56"/>
    </row>
    <row r="2135" spans="1:48" ht="13.5" customHeight="1" outlineLevel="2" thickBot="1">
      <c r="B2135" s="82"/>
      <c r="C2135" s="1234"/>
      <c r="D2135" s="1234"/>
      <c r="E2135" s="84" t="str">
        <f>'Terms and Turnovers'!$AD$12</f>
        <v>ACCESSORIES</v>
      </c>
      <c r="F2135" s="121">
        <f>$R2135*G2135</f>
        <v>0</v>
      </c>
      <c r="G2135" s="723"/>
      <c r="H2135" s="121">
        <f>$R2135*I2135</f>
        <v>0</v>
      </c>
      <c r="I2135" s="69">
        <v>7.0000000000000007E-2</v>
      </c>
      <c r="J2135" s="120">
        <f>$R2135*K2135</f>
        <v>0</v>
      </c>
      <c r="K2135" s="69">
        <v>0.31</v>
      </c>
      <c r="L2135" s="120">
        <f>$R2135*M2135</f>
        <v>0</v>
      </c>
      <c r="M2135" s="69">
        <v>0.35</v>
      </c>
      <c r="N2135" s="315">
        <f>$R2135*O2135</f>
        <v>0</v>
      </c>
      <c r="O2135" s="69">
        <v>0.17</v>
      </c>
      <c r="P2135" s="121">
        <f>$R2135*Q2135</f>
        <v>0</v>
      </c>
      <c r="Q2135" s="69">
        <v>0.1</v>
      </c>
      <c r="R2135" s="88">
        <f>'Terms and Turnovers'!AE229</f>
        <v>0</v>
      </c>
      <c r="S2135" s="161">
        <f>SUM(G2135,I2135,K2135,M2135,O2135,Q2135)</f>
        <v>1</v>
      </c>
      <c r="T2135" s="120">
        <f>$AF2135*U2135</f>
        <v>0</v>
      </c>
      <c r="U2135" s="69">
        <v>0.05</v>
      </c>
      <c r="V2135" s="120">
        <f>$AF2135*W2135</f>
        <v>0</v>
      </c>
      <c r="W2135" s="69">
        <v>0.4</v>
      </c>
      <c r="X2135" s="120">
        <f>$AF2135*Y2135</f>
        <v>0</v>
      </c>
      <c r="Y2135" s="723">
        <v>0.35</v>
      </c>
      <c r="Z2135" s="120">
        <f>$AF2135*AA2135</f>
        <v>0</v>
      </c>
      <c r="AA2135" s="358">
        <v>0.13</v>
      </c>
      <c r="AB2135" s="120">
        <f>$AF2135*AC2135</f>
        <v>0</v>
      </c>
      <c r="AC2135" s="69">
        <v>0.05</v>
      </c>
      <c r="AD2135" s="120">
        <f>$AF2135*AE2135</f>
        <v>0</v>
      </c>
      <c r="AE2135" s="69">
        <v>0.02</v>
      </c>
      <c r="AF2135" s="88">
        <f>'Terms and Turnovers'!AJ229</f>
        <v>0</v>
      </c>
      <c r="AG2135" s="161">
        <f>SUM(U2135,W2135,Y2135,AA2135,AC2135,AE2135)</f>
        <v>1</v>
      </c>
      <c r="AH2135" s="158">
        <f>SUM(R2135,AF2135)</f>
        <v>0</v>
      </c>
      <c r="AI2135" s="134">
        <f>S2135+AG2135</f>
        <v>2</v>
      </c>
      <c r="AJ2135" s="65"/>
      <c r="AV2135" s="56"/>
    </row>
    <row r="2136" spans="1:48" ht="13.5" customHeight="1" outlineLevel="2" thickBot="1">
      <c r="B2136" s="82"/>
      <c r="C2136" s="1234"/>
      <c r="D2136" s="1234"/>
      <c r="E2136" s="84">
        <f>'Terms and Turnovers'!$AN$12</f>
        <v>0</v>
      </c>
      <c r="F2136" s="121">
        <f>$R2136*G2136</f>
        <v>0</v>
      </c>
      <c r="G2136" s="723"/>
      <c r="H2136" s="121">
        <f>$R2136*I2136</f>
        <v>0</v>
      </c>
      <c r="I2136" s="69">
        <v>7.0000000000000007E-2</v>
      </c>
      <c r="J2136" s="120">
        <f>$R2136*K2136</f>
        <v>0</v>
      </c>
      <c r="K2136" s="69">
        <v>0.31</v>
      </c>
      <c r="L2136" s="120">
        <f>$R2136*M2136</f>
        <v>0</v>
      </c>
      <c r="M2136" s="69">
        <v>0.35</v>
      </c>
      <c r="N2136" s="315">
        <f>$R2136*O2136</f>
        <v>0</v>
      </c>
      <c r="O2136" s="69">
        <v>0.17</v>
      </c>
      <c r="P2136" s="121">
        <f>$R2136*Q2136</f>
        <v>0</v>
      </c>
      <c r="Q2136" s="69">
        <v>0.1</v>
      </c>
      <c r="R2136" s="88">
        <f>'Terms and Turnovers'!AO229</f>
        <v>0</v>
      </c>
      <c r="S2136" s="161">
        <f>SUM(G2136,I2136,K2136,M2136,O2136,Q2136)</f>
        <v>1</v>
      </c>
      <c r="T2136" s="120">
        <f>$AF2136*U2136</f>
        <v>0</v>
      </c>
      <c r="U2136" s="69">
        <v>0.05</v>
      </c>
      <c r="V2136" s="120">
        <f>$AF2136*W2136</f>
        <v>0</v>
      </c>
      <c r="W2136" s="69">
        <v>0.4</v>
      </c>
      <c r="X2136" s="120">
        <f>$AF2136*Y2136</f>
        <v>0</v>
      </c>
      <c r="Y2136" s="723">
        <v>0.35</v>
      </c>
      <c r="Z2136" s="120">
        <f>$AF2136*AA2136</f>
        <v>0</v>
      </c>
      <c r="AA2136" s="358">
        <v>0.13</v>
      </c>
      <c r="AB2136" s="120">
        <f>$AF2136*AC2136</f>
        <v>0</v>
      </c>
      <c r="AC2136" s="69">
        <v>0.05</v>
      </c>
      <c r="AD2136" s="120">
        <f>$AF2136*AE2136</f>
        <v>0</v>
      </c>
      <c r="AE2136" s="69">
        <v>0.02</v>
      </c>
      <c r="AF2136" s="88">
        <f>'Terms and Turnovers'!AT229</f>
        <v>0</v>
      </c>
      <c r="AG2136" s="161">
        <f>SUM(U2136,W2136,Y2136,AA2136,AC2136,AE2136)</f>
        <v>1</v>
      </c>
      <c r="AH2136" s="158">
        <f>SUM(R2136,AF2136)</f>
        <v>0</v>
      </c>
      <c r="AI2136" s="134">
        <f>S2136+AG2136</f>
        <v>2</v>
      </c>
      <c r="AJ2136" s="65"/>
      <c r="AV2136" s="56"/>
    </row>
    <row r="2137" spans="1:48" ht="13.5" customHeight="1" outlineLevel="2" thickBot="1">
      <c r="B2137" s="82"/>
      <c r="C2137" s="1235"/>
      <c r="D2137" s="1235"/>
      <c r="E2137" s="85">
        <f>'Terms and Turnovers'!$AX$12</f>
        <v>0</v>
      </c>
      <c r="F2137" s="121">
        <f>$R2137*G2137</f>
        <v>0</v>
      </c>
      <c r="G2137" s="72"/>
      <c r="H2137" s="121">
        <f>$R2137*I2137</f>
        <v>0</v>
      </c>
      <c r="I2137" s="69">
        <v>7.0000000000000007E-2</v>
      </c>
      <c r="J2137" s="121">
        <f>$R2137*K2137</f>
        <v>0</v>
      </c>
      <c r="K2137" s="69">
        <v>0.31</v>
      </c>
      <c r="L2137" s="121">
        <f>$R2137*M2137</f>
        <v>0</v>
      </c>
      <c r="M2137" s="69">
        <v>0.35</v>
      </c>
      <c r="N2137" s="316">
        <f>$R2137*O2137</f>
        <v>0</v>
      </c>
      <c r="O2137" s="69">
        <v>0.17</v>
      </c>
      <c r="P2137" s="121">
        <f>$R2137*Q2137</f>
        <v>0</v>
      </c>
      <c r="Q2137" s="69">
        <v>0.1</v>
      </c>
      <c r="R2137" s="89">
        <f>'Terms and Turnovers'!AY229</f>
        <v>0</v>
      </c>
      <c r="S2137" s="162">
        <f>SUM(G2137,I2137,K2137,M2137,O2137,Q2137)</f>
        <v>1</v>
      </c>
      <c r="T2137" s="121">
        <f>$AF2137*U2137</f>
        <v>0</v>
      </c>
      <c r="U2137" s="69">
        <v>0.05</v>
      </c>
      <c r="V2137" s="121">
        <f>$AF2137*W2137</f>
        <v>0</v>
      </c>
      <c r="W2137" s="69">
        <v>0.4</v>
      </c>
      <c r="X2137" s="121">
        <f>$AF2137*Y2137</f>
        <v>0</v>
      </c>
      <c r="Y2137" s="72">
        <v>0.35</v>
      </c>
      <c r="Z2137" s="121">
        <f>$AF2137*AA2137</f>
        <v>0</v>
      </c>
      <c r="AA2137" s="358">
        <v>0.13</v>
      </c>
      <c r="AB2137" s="121">
        <f>$AF2137*AC2137</f>
        <v>0</v>
      </c>
      <c r="AC2137" s="69">
        <v>0.05</v>
      </c>
      <c r="AD2137" s="121">
        <f>$AF2137*AE2137</f>
        <v>0</v>
      </c>
      <c r="AE2137" s="69">
        <v>0.02</v>
      </c>
      <c r="AF2137" s="89">
        <f>'Terms and Turnovers'!BD229</f>
        <v>0</v>
      </c>
      <c r="AG2137" s="162">
        <f>SUM(U2137,W2137,Y2137,AA2137,AC2137,AE2137)</f>
        <v>1</v>
      </c>
      <c r="AH2137" s="159">
        <f>SUM(R2137,AF2137)</f>
        <v>0</v>
      </c>
      <c r="AI2137" s="137">
        <f>S2137+AG2137</f>
        <v>2</v>
      </c>
      <c r="AJ2137" s="65"/>
      <c r="AV2137" s="56"/>
    </row>
    <row r="2138" spans="1:48" ht="13.5" customHeight="1" outlineLevel="2" thickBot="1">
      <c r="B2138" s="82"/>
      <c r="C2138" s="749"/>
      <c r="D2138" s="944"/>
      <c r="E2138" s="426"/>
      <c r="F2138" s="121"/>
      <c r="G2138" s="428"/>
      <c r="H2138" s="121"/>
      <c r="I2138" s="69"/>
      <c r="J2138" s="427"/>
      <c r="K2138" s="69"/>
      <c r="L2138" s="427"/>
      <c r="M2138" s="69"/>
      <c r="N2138" s="639"/>
      <c r="O2138" s="69"/>
      <c r="P2138" s="121"/>
      <c r="Q2138" s="69"/>
      <c r="R2138" s="429"/>
      <c r="S2138" s="430"/>
      <c r="T2138" s="427"/>
      <c r="U2138" s="69"/>
      <c r="V2138" s="427"/>
      <c r="W2138" s="69"/>
      <c r="X2138" s="427"/>
      <c r="Y2138" s="428"/>
      <c r="Z2138" s="427"/>
      <c r="AA2138" s="358"/>
      <c r="AB2138" s="427"/>
      <c r="AC2138" s="69"/>
      <c r="AD2138" s="427"/>
      <c r="AE2138" s="69"/>
      <c r="AF2138" s="429"/>
      <c r="AG2138" s="430"/>
      <c r="AH2138" s="431"/>
      <c r="AI2138" s="432"/>
      <c r="AJ2138" s="65"/>
      <c r="AV2138" s="56"/>
    </row>
    <row r="2139" spans="1:48" ht="13.5" customHeight="1" outlineLevel="2" thickBot="1">
      <c r="B2139" s="82"/>
      <c r="C2139" s="749"/>
      <c r="D2139" s="944"/>
      <c r="E2139" s="426"/>
      <c r="F2139" s="121"/>
      <c r="G2139" s="428"/>
      <c r="H2139" s="121"/>
      <c r="I2139" s="69"/>
      <c r="J2139" s="427"/>
      <c r="K2139" s="69"/>
      <c r="L2139" s="427"/>
      <c r="M2139" s="69"/>
      <c r="N2139" s="639"/>
      <c r="O2139" s="69"/>
      <c r="P2139" s="121"/>
      <c r="Q2139" s="69"/>
      <c r="R2139" s="429"/>
      <c r="S2139" s="430"/>
      <c r="T2139" s="427"/>
      <c r="U2139" s="69"/>
      <c r="V2139" s="427"/>
      <c r="W2139" s="69"/>
      <c r="X2139" s="427"/>
      <c r="Y2139" s="428"/>
      <c r="Z2139" s="427"/>
      <c r="AA2139" s="358"/>
      <c r="AB2139" s="427"/>
      <c r="AC2139" s="69"/>
      <c r="AD2139" s="427"/>
      <c r="AE2139" s="69"/>
      <c r="AF2139" s="429"/>
      <c r="AG2139" s="430"/>
      <c r="AH2139" s="431"/>
      <c r="AI2139" s="432"/>
      <c r="AJ2139" s="65"/>
      <c r="AV2139" s="56"/>
    </row>
    <row r="2140" spans="1:48" ht="13.5" customHeight="1" outlineLevel="2" thickBot="1">
      <c r="B2140" s="82">
        <f>B2133+1</f>
        <v>99</v>
      </c>
      <c r="C2140" s="1233">
        <f>C699</f>
        <v>0</v>
      </c>
      <c r="D2140" s="1233">
        <f>D699</f>
        <v>0</v>
      </c>
      <c r="E2140" s="83" t="str">
        <f>'Terms and Turnovers'!$J$12</f>
        <v>FLIP-FLOPS</v>
      </c>
      <c r="F2140" s="121">
        <f>$R2140*G2140</f>
        <v>0</v>
      </c>
      <c r="G2140" s="69"/>
      <c r="H2140" s="316">
        <f>$R2140*I2140</f>
        <v>0</v>
      </c>
      <c r="I2140" s="69">
        <v>7.0000000000000007E-2</v>
      </c>
      <c r="J2140" s="118">
        <f>$R2140*K2140</f>
        <v>0</v>
      </c>
      <c r="K2140" s="69">
        <v>0.31</v>
      </c>
      <c r="L2140" s="314">
        <f>$R2140*M2140</f>
        <v>0</v>
      </c>
      <c r="M2140" s="69">
        <v>0.35</v>
      </c>
      <c r="N2140" s="314">
        <f>$R2140*O2140</f>
        <v>0</v>
      </c>
      <c r="O2140" s="69">
        <v>0.17</v>
      </c>
      <c r="P2140" s="121">
        <f>$R2140*Q2140</f>
        <v>0</v>
      </c>
      <c r="Q2140" s="69">
        <v>0.1</v>
      </c>
      <c r="R2140" s="87">
        <f>'Terms and Turnovers'!K230</f>
        <v>0</v>
      </c>
      <c r="S2140" s="160">
        <f>SUM(G2140,I2140,K2140,M2140,O2140,Q2140)</f>
        <v>1</v>
      </c>
      <c r="T2140" s="118">
        <f>$AF2140*U2140</f>
        <v>0</v>
      </c>
      <c r="U2140" s="69">
        <v>0.05</v>
      </c>
      <c r="V2140" s="118">
        <f>$AF2140*W2140</f>
        <v>0</v>
      </c>
      <c r="W2140" s="69">
        <v>0.4</v>
      </c>
      <c r="X2140" s="118">
        <f>$AF2140*Y2140</f>
        <v>0</v>
      </c>
      <c r="Y2140" s="69">
        <v>0.35</v>
      </c>
      <c r="Z2140" s="118">
        <f>$AF2140*AA2140</f>
        <v>0</v>
      </c>
      <c r="AA2140" s="358">
        <v>0.13</v>
      </c>
      <c r="AB2140" s="118">
        <f>$AF2140*AC2140</f>
        <v>0</v>
      </c>
      <c r="AC2140" s="69">
        <v>0.05</v>
      </c>
      <c r="AD2140" s="118">
        <f>$AF2140*AE2140</f>
        <v>0</v>
      </c>
      <c r="AE2140" s="69">
        <v>0.02</v>
      </c>
      <c r="AF2140" s="87">
        <f>'Terms and Turnovers'!P230</f>
        <v>0</v>
      </c>
      <c r="AG2140" s="160">
        <f>SUM(U2140,W2140,Y2140,AA2140,AC2140,AE2140)</f>
        <v>1</v>
      </c>
      <c r="AH2140" s="157">
        <f>SUM(R2140,AF2140)</f>
        <v>0</v>
      </c>
      <c r="AI2140" s="131">
        <f>S2140+AG2140</f>
        <v>2</v>
      </c>
      <c r="AJ2140" s="65"/>
      <c r="AV2140" s="56"/>
    </row>
    <row r="2141" spans="1:48" ht="13.5" customHeight="1" outlineLevel="2" thickBot="1">
      <c r="B2141" s="82"/>
      <c r="C2141" s="1234"/>
      <c r="D2141" s="1234"/>
      <c r="E2141" s="84" t="str">
        <f>'Terms and Turnovers'!$T$12</f>
        <v>ORIGINALS</v>
      </c>
      <c r="F2141" s="121">
        <f>$R2141*G2141</f>
        <v>0</v>
      </c>
      <c r="G2141" s="723"/>
      <c r="H2141" s="121">
        <f>$R2141*I2141</f>
        <v>0</v>
      </c>
      <c r="I2141" s="69">
        <v>7.0000000000000007E-2</v>
      </c>
      <c r="J2141" s="120">
        <f>$R2141*K2141</f>
        <v>0</v>
      </c>
      <c r="K2141" s="69">
        <v>0.31</v>
      </c>
      <c r="L2141" s="120">
        <f>$R2141*M2141</f>
        <v>0</v>
      </c>
      <c r="M2141" s="69">
        <v>0.35</v>
      </c>
      <c r="N2141" s="315">
        <f>$R2141*O2141</f>
        <v>0</v>
      </c>
      <c r="O2141" s="69">
        <v>0.17</v>
      </c>
      <c r="P2141" s="121">
        <f>$R2141*Q2141</f>
        <v>0</v>
      </c>
      <c r="Q2141" s="69">
        <v>0.1</v>
      </c>
      <c r="R2141" s="88">
        <f>'Terms and Turnovers'!U230</f>
        <v>0</v>
      </c>
      <c r="S2141" s="161">
        <f>SUM(G2141,I2141,K2141,M2141,O2141,Q2141)</f>
        <v>1</v>
      </c>
      <c r="T2141" s="120">
        <f>$AF2141*U2141</f>
        <v>0</v>
      </c>
      <c r="U2141" s="69">
        <v>0.05</v>
      </c>
      <c r="V2141" s="120">
        <f>$AF2141*W2141</f>
        <v>0</v>
      </c>
      <c r="W2141" s="69">
        <v>0.4</v>
      </c>
      <c r="X2141" s="120">
        <f>$AF2141*Y2141</f>
        <v>0</v>
      </c>
      <c r="Y2141" s="723">
        <v>0.35</v>
      </c>
      <c r="Z2141" s="120">
        <f>$AF2141*AA2141</f>
        <v>0</v>
      </c>
      <c r="AA2141" s="358">
        <v>0.13</v>
      </c>
      <c r="AB2141" s="120">
        <f>$AF2141*AC2141</f>
        <v>0</v>
      </c>
      <c r="AC2141" s="69">
        <v>0.05</v>
      </c>
      <c r="AD2141" s="120">
        <f>$AF2141*AE2141</f>
        <v>0</v>
      </c>
      <c r="AE2141" s="69">
        <v>0.02</v>
      </c>
      <c r="AF2141" s="88">
        <f>'Terms and Turnovers'!Z230</f>
        <v>0</v>
      </c>
      <c r="AG2141" s="161">
        <f>SUM(U2141,W2141,Y2141,AA2141,AC2141,AE2141)</f>
        <v>1</v>
      </c>
      <c r="AH2141" s="158">
        <f>SUM(R2141,AF2141)</f>
        <v>0</v>
      </c>
      <c r="AI2141" s="134">
        <f>S2141+AG2141</f>
        <v>2</v>
      </c>
      <c r="AJ2141" s="65"/>
      <c r="AV2141" s="56"/>
    </row>
    <row r="2142" spans="1:48" ht="13.5" customHeight="1" outlineLevel="2" thickBot="1">
      <c r="B2142" s="82"/>
      <c r="C2142" s="1234"/>
      <c r="D2142" s="1234"/>
      <c r="E2142" s="84" t="str">
        <f>'Terms and Turnovers'!$AD$12</f>
        <v>ACCESSORIES</v>
      </c>
      <c r="F2142" s="121">
        <f>$R2142*G2142</f>
        <v>0</v>
      </c>
      <c r="G2142" s="723"/>
      <c r="H2142" s="121">
        <f>$R2142*I2142</f>
        <v>0</v>
      </c>
      <c r="I2142" s="69">
        <v>7.0000000000000007E-2</v>
      </c>
      <c r="J2142" s="120">
        <f>$R2142*K2142</f>
        <v>0</v>
      </c>
      <c r="K2142" s="69">
        <v>0.31</v>
      </c>
      <c r="L2142" s="120">
        <f>$R2142*M2142</f>
        <v>0</v>
      </c>
      <c r="M2142" s="69">
        <v>0.35</v>
      </c>
      <c r="N2142" s="315">
        <f>$R2142*O2142</f>
        <v>0</v>
      </c>
      <c r="O2142" s="69">
        <v>0.17</v>
      </c>
      <c r="P2142" s="121">
        <f>$R2142*Q2142</f>
        <v>0</v>
      </c>
      <c r="Q2142" s="69">
        <v>0.1</v>
      </c>
      <c r="R2142" s="88">
        <f>'Terms and Turnovers'!AE230</f>
        <v>0</v>
      </c>
      <c r="S2142" s="161">
        <f>SUM(G2142,I2142,K2142,M2142,O2142,Q2142)</f>
        <v>1</v>
      </c>
      <c r="T2142" s="120">
        <f>$AF2142*U2142</f>
        <v>0</v>
      </c>
      <c r="U2142" s="69">
        <v>0.05</v>
      </c>
      <c r="V2142" s="120">
        <f>$AF2142*W2142</f>
        <v>0</v>
      </c>
      <c r="W2142" s="69">
        <v>0.4</v>
      </c>
      <c r="X2142" s="120">
        <f>$AF2142*Y2142</f>
        <v>0</v>
      </c>
      <c r="Y2142" s="723">
        <v>0.35</v>
      </c>
      <c r="Z2142" s="120">
        <f>$AF2142*AA2142</f>
        <v>0</v>
      </c>
      <c r="AA2142" s="358">
        <v>0.13</v>
      </c>
      <c r="AB2142" s="120">
        <f>$AF2142*AC2142</f>
        <v>0</v>
      </c>
      <c r="AC2142" s="69">
        <v>0.05</v>
      </c>
      <c r="AD2142" s="120">
        <f>$AF2142*AE2142</f>
        <v>0</v>
      </c>
      <c r="AE2142" s="69">
        <v>0.02</v>
      </c>
      <c r="AF2142" s="88">
        <f>'Terms and Turnovers'!AJ230</f>
        <v>0</v>
      </c>
      <c r="AG2142" s="161">
        <f>SUM(U2142,W2142,Y2142,AA2142,AC2142,AE2142)</f>
        <v>1</v>
      </c>
      <c r="AH2142" s="158">
        <f>SUM(R2142,AF2142)</f>
        <v>0</v>
      </c>
      <c r="AI2142" s="134">
        <f>S2142+AG2142</f>
        <v>2</v>
      </c>
      <c r="AJ2142" s="65"/>
      <c r="AV2142" s="56"/>
    </row>
    <row r="2143" spans="1:48" ht="13.5" customHeight="1" outlineLevel="2" thickBot="1">
      <c r="B2143" s="82"/>
      <c r="C2143" s="1234"/>
      <c r="D2143" s="1234"/>
      <c r="E2143" s="84">
        <f>'Terms and Turnovers'!$AN$12</f>
        <v>0</v>
      </c>
      <c r="F2143" s="121">
        <f>$R2143*G2143</f>
        <v>0</v>
      </c>
      <c r="G2143" s="723"/>
      <c r="H2143" s="121">
        <f>$R2143*I2143</f>
        <v>0</v>
      </c>
      <c r="I2143" s="69">
        <v>7.0000000000000007E-2</v>
      </c>
      <c r="J2143" s="120">
        <f>$R2143*K2143</f>
        <v>0</v>
      </c>
      <c r="K2143" s="69">
        <v>0.31</v>
      </c>
      <c r="L2143" s="120">
        <f>$R2143*M2143</f>
        <v>0</v>
      </c>
      <c r="M2143" s="69">
        <v>0.35</v>
      </c>
      <c r="N2143" s="315">
        <f>$R2143*O2143</f>
        <v>0</v>
      </c>
      <c r="O2143" s="69">
        <v>0.17</v>
      </c>
      <c r="P2143" s="121">
        <f>$R2143*Q2143</f>
        <v>0</v>
      </c>
      <c r="Q2143" s="69">
        <v>0.1</v>
      </c>
      <c r="R2143" s="88">
        <f>'Terms and Turnovers'!AO230</f>
        <v>0</v>
      </c>
      <c r="S2143" s="161">
        <f>SUM(G2143,I2143,K2143,M2143,O2143,Q2143)</f>
        <v>1</v>
      </c>
      <c r="T2143" s="120">
        <f>$AF2143*U2143</f>
        <v>0</v>
      </c>
      <c r="U2143" s="69">
        <v>0.05</v>
      </c>
      <c r="V2143" s="120">
        <f>$AF2143*W2143</f>
        <v>0</v>
      </c>
      <c r="W2143" s="69">
        <v>0.4</v>
      </c>
      <c r="X2143" s="120">
        <f>$AF2143*Y2143</f>
        <v>0</v>
      </c>
      <c r="Y2143" s="723">
        <v>0.35</v>
      </c>
      <c r="Z2143" s="120">
        <f>$AF2143*AA2143</f>
        <v>0</v>
      </c>
      <c r="AA2143" s="358">
        <v>0.13</v>
      </c>
      <c r="AB2143" s="120">
        <f>$AF2143*AC2143</f>
        <v>0</v>
      </c>
      <c r="AC2143" s="69">
        <v>0.05</v>
      </c>
      <c r="AD2143" s="120">
        <f>$AF2143*AE2143</f>
        <v>0</v>
      </c>
      <c r="AE2143" s="69">
        <v>0.02</v>
      </c>
      <c r="AF2143" s="88">
        <f>'Terms and Turnovers'!AT230</f>
        <v>0</v>
      </c>
      <c r="AG2143" s="161">
        <f>SUM(U2143,W2143,Y2143,AA2143,AC2143,AE2143)</f>
        <v>1</v>
      </c>
      <c r="AH2143" s="158">
        <f>SUM(R2143,AF2143)</f>
        <v>0</v>
      </c>
      <c r="AI2143" s="134">
        <f>S2143+AG2143</f>
        <v>2</v>
      </c>
      <c r="AJ2143" s="65"/>
      <c r="AV2143" s="56"/>
    </row>
    <row r="2144" spans="1:48" ht="13.5" customHeight="1" outlineLevel="2" thickBot="1">
      <c r="B2144" s="82"/>
      <c r="C2144" s="1235"/>
      <c r="D2144" s="1235"/>
      <c r="E2144" s="85">
        <f>'Terms and Turnovers'!$AX$12</f>
        <v>0</v>
      </c>
      <c r="F2144" s="121">
        <f>$R2144*G2144</f>
        <v>0</v>
      </c>
      <c r="G2144" s="72"/>
      <c r="H2144" s="121">
        <f>$R2144*I2144</f>
        <v>0</v>
      </c>
      <c r="I2144" s="69">
        <v>7.0000000000000007E-2</v>
      </c>
      <c r="J2144" s="121">
        <f>$R2144*K2144</f>
        <v>0</v>
      </c>
      <c r="K2144" s="69">
        <v>0.31</v>
      </c>
      <c r="L2144" s="121">
        <f>$R2144*M2144</f>
        <v>0</v>
      </c>
      <c r="M2144" s="69">
        <v>0.35</v>
      </c>
      <c r="N2144" s="316">
        <f>$R2144*O2144</f>
        <v>0</v>
      </c>
      <c r="O2144" s="69">
        <v>0.17</v>
      </c>
      <c r="P2144" s="121">
        <f>$R2144*Q2144</f>
        <v>0</v>
      </c>
      <c r="Q2144" s="69">
        <v>0.1</v>
      </c>
      <c r="R2144" s="89">
        <f>'Terms and Turnovers'!AY230</f>
        <v>0</v>
      </c>
      <c r="S2144" s="162">
        <f>SUM(G2144,I2144,K2144,M2144,O2144,Q2144)</f>
        <v>1</v>
      </c>
      <c r="T2144" s="121">
        <f>$AF2144*U2144</f>
        <v>0</v>
      </c>
      <c r="U2144" s="69">
        <v>0.05</v>
      </c>
      <c r="V2144" s="121">
        <f>$AF2144*W2144</f>
        <v>0</v>
      </c>
      <c r="W2144" s="69">
        <v>0.4</v>
      </c>
      <c r="X2144" s="121">
        <f>$AF2144*Y2144</f>
        <v>0</v>
      </c>
      <c r="Y2144" s="72">
        <v>0.35</v>
      </c>
      <c r="Z2144" s="121">
        <f>$AF2144*AA2144</f>
        <v>0</v>
      </c>
      <c r="AA2144" s="358">
        <v>0.13</v>
      </c>
      <c r="AB2144" s="121">
        <f>$AF2144*AC2144</f>
        <v>0</v>
      </c>
      <c r="AC2144" s="69">
        <v>0.05</v>
      </c>
      <c r="AD2144" s="121">
        <f>$AF2144*AE2144</f>
        <v>0</v>
      </c>
      <c r="AE2144" s="69">
        <v>0.02</v>
      </c>
      <c r="AF2144" s="89">
        <f>'Terms and Turnovers'!BD230</f>
        <v>0</v>
      </c>
      <c r="AG2144" s="162">
        <f>SUM(U2144,W2144,Y2144,AA2144,AC2144,AE2144)</f>
        <v>1</v>
      </c>
      <c r="AH2144" s="159">
        <f>SUM(R2144,AF2144)</f>
        <v>0</v>
      </c>
      <c r="AI2144" s="137">
        <f>S2144+AG2144</f>
        <v>2</v>
      </c>
      <c r="AJ2144" s="65"/>
      <c r="AV2144" s="56"/>
    </row>
    <row r="2145" spans="1:48" ht="13.5" customHeight="1" outlineLevel="1" thickBot="1">
      <c r="B2145" s="82"/>
      <c r="C2145" s="749"/>
      <c r="D2145" s="944"/>
      <c r="E2145" s="426"/>
      <c r="F2145" s="427"/>
      <c r="G2145" s="428"/>
      <c r="H2145" s="427"/>
      <c r="I2145" s="69"/>
      <c r="J2145" s="427"/>
      <c r="K2145" s="69"/>
      <c r="L2145" s="427"/>
      <c r="M2145" s="69"/>
      <c r="N2145" s="639"/>
      <c r="O2145" s="69"/>
      <c r="P2145" s="427"/>
      <c r="Q2145" s="69"/>
      <c r="R2145" s="429"/>
      <c r="S2145" s="428"/>
      <c r="T2145" s="427"/>
      <c r="U2145" s="69"/>
      <c r="V2145" s="427"/>
      <c r="W2145" s="69"/>
      <c r="X2145" s="427"/>
      <c r="Y2145" s="428"/>
      <c r="Z2145" s="427"/>
      <c r="AA2145" s="358"/>
      <c r="AB2145" s="427"/>
      <c r="AC2145" s="69"/>
      <c r="AD2145" s="427"/>
      <c r="AE2145" s="69"/>
      <c r="AF2145" s="429"/>
      <c r="AG2145" s="428"/>
      <c r="AH2145" s="431"/>
      <c r="AI2145" s="432"/>
      <c r="AJ2145" s="65"/>
    </row>
    <row r="2146" spans="1:48" ht="13.5" customHeight="1" outlineLevel="1" thickBot="1">
      <c r="B2146" s="82"/>
      <c r="C2146" s="749"/>
      <c r="D2146" s="944"/>
      <c r="E2146" s="426"/>
      <c r="F2146" s="427"/>
      <c r="G2146" s="428"/>
      <c r="H2146" s="427"/>
      <c r="I2146" s="69"/>
      <c r="J2146" s="427"/>
      <c r="K2146" s="69"/>
      <c r="L2146" s="427"/>
      <c r="M2146" s="69"/>
      <c r="N2146" s="639"/>
      <c r="O2146" s="69"/>
      <c r="P2146" s="427"/>
      <c r="Q2146" s="69"/>
      <c r="R2146" s="429"/>
      <c r="S2146" s="428"/>
      <c r="T2146" s="427"/>
      <c r="U2146" s="69"/>
      <c r="V2146" s="427"/>
      <c r="W2146" s="69"/>
      <c r="X2146" s="427"/>
      <c r="Y2146" s="428"/>
      <c r="Z2146" s="427"/>
      <c r="AA2146" s="358"/>
      <c r="AB2146" s="427"/>
      <c r="AC2146" s="69"/>
      <c r="AD2146" s="427"/>
      <c r="AE2146" s="69"/>
      <c r="AF2146" s="429"/>
      <c r="AG2146" s="428"/>
      <c r="AH2146" s="431"/>
      <c r="AI2146" s="432"/>
      <c r="AJ2146" s="65"/>
    </row>
    <row r="2147" spans="1:48" ht="12.75" customHeight="1" outlineLevel="1" thickBot="1">
      <c r="B2147" s="82"/>
      <c r="C2147" s="1233" t="str">
        <f>C706</f>
        <v>ИТОГО</v>
      </c>
      <c r="D2147" s="1233" t="str">
        <f>D706</f>
        <v>ПО ВСЕМ ПАРТНЕРАМ</v>
      </c>
      <c r="E2147" s="83" t="str">
        <f>'Terms and Turnovers'!$J$12</f>
        <v>FLIP-FLOPS</v>
      </c>
      <c r="F2147" s="314">
        <f>SUMIF($E$6:$E$703,$E$706,F1447:F2144)</f>
        <v>0</v>
      </c>
      <c r="G2147" s="69"/>
      <c r="H2147" s="314">
        <f>SUMIF($E$6:$E$703,$E$706,H1447:H2144)</f>
        <v>0</v>
      </c>
      <c r="I2147" s="69">
        <v>7.0000000000000007E-2</v>
      </c>
      <c r="J2147" s="314">
        <f>SUMIF($E$6:$E$703,$E$706,J1447:J2144)</f>
        <v>0</v>
      </c>
      <c r="K2147" s="69">
        <v>0.31</v>
      </c>
      <c r="L2147" s="314">
        <f>SUMIF($E$6:$E$703,$E$706,L1447:L2144)</f>
        <v>0</v>
      </c>
      <c r="M2147" s="69">
        <v>0.35</v>
      </c>
      <c r="N2147" s="314">
        <f>SUMIF($E$6:$E$703,$E$706,N1447:N2144)</f>
        <v>0</v>
      </c>
      <c r="O2147" s="69">
        <v>0.17</v>
      </c>
      <c r="P2147" s="314">
        <f>SUMIF($E$6:$E$703,$E$706,P1447:P2144)</f>
        <v>0</v>
      </c>
      <c r="Q2147" s="69">
        <v>0.1</v>
      </c>
      <c r="R2147" s="87">
        <f>SUMIF($E$6:$E$703,$E$706,R1447:R2144)</f>
        <v>0</v>
      </c>
      <c r="S2147" s="69" t="e">
        <f>R2147/$R2147</f>
        <v>#DIV/0!</v>
      </c>
      <c r="T2147" s="314">
        <f>SUMIF($E$6:$E$703,$E$706,T1447:T2144)</f>
        <v>0</v>
      </c>
      <c r="U2147" s="69">
        <v>0.05</v>
      </c>
      <c r="V2147" s="314">
        <f>SUMIF($E$6:$E$703,$E$706,V1447:V2144)</f>
        <v>0</v>
      </c>
      <c r="W2147" s="69">
        <v>0.4</v>
      </c>
      <c r="X2147" s="314">
        <f>SUMIF($E$6:$E$703,$E$706,X1447:X2144)</f>
        <v>27437.999999999996</v>
      </c>
      <c r="Y2147" s="69">
        <v>0.35</v>
      </c>
      <c r="Z2147" s="314">
        <f>SUMIF($E$6:$E$703,$E$706,Z1447:Z2144)</f>
        <v>0</v>
      </c>
      <c r="AA2147" s="358">
        <v>0.13</v>
      </c>
      <c r="AB2147" s="314">
        <f>SUMIF($E$6:$E$703,$E$706,AB1447:AB2144)</f>
        <v>0</v>
      </c>
      <c r="AC2147" s="69">
        <v>0.05</v>
      </c>
      <c r="AD2147" s="314">
        <f>SUMIF($E$6:$E$703,$E$706,AD1447:AD2144)</f>
        <v>0</v>
      </c>
      <c r="AE2147" s="69">
        <v>0.02</v>
      </c>
      <c r="AF2147" s="87">
        <f>SUMIF($E$6:$E$703,$E$706,AF1447:AF2144)</f>
        <v>27437.999999999996</v>
      </c>
      <c r="AG2147" s="69">
        <f>AF2147/$AF2147</f>
        <v>1</v>
      </c>
      <c r="AH2147" s="157">
        <f>SUM(R2147,AF2147)</f>
        <v>27437.999999999996</v>
      </c>
      <c r="AI2147" s="131" t="e">
        <f>S2147+AG2147</f>
        <v>#DIV/0!</v>
      </c>
      <c r="AJ2147" s="65"/>
    </row>
    <row r="2148" spans="1:48" ht="12.75" customHeight="1" outlineLevel="1" thickBot="1">
      <c r="B2148" s="82"/>
      <c r="C2148" s="1234"/>
      <c r="D2148" s="1234"/>
      <c r="E2148" s="84" t="str">
        <f>'Terms and Turnovers'!$T$12</f>
        <v>ORIGINALS</v>
      </c>
      <c r="F2148" s="120">
        <f>SUMIF($E$6:$E$703,$E$707,F1447:F2144)</f>
        <v>0</v>
      </c>
      <c r="G2148" s="723"/>
      <c r="H2148" s="120">
        <f>SUMIF($E$6:$E$703,$E$707,H1447:H2144)</f>
        <v>0</v>
      </c>
      <c r="I2148" s="69">
        <v>7.0000000000000007E-2</v>
      </c>
      <c r="J2148" s="120">
        <f>SUMIF($E$6:$E$703,$E$707,J1447:J2144)</f>
        <v>0</v>
      </c>
      <c r="K2148" s="69">
        <v>0.31</v>
      </c>
      <c r="L2148" s="120">
        <f>SUMIF($E$6:$E$703,$E$707,L1447:L2144)</f>
        <v>0</v>
      </c>
      <c r="M2148" s="69">
        <v>0.35</v>
      </c>
      <c r="N2148" s="120">
        <f>SUMIF($E$6:$E$703,$E$707,N1447:N2144)</f>
        <v>0</v>
      </c>
      <c r="O2148" s="69">
        <v>0.17</v>
      </c>
      <c r="P2148" s="120">
        <f>SUMIF($E$6:$E$703,$E$707,P1447:P2144)</f>
        <v>0</v>
      </c>
      <c r="Q2148" s="69">
        <v>0.1</v>
      </c>
      <c r="R2148" s="88">
        <f>SUMIF($E$6:$E$703,$E$707,R1447:R2144)</f>
        <v>0</v>
      </c>
      <c r="S2148" s="723" t="e">
        <f>R2148/$R2148</f>
        <v>#DIV/0!</v>
      </c>
      <c r="T2148" s="120">
        <f>SUMIF($E$6:$E$703,$E$707,T1447:T2144)</f>
        <v>0</v>
      </c>
      <c r="U2148" s="69">
        <v>0.05</v>
      </c>
      <c r="V2148" s="120">
        <f>SUMIF($E$6:$E$703,$E$707,V1447:V2144)</f>
        <v>0</v>
      </c>
      <c r="W2148" s="69">
        <v>0.4</v>
      </c>
      <c r="X2148" s="120">
        <f>SUMIF($E$6:$E$703,$E$707,X1447:X2144)</f>
        <v>0</v>
      </c>
      <c r="Y2148" s="723">
        <v>0.35</v>
      </c>
      <c r="Z2148" s="120">
        <f>SUMIF($E$6:$E$703,$E$707,Z1447:Z2144)</f>
        <v>0</v>
      </c>
      <c r="AA2148" s="358">
        <v>0.13</v>
      </c>
      <c r="AB2148" s="120">
        <f>SUMIF($E$6:$E$703,$E$707,AB1447:AB2144)</f>
        <v>0</v>
      </c>
      <c r="AC2148" s="69">
        <v>0.05</v>
      </c>
      <c r="AD2148" s="120">
        <f>SUMIF($E$6:$E$703,$E$707,AD1447:AD2144)</f>
        <v>0</v>
      </c>
      <c r="AE2148" s="69">
        <v>0.02</v>
      </c>
      <c r="AF2148" s="88">
        <f>SUMIF($E$6:$E$703,$E$707,AF1447:AF2144)</f>
        <v>0</v>
      </c>
      <c r="AG2148" s="723" t="e">
        <f>AF2148/$AF2148</f>
        <v>#DIV/0!</v>
      </c>
      <c r="AH2148" s="158">
        <f>SUM(R2148,AF2148)</f>
        <v>0</v>
      </c>
      <c r="AI2148" s="134" t="e">
        <f>S2148+AG2148</f>
        <v>#DIV/0!</v>
      </c>
      <c r="AJ2148" s="65"/>
    </row>
    <row r="2149" spans="1:48" ht="12.75" customHeight="1" outlineLevel="1" thickBot="1">
      <c r="B2149" s="82"/>
      <c r="C2149" s="1234"/>
      <c r="D2149" s="1234"/>
      <c r="E2149" s="84" t="str">
        <f>'Terms and Turnovers'!$AD$12</f>
        <v>ACCESSORIES</v>
      </c>
      <c r="F2149" s="120">
        <f>SUMIF($E$6:$E$703,$E$708,F1447:F2144)</f>
        <v>0</v>
      </c>
      <c r="G2149" s="723"/>
      <c r="H2149" s="120">
        <f>SUMIF($E$6:$E$703,$E$708,H1447:H2144)</f>
        <v>0</v>
      </c>
      <c r="I2149" s="69">
        <v>7.0000000000000007E-2</v>
      </c>
      <c r="J2149" s="120">
        <f>SUMIF($E$6:$E$703,$E$708,J1447:J2144)</f>
        <v>0</v>
      </c>
      <c r="K2149" s="69">
        <v>0.31</v>
      </c>
      <c r="L2149" s="120">
        <f>SUMIF($E$6:$E$703,$E$708,L1447:L2144)</f>
        <v>0</v>
      </c>
      <c r="M2149" s="69">
        <v>0.35</v>
      </c>
      <c r="N2149" s="120">
        <f>SUMIF($E$6:$E$703,$E$708,N1447:N2144)</f>
        <v>0</v>
      </c>
      <c r="O2149" s="69">
        <v>0.17</v>
      </c>
      <c r="P2149" s="120">
        <f>SUMIF($E$6:$E$703,$E$708,P1447:P2144)</f>
        <v>0</v>
      </c>
      <c r="Q2149" s="69">
        <v>0.1</v>
      </c>
      <c r="R2149" s="88">
        <f>SUMIF($E$6:$E$703,$E$708,R1447:R2144)</f>
        <v>0</v>
      </c>
      <c r="S2149" s="723" t="e">
        <f>R2149/$R2149</f>
        <v>#DIV/0!</v>
      </c>
      <c r="T2149" s="120">
        <f>SUMIF($E$6:$E$703,$E$708,T1447:T2144)</f>
        <v>0</v>
      </c>
      <c r="U2149" s="69">
        <v>0.05</v>
      </c>
      <c r="V2149" s="120">
        <f>SUMIF($E$6:$E$703,$E$708,V1447:V2144)</f>
        <v>0</v>
      </c>
      <c r="W2149" s="69">
        <v>0.4</v>
      </c>
      <c r="X2149" s="120">
        <f>SUMIF($E$6:$E$703,$E$708,X1447:X2144)</f>
        <v>0</v>
      </c>
      <c r="Y2149" s="723">
        <v>0.35</v>
      </c>
      <c r="Z2149" s="120">
        <f>SUMIF($E$6:$E$703,$E$708,Z1447:Z2144)</f>
        <v>0</v>
      </c>
      <c r="AA2149" s="358">
        <v>0.13</v>
      </c>
      <c r="AB2149" s="120">
        <f>SUMIF($E$6:$E$703,$E$708,AB1447:AB2144)</f>
        <v>0</v>
      </c>
      <c r="AC2149" s="69">
        <v>0.05</v>
      </c>
      <c r="AD2149" s="120">
        <f>SUMIF($E$6:$E$703,$E$708,AD1447:AD2144)</f>
        <v>0</v>
      </c>
      <c r="AE2149" s="69">
        <v>0.02</v>
      </c>
      <c r="AF2149" s="88">
        <f>SUMIF($E$6:$E$703,$E$708,AF1447:AF2144)</f>
        <v>0</v>
      </c>
      <c r="AG2149" s="723" t="e">
        <f>AF2149/$AF2149</f>
        <v>#DIV/0!</v>
      </c>
      <c r="AH2149" s="158">
        <f>SUM(R2149,AF2149)</f>
        <v>0</v>
      </c>
      <c r="AI2149" s="134" t="e">
        <f>S2149+AG2149</f>
        <v>#DIV/0!</v>
      </c>
      <c r="AJ2149" s="65"/>
    </row>
    <row r="2150" spans="1:48" ht="12.75" customHeight="1" outlineLevel="1" thickBot="1">
      <c r="B2150" s="82"/>
      <c r="C2150" s="1234"/>
      <c r="D2150" s="1234"/>
      <c r="E2150" s="84">
        <f>'Terms and Turnovers'!$AN$12</f>
        <v>0</v>
      </c>
      <c r="F2150" s="120">
        <f>SUM(F1450,F1457,F1464,F1471,F1478,F1485,F1492,F1499,F1506,F1513,F1520,F1527,F1534,F1541,F1548,F1555,F1562,F1569,F1576,F1583,F1590,F1597,F1604,F1611,F1618,F1625,F1632,F1639,F1646)+SUM(F1653,F1660,F1667,F1674,F1681,F1688,F1695,F1702,F1709,F1716,F1723,F1730,F1737,F1744,F1751,F1758,F1765,F1772,F1779,F1786,F1793,F1800,F1807,F1814,F1821,F1828,F1835,F1842,F1849)+SUM(F1856,F1863,F1870,F1877,F1884,F1891,F1898,F1905,F1912,F1919,F1926,F1933,F1940,F1947,F1954,F1968,F1975,F1982,F1989,F1996,F2003,F2010,F2017,F2025,F2031,F2038,F2045,F2052,F2059,F2066)+SUM(F2073,F2080,F2087,F2094,F2101,F2108,F2115,F2122,F2129,F2136,F2143)</f>
        <v>0</v>
      </c>
      <c r="G2150" s="723"/>
      <c r="H2150" s="120">
        <f>SUM(H1450,H1457,H1464,H1471,H1478,H1485,H1492,H1499,H1506,H1513,H1520,H1527,H1534,H1541,H1548,H1555,H1562,H1569,H1576,H1583,H1590,H1597,H1604,H1611,H1618,H1625,H1632,H1639,H1646)+SUM(H1653,H1660,H1667,H1674,H1681,H1688,H1695,H1702,H1709,H1716,H1723,H1730,H1737,H1744,H1751,H1758,H1765,H1772,H1779,H1786,H1793,H1800,H1807,H1814,H1821,H1828,H1835,H1842,H1849)+SUM(H1856,H1863,H1870,H1877,H1884,H1891,H1898,H1905,H1912,H1919,H1926,H1933,H1940,H1947,H1954,H1968,H1975,H1982,H1989,H1996,H2003,H2010,H2017,H2025,H2031,H2038,H2045,H2052,H2059,H2066)+SUM(H2073,H2080,H2087,H2094,H2101,H2108,H2115,H2122,H2129,H2136,H2143)</f>
        <v>0</v>
      </c>
      <c r="I2150" s="69">
        <v>7.0000000000000007E-2</v>
      </c>
      <c r="J2150" s="120">
        <f>SUM(J1450,J1457,J1464,J1471,J1478,J1485,J1492,J1499,J1506,J1513,J1520,J1527,J1534,J1541,J1548,J1555,J1562,J1569,J1576,J1583,J1590,J1597,J1604,J1611,J1618,J1625,J1632,J1639,J1646)+SUM(J1653,J1660,J1667,J1674,J1681,J1688,J1695,J1702,J1709,J1716,J1723,J1730,J1737,J1744,J1751,J1758,J1765,J1772,J1779,J1786,J1793,J1800,J1807,J1814,J1821,J1828,J1835,J1842,J1849)+SUM(J1856,J1863,J1870,J1877,J1884,J1891,J1898,J1905,J1912,J1919,J1926,J1933,J1940,J1947,J1954,J1968,J1975,J1982,J1989,J1996,J2003,J2010,J2017,J2025,J2031,J2038,J2045,J2052,J2059,J2066)+SUM(J2073,J2080,J2087,J2094,J2101,J2108,J2115,J2122,J2129,J2136,J2143)</f>
        <v>0</v>
      </c>
      <c r="K2150" s="69">
        <v>0.31</v>
      </c>
      <c r="L2150" s="120">
        <f>SUM(L1450,L1457,L1464,L1471,L1478,L1485,L1492,L1499,L1506,L1513,L1520,L1527,L1534,L1541,L1548,L1555,L1562,L1569,L1576,L1583,L1590,L1597,L1604,L1611,L1618,L1625,L1632,L1639,L1646)+SUM(L1653,L1660,L1667,L1674,L1681,L1688,L1695,L1702,L1709,L1716,L1723,L1730,L1737,L1744,L1751,L1758,L1765,L1772,L1779,L1786,L1793,L1800,L1807,L1814,L1821,L1828,L1835,L1842,L1849)+SUM(L1856,L1863,L1870,L1877,L1884,L1891,L1898,L1905,L1912,L1919,L1926,L1933,L1940,L1947,L1954,L1968,L1975,L1982,L1989,L1996,L2003,L2010,L2017,L2025,L2031,L2038,L2045,L2052,L2059,L2066)+SUM(L2073,L2080,L2087,L2094,L2101,L2108,L2115,L2122,L2129,L2136,L2143)</f>
        <v>0</v>
      </c>
      <c r="M2150" s="69">
        <v>0.35</v>
      </c>
      <c r="N2150" s="315">
        <f>SUM(N1450,N1457,N1464,N1471,N1478,N1485,N1492,N1499,N1506,N1513,N1520,N1527,N1534,N1541,N1548,N1555,N1562,N1569,N1576,N1583,N1590,N1597,N1604,N1611,N1618,N1625,N1632,N1639,N1646)+SUM(N1653,N1660,N1667,N1674,N1681,N1688,N1695,N1702,N1709,N1716,N1723,N1730,N1737,N1744,N1751,N1758,N1765,N1772,N1779,N1786,N1793,N1800,N1807,N1814,N1821,N1828,N1835,N1842,N1849)+SUM(N1856,N1863,N1870,N1877,N1884,N1891,N1898,N1905,N1912,N1919,N1926,N1933,N1940,N1947,N1954,N1968,N1975,N1982,N1989,N1996,N2003,N2010,N2017,N2025,N2031,N2038,N2045,N2052,N2059,N2066)+SUM(N2073,N2080,N2087,N2094,N2101,N2108,N2115,N2122,N2129,N2136,N2143)</f>
        <v>0</v>
      </c>
      <c r="O2150" s="69">
        <v>0.17</v>
      </c>
      <c r="P2150" s="120">
        <f>SUM(P1450,P1457,P1464,P1471,P1478,P1485,P1492,P1499,P1506,P1513,P1520,P1527,P1534,P1541,P1548,P1555,P1562,P1569,P1576,P1583,P1590,P1597,P1604,P1611,P1618,P1625,P1632,P1639,P1646)+SUM(P1653,P1660,P1667,P1674,P1681,P1688,P1695,P1702,P1709,P1716,P1723,P1730,P1737,P1744,P1751,P1758,P1765,P1772,P1779,P1786,P1793,P1800,P1807,P1814,P1821,P1828,P1835,P1842,P1849)+SUM(P1856,P1863,P1870,P1877,P1884,P1891,P1898,P1905,P1912,P1919,P1926,P1933,P1940,P1947,P1954,P1968,P1975,P1982,P1989,P1996,P2003,P2010,P2017,P2025,P2031,P2038,P2045,P2052,P2059,P2066)+SUM(P2073,P2080,P2087,P2094,P2101,P2108,P2115,P2122,P2129,P2136,P2143)</f>
        <v>0</v>
      </c>
      <c r="Q2150" s="69">
        <v>0.1</v>
      </c>
      <c r="R2150" s="88">
        <f>SUM(R1450,R131,R138,R145,R152,R159,R166,R173,R180,R187,R194,R201,R208,R215,R222,R229,R1562,R1569,R1576,R1583,R1590,R1597,R1604,R1611,R1618,R1625,R1632,R1639,R1646)+SUM(R1653,R1660,R1667,R1674,R1681,R1688,R1695,R1702,R1709,R1716,R1723,R1730,R1737,R1744,R1751,R1758,R1765,R1772,R1779,R1786,R1793,R1800,R1807,R1814,R1821,R1828,R1835,R1842,R1849)+SUM(R1856,R1863,R1870,R1877,R1884,R1891,R1898,R1905,R1912,R1919,R1926,R1933,R1940,R1947,R1954,R1968,R1975,R1982,R1989,R1996,R2003,R2010,R2017,R2025,R2031,R2038,R2045,R2052,R2059,R2066)+SUM(R2073,R2080,R2087,R2094,R2101,R2108,R2115,R2122,R2129,R2136,R2143)</f>
        <v>0</v>
      </c>
      <c r="S2150" s="723" t="e">
        <f>R2150/$R2150</f>
        <v>#DIV/0!</v>
      </c>
      <c r="T2150" s="120">
        <f>SUM(T1450,T1457,T1464,T1471,T1478,T1485,T1492,T1499,T1506,T1513,T1520,T1527,T1534,T1541,T1548,T1555,T1562,T1569,T1576,T1583,T1590,T1597,T1604,T1611,T1618,T1625,T1632,T1639,T1646)+SUM(T1653,T1660,T1667,T1674,T1681,T1688,T1695,T1702,T1709,T1716,T1723,T1730,T1737,T1744,T1751,T1758,T1765,T1772,T1779,T1786,T1793,T1800,T1807,T1814,T1821,T1828,T1835,T1842,T1849)+SUM(T1856,T1863,T1870,T1877,T1884,T1891,T1898,T1905,T1912,T1919,T1926,T1933,T1940,T1947,T1954,T1968,T1975,T1982,T1989,T1996,T2003,T2010,T2017,T2025,T2031,T2038,T2045,T2052,T2059,T2066)+SUM(T2073,T2080,T2087,T2094,T2101,T2108,T2115,T2122,T2129,T2136,T2143)</f>
        <v>0</v>
      </c>
      <c r="U2150" s="69">
        <v>0.05</v>
      </c>
      <c r="V2150" s="120">
        <f>SUM(V1450,V1457,V1464,V1471,V1478,V1485,V1492,V1499,V1506,V1513,V1520,V1527,V1534,V1541,V1548,V1555,V1562,V1569,V1576,V1583,V1590,V1597,V1604,V1611,V1618,V1625,V1632,V1639,V1646)+SUM(V1653,V1660,V1667,V1674,V1681,V1688,V1695,V1702,V1709,V1716,V1723,V1730,V1737,V1744,V1751,V1758,V1765,V1772,V1779,V1786,V1793,V1800,V1807,V1814,V1821,V1828,V1835,V1842,V1849)+SUM(V1856,V1863,V1870,V1877,V1884,V1891,V1898,V1905,V1912,V1919,V1926,V1933,V1940,V1947,V1954,V1968,V1975,V1982,V1989,V1996,V2003,V2010,V2017,V2025,V2031,V2038,V2045,V2052,V2059,V2066)+SUM(V2073,V2080,V2087,V2094,V2101,V2108,V2115,V2122,V2129,V2136,V2143)</f>
        <v>0</v>
      </c>
      <c r="W2150" s="69">
        <v>0.4</v>
      </c>
      <c r="X2150" s="120">
        <f>SUM(X1450,X1457,X1464,X1471,X1478,X1485,X1492,X1499,X1506,X1513,X1520,X1527,X1534,X1541,X1548,X1555,X1562,X1569,X1576,X1583,X1590,X1597,X1604,X1611,X1618,X1625,X1632,X1639,X1646)+SUM(X1653,X1660,X1667,X1674,X1681,X1688,X1695,X1702,X1709,X1716,X1723,X1730,X1737,X1744,X1751,X1758,X1765,X1772,X1779,X1786,X1793,X1800,X1807,X1814,X1821,X1828,X1835,X1842,X1849)+SUM(X1856,X1863,X1870,X1877,X1884,X1891,X1898,X1905,X1912,X1919,X1926,X1933,X1940,X1947,X1954,X1968,X1975,X1982,X1989,X1996,X2003,X2010,X2017,X2025,X2031,X2038,X2045,X2052,X2059,X2066)+SUM(X2073,X2080,X2087,X2094,X2101,X2108,X2115,X2122,X2129,X2136,X2143)</f>
        <v>0</v>
      </c>
      <c r="Y2150" s="723">
        <v>0.35</v>
      </c>
      <c r="Z2150" s="120">
        <f>SUM(Z1450,Z1457,Z1464,Z1471,Z1478,Z1485,Z1492,Z1499,Z1506,Z1513,Z1520,Z1527,Z1534,Z1541,Z1548,Z1555,Z1562,Z1569,Z1576,Z1583,Z1590,Z1597,Z1604,Z1611,Z1618,Z1625,Z1632,Z1639,Z1646)+SUM(Z1653,Z1660,Z1667,Z1674,Z1681,Z1688,Z1695,Z1702,Z1709,Z1716,Z1723,Z1730,Z1737,Z1744,Z1751,Z1758,Z1765,Z1772,Z1779,Z1786,Z1793,Z1800,Z1807,Z1814,Z1821,Z1828,Z1835,Z1842,Z1849)+SUM(Z1856,Z1863,Z1870,Z1877,Z1884,Z1891,Z1898,Z1905,Z1912,Z1919,Z1926,Z1933,Z1940,Z1947,Z1954,Z1968,Z1975,Z1982,Z1989,Z1996,Z2003,Z2010,Z2017,Z2025,Z2031,Z2038,Z2045,Z2052,Z2059,Z2066)+SUM(Z2073,Z2080,Z2087,Z2094,Z2101,Z2108,Z2115,Z2122,Z2129,Z2136,Z2143)</f>
        <v>0</v>
      </c>
      <c r="AA2150" s="358">
        <v>0.13</v>
      </c>
      <c r="AB2150" s="120">
        <f>SUM(AB1450,AB1457,AB1464,AB1471,AB1478,AB1485,AB1492,AB1499,AB1506,AB1513,AB1520,AB1527,AB1534,AB1541,AB1548,AB1555,AB1562,AB1569,AB1576,AB1583,AB1590,AB1597,AB1604,AB1611,AB1618,AB1625,AB1632,AB1639,AB1646)+SUM(AB1653,AB1660,AB1667,AB1674,AB1681,AB1688,AB1695,AB1702,AB1709,AB1716,AB1723,AB1730,AB1737,AB1744,AB1751,AB1758,AB1765,AB1772,AB1779,AB1786,AB1793,AB1800,AB1807,AB1814,AB1821,AB1828,AB1835,AB1842,AB1849)+SUM(AB1856,AB1863,AB1870,AB1877,AB1884,AB1891,AB1898,AB1905,AB1912,AB1919,AB1926,AB1933,AB1940,AB1947,AB1954,AB1968,AB1975,AB1982,AB1989,AB1996,AB2003,AB2010,AB2017,AB2025,AB2031,AB2038,AB2045,AB2052,AB2059,AB2066)+SUM(AB2073,AB2080,AB2087,AB2094,AB2101,AB2108,AB2115,AB2122,AB2129,AB2136,AB2143)</f>
        <v>0</v>
      </c>
      <c r="AC2150" s="69">
        <v>0.05</v>
      </c>
      <c r="AD2150" s="120">
        <f>SUM(AD1450,AD1457,AD1464,AD1471,AD1478,AD1485,AD1492,AD1499,AD1506,AD1513,AD1520,AD1527,AD1534,AD1541,AD1548,AD1555,AD1562,AD1569,AD1576,AD1583,AD1590,AD1597,AD1604,AD1611,AD1618,AD1625,AD1632,AD1639,AD1646)+SUM(AD1653,AD1660,AD1667,AD1674,AD1681,AD1688,AD1695,AD1702,AD1709,AD1716,AD1723,AD1730,AD1737,AD1744,AD1751,AD1758,AD1765,AD1772,AD1779,AD1786,AD1793,AD1800,AD1807,AD1814,AD1821,AD1828,AD1835,AD1842,AD1849)+SUM(AD1856,AD1863,AD1870,AD1877,AD1884,AD1891,AD1898,AD1905,AD1912,AD1919,AD1926,AD1933,AD1940,AD1947,AD1954,AD1968,AD1975,AD1982,AD1989,AD1996,AD2003,AD2010,AD2017,AD2025,AD2031,AD2038,AD2045,AD2052,AD2059,AD2066)+SUM(AD2073,AD2080,AD2087,AD2094,AD2101,AD2108,AD2115,AD2122,AD2129,AD2136,AD2143)</f>
        <v>0</v>
      </c>
      <c r="AE2150" s="69">
        <v>0.02</v>
      </c>
      <c r="AF2150" s="88">
        <f>SUM(AF1450,AF131,AF138,AF145,AF152,AF159,AF166,AF173,AF180,AF187,AF194,AF201,AF208,AF215,AF222,AF229,AF1562,AF1569,AF1576,AF1583,AF1590,AF1597,AF1604,AF1611,AF1618,AF1625,AF1632,AF1639,AF1646)+SUM(AF1653,AF1660,AF1667,AF1674,AF1681,AF1688,AF1695,AF1702,AF1709,AF1716,AF1723,AF1730,AF1737,AF1744,AF1751,AF1758,AF1765,AF1772,AF1779,AF1786,AF1793,AF1800,AF1807,AF1814,AF1821,AF1828,AF1835,AF1842,AF1849)+SUM(AF1856,AF1863,AF1870,AF1877,AF1884,AF1891,AF1898,AF1905,AF1912,AF1919,AF1926,AF1933,AF1940,AF1947,AF1954,AF1968,AF1975,AF1982,AF1989,AF1996,AF2003,AF2010,AF2017,AF2025,AF2031,AF2038,AF2045,AF2052,AF2059,AF2066)+SUM(AF2073,AF2080,AF2087,AF2094,AF2101,AF2108,AF2115,AF2122,AF2129,AF2136,AF2143)</f>
        <v>0</v>
      </c>
      <c r="AG2150" s="723" t="e">
        <f>AF2150/$AF2150</f>
        <v>#DIV/0!</v>
      </c>
      <c r="AH2150" s="158">
        <f>SUM(R2150,AF2150)</f>
        <v>0</v>
      </c>
      <c r="AI2150" s="134" t="e">
        <f>S2150+AG2150</f>
        <v>#DIV/0!</v>
      </c>
      <c r="AJ2150" s="65"/>
    </row>
    <row r="2151" spans="1:48" ht="13.5" customHeight="1" outlineLevel="1" thickBot="1">
      <c r="B2151" s="82"/>
      <c r="C2151" s="1235"/>
      <c r="D2151" s="1235"/>
      <c r="E2151" s="85">
        <f>'Terms and Turnovers'!$AX$12</f>
        <v>0</v>
      </c>
      <c r="F2151" s="121">
        <f>SUM(F1451,F1458,F1465,F1472,F1479,F1486,F1493,F1500,F1507,F1514,F1521,F1528,F1535,F1542,F1549,F1556,F1563,F1570,F1577,F1584,F1591,F1598,F1605,F1612,F1619,F1626,F1633,F1640,F1647)+SUM(F1654,F1661,F1668,F1675,F1682,F1689,F1696,F1703,F1710,F1717,F1724,F1731,F1738,F1745,F1752,F1759,F1766,F1773,F1780,F1787,F1794,F1801,F1808,F1815,F1822,F1829,F1836,F1843,F1850)</f>
        <v>0</v>
      </c>
      <c r="G2151" s="72"/>
      <c r="H2151" s="121">
        <f>SUM(H1451,H1458,H1465,H1472,H1479,H1486,H1493,H1500,H1507,H1514,H1521,H1528,H1535,H1542,H1549,H1556,H1563,H1570,H1577,H1584,H1591,H1598,H1605,H1612,H1619,H1626,H1633,H1640,H1647)+SUM(H1654,H1661,H1668,H1675,H1682,H1689,H1696,H1703,H1710,H1717,H1724,H1731,H1738,H1745,H1752,H1759,H1766,H1773,H1780,H1787,H1794,H1801,H1808,H1815,H1822,H1829,H1836,H1843,H1850)</f>
        <v>0</v>
      </c>
      <c r="I2151" s="69">
        <v>7.0000000000000007E-2</v>
      </c>
      <c r="J2151" s="121">
        <f>SUM(J1451,J1458,J1465,J1472,J1479,J1486,J1493,J1500,J1507,J1514,J1521,J1528,J1535,J1542,J1549,J1556,J1563,J1570,J1577,J1584,J1591,J1598,J1605,J1612,J1619,J1626,J1633,J1640,J1647)+SUM(J1654,J1661,J1668,J1675,J1682,J1689,J1696,J1703,J1710,J1717,J1724,J1731,J1738,J1745,J1752,J1759,J1766,J1773,J1780,J1787,J1794,J1801,J1808,J1815,J1822,J1829,J1836,J1843,J1850)</f>
        <v>0</v>
      </c>
      <c r="K2151" s="69">
        <v>0.31</v>
      </c>
      <c r="L2151" s="121">
        <f>SUM(L1451,L1458,L1465,L1472,L1479,L1486,L1493,L1500,L1507,L1514,L1521,L1528,L1535,L1542,L1549,L1556,L1563,L1570,L1577,L1584,L1591,L1598,L1605,L1612,L1619,L1626,L1633,L1640,L1647)+SUM(L1654,L1661,L1668,L1675,L1682,L1689,L1696,L1703,L1710,L1717,L1724,L1731,L1738,L1745,L1752,L1759,L1766,L1773,L1780,L1787,L1794,L1801,L1808,L1815,L1822,L1829,L1836,L1843,L1850)</f>
        <v>0</v>
      </c>
      <c r="M2151" s="69">
        <v>0.35</v>
      </c>
      <c r="N2151" s="316">
        <f>SUM(N1451,N1458,N1465,N1472,N1479,N1486,N1493,N1500,N1507,N1514,N1521,N1528,N1535,N1542,N1549,N1556,N1563,N1570,N1577,N1584,N1591,N1598,N1605,N1612,N1619,N1626,N1633,N1640,N1647)+SUM(N1654,N1661,N1668,N1675,N1682,N1689,N1696,N1703,N1710,N1717,N1724,N1731,N1738,N1745,N1752,N1759,N1766,N1773,N1780,N1787,N1794,N1801,N1808,N1815,N1822,N1829,N1836,N1843,N1850)</f>
        <v>0</v>
      </c>
      <c r="O2151" s="69">
        <v>0.17</v>
      </c>
      <c r="P2151" s="121">
        <f>SUM(P1451,P1458,P1465,P1472,P1479,P1486,P1493,P1500,P1507,P1514,P1521,P1528,P1535,P1542,P1549,P1556,P1563,P1570,P1577,P1584,P1591,P1598,P1605,P1612,P1619,P1626,P1633,P1640,P1647)+SUM(P1654,P1661,P1668,P1675,P1682,P1689,P1696,P1703,P1710,P1717,P1724,P1731,P1738,P1745,P1752,P1759,P1766,P1773,P1780,P1787,P1794,P1801,P1808,P1815,P1822,P1829,P1836,P1843,P1850)</f>
        <v>0</v>
      </c>
      <c r="Q2151" s="69">
        <v>0.1</v>
      </c>
      <c r="R2151" s="89">
        <f>SUM(R1451,R132,R139,R146,R153,R160,R167,R174,R181,R188,R195,R202,R209,R216,R223,R1556,R1563,R1570,R1577,R1584,R1591,R1598,R1605,R1612,R1619,R1626,R1633,R1640,R1647)+SUM(R1654,R1661,R1668,R1675,R1682,R1689,R1696,R1703,R1710,R1717,R1724,R1731,R1738,R1745,R1752,R1759,R1766,R1773,R1780,R1787,R1794,R1801,R1808,R1815,R1822,R1829,R1836,R1843,R1850)</f>
        <v>0</v>
      </c>
      <c r="S2151" s="72" t="e">
        <f>R2151/$R2151</f>
        <v>#DIV/0!</v>
      </c>
      <c r="T2151" s="121">
        <f>SUM(T1451,T1458,T1465,T1472,T1479,T1486,T1493,T1500,T1507,T1514,T1521,T1528,T1535,T1542,T1549,T1556,T1563,T1570,T1577,T1584,T1591,T1598,T1605,T1612,T1619,T1626,T1633,T1640,T1647)+SUM(T1654,T1661,T1668,T1675,T1682,T1689,T1696,T1703,T1710,T1717,T1724,T1731,T1738,T1745,T1752,T1759,T1766,T1773,T1780,T1787,T1794,T1801,T1808,T1815,T1822,T1829,T1836,T1843,T1850)</f>
        <v>0</v>
      </c>
      <c r="U2151" s="69">
        <v>0.05</v>
      </c>
      <c r="V2151" s="121">
        <f>SUM(V1451,V1458,V1465,V1472,V1479,V1486,V1493,V1500,V1507,V1514,V1521,V1528,V1535,V1542,V1549,V1556,V1563,V1570,V1577,V1584,V1591,V1598,V1605,V1612,V1619,V1626,V1633,V1640,V1647)+SUM(V1654,V1661,V1668,V1675,V1682,V1689,V1696,V1703,V1710,V1717,V1724,V1731,V1738,V1745,V1752,V1759,V1766,V1773,V1780,V1787,V1794,V1801,V1808,V1815,V1822,V1829,V1836,V1843,V1850)</f>
        <v>0</v>
      </c>
      <c r="W2151" s="69">
        <v>0.4</v>
      </c>
      <c r="X2151" s="121">
        <f>SUM(X1451,X1458,X1465,X1472,X1479,X1486,X1493,X1500,X1507,X1514,X1521,X1528,X1535,X1542,X1549,X1556,X1563,X1570,X1577,X1584,X1591,X1598,X1605,X1612,X1619,X1626,X1633,X1640,X1647)+SUM(X1654,X1661,X1668,X1675,X1682,X1689,X1696,X1703,X1710,X1717,X1724,X1731,X1738,X1745,X1752,X1759,X1766,X1773,X1780,X1787,X1794,X1801,X1808,X1815,X1822,X1829,X1836,X1843,X1850)</f>
        <v>0</v>
      </c>
      <c r="Y2151" s="72">
        <v>0.35</v>
      </c>
      <c r="Z2151" s="121">
        <f>SUM(Z1451,Z1458,Z1465,Z1472,Z1479,Z1486,Z1493,Z1500,Z1507,Z1514,Z1521,Z1528,Z1535,Z1542,Z1549,Z1556,Z1563,Z1570,Z1577,Z1584,Z1591,Z1598,Z1605,Z1612,Z1619,Z1626,Z1633,Z1640,Z1647)+SUM(Z1654,Z1661,Z1668,Z1675,Z1682,Z1689,Z1696,Z1703,Z1710,Z1717,Z1724,Z1731,Z1738,Z1745,Z1752,Z1759,Z1766,Z1773,Z1780,Z1787,Z1794,Z1801,Z1808,Z1815,Z1822,Z1829,Z1836,Z1843,Z1850)</f>
        <v>0</v>
      </c>
      <c r="AA2151" s="358">
        <v>0.13</v>
      </c>
      <c r="AB2151" s="121">
        <f>SUM(AB1451,AB1458,AB1465,AB1472,AB1479,AB1486,AB1493,AB1500,AB1507,AB1514,AB1521,AB1528,AB1535,AB1542,AB1549,AB1556,AB1563,AB1570,AB1577,AB1584,AB1591,AB1598,AB1605,AB1612,AB1619,AB1626,AB1633,AB1640,AB1647)+SUM(AB1654,AB1661,AB1668,AB1675,AB1682,AB1689,AB1696,AB1703,AB1710,AB1717,AB1724,AB1731,AB1738,AB1745,AB1752,AB1759,AB1766,AB1773,AB1780,AB1787,AB1794,AB1801,AB1808,AB1815,AB1822,AB1829,AB1836,AB1843,AB1850)</f>
        <v>0</v>
      </c>
      <c r="AC2151" s="69">
        <v>0.05</v>
      </c>
      <c r="AD2151" s="121">
        <f>SUM(AD1451,AD1458,AD1465,AD1472,AD1479,AD1486,AD1493,AD1500,AD1507,AD1514,AD1521,AD1528,AD1535,AD1542,AD1549,AD1556,AD1563,AD1570,AD1577,AD1584,AD1591,AD1598,AD1605,AD1612,AD1619,AD1626,AD1633,AD1640,AD1647)+SUM(AD1654,AD1661,AD1668,AD1675,AD1682,AD1689,AD1696,AD1703,AD1710,AD1717,AD1724,AD1731,AD1738,AD1745,AD1752,AD1759,AD1766,AD1773,AD1780,AD1787,AD1794,AD1801,AD1808,AD1815,AD1822,AD1829,AD1836,AD1843,AD1850)</f>
        <v>0</v>
      </c>
      <c r="AE2151" s="69">
        <v>0.02</v>
      </c>
      <c r="AF2151" s="89">
        <f>SUM(AF1451,AF132,AF139,AF146,AF153,AF160,AF167,AF174,AF181,AF188,AF195,AF202,AF209,AF216,AF223,AF1556,AF1563,AF1570,AF1577,AF1584,AF1591,AF1598,AF1605,AF1612,AF1619,AF1626,AF1633,AF1640,AF1647)+SUM(AF1654,AF1661,AF1668,AF1675,AF1682,AF1689,AF1696,AF1703,AF1710,AF1717,AF1724,AF1731,AF1738,AF1745,AF1752,AF1759,AF1766,AF1773,AF1780,AF1787,AF1794,AF1801,AF1808,AF1815,AF1822,AF1829,AF1836,AF1843,AF1850)</f>
        <v>0</v>
      </c>
      <c r="AG2151" s="72" t="e">
        <f>AF2151/$AF2151</f>
        <v>#DIV/0!</v>
      </c>
      <c r="AH2151" s="159">
        <f>SUM(R2151,AF2151)</f>
        <v>0</v>
      </c>
      <c r="AI2151" s="137" t="e">
        <f>S2151+AG2151</f>
        <v>#DIV/0!</v>
      </c>
      <c r="AJ2151" s="65"/>
    </row>
    <row r="2152" spans="1:48" ht="4.5" customHeight="1" outlineLevel="1">
      <c r="B2152" s="119"/>
      <c r="C2152" s="436"/>
      <c r="D2152" s="436"/>
      <c r="E2152" s="437"/>
      <c r="F2152" s="438"/>
      <c r="G2152" s="428"/>
      <c r="H2152" s="438"/>
      <c r="I2152" s="428"/>
      <c r="J2152" s="438"/>
      <c r="K2152" s="428"/>
      <c r="L2152" s="438"/>
      <c r="M2152" s="428"/>
      <c r="N2152" s="439"/>
      <c r="O2152" s="428"/>
      <c r="P2152" s="438"/>
      <c r="Q2152" s="428"/>
      <c r="R2152" s="440"/>
      <c r="S2152" s="428"/>
      <c r="T2152" s="438"/>
      <c r="U2152" s="428"/>
      <c r="V2152" s="438"/>
      <c r="W2152" s="428"/>
      <c r="X2152" s="438"/>
      <c r="Y2152" s="428"/>
      <c r="Z2152" s="438"/>
      <c r="AA2152" s="441"/>
      <c r="AB2152" s="438"/>
      <c r="AC2152" s="428"/>
      <c r="AD2152" s="438"/>
      <c r="AE2152" s="428"/>
      <c r="AF2152" s="440"/>
      <c r="AG2152" s="428"/>
      <c r="AH2152" s="275"/>
      <c r="AI2152" s="442"/>
      <c r="AJ2152" s="65"/>
    </row>
    <row r="2153" spans="1:48" ht="21.75" customHeight="1">
      <c r="A2153" s="122"/>
      <c r="B2153" s="73"/>
      <c r="C2153" s="443"/>
      <c r="D2153" s="444" t="s">
        <v>484</v>
      </c>
      <c r="E2153" s="73"/>
      <c r="F2153" s="725">
        <f>F1453+F1460+F1467+F1474+F1481+F1488+F1495+F1502+F1509+F1516+F1523+F1530+F1537+F1544+F1551+F1558+F1565+F1572+F1579+F1586+F1593+F1600+F1607+F1614+F1621+F1628+F1635+F1642+F1649+F1656+F1663+F1670+F1677+F1684+F1691+F1698+F1705+F1712+F1719+F1726+F1733+F1740+F1747+F1754+F1761+F1768+F1775+F1782+F1789+F1796+F1803+F1810+F1817+F1824+F1831+F1838+F1845+F1852+F1859+F1866+F1873+F1880+F1887+F1894+F1901+F1908+F1915+F1922+F1929+F1936+F1943+F1950+F1957+F1964+F1971+F1978+F1985+F1992+F1999+F2006+F2013+F2020+F2027+F2034+F2041+F2048+F2055+F2062+F2069+F2076+F2083+F2090+F2097+F2104+F2111+F2118+F2125+F2132</f>
        <v>0</v>
      </c>
      <c r="G2153" s="726"/>
      <c r="H2153" s="725">
        <f>H1453+H1460+H1467+H1474+H1481+H1488+H1495+H1502+H1509+H1516+H1523+H1530+H1537+H1544+H1551+H1558+H1565+H1572+H1579+H1586+H1593+H1600+H1607+H1614+H1621+H1628+H1635+H1642+H1649+H1656+H1663+H1670+H1677+H1684+H1691+H1698+H1705+H1712+H1719+H1726+H1733+H1740+H1747+H1754+H1761+H1768+H1775+H1782+H1789+H1796+H1803+H1810+H1817+H1824+H1831+H1838+H1845+H1852+H1859+H1866+H1873+H1880+H1887+H1894+H1901+H1908+H1915+H1922+H1929+H1936+H1943+H1950+H1957+H1964+H1971+H1978+H1985+H1992+H1999+H2006+H2013+H2020+H2027+H2034+H2041+H2048+H2055+H2062+H2069+H2076+H2083+H2090+H2097+H2104+H2111+H2118+H2125+H2132</f>
        <v>0</v>
      </c>
      <c r="I2153" s="727"/>
      <c r="J2153" s="725">
        <f>J1453+J1460+J1467+J1474+J1481+J1488+J1495+J1502+J1509+J1516+J1523+J1530+J1537+J1544+J1551+J1558+J1565+J1572+J1579+J1586+J1593+J1600+J1607+J1614+J1621+J1628+J1635+J1642+J1649+J1656+J1663+J1670+J1677+J1684+J1691+J1698+J1705+J1712+J1719+J1726+J1733+J1740+J1747+J1754+J1761+J1768+J1775+J1782+J1789+J1796+J1803+J1810+J1817+J1824+J1831+J1838+J1845+J1852+J1859+J1866+J1873+J1880+J1887+J1894+J1901+J1908+J1915+J1922+J1929+J1936+J1943+J1950+J1957+J1964+J1971+J1978+J1985+J1992+J1999+J2006+J2013+J2020+J2027+J2034+J2041+J2048+J2055+J2062+J2069+J2076+J2083+J2090+J2097+J2104+J2111+J2118+J2125+J2132</f>
        <v>0</v>
      </c>
      <c r="K2153" s="725"/>
      <c r="L2153" s="725">
        <f>L1453+L1460+L1467+L1474+L1481+L1488+L1495+L1502+L1509+L1516+L1523+L1530+L1537+L1544+L1551+L1558+L1565+L1572+L1579+L1586+L1593+L1600+L1607+L1614+L1621+L1628+L1635+L1642+L1649+L1656+L1663+L1670+L1677+L1684+L1691+L1698+L1705+L1712+L1719+L1726+L1733+L1740+L1747+L1754+L1761+L1768+L1775+L1782+L1789+L1796+L1803+L1810+L1817+L1824+L1831+L1838+L1845+L1852+L1859+L1866+L1873+L1880+L1887+L1894+L1901+L1908+L1915+L1922+L1929+L1936+L1943+L1950+L1957+L1964+L1971+L1978+L1985+L1992+L1999+L2006+L2013+L2020+L2027+L2034+L2041+L2048+L2055+L2062+L2069+L2076+L2083+L2090+L2097+L2104+L2111+L2118+L2125+L2132</f>
        <v>0</v>
      </c>
      <c r="M2153" s="725"/>
      <c r="N2153" s="725">
        <f>N1453+N1460+N1467+N1474+N1481+N1488+N1495+N1502+N1509+N1516+N1523+N1530+N1537+N1544+N1551+N1558+N1565+N1572+N1579+N1586+N1593+N1600+N1607+N1614+N1621+N1628+N1635+N1642+N1649+N1656+N1663+N1670+N1677+N1684+N1691+N1698+N1705+N1712+N1719+N1726+N1733+N1740+N1747+N1754+N1761+N1768+N1775+N1782+N1789+N1796+N1803+N1810+N1817+N1824+N1831+N1838+N1845+N1852+N1859+N1866+N1873+N1880+N1887+N1894+N1901+N1908+N1915+N1922+N1929+N1936+N1943+N1950+N1957+N1964+N1971+N1978+N1985+N1992+N1999+N2006+N2013+N2020+N2027+N2034+N2041+N2048+N2055+N2062+N2069+N2076+N2083+N2090+N2097+N2104+N2111+N2118+N2125+N2132</f>
        <v>0</v>
      </c>
      <c r="O2153" s="725"/>
      <c r="P2153" s="725">
        <f>P1453+P1460+P1467+P1474+P1481+P1488+P1495+P1502+P1509+P1516+P1523+P1530+P1537+P1544+P1551+P1558+P1565+P1572+P1579+P1586+P1593+P1600+P1607+P1614+P1621+P1628+P1635+P1642+P1649+P1656+P1663+P1670+P1677+P1684+P1691+P1698+P1705+P1712+P1719+P1726+P1733+P1740+P1747+P1754+P1761+P1768+P1775+P1782+P1789+P1796+P1803+P1810+P1817+P1824+P1831+P1838+P1845+P1852+P1859+P1866+P1873+P1880+P1887+P1894+P1901+P1908+P1915+P1922+P1929+P1936+P1943+P1950+P1957+P1964+P1971+P1978+P1985+P1992+P1999+P2006+P2013+P2020+P2027+P2034+P2041+P2048+P2055+P2062+P2069+P2076+P2083+P2090+P2097+P2104+P2111+P2118+P2125+P2132</f>
        <v>0</v>
      </c>
      <c r="Q2153" s="57"/>
      <c r="R2153" s="725">
        <f>SUM(F2153:P2153)</f>
        <v>0</v>
      </c>
      <c r="S2153" s="57"/>
      <c r="T2153" s="725">
        <f>T1453+T1460+T1467+T1474+T1481+T1488+T1495+T1502+T1509+T1516+T1523+T1530+T1537+T1544+T1551+T1558+T1565+T1572+T1579+T1586+T1593+T1600+T1607+T1614+T1621+T1628+T1635+T1642+T1649+T1656+T1663+T1670+T1677+T1684+T1691+T1698+T1705+T1712+T1719+T1726+T1733+T1740+T1747+T1754+T1761+T1768+T1775+T1782+T1789+T1796+T1803+T1810+T1817+T1824+T1831+T1838+T1845+T1852+T1859+T1866+T1873+T1880+T1887+T1894+T1901+T1908+T1915+T1922+T1929+T1936+T1943+T1950+T1957+T1964+T1971+T1978+T1985+T1992+T1999+T2006+T2013+T2020+T2027+T2034+T2041+T2048+T2055+T2062+T2069+T2076+T2083+T2090+T2097+T2104+T2111+T2118+T2125+T2132</f>
        <v>0</v>
      </c>
      <c r="U2153" s="725"/>
      <c r="V2153" s="725">
        <f>V1453+V1460+V1467+V1474+V1481+V1488+V1495+V1502+V1509+V1516+V1523+V1530+V1537+V1544+V1551+V1558+V1565+V1572+V1579+V1586+V1593+V1600+V1607+V1614+V1621+V1628+V1635+V1642+V1649+V1656+V1663+V1670+V1677+V1684+V1691+V1698+V1705+V1712+V1719+V1726+V1733+V1740+V1747+V1754+V1761+V1768+V1775+V1782+V1789+V1796+V1803+V1810+V1817+V1824+V1831+V1838+V1845+V1852+V1859+V1866+V1873+V1880+V1887+V1894+V1901+V1908+V1915+V1922+V1929+V1936+V1943+V1950+V1957+V1964+V1971+V1978+V1985+V1992+V1999+V2006+V2013+V2020+V2027+V2034+V2041+V2048+V2055+V2062+V2069+V2076+V2083+V2090+V2097+V2104+V2111+V2118+V2125+V2132</f>
        <v>0</v>
      </c>
      <c r="W2153" s="725"/>
      <c r="X2153" s="725">
        <f>X1453+X1460+X1467+X1474+X1481+X1488+X1495+X1502+X1509+X1516+X1523+X1530+X1537+X1544+X1551+X1558+X1565+X1572+X1579+X1586+X1593+X1600+X1607+X1614+X1621+X1628+X1635+X1642+X1649+X1656+X1663+X1670+X1677+X1684+X1691+X1698+X1705+X1712+X1719+X1726+X1733+X1740+X1747+X1754+X1761+X1768+X1775+X1782+X1789+X1796+X1803+X1810+X1817+X1824+X1831+X1838+X1845+X1852+X1859+X1866+X1873+X1880+X1887+X1894+X1901+X1908+X1915+X1922+X1929+X1936+X1943+X1950+X1957+X1964+X1971+X1978+X1985+X1992+X1999+X2006+X2013+X2020+X2027+X2034+X2041+X2048+X2055+X2062+X2069+X2076+X2083+X2090+X2097+X2104+X2111+X2118+X2125+X2132</f>
        <v>-1472562</v>
      </c>
      <c r="Y2153" s="725"/>
      <c r="Z2153" s="725">
        <f>Z1453+Z1460+Z1467+Z1474+Z1481+Z1488+Z1495+Z1502+Z1509+Z1516+Z1523+Z1530+Z1537+Z1544+Z1551+Z1558+Z1565+Z1572+Z1579+Z1586+Z1593+Z1600+Z1607+Z1614+Z1621+Z1628+Z1635+Z1642+Z1649+Z1656+Z1663+Z1670+Z1677+Z1684+Z1691+Z1698+Z1705+Z1712+Z1719+Z1726+Z1733+Z1740+Z1747+Z1754+Z1761+Z1768+Z1775+Z1782+Z1789+Z1796+Z1803+Z1810+Z1817+Z1824+Z1831+Z1838+Z1845+Z1852+Z1859+Z1866+Z1873+Z1880+Z1887+Z1894+Z1901+Z1908+Z1915+Z1922+Z1929+Z1936+Z1943+Z1950+Z1957+Z1964+Z1971+Z1978+Z1985+Z1992+Z1999+Z2006+Z2013+Z2020+Z2027+Z2034+Z2041+Z2048+Z2055+Z2062+Z2069+Z2076+Z2083+Z2090+Z2097+Z2104+Z2111+Z2118+Z2125+Z2132</f>
        <v>0</v>
      </c>
      <c r="AA2153" s="725"/>
      <c r="AB2153" s="725">
        <f>AB1453+AB1460+AB1467+AB1474+AB1481+AB1488+AB1495+AB1502+AB1509+AB1516+AB1523+AB1530+AB1537+AB1544+AB1551+AB1558+AB1565+AB1572+AB1579+AB1586+AB1593+AB1600+AB1607+AB1614+AB1621+AB1628+AB1635+AB1642+AB1649+AB1656+AB1663+AB1670+AB1677+AB1684+AB1691+AB1698+AB1705+AB1712+AB1719+AB1726+AB1733+AB1740+AB1747+AB1754+AB1761+AB1768+AB1775+AB1782+AB1789+AB1796+AB1803+AB1810+AB1817+AB1824+AB1831+AB1838+AB1845+AB1852+AB1859+AB1866+AB1873+AB1880+AB1887+AB1894+AB1901+AB1908+AB1915+AB1922+AB1929+AB1936+AB1943+AB1950+AB1957+AB1964+AB1971+AB1978+AB1985+AB1992+AB1999+AB2006+AB2013+AB2020+AB2027+AB2034+AB2041+AB2048+AB2055+AB2062+AB2069+AB2076+AB2083+AB2090+AB2097+AB2104+AB2111+AB2118+AB2125+AB2132</f>
        <v>1500000</v>
      </c>
      <c r="AC2153" s="725"/>
      <c r="AD2153" s="725">
        <f>AD1453+AD1460+AD1467+AD1474+AD1481+AD1488+AD1495+AD1502+AD1509+AD1516+AD1523+AD1530+AD1537+AD1544+AD1551+AD1558+AD1565+AD1572+AD1579+AD1586+AD1593+AD1600+AD1607+AD1614+AD1621+AD1628+AD1635+AD1642+AD1649+AD1656+AD1663+AD1670+AD1677+AD1684+AD1691+AD1698+AD1705+AD1712+AD1719+AD1726+AD1733+AD1740+AD1747+AD1754+AD1761+AD1768+AD1775+AD1782+AD1789+AD1796+AD1803+AD1810+AD1817+AD1824+AD1831+AD1838+AD1845+AD1852+AD1859+AD1866+AD1873+AD1880+AD1887+AD1894+AD1901+AD1908+AD1915+AD1922+AD1929+AD1936+AD1943+AD1950+AD1957+AD1964+AD1971+AD1978+AD1985+AD1992+AD1999+AD2006+AD2013+AD2020+AD2027+AD2034+AD2041+AD2048+AD2055+AD2062+AD2069+AD2076+AD2083+AD2090+AD2097+AD2104+AD2111+AD2118+AD2125+AD2132</f>
        <v>0</v>
      </c>
      <c r="AE2153" s="57"/>
      <c r="AF2153" s="725">
        <f>SUM(T2153:AD2153)</f>
        <v>27438</v>
      </c>
      <c r="AG2153" s="57"/>
      <c r="AH2153" s="725">
        <f>AF2153+R2153</f>
        <v>27438</v>
      </c>
      <c r="AI2153" s="57"/>
      <c r="AJ2153" s="65"/>
      <c r="AN2153" s="725">
        <f>AN1453+AN1460+AN1467+AN1474+AN1481+AN1488+AN1495+AN1502+AN1509+AN1516+AN1523+AN1530+AN1537+AN1544+AN1551+AN1558+AN1565+AN1572+AN1579+AN1586+AN1593+AN1600+AN1607+AN1614+AN1621+AN1628+AN1635+AN1642+AN1649+AN1656+AN1663+AN1670+AN1677+AN1684+AN1691+AN1698+AN1705+AN1712+AN1719+AN1726+AN1733+AN1740+AN1747+AN1754+AN1761+AN1768+AN1775+AN1782+AN1789+AN1796+AN1803+AN1810+AN1817+AN1824+AN1831+AN1838+AN1845+AN1852+AN1859+AN1866+AN1873+AN1880+AN1887+AN1894+AN1901+AN1908+AN1915+AN1922+AN1929+AN1936+AN1943+AN1950+AN1957+AN1964+AN1971+AN1978+AN1985+AN1992+AN1999+AN2006+AN2013+AN2020+AN2027+AN2034+AN2041+AN2048+AN2055+AN2062+AN2069+AN2076+AN2083+AN2090+AN2097+AN2104+AN2111+AN2118+AN2125+AN2132</f>
        <v>0</v>
      </c>
      <c r="AO2153" s="725">
        <f>AO1453+AO1460+AO1467+AO1474+AO1481+AO1488+AO1495+AO1502+AO1509+AO1516+AO1523+AO1530+AO1537+AO1544+AO1551+AO1558+AO1565+AO1572+AO1579+AO1586+AO1593+AO1600+AO1607+AO1614+AO1621+AO1628+AO1635+AO1642+AO1649+AO1656+AO1663+AO1670+AO1677+AO1684+AO1691+AO1698+AO1705+AO1712+AO1719+AO1726+AO1733+AO1740+AO1747+AO1754+AO1761+AO1768+AO1775+AO1782+AO1789+AO1796+AO1803+AO1810+AO1817+AO1824+AO1831+AO1838+AO1845+AO1852+AO1859+AO1866+AO1873+AO1880+AO1887+AO1894+AO1901+AO1908+AO1915+AO1922+AO1929+AO1936+AO1943+AO1950+AO1957+AO1964+AO1971+AO1978+AO1985+AO1992+AO1999+AO2006+AO2013+AO2020+AO2027+AO2034+AO2041+AO2048+AO2055+AO2062+AO2069+AO2076+AO2083+AO2090+AO2097+AO2104+AO2111+AO2118+AO2125+AO2132</f>
        <v>0</v>
      </c>
      <c r="AP2153" s="771"/>
      <c r="AQ2153" s="725"/>
      <c r="AR2153" s="725"/>
      <c r="AS2153" s="725">
        <f>AS1453+AS1460+AS1467+AS1474+AS1481+AS1488+AS1495+AS1502+AS1509+AS1516+AS1523+AS1530+AS1537+AS1544+AS1551+AS1558+AS1565+AS1572+AS1579+AS1586+AS1593+AS1600+AS1607+AS1614+AS1621+AS1628+AS1635+AS1642+AS1649+AS1656+AS1663+AS1670+AS1677+AS1684+AS1691+AS1698+AS1705+AS1712+AS1719+AS1726+AS1733+AS1740+AS1747+AS1754+AS1761+AS1768+AS1775+AS1782+AS1789+AS1796+AS1803+AS1810+AS1817+AS1824+AS1831+AS1838+AS1845+AS1852+AS1859+AS1866+AS1873+AS1880+AS1887+AS1894+AS1901+AS1908+AS1915+AS1922+AS1929+AS1936+AS1943+AS1950+AS1957+AS1964+AS1971+AS1978+AS1985+AS1992+AS1999+AS2006+AS2013+AS2020+AS2027+AS2034+AS2041+AS2048+AS2055+AS2062+AS2069+AS2076+AS2083+AS2090+AS2097+AS2104+AS2111+AS2118+AS2125+AS2132</f>
        <v>27437.999999999996</v>
      </c>
      <c r="AT2153" s="725">
        <f>AT1453+AT1460+AT1467+AT1474+AT1481+AT1488+AT1495+AT1502+AT1509+AT1516+AT1523+AT1530+AT1537+AT1544+AT1551+AT1558+AT1565+AT1572+AT1579+AT1586+AT1593+AT1600+AT1607+AT1614+AT1621+AT1628+AT1635+AT1642+AT1649+AT1656+AT1663+AT1670+AT1677+AT1684+AT1691+AT1698+AT1705+AT1712+AT1719+AT1726+AT1733+AT1740+AT1747+AT1754+AT1761+AT1768+AT1775+AT1782+AT1789+AT1796+AT1803+AT1810+AT1817+AT1824+AT1831+AT1838+AT1845+AT1852+AT1859+AT1866+AT1873+AT1880+AT1887+AT1894+AT1901+AT1908+AT1915+AT1922+AT1929+AT1936+AT1943+AT1950+AT1957+AT1964+AT1971+AT1978+AT1985+AT1992+AT1999+AT2006+AT2013+AT2020+AT2027+AT2034+AT2041+AT2048+AT2055+AT2062+AT2069+AT2076+AT2083+AT2090+AT2097+AT2104+AT2111+AT2118+AT2125+AT2132</f>
        <v>27437.999999999996</v>
      </c>
      <c r="AU2153" s="744">
        <f>AU1453+AU1460+AU1467+AU1474+AU1481+AU1488+AU1495+AU1502+AU1509+AU1516+AU1523+AU1530+AU1537+AU1544+AU1551+AU1558+AU1565+AU1572+AU1579+AU1586+AU1593+AU1600+AU1607+AU1614+AU1621+AU1628+AU1635+AU1642+AU1649+AU1656+AU1663+AU1670+AU1677+AU1684+AU1691+AU1698+AU1705+AU1712+AU1719+AU1726+AU1733+AU1740+AU1747+AU1754+AU1761+AU1768+AU1775+AU1782+AU1789+AU1796+AU1803+AU1810+AU1817+AU1824+AU1831+AU1838+AU1845+AU1852+AU1859+AU1866+AU1873+AU1880+AU1887+AU1894+AU1901+AU1908+AU1915+AU1922+AU1929+AU1936+AU1943+AU1950+AU1957+AU1964+AU1971+AU1978+AU1985+AU1992+AU1999+AU2006+AU2013+AU2020+AU2027+AU2034+AU2041+AU2048+AU2055+AU2062+AU2069+AU2076+AU2083+AU2090+AU2097+AU2104+AU2111+AU2118+AU2125+AU2132</f>
        <v>0</v>
      </c>
    </row>
    <row r="2154" spans="1:48" s="334" customFormat="1" ht="16.5" customHeight="1" thickBot="1">
      <c r="A2154" s="325"/>
      <c r="B2154" s="326"/>
      <c r="C2154" s="327"/>
      <c r="D2154" s="965"/>
      <c r="E2154" s="327"/>
      <c r="F2154" s="328">
        <f>SUM(F2147:F2151)</f>
        <v>0</v>
      </c>
      <c r="G2154" s="329"/>
      <c r="H2154" s="328">
        <f>SUM(H2147:H2151)</f>
        <v>0</v>
      </c>
      <c r="I2154" s="329"/>
      <c r="J2154" s="328">
        <f>SUM(J2147:J2151)</f>
        <v>0</v>
      </c>
      <c r="K2154" s="329"/>
      <c r="L2154" s="328">
        <f>SUM(L2147:L2151)</f>
        <v>0</v>
      </c>
      <c r="M2154" s="329"/>
      <c r="N2154" s="328">
        <f>SUM(N2147:N2151)</f>
        <v>0</v>
      </c>
      <c r="O2154" s="329"/>
      <c r="P2154" s="328">
        <f>SUM(P2147:P2151)</f>
        <v>0</v>
      </c>
      <c r="Q2154" s="329"/>
      <c r="R2154" s="330">
        <f>SUM(F2154,H2154,J2154,L2154,N2154,P2154)</f>
        <v>0</v>
      </c>
      <c r="S2154" s="331"/>
      <c r="T2154" s="328">
        <f>SUM(T2147:T2151)</f>
        <v>0</v>
      </c>
      <c r="U2154" s="329"/>
      <c r="V2154" s="328">
        <f>SUM(V2147:V2151)</f>
        <v>0</v>
      </c>
      <c r="W2154" s="329"/>
      <c r="X2154" s="328">
        <f>SUM(X2147:X2151)</f>
        <v>27437.999999999996</v>
      </c>
      <c r="Y2154" s="329"/>
      <c r="Z2154" s="328">
        <f>SUM(Z2147:Z2151)</f>
        <v>0</v>
      </c>
      <c r="AA2154" s="329"/>
      <c r="AB2154" s="328">
        <f>SUM(AB2147:AB2151)</f>
        <v>0</v>
      </c>
      <c r="AC2154" s="329"/>
      <c r="AD2154" s="328">
        <f>SUM(AD2147:AD2151)</f>
        <v>0</v>
      </c>
      <c r="AE2154" s="331"/>
      <c r="AF2154" s="330">
        <f>SUM(T2154,V2154,X2154,Z2154,AB2154,AD2154)</f>
        <v>27437.999999999996</v>
      </c>
      <c r="AG2154" s="331"/>
      <c r="AH2154" s="332">
        <f>SUM(R2154,AF2154)</f>
        <v>27437.999999999996</v>
      </c>
      <c r="AI2154" s="331"/>
      <c r="AJ2154" s="333"/>
      <c r="AN2154" s="692"/>
      <c r="AO2154" s="692"/>
      <c r="AP2154" s="692"/>
      <c r="AQ2154" s="693"/>
      <c r="AU2154" s="746"/>
      <c r="AV2154" s="462"/>
    </row>
    <row r="2155" spans="1:48" ht="4.5" customHeight="1" thickBot="1">
      <c r="A2155" s="123"/>
      <c r="B2155" s="115"/>
      <c r="C2155" s="115"/>
      <c r="D2155" s="966"/>
      <c r="E2155" s="115"/>
      <c r="F2155" s="124"/>
      <c r="G2155" s="163"/>
      <c r="H2155" s="116"/>
      <c r="I2155" s="164"/>
      <c r="J2155" s="116"/>
      <c r="K2155" s="164"/>
      <c r="L2155" s="116"/>
      <c r="M2155" s="164"/>
      <c r="N2155" s="116"/>
      <c r="O2155" s="164"/>
      <c r="P2155" s="116"/>
      <c r="Q2155" s="164"/>
      <c r="R2155" s="116"/>
      <c r="S2155" s="163"/>
      <c r="T2155" s="124"/>
      <c r="U2155" s="163"/>
      <c r="V2155" s="116"/>
      <c r="W2155" s="164"/>
      <c r="X2155" s="116"/>
      <c r="Y2155" s="164"/>
      <c r="Z2155" s="116"/>
      <c r="AA2155" s="164"/>
      <c r="AB2155" s="116"/>
      <c r="AC2155" s="164"/>
      <c r="AD2155" s="116"/>
      <c r="AE2155" s="164"/>
      <c r="AF2155" s="116"/>
      <c r="AG2155" s="163"/>
      <c r="AH2155" s="115"/>
      <c r="AI2155" s="163"/>
      <c r="AJ2155" s="163"/>
    </row>
    <row r="2156" spans="1:48" ht="20.25" customHeight="1" thickBot="1">
      <c r="B2156" s="73"/>
      <c r="C2156" s="73"/>
      <c r="D2156" s="967"/>
      <c r="E2156" s="117" t="s">
        <v>173</v>
      </c>
      <c r="F2156" s="125" t="e">
        <f>F2154/F2158</f>
        <v>#DIV/0!</v>
      </c>
      <c r="G2156" s="57"/>
      <c r="H2156" s="125" t="e">
        <f>H2154/H2158</f>
        <v>#DIV/0!</v>
      </c>
      <c r="I2156" s="57"/>
      <c r="J2156" s="125" t="e">
        <f>J2154/J2158</f>
        <v>#DIV/0!</v>
      </c>
      <c r="K2156" s="57"/>
      <c r="L2156" s="125" t="e">
        <f>L2154/L2158</f>
        <v>#DIV/0!</v>
      </c>
      <c r="M2156" s="57"/>
      <c r="N2156" s="125" t="e">
        <f>N2154/N2158</f>
        <v>#DIV/0!</v>
      </c>
      <c r="O2156" s="57"/>
      <c r="P2156" s="125" t="e">
        <f>P2154/P2158</f>
        <v>#DIV/0!</v>
      </c>
      <c r="Q2156" s="57"/>
      <c r="R2156" s="274" t="e">
        <f>R2154/R2158</f>
        <v>#DIV/0!</v>
      </c>
      <c r="S2156" s="57"/>
      <c r="T2156" s="125" t="e">
        <f>T2154/T2158</f>
        <v>#DIV/0!</v>
      </c>
      <c r="U2156" s="57"/>
      <c r="V2156" s="125" t="e">
        <f>V2154/V2158</f>
        <v>#DIV/0!</v>
      </c>
      <c r="W2156" s="57"/>
      <c r="X2156" s="125">
        <f>X2154/X2158</f>
        <v>1</v>
      </c>
      <c r="Y2156" s="57"/>
      <c r="Z2156" s="125" t="e">
        <f>Z2154/Z2158</f>
        <v>#DIV/0!</v>
      </c>
      <c r="AA2156" s="57"/>
      <c r="AB2156" s="125" t="e">
        <f>AB2154/AB2158</f>
        <v>#DIV/0!</v>
      </c>
      <c r="AC2156" s="57"/>
      <c r="AD2156" s="125" t="e">
        <f>AD2154/AD2158</f>
        <v>#DIV/0!</v>
      </c>
      <c r="AE2156" s="57"/>
      <c r="AF2156" s="274">
        <f>AF2154/AF2158</f>
        <v>1</v>
      </c>
      <c r="AG2156" s="57"/>
      <c r="AH2156" s="276">
        <f>AH2154/AH2158</f>
        <v>1</v>
      </c>
      <c r="AI2156" s="57"/>
      <c r="AJ2156" s="163"/>
      <c r="AK2156" s="99"/>
    </row>
    <row r="2157" spans="1:48" ht="7.5" customHeight="1" thickBot="1">
      <c r="B2157" s="73"/>
      <c r="C2157" s="73"/>
      <c r="D2157" s="967"/>
      <c r="E2157" s="73"/>
      <c r="F2157" s="100"/>
      <c r="G2157" s="57"/>
      <c r="H2157" s="100"/>
      <c r="I2157" s="57"/>
      <c r="J2157" s="100"/>
      <c r="K2157" s="57"/>
      <c r="L2157" s="100"/>
      <c r="M2157" s="57"/>
      <c r="N2157" s="100"/>
      <c r="O2157" s="57"/>
      <c r="P2157" s="100"/>
      <c r="Q2157" s="57"/>
      <c r="R2157" s="100"/>
      <c r="S2157" s="57"/>
      <c r="T2157" s="100"/>
      <c r="U2157" s="57"/>
      <c r="V2157" s="100"/>
      <c r="W2157" s="57"/>
      <c r="X2157" s="100"/>
      <c r="Y2157" s="57"/>
      <c r="Z2157" s="100"/>
      <c r="AA2157" s="57"/>
      <c r="AB2157" s="100"/>
      <c r="AC2157" s="57"/>
      <c r="AD2157" s="100"/>
      <c r="AE2157" s="57"/>
      <c r="AF2157" s="100"/>
      <c r="AG2157" s="57"/>
      <c r="AH2157" s="100"/>
      <c r="AI2157" s="57"/>
      <c r="AJ2157" s="163"/>
      <c r="AK2157" s="99"/>
    </row>
    <row r="2158" spans="1:48" ht="14.25" customHeight="1" thickBot="1">
      <c r="A2158" s="73"/>
      <c r="B2158" s="78"/>
      <c r="C2158" s="79"/>
      <c r="D2158" s="80"/>
      <c r="E2158" s="80"/>
      <c r="F2158" s="126">
        <f>SUM(F2862:F2866)</f>
        <v>0</v>
      </c>
      <c r="G2158" s="165"/>
      <c r="H2158" s="126">
        <f>SUM(H2862:H2866)</f>
        <v>0</v>
      </c>
      <c r="I2158" s="165"/>
      <c r="J2158" s="126">
        <f>SUM(J2862:J2866)</f>
        <v>0</v>
      </c>
      <c r="K2158" s="165"/>
      <c r="L2158" s="126">
        <f>SUM(L2862:L2866)</f>
        <v>0</v>
      </c>
      <c r="M2158" s="165"/>
      <c r="N2158" s="126">
        <f>SUM(N2862:N2866)</f>
        <v>0</v>
      </c>
      <c r="O2158" s="165"/>
      <c r="P2158" s="126">
        <f>SUM(P2862:P2866)</f>
        <v>0</v>
      </c>
      <c r="Q2158" s="165"/>
      <c r="R2158" s="116">
        <f>SUM(R2862:R2866)</f>
        <v>0</v>
      </c>
      <c r="S2158" s="63"/>
      <c r="T2158" s="126">
        <f>SUM(T2862:T2866)</f>
        <v>0</v>
      </c>
      <c r="U2158" s="165"/>
      <c r="V2158" s="126">
        <f>SUM(V2862:V2866)</f>
        <v>0</v>
      </c>
      <c r="W2158" s="165"/>
      <c r="X2158" s="126">
        <f>SUM(X2862:X2866)</f>
        <v>27437.999999999996</v>
      </c>
      <c r="Y2158" s="165"/>
      <c r="Z2158" s="126">
        <f>SUM(Z2862:Z2866)</f>
        <v>0</v>
      </c>
      <c r="AA2158" s="165"/>
      <c r="AB2158" s="126">
        <f>SUM(AB2862:AB2866)</f>
        <v>0</v>
      </c>
      <c r="AC2158" s="165"/>
      <c r="AD2158" s="126">
        <f>SUM(AD2862:AD2866)</f>
        <v>0</v>
      </c>
      <c r="AE2158" s="165"/>
      <c r="AF2158" s="116">
        <f>SUM(AF2862:AF2866)</f>
        <v>27437.999999999996</v>
      </c>
      <c r="AG2158" s="63"/>
      <c r="AH2158" s="275">
        <f>SUM(R2158,AF2158)</f>
        <v>27437.999999999996</v>
      </c>
      <c r="AI2158" s="63"/>
      <c r="AJ2158" s="64"/>
    </row>
    <row r="2159" spans="1:48" ht="5.45" hidden="1" customHeight="1" outlineLevel="1" thickBot="1">
      <c r="A2159" s="101"/>
      <c r="B2159" s="101"/>
      <c r="C2159" s="102"/>
      <c r="D2159" s="102"/>
      <c r="E2159" s="102"/>
      <c r="F2159" s="138"/>
      <c r="G2159" s="138"/>
      <c r="H2159" s="138"/>
      <c r="I2159" s="138"/>
      <c r="J2159" s="138"/>
      <c r="K2159" s="138"/>
      <c r="L2159" s="138"/>
      <c r="M2159" s="138"/>
      <c r="N2159" s="138"/>
      <c r="O2159" s="138"/>
      <c r="P2159" s="138"/>
      <c r="Q2159" s="138"/>
      <c r="R2159" s="138"/>
      <c r="S2159" s="138"/>
      <c r="T2159" s="138"/>
      <c r="U2159" s="138"/>
      <c r="V2159" s="138"/>
      <c r="W2159" s="138"/>
      <c r="X2159" s="138"/>
      <c r="Y2159" s="138"/>
      <c r="Z2159" s="138"/>
      <c r="AA2159" s="138"/>
      <c r="AB2159" s="138"/>
      <c r="AC2159" s="138"/>
      <c r="AD2159" s="138"/>
      <c r="AE2159" s="138"/>
      <c r="AF2159" s="138"/>
      <c r="AG2159" s="138"/>
      <c r="AH2159" s="138"/>
      <c r="AI2159" s="138"/>
      <c r="AJ2159" s="65"/>
    </row>
    <row r="2160" spans="1:48" ht="13.5" hidden="1" customHeight="1" outlineLevel="1" thickBot="1">
      <c r="A2160" s="73"/>
      <c r="B2160" s="81"/>
      <c r="C2160" s="1242" t="s">
        <v>172</v>
      </c>
      <c r="D2160" s="1242" t="s">
        <v>169</v>
      </c>
      <c r="E2160" s="1242" t="s">
        <v>479</v>
      </c>
      <c r="F2160" s="1236" t="s">
        <v>29</v>
      </c>
      <c r="G2160" s="1237"/>
      <c r="H2160" s="1236" t="s">
        <v>30</v>
      </c>
      <c r="I2160" s="1237"/>
      <c r="J2160" s="1236" t="s">
        <v>31</v>
      </c>
      <c r="K2160" s="1237"/>
      <c r="L2160" s="1236" t="s">
        <v>32</v>
      </c>
      <c r="M2160" s="1237"/>
      <c r="N2160" s="1236" t="s">
        <v>33</v>
      </c>
      <c r="O2160" s="1237"/>
      <c r="P2160" s="1236" t="s">
        <v>34</v>
      </c>
      <c r="Q2160" s="1237"/>
      <c r="R2160" s="1238" t="s">
        <v>480</v>
      </c>
      <c r="S2160" s="1239"/>
      <c r="T2160" s="1236" t="s">
        <v>37</v>
      </c>
      <c r="U2160" s="1237"/>
      <c r="V2160" s="1236" t="s">
        <v>38</v>
      </c>
      <c r="W2160" s="1237"/>
      <c r="X2160" s="1236" t="s">
        <v>39</v>
      </c>
      <c r="Y2160" s="1237"/>
      <c r="Z2160" s="1236" t="s">
        <v>40</v>
      </c>
      <c r="AA2160" s="1237"/>
      <c r="AB2160" s="1236" t="s">
        <v>41</v>
      </c>
      <c r="AC2160" s="1237"/>
      <c r="AD2160" s="1236" t="s">
        <v>42</v>
      </c>
      <c r="AE2160" s="1237"/>
      <c r="AF2160" s="1238" t="s">
        <v>481</v>
      </c>
      <c r="AG2160" s="1239"/>
      <c r="AH2160" s="1240" t="s">
        <v>482</v>
      </c>
      <c r="AI2160" s="1241"/>
      <c r="AJ2160" s="65"/>
    </row>
    <row r="2161" spans="1:48" ht="13.5" hidden="1" customHeight="1" outlineLevel="1" thickBot="1">
      <c r="A2161" s="73"/>
      <c r="B2161" s="81"/>
      <c r="C2161" s="1244"/>
      <c r="D2161" s="1243"/>
      <c r="E2161" s="1243"/>
      <c r="F2161" s="66" t="s">
        <v>35</v>
      </c>
      <c r="G2161" s="66" t="s">
        <v>36</v>
      </c>
      <c r="H2161" s="66" t="s">
        <v>35</v>
      </c>
      <c r="I2161" s="66" t="s">
        <v>36</v>
      </c>
      <c r="J2161" s="66" t="s">
        <v>35</v>
      </c>
      <c r="K2161" s="66" t="s">
        <v>36</v>
      </c>
      <c r="L2161" s="66" t="s">
        <v>35</v>
      </c>
      <c r="M2161" s="66" t="s">
        <v>36</v>
      </c>
      <c r="N2161" s="66" t="s">
        <v>35</v>
      </c>
      <c r="O2161" s="66" t="s">
        <v>36</v>
      </c>
      <c r="P2161" s="66" t="s">
        <v>35</v>
      </c>
      <c r="Q2161" s="67" t="s">
        <v>36</v>
      </c>
      <c r="R2161" s="127" t="s">
        <v>35</v>
      </c>
      <c r="S2161" s="127" t="s">
        <v>36</v>
      </c>
      <c r="T2161" s="66" t="s">
        <v>35</v>
      </c>
      <c r="U2161" s="66" t="s">
        <v>36</v>
      </c>
      <c r="V2161" s="66" t="s">
        <v>35</v>
      </c>
      <c r="W2161" s="66" t="s">
        <v>36</v>
      </c>
      <c r="X2161" s="66" t="s">
        <v>35</v>
      </c>
      <c r="Y2161" s="66" t="s">
        <v>36</v>
      </c>
      <c r="Z2161" s="66" t="s">
        <v>35</v>
      </c>
      <c r="AA2161" s="66" t="s">
        <v>36</v>
      </c>
      <c r="AB2161" s="66" t="s">
        <v>35</v>
      </c>
      <c r="AC2161" s="66" t="s">
        <v>36</v>
      </c>
      <c r="AD2161" s="66" t="s">
        <v>35</v>
      </c>
      <c r="AE2161" s="67" t="s">
        <v>36</v>
      </c>
      <c r="AF2161" s="127" t="s">
        <v>35</v>
      </c>
      <c r="AG2161" s="127" t="s">
        <v>36</v>
      </c>
      <c r="AH2161" s="128" t="s">
        <v>35</v>
      </c>
      <c r="AI2161" s="128" t="s">
        <v>36</v>
      </c>
      <c r="AJ2161" s="65"/>
    </row>
    <row r="2162" spans="1:48" ht="12.75" hidden="1" customHeight="1" outlineLevel="2">
      <c r="A2162" s="82">
        <v>1</v>
      </c>
      <c r="B2162" s="82">
        <f>B1447</f>
        <v>0</v>
      </c>
      <c r="C2162" s="1233">
        <f>C1447</f>
        <v>0</v>
      </c>
      <c r="D2162" s="1233" t="str">
        <f>D1447</f>
        <v>Вайлдберриз ООО</v>
      </c>
      <c r="E2162" s="103" t="str">
        <f>'Terms and Turnovers'!$J$12</f>
        <v>FLIP-FLOPS</v>
      </c>
      <c r="F2162" s="68">
        <f>F1447/'Terms and Turnovers'!$J131</f>
        <v>0</v>
      </c>
      <c r="G2162" s="69"/>
      <c r="H2162" s="68">
        <f>H1447/'Terms and Turnovers'!$J$131</f>
        <v>0</v>
      </c>
      <c r="I2162" s="69"/>
      <c r="J2162" s="68">
        <f>J1447/'Terms and Turnovers'!$J$131</f>
        <v>0</v>
      </c>
      <c r="K2162" s="106"/>
      <c r="L2162" s="68">
        <f>L1447/'Terms and Turnovers'!$J$131</f>
        <v>0</v>
      </c>
      <c r="M2162" s="106"/>
      <c r="N2162" s="68">
        <f>N1447/'Terms and Turnovers'!$J$131</f>
        <v>0</v>
      </c>
      <c r="O2162" s="106"/>
      <c r="P2162" s="68">
        <f>P1447/'Terms and Turnovers'!$J$131</f>
        <v>0</v>
      </c>
      <c r="Q2162" s="106"/>
      <c r="R2162" s="129">
        <f>SUM(F2162,H2162,J2162,L2162,N2162,P2162)</f>
        <v>0</v>
      </c>
      <c r="S2162" s="106"/>
      <c r="T2162" s="68">
        <f>T1447/'Terms and Turnovers'!$O$131</f>
        <v>0</v>
      </c>
      <c r="U2162" s="106"/>
      <c r="V2162" s="68">
        <f>V1447/'Terms and Turnovers'!$O$131</f>
        <v>0</v>
      </c>
      <c r="W2162" s="106"/>
      <c r="X2162" s="68">
        <f>X1447/'Terms and Turnovers'!$O$131</f>
        <v>0</v>
      </c>
      <c r="Y2162" s="106"/>
      <c r="Z2162" s="68">
        <f>Z1447/'Terms and Turnovers'!$O$131</f>
        <v>0</v>
      </c>
      <c r="AA2162" s="106"/>
      <c r="AB2162" s="68">
        <f>AB1447/'Terms and Turnovers'!$O$131</f>
        <v>0</v>
      </c>
      <c r="AC2162" s="106"/>
      <c r="AD2162" s="68">
        <f>AD1447/'Terms and Turnovers'!$O$131</f>
        <v>0</v>
      </c>
      <c r="AE2162" s="106"/>
      <c r="AF2162" s="129">
        <f>SUM(T2162,V2162,X2162,Z2162,AB2162,AD2162)</f>
        <v>0</v>
      </c>
      <c r="AG2162" s="106"/>
      <c r="AH2162" s="130">
        <f>SUM(AF2162,R2162)</f>
        <v>0</v>
      </c>
      <c r="AI2162" s="106"/>
      <c r="AJ2162" s="65"/>
      <c r="AV2162" s="56"/>
    </row>
    <row r="2163" spans="1:48" ht="12.75" hidden="1" customHeight="1" outlineLevel="2">
      <c r="A2163" s="119"/>
      <c r="B2163" s="82"/>
      <c r="C2163" s="1234"/>
      <c r="D2163" s="1234"/>
      <c r="E2163" s="104" t="str">
        <f>'Terms and Turnovers'!$T$12</f>
        <v>ORIGINALS</v>
      </c>
      <c r="F2163" s="70">
        <f>F1448/'Terms and Turnovers'!$T$131</f>
        <v>0</v>
      </c>
      <c r="G2163" s="723"/>
      <c r="H2163" s="70">
        <f>H1448/'Terms and Turnovers'!$T$131</f>
        <v>0</v>
      </c>
      <c r="I2163" s="723"/>
      <c r="J2163" s="70">
        <f>J1448/'Terms and Turnovers'!$T$131</f>
        <v>0</v>
      </c>
      <c r="K2163" s="728"/>
      <c r="L2163" s="70">
        <f>L1448/'Terms and Turnovers'!$T$131</f>
        <v>0</v>
      </c>
      <c r="M2163" s="728"/>
      <c r="N2163" s="70">
        <f>N1448/'Terms and Turnovers'!$T$131</f>
        <v>0</v>
      </c>
      <c r="O2163" s="728"/>
      <c r="P2163" s="70">
        <f>P1448/'Terms and Turnovers'!$T$131</f>
        <v>0</v>
      </c>
      <c r="Q2163" s="728"/>
      <c r="R2163" s="132">
        <f>SUM(F2163,H2163,J2163,L2163,N2163,P2163)</f>
        <v>0</v>
      </c>
      <c r="S2163" s="728"/>
      <c r="T2163" s="70">
        <f>T1448/'Terms and Turnovers'!$Y$131</f>
        <v>0</v>
      </c>
      <c r="U2163" s="728"/>
      <c r="V2163" s="70">
        <f>V1448/'Terms and Turnovers'!$Y$131</f>
        <v>0</v>
      </c>
      <c r="W2163" s="728"/>
      <c r="X2163" s="70">
        <f>X1448/'Terms and Turnovers'!$Y$131</f>
        <v>0</v>
      </c>
      <c r="Y2163" s="728"/>
      <c r="Z2163" s="70">
        <f>Z1448/'Terms and Turnovers'!$Y$131</f>
        <v>0</v>
      </c>
      <c r="AA2163" s="728"/>
      <c r="AB2163" s="70">
        <f>AB1448/'Terms and Turnovers'!$Y$131</f>
        <v>0</v>
      </c>
      <c r="AC2163" s="728"/>
      <c r="AD2163" s="70">
        <f>AD1448/'Terms and Turnovers'!$Y$131</f>
        <v>0</v>
      </c>
      <c r="AE2163" s="728"/>
      <c r="AF2163" s="132">
        <f>SUM(T2163,V2163,X2163,Z2163,AB2163,AD2163)</f>
        <v>0</v>
      </c>
      <c r="AG2163" s="728"/>
      <c r="AH2163" s="133">
        <f>SUM(AF2163,R2163)</f>
        <v>0</v>
      </c>
      <c r="AI2163" s="728"/>
      <c r="AJ2163" s="65"/>
      <c r="AV2163" s="56"/>
    </row>
    <row r="2164" spans="1:48" ht="12.75" hidden="1" customHeight="1" outlineLevel="2">
      <c r="A2164" s="119"/>
      <c r="B2164" s="82"/>
      <c r="C2164" s="1234"/>
      <c r="D2164" s="1234"/>
      <c r="E2164" s="104" t="str">
        <f>'Terms and Turnovers'!$AD$12</f>
        <v>ACCESSORIES</v>
      </c>
      <c r="F2164" s="70">
        <f>F1449/'Terms and Turnovers'!$AD$131</f>
        <v>0</v>
      </c>
      <c r="G2164" s="723"/>
      <c r="H2164" s="70">
        <f>H1449/'Terms and Turnovers'!$AD$131</f>
        <v>0</v>
      </c>
      <c r="I2164" s="723"/>
      <c r="J2164" s="70">
        <f>J1449/'Terms and Turnovers'!$AD$131</f>
        <v>0</v>
      </c>
      <c r="K2164" s="728"/>
      <c r="L2164" s="70">
        <f>L1449/'Terms and Turnovers'!$AD$131</f>
        <v>0</v>
      </c>
      <c r="M2164" s="728"/>
      <c r="N2164" s="70">
        <f>N1449/'Terms and Turnovers'!$AD$131</f>
        <v>0</v>
      </c>
      <c r="O2164" s="728"/>
      <c r="P2164" s="70">
        <f>P1449/'Terms and Turnovers'!$AD$131</f>
        <v>0</v>
      </c>
      <c r="Q2164" s="728"/>
      <c r="R2164" s="132">
        <f>SUM(F2164,H2164,J2164,L2164,N2164,P2164)</f>
        <v>0</v>
      </c>
      <c r="S2164" s="728"/>
      <c r="T2164" s="70">
        <f>T1449/'Terms and Turnovers'!$AI$131</f>
        <v>0</v>
      </c>
      <c r="U2164" s="728"/>
      <c r="V2164" s="70">
        <f>V1449/'Terms and Turnovers'!$AI$131</f>
        <v>0</v>
      </c>
      <c r="W2164" s="728"/>
      <c r="X2164" s="70">
        <f>X1449/'Terms and Turnovers'!$AI$131</f>
        <v>0</v>
      </c>
      <c r="Y2164" s="728"/>
      <c r="Z2164" s="70">
        <f>Z1449/'Terms and Turnovers'!$AI$131</f>
        <v>0</v>
      </c>
      <c r="AA2164" s="728"/>
      <c r="AB2164" s="70">
        <f>AB1449/'Terms and Turnovers'!$AI$131</f>
        <v>0</v>
      </c>
      <c r="AC2164" s="728"/>
      <c r="AD2164" s="70">
        <f>AD1449/'Terms and Turnovers'!$AI$131</f>
        <v>0</v>
      </c>
      <c r="AE2164" s="728"/>
      <c r="AF2164" s="132">
        <f>SUM(T2164,V2164,X2164,Z2164,AB2164,AD2164)</f>
        <v>0</v>
      </c>
      <c r="AG2164" s="728"/>
      <c r="AH2164" s="133">
        <f>SUM(AF2164,R2164)</f>
        <v>0</v>
      </c>
      <c r="AI2164" s="728"/>
      <c r="AJ2164" s="65"/>
      <c r="AV2164" s="56"/>
    </row>
    <row r="2165" spans="1:48" ht="12.75" hidden="1" customHeight="1" outlineLevel="2">
      <c r="A2165" s="119"/>
      <c r="B2165" s="82"/>
      <c r="C2165" s="1234"/>
      <c r="D2165" s="1234"/>
      <c r="E2165" s="104">
        <f>'Terms and Turnovers'!$AN$12</f>
        <v>0</v>
      </c>
      <c r="F2165" s="70">
        <f>F1450/'Terms and Turnovers'!$AN$131</f>
        <v>0</v>
      </c>
      <c r="G2165" s="723"/>
      <c r="H2165" s="70">
        <f>H1450/'Terms and Turnovers'!$AN$131</f>
        <v>0</v>
      </c>
      <c r="I2165" s="723"/>
      <c r="J2165" s="70">
        <f>J1450/'Terms and Turnovers'!$AN$131</f>
        <v>0</v>
      </c>
      <c r="K2165" s="728"/>
      <c r="L2165" s="70">
        <f>L1450/'Terms and Turnovers'!$AN$131</f>
        <v>0</v>
      </c>
      <c r="M2165" s="728"/>
      <c r="N2165" s="70">
        <f>N1450/'Terms and Turnovers'!$AN$131</f>
        <v>0</v>
      </c>
      <c r="O2165" s="728"/>
      <c r="P2165" s="70">
        <f>P1450/'Terms and Turnovers'!$AN$131</f>
        <v>0</v>
      </c>
      <c r="Q2165" s="728"/>
      <c r="R2165" s="132">
        <f>SUM(F2165,H2165,J2165,L2165,N2165,P2165)</f>
        <v>0</v>
      </c>
      <c r="S2165" s="728"/>
      <c r="T2165" s="70">
        <f>T1450/'Terms and Turnovers'!$AS$131</f>
        <v>0</v>
      </c>
      <c r="U2165" s="728"/>
      <c r="V2165" s="70">
        <f>V1450/'Terms and Turnovers'!$AS$131</f>
        <v>0</v>
      </c>
      <c r="W2165" s="728"/>
      <c r="X2165" s="70">
        <f>X1450/'Terms and Turnovers'!$AS$131</f>
        <v>0</v>
      </c>
      <c r="Y2165" s="728"/>
      <c r="Z2165" s="70">
        <f>Z1450/'Terms and Turnovers'!$AS$131</f>
        <v>0</v>
      </c>
      <c r="AA2165" s="728"/>
      <c r="AB2165" s="70">
        <f>AB1450/'Terms and Turnovers'!$AS$131</f>
        <v>0</v>
      </c>
      <c r="AC2165" s="728"/>
      <c r="AD2165" s="70">
        <f>AD1450/'Terms and Turnovers'!$AS$131</f>
        <v>0</v>
      </c>
      <c r="AE2165" s="728"/>
      <c r="AF2165" s="132">
        <f>SUM(T2165,V2165,X2165,Z2165,AB2165,AD2165)</f>
        <v>0</v>
      </c>
      <c r="AG2165" s="728"/>
      <c r="AH2165" s="133">
        <f>SUM(AF2165,R2165)</f>
        <v>0</v>
      </c>
      <c r="AI2165" s="728"/>
      <c r="AJ2165" s="65"/>
      <c r="AV2165" s="56"/>
    </row>
    <row r="2166" spans="1:48" ht="13.5" hidden="1" customHeight="1" outlineLevel="2" thickBot="1">
      <c r="A2166" s="119"/>
      <c r="B2166" s="82"/>
      <c r="C2166" s="1235"/>
      <c r="D2166" s="1235"/>
      <c r="E2166" s="105">
        <f>'Terms and Turnovers'!$AX$12</f>
        <v>0</v>
      </c>
      <c r="F2166" s="70">
        <f>F1451/'Terms and Turnovers'!$AX$131</f>
        <v>0</v>
      </c>
      <c r="G2166" s="72"/>
      <c r="H2166" s="70">
        <f>H1451/'Terms and Turnovers'!$AX$131</f>
        <v>0</v>
      </c>
      <c r="I2166" s="72"/>
      <c r="J2166" s="70">
        <f>J1451/'Terms and Turnovers'!$AX$131</f>
        <v>0</v>
      </c>
      <c r="K2166" s="107"/>
      <c r="L2166" s="70">
        <f>L1451/'Terms and Turnovers'!$AX$131</f>
        <v>0</v>
      </c>
      <c r="M2166" s="107"/>
      <c r="N2166" s="70">
        <f>N1451/'Terms and Turnovers'!$AX$131</f>
        <v>0</v>
      </c>
      <c r="O2166" s="107"/>
      <c r="P2166" s="70">
        <f>P1451/'Terms and Turnovers'!$AX$131</f>
        <v>0</v>
      </c>
      <c r="Q2166" s="107"/>
      <c r="R2166" s="135">
        <f>SUM(F2166,H2166,J2166,L2166,N2166,P2166)</f>
        <v>0</v>
      </c>
      <c r="S2166" s="107"/>
      <c r="T2166" s="70">
        <f>T1451/'Terms and Turnovers'!$AX$131</f>
        <v>0</v>
      </c>
      <c r="U2166" s="107"/>
      <c r="V2166" s="70">
        <f>V1451/'Terms and Turnovers'!$AX$131</f>
        <v>0</v>
      </c>
      <c r="W2166" s="107"/>
      <c r="X2166" s="70">
        <f>X1451/'Terms and Turnovers'!$AX$131</f>
        <v>0</v>
      </c>
      <c r="Y2166" s="107"/>
      <c r="Z2166" s="70">
        <f>Z1451/'Terms and Turnovers'!$AX$131</f>
        <v>0</v>
      </c>
      <c r="AA2166" s="107"/>
      <c r="AB2166" s="70">
        <f>AB1451/'Terms and Turnovers'!$AX$131</f>
        <v>0</v>
      </c>
      <c r="AC2166" s="107"/>
      <c r="AD2166" s="70">
        <f>AD1451/'Terms and Turnovers'!$AX$131</f>
        <v>0</v>
      </c>
      <c r="AE2166" s="107"/>
      <c r="AF2166" s="135">
        <f>SUM(T2166,V2166,X2166,Z2166,AB2166,AD2166)</f>
        <v>0</v>
      </c>
      <c r="AG2166" s="107"/>
      <c r="AH2166" s="136">
        <f>SUM(AF2166,R2166)</f>
        <v>0</v>
      </c>
      <c r="AI2166" s="107"/>
      <c r="AJ2166" s="65"/>
      <c r="AV2166" s="56"/>
    </row>
    <row r="2167" spans="1:48" ht="13.5" hidden="1" customHeight="1" outlineLevel="2">
      <c r="A2167" s="119"/>
      <c r="B2167" s="82"/>
      <c r="C2167" s="425"/>
      <c r="D2167" s="425"/>
      <c r="E2167" s="634"/>
      <c r="F2167" s="635"/>
      <c r="G2167" s="428"/>
      <c r="H2167" s="635"/>
      <c r="I2167" s="428"/>
      <c r="J2167" s="635"/>
      <c r="K2167" s="636"/>
      <c r="L2167" s="635"/>
      <c r="M2167" s="636"/>
      <c r="N2167" s="635"/>
      <c r="O2167" s="636"/>
      <c r="P2167" s="635"/>
      <c r="Q2167" s="636"/>
      <c r="R2167" s="637"/>
      <c r="S2167" s="698">
        <f>SUM(R1447:R1451)/1.18-(SUM(R2162:R2166)*'Mark Up Validation'!$M$175)</f>
        <v>0</v>
      </c>
      <c r="T2167" s="635"/>
      <c r="U2167" s="636"/>
      <c r="V2167" s="635"/>
      <c r="W2167" s="636"/>
      <c r="X2167" s="635"/>
      <c r="Y2167" s="636"/>
      <c r="Z2167" s="635"/>
      <c r="AA2167" s="636"/>
      <c r="AB2167" s="635"/>
      <c r="AC2167" s="636"/>
      <c r="AD2167" s="635"/>
      <c r="AE2167" s="636"/>
      <c r="AF2167" s="637"/>
      <c r="AG2167" s="698">
        <f>SUM(AF1447:AF1451)/1.18-(SUM(AF2162:AF2166)*'Mark Up Validation'!$M$175)</f>
        <v>0</v>
      </c>
      <c r="AH2167" s="638"/>
      <c r="AI2167" s="698">
        <f>SUM(AH1447:AH1451)/1.18-SUM(AH2162:AH2166)*'Mark Up Validation'!$M$175</f>
        <v>0</v>
      </c>
      <c r="AJ2167" s="65"/>
      <c r="AV2167" s="56"/>
    </row>
    <row r="2168" spans="1:48" ht="13.5" hidden="1" customHeight="1" outlineLevel="2" thickBot="1">
      <c r="A2168" s="119"/>
      <c r="B2168" s="82"/>
      <c r="C2168" s="1228" t="s">
        <v>538</v>
      </c>
      <c r="D2168" s="1229"/>
      <c r="E2168" s="699"/>
      <c r="F2168" s="700"/>
      <c r="G2168" s="701"/>
      <c r="H2168" s="700"/>
      <c r="I2168" s="701"/>
      <c r="J2168" s="700"/>
      <c r="K2168" s="702"/>
      <c r="L2168" s="700"/>
      <c r="M2168" s="702"/>
      <c r="N2168" s="700"/>
      <c r="O2168" s="702"/>
      <c r="P2168" s="700"/>
      <c r="Q2168" s="702"/>
      <c r="R2168" s="703"/>
      <c r="S2168" s="729">
        <f>IF(S2167&gt;0,S2167/(SUM(R1447:R1451)/1.18),0)</f>
        <v>0</v>
      </c>
      <c r="T2168" s="704"/>
      <c r="U2168" s="702"/>
      <c r="V2168" s="700"/>
      <c r="W2168" s="702"/>
      <c r="X2168" s="700"/>
      <c r="Y2168" s="702"/>
      <c r="Z2168" s="700"/>
      <c r="AA2168" s="702"/>
      <c r="AB2168" s="700"/>
      <c r="AC2168" s="702"/>
      <c r="AD2168" s="700"/>
      <c r="AE2168" s="702"/>
      <c r="AF2168" s="705"/>
      <c r="AG2168" s="729">
        <f>IF(AG2167&gt;0,AG2167/(SUM(AF1447:AF1451)/1.18),0)</f>
        <v>0</v>
      </c>
      <c r="AH2168" s="706"/>
      <c r="AI2168" s="729">
        <f>IF(AI2167&gt;0,AI2167/(SUM(AH1447:AH1451)/1.18),0)</f>
        <v>0</v>
      </c>
      <c r="AJ2168" s="707"/>
      <c r="AV2168" s="56"/>
    </row>
    <row r="2169" spans="1:48" ht="12.75" hidden="1" customHeight="1" outlineLevel="2">
      <c r="A2169" s="73"/>
      <c r="B2169" s="82">
        <f>B2162+1</f>
        <v>1</v>
      </c>
      <c r="C2169" s="1233">
        <f>C1454</f>
        <v>0</v>
      </c>
      <c r="D2169" s="1233" t="str">
        <f>D1454</f>
        <v>Интернет решения ООО</v>
      </c>
      <c r="E2169" s="83" t="str">
        <f>'Terms and Turnovers'!$J$12</f>
        <v>FLIP-FLOPS</v>
      </c>
      <c r="F2169" s="68">
        <f>F1454/'Terms and Turnovers'!$J132</f>
        <v>0</v>
      </c>
      <c r="G2169" s="106"/>
      <c r="H2169" s="68">
        <f>H1454/'Terms and Turnovers'!$J132</f>
        <v>0</v>
      </c>
      <c r="I2169" s="106"/>
      <c r="J2169" s="68">
        <f>J1454/'Terms and Turnovers'!$J132</f>
        <v>0</v>
      </c>
      <c r="K2169" s="106"/>
      <c r="L2169" s="68">
        <f>L1454/'Terms and Turnovers'!$J132</f>
        <v>0</v>
      </c>
      <c r="M2169" s="106"/>
      <c r="N2169" s="68">
        <f>N1454/'Terms and Turnovers'!$J132</f>
        <v>0</v>
      </c>
      <c r="O2169" s="106"/>
      <c r="P2169" s="68">
        <f>P1454/'Terms and Turnovers'!$J132</f>
        <v>0</v>
      </c>
      <c r="Q2169" s="106"/>
      <c r="R2169" s="129">
        <f>SUM(F2169,H2169,J2169,L2169,N2169,P2169)</f>
        <v>0</v>
      </c>
      <c r="S2169" s="708"/>
      <c r="T2169" s="68">
        <f>T1454/'Terms and Turnovers'!$J132</f>
        <v>0</v>
      </c>
      <c r="U2169" s="106"/>
      <c r="V2169" s="68">
        <f>V1454/'Terms and Turnovers'!$J132</f>
        <v>0</v>
      </c>
      <c r="W2169" s="106"/>
      <c r="X2169" s="68">
        <f>X1454/'Terms and Turnovers'!$J132</f>
        <v>0</v>
      </c>
      <c r="Y2169" s="106"/>
      <c r="Z2169" s="68">
        <f>Z1454/'Terms and Turnovers'!$J132</f>
        <v>0</v>
      </c>
      <c r="AA2169" s="106"/>
      <c r="AB2169" s="68">
        <f>AB1454/'Terms and Turnovers'!$J132</f>
        <v>0</v>
      </c>
      <c r="AC2169" s="106"/>
      <c r="AD2169" s="68">
        <f>AD1454/'Terms and Turnovers'!$J132</f>
        <v>0</v>
      </c>
      <c r="AE2169" s="106"/>
      <c r="AF2169" s="129">
        <f>SUM(T2169,V2169,X2169,Z2169,AB2169,AD2169)</f>
        <v>0</v>
      </c>
      <c r="AG2169" s="106"/>
      <c r="AH2169" s="130">
        <f>SUM(AF2169,R2169)</f>
        <v>0</v>
      </c>
      <c r="AI2169" s="106"/>
      <c r="AJ2169" s="65"/>
      <c r="AV2169" s="56"/>
    </row>
    <row r="2170" spans="1:48" ht="12.75" hidden="1" customHeight="1" outlineLevel="2" thickBot="1">
      <c r="A2170" s="73"/>
      <c r="B2170" s="82"/>
      <c r="C2170" s="1234"/>
      <c r="D2170" s="1234"/>
      <c r="E2170" s="84" t="str">
        <f>'Terms and Turnovers'!$T$12</f>
        <v>ORIGINALS</v>
      </c>
      <c r="F2170" s="70">
        <f>F1455/'Terms and Turnovers'!$T132</f>
        <v>0</v>
      </c>
      <c r="G2170" s="728"/>
      <c r="H2170" s="70">
        <f>H1455/'Terms and Turnovers'!$T132</f>
        <v>0</v>
      </c>
      <c r="I2170" s="728"/>
      <c r="J2170" s="70">
        <f>J1455/'Terms and Turnovers'!$T132</f>
        <v>0</v>
      </c>
      <c r="K2170" s="728"/>
      <c r="L2170" s="70">
        <f>L1455/'Terms and Turnovers'!$T132</f>
        <v>0</v>
      </c>
      <c r="M2170" s="728"/>
      <c r="N2170" s="70">
        <f>N1455/'Terms and Turnovers'!$T132</f>
        <v>0</v>
      </c>
      <c r="O2170" s="728"/>
      <c r="P2170" s="70">
        <f>P1455/'Terms and Turnovers'!$T132</f>
        <v>0</v>
      </c>
      <c r="Q2170" s="728"/>
      <c r="R2170" s="132">
        <f>SUM(F2170,H2170,J2170,L2170,N2170,P2170)</f>
        <v>0</v>
      </c>
      <c r="S2170" s="728"/>
      <c r="T2170" s="70">
        <f>T1455/'Terms and Turnovers'!$T132</f>
        <v>0</v>
      </c>
      <c r="U2170" s="728"/>
      <c r="V2170" s="70">
        <f>V1455/'Terms and Turnovers'!$T132</f>
        <v>0</v>
      </c>
      <c r="W2170" s="728"/>
      <c r="X2170" s="70">
        <f>X1455/'Terms and Turnovers'!$T132</f>
        <v>0</v>
      </c>
      <c r="Y2170" s="728"/>
      <c r="Z2170" s="70">
        <f>Z1455/'Terms and Turnovers'!$T132</f>
        <v>0</v>
      </c>
      <c r="AA2170" s="728"/>
      <c r="AB2170" s="70">
        <f>AB1455/'Terms and Turnovers'!$T132</f>
        <v>0</v>
      </c>
      <c r="AC2170" s="728"/>
      <c r="AD2170" s="70">
        <f>AD1455/'Terms and Turnovers'!$T132</f>
        <v>0</v>
      </c>
      <c r="AE2170" s="728"/>
      <c r="AF2170" s="132">
        <f>SUM(T2170,V2170,X2170,Z2170,AB2170,AD2170)</f>
        <v>0</v>
      </c>
      <c r="AG2170" s="728"/>
      <c r="AH2170" s="133">
        <f>SUM(AF2170,R2170)</f>
        <v>0</v>
      </c>
      <c r="AI2170" s="728"/>
      <c r="AJ2170" s="65"/>
      <c r="AV2170" s="56"/>
    </row>
    <row r="2171" spans="1:48" ht="12.75" hidden="1" customHeight="1" outlineLevel="2">
      <c r="A2171" s="73"/>
      <c r="B2171" s="82"/>
      <c r="C2171" s="1234"/>
      <c r="D2171" s="1234"/>
      <c r="E2171" s="84" t="str">
        <f>'Terms and Turnovers'!$AD$12</f>
        <v>ACCESSORIES</v>
      </c>
      <c r="F2171" s="68">
        <f>F1456/'Terms and Turnovers'!$AD132</f>
        <v>0</v>
      </c>
      <c r="G2171" s="106"/>
      <c r="H2171" s="68">
        <f>H1456/'Terms and Turnovers'!$AD132</f>
        <v>0</v>
      </c>
      <c r="I2171" s="106"/>
      <c r="J2171" s="68">
        <f>J1456/'Terms and Turnovers'!$AD132</f>
        <v>0</v>
      </c>
      <c r="K2171" s="106"/>
      <c r="L2171" s="68">
        <f>L1456/'Terms and Turnovers'!$AD132</f>
        <v>0</v>
      </c>
      <c r="M2171" s="106"/>
      <c r="N2171" s="68">
        <f>N1456/'Terms and Turnovers'!$AD132</f>
        <v>0</v>
      </c>
      <c r="O2171" s="106"/>
      <c r="P2171" s="68">
        <f>P1456/'Terms and Turnovers'!$AD132</f>
        <v>0</v>
      </c>
      <c r="Q2171" s="728"/>
      <c r="R2171" s="132">
        <f>SUM(F2171,H2171,J2171,L2171,N2171,P2171)</f>
        <v>0</v>
      </c>
      <c r="S2171" s="728"/>
      <c r="T2171" s="68">
        <f>T1456/'Terms and Turnovers'!$AD132</f>
        <v>0</v>
      </c>
      <c r="U2171" s="106"/>
      <c r="V2171" s="68">
        <f>V1456/'Terms and Turnovers'!$AD132</f>
        <v>0</v>
      </c>
      <c r="W2171" s="106"/>
      <c r="X2171" s="68">
        <f>X1456/'Terms and Turnovers'!$AD132</f>
        <v>0</v>
      </c>
      <c r="Y2171" s="106"/>
      <c r="Z2171" s="68">
        <f>Z1456/'Terms and Turnovers'!$AD132</f>
        <v>0</v>
      </c>
      <c r="AA2171" s="106"/>
      <c r="AB2171" s="68">
        <f>AB1456/'Terms and Turnovers'!$AD132</f>
        <v>0</v>
      </c>
      <c r="AC2171" s="106"/>
      <c r="AD2171" s="68">
        <f>AD1456/'Terms and Turnovers'!$AD132</f>
        <v>0</v>
      </c>
      <c r="AE2171" s="728"/>
      <c r="AF2171" s="132">
        <f>SUM(T2171,V2171,X2171,Z2171,AB2171,AD2171)</f>
        <v>0</v>
      </c>
      <c r="AG2171" s="728"/>
      <c r="AH2171" s="133">
        <f>SUM(AF2171,R2171)</f>
        <v>0</v>
      </c>
      <c r="AI2171" s="728"/>
      <c r="AJ2171" s="65"/>
      <c r="AV2171" s="56"/>
    </row>
    <row r="2172" spans="1:48" ht="12.75" hidden="1" customHeight="1" outlineLevel="2" thickBot="1">
      <c r="A2172" s="73"/>
      <c r="B2172" s="82"/>
      <c r="C2172" s="1234"/>
      <c r="D2172" s="1234"/>
      <c r="E2172" s="84">
        <f>'Terms and Turnovers'!$AN$12</f>
        <v>0</v>
      </c>
      <c r="F2172" s="70">
        <f>F1457/'Terms and Turnovers'!$AN132</f>
        <v>0</v>
      </c>
      <c r="G2172" s="728"/>
      <c r="H2172" s="70">
        <f>H1457/'Terms and Turnovers'!$AN132</f>
        <v>0</v>
      </c>
      <c r="I2172" s="728"/>
      <c r="J2172" s="70">
        <f>J1457/'Terms and Turnovers'!$AN132</f>
        <v>0</v>
      </c>
      <c r="K2172" s="728"/>
      <c r="L2172" s="70">
        <f>L1457/'Terms and Turnovers'!$AN132</f>
        <v>0</v>
      </c>
      <c r="M2172" s="728"/>
      <c r="N2172" s="70">
        <f>N1457/'Terms and Turnovers'!$AN132</f>
        <v>0</v>
      </c>
      <c r="O2172" s="728"/>
      <c r="P2172" s="70">
        <f>P1457/'Terms and Turnovers'!$AN132</f>
        <v>0</v>
      </c>
      <c r="Q2172" s="728"/>
      <c r="R2172" s="132">
        <f>SUM(F2172,H2172,J2172,L2172,N2172,P2172)</f>
        <v>0</v>
      </c>
      <c r="S2172" s="728"/>
      <c r="T2172" s="70">
        <f>T1457/'Terms and Turnovers'!$AN132</f>
        <v>0</v>
      </c>
      <c r="U2172" s="728"/>
      <c r="V2172" s="70">
        <f>V1457/'Terms and Turnovers'!$AN132</f>
        <v>0</v>
      </c>
      <c r="W2172" s="728"/>
      <c r="X2172" s="70">
        <f>X1457/'Terms and Turnovers'!$AN132</f>
        <v>0</v>
      </c>
      <c r="Y2172" s="728"/>
      <c r="Z2172" s="70">
        <f>Z1457/'Terms and Turnovers'!$AN132</f>
        <v>0</v>
      </c>
      <c r="AA2172" s="728"/>
      <c r="AB2172" s="70">
        <f>AB1457/'Terms and Turnovers'!$AN132</f>
        <v>0</v>
      </c>
      <c r="AC2172" s="728"/>
      <c r="AD2172" s="70">
        <f>AD1457/'Terms and Turnovers'!$AN132</f>
        <v>0</v>
      </c>
      <c r="AE2172" s="728"/>
      <c r="AF2172" s="132">
        <f>SUM(T2172,V2172,X2172,Z2172,AB2172,AD2172)</f>
        <v>0</v>
      </c>
      <c r="AG2172" s="728"/>
      <c r="AH2172" s="133">
        <f>SUM(AF2172,R2172)</f>
        <v>0</v>
      </c>
      <c r="AI2172" s="728"/>
      <c r="AJ2172" s="65"/>
      <c r="AV2172" s="56"/>
    </row>
    <row r="2173" spans="1:48" ht="13.5" hidden="1" customHeight="1" outlineLevel="2" thickBot="1">
      <c r="A2173" s="73"/>
      <c r="B2173" s="82"/>
      <c r="C2173" s="1235"/>
      <c r="D2173" s="1235"/>
      <c r="E2173" s="85">
        <f>'Terms and Turnovers'!$AX$12</f>
        <v>0</v>
      </c>
      <c r="F2173" s="68">
        <f>F1458/'Terms and Turnovers'!$AX132</f>
        <v>0</v>
      </c>
      <c r="G2173" s="106"/>
      <c r="H2173" s="68">
        <f>H1458/'Terms and Turnovers'!$AX132</f>
        <v>0</v>
      </c>
      <c r="I2173" s="106"/>
      <c r="J2173" s="68">
        <f>J1458/'Terms and Turnovers'!$AX132</f>
        <v>0</v>
      </c>
      <c r="K2173" s="106"/>
      <c r="L2173" s="68">
        <f>L1458/'Terms and Turnovers'!$AX132</f>
        <v>0</v>
      </c>
      <c r="M2173" s="106"/>
      <c r="N2173" s="68">
        <f>N1458/'Terms and Turnovers'!$AX132</f>
        <v>0</v>
      </c>
      <c r="O2173" s="106"/>
      <c r="P2173" s="68">
        <f>P1458/'Terms and Turnovers'!$AX132</f>
        <v>0</v>
      </c>
      <c r="Q2173" s="107"/>
      <c r="R2173" s="135">
        <f>SUM(F2173,H2173,J2173,L2173,N2173,P2173)</f>
        <v>0</v>
      </c>
      <c r="S2173" s="107"/>
      <c r="T2173" s="68">
        <f>T1458/'Terms and Turnovers'!$AX132</f>
        <v>0</v>
      </c>
      <c r="U2173" s="106"/>
      <c r="V2173" s="68">
        <f>V1458/'Terms and Turnovers'!$AX132</f>
        <v>0</v>
      </c>
      <c r="W2173" s="106"/>
      <c r="X2173" s="68">
        <f>X1458/'Terms and Turnovers'!$AX132</f>
        <v>0</v>
      </c>
      <c r="Y2173" s="106"/>
      <c r="Z2173" s="68">
        <f>Z1458/'Terms and Turnovers'!$AX132</f>
        <v>0</v>
      </c>
      <c r="AA2173" s="106"/>
      <c r="AB2173" s="68">
        <f>AB1458/'Terms and Turnovers'!$AX132</f>
        <v>0</v>
      </c>
      <c r="AC2173" s="106"/>
      <c r="AD2173" s="68">
        <f>AD1458/'Terms and Turnovers'!$AX132</f>
        <v>0</v>
      </c>
      <c r="AE2173" s="107"/>
      <c r="AF2173" s="135">
        <f>SUM(T2173,V2173,X2173,Z2173,AB2173,AD2173)</f>
        <v>0</v>
      </c>
      <c r="AG2173" s="107"/>
      <c r="AH2173" s="136">
        <f>SUM(AF2173,R2173)</f>
        <v>0</v>
      </c>
      <c r="AI2173" s="107"/>
      <c r="AJ2173" s="65"/>
      <c r="AV2173" s="56"/>
    </row>
    <row r="2174" spans="1:48" ht="13.5" hidden="1" customHeight="1" outlineLevel="2" thickBot="1">
      <c r="A2174" s="119"/>
      <c r="B2174" s="82"/>
      <c r="C2174" s="425"/>
      <c r="D2174" s="425"/>
      <c r="E2174" s="634"/>
      <c r="F2174" s="635"/>
      <c r="G2174" s="107"/>
      <c r="H2174" s="635"/>
      <c r="I2174" s="107"/>
      <c r="J2174" s="635"/>
      <c r="K2174" s="636"/>
      <c r="L2174" s="635"/>
      <c r="M2174" s="636"/>
      <c r="N2174" s="635"/>
      <c r="O2174" s="636"/>
      <c r="P2174" s="635"/>
      <c r="Q2174" s="636"/>
      <c r="R2174" s="637"/>
      <c r="S2174" s="698">
        <f>SUM(R1454:R1458)/1.18-SUM(R2169:R2173)*'Mark Up Validation'!$M$175</f>
        <v>0</v>
      </c>
      <c r="T2174" s="635"/>
      <c r="U2174" s="636"/>
      <c r="V2174" s="635"/>
      <c r="W2174" s="636"/>
      <c r="X2174" s="635"/>
      <c r="Y2174" s="636"/>
      <c r="Z2174" s="635"/>
      <c r="AA2174" s="636"/>
      <c r="AB2174" s="635"/>
      <c r="AC2174" s="636"/>
      <c r="AD2174" s="635"/>
      <c r="AE2174" s="636"/>
      <c r="AF2174" s="637"/>
      <c r="AG2174" s="698">
        <f>SUM(AF1454:AF1458)/1.18-SUM(AF2169:AF2173)*'Mark Up Validation'!$M$175</f>
        <v>0</v>
      </c>
      <c r="AH2174" s="638"/>
      <c r="AI2174" s="698">
        <f>SUM(AH1454:AH1458)/1.18-SUM(AH2169:AH2173)*'Mark Up Validation'!$M$175</f>
        <v>0</v>
      </c>
      <c r="AJ2174" s="65"/>
      <c r="AV2174" s="56"/>
    </row>
    <row r="2175" spans="1:48" ht="13.5" hidden="1" customHeight="1" outlineLevel="2" thickBot="1">
      <c r="A2175" s="119"/>
      <c r="B2175" s="82"/>
      <c r="C2175" s="1228" t="s">
        <v>538</v>
      </c>
      <c r="D2175" s="1229"/>
      <c r="E2175" s="699"/>
      <c r="F2175" s="700"/>
      <c r="G2175" s="701"/>
      <c r="H2175" s="700"/>
      <c r="I2175" s="701"/>
      <c r="J2175" s="700"/>
      <c r="K2175" s="702"/>
      <c r="L2175" s="700"/>
      <c r="M2175" s="702"/>
      <c r="N2175" s="700"/>
      <c r="O2175" s="702"/>
      <c r="P2175" s="700"/>
      <c r="Q2175" s="702"/>
      <c r="R2175" s="703"/>
      <c r="S2175" s="729">
        <f>IF(S2174&gt;0,S2174/(SUM(R1454:R1458)/1.18),0)</f>
        <v>0</v>
      </c>
      <c r="T2175" s="704"/>
      <c r="U2175" s="702"/>
      <c r="V2175" s="700"/>
      <c r="W2175" s="702"/>
      <c r="X2175" s="700"/>
      <c r="Y2175" s="702"/>
      <c r="Z2175" s="700"/>
      <c r="AA2175" s="702"/>
      <c r="AB2175" s="700"/>
      <c r="AC2175" s="702"/>
      <c r="AD2175" s="700"/>
      <c r="AE2175" s="702"/>
      <c r="AF2175" s="705"/>
      <c r="AG2175" s="729">
        <f>IF(AG2174&gt;0,AG2174/(SUM(AF1454:AF1458)/1.18),0)</f>
        <v>0</v>
      </c>
      <c r="AH2175" s="706"/>
      <c r="AI2175" s="729">
        <f>IF(AI2174&gt;0,AI2174/(SUM(AH1454:AH1458)/1.18),0)</f>
        <v>0</v>
      </c>
      <c r="AJ2175" s="707"/>
      <c r="AV2175" s="56"/>
    </row>
    <row r="2176" spans="1:48" ht="12.75" hidden="1" customHeight="1" outlineLevel="2">
      <c r="A2176" s="73"/>
      <c r="B2176" s="82">
        <f>B2169+1</f>
        <v>2</v>
      </c>
      <c r="C2176" s="1233">
        <f>C1461</f>
        <v>0</v>
      </c>
      <c r="D2176" s="1233" t="str">
        <f>D1461</f>
        <v>Купишуз ООО</v>
      </c>
      <c r="E2176" s="83" t="str">
        <f>'Terms and Turnovers'!$J$12</f>
        <v>FLIP-FLOPS</v>
      </c>
      <c r="F2176" s="68">
        <f>F1461/'Terms and Turnovers'!$J133</f>
        <v>0</v>
      </c>
      <c r="G2176" s="106"/>
      <c r="H2176" s="68">
        <f>H1461/'Terms and Turnovers'!$J133</f>
        <v>0</v>
      </c>
      <c r="I2176" s="106"/>
      <c r="J2176" s="68">
        <f>J1461/'Terms and Turnovers'!$J133</f>
        <v>0</v>
      </c>
      <c r="K2176" s="106"/>
      <c r="L2176" s="68">
        <f>L1461/'Terms and Turnovers'!$J133</f>
        <v>0</v>
      </c>
      <c r="M2176" s="106"/>
      <c r="N2176" s="68">
        <f>N1461/'Terms and Turnovers'!$J133</f>
        <v>0</v>
      </c>
      <c r="O2176" s="106"/>
      <c r="P2176" s="68">
        <f>P1461/'Terms and Turnovers'!$J133</f>
        <v>0</v>
      </c>
      <c r="Q2176" s="106"/>
      <c r="R2176" s="129">
        <f>SUM(F2176,H2176,J2176,L2176,N2176,P2176)</f>
        <v>0</v>
      </c>
      <c r="S2176" s="106"/>
      <c r="T2176" s="68">
        <f>T1461/'Terms and Turnovers'!$J133</f>
        <v>0</v>
      </c>
      <c r="U2176" s="106"/>
      <c r="V2176" s="68">
        <f>V1461/'Terms and Turnovers'!$J133</f>
        <v>0</v>
      </c>
      <c r="W2176" s="106"/>
      <c r="X2176" s="68">
        <f>X1461/'Terms and Turnovers'!$J133</f>
        <v>0</v>
      </c>
      <c r="Y2176" s="106"/>
      <c r="Z2176" s="68">
        <f>Z1461/'Terms and Turnovers'!$J133</f>
        <v>0</v>
      </c>
      <c r="AA2176" s="106"/>
      <c r="AB2176" s="68">
        <f>AB1461/'Terms and Turnovers'!$J133</f>
        <v>0</v>
      </c>
      <c r="AC2176" s="106"/>
      <c r="AD2176" s="68">
        <f>AD1461/'Terms and Turnovers'!$J133</f>
        <v>0</v>
      </c>
      <c r="AE2176" s="106"/>
      <c r="AF2176" s="129">
        <f>SUM(T2176,V2176,X2176,Z2176,AB2176,AD2176)</f>
        <v>0</v>
      </c>
      <c r="AG2176" s="106"/>
      <c r="AH2176" s="130">
        <f>SUM(AF2176,R2176)</f>
        <v>0</v>
      </c>
      <c r="AI2176" s="106"/>
      <c r="AJ2176" s="65"/>
      <c r="AV2176" s="56"/>
    </row>
    <row r="2177" spans="1:48" ht="12.75" hidden="1" customHeight="1" outlineLevel="2" thickBot="1">
      <c r="A2177" s="73"/>
      <c r="B2177" s="82"/>
      <c r="C2177" s="1234"/>
      <c r="D2177" s="1234"/>
      <c r="E2177" s="84" t="str">
        <f>'Terms and Turnovers'!$T$12</f>
        <v>ORIGINALS</v>
      </c>
      <c r="F2177" s="70">
        <f>F1462/'Terms and Turnovers'!$T133</f>
        <v>0</v>
      </c>
      <c r="G2177" s="728"/>
      <c r="H2177" s="70">
        <f>H1462/'Terms and Turnovers'!$T133</f>
        <v>0</v>
      </c>
      <c r="I2177" s="728"/>
      <c r="J2177" s="70">
        <f>J1462/'Terms and Turnovers'!$T133</f>
        <v>0</v>
      </c>
      <c r="K2177" s="728"/>
      <c r="L2177" s="70">
        <f>L1462/'Terms and Turnovers'!$T133</f>
        <v>0</v>
      </c>
      <c r="M2177" s="728"/>
      <c r="N2177" s="70">
        <f>N1462/'Terms and Turnovers'!$T133</f>
        <v>0</v>
      </c>
      <c r="O2177" s="728"/>
      <c r="P2177" s="70">
        <f>P1462/'Terms and Turnovers'!$T133</f>
        <v>0</v>
      </c>
      <c r="Q2177" s="728"/>
      <c r="R2177" s="132">
        <f>SUM(F2177,H2177,J2177,L2177,N2177,P2177)</f>
        <v>0</v>
      </c>
      <c r="S2177" s="728"/>
      <c r="T2177" s="70">
        <f>T1462/'Terms and Turnovers'!$T133</f>
        <v>0</v>
      </c>
      <c r="U2177" s="728"/>
      <c r="V2177" s="70">
        <f>V1462/'Terms and Turnovers'!$T133</f>
        <v>0</v>
      </c>
      <c r="W2177" s="728"/>
      <c r="X2177" s="70">
        <f>X1462/'Terms and Turnovers'!$T133</f>
        <v>0</v>
      </c>
      <c r="Y2177" s="728"/>
      <c r="Z2177" s="70">
        <f>Z1462/'Terms and Turnovers'!$T133</f>
        <v>0</v>
      </c>
      <c r="AA2177" s="728"/>
      <c r="AB2177" s="70">
        <f>AB1462/'Terms and Turnovers'!$T133</f>
        <v>0</v>
      </c>
      <c r="AC2177" s="728"/>
      <c r="AD2177" s="70">
        <f>AD1462/'Terms and Turnovers'!$T133</f>
        <v>0</v>
      </c>
      <c r="AE2177" s="728"/>
      <c r="AF2177" s="132">
        <f>SUM(T2177,V2177,X2177,Z2177,AB2177,AD2177)</f>
        <v>0</v>
      </c>
      <c r="AG2177" s="728"/>
      <c r="AH2177" s="133">
        <f>SUM(AF2177,R2177)</f>
        <v>0</v>
      </c>
      <c r="AI2177" s="728"/>
      <c r="AJ2177" s="65"/>
      <c r="AV2177" s="56"/>
    </row>
    <row r="2178" spans="1:48" ht="12.75" hidden="1" customHeight="1" outlineLevel="2">
      <c r="A2178" s="73"/>
      <c r="B2178" s="82"/>
      <c r="C2178" s="1234"/>
      <c r="D2178" s="1234"/>
      <c r="E2178" s="84" t="str">
        <f>'Terms and Turnovers'!$AD$12</f>
        <v>ACCESSORIES</v>
      </c>
      <c r="F2178" s="68">
        <f>F1463/'Terms and Turnovers'!$AD133</f>
        <v>0</v>
      </c>
      <c r="G2178" s="728"/>
      <c r="H2178" s="68">
        <f>H1463/'Terms and Turnovers'!$AD133</f>
        <v>0</v>
      </c>
      <c r="I2178" s="728"/>
      <c r="J2178" s="68">
        <f>J1463/'Terms and Turnovers'!$AD133</f>
        <v>0</v>
      </c>
      <c r="K2178" s="728"/>
      <c r="L2178" s="68">
        <f>L1463/'Terms and Turnovers'!$AD133</f>
        <v>0</v>
      </c>
      <c r="M2178" s="728"/>
      <c r="N2178" s="68">
        <f>N1463/'Terms and Turnovers'!$AD133</f>
        <v>0</v>
      </c>
      <c r="O2178" s="728"/>
      <c r="P2178" s="68">
        <f>P1463/'Terms and Turnovers'!$AD133</f>
        <v>0</v>
      </c>
      <c r="Q2178" s="728"/>
      <c r="R2178" s="132">
        <f>SUM(F2178,H2178,J2178,L2178,N2178,P2178)</f>
        <v>0</v>
      </c>
      <c r="S2178" s="728"/>
      <c r="T2178" s="68">
        <f>T1463/'Terms and Turnovers'!$AD133</f>
        <v>0</v>
      </c>
      <c r="U2178" s="728"/>
      <c r="V2178" s="68">
        <f>V1463/'Terms and Turnovers'!$AD133</f>
        <v>0</v>
      </c>
      <c r="W2178" s="728"/>
      <c r="X2178" s="68">
        <f>X1463/'Terms and Turnovers'!$AD133</f>
        <v>0</v>
      </c>
      <c r="Y2178" s="728"/>
      <c r="Z2178" s="68">
        <f>Z1463/'Terms and Turnovers'!$AD133</f>
        <v>0</v>
      </c>
      <c r="AA2178" s="728"/>
      <c r="AB2178" s="68">
        <f>AB1463/'Terms and Turnovers'!$AD133</f>
        <v>0</v>
      </c>
      <c r="AC2178" s="728"/>
      <c r="AD2178" s="68">
        <f>AD1463/'Terms and Turnovers'!$AD133</f>
        <v>0</v>
      </c>
      <c r="AE2178" s="728"/>
      <c r="AF2178" s="132">
        <f>SUM(T2178,V2178,X2178,Z2178,AB2178,AD2178)</f>
        <v>0</v>
      </c>
      <c r="AG2178" s="728"/>
      <c r="AH2178" s="133">
        <f>SUM(AF2178,R2178)</f>
        <v>0</v>
      </c>
      <c r="AI2178" s="728"/>
      <c r="AJ2178" s="65"/>
      <c r="AV2178" s="56"/>
    </row>
    <row r="2179" spans="1:48" ht="12.75" hidden="1" customHeight="1" outlineLevel="2" thickBot="1">
      <c r="A2179" s="73"/>
      <c r="B2179" s="82"/>
      <c r="C2179" s="1234"/>
      <c r="D2179" s="1234"/>
      <c r="E2179" s="84">
        <f>'Terms and Turnovers'!$AN$12</f>
        <v>0</v>
      </c>
      <c r="F2179" s="70">
        <f>F1464/'Terms and Turnovers'!$AN133</f>
        <v>0</v>
      </c>
      <c r="G2179" s="728"/>
      <c r="H2179" s="70">
        <f>H1464/'Terms and Turnovers'!$AN133</f>
        <v>0</v>
      </c>
      <c r="I2179" s="728"/>
      <c r="J2179" s="70">
        <f>J1464/'Terms and Turnovers'!$AN133</f>
        <v>0</v>
      </c>
      <c r="K2179" s="728"/>
      <c r="L2179" s="70">
        <f>L1464/'Terms and Turnovers'!$AN133</f>
        <v>0</v>
      </c>
      <c r="M2179" s="728"/>
      <c r="N2179" s="70">
        <f>N1464/'Terms and Turnovers'!$AN133</f>
        <v>0</v>
      </c>
      <c r="O2179" s="728"/>
      <c r="P2179" s="70">
        <f>P1464/'Terms and Turnovers'!$AN133</f>
        <v>0</v>
      </c>
      <c r="Q2179" s="728"/>
      <c r="R2179" s="132">
        <f>SUM(F2179,H2179,J2179,L2179,N2179,P2179)</f>
        <v>0</v>
      </c>
      <c r="S2179" s="728"/>
      <c r="T2179" s="70">
        <f>T1464/'Terms and Turnovers'!$AN133</f>
        <v>0</v>
      </c>
      <c r="U2179" s="728"/>
      <c r="V2179" s="70">
        <f>V1464/'Terms and Turnovers'!$AN133</f>
        <v>0</v>
      </c>
      <c r="W2179" s="728"/>
      <c r="X2179" s="70">
        <f>X1464/'Terms and Turnovers'!$AN133</f>
        <v>0</v>
      </c>
      <c r="Y2179" s="728"/>
      <c r="Z2179" s="70">
        <f>Z1464/'Terms and Turnovers'!$AN133</f>
        <v>0</v>
      </c>
      <c r="AA2179" s="728"/>
      <c r="AB2179" s="70">
        <f>AB1464/'Terms and Turnovers'!$AN133</f>
        <v>0</v>
      </c>
      <c r="AC2179" s="728"/>
      <c r="AD2179" s="70">
        <f>AD1464/'Terms and Turnovers'!$AN133</f>
        <v>0</v>
      </c>
      <c r="AE2179" s="728"/>
      <c r="AF2179" s="132">
        <f>SUM(T2179,V2179,X2179,Z2179,AB2179,AD2179)</f>
        <v>0</v>
      </c>
      <c r="AG2179" s="728"/>
      <c r="AH2179" s="133">
        <f>SUM(AF2179,R2179)</f>
        <v>0</v>
      </c>
      <c r="AI2179" s="728"/>
      <c r="AJ2179" s="65"/>
      <c r="AV2179" s="56"/>
    </row>
    <row r="2180" spans="1:48" ht="13.5" hidden="1" customHeight="1" outlineLevel="2" thickBot="1">
      <c r="A2180" s="73"/>
      <c r="B2180" s="82"/>
      <c r="C2180" s="1235"/>
      <c r="D2180" s="1235"/>
      <c r="E2180" s="85">
        <f>'Terms and Turnovers'!$AX$12</f>
        <v>0</v>
      </c>
      <c r="F2180" s="68">
        <f>F1465/'Terms and Turnovers'!$AX133</f>
        <v>0</v>
      </c>
      <c r="G2180" s="728"/>
      <c r="H2180" s="68">
        <f>H1465/'Terms and Turnovers'!$AX133</f>
        <v>0</v>
      </c>
      <c r="I2180" s="728"/>
      <c r="J2180" s="68">
        <f>J1465/'Terms and Turnovers'!$AX133</f>
        <v>0</v>
      </c>
      <c r="K2180" s="728"/>
      <c r="L2180" s="68">
        <f>L1465/'Terms and Turnovers'!$AX133</f>
        <v>0</v>
      </c>
      <c r="M2180" s="728"/>
      <c r="N2180" s="68">
        <f>N1465/'Terms and Turnovers'!$AX133</f>
        <v>0</v>
      </c>
      <c r="O2180" s="728"/>
      <c r="P2180" s="68">
        <f>P1465/'Terms and Turnovers'!$AX133</f>
        <v>0</v>
      </c>
      <c r="Q2180" s="728"/>
      <c r="R2180" s="135">
        <f>SUM(F2180,H2180,J2180,L2180,N2180,P2180)</f>
        <v>0</v>
      </c>
      <c r="S2180" s="107"/>
      <c r="T2180" s="68">
        <f>T1465/'Terms and Turnovers'!$AX133</f>
        <v>0</v>
      </c>
      <c r="U2180" s="107"/>
      <c r="V2180" s="68">
        <f>V1465/'Terms and Turnovers'!$AX133</f>
        <v>0</v>
      </c>
      <c r="W2180" s="107"/>
      <c r="X2180" s="68">
        <f>X1465/'Terms and Turnovers'!$AX133</f>
        <v>0</v>
      </c>
      <c r="Y2180" s="107"/>
      <c r="Z2180" s="68">
        <f>Z1465/'Terms and Turnovers'!$AX133</f>
        <v>0</v>
      </c>
      <c r="AA2180" s="107"/>
      <c r="AB2180" s="68">
        <f>AB1465/'Terms and Turnovers'!$AX133</f>
        <v>0</v>
      </c>
      <c r="AC2180" s="107"/>
      <c r="AD2180" s="68">
        <f>AD1465/'Terms and Turnovers'!$AX133</f>
        <v>0</v>
      </c>
      <c r="AE2180" s="107"/>
      <c r="AF2180" s="135">
        <f>SUM(T2180,V2180,X2180,Z2180,AB2180,AD2180)</f>
        <v>0</v>
      </c>
      <c r="AG2180" s="107"/>
      <c r="AH2180" s="136">
        <f>SUM(AF2180,R2180)</f>
        <v>0</v>
      </c>
      <c r="AI2180" s="107"/>
      <c r="AJ2180" s="65"/>
      <c r="AV2180" s="56"/>
    </row>
    <row r="2181" spans="1:48" ht="13.5" hidden="1" customHeight="1" outlineLevel="2">
      <c r="A2181" s="73"/>
      <c r="B2181" s="82"/>
      <c r="C2181" s="425"/>
      <c r="D2181" s="425"/>
      <c r="E2181" s="634"/>
      <c r="F2181" s="635"/>
      <c r="G2181" s="428"/>
      <c r="H2181" s="635"/>
      <c r="I2181" s="428"/>
      <c r="J2181" s="635"/>
      <c r="K2181" s="636"/>
      <c r="L2181" s="635"/>
      <c r="M2181" s="636"/>
      <c r="N2181" s="635"/>
      <c r="O2181" s="636"/>
      <c r="P2181" s="635"/>
      <c r="Q2181" s="636"/>
      <c r="R2181" s="637"/>
      <c r="S2181" s="698">
        <f>SUM(R1461:R1465)/1.18-(SUM(R2176:R2180)*'Mark Up Validation'!$M$175)</f>
        <v>0</v>
      </c>
      <c r="T2181" s="635"/>
      <c r="U2181" s="636"/>
      <c r="V2181" s="635"/>
      <c r="W2181" s="636"/>
      <c r="X2181" s="635"/>
      <c r="Y2181" s="636"/>
      <c r="Z2181" s="635"/>
      <c r="AA2181" s="636"/>
      <c r="AB2181" s="635"/>
      <c r="AC2181" s="636"/>
      <c r="AD2181" s="635"/>
      <c r="AE2181" s="636"/>
      <c r="AF2181" s="637"/>
      <c r="AG2181" s="698">
        <f>SUM(AF1461:AF1465)/1.18-SUM(AF2176:AF2180)*'Mark Up Validation'!$M$175</f>
        <v>0</v>
      </c>
      <c r="AH2181" s="638"/>
      <c r="AI2181" s="698">
        <f>SUM(AH1461:AH1465)/1.18-SUM(AH2176:AH2180)*'Mark Up Validation'!$M$175</f>
        <v>0</v>
      </c>
      <c r="AJ2181" s="65"/>
      <c r="AV2181" s="56"/>
    </row>
    <row r="2182" spans="1:48" ht="13.5" hidden="1" customHeight="1" outlineLevel="2" thickBot="1">
      <c r="A2182" s="73"/>
      <c r="B2182" s="82"/>
      <c r="C2182" s="1228" t="s">
        <v>538</v>
      </c>
      <c r="D2182" s="1229"/>
      <c r="E2182" s="699"/>
      <c r="F2182" s="700"/>
      <c r="G2182" s="701"/>
      <c r="H2182" s="700"/>
      <c r="I2182" s="701"/>
      <c r="J2182" s="700"/>
      <c r="K2182" s="702"/>
      <c r="L2182" s="700"/>
      <c r="M2182" s="702"/>
      <c r="N2182" s="700"/>
      <c r="O2182" s="702"/>
      <c r="P2182" s="700"/>
      <c r="Q2182" s="702"/>
      <c r="R2182" s="703"/>
      <c r="S2182" s="729">
        <f>IF(S2181&gt;0,S2181/(SUM(R1461:R1465)/1.18),0)</f>
        <v>0</v>
      </c>
      <c r="T2182" s="704"/>
      <c r="U2182" s="702"/>
      <c r="V2182" s="700"/>
      <c r="W2182" s="702"/>
      <c r="X2182" s="700"/>
      <c r="Y2182" s="702"/>
      <c r="Z2182" s="700"/>
      <c r="AA2182" s="702"/>
      <c r="AB2182" s="700"/>
      <c r="AC2182" s="702"/>
      <c r="AD2182" s="700"/>
      <c r="AE2182" s="702"/>
      <c r="AF2182" s="705"/>
      <c r="AG2182" s="729">
        <f>IF(AG2181&gt;0,AG2181/(SUM(AF1461:AF1465)/1.18),0)</f>
        <v>0</v>
      </c>
      <c r="AH2182" s="706"/>
      <c r="AI2182" s="729">
        <f>IF(AI2181&gt;0,AI2181/(SUM(AH1461:AH1465)/1.18),0)</f>
        <v>0</v>
      </c>
      <c r="AJ2182" s="65"/>
      <c r="AV2182" s="56"/>
    </row>
    <row r="2183" spans="1:48" ht="12.75" hidden="1" customHeight="1" outlineLevel="2">
      <c r="A2183" s="73"/>
      <c r="B2183" s="82">
        <f>B2176+1</f>
        <v>3</v>
      </c>
      <c r="C2183" s="1233">
        <f>C1468</f>
        <v>0</v>
      </c>
      <c r="D2183" s="1233" t="str">
        <f>D1468</f>
        <v>Траектория ООО</v>
      </c>
      <c r="E2183" s="83" t="str">
        <f>'Terms and Turnovers'!$J$12</f>
        <v>FLIP-FLOPS</v>
      </c>
      <c r="F2183" s="68">
        <f>F1468/'Terms and Turnovers'!$J134</f>
        <v>0</v>
      </c>
      <c r="G2183" s="106"/>
      <c r="H2183" s="68">
        <f>H1468/'Terms and Turnovers'!$J134</f>
        <v>0</v>
      </c>
      <c r="I2183" s="106"/>
      <c r="J2183" s="68">
        <f>J1468/'Terms and Turnovers'!$J134</f>
        <v>0</v>
      </c>
      <c r="K2183" s="106"/>
      <c r="L2183" s="68">
        <f>L1468/'Terms and Turnovers'!$J134</f>
        <v>0</v>
      </c>
      <c r="M2183" s="106"/>
      <c r="N2183" s="68">
        <f>N1468/'Terms and Turnovers'!$J134</f>
        <v>0</v>
      </c>
      <c r="O2183" s="106"/>
      <c r="P2183" s="68">
        <f>P1468/'Terms and Turnovers'!$J134</f>
        <v>0</v>
      </c>
      <c r="Q2183" s="106"/>
      <c r="R2183" s="129">
        <f>SUM(F2183,H2183,J2183,L2183,N2183,P2183)</f>
        <v>0</v>
      </c>
      <c r="S2183" s="106"/>
      <c r="T2183" s="68">
        <f>T1468/'Terms and Turnovers'!$J134</f>
        <v>0</v>
      </c>
      <c r="U2183" s="106"/>
      <c r="V2183" s="68">
        <f>V1468/'Terms and Turnovers'!$J134</f>
        <v>0</v>
      </c>
      <c r="W2183" s="106"/>
      <c r="X2183" s="68">
        <f>X1468/'Terms and Turnovers'!$J134</f>
        <v>0</v>
      </c>
      <c r="Y2183" s="106"/>
      <c r="Z2183" s="68">
        <f>Z1468/'Terms and Turnovers'!$J134</f>
        <v>0</v>
      </c>
      <c r="AA2183" s="106"/>
      <c r="AB2183" s="68">
        <f>AB1468/'Terms and Turnovers'!$J134</f>
        <v>0</v>
      </c>
      <c r="AC2183" s="106"/>
      <c r="AD2183" s="68">
        <f>AD1468/'Terms and Turnovers'!$J134</f>
        <v>0</v>
      </c>
      <c r="AE2183" s="106"/>
      <c r="AF2183" s="129">
        <f>SUM(T2183,V2183,X2183,Z2183,AB2183,AD2183)</f>
        <v>0</v>
      </c>
      <c r="AG2183" s="106"/>
      <c r="AH2183" s="130">
        <f>SUM(AF2183,R2183)</f>
        <v>0</v>
      </c>
      <c r="AI2183" s="106"/>
      <c r="AJ2183" s="65"/>
      <c r="AV2183" s="56"/>
    </row>
    <row r="2184" spans="1:48" ht="12.75" hidden="1" customHeight="1" outlineLevel="2" thickBot="1">
      <c r="A2184" s="73"/>
      <c r="B2184" s="82"/>
      <c r="C2184" s="1234"/>
      <c r="D2184" s="1234"/>
      <c r="E2184" s="84" t="str">
        <f>'Terms and Turnovers'!$T$12</f>
        <v>ORIGINALS</v>
      </c>
      <c r="F2184" s="70">
        <f>F1469/'Terms and Turnovers'!$T134</f>
        <v>0</v>
      </c>
      <c r="G2184" s="728"/>
      <c r="H2184" s="70">
        <f>H1469/'Terms and Turnovers'!$T134</f>
        <v>0</v>
      </c>
      <c r="I2184" s="728"/>
      <c r="J2184" s="70">
        <f>J1469/'Terms and Turnovers'!$T134</f>
        <v>0</v>
      </c>
      <c r="K2184" s="728"/>
      <c r="L2184" s="70">
        <f>L1469/'Terms and Turnovers'!$T134</f>
        <v>0</v>
      </c>
      <c r="M2184" s="728"/>
      <c r="N2184" s="70">
        <f>N1469/'Terms and Turnovers'!$T134</f>
        <v>0</v>
      </c>
      <c r="O2184" s="728"/>
      <c r="P2184" s="70">
        <f>P1469/'Terms and Turnovers'!$T134</f>
        <v>0</v>
      </c>
      <c r="Q2184" s="728"/>
      <c r="R2184" s="132">
        <f>SUM(F2184,H2184,J2184,L2184,N2184,P2184)</f>
        <v>0</v>
      </c>
      <c r="S2184" s="728"/>
      <c r="T2184" s="70">
        <f>T1469/'Terms and Turnovers'!$T134</f>
        <v>0</v>
      </c>
      <c r="U2184" s="728"/>
      <c r="V2184" s="70">
        <f>V1469/'Terms and Turnovers'!$T134</f>
        <v>0</v>
      </c>
      <c r="W2184" s="728"/>
      <c r="X2184" s="70">
        <f>X1469/'Terms and Turnovers'!$T134</f>
        <v>0</v>
      </c>
      <c r="Y2184" s="728"/>
      <c r="Z2184" s="70">
        <f>Z1469/'Terms and Turnovers'!$T134</f>
        <v>0</v>
      </c>
      <c r="AA2184" s="728"/>
      <c r="AB2184" s="70">
        <f>AB1469/'Terms and Turnovers'!$T134</f>
        <v>0</v>
      </c>
      <c r="AC2184" s="728"/>
      <c r="AD2184" s="70">
        <f>AD1469/'Terms and Turnovers'!$T134</f>
        <v>0</v>
      </c>
      <c r="AE2184" s="728"/>
      <c r="AF2184" s="132">
        <f>SUM(T2184,V2184,X2184,Z2184,AB2184,AD2184)</f>
        <v>0</v>
      </c>
      <c r="AG2184" s="728"/>
      <c r="AH2184" s="133">
        <f>SUM(AF2184,R2184)</f>
        <v>0</v>
      </c>
      <c r="AI2184" s="728"/>
      <c r="AJ2184" s="65"/>
      <c r="AV2184" s="56"/>
    </row>
    <row r="2185" spans="1:48" ht="12.75" hidden="1" customHeight="1" outlineLevel="2">
      <c r="A2185" s="73"/>
      <c r="B2185" s="82"/>
      <c r="C2185" s="1234"/>
      <c r="D2185" s="1234"/>
      <c r="E2185" s="84" t="str">
        <f>'Terms and Turnovers'!$AD$12</f>
        <v>ACCESSORIES</v>
      </c>
      <c r="F2185" s="68">
        <f>F1470/'Terms and Turnovers'!$AD134</f>
        <v>0</v>
      </c>
      <c r="G2185" s="728"/>
      <c r="H2185" s="68">
        <f>H1470/'Terms and Turnovers'!$AD134</f>
        <v>0</v>
      </c>
      <c r="I2185" s="728"/>
      <c r="J2185" s="68">
        <f>J1470/'Terms and Turnovers'!$AD134</f>
        <v>0</v>
      </c>
      <c r="K2185" s="728"/>
      <c r="L2185" s="68">
        <f>L1470/'Terms and Turnovers'!$AD134</f>
        <v>0</v>
      </c>
      <c r="M2185" s="728"/>
      <c r="N2185" s="68">
        <f>N1470/'Terms and Turnovers'!$AD134</f>
        <v>0</v>
      </c>
      <c r="O2185" s="728"/>
      <c r="P2185" s="68">
        <f>P1470/'Terms and Turnovers'!$AD134</f>
        <v>0</v>
      </c>
      <c r="Q2185" s="728"/>
      <c r="R2185" s="132">
        <f>SUM(F2185,H2185,J2185,L2185,N2185,P2185)</f>
        <v>0</v>
      </c>
      <c r="S2185" s="728"/>
      <c r="T2185" s="68">
        <f>T1470/'Terms and Turnovers'!$AD134</f>
        <v>0</v>
      </c>
      <c r="U2185" s="728"/>
      <c r="V2185" s="68">
        <f>V1470/'Terms and Turnovers'!$AD134</f>
        <v>0</v>
      </c>
      <c r="W2185" s="728"/>
      <c r="X2185" s="68">
        <f>X1470/'Terms and Turnovers'!$AD134</f>
        <v>0</v>
      </c>
      <c r="Y2185" s="728"/>
      <c r="Z2185" s="68">
        <f>Z1470/'Terms and Turnovers'!$AD134</f>
        <v>0</v>
      </c>
      <c r="AA2185" s="728"/>
      <c r="AB2185" s="68">
        <f>AB1470/'Terms and Turnovers'!$AD134</f>
        <v>0</v>
      </c>
      <c r="AC2185" s="728"/>
      <c r="AD2185" s="68">
        <f>AD1470/'Terms and Turnovers'!$AD134</f>
        <v>0</v>
      </c>
      <c r="AE2185" s="728"/>
      <c r="AF2185" s="132">
        <f>SUM(T2185,V2185,X2185,Z2185,AB2185,AD2185)</f>
        <v>0</v>
      </c>
      <c r="AG2185" s="728"/>
      <c r="AH2185" s="133">
        <f>SUM(AF2185,R2185)</f>
        <v>0</v>
      </c>
      <c r="AI2185" s="728"/>
      <c r="AJ2185" s="65"/>
      <c r="AV2185" s="56"/>
    </row>
    <row r="2186" spans="1:48" ht="12.75" hidden="1" customHeight="1" outlineLevel="2" thickBot="1">
      <c r="A2186" s="73"/>
      <c r="B2186" s="82"/>
      <c r="C2186" s="1234"/>
      <c r="D2186" s="1234"/>
      <c r="E2186" s="84">
        <f>'Terms and Turnovers'!$AN$12</f>
        <v>0</v>
      </c>
      <c r="F2186" s="70">
        <f>F1471/'Terms and Turnovers'!$AN134</f>
        <v>0</v>
      </c>
      <c r="G2186" s="728"/>
      <c r="H2186" s="70">
        <f>H1471/'Terms and Turnovers'!$AN134</f>
        <v>0</v>
      </c>
      <c r="I2186" s="728"/>
      <c r="J2186" s="70">
        <f>J1471/'Terms and Turnovers'!$AN134</f>
        <v>0</v>
      </c>
      <c r="K2186" s="728"/>
      <c r="L2186" s="70">
        <f>L1471/'Terms and Turnovers'!$AN134</f>
        <v>0</v>
      </c>
      <c r="M2186" s="728"/>
      <c r="N2186" s="70">
        <f>N1471/'Terms and Turnovers'!$AN134</f>
        <v>0</v>
      </c>
      <c r="O2186" s="728"/>
      <c r="P2186" s="70">
        <f>P1471/'Terms and Turnovers'!$AN134</f>
        <v>0</v>
      </c>
      <c r="Q2186" s="728"/>
      <c r="R2186" s="132">
        <f>SUM(F2186,H2186,J2186,L2186,N2186,P2186)</f>
        <v>0</v>
      </c>
      <c r="S2186" s="728"/>
      <c r="T2186" s="70">
        <f>T1471/'Terms and Turnovers'!$AN134</f>
        <v>0</v>
      </c>
      <c r="U2186" s="728"/>
      <c r="V2186" s="70">
        <f>V1471/'Terms and Turnovers'!$AN134</f>
        <v>0</v>
      </c>
      <c r="W2186" s="728"/>
      <c r="X2186" s="70">
        <f>X1471/'Terms and Turnovers'!$AN134</f>
        <v>0</v>
      </c>
      <c r="Y2186" s="728"/>
      <c r="Z2186" s="70">
        <f>Z1471/'Terms and Turnovers'!$AN134</f>
        <v>0</v>
      </c>
      <c r="AA2186" s="728"/>
      <c r="AB2186" s="70">
        <f>AB1471/'Terms and Turnovers'!$AN134</f>
        <v>0</v>
      </c>
      <c r="AC2186" s="728"/>
      <c r="AD2186" s="70">
        <f>AD1471/'Terms and Turnovers'!$AN134</f>
        <v>0</v>
      </c>
      <c r="AE2186" s="728"/>
      <c r="AF2186" s="132">
        <f>SUM(T2186,V2186,X2186,Z2186,AB2186,AD2186)</f>
        <v>0</v>
      </c>
      <c r="AG2186" s="728"/>
      <c r="AH2186" s="133">
        <f>SUM(AF2186,R2186)</f>
        <v>0</v>
      </c>
      <c r="AI2186" s="728"/>
      <c r="AJ2186" s="65"/>
      <c r="AV2186" s="56"/>
    </row>
    <row r="2187" spans="1:48" ht="13.5" hidden="1" customHeight="1" outlineLevel="2" thickBot="1">
      <c r="A2187" s="73"/>
      <c r="B2187" s="82"/>
      <c r="C2187" s="1235"/>
      <c r="D2187" s="1235"/>
      <c r="E2187" s="85">
        <f>'Terms and Turnovers'!$AX$12</f>
        <v>0</v>
      </c>
      <c r="F2187" s="68">
        <f>F1472/'Terms and Turnovers'!$AX134</f>
        <v>0</v>
      </c>
      <c r="G2187" s="107"/>
      <c r="H2187" s="68">
        <f>H1472/'Terms and Turnovers'!$AX134</f>
        <v>0</v>
      </c>
      <c r="I2187" s="107"/>
      <c r="J2187" s="68">
        <f>J1472/'Terms and Turnovers'!$AX134</f>
        <v>0</v>
      </c>
      <c r="K2187" s="107"/>
      <c r="L2187" s="68">
        <f>L1472/'Terms and Turnovers'!$AX134</f>
        <v>0</v>
      </c>
      <c r="M2187" s="107"/>
      <c r="N2187" s="68">
        <f>N1472/'Terms and Turnovers'!$AX134</f>
        <v>0</v>
      </c>
      <c r="O2187" s="107"/>
      <c r="P2187" s="68">
        <f>P1472/'Terms and Turnovers'!$AX134</f>
        <v>0</v>
      </c>
      <c r="Q2187" s="107"/>
      <c r="R2187" s="135">
        <f>SUM(F2187,H2187,J2187,L2187,N2187,P2187)</f>
        <v>0</v>
      </c>
      <c r="S2187" s="107"/>
      <c r="T2187" s="68">
        <f>T1472/'Terms and Turnovers'!$AX134</f>
        <v>0</v>
      </c>
      <c r="U2187" s="107"/>
      <c r="V2187" s="68">
        <f>V1472/'Terms and Turnovers'!$AX134</f>
        <v>0</v>
      </c>
      <c r="W2187" s="107"/>
      <c r="X2187" s="68">
        <f>X1472/'Terms and Turnovers'!$AX134</f>
        <v>0</v>
      </c>
      <c r="Y2187" s="107"/>
      <c r="Z2187" s="68">
        <f>Z1472/'Terms and Turnovers'!$AX134</f>
        <v>0</v>
      </c>
      <c r="AA2187" s="107"/>
      <c r="AB2187" s="68">
        <f>AB1472/'Terms and Turnovers'!$AX134</f>
        <v>0</v>
      </c>
      <c r="AC2187" s="107"/>
      <c r="AD2187" s="68">
        <f>AD1472/'Terms and Turnovers'!$AX134</f>
        <v>0</v>
      </c>
      <c r="AE2187" s="107"/>
      <c r="AF2187" s="135">
        <f>SUM(T2187,V2187,X2187,Z2187,AB2187,AD2187)</f>
        <v>0</v>
      </c>
      <c r="AG2187" s="107"/>
      <c r="AH2187" s="136">
        <f>SUM(AF2187,R2187)</f>
        <v>0</v>
      </c>
      <c r="AI2187" s="107"/>
      <c r="AJ2187" s="65"/>
      <c r="AV2187" s="56"/>
    </row>
    <row r="2188" spans="1:48" ht="13.5" hidden="1" customHeight="1" outlineLevel="2">
      <c r="A2188" s="73"/>
      <c r="B2188" s="82"/>
      <c r="C2188" s="425"/>
      <c r="D2188" s="425"/>
      <c r="E2188" s="634"/>
      <c r="F2188" s="635"/>
      <c r="G2188" s="428"/>
      <c r="H2188" s="635"/>
      <c r="I2188" s="428"/>
      <c r="J2188" s="635"/>
      <c r="K2188" s="636"/>
      <c r="L2188" s="635"/>
      <c r="M2188" s="636"/>
      <c r="N2188" s="635"/>
      <c r="O2188" s="636"/>
      <c r="P2188" s="635"/>
      <c r="Q2188" s="636"/>
      <c r="R2188" s="637"/>
      <c r="S2188" s="698">
        <f>SUM(R1468:R1472)/1.18-(SUM(R2183:R2187)*'Mark Up Validation'!$M$175)</f>
        <v>0</v>
      </c>
      <c r="T2188" s="635"/>
      <c r="U2188" s="636"/>
      <c r="V2188" s="635"/>
      <c r="W2188" s="636"/>
      <c r="X2188" s="635"/>
      <c r="Y2188" s="636"/>
      <c r="Z2188" s="635"/>
      <c r="AA2188" s="636"/>
      <c r="AB2188" s="635"/>
      <c r="AC2188" s="636"/>
      <c r="AD2188" s="635"/>
      <c r="AE2188" s="636"/>
      <c r="AF2188" s="637"/>
      <c r="AG2188" s="698">
        <f>SUM(AF1468:AF1472)/1.18-SUM(AF2183:AF2187)*'Mark Up Validation'!$M$175</f>
        <v>0</v>
      </c>
      <c r="AH2188" s="638"/>
      <c r="AI2188" s="698">
        <f>SUM(AH1468:AH1472)/1.18-SUM(AH2183:AH2187)*'Mark Up Validation'!$M$175</f>
        <v>0</v>
      </c>
      <c r="AJ2188" s="65"/>
      <c r="AV2188" s="56"/>
    </row>
    <row r="2189" spans="1:48" ht="13.5" hidden="1" customHeight="1" outlineLevel="2" thickBot="1">
      <c r="A2189" s="73"/>
      <c r="B2189" s="82"/>
      <c r="C2189" s="1228" t="s">
        <v>538</v>
      </c>
      <c r="D2189" s="1229"/>
      <c r="E2189" s="699"/>
      <c r="F2189" s="700"/>
      <c r="G2189" s="701"/>
      <c r="H2189" s="700"/>
      <c r="I2189" s="701"/>
      <c r="J2189" s="700"/>
      <c r="K2189" s="702"/>
      <c r="L2189" s="700"/>
      <c r="M2189" s="702"/>
      <c r="N2189" s="700"/>
      <c r="O2189" s="702"/>
      <c r="P2189" s="700"/>
      <c r="Q2189" s="702"/>
      <c r="R2189" s="703"/>
      <c r="S2189" s="729">
        <f>IF(S2188&gt;0,S2188/(SUM(R1468:R1472)/1.18),0)</f>
        <v>0</v>
      </c>
      <c r="T2189" s="704"/>
      <c r="U2189" s="702"/>
      <c r="V2189" s="700"/>
      <c r="W2189" s="702"/>
      <c r="X2189" s="700"/>
      <c r="Y2189" s="702"/>
      <c r="Z2189" s="700"/>
      <c r="AA2189" s="702"/>
      <c r="AB2189" s="700"/>
      <c r="AC2189" s="702"/>
      <c r="AD2189" s="700"/>
      <c r="AE2189" s="702"/>
      <c r="AF2189" s="705"/>
      <c r="AG2189" s="729">
        <f>IF(AG2188&gt;0,AG2188/(SUM(AF1468:AF1472)/1.18),0)</f>
        <v>0</v>
      </c>
      <c r="AH2189" s="706"/>
      <c r="AI2189" s="729">
        <f>IF(AI2188&gt;0,AI2188/(SUM(AH1468:AH1472)/1.18),0)</f>
        <v>0</v>
      </c>
      <c r="AJ2189" s="65"/>
      <c r="AV2189" s="56"/>
    </row>
    <row r="2190" spans="1:48" ht="12.75" hidden="1" customHeight="1" outlineLevel="2">
      <c r="A2190" s="73"/>
      <c r="B2190" s="82">
        <f>B2183+1</f>
        <v>4</v>
      </c>
      <c r="C2190" s="1233">
        <f>C1475</f>
        <v>0</v>
      </c>
      <c r="D2190" s="1233" t="str">
        <f>D1475</f>
        <v>ИП Вербицкая</v>
      </c>
      <c r="E2190" s="83" t="str">
        <f>'Terms and Turnovers'!$J$12</f>
        <v>FLIP-FLOPS</v>
      </c>
      <c r="F2190" s="68">
        <f>F1475/'Terms and Turnovers'!$J135</f>
        <v>0</v>
      </c>
      <c r="G2190" s="106"/>
      <c r="H2190" s="68">
        <f>H1475/'Terms and Turnovers'!$J135</f>
        <v>0</v>
      </c>
      <c r="I2190" s="106"/>
      <c r="J2190" s="68">
        <f>J1475/'Terms and Turnovers'!$J135</f>
        <v>0</v>
      </c>
      <c r="K2190" s="106"/>
      <c r="L2190" s="68">
        <f>L1475/'Terms and Turnovers'!$J135</f>
        <v>0</v>
      </c>
      <c r="M2190" s="106"/>
      <c r="N2190" s="68">
        <f>N1475/'Terms and Turnovers'!$J135</f>
        <v>0</v>
      </c>
      <c r="O2190" s="106"/>
      <c r="P2190" s="68">
        <f>P1475/'Terms and Turnovers'!$J135</f>
        <v>0</v>
      </c>
      <c r="Q2190" s="106"/>
      <c r="R2190" s="129">
        <f>SUM(F2190,H2190,J2190,L2190,N2190,P2190)</f>
        <v>0</v>
      </c>
      <c r="S2190" s="106"/>
      <c r="T2190" s="68">
        <f>T1475/'Terms and Turnovers'!$J135</f>
        <v>0</v>
      </c>
      <c r="U2190" s="106"/>
      <c r="V2190" s="68">
        <f>V1475/'Terms and Turnovers'!$J135</f>
        <v>0</v>
      </c>
      <c r="W2190" s="106"/>
      <c r="X2190" s="68">
        <f>X1475/'Terms and Turnovers'!$J135</f>
        <v>0</v>
      </c>
      <c r="Y2190" s="106"/>
      <c r="Z2190" s="68">
        <f>Z1475/'Terms and Turnovers'!$J135</f>
        <v>0</v>
      </c>
      <c r="AA2190" s="106"/>
      <c r="AB2190" s="68">
        <f>AB1475/'Terms and Turnovers'!$J135</f>
        <v>0</v>
      </c>
      <c r="AC2190" s="106"/>
      <c r="AD2190" s="68">
        <f>AD1475/'Terms and Turnovers'!$J135</f>
        <v>0</v>
      </c>
      <c r="AE2190" s="106"/>
      <c r="AF2190" s="129">
        <f>SUM(T2190,V2190,X2190,Z2190,AB2190,AD2190)</f>
        <v>0</v>
      </c>
      <c r="AG2190" s="106"/>
      <c r="AH2190" s="130">
        <f>SUM(AF2190,R2190)</f>
        <v>0</v>
      </c>
      <c r="AI2190" s="106"/>
      <c r="AJ2190" s="65"/>
      <c r="AV2190" s="56"/>
    </row>
    <row r="2191" spans="1:48" ht="12.75" hidden="1" customHeight="1" outlineLevel="2" thickBot="1">
      <c r="A2191" s="73"/>
      <c r="B2191" s="82"/>
      <c r="C2191" s="1234"/>
      <c r="D2191" s="1234"/>
      <c r="E2191" s="84" t="str">
        <f>'Terms and Turnovers'!$T$12</f>
        <v>ORIGINALS</v>
      </c>
      <c r="F2191" s="70">
        <f>F1476/'Terms and Turnovers'!$T135</f>
        <v>0</v>
      </c>
      <c r="G2191" s="728"/>
      <c r="H2191" s="70">
        <f>H1476/'Terms and Turnovers'!$T135</f>
        <v>0</v>
      </c>
      <c r="I2191" s="728"/>
      <c r="J2191" s="70">
        <f>J1476/'Terms and Turnovers'!$T135</f>
        <v>0</v>
      </c>
      <c r="K2191" s="728"/>
      <c r="L2191" s="70">
        <f>L1476/'Terms and Turnovers'!$T135</f>
        <v>0</v>
      </c>
      <c r="M2191" s="728"/>
      <c r="N2191" s="70">
        <f>N1476/'Terms and Turnovers'!$T135</f>
        <v>0</v>
      </c>
      <c r="O2191" s="728"/>
      <c r="P2191" s="70">
        <f>P1476/'Terms and Turnovers'!$T135</f>
        <v>0</v>
      </c>
      <c r="Q2191" s="728"/>
      <c r="R2191" s="132">
        <f>SUM(F2191,H2191,J2191,L2191,N2191,P2191)</f>
        <v>0</v>
      </c>
      <c r="S2191" s="728"/>
      <c r="T2191" s="70">
        <f>T1476/'Terms and Turnovers'!$T135</f>
        <v>0</v>
      </c>
      <c r="U2191" s="728"/>
      <c r="V2191" s="70">
        <f>V1476/'Terms and Turnovers'!$T135</f>
        <v>0</v>
      </c>
      <c r="W2191" s="728"/>
      <c r="X2191" s="70">
        <f>X1476/'Terms and Turnovers'!$T135</f>
        <v>0</v>
      </c>
      <c r="Y2191" s="728"/>
      <c r="Z2191" s="70">
        <f>Z1476/'Terms and Turnovers'!$T135</f>
        <v>0</v>
      </c>
      <c r="AA2191" s="728"/>
      <c r="AB2191" s="70">
        <f>AB1476/'Terms and Turnovers'!$T135</f>
        <v>0</v>
      </c>
      <c r="AC2191" s="728"/>
      <c r="AD2191" s="70">
        <f>AD1476/'Terms and Turnovers'!$T135</f>
        <v>0</v>
      </c>
      <c r="AE2191" s="728"/>
      <c r="AF2191" s="132">
        <f>SUM(T2191,V2191,X2191,Z2191,AB2191,AD2191)</f>
        <v>0</v>
      </c>
      <c r="AG2191" s="728"/>
      <c r="AH2191" s="133">
        <f>SUM(AF2191,R2191)</f>
        <v>0</v>
      </c>
      <c r="AI2191" s="728"/>
      <c r="AJ2191" s="65"/>
      <c r="AV2191" s="56"/>
    </row>
    <row r="2192" spans="1:48" ht="12.75" hidden="1" customHeight="1" outlineLevel="2">
      <c r="A2192" s="73"/>
      <c r="B2192" s="82"/>
      <c r="C2192" s="1234"/>
      <c r="D2192" s="1234"/>
      <c r="E2192" s="84" t="str">
        <f>'Terms and Turnovers'!$AD$12</f>
        <v>ACCESSORIES</v>
      </c>
      <c r="F2192" s="68">
        <f>F1477/'Terms and Turnovers'!$AD135</f>
        <v>0</v>
      </c>
      <c r="G2192" s="728"/>
      <c r="H2192" s="68">
        <f>H1477/'Terms and Turnovers'!$AD135</f>
        <v>0</v>
      </c>
      <c r="I2192" s="728"/>
      <c r="J2192" s="68">
        <f>J1477/'Terms and Turnovers'!$AD135</f>
        <v>0</v>
      </c>
      <c r="K2192" s="728"/>
      <c r="L2192" s="68">
        <f>L1477/'Terms and Turnovers'!$AD135</f>
        <v>0</v>
      </c>
      <c r="M2192" s="728"/>
      <c r="N2192" s="68">
        <f>N1477/'Terms and Turnovers'!$AD135</f>
        <v>0</v>
      </c>
      <c r="O2192" s="728"/>
      <c r="P2192" s="68">
        <f>P1477/'Terms and Turnovers'!$AD135</f>
        <v>0</v>
      </c>
      <c r="Q2192" s="728"/>
      <c r="R2192" s="132">
        <f>SUM(F2192,H2192,J2192,L2192,N2192,P2192)</f>
        <v>0</v>
      </c>
      <c r="S2192" s="728"/>
      <c r="T2192" s="68">
        <f>T1477/'Terms and Turnovers'!$AD135</f>
        <v>0</v>
      </c>
      <c r="U2192" s="728"/>
      <c r="V2192" s="68">
        <f>V1477/'Terms and Turnovers'!$AD135</f>
        <v>0</v>
      </c>
      <c r="W2192" s="728"/>
      <c r="X2192" s="68">
        <f>X1477/'Terms and Turnovers'!$AD135</f>
        <v>0</v>
      </c>
      <c r="Y2192" s="728"/>
      <c r="Z2192" s="68">
        <f>Z1477/'Terms and Turnovers'!$AD135</f>
        <v>0</v>
      </c>
      <c r="AA2192" s="728"/>
      <c r="AB2192" s="68">
        <f>AB1477/'Terms and Turnovers'!$AD135</f>
        <v>0</v>
      </c>
      <c r="AC2192" s="728"/>
      <c r="AD2192" s="68">
        <f>AD1477/'Terms and Turnovers'!$AD135</f>
        <v>0</v>
      </c>
      <c r="AE2192" s="728"/>
      <c r="AF2192" s="132">
        <f>SUM(T2192,V2192,X2192,Z2192,AB2192,AD2192)</f>
        <v>0</v>
      </c>
      <c r="AG2192" s="728"/>
      <c r="AH2192" s="133">
        <f>SUM(AF2192,R2192)</f>
        <v>0</v>
      </c>
      <c r="AI2192" s="728"/>
      <c r="AJ2192" s="65"/>
      <c r="AV2192" s="56"/>
    </row>
    <row r="2193" spans="1:48" ht="12.75" hidden="1" customHeight="1" outlineLevel="2" thickBot="1">
      <c r="A2193" s="73"/>
      <c r="B2193" s="82"/>
      <c r="C2193" s="1234"/>
      <c r="D2193" s="1234"/>
      <c r="E2193" s="84">
        <f>'Terms and Turnovers'!$AN$12</f>
        <v>0</v>
      </c>
      <c r="F2193" s="70">
        <f>F1478/'Terms and Turnovers'!$AN135</f>
        <v>0</v>
      </c>
      <c r="G2193" s="728"/>
      <c r="H2193" s="70">
        <f>H1478/'Terms and Turnovers'!$AN135</f>
        <v>0</v>
      </c>
      <c r="I2193" s="728"/>
      <c r="J2193" s="70">
        <f>J1478/'Terms and Turnovers'!$AN135</f>
        <v>0</v>
      </c>
      <c r="K2193" s="728"/>
      <c r="L2193" s="70">
        <f>L1478/'Terms and Turnovers'!$AN135</f>
        <v>0</v>
      </c>
      <c r="M2193" s="728"/>
      <c r="N2193" s="70">
        <f>N1478/'Terms and Turnovers'!$AN135</f>
        <v>0</v>
      </c>
      <c r="O2193" s="728"/>
      <c r="P2193" s="70">
        <f>P1478/'Terms and Turnovers'!$AN135</f>
        <v>0</v>
      </c>
      <c r="Q2193" s="728"/>
      <c r="R2193" s="132">
        <f>SUM(F2193,H2193,J2193,L2193,N2193,P2193)</f>
        <v>0</v>
      </c>
      <c r="S2193" s="728"/>
      <c r="T2193" s="70">
        <f>T1478/'Terms and Turnovers'!$AN135</f>
        <v>0</v>
      </c>
      <c r="U2193" s="728"/>
      <c r="V2193" s="70">
        <f>V1478/'Terms and Turnovers'!$AN135</f>
        <v>0</v>
      </c>
      <c r="W2193" s="728"/>
      <c r="X2193" s="70">
        <f>X1478/'Terms and Turnovers'!$AN135</f>
        <v>0</v>
      </c>
      <c r="Y2193" s="728"/>
      <c r="Z2193" s="70">
        <f>Z1478/'Terms and Turnovers'!$AN135</f>
        <v>0</v>
      </c>
      <c r="AA2193" s="728"/>
      <c r="AB2193" s="70">
        <f>AB1478/'Terms and Turnovers'!$AN135</f>
        <v>0</v>
      </c>
      <c r="AC2193" s="728"/>
      <c r="AD2193" s="70">
        <f>AD1478/'Terms and Turnovers'!$AN135</f>
        <v>0</v>
      </c>
      <c r="AE2193" s="728"/>
      <c r="AF2193" s="132">
        <f>SUM(T2193,V2193,X2193,Z2193,AB2193,AD2193)</f>
        <v>0</v>
      </c>
      <c r="AG2193" s="728"/>
      <c r="AH2193" s="133">
        <f>SUM(AF2193,R2193)</f>
        <v>0</v>
      </c>
      <c r="AI2193" s="728"/>
      <c r="AJ2193" s="65"/>
      <c r="AV2193" s="56"/>
    </row>
    <row r="2194" spans="1:48" ht="13.5" hidden="1" customHeight="1" outlineLevel="2" thickBot="1">
      <c r="A2194" s="73"/>
      <c r="B2194" s="82"/>
      <c r="C2194" s="1235"/>
      <c r="D2194" s="1235"/>
      <c r="E2194" s="85">
        <f>'Terms and Turnovers'!$AX$12</f>
        <v>0</v>
      </c>
      <c r="F2194" s="68">
        <f>F1479/'Terms and Turnovers'!$AX135</f>
        <v>0</v>
      </c>
      <c r="G2194" s="107"/>
      <c r="H2194" s="68">
        <f>H1479/'Terms and Turnovers'!$AX135</f>
        <v>0</v>
      </c>
      <c r="I2194" s="107"/>
      <c r="J2194" s="68">
        <f>J1479/'Terms and Turnovers'!$AX135</f>
        <v>0</v>
      </c>
      <c r="K2194" s="107"/>
      <c r="L2194" s="68">
        <f>L1479/'Terms and Turnovers'!$AX135</f>
        <v>0</v>
      </c>
      <c r="M2194" s="107"/>
      <c r="N2194" s="68">
        <f>N1479/'Terms and Turnovers'!$AX135</f>
        <v>0</v>
      </c>
      <c r="O2194" s="107"/>
      <c r="P2194" s="68">
        <f>P1479/'Terms and Turnovers'!$AX135</f>
        <v>0</v>
      </c>
      <c r="Q2194" s="107"/>
      <c r="R2194" s="135">
        <f>SUM(F2194,H2194,J2194,L2194,N2194,P2194)</f>
        <v>0</v>
      </c>
      <c r="S2194" s="107"/>
      <c r="T2194" s="68">
        <f>T1479/'Terms and Turnovers'!$AX135</f>
        <v>0</v>
      </c>
      <c r="U2194" s="107"/>
      <c r="V2194" s="68">
        <f>V1479/'Terms and Turnovers'!$AX135</f>
        <v>0</v>
      </c>
      <c r="W2194" s="107"/>
      <c r="X2194" s="68">
        <f>X1479/'Terms and Turnovers'!$AX135</f>
        <v>0</v>
      </c>
      <c r="Y2194" s="107"/>
      <c r="Z2194" s="68">
        <f>Z1479/'Terms and Turnovers'!$AX135</f>
        <v>0</v>
      </c>
      <c r="AA2194" s="107"/>
      <c r="AB2194" s="68">
        <f>AB1479/'Terms and Turnovers'!$AX135</f>
        <v>0</v>
      </c>
      <c r="AC2194" s="107"/>
      <c r="AD2194" s="68">
        <f>AD1479/'Terms and Turnovers'!$AX135</f>
        <v>0</v>
      </c>
      <c r="AE2194" s="107"/>
      <c r="AF2194" s="135">
        <f>SUM(T2194,V2194,X2194,Z2194,AB2194,AD2194)</f>
        <v>0</v>
      </c>
      <c r="AG2194" s="107"/>
      <c r="AH2194" s="136">
        <f>SUM(AF2194,R2194)</f>
        <v>0</v>
      </c>
      <c r="AI2194" s="107"/>
      <c r="AJ2194" s="65"/>
      <c r="AV2194" s="56"/>
    </row>
    <row r="2195" spans="1:48" ht="13.5" hidden="1" customHeight="1" outlineLevel="2">
      <c r="A2195" s="73"/>
      <c r="B2195" s="82"/>
      <c r="C2195" s="425"/>
      <c r="D2195" s="425"/>
      <c r="E2195" s="634"/>
      <c r="F2195" s="635"/>
      <c r="G2195" s="428"/>
      <c r="H2195" s="635"/>
      <c r="I2195" s="428"/>
      <c r="J2195" s="635"/>
      <c r="K2195" s="636"/>
      <c r="L2195" s="635"/>
      <c r="M2195" s="636"/>
      <c r="N2195" s="635"/>
      <c r="O2195" s="636"/>
      <c r="P2195" s="635"/>
      <c r="Q2195" s="636"/>
      <c r="R2195" s="637"/>
      <c r="S2195" s="698">
        <f>SUM(R1475:R1479)/1.18-(SUM(R2190:R2194)*'Mark Up Validation'!$M$175)</f>
        <v>0</v>
      </c>
      <c r="T2195" s="635"/>
      <c r="U2195" s="636"/>
      <c r="V2195" s="635"/>
      <c r="W2195" s="636"/>
      <c r="X2195" s="635"/>
      <c r="Y2195" s="636"/>
      <c r="Z2195" s="635"/>
      <c r="AA2195" s="636"/>
      <c r="AB2195" s="635"/>
      <c r="AC2195" s="636"/>
      <c r="AD2195" s="635"/>
      <c r="AE2195" s="636"/>
      <c r="AF2195" s="637"/>
      <c r="AG2195" s="698">
        <f>SUM(AF1475:AF1479)/1.18-SUM(AF2190:AF2194)*'Mark Up Validation'!$M$175</f>
        <v>0</v>
      </c>
      <c r="AH2195" s="638"/>
      <c r="AI2195" s="698">
        <f>SUM(AH1475:AH1479)/1.18-SUM(AH2190:AH2194)*'Mark Up Validation'!$M$175</f>
        <v>0</v>
      </c>
      <c r="AJ2195" s="65"/>
      <c r="AV2195" s="56"/>
    </row>
    <row r="2196" spans="1:48" ht="13.5" hidden="1" customHeight="1" outlineLevel="2" thickBot="1">
      <c r="A2196" s="73"/>
      <c r="B2196" s="82"/>
      <c r="C2196" s="1228" t="s">
        <v>538</v>
      </c>
      <c r="D2196" s="1229"/>
      <c r="E2196" s="699"/>
      <c r="F2196" s="700"/>
      <c r="G2196" s="701"/>
      <c r="H2196" s="700"/>
      <c r="I2196" s="701"/>
      <c r="J2196" s="700"/>
      <c r="K2196" s="702"/>
      <c r="L2196" s="700"/>
      <c r="M2196" s="702"/>
      <c r="N2196" s="700"/>
      <c r="O2196" s="702"/>
      <c r="P2196" s="700"/>
      <c r="Q2196" s="702"/>
      <c r="R2196" s="703"/>
      <c r="S2196" s="729">
        <f>IF(S2195&gt;0,S2195/(SUM(R1475:R1479)/1.18),0)</f>
        <v>0</v>
      </c>
      <c r="T2196" s="704"/>
      <c r="U2196" s="702"/>
      <c r="V2196" s="700"/>
      <c r="W2196" s="702"/>
      <c r="X2196" s="700"/>
      <c r="Y2196" s="702"/>
      <c r="Z2196" s="700"/>
      <c r="AA2196" s="702"/>
      <c r="AB2196" s="700"/>
      <c r="AC2196" s="702"/>
      <c r="AD2196" s="700"/>
      <c r="AE2196" s="702"/>
      <c r="AF2196" s="705"/>
      <c r="AG2196" s="729">
        <f>IF(AG2195&gt;0,AG2195/(SUM(AF1475:AF1479)/1.18),0)</f>
        <v>0</v>
      </c>
      <c r="AH2196" s="706"/>
      <c r="AI2196" s="729">
        <f>IF(AI2195&gt;0,AI2195/(SUM(AH1475:AH1479)/1.18),0)</f>
        <v>0</v>
      </c>
      <c r="AJ2196" s="65"/>
      <c r="AV2196" s="56"/>
    </row>
    <row r="2197" spans="1:48" ht="12.75" hidden="1" customHeight="1" outlineLevel="2">
      <c r="A2197" s="73"/>
      <c r="B2197" s="82">
        <f>B2190+1</f>
        <v>5</v>
      </c>
      <c r="C2197" s="1233">
        <f>C1482</f>
        <v>0</v>
      </c>
      <c r="D2197" s="1233" t="str">
        <f>D1482</f>
        <v>ИП Кузнецова  Мария Павловна</v>
      </c>
      <c r="E2197" s="83" t="str">
        <f>'Terms and Turnovers'!$J$12</f>
        <v>FLIP-FLOPS</v>
      </c>
      <c r="F2197" s="68">
        <f>F1482/'Terms and Turnovers'!$J136</f>
        <v>0</v>
      </c>
      <c r="G2197" s="106"/>
      <c r="H2197" s="68">
        <f>H1482/'Terms and Turnovers'!$J136</f>
        <v>0</v>
      </c>
      <c r="I2197" s="106"/>
      <c r="J2197" s="68">
        <f>J1482/'Terms and Turnovers'!$J136</f>
        <v>0</v>
      </c>
      <c r="K2197" s="106"/>
      <c r="L2197" s="68">
        <f>L1482/'Terms and Turnovers'!$J136</f>
        <v>0</v>
      </c>
      <c r="M2197" s="106"/>
      <c r="N2197" s="68">
        <f>N1482/'Terms and Turnovers'!$J136</f>
        <v>0</v>
      </c>
      <c r="O2197" s="106"/>
      <c r="P2197" s="68">
        <f>P1482/'Terms and Turnovers'!$J136</f>
        <v>0</v>
      </c>
      <c r="Q2197" s="106"/>
      <c r="R2197" s="129">
        <f>SUM(F2197,H2197,J2197,L2197,N2197,P2197)</f>
        <v>0</v>
      </c>
      <c r="S2197" s="106"/>
      <c r="T2197" s="68">
        <f>T1482/'Terms and Turnovers'!$J136</f>
        <v>0</v>
      </c>
      <c r="U2197" s="106"/>
      <c r="V2197" s="68">
        <f>V1482/'Terms and Turnovers'!$J136</f>
        <v>0</v>
      </c>
      <c r="W2197" s="106"/>
      <c r="X2197" s="68">
        <f>X1482/'Terms and Turnovers'!$J136</f>
        <v>0</v>
      </c>
      <c r="Y2197" s="106"/>
      <c r="Z2197" s="68">
        <f>Z1482/'Terms and Turnovers'!$J136</f>
        <v>0</v>
      </c>
      <c r="AA2197" s="106"/>
      <c r="AB2197" s="68">
        <f>AB1482/'Terms and Turnovers'!$J136</f>
        <v>0</v>
      </c>
      <c r="AC2197" s="106"/>
      <c r="AD2197" s="68">
        <f>AD1482/'Terms and Turnovers'!$J136</f>
        <v>0</v>
      </c>
      <c r="AE2197" s="106"/>
      <c r="AF2197" s="129">
        <f>SUM(T2197,V2197,X2197,Z2197,AB2197,AD2197)</f>
        <v>0</v>
      </c>
      <c r="AG2197" s="106"/>
      <c r="AH2197" s="130">
        <f>SUM(AF2197,R2197)</f>
        <v>0</v>
      </c>
      <c r="AI2197" s="106"/>
      <c r="AJ2197" s="65"/>
      <c r="AV2197" s="56"/>
    </row>
    <row r="2198" spans="1:48" ht="12.75" hidden="1" customHeight="1" outlineLevel="2" thickBot="1">
      <c r="A2198" s="73"/>
      <c r="B2198" s="82"/>
      <c r="C2198" s="1234"/>
      <c r="D2198" s="1234"/>
      <c r="E2198" s="84" t="str">
        <f>'Terms and Turnovers'!$T$12</f>
        <v>ORIGINALS</v>
      </c>
      <c r="F2198" s="70">
        <f>F1483/'Terms and Turnovers'!$T136</f>
        <v>0</v>
      </c>
      <c r="G2198" s="728"/>
      <c r="H2198" s="70">
        <f>H1483/'Terms and Turnovers'!$T136</f>
        <v>0</v>
      </c>
      <c r="I2198" s="728"/>
      <c r="J2198" s="70">
        <f>J1483/'Terms and Turnovers'!$T136</f>
        <v>0</v>
      </c>
      <c r="K2198" s="728"/>
      <c r="L2198" s="70">
        <f>L1483/'Terms and Turnovers'!$T136</f>
        <v>0</v>
      </c>
      <c r="M2198" s="728"/>
      <c r="N2198" s="70">
        <f>N1483/'Terms and Turnovers'!$T136</f>
        <v>0</v>
      </c>
      <c r="O2198" s="728"/>
      <c r="P2198" s="70">
        <f>P1483/'Terms and Turnovers'!$T136</f>
        <v>0</v>
      </c>
      <c r="Q2198" s="728"/>
      <c r="R2198" s="132">
        <f>SUM(F2198,H2198,J2198,L2198,N2198,P2198)</f>
        <v>0</v>
      </c>
      <c r="S2198" s="728"/>
      <c r="T2198" s="70">
        <f>T1483/'Terms and Turnovers'!$T136</f>
        <v>0</v>
      </c>
      <c r="U2198" s="728"/>
      <c r="V2198" s="70">
        <f>V1483/'Terms and Turnovers'!$T136</f>
        <v>0</v>
      </c>
      <c r="W2198" s="728"/>
      <c r="X2198" s="70">
        <f>X1483/'Terms and Turnovers'!$T136</f>
        <v>0</v>
      </c>
      <c r="Y2198" s="728"/>
      <c r="Z2198" s="70">
        <f>Z1483/'Terms and Turnovers'!$T136</f>
        <v>0</v>
      </c>
      <c r="AA2198" s="728"/>
      <c r="AB2198" s="70">
        <f>AB1483/'Terms and Turnovers'!$T136</f>
        <v>0</v>
      </c>
      <c r="AC2198" s="728"/>
      <c r="AD2198" s="70">
        <f>AD1483/'Terms and Turnovers'!$T136</f>
        <v>0</v>
      </c>
      <c r="AE2198" s="728"/>
      <c r="AF2198" s="132">
        <f>SUM(T2198,V2198,X2198,Z2198,AB2198,AD2198)</f>
        <v>0</v>
      </c>
      <c r="AG2198" s="728"/>
      <c r="AH2198" s="133">
        <f>SUM(AF2198,R2198)</f>
        <v>0</v>
      </c>
      <c r="AI2198" s="728"/>
      <c r="AJ2198" s="65"/>
      <c r="AV2198" s="56"/>
    </row>
    <row r="2199" spans="1:48" ht="12.75" hidden="1" customHeight="1" outlineLevel="2">
      <c r="A2199" s="73"/>
      <c r="B2199" s="82"/>
      <c r="C2199" s="1234"/>
      <c r="D2199" s="1234"/>
      <c r="E2199" s="84" t="str">
        <f>'Terms and Turnovers'!$AD$12</f>
        <v>ACCESSORIES</v>
      </c>
      <c r="F2199" s="68">
        <f>F1484/'Terms and Turnovers'!$AD136</f>
        <v>0</v>
      </c>
      <c r="G2199" s="728"/>
      <c r="H2199" s="68">
        <f>H1484/'Terms and Turnovers'!$AD136</f>
        <v>0</v>
      </c>
      <c r="I2199" s="728"/>
      <c r="J2199" s="68">
        <f>J1484/'Terms and Turnovers'!$AD136</f>
        <v>0</v>
      </c>
      <c r="K2199" s="728"/>
      <c r="L2199" s="68">
        <f>L1484/'Terms and Turnovers'!$AD136</f>
        <v>0</v>
      </c>
      <c r="M2199" s="728"/>
      <c r="N2199" s="68">
        <f>N1484/'Terms and Turnovers'!$AD136</f>
        <v>0</v>
      </c>
      <c r="O2199" s="728"/>
      <c r="P2199" s="68">
        <f>P1484/'Terms and Turnovers'!$AD136</f>
        <v>0</v>
      </c>
      <c r="Q2199" s="728"/>
      <c r="R2199" s="132">
        <f>SUM(F2199,H2199,J2199,L2199,N2199,P2199)</f>
        <v>0</v>
      </c>
      <c r="S2199" s="728"/>
      <c r="T2199" s="68">
        <f>T1484/'Terms and Turnovers'!$AD136</f>
        <v>0</v>
      </c>
      <c r="U2199" s="728"/>
      <c r="V2199" s="68">
        <f>V1484/'Terms and Turnovers'!$AD136</f>
        <v>0</v>
      </c>
      <c r="W2199" s="728"/>
      <c r="X2199" s="68">
        <f>X1484/'Terms and Turnovers'!$AD136</f>
        <v>0</v>
      </c>
      <c r="Y2199" s="728"/>
      <c r="Z2199" s="68">
        <f>Z1484/'Terms and Turnovers'!$AD136</f>
        <v>0</v>
      </c>
      <c r="AA2199" s="728"/>
      <c r="AB2199" s="68">
        <f>AB1484/'Terms and Turnovers'!$AD136</f>
        <v>0</v>
      </c>
      <c r="AC2199" s="728"/>
      <c r="AD2199" s="68">
        <f>AD1484/'Terms and Turnovers'!$AD136</f>
        <v>0</v>
      </c>
      <c r="AE2199" s="728"/>
      <c r="AF2199" s="132">
        <f>SUM(T2199,V2199,X2199,Z2199,AB2199,AD2199)</f>
        <v>0</v>
      </c>
      <c r="AG2199" s="728"/>
      <c r="AH2199" s="133">
        <f>SUM(AF2199,R2199)</f>
        <v>0</v>
      </c>
      <c r="AI2199" s="728"/>
      <c r="AJ2199" s="65"/>
      <c r="AV2199" s="56"/>
    </row>
    <row r="2200" spans="1:48" ht="12.75" hidden="1" customHeight="1" outlineLevel="2" thickBot="1">
      <c r="A2200" s="73"/>
      <c r="B2200" s="82"/>
      <c r="C2200" s="1234"/>
      <c r="D2200" s="1234"/>
      <c r="E2200" s="84">
        <f>'Terms and Turnovers'!$AN$12</f>
        <v>0</v>
      </c>
      <c r="F2200" s="70">
        <f>F1485/'Terms and Turnovers'!$AN136</f>
        <v>0</v>
      </c>
      <c r="G2200" s="728"/>
      <c r="H2200" s="70">
        <f>H1485/'Terms and Turnovers'!$AN136</f>
        <v>0</v>
      </c>
      <c r="I2200" s="728"/>
      <c r="J2200" s="70">
        <f>J1485/'Terms and Turnovers'!$AN136</f>
        <v>0</v>
      </c>
      <c r="K2200" s="728"/>
      <c r="L2200" s="70">
        <f>L1485/'Terms and Turnovers'!$AN136</f>
        <v>0</v>
      </c>
      <c r="M2200" s="728"/>
      <c r="N2200" s="70">
        <f>N1485/'Terms and Turnovers'!$AN136</f>
        <v>0</v>
      </c>
      <c r="O2200" s="728"/>
      <c r="P2200" s="70">
        <f>P1485/'Terms and Turnovers'!$AN136</f>
        <v>0</v>
      </c>
      <c r="Q2200" s="728"/>
      <c r="R2200" s="132">
        <f>SUM(F2200,H2200,J2200,L2200,N2200,P2200)</f>
        <v>0</v>
      </c>
      <c r="S2200" s="728"/>
      <c r="T2200" s="70">
        <f>T1485/'Terms and Turnovers'!$AN136</f>
        <v>0</v>
      </c>
      <c r="U2200" s="728"/>
      <c r="V2200" s="70">
        <f>V1485/'Terms and Turnovers'!$AN136</f>
        <v>0</v>
      </c>
      <c r="W2200" s="728"/>
      <c r="X2200" s="70">
        <f>X1485/'Terms and Turnovers'!$AN136</f>
        <v>0</v>
      </c>
      <c r="Y2200" s="728"/>
      <c r="Z2200" s="70">
        <f>Z1485/'Terms and Turnovers'!$AN136</f>
        <v>0</v>
      </c>
      <c r="AA2200" s="728"/>
      <c r="AB2200" s="70">
        <f>AB1485/'Terms and Turnovers'!$AN136</f>
        <v>0</v>
      </c>
      <c r="AC2200" s="728"/>
      <c r="AD2200" s="70">
        <f>AD1485/'Terms and Turnovers'!$AN136</f>
        <v>0</v>
      </c>
      <c r="AE2200" s="728"/>
      <c r="AF2200" s="132">
        <f>SUM(T2200,V2200,X2200,Z2200,AB2200,AD2200)</f>
        <v>0</v>
      </c>
      <c r="AG2200" s="728"/>
      <c r="AH2200" s="133">
        <f>SUM(AF2200,R2200)</f>
        <v>0</v>
      </c>
      <c r="AI2200" s="728"/>
      <c r="AJ2200" s="65"/>
      <c r="AV2200" s="56"/>
    </row>
    <row r="2201" spans="1:48" ht="13.5" hidden="1" customHeight="1" outlineLevel="2" thickBot="1">
      <c r="A2201" s="73"/>
      <c r="B2201" s="82"/>
      <c r="C2201" s="1235"/>
      <c r="D2201" s="1235"/>
      <c r="E2201" s="85">
        <f>'Terms and Turnovers'!$AX$12</f>
        <v>0</v>
      </c>
      <c r="F2201" s="68">
        <f>F1486/'Terms and Turnovers'!$AX136</f>
        <v>0</v>
      </c>
      <c r="G2201" s="107"/>
      <c r="H2201" s="68">
        <f>H1486/'Terms and Turnovers'!$AX136</f>
        <v>0</v>
      </c>
      <c r="I2201" s="107"/>
      <c r="J2201" s="68">
        <f>J1486/'Terms and Turnovers'!$AX136</f>
        <v>0</v>
      </c>
      <c r="K2201" s="107"/>
      <c r="L2201" s="68">
        <f>L1486/'Terms and Turnovers'!$AX136</f>
        <v>0</v>
      </c>
      <c r="M2201" s="107"/>
      <c r="N2201" s="68">
        <f>N1486/'Terms and Turnovers'!$AX136</f>
        <v>0</v>
      </c>
      <c r="O2201" s="107"/>
      <c r="P2201" s="68">
        <f>P1486/'Terms and Turnovers'!$AX136</f>
        <v>0</v>
      </c>
      <c r="Q2201" s="107"/>
      <c r="R2201" s="135">
        <f>SUM(F2201,H2201,J2201,L2201,N2201,P2201)</f>
        <v>0</v>
      </c>
      <c r="S2201" s="107"/>
      <c r="T2201" s="68">
        <f>T1486/'Terms and Turnovers'!$AX136</f>
        <v>0</v>
      </c>
      <c r="U2201" s="107"/>
      <c r="V2201" s="68">
        <f>V1486/'Terms and Turnovers'!$AX136</f>
        <v>0</v>
      </c>
      <c r="W2201" s="107"/>
      <c r="X2201" s="68">
        <f>X1486/'Terms and Turnovers'!$AX136</f>
        <v>0</v>
      </c>
      <c r="Y2201" s="107"/>
      <c r="Z2201" s="68">
        <f>Z1486/'Terms and Turnovers'!$AX136</f>
        <v>0</v>
      </c>
      <c r="AA2201" s="107"/>
      <c r="AB2201" s="68">
        <f>AB1486/'Terms and Turnovers'!$AX136</f>
        <v>0</v>
      </c>
      <c r="AC2201" s="107"/>
      <c r="AD2201" s="68">
        <f>AD1486/'Terms and Turnovers'!$AX136</f>
        <v>0</v>
      </c>
      <c r="AE2201" s="107"/>
      <c r="AF2201" s="135">
        <f>SUM(T2201,V2201,X2201,Z2201,AB2201,AD2201)</f>
        <v>0</v>
      </c>
      <c r="AG2201" s="107"/>
      <c r="AH2201" s="136">
        <f>SUM(AF2201,R2201)</f>
        <v>0</v>
      </c>
      <c r="AI2201" s="107"/>
      <c r="AJ2201" s="65"/>
      <c r="AV2201" s="56"/>
    </row>
    <row r="2202" spans="1:48" ht="13.5" hidden="1" customHeight="1" outlineLevel="2">
      <c r="A2202" s="73"/>
      <c r="B2202" s="82"/>
      <c r="C2202" s="425"/>
      <c r="D2202" s="425"/>
      <c r="E2202" s="634"/>
      <c r="F2202" s="635"/>
      <c r="G2202" s="428"/>
      <c r="H2202" s="635"/>
      <c r="I2202" s="428"/>
      <c r="J2202" s="635"/>
      <c r="K2202" s="636"/>
      <c r="L2202" s="635"/>
      <c r="M2202" s="636"/>
      <c r="N2202" s="635"/>
      <c r="O2202" s="636"/>
      <c r="P2202" s="635"/>
      <c r="Q2202" s="636"/>
      <c r="R2202" s="637"/>
      <c r="S2202" s="698">
        <f>SUM(R1482:R1486)/1.18-(SUM(R2197:R2201)*'Mark Up Validation'!$M$175)</f>
        <v>0</v>
      </c>
      <c r="T2202" s="635"/>
      <c r="U2202" s="636"/>
      <c r="V2202" s="635"/>
      <c r="W2202" s="636"/>
      <c r="X2202" s="635"/>
      <c r="Y2202" s="636"/>
      <c r="Z2202" s="635"/>
      <c r="AA2202" s="636"/>
      <c r="AB2202" s="635"/>
      <c r="AC2202" s="636"/>
      <c r="AD2202" s="635"/>
      <c r="AE2202" s="636"/>
      <c r="AF2202" s="637"/>
      <c r="AG2202" s="698">
        <f>SUM(AF1482:AF1486)/1.18-SUM(AF2197:AF2201)*'Mark Up Validation'!$M$175</f>
        <v>0</v>
      </c>
      <c r="AH2202" s="638"/>
      <c r="AI2202" s="698">
        <f>SUM(AH1482:AH1486)/1.18-SUM(AH2197:AH2201)*'Mark Up Validation'!$M$175</f>
        <v>0</v>
      </c>
      <c r="AJ2202" s="65"/>
      <c r="AV2202" s="56"/>
    </row>
    <row r="2203" spans="1:48" ht="13.5" hidden="1" customHeight="1" outlineLevel="2" thickBot="1">
      <c r="A2203" s="73"/>
      <c r="B2203" s="82"/>
      <c r="C2203" s="1228" t="s">
        <v>538</v>
      </c>
      <c r="D2203" s="1229"/>
      <c r="E2203" s="699"/>
      <c r="F2203" s="700"/>
      <c r="G2203" s="701"/>
      <c r="H2203" s="700"/>
      <c r="I2203" s="701"/>
      <c r="J2203" s="700"/>
      <c r="K2203" s="702"/>
      <c r="L2203" s="700"/>
      <c r="M2203" s="702"/>
      <c r="N2203" s="700"/>
      <c r="O2203" s="702"/>
      <c r="P2203" s="700"/>
      <c r="Q2203" s="702"/>
      <c r="R2203" s="703"/>
      <c r="S2203" s="729">
        <f>IF(S2202&gt;0,S2202/(SUM(R1482:R1486)/1.18),0)</f>
        <v>0</v>
      </c>
      <c r="T2203" s="704"/>
      <c r="U2203" s="702"/>
      <c r="V2203" s="700"/>
      <c r="W2203" s="702"/>
      <c r="X2203" s="700"/>
      <c r="Y2203" s="702"/>
      <c r="Z2203" s="700"/>
      <c r="AA2203" s="702"/>
      <c r="AB2203" s="700"/>
      <c r="AC2203" s="702"/>
      <c r="AD2203" s="700"/>
      <c r="AE2203" s="702"/>
      <c r="AF2203" s="705"/>
      <c r="AG2203" s="729">
        <f>IF(AG2202&gt;0,AG2202/(SUM(AF1482:AF1486)/1.18),0)</f>
        <v>0</v>
      </c>
      <c r="AH2203" s="706"/>
      <c r="AI2203" s="729">
        <f>IF(AI2202&gt;0,AI2202/(SUM(AH1482:AH1486)/1.18),0)</f>
        <v>0</v>
      </c>
      <c r="AJ2203" s="65"/>
      <c r="AV2203" s="56"/>
    </row>
    <row r="2204" spans="1:48" ht="12.75" hidden="1" customHeight="1" outlineLevel="2">
      <c r="A2204" s="73"/>
      <c r="B2204" s="82">
        <f>B2197+1</f>
        <v>6</v>
      </c>
      <c r="C2204" s="1233">
        <f>C1489</f>
        <v>0</v>
      </c>
      <c r="D2204" s="1233" t="str">
        <f>D1489</f>
        <v>ИП Щербакова Полина Леонидовна</v>
      </c>
      <c r="E2204" s="83" t="str">
        <f>'Terms and Turnovers'!$J$12</f>
        <v>FLIP-FLOPS</v>
      </c>
      <c r="F2204" s="68">
        <f>F1489/'Terms and Turnovers'!$J137</f>
        <v>0</v>
      </c>
      <c r="G2204" s="106"/>
      <c r="H2204" s="68">
        <f>H1489/'Terms and Turnovers'!$J137</f>
        <v>0</v>
      </c>
      <c r="I2204" s="106"/>
      <c r="J2204" s="68">
        <f>J1489/'Terms and Turnovers'!$J137</f>
        <v>0</v>
      </c>
      <c r="K2204" s="106"/>
      <c r="L2204" s="68">
        <f>L1489/'Terms and Turnovers'!$J137</f>
        <v>0</v>
      </c>
      <c r="M2204" s="106"/>
      <c r="N2204" s="68">
        <f>N1489/'Terms and Turnovers'!$J137</f>
        <v>0</v>
      </c>
      <c r="O2204" s="106"/>
      <c r="P2204" s="68">
        <f>P1489/'Terms and Turnovers'!$J137</f>
        <v>0</v>
      </c>
      <c r="Q2204" s="106"/>
      <c r="R2204" s="129">
        <f>SUM(F2204,H2204,J2204,L2204,N2204,P2204)</f>
        <v>0</v>
      </c>
      <c r="S2204" s="106"/>
      <c r="T2204" s="68">
        <f>T1489/'Terms and Turnovers'!$J137</f>
        <v>0</v>
      </c>
      <c r="U2204" s="106"/>
      <c r="V2204" s="68">
        <f>V1489/'Terms and Turnovers'!$J137</f>
        <v>0</v>
      </c>
      <c r="W2204" s="106"/>
      <c r="X2204" s="68">
        <f>X1489/'Terms and Turnovers'!$J137</f>
        <v>27437.999999999996</v>
      </c>
      <c r="Y2204" s="106"/>
      <c r="Z2204" s="68">
        <f>Z1489/'Terms and Turnovers'!$J137</f>
        <v>0</v>
      </c>
      <c r="AA2204" s="106"/>
      <c r="AB2204" s="68">
        <f>AB1489/'Terms and Turnovers'!$J137</f>
        <v>0</v>
      </c>
      <c r="AC2204" s="106"/>
      <c r="AD2204" s="68">
        <f>AD1489/'Terms and Turnovers'!$J137</f>
        <v>0</v>
      </c>
      <c r="AE2204" s="106"/>
      <c r="AF2204" s="129">
        <f>SUM(T2204,V2204,X2204,Z2204,AB2204,AD2204)</f>
        <v>27437.999999999996</v>
      </c>
      <c r="AG2204" s="106"/>
      <c r="AH2204" s="130">
        <f>SUM(AF2204,R2204)</f>
        <v>27437.999999999996</v>
      </c>
      <c r="AI2204" s="106"/>
      <c r="AJ2204" s="65"/>
      <c r="AV2204" s="56"/>
    </row>
    <row r="2205" spans="1:48" ht="12.75" hidden="1" customHeight="1" outlineLevel="2" thickBot="1">
      <c r="A2205" s="73"/>
      <c r="B2205" s="82"/>
      <c r="C2205" s="1234"/>
      <c r="D2205" s="1234"/>
      <c r="E2205" s="84" t="str">
        <f>'Terms and Turnovers'!$T$12</f>
        <v>ORIGINALS</v>
      </c>
      <c r="F2205" s="70">
        <f>F1490/'Terms and Turnovers'!$T137</f>
        <v>0</v>
      </c>
      <c r="G2205" s="728"/>
      <c r="H2205" s="70">
        <f>H1490/'Terms and Turnovers'!$T137</f>
        <v>0</v>
      </c>
      <c r="I2205" s="728"/>
      <c r="J2205" s="70">
        <f>J1490/'Terms and Turnovers'!$T137</f>
        <v>0</v>
      </c>
      <c r="K2205" s="728"/>
      <c r="L2205" s="70">
        <f>L1490/'Terms and Turnovers'!$T137</f>
        <v>0</v>
      </c>
      <c r="M2205" s="728"/>
      <c r="N2205" s="70">
        <f>N1490/'Terms and Turnovers'!$T137</f>
        <v>0</v>
      </c>
      <c r="O2205" s="728"/>
      <c r="P2205" s="70">
        <f>P1490/'Terms and Turnovers'!$T137</f>
        <v>0</v>
      </c>
      <c r="Q2205" s="728"/>
      <c r="R2205" s="132">
        <f>SUM(F2205,H2205,J2205,L2205,N2205,P2205)</f>
        <v>0</v>
      </c>
      <c r="S2205" s="728"/>
      <c r="T2205" s="70">
        <f>T1490/'Terms and Turnovers'!$T137</f>
        <v>0</v>
      </c>
      <c r="U2205" s="728"/>
      <c r="V2205" s="70">
        <f>V1490/'Terms and Turnovers'!$T137</f>
        <v>0</v>
      </c>
      <c r="W2205" s="728"/>
      <c r="X2205" s="70">
        <f>X1490/'Terms and Turnovers'!$T137</f>
        <v>0</v>
      </c>
      <c r="Y2205" s="728"/>
      <c r="Z2205" s="70">
        <f>Z1490/'Terms and Turnovers'!$T137</f>
        <v>0</v>
      </c>
      <c r="AA2205" s="728"/>
      <c r="AB2205" s="70">
        <f>AB1490/'Terms and Turnovers'!$T137</f>
        <v>0</v>
      </c>
      <c r="AC2205" s="728"/>
      <c r="AD2205" s="70">
        <f>AD1490/'Terms and Turnovers'!$T137</f>
        <v>0</v>
      </c>
      <c r="AE2205" s="728"/>
      <c r="AF2205" s="132">
        <f>SUM(T2205,V2205,X2205,Z2205,AB2205,AD2205)</f>
        <v>0</v>
      </c>
      <c r="AG2205" s="728"/>
      <c r="AH2205" s="133">
        <f>SUM(AF2205,R2205)</f>
        <v>0</v>
      </c>
      <c r="AI2205" s="728"/>
      <c r="AJ2205" s="65"/>
      <c r="AV2205" s="56"/>
    </row>
    <row r="2206" spans="1:48" ht="12.75" hidden="1" customHeight="1" outlineLevel="2">
      <c r="A2206" s="73"/>
      <c r="B2206" s="82"/>
      <c r="C2206" s="1234"/>
      <c r="D2206" s="1234"/>
      <c r="E2206" s="84" t="str">
        <f>'Terms and Turnovers'!$AD$12</f>
        <v>ACCESSORIES</v>
      </c>
      <c r="F2206" s="68">
        <f>F1491/'Terms and Turnovers'!$AD137</f>
        <v>0</v>
      </c>
      <c r="G2206" s="728"/>
      <c r="H2206" s="68">
        <f>H1491/'Terms and Turnovers'!$AD137</f>
        <v>0</v>
      </c>
      <c r="I2206" s="728"/>
      <c r="J2206" s="68">
        <f>J1491/'Terms and Turnovers'!$AD137</f>
        <v>0</v>
      </c>
      <c r="K2206" s="728"/>
      <c r="L2206" s="68">
        <f>L1491/'Terms and Turnovers'!$AD137</f>
        <v>0</v>
      </c>
      <c r="M2206" s="728"/>
      <c r="N2206" s="68">
        <f>N1491/'Terms and Turnovers'!$AD137</f>
        <v>0</v>
      </c>
      <c r="O2206" s="728"/>
      <c r="P2206" s="68">
        <f>P1491/'Terms and Turnovers'!$AD137</f>
        <v>0</v>
      </c>
      <c r="Q2206" s="728"/>
      <c r="R2206" s="132">
        <f>SUM(F2206,H2206,J2206,L2206,N2206,P2206)</f>
        <v>0</v>
      </c>
      <c r="S2206" s="728"/>
      <c r="T2206" s="68">
        <f>T1491/'Terms and Turnovers'!$AD137</f>
        <v>0</v>
      </c>
      <c r="U2206" s="728"/>
      <c r="V2206" s="68">
        <f>V1491/'Terms and Turnovers'!$AD137</f>
        <v>0</v>
      </c>
      <c r="W2206" s="728"/>
      <c r="X2206" s="68">
        <f>X1491/'Terms and Turnovers'!$AD137</f>
        <v>0</v>
      </c>
      <c r="Y2206" s="728"/>
      <c r="Z2206" s="68">
        <f>Z1491/'Terms and Turnovers'!$AD137</f>
        <v>0</v>
      </c>
      <c r="AA2206" s="728"/>
      <c r="AB2206" s="68">
        <f>AB1491/'Terms and Turnovers'!$AD137</f>
        <v>0</v>
      </c>
      <c r="AC2206" s="728"/>
      <c r="AD2206" s="68">
        <f>AD1491/'Terms and Turnovers'!$AD137</f>
        <v>0</v>
      </c>
      <c r="AE2206" s="728"/>
      <c r="AF2206" s="132">
        <f>SUM(T2206,V2206,X2206,Z2206,AB2206,AD2206)</f>
        <v>0</v>
      </c>
      <c r="AG2206" s="728"/>
      <c r="AH2206" s="133">
        <f>SUM(AF2206,R2206)</f>
        <v>0</v>
      </c>
      <c r="AI2206" s="728"/>
      <c r="AJ2206" s="65"/>
      <c r="AV2206" s="56"/>
    </row>
    <row r="2207" spans="1:48" ht="12.75" hidden="1" customHeight="1" outlineLevel="2" thickBot="1">
      <c r="A2207" s="73"/>
      <c r="B2207" s="82"/>
      <c r="C2207" s="1234"/>
      <c r="D2207" s="1234"/>
      <c r="E2207" s="84">
        <f>'Terms and Turnovers'!$AN$12</f>
        <v>0</v>
      </c>
      <c r="F2207" s="70">
        <f>F1492/'Terms and Turnovers'!$AN137</f>
        <v>0</v>
      </c>
      <c r="G2207" s="728"/>
      <c r="H2207" s="70">
        <f>H1492/'Terms and Turnovers'!$AN137</f>
        <v>0</v>
      </c>
      <c r="I2207" s="728"/>
      <c r="J2207" s="70">
        <f>J1492/'Terms and Turnovers'!$AN137</f>
        <v>0</v>
      </c>
      <c r="K2207" s="728"/>
      <c r="L2207" s="70">
        <f>L1492/'Terms and Turnovers'!$AN137</f>
        <v>0</v>
      </c>
      <c r="M2207" s="728"/>
      <c r="N2207" s="70">
        <f>N1492/'Terms and Turnovers'!$AN137</f>
        <v>0</v>
      </c>
      <c r="O2207" s="728"/>
      <c r="P2207" s="70">
        <f>P1492/'Terms and Turnovers'!$AN137</f>
        <v>0</v>
      </c>
      <c r="Q2207" s="728"/>
      <c r="R2207" s="132">
        <f>SUM(F2207,H2207,J2207,L2207,N2207,P2207)</f>
        <v>0</v>
      </c>
      <c r="S2207" s="728"/>
      <c r="T2207" s="70">
        <f>T1492/'Terms and Turnovers'!$AN137</f>
        <v>0</v>
      </c>
      <c r="U2207" s="728"/>
      <c r="V2207" s="70">
        <f>V1492/'Terms and Turnovers'!$AN137</f>
        <v>0</v>
      </c>
      <c r="W2207" s="728"/>
      <c r="X2207" s="70">
        <f>X1492/'Terms and Turnovers'!$AN137</f>
        <v>0</v>
      </c>
      <c r="Y2207" s="728"/>
      <c r="Z2207" s="70">
        <f>Z1492/'Terms and Turnovers'!$AN137</f>
        <v>0</v>
      </c>
      <c r="AA2207" s="728"/>
      <c r="AB2207" s="70">
        <f>AB1492/'Terms and Turnovers'!$AN137</f>
        <v>0</v>
      </c>
      <c r="AC2207" s="728"/>
      <c r="AD2207" s="70">
        <f>AD1492/'Terms and Turnovers'!$AN137</f>
        <v>0</v>
      </c>
      <c r="AE2207" s="728"/>
      <c r="AF2207" s="132">
        <f>SUM(T2207,V2207,X2207,Z2207,AB2207,AD2207)</f>
        <v>0</v>
      </c>
      <c r="AG2207" s="728"/>
      <c r="AH2207" s="133">
        <f>SUM(AF2207,R2207)</f>
        <v>0</v>
      </c>
      <c r="AI2207" s="728"/>
      <c r="AJ2207" s="65"/>
      <c r="AV2207" s="56"/>
    </row>
    <row r="2208" spans="1:48" ht="13.5" hidden="1" customHeight="1" outlineLevel="2" thickBot="1">
      <c r="A2208" s="73"/>
      <c r="B2208" s="82"/>
      <c r="C2208" s="1235"/>
      <c r="D2208" s="1235"/>
      <c r="E2208" s="85">
        <f>'Terms and Turnovers'!$AX$12</f>
        <v>0</v>
      </c>
      <c r="F2208" s="68">
        <f>F1493/'Terms and Turnovers'!$AX137</f>
        <v>0</v>
      </c>
      <c r="G2208" s="107"/>
      <c r="H2208" s="68">
        <f>H1493/'Terms and Turnovers'!$AX137</f>
        <v>0</v>
      </c>
      <c r="I2208" s="107"/>
      <c r="J2208" s="68">
        <f>J1493/'Terms and Turnovers'!$AX137</f>
        <v>0</v>
      </c>
      <c r="K2208" s="107"/>
      <c r="L2208" s="68">
        <f>L1493/'Terms and Turnovers'!$AX137</f>
        <v>0</v>
      </c>
      <c r="M2208" s="107"/>
      <c r="N2208" s="68">
        <f>N1493/'Terms and Turnovers'!$AX137</f>
        <v>0</v>
      </c>
      <c r="O2208" s="107"/>
      <c r="P2208" s="68">
        <f>P1493/'Terms and Turnovers'!$AX137</f>
        <v>0</v>
      </c>
      <c r="Q2208" s="107"/>
      <c r="R2208" s="135">
        <f>SUM(F2208,H2208,J2208,L2208,N2208,P2208)</f>
        <v>0</v>
      </c>
      <c r="S2208" s="107"/>
      <c r="T2208" s="68">
        <f>T1493/'Terms and Turnovers'!$AX137</f>
        <v>0</v>
      </c>
      <c r="U2208" s="107"/>
      <c r="V2208" s="68">
        <f>V1493/'Terms and Turnovers'!$AX137</f>
        <v>0</v>
      </c>
      <c r="W2208" s="107"/>
      <c r="X2208" s="68">
        <f>X1493/'Terms and Turnovers'!$AX137</f>
        <v>0</v>
      </c>
      <c r="Y2208" s="107"/>
      <c r="Z2208" s="68">
        <f>Z1493/'Terms and Turnovers'!$AX137</f>
        <v>0</v>
      </c>
      <c r="AA2208" s="107"/>
      <c r="AB2208" s="68">
        <f>AB1493/'Terms and Turnovers'!$AX137</f>
        <v>0</v>
      </c>
      <c r="AC2208" s="107"/>
      <c r="AD2208" s="68">
        <f>AD1493/'Terms and Turnovers'!$AX137</f>
        <v>0</v>
      </c>
      <c r="AE2208" s="107"/>
      <c r="AF2208" s="135">
        <f>SUM(T2208,V2208,X2208,Z2208,AB2208,AD2208)</f>
        <v>0</v>
      </c>
      <c r="AG2208" s="107"/>
      <c r="AH2208" s="136">
        <f>SUM(AF2208,R2208)</f>
        <v>0</v>
      </c>
      <c r="AI2208" s="107"/>
      <c r="AJ2208" s="65"/>
      <c r="AV2208" s="56"/>
    </row>
    <row r="2209" spans="1:48" ht="13.5" hidden="1" customHeight="1" outlineLevel="2">
      <c r="A2209" s="73"/>
      <c r="B2209" s="82"/>
      <c r="C2209" s="425"/>
      <c r="D2209" s="425"/>
      <c r="E2209" s="634"/>
      <c r="F2209" s="635"/>
      <c r="G2209" s="428"/>
      <c r="H2209" s="635"/>
      <c r="I2209" s="428"/>
      <c r="J2209" s="635"/>
      <c r="K2209" s="636"/>
      <c r="L2209" s="635"/>
      <c r="M2209" s="636"/>
      <c r="N2209" s="635"/>
      <c r="O2209" s="636"/>
      <c r="P2209" s="635"/>
      <c r="Q2209" s="636"/>
      <c r="R2209" s="637"/>
      <c r="S2209" s="698">
        <f>SUM(R1489:R1493)/1.18-(SUM(R2204:R2208)*'Mark Up Validation'!$M$175)</f>
        <v>0</v>
      </c>
      <c r="T2209" s="635"/>
      <c r="U2209" s="636"/>
      <c r="V2209" s="635"/>
      <c r="W2209" s="636"/>
      <c r="X2209" s="635"/>
      <c r="Y2209" s="636"/>
      <c r="Z2209" s="635"/>
      <c r="AA2209" s="636"/>
      <c r="AB2209" s="635"/>
      <c r="AC2209" s="636"/>
      <c r="AD2209" s="635"/>
      <c r="AE2209" s="636"/>
      <c r="AF2209" s="637"/>
      <c r="AG2209" s="698">
        <f>SUM(AF1489:AF1493)/1.18-SUM(AF2204:AF2208)*'Mark Up Validation'!$M$175</f>
        <v>23252.542372881355</v>
      </c>
      <c r="AH2209" s="638"/>
      <c r="AI2209" s="698">
        <f>SUM(AH1489:AH1493)/1.18-SUM(AH2204:AH2208)*'Mark Up Validation'!$M$175</f>
        <v>23252.542372881355</v>
      </c>
      <c r="AJ2209" s="65"/>
      <c r="AV2209" s="56"/>
    </row>
    <row r="2210" spans="1:48" ht="13.5" hidden="1" customHeight="1" outlineLevel="2" thickBot="1">
      <c r="A2210" s="73"/>
      <c r="B2210" s="82"/>
      <c r="C2210" s="1228" t="s">
        <v>538</v>
      </c>
      <c r="D2210" s="1229"/>
      <c r="E2210" s="699"/>
      <c r="F2210" s="700"/>
      <c r="G2210" s="701"/>
      <c r="H2210" s="700"/>
      <c r="I2210" s="701"/>
      <c r="J2210" s="700"/>
      <c r="K2210" s="702"/>
      <c r="L2210" s="700"/>
      <c r="M2210" s="702"/>
      <c r="N2210" s="700"/>
      <c r="O2210" s="702"/>
      <c r="P2210" s="700"/>
      <c r="Q2210" s="702"/>
      <c r="R2210" s="703"/>
      <c r="S2210" s="729">
        <f>IF(S2209&gt;0,S2209/(SUM(R1489:R1493)/1.18),0)</f>
        <v>0</v>
      </c>
      <c r="T2210" s="700"/>
      <c r="U2210" s="702"/>
      <c r="V2210" s="700"/>
      <c r="W2210" s="702"/>
      <c r="X2210" s="700"/>
      <c r="Y2210" s="702"/>
      <c r="Z2210" s="700"/>
      <c r="AA2210" s="702"/>
      <c r="AB2210" s="700"/>
      <c r="AC2210" s="702"/>
      <c r="AD2210" s="700"/>
      <c r="AE2210" s="702"/>
      <c r="AF2210" s="705"/>
      <c r="AG2210" s="729">
        <f>IF(AG2209&gt;0,AG2209/(SUM(AF1489:AF1493)/1.18),0)</f>
        <v>1</v>
      </c>
      <c r="AH2210" s="706"/>
      <c r="AI2210" s="729">
        <f>IF(AI2209&gt;0,AI2209/(SUM(AH1489:AH1493)/1.18),0)</f>
        <v>1</v>
      </c>
      <c r="AJ2210" s="65"/>
      <c r="AV2210" s="56"/>
    </row>
    <row r="2211" spans="1:48" ht="12.75" hidden="1" customHeight="1" outlineLevel="1">
      <c r="A2211" s="73"/>
      <c r="B2211" s="82">
        <f>B2204+1</f>
        <v>7</v>
      </c>
      <c r="C2211" s="1233">
        <f>C1496</f>
        <v>0</v>
      </c>
      <c r="D2211" s="1233" t="str">
        <f>D1496</f>
        <v>ЭРГО СПОРТ ООО</v>
      </c>
      <c r="E2211" s="83" t="str">
        <f>'Terms and Turnovers'!$J$12</f>
        <v>FLIP-FLOPS</v>
      </c>
      <c r="F2211" s="68">
        <f>F1496/'Terms and Turnovers'!$J138</f>
        <v>0</v>
      </c>
      <c r="G2211" s="106"/>
      <c r="H2211" s="68">
        <f>H1496/'Terms and Turnovers'!$J138</f>
        <v>0</v>
      </c>
      <c r="I2211" s="106"/>
      <c r="J2211" s="68">
        <f>J1496/'Terms and Turnovers'!$J138</f>
        <v>0</v>
      </c>
      <c r="K2211" s="106"/>
      <c r="L2211" s="68">
        <f>L1496/'Terms and Turnovers'!$J138</f>
        <v>0</v>
      </c>
      <c r="M2211" s="106"/>
      <c r="N2211" s="68">
        <f>N1496/'Terms and Turnovers'!$J138</f>
        <v>0</v>
      </c>
      <c r="O2211" s="106"/>
      <c r="P2211" s="68">
        <f>P1496/'Terms and Turnovers'!$J138</f>
        <v>0</v>
      </c>
      <c r="Q2211" s="106"/>
      <c r="R2211" s="129">
        <f>SUM(F2211,H2211,J2211,L2211,N2211,P2211)</f>
        <v>0</v>
      </c>
      <c r="S2211" s="106"/>
      <c r="T2211" s="68">
        <f>T1496/'Terms and Turnovers'!$J138</f>
        <v>0</v>
      </c>
      <c r="U2211" s="106"/>
      <c r="V2211" s="68">
        <f>V1496/'Terms and Turnovers'!$J138</f>
        <v>0</v>
      </c>
      <c r="W2211" s="106"/>
      <c r="X2211" s="68">
        <f>X1496/'Terms and Turnovers'!$J138</f>
        <v>0</v>
      </c>
      <c r="Y2211" s="106"/>
      <c r="Z2211" s="68">
        <f>Z1496/'Terms and Turnovers'!$J138</f>
        <v>0</v>
      </c>
      <c r="AA2211" s="106"/>
      <c r="AB2211" s="68">
        <f>AB1496/'Terms and Turnovers'!$J138</f>
        <v>0</v>
      </c>
      <c r="AC2211" s="106"/>
      <c r="AD2211" s="68">
        <f>AD1496/'Terms and Turnovers'!$J138</f>
        <v>0</v>
      </c>
      <c r="AE2211" s="106"/>
      <c r="AF2211" s="129">
        <f>SUM(T2211,V2211,X2211,Z2211,AB2211,AD2211)</f>
        <v>0</v>
      </c>
      <c r="AG2211" s="106"/>
      <c r="AH2211" s="130">
        <f>SUM(AF2211,R2211)</f>
        <v>0</v>
      </c>
      <c r="AI2211" s="106"/>
      <c r="AJ2211" s="65"/>
    </row>
    <row r="2212" spans="1:48" ht="12.75" hidden="1" customHeight="1" outlineLevel="1" thickBot="1">
      <c r="A2212" s="73"/>
      <c r="B2212" s="82"/>
      <c r="C2212" s="1234"/>
      <c r="D2212" s="1234"/>
      <c r="E2212" s="84" t="str">
        <f>'Terms and Turnovers'!$T$12</f>
        <v>ORIGINALS</v>
      </c>
      <c r="F2212" s="70">
        <f>F1370/'Terms and Turnovers'!$T138</f>
        <v>0</v>
      </c>
      <c r="G2212" s="728"/>
      <c r="H2212" s="70">
        <f>H1370/'Terms and Turnovers'!$T138</f>
        <v>0</v>
      </c>
      <c r="I2212" s="728"/>
      <c r="J2212" s="70">
        <f>J1370/'Terms and Turnovers'!$T138</f>
        <v>0</v>
      </c>
      <c r="K2212" s="728"/>
      <c r="L2212" s="70">
        <f>L1370/'Terms and Turnovers'!$T138</f>
        <v>0</v>
      </c>
      <c r="M2212" s="728"/>
      <c r="N2212" s="70">
        <f>N1370/'Terms and Turnovers'!$T138</f>
        <v>0</v>
      </c>
      <c r="O2212" s="728"/>
      <c r="P2212" s="70">
        <f>P1370/'Terms and Turnovers'!$T138</f>
        <v>0</v>
      </c>
      <c r="Q2212" s="728"/>
      <c r="R2212" s="132">
        <f>SUM(F2212,H2212,J2212,L2212,N2212,P2212)</f>
        <v>0</v>
      </c>
      <c r="S2212" s="728"/>
      <c r="T2212" s="70">
        <f>T1370/'Terms and Turnovers'!$T138</f>
        <v>0</v>
      </c>
      <c r="U2212" s="728"/>
      <c r="V2212" s="70">
        <f>V1370/'Terms and Turnovers'!$T138</f>
        <v>0</v>
      </c>
      <c r="W2212" s="728"/>
      <c r="X2212" s="70">
        <f>X1370/'Terms and Turnovers'!$T138</f>
        <v>0</v>
      </c>
      <c r="Y2212" s="728"/>
      <c r="Z2212" s="70">
        <f>Z1370/'Terms and Turnovers'!$T138</f>
        <v>0</v>
      </c>
      <c r="AA2212" s="728"/>
      <c r="AB2212" s="70">
        <f>AB1370/'Terms and Turnovers'!$T138</f>
        <v>0</v>
      </c>
      <c r="AC2212" s="728"/>
      <c r="AD2212" s="70">
        <f>AD1370/'Terms and Turnovers'!$T138</f>
        <v>0</v>
      </c>
      <c r="AE2212" s="728"/>
      <c r="AF2212" s="132">
        <f>SUM(T2212,V2212,X2212,Z2212,AB2212,AD2212)</f>
        <v>0</v>
      </c>
      <c r="AG2212" s="728"/>
      <c r="AH2212" s="133">
        <f>SUM(AF2212,R2212)</f>
        <v>0</v>
      </c>
      <c r="AI2212" s="728"/>
      <c r="AJ2212" s="65"/>
    </row>
    <row r="2213" spans="1:48" ht="12.75" hidden="1" customHeight="1" outlineLevel="1">
      <c r="A2213" s="73"/>
      <c r="B2213" s="82"/>
      <c r="C2213" s="1234"/>
      <c r="D2213" s="1234"/>
      <c r="E2213" s="84" t="str">
        <f>'Terms and Turnovers'!$AD$12</f>
        <v>ACCESSORIES</v>
      </c>
      <c r="F2213" s="68">
        <f>F1371/'Terms and Turnovers'!$AD138</f>
        <v>0</v>
      </c>
      <c r="G2213" s="728"/>
      <c r="H2213" s="68">
        <f>H1371/'Terms and Turnovers'!$AD138</f>
        <v>0</v>
      </c>
      <c r="I2213" s="728"/>
      <c r="J2213" s="68">
        <f>J1371/'Terms and Turnovers'!$AD138</f>
        <v>0</v>
      </c>
      <c r="K2213" s="728"/>
      <c r="L2213" s="68">
        <f>L1371/'Terms and Turnovers'!$AD138</f>
        <v>0</v>
      </c>
      <c r="M2213" s="728"/>
      <c r="N2213" s="68">
        <f>N1371/'Terms and Turnovers'!$AD138</f>
        <v>0</v>
      </c>
      <c r="O2213" s="728"/>
      <c r="P2213" s="68">
        <f>P1371/'Terms and Turnovers'!$AD138</f>
        <v>0</v>
      </c>
      <c r="Q2213" s="728"/>
      <c r="R2213" s="132">
        <f>SUM(F2213,H2213,J2213,L2213,N2213,P2213)</f>
        <v>0</v>
      </c>
      <c r="S2213" s="728"/>
      <c r="T2213" s="68">
        <f>T1371/'Terms and Turnovers'!$AD138</f>
        <v>0</v>
      </c>
      <c r="U2213" s="728"/>
      <c r="V2213" s="68">
        <f>V1371/'Terms and Turnovers'!$AD138</f>
        <v>0</v>
      </c>
      <c r="W2213" s="728"/>
      <c r="X2213" s="68">
        <f>X1371/'Terms and Turnovers'!$AD138</f>
        <v>0</v>
      </c>
      <c r="Y2213" s="728"/>
      <c r="Z2213" s="68">
        <f>Z1371/'Terms and Turnovers'!$AD138</f>
        <v>0</v>
      </c>
      <c r="AA2213" s="728"/>
      <c r="AB2213" s="68">
        <f>AB1371/'Terms and Turnovers'!$AD138</f>
        <v>0</v>
      </c>
      <c r="AC2213" s="728"/>
      <c r="AD2213" s="68">
        <f>AD1371/'Terms and Turnovers'!$AD138</f>
        <v>0</v>
      </c>
      <c r="AE2213" s="728"/>
      <c r="AF2213" s="132">
        <f>SUM(T2213,V2213,X2213,Z2213,AB2213,AD2213)</f>
        <v>0</v>
      </c>
      <c r="AG2213" s="728"/>
      <c r="AH2213" s="133">
        <f>SUM(AF2213,R2213)</f>
        <v>0</v>
      </c>
      <c r="AI2213" s="728"/>
      <c r="AJ2213" s="65"/>
    </row>
    <row r="2214" spans="1:48" ht="12.75" hidden="1" customHeight="1" outlineLevel="1" thickBot="1">
      <c r="A2214" s="73"/>
      <c r="B2214" s="82"/>
      <c r="C2214" s="1234"/>
      <c r="D2214" s="1234"/>
      <c r="E2214" s="84">
        <f>'Terms and Turnovers'!$AN$12</f>
        <v>0</v>
      </c>
      <c r="F2214" s="70">
        <f>F1372/'Terms and Turnovers'!$AN138</f>
        <v>0</v>
      </c>
      <c r="G2214" s="728"/>
      <c r="H2214" s="70">
        <f>H1372/'Terms and Turnovers'!$AN138</f>
        <v>0</v>
      </c>
      <c r="I2214" s="728"/>
      <c r="J2214" s="70">
        <f>J1372/'Terms and Turnovers'!$AN138</f>
        <v>0</v>
      </c>
      <c r="K2214" s="728"/>
      <c r="L2214" s="70">
        <f>L1372/'Terms and Turnovers'!$AN138</f>
        <v>0</v>
      </c>
      <c r="M2214" s="728"/>
      <c r="N2214" s="70">
        <f>N1372/'Terms and Turnovers'!$AN138</f>
        <v>0</v>
      </c>
      <c r="O2214" s="728"/>
      <c r="P2214" s="70">
        <f>P1372/'Terms and Turnovers'!$AN138</f>
        <v>0</v>
      </c>
      <c r="Q2214" s="728"/>
      <c r="R2214" s="132">
        <f>SUM(F2214,H2214,J2214,L2214,N2214,P2214)</f>
        <v>0</v>
      </c>
      <c r="S2214" s="728"/>
      <c r="T2214" s="70">
        <f>T1372/'Terms and Turnovers'!$AN138</f>
        <v>0</v>
      </c>
      <c r="U2214" s="728"/>
      <c r="V2214" s="70">
        <f>V1372/'Terms and Turnovers'!$AN138</f>
        <v>0</v>
      </c>
      <c r="W2214" s="728"/>
      <c r="X2214" s="70">
        <f>X1372/'Terms and Turnovers'!$AN138</f>
        <v>0</v>
      </c>
      <c r="Y2214" s="728"/>
      <c r="Z2214" s="70">
        <f>Z1372/'Terms and Turnovers'!$AN138</f>
        <v>0</v>
      </c>
      <c r="AA2214" s="728"/>
      <c r="AB2214" s="70">
        <f>AB1372/'Terms and Turnovers'!$AN138</f>
        <v>0</v>
      </c>
      <c r="AC2214" s="728"/>
      <c r="AD2214" s="70">
        <f>AD1372/'Terms and Turnovers'!$AN138</f>
        <v>0</v>
      </c>
      <c r="AE2214" s="728"/>
      <c r="AF2214" s="132">
        <f>SUM(T2214,V2214,X2214,Z2214,AB2214,AD2214)</f>
        <v>0</v>
      </c>
      <c r="AG2214" s="728"/>
      <c r="AH2214" s="133">
        <f>SUM(AF2214,R2214)</f>
        <v>0</v>
      </c>
      <c r="AI2214" s="728"/>
      <c r="AJ2214" s="65"/>
    </row>
    <row r="2215" spans="1:48" ht="13.5" hidden="1" customHeight="1" outlineLevel="1" thickBot="1">
      <c r="A2215" s="73"/>
      <c r="B2215" s="82"/>
      <c r="C2215" s="1235"/>
      <c r="D2215" s="1235"/>
      <c r="E2215" s="85">
        <f>'Terms and Turnovers'!$AX$12</f>
        <v>0</v>
      </c>
      <c r="F2215" s="68">
        <f>F1373/'Terms and Turnovers'!$AX138</f>
        <v>0</v>
      </c>
      <c r="G2215" s="107"/>
      <c r="H2215" s="68">
        <f>H1373/'Terms and Turnovers'!$AX138</f>
        <v>0</v>
      </c>
      <c r="I2215" s="107"/>
      <c r="J2215" s="68">
        <f>J1373/'Terms and Turnovers'!$AX138</f>
        <v>0</v>
      </c>
      <c r="K2215" s="107"/>
      <c r="L2215" s="68">
        <f>L1373/'Terms and Turnovers'!$AX138</f>
        <v>0</v>
      </c>
      <c r="M2215" s="107"/>
      <c r="N2215" s="68">
        <f>N1373/'Terms and Turnovers'!$AX138</f>
        <v>0</v>
      </c>
      <c r="O2215" s="107"/>
      <c r="P2215" s="68">
        <f>P1373/'Terms and Turnovers'!$AX138</f>
        <v>0</v>
      </c>
      <c r="Q2215" s="107"/>
      <c r="R2215" s="135">
        <f>SUM(F2215,H2215,J2215,L2215,N2215,P2215)</f>
        <v>0</v>
      </c>
      <c r="S2215" s="107"/>
      <c r="T2215" s="68">
        <f>T1373/'Terms and Turnovers'!$AX138</f>
        <v>0</v>
      </c>
      <c r="U2215" s="107"/>
      <c r="V2215" s="68">
        <f>V1373/'Terms and Turnovers'!$AX138</f>
        <v>0</v>
      </c>
      <c r="W2215" s="107"/>
      <c r="X2215" s="68">
        <f>X1373/'Terms and Turnovers'!$AX138</f>
        <v>0</v>
      </c>
      <c r="Y2215" s="107"/>
      <c r="Z2215" s="68">
        <f>Z1373/'Terms and Turnovers'!$AX138</f>
        <v>0</v>
      </c>
      <c r="AA2215" s="107"/>
      <c r="AB2215" s="68">
        <f>AB1373/'Terms and Turnovers'!$AX138</f>
        <v>0</v>
      </c>
      <c r="AC2215" s="107"/>
      <c r="AD2215" s="68">
        <f>AD1373/'Terms and Turnovers'!$AX138</f>
        <v>0</v>
      </c>
      <c r="AE2215" s="107"/>
      <c r="AF2215" s="135">
        <f>SUM(T2215,V2215,X2215,Z2215,AB2215,AD2215)</f>
        <v>0</v>
      </c>
      <c r="AG2215" s="107"/>
      <c r="AH2215" s="136">
        <f>SUM(AF2215,R2215)</f>
        <v>0</v>
      </c>
      <c r="AI2215" s="107"/>
      <c r="AJ2215" s="65"/>
    </row>
    <row r="2216" spans="1:48" ht="13.5" hidden="1" customHeight="1" outlineLevel="1">
      <c r="A2216" s="73"/>
      <c r="B2216" s="82"/>
      <c r="C2216" s="425"/>
      <c r="D2216" s="425"/>
      <c r="E2216" s="634"/>
      <c r="F2216" s="635"/>
      <c r="G2216" s="428"/>
      <c r="H2216" s="635"/>
      <c r="I2216" s="428"/>
      <c r="J2216" s="635"/>
      <c r="K2216" s="636"/>
      <c r="L2216" s="635"/>
      <c r="M2216" s="636"/>
      <c r="N2216" s="635"/>
      <c r="O2216" s="636"/>
      <c r="P2216" s="635"/>
      <c r="Q2216" s="636"/>
      <c r="R2216" s="637"/>
      <c r="S2216" s="698">
        <f>SUM(R1496:R1500)/1.18-(SUM(R2211:R2215)*'Mark Up Validation'!$M$175)</f>
        <v>0</v>
      </c>
      <c r="T2216" s="635"/>
      <c r="U2216" s="636"/>
      <c r="V2216" s="635"/>
      <c r="W2216" s="636"/>
      <c r="X2216" s="635"/>
      <c r="Y2216" s="636"/>
      <c r="Z2216" s="635"/>
      <c r="AA2216" s="636"/>
      <c r="AB2216" s="635"/>
      <c r="AC2216" s="636"/>
      <c r="AD2216" s="635"/>
      <c r="AE2216" s="636"/>
      <c r="AF2216" s="637"/>
      <c r="AG2216" s="698">
        <f>SUM(AF1496:AF1500)/1.18-SUM(AF2211:AF2215)*'Mark Up Validation'!$M$175</f>
        <v>0</v>
      </c>
      <c r="AH2216" s="638"/>
      <c r="AI2216" s="698">
        <f>SUM(AH1496:AH1500)/1.18-SUM(AH2211:AH2215)*'Mark Up Validation'!$M$175</f>
        <v>0</v>
      </c>
      <c r="AJ2216" s="65"/>
    </row>
    <row r="2217" spans="1:48" ht="13.5" hidden="1" customHeight="1" outlineLevel="1" thickBot="1">
      <c r="A2217" s="73"/>
      <c r="B2217" s="82"/>
      <c r="C2217" s="1228" t="s">
        <v>538</v>
      </c>
      <c r="D2217" s="1229"/>
      <c r="E2217" s="699"/>
      <c r="F2217" s="700"/>
      <c r="G2217" s="701"/>
      <c r="H2217" s="700"/>
      <c r="I2217" s="701"/>
      <c r="J2217" s="700"/>
      <c r="K2217" s="702"/>
      <c r="L2217" s="700"/>
      <c r="M2217" s="702"/>
      <c r="N2217" s="700"/>
      <c r="O2217" s="702"/>
      <c r="P2217" s="700"/>
      <c r="Q2217" s="702"/>
      <c r="R2217" s="703"/>
      <c r="S2217" s="729">
        <f>IF(S2216&gt;0,S2216/(SUM(R1496:R1500)/1.18),0)</f>
        <v>0</v>
      </c>
      <c r="T2217" s="700"/>
      <c r="U2217" s="702"/>
      <c r="V2217" s="700"/>
      <c r="W2217" s="702"/>
      <c r="X2217" s="700"/>
      <c r="Y2217" s="702"/>
      <c r="Z2217" s="700"/>
      <c r="AA2217" s="702"/>
      <c r="AB2217" s="700"/>
      <c r="AC2217" s="702"/>
      <c r="AD2217" s="700"/>
      <c r="AE2217" s="702"/>
      <c r="AF2217" s="705"/>
      <c r="AG2217" s="729">
        <f>IF(AG2216&gt;0,AG2216/(SUM(AF1496:AF1500)/1.18),0)</f>
        <v>0</v>
      </c>
      <c r="AH2217" s="706"/>
      <c r="AI2217" s="729">
        <f>IF(AI2216&gt;0,AI2216/(SUM(AH1496:AH1500)/1.18),0)</f>
        <v>0</v>
      </c>
      <c r="AJ2217" s="65"/>
    </row>
    <row r="2218" spans="1:48" ht="12.75" hidden="1" customHeight="1" outlineLevel="2">
      <c r="A2218" s="73"/>
      <c r="B2218" s="82">
        <f>B2211+1</f>
        <v>8</v>
      </c>
      <c r="C2218" s="1233">
        <f>C1503</f>
        <v>0</v>
      </c>
      <c r="D2218" s="1233" t="str">
        <f>D1503</f>
        <v>Торговый дом ЦУМ ОАО</v>
      </c>
      <c r="E2218" s="83" t="str">
        <f>'Terms and Turnovers'!$J$12</f>
        <v>FLIP-FLOPS</v>
      </c>
      <c r="F2218" s="68">
        <f>F1503/'Terms and Turnovers'!$J139</f>
        <v>0</v>
      </c>
      <c r="G2218" s="106"/>
      <c r="H2218" s="68">
        <f>H1503/'Terms and Turnovers'!$J139</f>
        <v>0</v>
      </c>
      <c r="I2218" s="106"/>
      <c r="J2218" s="68">
        <f>J1503/'Terms and Turnovers'!$J139</f>
        <v>0</v>
      </c>
      <c r="K2218" s="106"/>
      <c r="L2218" s="68">
        <f>L1503/'Terms and Turnovers'!$J139</f>
        <v>0</v>
      </c>
      <c r="M2218" s="106"/>
      <c r="N2218" s="68">
        <f>N1503/'Terms and Turnovers'!$J139</f>
        <v>0</v>
      </c>
      <c r="O2218" s="106"/>
      <c r="P2218" s="68">
        <f>P1503/'Terms and Turnovers'!$J139</f>
        <v>0</v>
      </c>
      <c r="Q2218" s="106"/>
      <c r="R2218" s="129">
        <f>SUM(F2218,H2218,J2218,L2218,N2218,P2218)</f>
        <v>0</v>
      </c>
      <c r="S2218" s="106"/>
      <c r="T2218" s="68">
        <f>T1503/'Terms and Turnovers'!$J139</f>
        <v>0</v>
      </c>
      <c r="U2218" s="106"/>
      <c r="V2218" s="68">
        <f>V1503/'Terms and Turnovers'!$J139</f>
        <v>0</v>
      </c>
      <c r="W2218" s="106"/>
      <c r="X2218" s="68">
        <f>X1503/'Terms and Turnovers'!$J139</f>
        <v>0</v>
      </c>
      <c r="Y2218" s="106"/>
      <c r="Z2218" s="68">
        <f>Z1503/'Terms and Turnovers'!$J139</f>
        <v>0</v>
      </c>
      <c r="AA2218" s="106"/>
      <c r="AB2218" s="68">
        <f>AB1503/'Terms and Turnovers'!$J139</f>
        <v>0</v>
      </c>
      <c r="AC2218" s="106"/>
      <c r="AD2218" s="68">
        <f>AD1503/'Terms and Turnovers'!$J139</f>
        <v>0</v>
      </c>
      <c r="AE2218" s="106"/>
      <c r="AF2218" s="129">
        <f>SUM(T2218,V2218,X2218,Z2218,AB2218,AD2218)</f>
        <v>0</v>
      </c>
      <c r="AG2218" s="106"/>
      <c r="AH2218" s="130">
        <f>SUM(AF2218,R2218)</f>
        <v>0</v>
      </c>
      <c r="AI2218" s="106"/>
      <c r="AJ2218" s="65"/>
      <c r="AV2218" s="56"/>
    </row>
    <row r="2219" spans="1:48" ht="12.75" hidden="1" customHeight="1" outlineLevel="2" thickBot="1">
      <c r="A2219" s="73"/>
      <c r="B2219" s="82"/>
      <c r="C2219" s="1234"/>
      <c r="D2219" s="1234"/>
      <c r="E2219" s="84" t="str">
        <f>'Terms and Turnovers'!$T$12</f>
        <v>ORIGINALS</v>
      </c>
      <c r="F2219" s="70">
        <f>F1504/'Terms and Turnovers'!$T139</f>
        <v>0</v>
      </c>
      <c r="G2219" s="728"/>
      <c r="H2219" s="70">
        <f>H1504/'Terms and Turnovers'!$T139</f>
        <v>0</v>
      </c>
      <c r="I2219" s="728"/>
      <c r="J2219" s="70">
        <f>J1504/'Terms and Turnovers'!$T139</f>
        <v>0</v>
      </c>
      <c r="K2219" s="728"/>
      <c r="L2219" s="70">
        <f>L1504/'Terms and Turnovers'!$T139</f>
        <v>0</v>
      </c>
      <c r="M2219" s="728"/>
      <c r="N2219" s="70">
        <f>N1504/'Terms and Turnovers'!$T139</f>
        <v>0</v>
      </c>
      <c r="O2219" s="728"/>
      <c r="P2219" s="70">
        <f>P1504/'Terms and Turnovers'!$T139</f>
        <v>0</v>
      </c>
      <c r="Q2219" s="728"/>
      <c r="R2219" s="132">
        <f>SUM(F2219,H2219,J2219,L2219,N2219,P2219)</f>
        <v>0</v>
      </c>
      <c r="S2219" s="728"/>
      <c r="T2219" s="70">
        <f>T1504/'Terms and Turnovers'!$T139</f>
        <v>0</v>
      </c>
      <c r="U2219" s="728"/>
      <c r="V2219" s="70">
        <f>V1504/'Terms and Turnovers'!$T139</f>
        <v>0</v>
      </c>
      <c r="W2219" s="728"/>
      <c r="X2219" s="70">
        <f>X1504/'Terms and Turnovers'!$T139</f>
        <v>0</v>
      </c>
      <c r="Y2219" s="728"/>
      <c r="Z2219" s="70">
        <f>Z1504/'Terms and Turnovers'!$T139</f>
        <v>0</v>
      </c>
      <c r="AA2219" s="728"/>
      <c r="AB2219" s="70">
        <f>AB1504/'Terms and Turnovers'!$T139</f>
        <v>0</v>
      </c>
      <c r="AC2219" s="728"/>
      <c r="AD2219" s="70">
        <f>AD1504/'Terms and Turnovers'!$T139</f>
        <v>0</v>
      </c>
      <c r="AE2219" s="728"/>
      <c r="AF2219" s="132">
        <f>SUM(T2219,V2219,X2219,Z2219,AB2219,AD2219)</f>
        <v>0</v>
      </c>
      <c r="AG2219" s="728"/>
      <c r="AH2219" s="133">
        <f>SUM(AF2219,R2219)</f>
        <v>0</v>
      </c>
      <c r="AI2219" s="728"/>
      <c r="AJ2219" s="65"/>
      <c r="AV2219" s="56"/>
    </row>
    <row r="2220" spans="1:48" ht="12.75" hidden="1" customHeight="1" outlineLevel="2">
      <c r="A2220" s="73"/>
      <c r="B2220" s="82"/>
      <c r="C2220" s="1234"/>
      <c r="D2220" s="1234"/>
      <c r="E2220" s="84" t="str">
        <f>'Terms and Turnovers'!$AD$12</f>
        <v>ACCESSORIES</v>
      </c>
      <c r="F2220" s="68">
        <f>F1505/'Terms and Turnovers'!$AD139</f>
        <v>0</v>
      </c>
      <c r="G2220" s="728"/>
      <c r="H2220" s="68">
        <f>H1505/'Terms and Turnovers'!$AD139</f>
        <v>0</v>
      </c>
      <c r="I2220" s="728"/>
      <c r="J2220" s="68">
        <f>J1505/'Terms and Turnovers'!$AD139</f>
        <v>0</v>
      </c>
      <c r="K2220" s="728"/>
      <c r="L2220" s="68">
        <f>L1505/'Terms and Turnovers'!$AD139</f>
        <v>0</v>
      </c>
      <c r="M2220" s="728"/>
      <c r="N2220" s="68">
        <f>N1505/'Terms and Turnovers'!$AD139</f>
        <v>0</v>
      </c>
      <c r="O2220" s="728"/>
      <c r="P2220" s="68">
        <f>P1505/'Terms and Turnovers'!$AD139</f>
        <v>0</v>
      </c>
      <c r="Q2220" s="728"/>
      <c r="R2220" s="132">
        <f>SUM(F2220,H2220,J2220,L2220,N2220,P2220)</f>
        <v>0</v>
      </c>
      <c r="S2220" s="728"/>
      <c r="T2220" s="68">
        <f>T1505/'Terms and Turnovers'!$AD139</f>
        <v>0</v>
      </c>
      <c r="U2220" s="728"/>
      <c r="V2220" s="68">
        <f>V1505/'Terms and Turnovers'!$AD139</f>
        <v>0</v>
      </c>
      <c r="W2220" s="728"/>
      <c r="X2220" s="68">
        <f>X1505/'Terms and Turnovers'!$AD139</f>
        <v>0</v>
      </c>
      <c r="Y2220" s="728"/>
      <c r="Z2220" s="68">
        <f>Z1505/'Terms and Turnovers'!$AD139</f>
        <v>0</v>
      </c>
      <c r="AA2220" s="728"/>
      <c r="AB2220" s="68">
        <f>AB1505/'Terms and Turnovers'!$AD139</f>
        <v>0</v>
      </c>
      <c r="AC2220" s="728"/>
      <c r="AD2220" s="68">
        <f>AD1505/'Terms and Turnovers'!$AD139</f>
        <v>0</v>
      </c>
      <c r="AE2220" s="728"/>
      <c r="AF2220" s="132">
        <f>SUM(T2220,V2220,X2220,Z2220,AB2220,AD2220)</f>
        <v>0</v>
      </c>
      <c r="AG2220" s="728"/>
      <c r="AH2220" s="133">
        <f>SUM(AF2220,R2220)</f>
        <v>0</v>
      </c>
      <c r="AI2220" s="728"/>
      <c r="AJ2220" s="65"/>
      <c r="AV2220" s="56"/>
    </row>
    <row r="2221" spans="1:48" ht="12.75" hidden="1" customHeight="1" outlineLevel="2" thickBot="1">
      <c r="A2221" s="73"/>
      <c r="B2221" s="82"/>
      <c r="C2221" s="1234"/>
      <c r="D2221" s="1234"/>
      <c r="E2221" s="84">
        <f>'Terms and Turnovers'!$AN$12</f>
        <v>0</v>
      </c>
      <c r="F2221" s="70">
        <f>F1506/'Terms and Turnovers'!$AN139</f>
        <v>0</v>
      </c>
      <c r="G2221" s="728"/>
      <c r="H2221" s="70">
        <f>H1506/'Terms and Turnovers'!$AN139</f>
        <v>0</v>
      </c>
      <c r="I2221" s="728"/>
      <c r="J2221" s="70">
        <f>J1506/'Terms and Turnovers'!$AN139</f>
        <v>0</v>
      </c>
      <c r="K2221" s="728"/>
      <c r="L2221" s="70">
        <f>L1506/'Terms and Turnovers'!$AN139</f>
        <v>0</v>
      </c>
      <c r="M2221" s="728"/>
      <c r="N2221" s="70">
        <f>N1506/'Terms and Turnovers'!$AN139</f>
        <v>0</v>
      </c>
      <c r="O2221" s="728"/>
      <c r="P2221" s="70">
        <f>P1506/'Terms and Turnovers'!$AN139</f>
        <v>0</v>
      </c>
      <c r="Q2221" s="728"/>
      <c r="R2221" s="132">
        <f>SUM(F2221,H2221,J2221,L2221,N2221,P2221)</f>
        <v>0</v>
      </c>
      <c r="S2221" s="728"/>
      <c r="T2221" s="70">
        <f>T1506/'Terms and Turnovers'!$AN139</f>
        <v>0</v>
      </c>
      <c r="U2221" s="728"/>
      <c r="V2221" s="70">
        <f>V1506/'Terms and Turnovers'!$AN139</f>
        <v>0</v>
      </c>
      <c r="W2221" s="728"/>
      <c r="X2221" s="70">
        <f>X1506/'Terms and Turnovers'!$AN139</f>
        <v>0</v>
      </c>
      <c r="Y2221" s="728"/>
      <c r="Z2221" s="70">
        <f>Z1506/'Terms and Turnovers'!$AN139</f>
        <v>0</v>
      </c>
      <c r="AA2221" s="728"/>
      <c r="AB2221" s="70">
        <f>AB1506/'Terms and Turnovers'!$AN139</f>
        <v>0</v>
      </c>
      <c r="AC2221" s="728"/>
      <c r="AD2221" s="70">
        <f>AD1506/'Terms and Turnovers'!$AN139</f>
        <v>0</v>
      </c>
      <c r="AE2221" s="728"/>
      <c r="AF2221" s="132">
        <f>SUM(T2221,V2221,X2221,Z2221,AB2221,AD2221)</f>
        <v>0</v>
      </c>
      <c r="AG2221" s="728"/>
      <c r="AH2221" s="133">
        <f>SUM(AF2221,R2221)</f>
        <v>0</v>
      </c>
      <c r="AI2221" s="728"/>
      <c r="AJ2221" s="65"/>
      <c r="AV2221" s="56"/>
    </row>
    <row r="2222" spans="1:48" ht="13.5" hidden="1" customHeight="1" outlineLevel="2" thickBot="1">
      <c r="A2222" s="73"/>
      <c r="B2222" s="82"/>
      <c r="C2222" s="1235"/>
      <c r="D2222" s="1235"/>
      <c r="E2222" s="85">
        <f>'Terms and Turnovers'!$AX$12</f>
        <v>0</v>
      </c>
      <c r="F2222" s="68">
        <f>F1507/'Terms and Turnovers'!$AX139</f>
        <v>0</v>
      </c>
      <c r="G2222" s="107"/>
      <c r="H2222" s="68">
        <f>H1507/'Terms and Turnovers'!$AX139</f>
        <v>0</v>
      </c>
      <c r="I2222" s="107"/>
      <c r="J2222" s="68">
        <f>J1507/'Terms and Turnovers'!$AX139</f>
        <v>0</v>
      </c>
      <c r="K2222" s="107"/>
      <c r="L2222" s="68">
        <f>L1507/'Terms and Turnovers'!$AX139</f>
        <v>0</v>
      </c>
      <c r="M2222" s="107"/>
      <c r="N2222" s="68">
        <f>N1507/'Terms and Turnovers'!$AX139</f>
        <v>0</v>
      </c>
      <c r="O2222" s="107"/>
      <c r="P2222" s="68">
        <f>P1507/'Terms and Turnovers'!$AX139</f>
        <v>0</v>
      </c>
      <c r="Q2222" s="107"/>
      <c r="R2222" s="135">
        <f>SUM(F2222,H2222,J2222,L2222,N2222,P2222)</f>
        <v>0</v>
      </c>
      <c r="S2222" s="107"/>
      <c r="T2222" s="68">
        <f>T1507/'Terms and Turnovers'!$AX139</f>
        <v>0</v>
      </c>
      <c r="U2222" s="107"/>
      <c r="V2222" s="68">
        <f>V1507/'Terms and Turnovers'!$AX139</f>
        <v>0</v>
      </c>
      <c r="W2222" s="107"/>
      <c r="X2222" s="68">
        <f>X1507/'Terms and Turnovers'!$AX139</f>
        <v>0</v>
      </c>
      <c r="Y2222" s="107"/>
      <c r="Z2222" s="68">
        <f>Z1507/'Terms and Turnovers'!$AX139</f>
        <v>0</v>
      </c>
      <c r="AA2222" s="107"/>
      <c r="AB2222" s="68">
        <f>AB1507/'Terms and Turnovers'!$AX139</f>
        <v>0</v>
      </c>
      <c r="AC2222" s="107"/>
      <c r="AD2222" s="68">
        <f>AD1507/'Terms and Turnovers'!$AX139</f>
        <v>0</v>
      </c>
      <c r="AE2222" s="107"/>
      <c r="AF2222" s="135">
        <f>SUM(T2222,V2222,X2222,Z2222,AB2222,AD2222)</f>
        <v>0</v>
      </c>
      <c r="AG2222" s="107"/>
      <c r="AH2222" s="136">
        <f>SUM(AF2222,R2222)</f>
        <v>0</v>
      </c>
      <c r="AI2222" s="107"/>
      <c r="AJ2222" s="65"/>
      <c r="AV2222" s="56"/>
    </row>
    <row r="2223" spans="1:48" ht="13.5" hidden="1" customHeight="1" outlineLevel="2">
      <c r="A2223" s="73"/>
      <c r="B2223" s="82"/>
      <c r="C2223" s="425"/>
      <c r="D2223" s="425"/>
      <c r="E2223" s="634"/>
      <c r="F2223" s="635"/>
      <c r="G2223" s="428"/>
      <c r="H2223" s="635"/>
      <c r="I2223" s="428"/>
      <c r="J2223" s="635"/>
      <c r="K2223" s="636"/>
      <c r="L2223" s="635"/>
      <c r="M2223" s="636"/>
      <c r="N2223" s="635"/>
      <c r="O2223" s="636"/>
      <c r="P2223" s="635"/>
      <c r="Q2223" s="636"/>
      <c r="R2223" s="637"/>
      <c r="S2223" s="698">
        <f>SUM(R1503:R1507)/1.18-(SUM(R2218:R2222)*'Mark Up Validation'!$M$175)</f>
        <v>0</v>
      </c>
      <c r="T2223" s="635"/>
      <c r="U2223" s="636"/>
      <c r="V2223" s="635"/>
      <c r="W2223" s="636"/>
      <c r="X2223" s="635"/>
      <c r="Y2223" s="636"/>
      <c r="Z2223" s="635"/>
      <c r="AA2223" s="636"/>
      <c r="AB2223" s="635"/>
      <c r="AC2223" s="636"/>
      <c r="AD2223" s="635"/>
      <c r="AE2223" s="636"/>
      <c r="AF2223" s="637"/>
      <c r="AG2223" s="698">
        <f>SUM(AF1503:AF1507)/1.18-SUM(AF2218:AF2222)*'Mark Up Validation'!$M$175</f>
        <v>0</v>
      </c>
      <c r="AH2223" s="638"/>
      <c r="AI2223" s="698">
        <f>SUM(AH1503:AH1507)/1.18-SUM(AH2218:AH2222)*'Mark Up Validation'!$M$175</f>
        <v>0</v>
      </c>
      <c r="AJ2223" s="65"/>
      <c r="AV2223" s="56"/>
    </row>
    <row r="2224" spans="1:48" ht="13.5" hidden="1" customHeight="1" outlineLevel="2" thickBot="1">
      <c r="A2224" s="73"/>
      <c r="B2224" s="82"/>
      <c r="C2224" s="1228" t="s">
        <v>538</v>
      </c>
      <c r="D2224" s="1229"/>
      <c r="E2224" s="699"/>
      <c r="F2224" s="700"/>
      <c r="G2224" s="701"/>
      <c r="H2224" s="700"/>
      <c r="I2224" s="701"/>
      <c r="J2224" s="700"/>
      <c r="K2224" s="702"/>
      <c r="L2224" s="700"/>
      <c r="M2224" s="702"/>
      <c r="N2224" s="700"/>
      <c r="O2224" s="702"/>
      <c r="P2224" s="700"/>
      <c r="Q2224" s="702"/>
      <c r="R2224" s="703"/>
      <c r="S2224" s="729">
        <f>IF(S2223&gt;0,S2223/(SUM(R1503:R1507)/1.18),0)</f>
        <v>0</v>
      </c>
      <c r="T2224" s="700"/>
      <c r="U2224" s="702"/>
      <c r="V2224" s="700"/>
      <c r="W2224" s="702"/>
      <c r="X2224" s="700"/>
      <c r="Y2224" s="702"/>
      <c r="Z2224" s="700"/>
      <c r="AA2224" s="702"/>
      <c r="AB2224" s="700"/>
      <c r="AC2224" s="702"/>
      <c r="AD2224" s="700"/>
      <c r="AE2224" s="702"/>
      <c r="AF2224" s="705"/>
      <c r="AG2224" s="729">
        <f>IF(AG2223&gt;0,AG2223/(SUM(AF1503:AF1507)/1.18),0)</f>
        <v>0</v>
      </c>
      <c r="AH2224" s="706"/>
      <c r="AI2224" s="729">
        <f>IF(AI2223&gt;0,AI2223/(SUM(AH1503:AH1507)/1.18),0)</f>
        <v>0</v>
      </c>
      <c r="AJ2224" s="65"/>
      <c r="AV2224" s="56"/>
    </row>
    <row r="2225" spans="1:48" ht="12.75" hidden="1" customHeight="1" outlineLevel="2">
      <c r="A2225" s="73"/>
      <c r="B2225" s="82">
        <f>B2218+1</f>
        <v>9</v>
      </c>
      <c r="C2225" s="1233">
        <f>C1510</f>
        <v>0</v>
      </c>
      <c r="D2225" s="1233" t="str">
        <f>D1510</f>
        <v>ОФФПРАЙС ООО</v>
      </c>
      <c r="E2225" s="83" t="str">
        <f>'Terms and Turnovers'!$J$12</f>
        <v>FLIP-FLOPS</v>
      </c>
      <c r="F2225" s="68">
        <f>F1510/'Terms and Turnovers'!$J140</f>
        <v>0</v>
      </c>
      <c r="G2225" s="106"/>
      <c r="H2225" s="68">
        <f>H1510/'Terms and Turnovers'!$J140</f>
        <v>0</v>
      </c>
      <c r="I2225" s="106"/>
      <c r="J2225" s="68">
        <f>J1510/'Terms and Turnovers'!$J140</f>
        <v>0</v>
      </c>
      <c r="K2225" s="106"/>
      <c r="L2225" s="68">
        <f>L1510/'Terms and Turnovers'!$J140</f>
        <v>0</v>
      </c>
      <c r="M2225" s="106"/>
      <c r="N2225" s="68">
        <f>N1510/'Terms and Turnovers'!$J140</f>
        <v>0</v>
      </c>
      <c r="O2225" s="106"/>
      <c r="P2225" s="68">
        <f>P1510/'Terms and Turnovers'!$J140</f>
        <v>0</v>
      </c>
      <c r="Q2225" s="106"/>
      <c r="R2225" s="129">
        <f>SUM(F2225,H2225,J2225,L2225,N2225,P2225)</f>
        <v>0</v>
      </c>
      <c r="S2225" s="106"/>
      <c r="T2225" s="68">
        <f>T1510/'Terms and Turnovers'!$J140</f>
        <v>0</v>
      </c>
      <c r="U2225" s="106"/>
      <c r="V2225" s="68">
        <f>V1510/'Terms and Turnovers'!$J140</f>
        <v>0</v>
      </c>
      <c r="W2225" s="106"/>
      <c r="X2225" s="68">
        <f>X1510/'Terms and Turnovers'!$J140</f>
        <v>0</v>
      </c>
      <c r="Y2225" s="106"/>
      <c r="Z2225" s="68">
        <f>Z1510/'Terms and Turnovers'!$J140</f>
        <v>0</v>
      </c>
      <c r="AA2225" s="106"/>
      <c r="AB2225" s="68">
        <f>AB1510/'Terms and Turnovers'!$J140</f>
        <v>0</v>
      </c>
      <c r="AC2225" s="106"/>
      <c r="AD2225" s="68">
        <f>AD1510/'Terms and Turnovers'!$J140</f>
        <v>0</v>
      </c>
      <c r="AE2225" s="106"/>
      <c r="AF2225" s="129">
        <f>SUM(T2225,V2225,X2225,Z2225,AB2225,AD2225)</f>
        <v>0</v>
      </c>
      <c r="AG2225" s="106"/>
      <c r="AH2225" s="130">
        <f>SUM(AF2225,R2225)</f>
        <v>0</v>
      </c>
      <c r="AI2225" s="106"/>
      <c r="AJ2225" s="65"/>
      <c r="AV2225" s="56"/>
    </row>
    <row r="2226" spans="1:48" ht="12.75" hidden="1" customHeight="1" outlineLevel="2" thickBot="1">
      <c r="A2226" s="73"/>
      <c r="B2226" s="82"/>
      <c r="C2226" s="1234"/>
      <c r="D2226" s="1234"/>
      <c r="E2226" s="84" t="str">
        <f>'Terms and Turnovers'!$T$12</f>
        <v>ORIGINALS</v>
      </c>
      <c r="F2226" s="70">
        <f>F1511/'Terms and Turnovers'!$T140</f>
        <v>0</v>
      </c>
      <c r="G2226" s="728"/>
      <c r="H2226" s="70">
        <f>H1511/'Terms and Turnovers'!$T140</f>
        <v>0</v>
      </c>
      <c r="I2226" s="728"/>
      <c r="J2226" s="70">
        <f>J1511/'Terms and Turnovers'!$T140</f>
        <v>0</v>
      </c>
      <c r="K2226" s="728"/>
      <c r="L2226" s="70">
        <f>L1511/'Terms and Turnovers'!$T140</f>
        <v>0</v>
      </c>
      <c r="M2226" s="728"/>
      <c r="N2226" s="70">
        <f>N1511/'Terms and Turnovers'!$T140</f>
        <v>0</v>
      </c>
      <c r="O2226" s="728"/>
      <c r="P2226" s="70">
        <f>P1511/'Terms and Turnovers'!$T140</f>
        <v>0</v>
      </c>
      <c r="Q2226" s="728"/>
      <c r="R2226" s="132">
        <f>SUM(F2226,H2226,J2226,L2226,N2226,P2226)</f>
        <v>0</v>
      </c>
      <c r="S2226" s="728"/>
      <c r="T2226" s="70">
        <f>T1511/'Terms and Turnovers'!$T140</f>
        <v>0</v>
      </c>
      <c r="U2226" s="728"/>
      <c r="V2226" s="70">
        <f>V1511/'Terms and Turnovers'!$T140</f>
        <v>0</v>
      </c>
      <c r="W2226" s="728"/>
      <c r="X2226" s="70">
        <f>X1511/'Terms and Turnovers'!$T140</f>
        <v>0</v>
      </c>
      <c r="Y2226" s="728"/>
      <c r="Z2226" s="70">
        <f>Z1511/'Terms and Turnovers'!$T140</f>
        <v>0</v>
      </c>
      <c r="AA2226" s="728"/>
      <c r="AB2226" s="70">
        <f>AB1511/'Terms and Turnovers'!$T140</f>
        <v>0</v>
      </c>
      <c r="AC2226" s="728"/>
      <c r="AD2226" s="70">
        <f>AD1511/'Terms and Turnovers'!$T140</f>
        <v>0</v>
      </c>
      <c r="AE2226" s="728"/>
      <c r="AF2226" s="132">
        <f>SUM(T2226,V2226,X2226,Z2226,AB2226,AD2226)</f>
        <v>0</v>
      </c>
      <c r="AG2226" s="728"/>
      <c r="AH2226" s="133">
        <f>SUM(AF2226,R2226)</f>
        <v>0</v>
      </c>
      <c r="AI2226" s="728"/>
      <c r="AJ2226" s="65"/>
      <c r="AV2226" s="56"/>
    </row>
    <row r="2227" spans="1:48" ht="12.75" hidden="1" customHeight="1" outlineLevel="2">
      <c r="A2227" s="73"/>
      <c r="B2227" s="82"/>
      <c r="C2227" s="1234"/>
      <c r="D2227" s="1234"/>
      <c r="E2227" s="84" t="str">
        <f>'Terms and Turnovers'!$AD$12</f>
        <v>ACCESSORIES</v>
      </c>
      <c r="F2227" s="68">
        <f>F1512/'Terms and Turnovers'!$AD140</f>
        <v>0</v>
      </c>
      <c r="G2227" s="728"/>
      <c r="H2227" s="68">
        <f>H1512/'Terms and Turnovers'!$AD140</f>
        <v>0</v>
      </c>
      <c r="I2227" s="728"/>
      <c r="J2227" s="68">
        <f>J1512/'Terms and Turnovers'!$AD140</f>
        <v>0</v>
      </c>
      <c r="K2227" s="728"/>
      <c r="L2227" s="68">
        <f>L1512/'Terms and Turnovers'!$AD140</f>
        <v>0</v>
      </c>
      <c r="M2227" s="728"/>
      <c r="N2227" s="68">
        <f>N1512/'Terms and Turnovers'!$AD140</f>
        <v>0</v>
      </c>
      <c r="O2227" s="728"/>
      <c r="P2227" s="68">
        <f>P1512/'Terms and Turnovers'!$AD140</f>
        <v>0</v>
      </c>
      <c r="Q2227" s="728"/>
      <c r="R2227" s="132">
        <f>SUM(F2227,H2227,J2227,L2227,N2227,P2227)</f>
        <v>0</v>
      </c>
      <c r="S2227" s="728"/>
      <c r="T2227" s="68">
        <f>T1512/'Terms and Turnovers'!$AD140</f>
        <v>0</v>
      </c>
      <c r="U2227" s="728"/>
      <c r="V2227" s="68">
        <f>V1512/'Terms and Turnovers'!$AD140</f>
        <v>0</v>
      </c>
      <c r="W2227" s="728"/>
      <c r="X2227" s="68">
        <f>X1512/'Terms and Turnovers'!$AD140</f>
        <v>0</v>
      </c>
      <c r="Y2227" s="728"/>
      <c r="Z2227" s="68">
        <f>Z1512/'Terms and Turnovers'!$AD140</f>
        <v>0</v>
      </c>
      <c r="AA2227" s="728"/>
      <c r="AB2227" s="68">
        <f>AB1512/'Terms and Turnovers'!$AD140</f>
        <v>0</v>
      </c>
      <c r="AC2227" s="728"/>
      <c r="AD2227" s="68">
        <f>AD1512/'Terms and Turnovers'!$AD140</f>
        <v>0</v>
      </c>
      <c r="AE2227" s="728"/>
      <c r="AF2227" s="132">
        <f>SUM(T2227,V2227,X2227,Z2227,AB2227,AD2227)</f>
        <v>0</v>
      </c>
      <c r="AG2227" s="728"/>
      <c r="AH2227" s="133">
        <f>SUM(AF2227,R2227)</f>
        <v>0</v>
      </c>
      <c r="AI2227" s="728"/>
      <c r="AJ2227" s="65"/>
      <c r="AV2227" s="56"/>
    </row>
    <row r="2228" spans="1:48" ht="12.75" hidden="1" customHeight="1" outlineLevel="2" thickBot="1">
      <c r="A2228" s="73"/>
      <c r="B2228" s="82"/>
      <c r="C2228" s="1234"/>
      <c r="D2228" s="1234"/>
      <c r="E2228" s="84">
        <f>'Terms and Turnovers'!$AN$12</f>
        <v>0</v>
      </c>
      <c r="F2228" s="70">
        <f>F1513/'Terms and Turnovers'!$AN140</f>
        <v>0</v>
      </c>
      <c r="G2228" s="728"/>
      <c r="H2228" s="70">
        <f>H1513/'Terms and Turnovers'!$AN140</f>
        <v>0</v>
      </c>
      <c r="I2228" s="728"/>
      <c r="J2228" s="70">
        <f>J1513/'Terms and Turnovers'!$AN140</f>
        <v>0</v>
      </c>
      <c r="K2228" s="728"/>
      <c r="L2228" s="70">
        <f>L1513/'Terms and Turnovers'!$AN140</f>
        <v>0</v>
      </c>
      <c r="M2228" s="728"/>
      <c r="N2228" s="70">
        <f>N1513/'Terms and Turnovers'!$AN140</f>
        <v>0</v>
      </c>
      <c r="O2228" s="728"/>
      <c r="P2228" s="70">
        <f>P1513/'Terms and Turnovers'!$AN140</f>
        <v>0</v>
      </c>
      <c r="Q2228" s="728"/>
      <c r="R2228" s="132">
        <f>SUM(F2228,H2228,J2228,L2228,N2228,P2228)</f>
        <v>0</v>
      </c>
      <c r="S2228" s="728"/>
      <c r="T2228" s="70">
        <f>T1513/'Terms and Turnovers'!$AN140</f>
        <v>0</v>
      </c>
      <c r="U2228" s="728"/>
      <c r="V2228" s="70">
        <f>V1513/'Terms and Turnovers'!$AN140</f>
        <v>0</v>
      </c>
      <c r="W2228" s="728"/>
      <c r="X2228" s="70">
        <f>X1513/'Terms and Turnovers'!$AN140</f>
        <v>0</v>
      </c>
      <c r="Y2228" s="728"/>
      <c r="Z2228" s="70">
        <f>Z1513/'Terms and Turnovers'!$AN140</f>
        <v>0</v>
      </c>
      <c r="AA2228" s="728"/>
      <c r="AB2228" s="70">
        <f>AB1513/'Terms and Turnovers'!$AN140</f>
        <v>0</v>
      </c>
      <c r="AC2228" s="728"/>
      <c r="AD2228" s="70">
        <f>AD1513/'Terms and Turnovers'!$AN140</f>
        <v>0</v>
      </c>
      <c r="AE2228" s="728"/>
      <c r="AF2228" s="132">
        <f>SUM(T2228,V2228,X2228,Z2228,AB2228,AD2228)</f>
        <v>0</v>
      </c>
      <c r="AG2228" s="728"/>
      <c r="AH2228" s="133">
        <f>SUM(AF2228,R2228)</f>
        <v>0</v>
      </c>
      <c r="AI2228" s="728"/>
      <c r="AJ2228" s="65"/>
      <c r="AV2228" s="56"/>
    </row>
    <row r="2229" spans="1:48" ht="13.5" hidden="1" customHeight="1" outlineLevel="2" thickBot="1">
      <c r="A2229" s="73"/>
      <c r="B2229" s="82"/>
      <c r="C2229" s="1235"/>
      <c r="D2229" s="1235"/>
      <c r="E2229" s="85">
        <f>'Terms and Turnovers'!$AX$12</f>
        <v>0</v>
      </c>
      <c r="F2229" s="68">
        <f>F1514/'Terms and Turnovers'!$AX140</f>
        <v>0</v>
      </c>
      <c r="G2229" s="107"/>
      <c r="H2229" s="68">
        <f>H1514/'Terms and Turnovers'!$AX140</f>
        <v>0</v>
      </c>
      <c r="I2229" s="107"/>
      <c r="J2229" s="68">
        <f>J1514/'Terms and Turnovers'!$AX140</f>
        <v>0</v>
      </c>
      <c r="K2229" s="107"/>
      <c r="L2229" s="68">
        <f>L1514/'Terms and Turnovers'!$AX140</f>
        <v>0</v>
      </c>
      <c r="M2229" s="107"/>
      <c r="N2229" s="68">
        <f>N1514/'Terms and Turnovers'!$AX140</f>
        <v>0</v>
      </c>
      <c r="O2229" s="107"/>
      <c r="P2229" s="68">
        <f>P1514/'Terms and Turnovers'!$AX140</f>
        <v>0</v>
      </c>
      <c r="Q2229" s="107"/>
      <c r="R2229" s="135">
        <f>SUM(F2229,H2229,J2229,L2229,N2229,P2229)</f>
        <v>0</v>
      </c>
      <c r="S2229" s="107"/>
      <c r="T2229" s="68">
        <f>T1514/'Terms and Turnovers'!$AX140</f>
        <v>0</v>
      </c>
      <c r="U2229" s="107"/>
      <c r="V2229" s="68">
        <f>V1514/'Terms and Turnovers'!$AX140</f>
        <v>0</v>
      </c>
      <c r="W2229" s="107"/>
      <c r="X2229" s="68">
        <f>X1514/'Terms and Turnovers'!$AX140</f>
        <v>0</v>
      </c>
      <c r="Y2229" s="107"/>
      <c r="Z2229" s="68">
        <f>Z1514/'Terms and Turnovers'!$AX140</f>
        <v>0</v>
      </c>
      <c r="AA2229" s="107"/>
      <c r="AB2229" s="68">
        <f>AB1514/'Terms and Turnovers'!$AX140</f>
        <v>0</v>
      </c>
      <c r="AC2229" s="107"/>
      <c r="AD2229" s="68">
        <f>AD1514/'Terms and Turnovers'!$AX140</f>
        <v>0</v>
      </c>
      <c r="AE2229" s="107"/>
      <c r="AF2229" s="135">
        <f>SUM(T2229,V2229,X2229,Z2229,AB2229,AD2229)</f>
        <v>0</v>
      </c>
      <c r="AG2229" s="107"/>
      <c r="AH2229" s="136">
        <f>SUM(AF2229,R2229)</f>
        <v>0</v>
      </c>
      <c r="AI2229" s="107"/>
      <c r="AJ2229" s="65"/>
      <c r="AV2229" s="56"/>
    </row>
    <row r="2230" spans="1:48" ht="13.5" hidden="1" customHeight="1" outlineLevel="2">
      <c r="A2230" s="73"/>
      <c r="B2230" s="82"/>
      <c r="C2230" s="425"/>
      <c r="D2230" s="425"/>
      <c r="E2230" s="634"/>
      <c r="F2230" s="635"/>
      <c r="G2230" s="428"/>
      <c r="H2230" s="635"/>
      <c r="I2230" s="428"/>
      <c r="J2230" s="635"/>
      <c r="K2230" s="636"/>
      <c r="L2230" s="635"/>
      <c r="M2230" s="636"/>
      <c r="N2230" s="635"/>
      <c r="O2230" s="636"/>
      <c r="P2230" s="635"/>
      <c r="Q2230" s="636"/>
      <c r="R2230" s="637"/>
      <c r="S2230" s="698">
        <f>SUM(R1510:R1514)/1.18-(SUM(R2225:R2229)*'Mark Up Validation'!$M$175)</f>
        <v>0</v>
      </c>
      <c r="T2230" s="635"/>
      <c r="U2230" s="636"/>
      <c r="V2230" s="635"/>
      <c r="W2230" s="636"/>
      <c r="X2230" s="635"/>
      <c r="Y2230" s="636"/>
      <c r="Z2230" s="635"/>
      <c r="AA2230" s="636"/>
      <c r="AB2230" s="635"/>
      <c r="AC2230" s="636"/>
      <c r="AD2230" s="635"/>
      <c r="AE2230" s="636"/>
      <c r="AF2230" s="637"/>
      <c r="AG2230" s="698">
        <f>SUM(AF1510:AF1514)/1.18-SUM(AF2225:AF2229)*'Mark Up Validation'!$M$175</f>
        <v>0</v>
      </c>
      <c r="AH2230" s="638"/>
      <c r="AI2230" s="698">
        <f>SUM(AH1510:AH1514)/1.18-SUM(AH2225:AH2229)*'Mark Up Validation'!$M$175</f>
        <v>0</v>
      </c>
      <c r="AJ2230" s="65"/>
      <c r="AV2230" s="56"/>
    </row>
    <row r="2231" spans="1:48" ht="13.5" hidden="1" customHeight="1" outlineLevel="2" thickBot="1">
      <c r="A2231" s="73"/>
      <c r="B2231" s="82"/>
      <c r="C2231" s="1228" t="s">
        <v>538</v>
      </c>
      <c r="D2231" s="1229"/>
      <c r="E2231" s="699"/>
      <c r="F2231" s="700"/>
      <c r="G2231" s="701"/>
      <c r="H2231" s="700"/>
      <c r="I2231" s="701"/>
      <c r="J2231" s="700"/>
      <c r="K2231" s="702"/>
      <c r="L2231" s="700"/>
      <c r="M2231" s="702"/>
      <c r="N2231" s="700"/>
      <c r="O2231" s="702"/>
      <c r="P2231" s="700"/>
      <c r="Q2231" s="702"/>
      <c r="R2231" s="703"/>
      <c r="S2231" s="729">
        <f>IF(S2230&gt;0,S2230/(SUM(R1510:R1514)/1.18),0)</f>
        <v>0</v>
      </c>
      <c r="T2231" s="700"/>
      <c r="U2231" s="702"/>
      <c r="V2231" s="700"/>
      <c r="W2231" s="702"/>
      <c r="X2231" s="700"/>
      <c r="Y2231" s="702"/>
      <c r="Z2231" s="700"/>
      <c r="AA2231" s="702"/>
      <c r="AB2231" s="700"/>
      <c r="AC2231" s="702"/>
      <c r="AD2231" s="700"/>
      <c r="AE2231" s="702"/>
      <c r="AF2231" s="705"/>
      <c r="AG2231" s="729">
        <f>IF(AG2230&gt;0,AG2230/(SUM(AF1510:AF1514)/1.18),0)</f>
        <v>0</v>
      </c>
      <c r="AH2231" s="706"/>
      <c r="AI2231" s="729">
        <f>IF(AI2230&gt;0,AI2230/(SUM(AH1510:AH1514)/1.18),0)</f>
        <v>0</v>
      </c>
      <c r="AJ2231" s="65"/>
      <c r="AV2231" s="56"/>
    </row>
    <row r="2232" spans="1:48" ht="12.75" hidden="1" customHeight="1" outlineLevel="2">
      <c r="A2232" s="73"/>
      <c r="B2232" s="82">
        <f>B2225+1</f>
        <v>10</v>
      </c>
      <c r="C2232" s="1233">
        <f>C1517</f>
        <v>0</v>
      </c>
      <c r="D2232" s="1233">
        <f>D1517</f>
        <v>0</v>
      </c>
      <c r="E2232" s="83" t="str">
        <f>'Terms and Turnovers'!$J$12</f>
        <v>FLIP-FLOPS</v>
      </c>
      <c r="F2232" s="68">
        <f>F1517/'Terms and Turnovers'!$J141</f>
        <v>0</v>
      </c>
      <c r="G2232" s="106"/>
      <c r="H2232" s="68">
        <f>H1517/'Terms and Turnovers'!$J141</f>
        <v>0</v>
      </c>
      <c r="I2232" s="106"/>
      <c r="J2232" s="68">
        <f>J1517/'Terms and Turnovers'!$J141</f>
        <v>0</v>
      </c>
      <c r="K2232" s="106"/>
      <c r="L2232" s="68">
        <f>L1517/'Terms and Turnovers'!$J141</f>
        <v>0</v>
      </c>
      <c r="M2232" s="106"/>
      <c r="N2232" s="68">
        <f>N1517/'Terms and Turnovers'!$J141</f>
        <v>0</v>
      </c>
      <c r="O2232" s="106"/>
      <c r="P2232" s="68">
        <f>P1517/'Terms and Turnovers'!$J141</f>
        <v>0</v>
      </c>
      <c r="Q2232" s="106"/>
      <c r="R2232" s="129">
        <f>SUM(F2232,H2232,J2232,L2232,N2232,P2232)</f>
        <v>0</v>
      </c>
      <c r="S2232" s="106"/>
      <c r="T2232" s="68">
        <f>T1517/'Terms and Turnovers'!$J141</f>
        <v>0</v>
      </c>
      <c r="U2232" s="106"/>
      <c r="V2232" s="68">
        <f>V1517/'Terms and Turnovers'!$J141</f>
        <v>0</v>
      </c>
      <c r="W2232" s="106"/>
      <c r="X2232" s="68">
        <f>X1517/'Terms and Turnovers'!$J141</f>
        <v>0</v>
      </c>
      <c r="Y2232" s="106"/>
      <c r="Z2232" s="68">
        <f>Z1517/'Terms and Turnovers'!$J141</f>
        <v>0</v>
      </c>
      <c r="AA2232" s="106"/>
      <c r="AB2232" s="68">
        <f>AB1517/'Terms and Turnovers'!$J141</f>
        <v>0</v>
      </c>
      <c r="AC2232" s="106"/>
      <c r="AD2232" s="68">
        <f>AD1517/'Terms and Turnovers'!$J141</f>
        <v>0</v>
      </c>
      <c r="AE2232" s="106"/>
      <c r="AF2232" s="129">
        <f>SUM(T2232,V2232,X2232,Z2232,AB2232,AD2232)</f>
        <v>0</v>
      </c>
      <c r="AG2232" s="106"/>
      <c r="AH2232" s="130">
        <f>SUM(AF2232,R2232)</f>
        <v>0</v>
      </c>
      <c r="AI2232" s="106"/>
      <c r="AJ2232" s="65"/>
      <c r="AV2232" s="56"/>
    </row>
    <row r="2233" spans="1:48" ht="12.75" hidden="1" customHeight="1" outlineLevel="2" thickBot="1">
      <c r="A2233" s="73"/>
      <c r="B2233" s="82"/>
      <c r="C2233" s="1234"/>
      <c r="D2233" s="1234"/>
      <c r="E2233" s="84" t="str">
        <f>'Terms and Turnovers'!$T$12</f>
        <v>ORIGINALS</v>
      </c>
      <c r="F2233" s="70">
        <f>F1518/'Terms and Turnovers'!$T141</f>
        <v>0</v>
      </c>
      <c r="G2233" s="728"/>
      <c r="H2233" s="70">
        <f>H1518/'Terms and Turnovers'!$T141</f>
        <v>0</v>
      </c>
      <c r="I2233" s="728"/>
      <c r="J2233" s="70">
        <f>J1518/'Terms and Turnovers'!$T141</f>
        <v>0</v>
      </c>
      <c r="K2233" s="728"/>
      <c r="L2233" s="70">
        <f>L1518/'Terms and Turnovers'!$T141</f>
        <v>0</v>
      </c>
      <c r="M2233" s="728"/>
      <c r="N2233" s="70">
        <f>N1518/'Terms and Turnovers'!$T141</f>
        <v>0</v>
      </c>
      <c r="O2233" s="728"/>
      <c r="P2233" s="70">
        <f>P1518/'Terms and Turnovers'!$T141</f>
        <v>0</v>
      </c>
      <c r="Q2233" s="728"/>
      <c r="R2233" s="132">
        <f>SUM(F2233,H2233,J2233,L2233,N2233,P2233)</f>
        <v>0</v>
      </c>
      <c r="S2233" s="728"/>
      <c r="T2233" s="70">
        <f>T1518/'Terms and Turnovers'!$T141</f>
        <v>0</v>
      </c>
      <c r="U2233" s="728"/>
      <c r="V2233" s="70">
        <f>V1518/'Terms and Turnovers'!$T141</f>
        <v>0</v>
      </c>
      <c r="W2233" s="728"/>
      <c r="X2233" s="70">
        <f>X1518/'Terms and Turnovers'!$T141</f>
        <v>0</v>
      </c>
      <c r="Y2233" s="728"/>
      <c r="Z2233" s="70">
        <f>Z1518/'Terms and Turnovers'!$T141</f>
        <v>0</v>
      </c>
      <c r="AA2233" s="728"/>
      <c r="AB2233" s="70">
        <f>AB1518/'Terms and Turnovers'!$T141</f>
        <v>0</v>
      </c>
      <c r="AC2233" s="728"/>
      <c r="AD2233" s="70">
        <f>AD1518/'Terms and Turnovers'!$T141</f>
        <v>0</v>
      </c>
      <c r="AE2233" s="728"/>
      <c r="AF2233" s="132">
        <f>SUM(T2233,V2233,X2233,Z2233,AB2233,AD2233)</f>
        <v>0</v>
      </c>
      <c r="AG2233" s="728"/>
      <c r="AH2233" s="133">
        <f>SUM(AF2233,R2233)</f>
        <v>0</v>
      </c>
      <c r="AI2233" s="728"/>
      <c r="AJ2233" s="65"/>
      <c r="AV2233" s="56"/>
    </row>
    <row r="2234" spans="1:48" ht="12.75" hidden="1" customHeight="1" outlineLevel="2">
      <c r="A2234" s="73"/>
      <c r="B2234" s="82"/>
      <c r="C2234" s="1234"/>
      <c r="D2234" s="1234"/>
      <c r="E2234" s="84" t="str">
        <f>'Terms and Turnovers'!$AD$12</f>
        <v>ACCESSORIES</v>
      </c>
      <c r="F2234" s="68">
        <f>F1519/'Terms and Turnovers'!$AD141</f>
        <v>0</v>
      </c>
      <c r="G2234" s="728"/>
      <c r="H2234" s="68">
        <f>H1519/'Terms and Turnovers'!$AD141</f>
        <v>0</v>
      </c>
      <c r="I2234" s="728"/>
      <c r="J2234" s="68">
        <f>J1519/'Terms and Turnovers'!$AD141</f>
        <v>0</v>
      </c>
      <c r="K2234" s="728"/>
      <c r="L2234" s="68">
        <f>L1519/'Terms and Turnovers'!$AD141</f>
        <v>0</v>
      </c>
      <c r="M2234" s="728"/>
      <c r="N2234" s="68">
        <f>N1519/'Terms and Turnovers'!$AD141</f>
        <v>0</v>
      </c>
      <c r="O2234" s="728"/>
      <c r="P2234" s="68">
        <f>P1519/'Terms and Turnovers'!$AD141</f>
        <v>0</v>
      </c>
      <c r="Q2234" s="728"/>
      <c r="R2234" s="132">
        <f>SUM(F2234,H2234,J2234,L2234,N2234,P2234)</f>
        <v>0</v>
      </c>
      <c r="S2234" s="728"/>
      <c r="T2234" s="68">
        <f>T1519/'Terms and Turnovers'!$AD141</f>
        <v>0</v>
      </c>
      <c r="U2234" s="728"/>
      <c r="V2234" s="68">
        <f>V1519/'Terms and Turnovers'!$AD141</f>
        <v>0</v>
      </c>
      <c r="W2234" s="728"/>
      <c r="X2234" s="68">
        <f>X1519/'Terms and Turnovers'!$AD141</f>
        <v>0</v>
      </c>
      <c r="Y2234" s="728"/>
      <c r="Z2234" s="68">
        <f>Z1519/'Terms and Turnovers'!$AD141</f>
        <v>0</v>
      </c>
      <c r="AA2234" s="728"/>
      <c r="AB2234" s="68">
        <f>AB1519/'Terms and Turnovers'!$AD141</f>
        <v>0</v>
      </c>
      <c r="AC2234" s="728"/>
      <c r="AD2234" s="68">
        <f>AD1519/'Terms and Turnovers'!$AD141</f>
        <v>0</v>
      </c>
      <c r="AE2234" s="728"/>
      <c r="AF2234" s="132">
        <f>SUM(T2234,V2234,X2234,Z2234,AB2234,AD2234)</f>
        <v>0</v>
      </c>
      <c r="AG2234" s="728"/>
      <c r="AH2234" s="133">
        <f>SUM(AF2234,R2234)</f>
        <v>0</v>
      </c>
      <c r="AI2234" s="728"/>
      <c r="AJ2234" s="65"/>
      <c r="AV2234" s="56"/>
    </row>
    <row r="2235" spans="1:48" ht="12.75" hidden="1" customHeight="1" outlineLevel="2" thickBot="1">
      <c r="A2235" s="73"/>
      <c r="B2235" s="82"/>
      <c r="C2235" s="1234"/>
      <c r="D2235" s="1234"/>
      <c r="E2235" s="84">
        <f>'Terms and Turnovers'!$AN$12</f>
        <v>0</v>
      </c>
      <c r="F2235" s="70">
        <f>F1520/'Terms and Turnovers'!$AN141</f>
        <v>0</v>
      </c>
      <c r="G2235" s="728"/>
      <c r="H2235" s="70">
        <f>H1520/'Terms and Turnovers'!$AN141</f>
        <v>0</v>
      </c>
      <c r="I2235" s="728"/>
      <c r="J2235" s="70">
        <f>J1520/'Terms and Turnovers'!$AN141</f>
        <v>0</v>
      </c>
      <c r="K2235" s="728"/>
      <c r="L2235" s="70">
        <f>L1520/'Terms and Turnovers'!$AN141</f>
        <v>0</v>
      </c>
      <c r="M2235" s="728"/>
      <c r="N2235" s="70">
        <f>N1520/'Terms and Turnovers'!$AN141</f>
        <v>0</v>
      </c>
      <c r="O2235" s="728"/>
      <c r="P2235" s="70">
        <f>P1520/'Terms and Turnovers'!$AN141</f>
        <v>0</v>
      </c>
      <c r="Q2235" s="728"/>
      <c r="R2235" s="132">
        <f>SUM(F2235,H2235,J2235,L2235,N2235,P2235)</f>
        <v>0</v>
      </c>
      <c r="S2235" s="728"/>
      <c r="T2235" s="70">
        <f>T1520/'Terms and Turnovers'!$AN141</f>
        <v>0</v>
      </c>
      <c r="U2235" s="728"/>
      <c r="V2235" s="70">
        <f>V1520/'Terms and Turnovers'!$AN141</f>
        <v>0</v>
      </c>
      <c r="W2235" s="728"/>
      <c r="X2235" s="70">
        <f>X1520/'Terms and Turnovers'!$AN141</f>
        <v>0</v>
      </c>
      <c r="Y2235" s="728"/>
      <c r="Z2235" s="70">
        <f>Z1520/'Terms and Turnovers'!$AN141</f>
        <v>0</v>
      </c>
      <c r="AA2235" s="728"/>
      <c r="AB2235" s="70">
        <f>AB1520/'Terms and Turnovers'!$AN141</f>
        <v>0</v>
      </c>
      <c r="AC2235" s="728"/>
      <c r="AD2235" s="70">
        <f>AD1520/'Terms and Turnovers'!$AN141</f>
        <v>0</v>
      </c>
      <c r="AE2235" s="728"/>
      <c r="AF2235" s="132">
        <f>SUM(T2235,V2235,X2235,Z2235,AB2235,AD2235)</f>
        <v>0</v>
      </c>
      <c r="AG2235" s="728"/>
      <c r="AH2235" s="133">
        <f>SUM(AF2235,R2235)</f>
        <v>0</v>
      </c>
      <c r="AI2235" s="728"/>
      <c r="AJ2235" s="65"/>
      <c r="AV2235" s="56"/>
    </row>
    <row r="2236" spans="1:48" ht="13.5" hidden="1" customHeight="1" outlineLevel="2" thickBot="1">
      <c r="A2236" s="73"/>
      <c r="B2236" s="82"/>
      <c r="C2236" s="1235"/>
      <c r="D2236" s="1235"/>
      <c r="E2236" s="85">
        <f>'Terms and Turnovers'!$AX$12</f>
        <v>0</v>
      </c>
      <c r="F2236" s="68">
        <f>F1521/'Terms and Turnovers'!$AX141</f>
        <v>0</v>
      </c>
      <c r="G2236" s="107"/>
      <c r="H2236" s="68">
        <f>H1521/'Terms and Turnovers'!$AX141</f>
        <v>0</v>
      </c>
      <c r="I2236" s="107"/>
      <c r="J2236" s="68">
        <f>J1521/'Terms and Turnovers'!$AX141</f>
        <v>0</v>
      </c>
      <c r="K2236" s="107"/>
      <c r="L2236" s="68">
        <f>L1521/'Terms and Turnovers'!$AX141</f>
        <v>0</v>
      </c>
      <c r="M2236" s="107"/>
      <c r="N2236" s="68">
        <f>N1521/'Terms and Turnovers'!$AX141</f>
        <v>0</v>
      </c>
      <c r="O2236" s="107"/>
      <c r="P2236" s="68">
        <f>P1521/'Terms and Turnovers'!$AX141</f>
        <v>0</v>
      </c>
      <c r="Q2236" s="107"/>
      <c r="R2236" s="135">
        <f>SUM(F2236,H2236,J2236,L2236,N2236,P2236)</f>
        <v>0</v>
      </c>
      <c r="S2236" s="107"/>
      <c r="T2236" s="68">
        <f>T1521/'Terms and Turnovers'!$AX141</f>
        <v>0</v>
      </c>
      <c r="U2236" s="107"/>
      <c r="V2236" s="68">
        <f>V1521/'Terms and Turnovers'!$AX141</f>
        <v>0</v>
      </c>
      <c r="W2236" s="107"/>
      <c r="X2236" s="68">
        <f>X1521/'Terms and Turnovers'!$AX141</f>
        <v>0</v>
      </c>
      <c r="Y2236" s="107"/>
      <c r="Z2236" s="68">
        <f>Z1521/'Terms and Turnovers'!$AX141</f>
        <v>0</v>
      </c>
      <c r="AA2236" s="107"/>
      <c r="AB2236" s="68">
        <f>AB1521/'Terms and Turnovers'!$AX141</f>
        <v>0</v>
      </c>
      <c r="AC2236" s="107"/>
      <c r="AD2236" s="68">
        <f>AD1521/'Terms and Turnovers'!$AX141</f>
        <v>0</v>
      </c>
      <c r="AE2236" s="107"/>
      <c r="AF2236" s="135">
        <f>SUM(T2236,V2236,X2236,Z2236,AB2236,AD2236)</f>
        <v>0</v>
      </c>
      <c r="AG2236" s="107"/>
      <c r="AH2236" s="136">
        <f>SUM(AF2236,R2236)</f>
        <v>0</v>
      </c>
      <c r="AI2236" s="107"/>
      <c r="AJ2236" s="65"/>
      <c r="AV2236" s="56"/>
    </row>
    <row r="2237" spans="1:48" ht="13.5" hidden="1" customHeight="1" outlineLevel="2">
      <c r="A2237" s="73"/>
      <c r="B2237" s="82"/>
      <c r="C2237" s="425"/>
      <c r="D2237" s="425"/>
      <c r="E2237" s="634"/>
      <c r="F2237" s="635"/>
      <c r="G2237" s="428"/>
      <c r="H2237" s="635"/>
      <c r="I2237" s="428"/>
      <c r="J2237" s="635"/>
      <c r="K2237" s="636"/>
      <c r="L2237" s="635"/>
      <c r="M2237" s="636"/>
      <c r="N2237" s="635"/>
      <c r="O2237" s="636"/>
      <c r="P2237" s="635"/>
      <c r="Q2237" s="636"/>
      <c r="R2237" s="637"/>
      <c r="S2237" s="698">
        <f>SUM(R1517:R1521)/1.18-(SUM(R2232:R2236)*'Mark Up Validation'!$M$175)</f>
        <v>0</v>
      </c>
      <c r="T2237" s="635"/>
      <c r="U2237" s="636"/>
      <c r="V2237" s="635"/>
      <c r="W2237" s="636"/>
      <c r="X2237" s="635"/>
      <c r="Y2237" s="636"/>
      <c r="Z2237" s="635"/>
      <c r="AA2237" s="636"/>
      <c r="AB2237" s="635"/>
      <c r="AC2237" s="636"/>
      <c r="AD2237" s="635"/>
      <c r="AE2237" s="636"/>
      <c r="AF2237" s="637"/>
      <c r="AG2237" s="698">
        <f>SUM(AF1517:AF1521)/1.18-SUM(AF2232:AF2236)*'Mark Up Validation'!$M$175</f>
        <v>0</v>
      </c>
      <c r="AH2237" s="638"/>
      <c r="AI2237" s="698">
        <f>SUM(AH1517:AH1521)/1.18-SUM(AH2232:AH2236)*'Mark Up Validation'!$M$175</f>
        <v>0</v>
      </c>
      <c r="AJ2237" s="65"/>
      <c r="AV2237" s="56"/>
    </row>
    <row r="2238" spans="1:48" ht="13.5" hidden="1" customHeight="1" outlineLevel="2" thickBot="1">
      <c r="A2238" s="73"/>
      <c r="B2238" s="82"/>
      <c r="C2238" s="1228" t="s">
        <v>538</v>
      </c>
      <c r="D2238" s="1229"/>
      <c r="E2238" s="699"/>
      <c r="F2238" s="700"/>
      <c r="G2238" s="701"/>
      <c r="H2238" s="700"/>
      <c r="I2238" s="701"/>
      <c r="J2238" s="700"/>
      <c r="K2238" s="702"/>
      <c r="L2238" s="700"/>
      <c r="M2238" s="702"/>
      <c r="N2238" s="700"/>
      <c r="O2238" s="702"/>
      <c r="P2238" s="700"/>
      <c r="Q2238" s="702"/>
      <c r="R2238" s="703"/>
      <c r="S2238" s="729">
        <f>IF(S2237&gt;0,S2237/(SUM(R1517:R1521)/1.18),0)</f>
        <v>0</v>
      </c>
      <c r="T2238" s="700"/>
      <c r="U2238" s="702"/>
      <c r="V2238" s="700"/>
      <c r="W2238" s="702"/>
      <c r="X2238" s="700"/>
      <c r="Y2238" s="702"/>
      <c r="Z2238" s="700"/>
      <c r="AA2238" s="702"/>
      <c r="AB2238" s="700"/>
      <c r="AC2238" s="702"/>
      <c r="AD2238" s="700"/>
      <c r="AE2238" s="702"/>
      <c r="AF2238" s="705"/>
      <c r="AG2238" s="729">
        <f>IF(AG2237&gt;0,AG2237/(SUM(AF1517:AF1521)/1.18),0)</f>
        <v>0</v>
      </c>
      <c r="AH2238" s="706"/>
      <c r="AI2238" s="729">
        <f>IF(AI2237&gt;0,AI2237/(SUM(AH1517:AH1521)/1.18),0)</f>
        <v>0</v>
      </c>
      <c r="AJ2238" s="65"/>
      <c r="AV2238" s="56"/>
    </row>
    <row r="2239" spans="1:48" ht="12.75" hidden="1" customHeight="1" outlineLevel="2">
      <c r="A2239" s="73"/>
      <c r="B2239" s="82">
        <f>B2232+1</f>
        <v>11</v>
      </c>
      <c r="C2239" s="1233">
        <f>C1524</f>
        <v>0</v>
      </c>
      <c r="D2239" s="1233">
        <f>D1524</f>
        <v>0</v>
      </c>
      <c r="E2239" s="83" t="str">
        <f>'Terms and Turnovers'!$J$12</f>
        <v>FLIP-FLOPS</v>
      </c>
      <c r="F2239" s="68">
        <f>F1524/'Terms and Turnovers'!$J142</f>
        <v>0</v>
      </c>
      <c r="G2239" s="106"/>
      <c r="H2239" s="68">
        <f>H1524/'Terms and Turnovers'!$J142</f>
        <v>0</v>
      </c>
      <c r="I2239" s="106"/>
      <c r="J2239" s="68">
        <f>J1524/'Terms and Turnovers'!$J142</f>
        <v>0</v>
      </c>
      <c r="K2239" s="106"/>
      <c r="L2239" s="68">
        <f>L1524/'Terms and Turnovers'!$J142</f>
        <v>0</v>
      </c>
      <c r="M2239" s="106"/>
      <c r="N2239" s="68">
        <f>N1524/'Terms and Turnovers'!$J142</f>
        <v>0</v>
      </c>
      <c r="O2239" s="106"/>
      <c r="P2239" s="68">
        <f>P1524/'Terms and Turnovers'!$J142</f>
        <v>0</v>
      </c>
      <c r="Q2239" s="106"/>
      <c r="R2239" s="129">
        <f>SUM(F2239,H2239,J2239,L2239,N2239,P2239)</f>
        <v>0</v>
      </c>
      <c r="S2239" s="106"/>
      <c r="T2239" s="68">
        <f>T1524/'Terms and Turnovers'!$J142</f>
        <v>0</v>
      </c>
      <c r="U2239" s="106"/>
      <c r="V2239" s="68">
        <f>V1524/'Terms and Turnovers'!$J142</f>
        <v>0</v>
      </c>
      <c r="W2239" s="106"/>
      <c r="X2239" s="68">
        <f>X1524/'Terms and Turnovers'!$J142</f>
        <v>0</v>
      </c>
      <c r="Y2239" s="106"/>
      <c r="Z2239" s="68">
        <f>Z1524/'Terms and Turnovers'!$J142</f>
        <v>0</v>
      </c>
      <c r="AA2239" s="106"/>
      <c r="AB2239" s="68">
        <f>AB1524/'Terms and Turnovers'!$J142</f>
        <v>0</v>
      </c>
      <c r="AC2239" s="106"/>
      <c r="AD2239" s="68">
        <f>AD1524/'Terms and Turnovers'!$J142</f>
        <v>0</v>
      </c>
      <c r="AE2239" s="106"/>
      <c r="AF2239" s="129">
        <f>SUM(T2239,V2239,X2239,Z2239,AB2239,AD2239)</f>
        <v>0</v>
      </c>
      <c r="AG2239" s="106"/>
      <c r="AH2239" s="130">
        <f>SUM(AF2239,R2239)</f>
        <v>0</v>
      </c>
      <c r="AI2239" s="106"/>
      <c r="AJ2239" s="65"/>
      <c r="AV2239" s="56"/>
    </row>
    <row r="2240" spans="1:48" ht="12.75" hidden="1" customHeight="1" outlineLevel="2" thickBot="1">
      <c r="A2240" s="73"/>
      <c r="B2240" s="82"/>
      <c r="C2240" s="1234"/>
      <c r="D2240" s="1234"/>
      <c r="E2240" s="84" t="str">
        <f>'Terms and Turnovers'!$T$12</f>
        <v>ORIGINALS</v>
      </c>
      <c r="F2240" s="70">
        <f>F1525/'Terms and Turnovers'!$T142</f>
        <v>0</v>
      </c>
      <c r="G2240" s="728"/>
      <c r="H2240" s="70">
        <f>H1525/'Terms and Turnovers'!$T142</f>
        <v>0</v>
      </c>
      <c r="I2240" s="728"/>
      <c r="J2240" s="70">
        <f>J1525/'Terms and Turnovers'!$T142</f>
        <v>0</v>
      </c>
      <c r="K2240" s="728"/>
      <c r="L2240" s="70">
        <f>L1525/'Terms and Turnovers'!$T142</f>
        <v>0</v>
      </c>
      <c r="M2240" s="728"/>
      <c r="N2240" s="70">
        <f>N1525/'Terms and Turnovers'!$T142</f>
        <v>0</v>
      </c>
      <c r="O2240" s="728"/>
      <c r="P2240" s="70">
        <f>P1525/'Terms and Turnovers'!$T142</f>
        <v>0</v>
      </c>
      <c r="Q2240" s="728"/>
      <c r="R2240" s="132">
        <f>SUM(F2240,H2240,J2240,L2240,N2240,P2240)</f>
        <v>0</v>
      </c>
      <c r="S2240" s="728"/>
      <c r="T2240" s="70">
        <f>T1525/'Terms and Turnovers'!$T142</f>
        <v>0</v>
      </c>
      <c r="U2240" s="728"/>
      <c r="V2240" s="70">
        <f>V1525/'Terms and Turnovers'!$T142</f>
        <v>0</v>
      </c>
      <c r="W2240" s="728"/>
      <c r="X2240" s="70">
        <f>X1525/'Terms and Turnovers'!$T142</f>
        <v>0</v>
      </c>
      <c r="Y2240" s="728"/>
      <c r="Z2240" s="70">
        <f>Z1525/'Terms and Turnovers'!$T142</f>
        <v>0</v>
      </c>
      <c r="AA2240" s="728"/>
      <c r="AB2240" s="70">
        <f>AB1525/'Terms and Turnovers'!$T142</f>
        <v>0</v>
      </c>
      <c r="AC2240" s="728"/>
      <c r="AD2240" s="70">
        <f>AD1525/'Terms and Turnovers'!$T142</f>
        <v>0</v>
      </c>
      <c r="AE2240" s="728"/>
      <c r="AF2240" s="132">
        <f>SUM(T2240,V2240,X2240,Z2240,AB2240,AD2240)</f>
        <v>0</v>
      </c>
      <c r="AG2240" s="728"/>
      <c r="AH2240" s="133">
        <f>SUM(AF2240,R2240)</f>
        <v>0</v>
      </c>
      <c r="AI2240" s="728"/>
      <c r="AJ2240" s="65"/>
      <c r="AV2240" s="56"/>
    </row>
    <row r="2241" spans="1:48" ht="12.75" hidden="1" customHeight="1" outlineLevel="2">
      <c r="A2241" s="73"/>
      <c r="B2241" s="82"/>
      <c r="C2241" s="1234"/>
      <c r="D2241" s="1234"/>
      <c r="E2241" s="84" t="str">
        <f>'Terms and Turnovers'!$AD$12</f>
        <v>ACCESSORIES</v>
      </c>
      <c r="F2241" s="68">
        <f>F1526/'Terms and Turnovers'!$AD142</f>
        <v>0</v>
      </c>
      <c r="G2241" s="728"/>
      <c r="H2241" s="68">
        <f>H1526/'Terms and Turnovers'!$AD142</f>
        <v>0</v>
      </c>
      <c r="I2241" s="728"/>
      <c r="J2241" s="68">
        <f>J1526/'Terms and Turnovers'!$AD142</f>
        <v>0</v>
      </c>
      <c r="K2241" s="728"/>
      <c r="L2241" s="68">
        <f>L1526/'Terms and Turnovers'!$AD142</f>
        <v>0</v>
      </c>
      <c r="M2241" s="728"/>
      <c r="N2241" s="68">
        <f>N1526/'Terms and Turnovers'!$AD142</f>
        <v>0</v>
      </c>
      <c r="O2241" s="728"/>
      <c r="P2241" s="68">
        <f>P1526/'Terms and Turnovers'!$AD142</f>
        <v>0</v>
      </c>
      <c r="Q2241" s="728"/>
      <c r="R2241" s="132">
        <f>SUM(F2241,H2241,J2241,L2241,N2241,P2241)</f>
        <v>0</v>
      </c>
      <c r="S2241" s="728"/>
      <c r="T2241" s="68">
        <f>T1526/'Terms and Turnovers'!$AD142</f>
        <v>0</v>
      </c>
      <c r="U2241" s="728"/>
      <c r="V2241" s="68">
        <f>V1526/'Terms and Turnovers'!$AD142</f>
        <v>0</v>
      </c>
      <c r="W2241" s="728"/>
      <c r="X2241" s="68">
        <f>X1526/'Terms and Turnovers'!$AD142</f>
        <v>0</v>
      </c>
      <c r="Y2241" s="728"/>
      <c r="Z2241" s="68">
        <f>Z1526/'Terms and Turnovers'!$AD142</f>
        <v>0</v>
      </c>
      <c r="AA2241" s="728"/>
      <c r="AB2241" s="68">
        <f>AB1526/'Terms and Turnovers'!$AD142</f>
        <v>0</v>
      </c>
      <c r="AC2241" s="728"/>
      <c r="AD2241" s="68">
        <f>AD1526/'Terms and Turnovers'!$AD142</f>
        <v>0</v>
      </c>
      <c r="AE2241" s="728"/>
      <c r="AF2241" s="132">
        <f>SUM(T2241,V2241,X2241,Z2241,AB2241,AD2241)</f>
        <v>0</v>
      </c>
      <c r="AG2241" s="728"/>
      <c r="AH2241" s="133">
        <f>SUM(AF2241,R2241)</f>
        <v>0</v>
      </c>
      <c r="AI2241" s="728"/>
      <c r="AJ2241" s="65"/>
      <c r="AV2241" s="56"/>
    </row>
    <row r="2242" spans="1:48" ht="12.75" hidden="1" customHeight="1" outlineLevel="2" thickBot="1">
      <c r="A2242" s="73"/>
      <c r="B2242" s="82"/>
      <c r="C2242" s="1234"/>
      <c r="D2242" s="1234"/>
      <c r="E2242" s="84">
        <f>'Terms and Turnovers'!$AN$12</f>
        <v>0</v>
      </c>
      <c r="F2242" s="70">
        <f>F1527/'Terms and Turnovers'!$AN142</f>
        <v>0</v>
      </c>
      <c r="G2242" s="728"/>
      <c r="H2242" s="70">
        <f>H1527/'Terms and Turnovers'!$AN142</f>
        <v>0</v>
      </c>
      <c r="I2242" s="728"/>
      <c r="J2242" s="70">
        <f>J1527/'Terms and Turnovers'!$AN142</f>
        <v>0</v>
      </c>
      <c r="K2242" s="728"/>
      <c r="L2242" s="70">
        <f>L1527/'Terms and Turnovers'!$AN142</f>
        <v>0</v>
      </c>
      <c r="M2242" s="728"/>
      <c r="N2242" s="70">
        <f>N1527/'Terms and Turnovers'!$AN142</f>
        <v>0</v>
      </c>
      <c r="O2242" s="728"/>
      <c r="P2242" s="70">
        <f>P1527/'Terms and Turnovers'!$AN142</f>
        <v>0</v>
      </c>
      <c r="Q2242" s="728"/>
      <c r="R2242" s="132">
        <f>SUM(F2242,H2242,J2242,L2242,N2242,P2242)</f>
        <v>0</v>
      </c>
      <c r="S2242" s="728"/>
      <c r="T2242" s="70">
        <f>T1527/'Terms and Turnovers'!$AN142</f>
        <v>0</v>
      </c>
      <c r="U2242" s="728"/>
      <c r="V2242" s="70">
        <f>V1527/'Terms and Turnovers'!$AN142</f>
        <v>0</v>
      </c>
      <c r="W2242" s="728"/>
      <c r="X2242" s="70">
        <f>X1527/'Terms and Turnovers'!$AN142</f>
        <v>0</v>
      </c>
      <c r="Y2242" s="728"/>
      <c r="Z2242" s="70">
        <f>Z1527/'Terms and Turnovers'!$AN142</f>
        <v>0</v>
      </c>
      <c r="AA2242" s="728"/>
      <c r="AB2242" s="70">
        <f>AB1527/'Terms and Turnovers'!$AN142</f>
        <v>0</v>
      </c>
      <c r="AC2242" s="728"/>
      <c r="AD2242" s="70">
        <f>AD1527/'Terms and Turnovers'!$AN142</f>
        <v>0</v>
      </c>
      <c r="AE2242" s="728"/>
      <c r="AF2242" s="132">
        <f>SUM(T2242,V2242,X2242,Z2242,AB2242,AD2242)</f>
        <v>0</v>
      </c>
      <c r="AG2242" s="728"/>
      <c r="AH2242" s="133">
        <f>SUM(AF2242,R2242)</f>
        <v>0</v>
      </c>
      <c r="AI2242" s="728"/>
      <c r="AJ2242" s="65"/>
      <c r="AV2242" s="56"/>
    </row>
    <row r="2243" spans="1:48" ht="13.5" hidden="1" customHeight="1" outlineLevel="2" thickBot="1">
      <c r="A2243" s="73"/>
      <c r="B2243" s="82"/>
      <c r="C2243" s="1235"/>
      <c r="D2243" s="1235"/>
      <c r="E2243" s="85">
        <f>'Terms and Turnovers'!$AX$12</f>
        <v>0</v>
      </c>
      <c r="F2243" s="68">
        <f>F1528/'Terms and Turnovers'!$AX142</f>
        <v>0</v>
      </c>
      <c r="G2243" s="107"/>
      <c r="H2243" s="68">
        <f>H1528/'Terms and Turnovers'!$AX142</f>
        <v>0</v>
      </c>
      <c r="I2243" s="107"/>
      <c r="J2243" s="68">
        <f>J1528/'Terms and Turnovers'!$AX142</f>
        <v>0</v>
      </c>
      <c r="K2243" s="107"/>
      <c r="L2243" s="68">
        <f>L1528/'Terms and Turnovers'!$AX142</f>
        <v>0</v>
      </c>
      <c r="M2243" s="107"/>
      <c r="N2243" s="68">
        <f>N1528/'Terms and Turnovers'!$AX142</f>
        <v>0</v>
      </c>
      <c r="O2243" s="107"/>
      <c r="P2243" s="68">
        <f>P1528/'Terms and Turnovers'!$AX142</f>
        <v>0</v>
      </c>
      <c r="Q2243" s="107"/>
      <c r="R2243" s="135">
        <f>SUM(F2243,H2243,J2243,L2243,N2243,P2243)</f>
        <v>0</v>
      </c>
      <c r="S2243" s="107"/>
      <c r="T2243" s="68">
        <f>T1528/'Terms and Turnovers'!$AX142</f>
        <v>0</v>
      </c>
      <c r="U2243" s="107"/>
      <c r="V2243" s="68">
        <f>V1528/'Terms and Turnovers'!$AX142</f>
        <v>0</v>
      </c>
      <c r="W2243" s="107"/>
      <c r="X2243" s="68">
        <f>X1528/'Terms and Turnovers'!$AX142</f>
        <v>0</v>
      </c>
      <c r="Y2243" s="107"/>
      <c r="Z2243" s="68">
        <f>Z1528/'Terms and Turnovers'!$AX142</f>
        <v>0</v>
      </c>
      <c r="AA2243" s="107"/>
      <c r="AB2243" s="68">
        <f>AB1528/'Terms and Turnovers'!$AX142</f>
        <v>0</v>
      </c>
      <c r="AC2243" s="107"/>
      <c r="AD2243" s="68">
        <f>AD1528/'Terms and Turnovers'!$AX142</f>
        <v>0</v>
      </c>
      <c r="AE2243" s="107"/>
      <c r="AF2243" s="135">
        <f>SUM(T2243,V2243,X2243,Z2243,AB2243,AD2243)</f>
        <v>0</v>
      </c>
      <c r="AG2243" s="107"/>
      <c r="AH2243" s="136">
        <f>SUM(AF2243,R2243)</f>
        <v>0</v>
      </c>
      <c r="AI2243" s="107"/>
      <c r="AJ2243" s="65"/>
      <c r="AV2243" s="56"/>
    </row>
    <row r="2244" spans="1:48" ht="13.5" hidden="1" customHeight="1" outlineLevel="2">
      <c r="A2244" s="73"/>
      <c r="B2244" s="82"/>
      <c r="C2244" s="425"/>
      <c r="D2244" s="425"/>
      <c r="E2244" s="634"/>
      <c r="F2244" s="635"/>
      <c r="G2244" s="428"/>
      <c r="H2244" s="635"/>
      <c r="I2244" s="428"/>
      <c r="J2244" s="635"/>
      <c r="K2244" s="636"/>
      <c r="L2244" s="635"/>
      <c r="M2244" s="636"/>
      <c r="N2244" s="635"/>
      <c r="O2244" s="636"/>
      <c r="P2244" s="635"/>
      <c r="Q2244" s="636"/>
      <c r="R2244" s="637"/>
      <c r="S2244" s="698">
        <f>SUM(R1524:R1528)/1.18-(SUM(R2239:R2243)*'Mark Up Validation'!$M$175)</f>
        <v>0</v>
      </c>
      <c r="T2244" s="635"/>
      <c r="U2244" s="636"/>
      <c r="V2244" s="635"/>
      <c r="W2244" s="636"/>
      <c r="X2244" s="635"/>
      <c r="Y2244" s="636"/>
      <c r="Z2244" s="635"/>
      <c r="AA2244" s="636"/>
      <c r="AB2244" s="635"/>
      <c r="AC2244" s="636"/>
      <c r="AD2244" s="635"/>
      <c r="AE2244" s="636"/>
      <c r="AF2244" s="637"/>
      <c r="AG2244" s="698">
        <f>SUM(AF1524:AF1528)/1.18-SUM(AF2239:AF2243)*'Mark Up Validation'!$M$175</f>
        <v>0</v>
      </c>
      <c r="AH2244" s="638"/>
      <c r="AI2244" s="698">
        <f>SUM(AH1524:AH1528)/1.18-SUM(AH2239:AH2243)*'Mark Up Validation'!$M$175</f>
        <v>0</v>
      </c>
      <c r="AJ2244" s="65"/>
      <c r="AV2244" s="56"/>
    </row>
    <row r="2245" spans="1:48" ht="13.5" hidden="1" customHeight="1" outlineLevel="2" thickBot="1">
      <c r="A2245" s="73"/>
      <c r="B2245" s="82"/>
      <c r="C2245" s="1228" t="s">
        <v>538</v>
      </c>
      <c r="D2245" s="1229"/>
      <c r="E2245" s="699"/>
      <c r="F2245" s="700"/>
      <c r="G2245" s="701"/>
      <c r="H2245" s="700"/>
      <c r="I2245" s="701"/>
      <c r="J2245" s="700"/>
      <c r="K2245" s="702"/>
      <c r="L2245" s="700"/>
      <c r="M2245" s="702"/>
      <c r="N2245" s="700"/>
      <c r="O2245" s="702"/>
      <c r="P2245" s="700"/>
      <c r="Q2245" s="702"/>
      <c r="R2245" s="703"/>
      <c r="S2245" s="729">
        <f>IF(S2244&gt;0,S2244/(SUM(R1524:R1528)/1.18),0)</f>
        <v>0</v>
      </c>
      <c r="T2245" s="700"/>
      <c r="U2245" s="702"/>
      <c r="V2245" s="700"/>
      <c r="W2245" s="702"/>
      <c r="X2245" s="700"/>
      <c r="Y2245" s="702"/>
      <c r="Z2245" s="700"/>
      <c r="AA2245" s="702"/>
      <c r="AB2245" s="700"/>
      <c r="AC2245" s="702"/>
      <c r="AD2245" s="700"/>
      <c r="AE2245" s="702"/>
      <c r="AF2245" s="705"/>
      <c r="AG2245" s="729">
        <f>IF(AG2244&gt;0,AG2244/(SUM(AF1524:AF1528)/1.18),0)</f>
        <v>0</v>
      </c>
      <c r="AH2245" s="706"/>
      <c r="AI2245" s="729">
        <f>IF(AI2244&gt;0,AI2244/(SUM(AH1524:AH1528)/1.18),0)</f>
        <v>0</v>
      </c>
      <c r="AJ2245" s="65"/>
      <c r="AV2245" s="56"/>
    </row>
    <row r="2246" spans="1:48" ht="12.75" hidden="1" customHeight="1" outlineLevel="2">
      <c r="A2246" s="73"/>
      <c r="B2246" s="82">
        <f>B2239+1</f>
        <v>12</v>
      </c>
      <c r="C2246" s="1233">
        <f>C1531</f>
        <v>0</v>
      </c>
      <c r="D2246" s="1233">
        <f>D1531</f>
        <v>0</v>
      </c>
      <c r="E2246" s="83" t="str">
        <f>'Terms and Turnovers'!$J$12</f>
        <v>FLIP-FLOPS</v>
      </c>
      <c r="F2246" s="68">
        <f>F1531/'Terms and Turnovers'!$J143</f>
        <v>0</v>
      </c>
      <c r="G2246" s="106"/>
      <c r="H2246" s="68">
        <f>H1531/'Terms and Turnovers'!$J143</f>
        <v>0</v>
      </c>
      <c r="I2246" s="106"/>
      <c r="J2246" s="68">
        <f>J1531/'Terms and Turnovers'!$J143</f>
        <v>0</v>
      </c>
      <c r="K2246" s="106"/>
      <c r="L2246" s="68">
        <f>L1531/'Terms and Turnovers'!$J143</f>
        <v>0</v>
      </c>
      <c r="M2246" s="106"/>
      <c r="N2246" s="68">
        <f>N1531/'Terms and Turnovers'!$J143</f>
        <v>0</v>
      </c>
      <c r="O2246" s="106"/>
      <c r="P2246" s="68">
        <f>P1531/'Terms and Turnovers'!$J143</f>
        <v>0</v>
      </c>
      <c r="Q2246" s="106"/>
      <c r="R2246" s="129">
        <f>SUM(F2246,H2246,J2246,L2246,N2246,P2246)</f>
        <v>0</v>
      </c>
      <c r="S2246" s="106"/>
      <c r="T2246" s="68">
        <f>T1531/'Terms and Turnovers'!$J143</f>
        <v>0</v>
      </c>
      <c r="U2246" s="106"/>
      <c r="V2246" s="68">
        <f>V1531/'Terms and Turnovers'!$J143</f>
        <v>0</v>
      </c>
      <c r="W2246" s="106"/>
      <c r="X2246" s="68">
        <f>X1531/'Terms and Turnovers'!$J143</f>
        <v>0</v>
      </c>
      <c r="Y2246" s="106"/>
      <c r="Z2246" s="68">
        <f>Z1531/'Terms and Turnovers'!$J143</f>
        <v>0</v>
      </c>
      <c r="AA2246" s="106"/>
      <c r="AB2246" s="68">
        <f>AB1531/'Terms and Turnovers'!$J143</f>
        <v>0</v>
      </c>
      <c r="AC2246" s="106"/>
      <c r="AD2246" s="68">
        <f>AD1531/'Terms and Turnovers'!$J143</f>
        <v>0</v>
      </c>
      <c r="AE2246" s="106"/>
      <c r="AF2246" s="129">
        <f>SUM(T2246,V2246,X2246,Z2246,AB2246,AD2246)</f>
        <v>0</v>
      </c>
      <c r="AG2246" s="106"/>
      <c r="AH2246" s="130">
        <f>SUM(AF2246,R2246)</f>
        <v>0</v>
      </c>
      <c r="AI2246" s="106"/>
      <c r="AJ2246" s="65"/>
      <c r="AV2246" s="56"/>
    </row>
    <row r="2247" spans="1:48" ht="12" hidden="1" customHeight="1" outlineLevel="2" thickBot="1">
      <c r="B2247" s="82"/>
      <c r="C2247" s="1234"/>
      <c r="D2247" s="1234"/>
      <c r="E2247" s="84" t="str">
        <f>'Terms and Turnovers'!$T$12</f>
        <v>ORIGINALS</v>
      </c>
      <c r="F2247" s="70">
        <f>F1532/'Terms and Turnovers'!$T143</f>
        <v>0</v>
      </c>
      <c r="G2247" s="728"/>
      <c r="H2247" s="70">
        <f>H1532/'Terms and Turnovers'!$T143</f>
        <v>0</v>
      </c>
      <c r="I2247" s="728"/>
      <c r="J2247" s="70">
        <f>J1532/'Terms and Turnovers'!$T143</f>
        <v>0</v>
      </c>
      <c r="K2247" s="728"/>
      <c r="L2247" s="70">
        <f>L1532/'Terms and Turnovers'!$T143</f>
        <v>0</v>
      </c>
      <c r="M2247" s="728"/>
      <c r="N2247" s="70">
        <f>N1532/'Terms and Turnovers'!$T143</f>
        <v>0</v>
      </c>
      <c r="O2247" s="728"/>
      <c r="P2247" s="70">
        <f>P1532/'Terms and Turnovers'!$T143</f>
        <v>0</v>
      </c>
      <c r="Q2247" s="728"/>
      <c r="R2247" s="132">
        <f>SUM(F2247,H2247,J2247,L2247,N2247,P2247)</f>
        <v>0</v>
      </c>
      <c r="S2247" s="728"/>
      <c r="T2247" s="70">
        <f>T1532/'Terms and Turnovers'!$T143</f>
        <v>0</v>
      </c>
      <c r="U2247" s="728"/>
      <c r="V2247" s="70">
        <f>V1532/'Terms and Turnovers'!$T143</f>
        <v>0</v>
      </c>
      <c r="W2247" s="728"/>
      <c r="X2247" s="70">
        <f>X1532/'Terms and Turnovers'!$T143</f>
        <v>0</v>
      </c>
      <c r="Y2247" s="728"/>
      <c r="Z2247" s="70">
        <f>Z1532/'Terms and Turnovers'!$T143</f>
        <v>0</v>
      </c>
      <c r="AA2247" s="728"/>
      <c r="AB2247" s="70">
        <f>AB1532/'Terms and Turnovers'!$T143</f>
        <v>0</v>
      </c>
      <c r="AC2247" s="728"/>
      <c r="AD2247" s="70">
        <f>AD1532/'Terms and Turnovers'!$T143</f>
        <v>0</v>
      </c>
      <c r="AE2247" s="728"/>
      <c r="AF2247" s="132">
        <f>SUM(T2247,V2247,X2247,Z2247,AB2247,AD2247)</f>
        <v>0</v>
      </c>
      <c r="AG2247" s="728"/>
      <c r="AH2247" s="133">
        <f>SUM(AF2247,R2247)</f>
        <v>0</v>
      </c>
      <c r="AI2247" s="728"/>
      <c r="AJ2247" s="65"/>
      <c r="AV2247" s="56"/>
    </row>
    <row r="2248" spans="1:48" ht="12.75" hidden="1" customHeight="1" outlineLevel="2">
      <c r="B2248" s="82"/>
      <c r="C2248" s="1234"/>
      <c r="D2248" s="1234"/>
      <c r="E2248" s="84" t="str">
        <f>'Terms and Turnovers'!$AD$12</f>
        <v>ACCESSORIES</v>
      </c>
      <c r="F2248" s="68">
        <f>F1533/'Terms and Turnovers'!$AD143</f>
        <v>0</v>
      </c>
      <c r="G2248" s="728"/>
      <c r="H2248" s="68">
        <f>H1533/'Terms and Turnovers'!$AD143</f>
        <v>0</v>
      </c>
      <c r="I2248" s="728"/>
      <c r="J2248" s="68">
        <f>J1533/'Terms and Turnovers'!$AD143</f>
        <v>0</v>
      </c>
      <c r="K2248" s="728"/>
      <c r="L2248" s="68">
        <f>L1533/'Terms and Turnovers'!$AD143</f>
        <v>0</v>
      </c>
      <c r="M2248" s="728"/>
      <c r="N2248" s="68">
        <f>N1533/'Terms and Turnovers'!$AD143</f>
        <v>0</v>
      </c>
      <c r="O2248" s="728"/>
      <c r="P2248" s="68">
        <f>P1533/'Terms and Turnovers'!$AD143</f>
        <v>0</v>
      </c>
      <c r="Q2248" s="728"/>
      <c r="R2248" s="132">
        <f>SUM(F2248,H2248,J2248,L2248,N2248,P2248)</f>
        <v>0</v>
      </c>
      <c r="S2248" s="728"/>
      <c r="T2248" s="68">
        <f>T1533/'Terms and Turnovers'!$AD143</f>
        <v>0</v>
      </c>
      <c r="U2248" s="728"/>
      <c r="V2248" s="68">
        <f>V1533/'Terms and Turnovers'!$AD143</f>
        <v>0</v>
      </c>
      <c r="W2248" s="728"/>
      <c r="X2248" s="68">
        <f>X1533/'Terms and Turnovers'!$AD143</f>
        <v>0</v>
      </c>
      <c r="Y2248" s="728"/>
      <c r="Z2248" s="68">
        <f>Z1533/'Terms and Turnovers'!$AD143</f>
        <v>0</v>
      </c>
      <c r="AA2248" s="728"/>
      <c r="AB2248" s="68">
        <f>AB1533/'Terms and Turnovers'!$AD143</f>
        <v>0</v>
      </c>
      <c r="AC2248" s="728"/>
      <c r="AD2248" s="68">
        <f>AD1533/'Terms and Turnovers'!$AD143</f>
        <v>0</v>
      </c>
      <c r="AE2248" s="728"/>
      <c r="AF2248" s="132">
        <f>SUM(T2248,V2248,X2248,Z2248,AB2248,AD2248)</f>
        <v>0</v>
      </c>
      <c r="AG2248" s="728"/>
      <c r="AH2248" s="133">
        <f>SUM(AF2248,R2248)</f>
        <v>0</v>
      </c>
      <c r="AI2248" s="728"/>
      <c r="AJ2248" s="65"/>
      <c r="AV2248" s="56"/>
    </row>
    <row r="2249" spans="1:48" ht="12.75" hidden="1" customHeight="1" outlineLevel="2" thickBot="1">
      <c r="B2249" s="82"/>
      <c r="C2249" s="1234"/>
      <c r="D2249" s="1234"/>
      <c r="E2249" s="84">
        <f>'Terms and Turnovers'!$AN$12</f>
        <v>0</v>
      </c>
      <c r="F2249" s="70">
        <f>F1534/'Terms and Turnovers'!$AN143</f>
        <v>0</v>
      </c>
      <c r="G2249" s="728"/>
      <c r="H2249" s="70">
        <f>H1534/'Terms and Turnovers'!$AN143</f>
        <v>0</v>
      </c>
      <c r="I2249" s="728"/>
      <c r="J2249" s="70">
        <f>J1534/'Terms and Turnovers'!$AN143</f>
        <v>0</v>
      </c>
      <c r="K2249" s="728"/>
      <c r="L2249" s="70">
        <f>L1534/'Terms and Turnovers'!$AN143</f>
        <v>0</v>
      </c>
      <c r="M2249" s="728"/>
      <c r="N2249" s="70">
        <f>N1534/'Terms and Turnovers'!$AN143</f>
        <v>0</v>
      </c>
      <c r="O2249" s="728"/>
      <c r="P2249" s="70">
        <f>P1534/'Terms and Turnovers'!$AN143</f>
        <v>0</v>
      </c>
      <c r="Q2249" s="728"/>
      <c r="R2249" s="132">
        <f>SUM(F2249,H2249,J2249,L2249,N2249,P2249)</f>
        <v>0</v>
      </c>
      <c r="S2249" s="728"/>
      <c r="T2249" s="70">
        <f>T1534/'Terms and Turnovers'!$AN143</f>
        <v>0</v>
      </c>
      <c r="U2249" s="728"/>
      <c r="V2249" s="70">
        <f>V1534/'Terms and Turnovers'!$AN143</f>
        <v>0</v>
      </c>
      <c r="W2249" s="728"/>
      <c r="X2249" s="70">
        <f>X1534/'Terms and Turnovers'!$AN143</f>
        <v>0</v>
      </c>
      <c r="Y2249" s="728"/>
      <c r="Z2249" s="70">
        <f>Z1534/'Terms and Turnovers'!$AN143</f>
        <v>0</v>
      </c>
      <c r="AA2249" s="728"/>
      <c r="AB2249" s="70">
        <f>AB1534/'Terms and Turnovers'!$AN143</f>
        <v>0</v>
      </c>
      <c r="AC2249" s="728"/>
      <c r="AD2249" s="70">
        <f>AD1534/'Terms and Turnovers'!$AN143</f>
        <v>0</v>
      </c>
      <c r="AE2249" s="728"/>
      <c r="AF2249" s="132">
        <f>SUM(T2249,V2249,X2249,Z2249,AB2249,AD2249)</f>
        <v>0</v>
      </c>
      <c r="AG2249" s="728"/>
      <c r="AH2249" s="133">
        <f>SUM(AF2249,R2249)</f>
        <v>0</v>
      </c>
      <c r="AI2249" s="728"/>
      <c r="AJ2249" s="65"/>
      <c r="AV2249" s="56"/>
    </row>
    <row r="2250" spans="1:48" ht="13.5" hidden="1" customHeight="1" outlineLevel="2" thickBot="1">
      <c r="B2250" s="82"/>
      <c r="C2250" s="1235"/>
      <c r="D2250" s="1235"/>
      <c r="E2250" s="85">
        <f>'Terms and Turnovers'!$AX$12</f>
        <v>0</v>
      </c>
      <c r="F2250" s="68">
        <f>F1535/'Terms and Turnovers'!$AX143</f>
        <v>0</v>
      </c>
      <c r="G2250" s="107"/>
      <c r="H2250" s="68">
        <f>H1535/'Terms and Turnovers'!$AX143</f>
        <v>0</v>
      </c>
      <c r="I2250" s="107"/>
      <c r="J2250" s="68">
        <f>J1535/'Terms and Turnovers'!$AX143</f>
        <v>0</v>
      </c>
      <c r="K2250" s="107"/>
      <c r="L2250" s="68">
        <f>L1535/'Terms and Turnovers'!$AX143</f>
        <v>0</v>
      </c>
      <c r="M2250" s="107"/>
      <c r="N2250" s="68">
        <f>N1535/'Terms and Turnovers'!$AX143</f>
        <v>0</v>
      </c>
      <c r="O2250" s="107"/>
      <c r="P2250" s="68">
        <f>P1535/'Terms and Turnovers'!$AX143</f>
        <v>0</v>
      </c>
      <c r="Q2250" s="107"/>
      <c r="R2250" s="135">
        <f>SUM(F2250,H2250,J2250,L2250,N2250,P2250)</f>
        <v>0</v>
      </c>
      <c r="S2250" s="107"/>
      <c r="T2250" s="68">
        <f>T1535/'Terms and Turnovers'!$AX143</f>
        <v>0</v>
      </c>
      <c r="U2250" s="107"/>
      <c r="V2250" s="68">
        <f>V1535/'Terms and Turnovers'!$AX143</f>
        <v>0</v>
      </c>
      <c r="W2250" s="107"/>
      <c r="X2250" s="68">
        <f>X1535/'Terms and Turnovers'!$AX143</f>
        <v>0</v>
      </c>
      <c r="Y2250" s="107"/>
      <c r="Z2250" s="68">
        <f>Z1535/'Terms and Turnovers'!$AX143</f>
        <v>0</v>
      </c>
      <c r="AA2250" s="107"/>
      <c r="AB2250" s="68">
        <f>AB1535/'Terms and Turnovers'!$AX143</f>
        <v>0</v>
      </c>
      <c r="AC2250" s="107"/>
      <c r="AD2250" s="68">
        <f>AD1535/'Terms and Turnovers'!$AX143</f>
        <v>0</v>
      </c>
      <c r="AE2250" s="107"/>
      <c r="AF2250" s="135">
        <f>SUM(T2250,V2250,X2250,Z2250,AB2250,AD2250)</f>
        <v>0</v>
      </c>
      <c r="AG2250" s="107"/>
      <c r="AH2250" s="136">
        <f>SUM(AF2250,R2250)</f>
        <v>0</v>
      </c>
      <c r="AI2250" s="107"/>
      <c r="AJ2250" s="65"/>
      <c r="AV2250" s="56"/>
    </row>
    <row r="2251" spans="1:48" ht="13.5" hidden="1" customHeight="1" outlineLevel="2">
      <c r="B2251" s="82"/>
      <c r="C2251" s="425"/>
      <c r="D2251" s="425"/>
      <c r="E2251" s="634"/>
      <c r="F2251" s="635"/>
      <c r="G2251" s="428"/>
      <c r="H2251" s="635"/>
      <c r="I2251" s="428"/>
      <c r="J2251" s="635"/>
      <c r="K2251" s="636"/>
      <c r="L2251" s="635"/>
      <c r="M2251" s="636"/>
      <c r="N2251" s="635"/>
      <c r="O2251" s="636"/>
      <c r="P2251" s="635"/>
      <c r="Q2251" s="636"/>
      <c r="R2251" s="637"/>
      <c r="S2251" s="698">
        <f>SUM(R1531:R1535)/1.18-(SUM(R2246:R2250)*'Mark Up Validation'!$M$175)</f>
        <v>0</v>
      </c>
      <c r="T2251" s="635"/>
      <c r="U2251" s="636"/>
      <c r="V2251" s="635"/>
      <c r="W2251" s="636"/>
      <c r="X2251" s="635"/>
      <c r="Y2251" s="636"/>
      <c r="Z2251" s="635"/>
      <c r="AA2251" s="636"/>
      <c r="AB2251" s="635"/>
      <c r="AC2251" s="636"/>
      <c r="AD2251" s="635"/>
      <c r="AE2251" s="636"/>
      <c r="AF2251" s="637"/>
      <c r="AG2251" s="698">
        <f>SUM(AF1531:AF1535)/1.18-SUM(AF2246:AF2250)*'Mark Up Validation'!$M$175</f>
        <v>0</v>
      </c>
      <c r="AH2251" s="638"/>
      <c r="AI2251" s="698">
        <f>SUM(AH1531:AH1535)/1.18-SUM(AH2246:AH2250)*'Mark Up Validation'!$M$175</f>
        <v>0</v>
      </c>
      <c r="AJ2251" s="65"/>
      <c r="AV2251" s="56"/>
    </row>
    <row r="2252" spans="1:48" ht="13.5" hidden="1" customHeight="1" outlineLevel="2" thickBot="1">
      <c r="B2252" s="82"/>
      <c r="C2252" s="1228" t="s">
        <v>538</v>
      </c>
      <c r="D2252" s="1229"/>
      <c r="E2252" s="699"/>
      <c r="F2252" s="700"/>
      <c r="G2252" s="701"/>
      <c r="H2252" s="700"/>
      <c r="I2252" s="701"/>
      <c r="J2252" s="700"/>
      <c r="K2252" s="702"/>
      <c r="L2252" s="700"/>
      <c r="M2252" s="702"/>
      <c r="N2252" s="700"/>
      <c r="O2252" s="702"/>
      <c r="P2252" s="700"/>
      <c r="Q2252" s="702"/>
      <c r="R2252" s="703"/>
      <c r="S2252" s="729">
        <f>IF(S2251&gt;0,S2251/(SUM(R1531:R1535)/1.18),0)</f>
        <v>0</v>
      </c>
      <c r="T2252" s="700"/>
      <c r="U2252" s="702"/>
      <c r="V2252" s="700"/>
      <c r="W2252" s="702"/>
      <c r="X2252" s="700"/>
      <c r="Y2252" s="702"/>
      <c r="Z2252" s="700"/>
      <c r="AA2252" s="702"/>
      <c r="AB2252" s="700"/>
      <c r="AC2252" s="702"/>
      <c r="AD2252" s="700"/>
      <c r="AE2252" s="702"/>
      <c r="AF2252" s="705"/>
      <c r="AG2252" s="729">
        <f>IF(AG2251&gt;0,AG2251/(SUM(AF1531:AF1535)/1.18),0)</f>
        <v>0</v>
      </c>
      <c r="AH2252" s="706"/>
      <c r="AI2252" s="729">
        <f>IF(AI2251&gt;0,AI2251/(SUM(AH1531:AH1535)/1.18),0)</f>
        <v>0</v>
      </c>
      <c r="AJ2252" s="65"/>
      <c r="AV2252" s="56"/>
    </row>
    <row r="2253" spans="1:48" ht="12.75" hidden="1" customHeight="1" outlineLevel="2">
      <c r="B2253" s="82">
        <f>B2246+1</f>
        <v>13</v>
      </c>
      <c r="C2253" s="1233">
        <f>C1538</f>
        <v>0</v>
      </c>
      <c r="D2253" s="1233">
        <f>D1538</f>
        <v>0</v>
      </c>
      <c r="E2253" s="83" t="str">
        <f>'Terms and Turnovers'!$J$12</f>
        <v>FLIP-FLOPS</v>
      </c>
      <c r="F2253" s="68">
        <f>F1538/'Terms and Turnovers'!$J144</f>
        <v>0</v>
      </c>
      <c r="G2253" s="106"/>
      <c r="H2253" s="68">
        <f>H1538/'Terms and Turnovers'!$J144</f>
        <v>0</v>
      </c>
      <c r="I2253" s="106"/>
      <c r="J2253" s="68">
        <f>J1538/'Terms and Turnovers'!$J144</f>
        <v>0</v>
      </c>
      <c r="K2253" s="106"/>
      <c r="L2253" s="68">
        <f>L1538/'Terms and Turnovers'!$J144</f>
        <v>0</v>
      </c>
      <c r="M2253" s="106"/>
      <c r="N2253" s="68">
        <f>N1538/'Terms and Turnovers'!$J144</f>
        <v>0</v>
      </c>
      <c r="O2253" s="106"/>
      <c r="P2253" s="68">
        <f>P1538/'Terms and Turnovers'!$J144</f>
        <v>0</v>
      </c>
      <c r="Q2253" s="106"/>
      <c r="R2253" s="129">
        <f>SUM(F2253,H2253,J2253,L2253,N2253,P2253)</f>
        <v>0</v>
      </c>
      <c r="S2253" s="106"/>
      <c r="T2253" s="68">
        <f>T1538/'Terms and Turnovers'!$J144</f>
        <v>0</v>
      </c>
      <c r="U2253" s="106"/>
      <c r="V2253" s="68">
        <f>V1538/'Terms and Turnovers'!$J144</f>
        <v>0</v>
      </c>
      <c r="W2253" s="106"/>
      <c r="X2253" s="68">
        <f>X1538/'Terms and Turnovers'!$J144</f>
        <v>0</v>
      </c>
      <c r="Y2253" s="106"/>
      <c r="Z2253" s="68">
        <f>Z1538/'Terms and Turnovers'!$J144</f>
        <v>0</v>
      </c>
      <c r="AA2253" s="106"/>
      <c r="AB2253" s="68">
        <f>AB1538/'Terms and Turnovers'!$J144</f>
        <v>0</v>
      </c>
      <c r="AC2253" s="106"/>
      <c r="AD2253" s="68">
        <f>AD1538/'Terms and Turnovers'!$J144</f>
        <v>0</v>
      </c>
      <c r="AE2253" s="106"/>
      <c r="AF2253" s="129">
        <f>SUM(T2253,V2253,X2253,Z2253,AB2253,AD2253)</f>
        <v>0</v>
      </c>
      <c r="AG2253" s="106"/>
      <c r="AH2253" s="130">
        <f>SUM(AF2253,R2253)</f>
        <v>0</v>
      </c>
      <c r="AI2253" s="106"/>
      <c r="AJ2253" s="65"/>
      <c r="AV2253" s="56"/>
    </row>
    <row r="2254" spans="1:48" ht="12.75" hidden="1" customHeight="1" outlineLevel="2" thickBot="1">
      <c r="B2254" s="82"/>
      <c r="C2254" s="1234"/>
      <c r="D2254" s="1234"/>
      <c r="E2254" s="84" t="str">
        <f>'Terms and Turnovers'!$T$12</f>
        <v>ORIGINALS</v>
      </c>
      <c r="F2254" s="70">
        <f>F1539/'Terms and Turnovers'!$T144</f>
        <v>0</v>
      </c>
      <c r="G2254" s="728"/>
      <c r="H2254" s="70">
        <f>H1539/'Terms and Turnovers'!$T144</f>
        <v>0</v>
      </c>
      <c r="I2254" s="728"/>
      <c r="J2254" s="70">
        <f>J1539/'Terms and Turnovers'!$T144</f>
        <v>0</v>
      </c>
      <c r="K2254" s="728"/>
      <c r="L2254" s="70">
        <f>L1539/'Terms and Turnovers'!$T144</f>
        <v>0</v>
      </c>
      <c r="M2254" s="728"/>
      <c r="N2254" s="70">
        <f>N1539/'Terms and Turnovers'!$T144</f>
        <v>0</v>
      </c>
      <c r="O2254" s="728"/>
      <c r="P2254" s="70">
        <f>P1539/'Terms and Turnovers'!$T144</f>
        <v>0</v>
      </c>
      <c r="Q2254" s="728"/>
      <c r="R2254" s="132">
        <f>SUM(F2254,H2254,J2254,L2254,N2254,P2254)</f>
        <v>0</v>
      </c>
      <c r="S2254" s="728"/>
      <c r="T2254" s="70">
        <f>T1539/'Terms and Turnovers'!$T144</f>
        <v>0</v>
      </c>
      <c r="U2254" s="728"/>
      <c r="V2254" s="70">
        <f>V1539/'Terms and Turnovers'!$T144</f>
        <v>0</v>
      </c>
      <c r="W2254" s="728"/>
      <c r="X2254" s="70">
        <f>X1539/'Terms and Turnovers'!$T144</f>
        <v>0</v>
      </c>
      <c r="Y2254" s="728"/>
      <c r="Z2254" s="70">
        <f>Z1539/'Terms and Turnovers'!$T144</f>
        <v>0</v>
      </c>
      <c r="AA2254" s="728"/>
      <c r="AB2254" s="70">
        <f>AB1539/'Terms and Turnovers'!$T144</f>
        <v>0</v>
      </c>
      <c r="AC2254" s="728"/>
      <c r="AD2254" s="70">
        <f>AD1539/'Terms and Turnovers'!$T144</f>
        <v>0</v>
      </c>
      <c r="AE2254" s="728"/>
      <c r="AF2254" s="132">
        <f>SUM(T2254,V2254,X2254,Z2254,AB2254,AD2254)</f>
        <v>0</v>
      </c>
      <c r="AG2254" s="728"/>
      <c r="AH2254" s="133">
        <f>SUM(AF2254,R2254)</f>
        <v>0</v>
      </c>
      <c r="AI2254" s="728"/>
      <c r="AJ2254" s="65"/>
      <c r="AV2254" s="56"/>
    </row>
    <row r="2255" spans="1:48" ht="12.75" hidden="1" customHeight="1" outlineLevel="2">
      <c r="B2255" s="82"/>
      <c r="C2255" s="1234"/>
      <c r="D2255" s="1234"/>
      <c r="E2255" s="84" t="str">
        <f>'Terms and Turnovers'!$AD$12</f>
        <v>ACCESSORIES</v>
      </c>
      <c r="F2255" s="68">
        <f>F1540/'Terms and Turnovers'!$AD144</f>
        <v>0</v>
      </c>
      <c r="G2255" s="728"/>
      <c r="H2255" s="68">
        <f>H1540/'Terms and Turnovers'!$AD144</f>
        <v>0</v>
      </c>
      <c r="I2255" s="728"/>
      <c r="J2255" s="68">
        <f>J1540/'Terms and Turnovers'!$AD144</f>
        <v>0</v>
      </c>
      <c r="K2255" s="728"/>
      <c r="L2255" s="68">
        <f>L1540/'Terms and Turnovers'!$AD144</f>
        <v>0</v>
      </c>
      <c r="M2255" s="728"/>
      <c r="N2255" s="68">
        <f>N1540/'Terms and Turnovers'!$AD144</f>
        <v>0</v>
      </c>
      <c r="O2255" s="728"/>
      <c r="P2255" s="68">
        <f>P1540/'Terms and Turnovers'!$AD144</f>
        <v>0</v>
      </c>
      <c r="Q2255" s="728"/>
      <c r="R2255" s="132">
        <f>SUM(F2255,H2255,J2255,L2255,N2255,P2255)</f>
        <v>0</v>
      </c>
      <c r="S2255" s="728"/>
      <c r="T2255" s="68">
        <f>T1540/'Terms and Turnovers'!$AD144</f>
        <v>0</v>
      </c>
      <c r="U2255" s="728"/>
      <c r="V2255" s="68">
        <f>V1540/'Terms and Turnovers'!$AD144</f>
        <v>0</v>
      </c>
      <c r="W2255" s="728"/>
      <c r="X2255" s="68">
        <f>X1540/'Terms and Turnovers'!$AD144</f>
        <v>0</v>
      </c>
      <c r="Y2255" s="728"/>
      <c r="Z2255" s="68">
        <f>Z1540/'Terms and Turnovers'!$AD144</f>
        <v>0</v>
      </c>
      <c r="AA2255" s="728"/>
      <c r="AB2255" s="68">
        <f>AB1540/'Terms and Turnovers'!$AD144</f>
        <v>0</v>
      </c>
      <c r="AC2255" s="728"/>
      <c r="AD2255" s="68">
        <f>AD1540/'Terms and Turnovers'!$AD144</f>
        <v>0</v>
      </c>
      <c r="AE2255" s="728"/>
      <c r="AF2255" s="132">
        <f>SUM(T2255,V2255,X2255,Z2255,AB2255,AD2255)</f>
        <v>0</v>
      </c>
      <c r="AG2255" s="728"/>
      <c r="AH2255" s="133">
        <f>SUM(AF2255,R2255)</f>
        <v>0</v>
      </c>
      <c r="AI2255" s="728"/>
      <c r="AJ2255" s="65"/>
      <c r="AV2255" s="56"/>
    </row>
    <row r="2256" spans="1:48" ht="12.75" hidden="1" customHeight="1" outlineLevel="2" thickBot="1">
      <c r="B2256" s="82"/>
      <c r="C2256" s="1234"/>
      <c r="D2256" s="1234"/>
      <c r="E2256" s="84">
        <f>'Terms and Turnovers'!$AN$12</f>
        <v>0</v>
      </c>
      <c r="F2256" s="70">
        <f>F1541/'Terms and Turnovers'!$AN144</f>
        <v>0</v>
      </c>
      <c r="G2256" s="728"/>
      <c r="H2256" s="70">
        <f>H1541/'Terms and Turnovers'!$AN144</f>
        <v>0</v>
      </c>
      <c r="I2256" s="728"/>
      <c r="J2256" s="70">
        <f>J1541/'Terms and Turnovers'!$AN144</f>
        <v>0</v>
      </c>
      <c r="K2256" s="728"/>
      <c r="L2256" s="70">
        <f>L1541/'Terms and Turnovers'!$AN144</f>
        <v>0</v>
      </c>
      <c r="M2256" s="728"/>
      <c r="N2256" s="70">
        <f>N1541/'Terms and Turnovers'!$AN144</f>
        <v>0</v>
      </c>
      <c r="O2256" s="728"/>
      <c r="P2256" s="70">
        <f>P1541/'Terms and Turnovers'!$AN144</f>
        <v>0</v>
      </c>
      <c r="Q2256" s="728"/>
      <c r="R2256" s="132">
        <f>SUM(F2256,H2256,J2256,L2256,N2256,P2256)</f>
        <v>0</v>
      </c>
      <c r="S2256" s="728"/>
      <c r="T2256" s="70">
        <f>T1541/'Terms and Turnovers'!$AN144</f>
        <v>0</v>
      </c>
      <c r="U2256" s="728"/>
      <c r="V2256" s="70">
        <f>V1541/'Terms and Turnovers'!$AN144</f>
        <v>0</v>
      </c>
      <c r="W2256" s="728"/>
      <c r="X2256" s="70">
        <f>X1541/'Terms and Turnovers'!$AN144</f>
        <v>0</v>
      </c>
      <c r="Y2256" s="728"/>
      <c r="Z2256" s="70">
        <f>Z1541/'Terms and Turnovers'!$AN144</f>
        <v>0</v>
      </c>
      <c r="AA2256" s="728"/>
      <c r="AB2256" s="70">
        <f>AB1541/'Terms and Turnovers'!$AN144</f>
        <v>0</v>
      </c>
      <c r="AC2256" s="728"/>
      <c r="AD2256" s="70">
        <f>AD1541/'Terms and Turnovers'!$AN144</f>
        <v>0</v>
      </c>
      <c r="AE2256" s="728"/>
      <c r="AF2256" s="132">
        <f>SUM(T2256,V2256,X2256,Z2256,AB2256,AD2256)</f>
        <v>0</v>
      </c>
      <c r="AG2256" s="728"/>
      <c r="AH2256" s="133">
        <f>SUM(AF2256,R2256)</f>
        <v>0</v>
      </c>
      <c r="AI2256" s="728"/>
      <c r="AJ2256" s="65"/>
      <c r="AV2256" s="56"/>
    </row>
    <row r="2257" spans="2:48" ht="13.5" hidden="1" customHeight="1" outlineLevel="2" thickBot="1">
      <c r="B2257" s="82"/>
      <c r="C2257" s="1235"/>
      <c r="D2257" s="1235"/>
      <c r="E2257" s="85">
        <f>'Terms and Turnovers'!$AX$12</f>
        <v>0</v>
      </c>
      <c r="F2257" s="68">
        <f>F1542/'Terms and Turnovers'!$AX144</f>
        <v>0</v>
      </c>
      <c r="G2257" s="107"/>
      <c r="H2257" s="68">
        <f>H1542/'Terms and Turnovers'!$AX144</f>
        <v>0</v>
      </c>
      <c r="I2257" s="107"/>
      <c r="J2257" s="68">
        <f>J1542/'Terms and Turnovers'!$AX144</f>
        <v>0</v>
      </c>
      <c r="K2257" s="107"/>
      <c r="L2257" s="68">
        <f>L1542/'Terms and Turnovers'!$AX144</f>
        <v>0</v>
      </c>
      <c r="M2257" s="107"/>
      <c r="N2257" s="68">
        <f>N1542/'Terms and Turnovers'!$AX144</f>
        <v>0</v>
      </c>
      <c r="O2257" s="107"/>
      <c r="P2257" s="68">
        <f>P1542/'Terms and Turnovers'!$AX144</f>
        <v>0</v>
      </c>
      <c r="Q2257" s="107"/>
      <c r="R2257" s="135">
        <f>SUM(F2257,H2257,J2257,L2257,N2257,P2257)</f>
        <v>0</v>
      </c>
      <c r="S2257" s="107"/>
      <c r="T2257" s="68">
        <f>T1542/'Terms and Turnovers'!$AX144</f>
        <v>0</v>
      </c>
      <c r="U2257" s="107"/>
      <c r="V2257" s="68">
        <f>V1542/'Terms and Turnovers'!$AX144</f>
        <v>0</v>
      </c>
      <c r="W2257" s="107"/>
      <c r="X2257" s="68">
        <f>X1542/'Terms and Turnovers'!$AX144</f>
        <v>0</v>
      </c>
      <c r="Y2257" s="107"/>
      <c r="Z2257" s="68">
        <f>Z1542/'Terms and Turnovers'!$AX144</f>
        <v>0</v>
      </c>
      <c r="AA2257" s="107"/>
      <c r="AB2257" s="68">
        <f>AB1542/'Terms and Turnovers'!$AX144</f>
        <v>0</v>
      </c>
      <c r="AC2257" s="107"/>
      <c r="AD2257" s="68">
        <f>AD1542/'Terms and Turnovers'!$AX144</f>
        <v>0</v>
      </c>
      <c r="AE2257" s="107"/>
      <c r="AF2257" s="135">
        <f>SUM(T2257,V2257,X2257,Z2257,AB2257,AD2257)</f>
        <v>0</v>
      </c>
      <c r="AG2257" s="107"/>
      <c r="AH2257" s="136">
        <f>SUM(AF2257,R2257)</f>
        <v>0</v>
      </c>
      <c r="AI2257" s="107"/>
      <c r="AJ2257" s="65"/>
      <c r="AV2257" s="56"/>
    </row>
    <row r="2258" spans="2:48" ht="13.5" hidden="1" customHeight="1" outlineLevel="2">
      <c r="B2258" s="82"/>
      <c r="C2258" s="425"/>
      <c r="D2258" s="425"/>
      <c r="E2258" s="634"/>
      <c r="F2258" s="635"/>
      <c r="G2258" s="428"/>
      <c r="H2258" s="635"/>
      <c r="I2258" s="428"/>
      <c r="J2258" s="635"/>
      <c r="K2258" s="636"/>
      <c r="L2258" s="635"/>
      <c r="M2258" s="636"/>
      <c r="N2258" s="635"/>
      <c r="O2258" s="636"/>
      <c r="P2258" s="635"/>
      <c r="Q2258" s="636"/>
      <c r="R2258" s="637"/>
      <c r="S2258" s="698">
        <f>SUM(R1538:R1542)/1.18-(SUM(R2253:R2257)*'Mark Up Validation'!$M$175)</f>
        <v>0</v>
      </c>
      <c r="T2258" s="635"/>
      <c r="U2258" s="636"/>
      <c r="V2258" s="635"/>
      <c r="W2258" s="636"/>
      <c r="X2258" s="635"/>
      <c r="Y2258" s="636"/>
      <c r="Z2258" s="635"/>
      <c r="AA2258" s="636"/>
      <c r="AB2258" s="635"/>
      <c r="AC2258" s="636"/>
      <c r="AD2258" s="635"/>
      <c r="AE2258" s="636"/>
      <c r="AF2258" s="637"/>
      <c r="AG2258" s="698">
        <f>SUM(AF1538:AF1542)/1.18-SUM(AF2253:AF2257)*'Mark Up Validation'!$M$175</f>
        <v>0</v>
      </c>
      <c r="AH2258" s="638"/>
      <c r="AI2258" s="698">
        <f>SUM(AH1538:AH1542)/1.18-SUM(AH2253:AH2257)*'Mark Up Validation'!$M$175</f>
        <v>0</v>
      </c>
      <c r="AJ2258" s="65"/>
      <c r="AV2258" s="56"/>
    </row>
    <row r="2259" spans="2:48" ht="13.5" hidden="1" customHeight="1" outlineLevel="2" thickBot="1">
      <c r="B2259" s="82"/>
      <c r="C2259" s="1228" t="s">
        <v>538</v>
      </c>
      <c r="D2259" s="1229"/>
      <c r="E2259" s="699"/>
      <c r="F2259" s="700"/>
      <c r="G2259" s="701"/>
      <c r="H2259" s="700"/>
      <c r="I2259" s="701"/>
      <c r="J2259" s="700"/>
      <c r="K2259" s="702"/>
      <c r="L2259" s="700"/>
      <c r="M2259" s="702"/>
      <c r="N2259" s="700"/>
      <c r="O2259" s="702"/>
      <c r="P2259" s="700"/>
      <c r="Q2259" s="702"/>
      <c r="R2259" s="703"/>
      <c r="S2259" s="729">
        <f>IF(S2258&gt;0,S2258/(SUM(R1538:R1542)/1.18),0)</f>
        <v>0</v>
      </c>
      <c r="T2259" s="700"/>
      <c r="U2259" s="702"/>
      <c r="V2259" s="700"/>
      <c r="W2259" s="702"/>
      <c r="X2259" s="700"/>
      <c r="Y2259" s="702"/>
      <c r="Z2259" s="700"/>
      <c r="AA2259" s="702"/>
      <c r="AB2259" s="700"/>
      <c r="AC2259" s="702"/>
      <c r="AD2259" s="700"/>
      <c r="AE2259" s="702"/>
      <c r="AF2259" s="705"/>
      <c r="AG2259" s="729">
        <f>IF(AG2258&gt;0,AG2258/(SUM(AF1538:AF1542)/1.18),0)</f>
        <v>0</v>
      </c>
      <c r="AH2259" s="706"/>
      <c r="AI2259" s="729">
        <f>IF(AI2258&gt;0,AI2258/(SUM(AH1538:AH1542)/1.18),0)</f>
        <v>0</v>
      </c>
      <c r="AJ2259" s="65"/>
      <c r="AV2259" s="56"/>
    </row>
    <row r="2260" spans="2:48" ht="12.75" hidden="1" customHeight="1" outlineLevel="2">
      <c r="B2260" s="82">
        <f>B2253+1</f>
        <v>14</v>
      </c>
      <c r="C2260" s="1233">
        <f>C1545</f>
        <v>0</v>
      </c>
      <c r="D2260" s="1233">
        <f>D1545</f>
        <v>0</v>
      </c>
      <c r="E2260" s="83" t="str">
        <f>'Terms and Turnovers'!$J$12</f>
        <v>FLIP-FLOPS</v>
      </c>
      <c r="F2260" s="68">
        <f>F1545/'Terms and Turnovers'!$J145</f>
        <v>0</v>
      </c>
      <c r="G2260" s="106"/>
      <c r="H2260" s="68">
        <f>H1545/'Terms and Turnovers'!$J145</f>
        <v>0</v>
      </c>
      <c r="I2260" s="106"/>
      <c r="J2260" s="68">
        <f>J1545/'Terms and Turnovers'!$J145</f>
        <v>0</v>
      </c>
      <c r="K2260" s="106"/>
      <c r="L2260" s="68">
        <f>L1545/'Terms and Turnovers'!$J145</f>
        <v>0</v>
      </c>
      <c r="M2260" s="106"/>
      <c r="N2260" s="68">
        <f>N1545/'Terms and Turnovers'!$J145</f>
        <v>0</v>
      </c>
      <c r="O2260" s="106"/>
      <c r="P2260" s="68">
        <f>P1545/'Terms and Turnovers'!$J145</f>
        <v>0</v>
      </c>
      <c r="Q2260" s="106"/>
      <c r="R2260" s="129">
        <f>SUM(F2260,H2260,J2260,L2260,N2260,P2260)</f>
        <v>0</v>
      </c>
      <c r="S2260" s="106"/>
      <c r="T2260" s="68">
        <f>T1545/'Terms and Turnovers'!$J145</f>
        <v>0</v>
      </c>
      <c r="U2260" s="106"/>
      <c r="V2260" s="68">
        <f>V1545/'Terms and Turnovers'!$J145</f>
        <v>0</v>
      </c>
      <c r="W2260" s="106"/>
      <c r="X2260" s="68">
        <f>X1545/'Terms and Turnovers'!$J145</f>
        <v>0</v>
      </c>
      <c r="Y2260" s="106"/>
      <c r="Z2260" s="68">
        <f>Z1545/'Terms and Turnovers'!$J145</f>
        <v>0</v>
      </c>
      <c r="AA2260" s="106"/>
      <c r="AB2260" s="68">
        <f>AB1545/'Terms and Turnovers'!$J145</f>
        <v>0</v>
      </c>
      <c r="AC2260" s="106"/>
      <c r="AD2260" s="68">
        <f>AD1545/'Terms and Turnovers'!$J145</f>
        <v>0</v>
      </c>
      <c r="AE2260" s="106"/>
      <c r="AF2260" s="129">
        <f>SUM(T2260,V2260,X2260,Z2260,AB2260,AD2260)</f>
        <v>0</v>
      </c>
      <c r="AG2260" s="106"/>
      <c r="AH2260" s="130">
        <f>SUM(AF2260,R2260)</f>
        <v>0</v>
      </c>
      <c r="AI2260" s="106"/>
      <c r="AJ2260" s="65"/>
      <c r="AV2260" s="56"/>
    </row>
    <row r="2261" spans="2:48" ht="12.75" hidden="1" customHeight="1" outlineLevel="2" thickBot="1">
      <c r="B2261" s="82"/>
      <c r="C2261" s="1234"/>
      <c r="D2261" s="1234"/>
      <c r="E2261" s="84" t="str">
        <f>'Terms and Turnovers'!$T$12</f>
        <v>ORIGINALS</v>
      </c>
      <c r="F2261" s="70">
        <f>F1546/'Terms and Turnovers'!$T145</f>
        <v>0</v>
      </c>
      <c r="G2261" s="728"/>
      <c r="H2261" s="70">
        <f>H1546/'Terms and Turnovers'!$T145</f>
        <v>0</v>
      </c>
      <c r="I2261" s="728"/>
      <c r="J2261" s="70">
        <f>J1546/'Terms and Turnovers'!$T145</f>
        <v>0</v>
      </c>
      <c r="K2261" s="728"/>
      <c r="L2261" s="70">
        <f>L1546/'Terms and Turnovers'!$T145</f>
        <v>0</v>
      </c>
      <c r="M2261" s="728"/>
      <c r="N2261" s="70">
        <f>N1546/'Terms and Turnovers'!$T145</f>
        <v>0</v>
      </c>
      <c r="O2261" s="728"/>
      <c r="P2261" s="70">
        <f>P1546/'Terms and Turnovers'!$T145</f>
        <v>0</v>
      </c>
      <c r="Q2261" s="728"/>
      <c r="R2261" s="132">
        <f>SUM(F2261,H2261,J2261,L2261,N2261,P2261)</f>
        <v>0</v>
      </c>
      <c r="S2261" s="728"/>
      <c r="T2261" s="70">
        <f>T1546/'Terms and Turnovers'!$T145</f>
        <v>0</v>
      </c>
      <c r="U2261" s="728"/>
      <c r="V2261" s="70">
        <f>V1546/'Terms and Turnovers'!$T145</f>
        <v>0</v>
      </c>
      <c r="W2261" s="728"/>
      <c r="X2261" s="70">
        <f>X1546/'Terms and Turnovers'!$T145</f>
        <v>0</v>
      </c>
      <c r="Y2261" s="728"/>
      <c r="Z2261" s="70">
        <f>Z1546/'Terms and Turnovers'!$T145</f>
        <v>0</v>
      </c>
      <c r="AA2261" s="728"/>
      <c r="AB2261" s="70">
        <f>AB1546/'Terms and Turnovers'!$T145</f>
        <v>0</v>
      </c>
      <c r="AC2261" s="728"/>
      <c r="AD2261" s="70">
        <f>AD1546/'Terms and Turnovers'!$T145</f>
        <v>0</v>
      </c>
      <c r="AE2261" s="728"/>
      <c r="AF2261" s="132">
        <f>SUM(T2261,V2261,X2261,Z2261,AB2261,AD2261)</f>
        <v>0</v>
      </c>
      <c r="AG2261" s="728"/>
      <c r="AH2261" s="133">
        <f>SUM(AF2261,R2261)</f>
        <v>0</v>
      </c>
      <c r="AI2261" s="728"/>
      <c r="AJ2261" s="65"/>
      <c r="AV2261" s="56"/>
    </row>
    <row r="2262" spans="2:48" ht="12.75" hidden="1" customHeight="1" outlineLevel="2">
      <c r="B2262" s="82"/>
      <c r="C2262" s="1234"/>
      <c r="D2262" s="1234"/>
      <c r="E2262" s="84" t="str">
        <f>'Terms and Turnovers'!$AD$12</f>
        <v>ACCESSORIES</v>
      </c>
      <c r="F2262" s="68">
        <f>F1547/'Terms and Turnovers'!$AD145</f>
        <v>0</v>
      </c>
      <c r="G2262" s="728"/>
      <c r="H2262" s="68">
        <f>H1547/'Terms and Turnovers'!$AD145</f>
        <v>0</v>
      </c>
      <c r="I2262" s="728"/>
      <c r="J2262" s="68">
        <f>J1547/'Terms and Turnovers'!$AD145</f>
        <v>0</v>
      </c>
      <c r="K2262" s="728"/>
      <c r="L2262" s="68">
        <f>L1547/'Terms and Turnovers'!$AD145</f>
        <v>0</v>
      </c>
      <c r="M2262" s="728"/>
      <c r="N2262" s="68">
        <f>N1547/'Terms and Turnovers'!$AD145</f>
        <v>0</v>
      </c>
      <c r="O2262" s="728"/>
      <c r="P2262" s="68">
        <f>P1547/'Terms and Turnovers'!$AD145</f>
        <v>0</v>
      </c>
      <c r="Q2262" s="728"/>
      <c r="R2262" s="132">
        <f>SUM(F2262,H2262,J2262,L2262,N2262,P2262)</f>
        <v>0</v>
      </c>
      <c r="S2262" s="728"/>
      <c r="T2262" s="68">
        <f>T1547/'Terms and Turnovers'!$AD145</f>
        <v>0</v>
      </c>
      <c r="U2262" s="728"/>
      <c r="V2262" s="68">
        <f>V1547/'Terms and Turnovers'!$AD145</f>
        <v>0</v>
      </c>
      <c r="W2262" s="728"/>
      <c r="X2262" s="68">
        <f>X1547/'Terms and Turnovers'!$AD145</f>
        <v>0</v>
      </c>
      <c r="Y2262" s="728"/>
      <c r="Z2262" s="68">
        <f>Z1547/'Terms and Turnovers'!$AD145</f>
        <v>0</v>
      </c>
      <c r="AA2262" s="728"/>
      <c r="AB2262" s="68">
        <f>AB1547/'Terms and Turnovers'!$AD145</f>
        <v>0</v>
      </c>
      <c r="AC2262" s="728"/>
      <c r="AD2262" s="68">
        <f>AD1547/'Terms and Turnovers'!$AD145</f>
        <v>0</v>
      </c>
      <c r="AE2262" s="728"/>
      <c r="AF2262" s="132">
        <f>SUM(T2262,V2262,X2262,Z2262,AB2262,AD2262)</f>
        <v>0</v>
      </c>
      <c r="AG2262" s="728"/>
      <c r="AH2262" s="133">
        <f>SUM(AF2262,R2262)</f>
        <v>0</v>
      </c>
      <c r="AI2262" s="728"/>
      <c r="AJ2262" s="65"/>
      <c r="AV2262" s="56"/>
    </row>
    <row r="2263" spans="2:48" ht="12.75" hidden="1" customHeight="1" outlineLevel="2" thickBot="1">
      <c r="B2263" s="82"/>
      <c r="C2263" s="1234"/>
      <c r="D2263" s="1234"/>
      <c r="E2263" s="84">
        <f>'Terms and Turnovers'!$AN$12</f>
        <v>0</v>
      </c>
      <c r="F2263" s="70">
        <f>F1548/'Terms and Turnovers'!$AN145</f>
        <v>0</v>
      </c>
      <c r="G2263" s="728"/>
      <c r="H2263" s="70">
        <f>H1548/'Terms and Turnovers'!$AN145</f>
        <v>0</v>
      </c>
      <c r="I2263" s="728"/>
      <c r="J2263" s="70">
        <f>J1548/'Terms and Turnovers'!$AN145</f>
        <v>0</v>
      </c>
      <c r="K2263" s="728"/>
      <c r="L2263" s="70">
        <f>L1548/'Terms and Turnovers'!$AN145</f>
        <v>0</v>
      </c>
      <c r="M2263" s="728"/>
      <c r="N2263" s="70">
        <f>N1548/'Terms and Turnovers'!$AN145</f>
        <v>0</v>
      </c>
      <c r="O2263" s="728"/>
      <c r="P2263" s="70">
        <f>P1548/'Terms and Turnovers'!$AN145</f>
        <v>0</v>
      </c>
      <c r="Q2263" s="728"/>
      <c r="R2263" s="132">
        <f>SUM(F2263,H2263,J2263,L2263,N2263,P2263)</f>
        <v>0</v>
      </c>
      <c r="S2263" s="728"/>
      <c r="T2263" s="70">
        <f>T1548/'Terms and Turnovers'!$AN145</f>
        <v>0</v>
      </c>
      <c r="U2263" s="728"/>
      <c r="V2263" s="70">
        <f>V1548/'Terms and Turnovers'!$AN145</f>
        <v>0</v>
      </c>
      <c r="W2263" s="728"/>
      <c r="X2263" s="70">
        <f>X1548/'Terms and Turnovers'!$AN145</f>
        <v>0</v>
      </c>
      <c r="Y2263" s="728"/>
      <c r="Z2263" s="70">
        <f>Z1548/'Terms and Turnovers'!$AN145</f>
        <v>0</v>
      </c>
      <c r="AA2263" s="728"/>
      <c r="AB2263" s="70">
        <f>AB1548/'Terms and Turnovers'!$AN145</f>
        <v>0</v>
      </c>
      <c r="AC2263" s="728"/>
      <c r="AD2263" s="70">
        <f>AD1548/'Terms and Turnovers'!$AN145</f>
        <v>0</v>
      </c>
      <c r="AE2263" s="728"/>
      <c r="AF2263" s="132">
        <f>SUM(T2263,V2263,X2263,Z2263,AB2263,AD2263)</f>
        <v>0</v>
      </c>
      <c r="AG2263" s="728"/>
      <c r="AH2263" s="133">
        <f>SUM(AF2263,R2263)</f>
        <v>0</v>
      </c>
      <c r="AI2263" s="728"/>
      <c r="AJ2263" s="65"/>
      <c r="AV2263" s="56"/>
    </row>
    <row r="2264" spans="2:48" ht="13.5" hidden="1" customHeight="1" outlineLevel="2" thickBot="1">
      <c r="B2264" s="82"/>
      <c r="C2264" s="1235"/>
      <c r="D2264" s="1235"/>
      <c r="E2264" s="85">
        <f>'Terms and Turnovers'!$AX$12</f>
        <v>0</v>
      </c>
      <c r="F2264" s="68">
        <f>F1549/'Terms and Turnovers'!$AX145</f>
        <v>0</v>
      </c>
      <c r="G2264" s="107"/>
      <c r="H2264" s="68">
        <f>H1549/'Terms and Turnovers'!$AX145</f>
        <v>0</v>
      </c>
      <c r="I2264" s="107"/>
      <c r="J2264" s="68">
        <f>J1549/'Terms and Turnovers'!$AX145</f>
        <v>0</v>
      </c>
      <c r="K2264" s="107"/>
      <c r="L2264" s="68">
        <f>L1549/'Terms and Turnovers'!$AX145</f>
        <v>0</v>
      </c>
      <c r="M2264" s="107"/>
      <c r="N2264" s="68">
        <f>N1549/'Terms and Turnovers'!$AX145</f>
        <v>0</v>
      </c>
      <c r="O2264" s="107"/>
      <c r="P2264" s="68">
        <f>P1549/'Terms and Turnovers'!$AX145</f>
        <v>0</v>
      </c>
      <c r="Q2264" s="107"/>
      <c r="R2264" s="135">
        <f>SUM(F2264,H2264,J2264,L2264,N2264,P2264)</f>
        <v>0</v>
      </c>
      <c r="S2264" s="107"/>
      <c r="T2264" s="68">
        <f>T1549/'Terms and Turnovers'!$AX145</f>
        <v>0</v>
      </c>
      <c r="U2264" s="107"/>
      <c r="V2264" s="68">
        <f>V1549/'Terms and Turnovers'!$AX145</f>
        <v>0</v>
      </c>
      <c r="W2264" s="107"/>
      <c r="X2264" s="68">
        <f>X1549/'Terms and Turnovers'!$AX145</f>
        <v>0</v>
      </c>
      <c r="Y2264" s="107"/>
      <c r="Z2264" s="68">
        <f>Z1549/'Terms and Turnovers'!$AX145</f>
        <v>0</v>
      </c>
      <c r="AA2264" s="107"/>
      <c r="AB2264" s="68">
        <f>AB1549/'Terms and Turnovers'!$AX145</f>
        <v>0</v>
      </c>
      <c r="AC2264" s="107"/>
      <c r="AD2264" s="68">
        <f>AD1549/'Terms and Turnovers'!$AX145</f>
        <v>0</v>
      </c>
      <c r="AE2264" s="107"/>
      <c r="AF2264" s="135">
        <f>SUM(T2264,V2264,X2264,Z2264,AB2264,AD2264)</f>
        <v>0</v>
      </c>
      <c r="AG2264" s="107"/>
      <c r="AH2264" s="136">
        <f>SUM(AF2264,R2264)</f>
        <v>0</v>
      </c>
      <c r="AI2264" s="107"/>
      <c r="AJ2264" s="65"/>
      <c r="AV2264" s="56"/>
    </row>
    <row r="2265" spans="2:48" ht="13.5" hidden="1" customHeight="1" outlineLevel="2">
      <c r="B2265" s="82"/>
      <c r="C2265" s="425"/>
      <c r="D2265" s="425"/>
      <c r="E2265" s="634"/>
      <c r="F2265" s="635"/>
      <c r="G2265" s="428"/>
      <c r="H2265" s="635"/>
      <c r="I2265" s="428"/>
      <c r="J2265" s="635"/>
      <c r="K2265" s="636"/>
      <c r="L2265" s="635"/>
      <c r="M2265" s="636"/>
      <c r="N2265" s="635"/>
      <c r="O2265" s="636"/>
      <c r="P2265" s="635"/>
      <c r="Q2265" s="636"/>
      <c r="R2265" s="637"/>
      <c r="S2265" s="698">
        <f>SUM(R1545:R1549)/1.18-(SUM(R2260:R2264)*'Mark Up Validation'!$M$175)</f>
        <v>0</v>
      </c>
      <c r="T2265" s="635"/>
      <c r="U2265" s="636"/>
      <c r="V2265" s="635"/>
      <c r="W2265" s="636"/>
      <c r="X2265" s="635"/>
      <c r="Y2265" s="636"/>
      <c r="Z2265" s="635"/>
      <c r="AA2265" s="636"/>
      <c r="AB2265" s="635"/>
      <c r="AC2265" s="636"/>
      <c r="AD2265" s="635"/>
      <c r="AE2265" s="636"/>
      <c r="AF2265" s="637"/>
      <c r="AG2265" s="698">
        <f>SUM(AF1545:AF1549)/1.18-SUM(AF2260:AF2264)*'Mark Up Validation'!$M$175</f>
        <v>0</v>
      </c>
      <c r="AH2265" s="638"/>
      <c r="AI2265" s="698">
        <f>SUM(AH1545:AH1549)/1.18-SUM(AH2260:AH2264)*'Mark Up Validation'!$M$175</f>
        <v>0</v>
      </c>
      <c r="AJ2265" s="65"/>
      <c r="AV2265" s="56"/>
    </row>
    <row r="2266" spans="2:48" ht="13.5" hidden="1" customHeight="1" outlineLevel="2" thickBot="1">
      <c r="B2266" s="82"/>
      <c r="C2266" s="1228" t="s">
        <v>538</v>
      </c>
      <c r="D2266" s="1229"/>
      <c r="E2266" s="699"/>
      <c r="F2266" s="700"/>
      <c r="G2266" s="701"/>
      <c r="H2266" s="700"/>
      <c r="I2266" s="701"/>
      <c r="J2266" s="700"/>
      <c r="K2266" s="702"/>
      <c r="L2266" s="700"/>
      <c r="M2266" s="702"/>
      <c r="N2266" s="700"/>
      <c r="O2266" s="702"/>
      <c r="P2266" s="700"/>
      <c r="Q2266" s="702"/>
      <c r="R2266" s="703"/>
      <c r="S2266" s="729">
        <f>IF(S2265&gt;0,S2265/(SUM(R1545:R1549)/1.18),0)</f>
        <v>0</v>
      </c>
      <c r="T2266" s="700"/>
      <c r="U2266" s="702"/>
      <c r="V2266" s="700"/>
      <c r="W2266" s="702"/>
      <c r="X2266" s="700"/>
      <c r="Y2266" s="702"/>
      <c r="Z2266" s="700"/>
      <c r="AA2266" s="702"/>
      <c r="AB2266" s="700"/>
      <c r="AC2266" s="702"/>
      <c r="AD2266" s="700"/>
      <c r="AE2266" s="702"/>
      <c r="AF2266" s="705"/>
      <c r="AG2266" s="729">
        <f>IF(AG2265&gt;0,AG2265/(SUM(AF1545:AF1549)/1.18),0)</f>
        <v>0</v>
      </c>
      <c r="AH2266" s="706"/>
      <c r="AI2266" s="729">
        <f>IF(AI2265&gt;0,AI2265/(SUM(AH1545:AH1549)/1.18),0)</f>
        <v>0</v>
      </c>
      <c r="AJ2266" s="65"/>
      <c r="AV2266" s="56"/>
    </row>
    <row r="2267" spans="2:48" ht="12.75" hidden="1" customHeight="1" outlineLevel="2">
      <c r="B2267" s="82">
        <f>B2260+1</f>
        <v>15</v>
      </c>
      <c r="C2267" s="1233">
        <f>C1552</f>
        <v>0</v>
      </c>
      <c r="D2267" s="1233">
        <f>D1552</f>
        <v>0</v>
      </c>
      <c r="E2267" s="83" t="str">
        <f>'Terms and Turnovers'!$J$12</f>
        <v>FLIP-FLOPS</v>
      </c>
      <c r="F2267" s="68">
        <f>F1552/'Terms and Turnovers'!$J146</f>
        <v>0</v>
      </c>
      <c r="G2267" s="106"/>
      <c r="H2267" s="68">
        <f>H1552/'Terms and Turnovers'!$J146</f>
        <v>0</v>
      </c>
      <c r="I2267" s="106"/>
      <c r="J2267" s="68">
        <f>J1552/'Terms and Turnovers'!$J146</f>
        <v>0</v>
      </c>
      <c r="K2267" s="106"/>
      <c r="L2267" s="68">
        <f>L1552/'Terms and Turnovers'!$J146</f>
        <v>0</v>
      </c>
      <c r="M2267" s="106"/>
      <c r="N2267" s="68">
        <f>N1552/'Terms and Turnovers'!$J146</f>
        <v>0</v>
      </c>
      <c r="O2267" s="106"/>
      <c r="P2267" s="68">
        <f>P1552/'Terms and Turnovers'!$J146</f>
        <v>0</v>
      </c>
      <c r="Q2267" s="106"/>
      <c r="R2267" s="129">
        <f>SUM(F2267,H2267,J2267,L2267,N2267,P2267)</f>
        <v>0</v>
      </c>
      <c r="S2267" s="106"/>
      <c r="T2267" s="68">
        <f>T1552/'Terms and Turnovers'!$J146</f>
        <v>0</v>
      </c>
      <c r="U2267" s="106"/>
      <c r="V2267" s="68">
        <f>V1552/'Terms and Turnovers'!$J146</f>
        <v>0</v>
      </c>
      <c r="W2267" s="106"/>
      <c r="X2267" s="68">
        <f>X1552/'Terms and Turnovers'!$J146</f>
        <v>0</v>
      </c>
      <c r="Y2267" s="106"/>
      <c r="Z2267" s="68">
        <f>Z1552/'Terms and Turnovers'!$J146</f>
        <v>0</v>
      </c>
      <c r="AA2267" s="106"/>
      <c r="AB2267" s="68">
        <f>AB1552/'Terms and Turnovers'!$J146</f>
        <v>0</v>
      </c>
      <c r="AC2267" s="106"/>
      <c r="AD2267" s="68">
        <f>AD1552/'Terms and Turnovers'!$J146</f>
        <v>0</v>
      </c>
      <c r="AE2267" s="106"/>
      <c r="AF2267" s="129">
        <f>SUM(T2267,V2267,X2267,Z2267,AB2267,AD2267)</f>
        <v>0</v>
      </c>
      <c r="AG2267" s="106"/>
      <c r="AH2267" s="130">
        <f>SUM(AF2267,R2267)</f>
        <v>0</v>
      </c>
      <c r="AI2267" s="106"/>
      <c r="AJ2267" s="65"/>
      <c r="AV2267" s="56"/>
    </row>
    <row r="2268" spans="2:48" ht="12.75" hidden="1" customHeight="1" outlineLevel="2" thickBot="1">
      <c r="B2268" s="82"/>
      <c r="C2268" s="1234"/>
      <c r="D2268" s="1234"/>
      <c r="E2268" s="84" t="str">
        <f>'Terms and Turnovers'!$T$12</f>
        <v>ORIGINALS</v>
      </c>
      <c r="F2268" s="70">
        <f>F1553/'Terms and Turnovers'!$T146</f>
        <v>0</v>
      </c>
      <c r="G2268" s="728"/>
      <c r="H2268" s="70">
        <f>H1553/'Terms and Turnovers'!$T146</f>
        <v>0</v>
      </c>
      <c r="I2268" s="728"/>
      <c r="J2268" s="70">
        <f>J1553/'Terms and Turnovers'!$T146</f>
        <v>0</v>
      </c>
      <c r="K2268" s="728"/>
      <c r="L2268" s="70">
        <f>L1553/'Terms and Turnovers'!$T146</f>
        <v>0</v>
      </c>
      <c r="M2268" s="728"/>
      <c r="N2268" s="70">
        <f>N1553/'Terms and Turnovers'!$T146</f>
        <v>0</v>
      </c>
      <c r="O2268" s="728"/>
      <c r="P2268" s="70">
        <f>P1553/'Terms and Turnovers'!$T146</f>
        <v>0</v>
      </c>
      <c r="Q2268" s="728"/>
      <c r="R2268" s="132">
        <f>SUM(F2268,H2268,J2268,L2268,N2268,P2268)</f>
        <v>0</v>
      </c>
      <c r="S2268" s="728"/>
      <c r="T2268" s="70">
        <f>T1553/'Terms and Turnovers'!$T146</f>
        <v>0</v>
      </c>
      <c r="U2268" s="728"/>
      <c r="V2268" s="70">
        <f>V1553/'Terms and Turnovers'!$T146</f>
        <v>0</v>
      </c>
      <c r="W2268" s="728"/>
      <c r="X2268" s="70">
        <f>X1553/'Terms and Turnovers'!$T146</f>
        <v>0</v>
      </c>
      <c r="Y2268" s="728"/>
      <c r="Z2268" s="70">
        <f>Z1553/'Terms and Turnovers'!$T146</f>
        <v>0</v>
      </c>
      <c r="AA2268" s="728"/>
      <c r="AB2268" s="70">
        <f>AB1553/'Terms and Turnovers'!$T146</f>
        <v>0</v>
      </c>
      <c r="AC2268" s="728"/>
      <c r="AD2268" s="70">
        <f>AD1553/'Terms and Turnovers'!$T146</f>
        <v>0</v>
      </c>
      <c r="AE2268" s="728"/>
      <c r="AF2268" s="132">
        <f>SUM(T2268,V2268,X2268,Z2268,AB2268,AD2268)</f>
        <v>0</v>
      </c>
      <c r="AG2268" s="728"/>
      <c r="AH2268" s="133">
        <f>SUM(AF2268,R2268)</f>
        <v>0</v>
      </c>
      <c r="AI2268" s="728"/>
      <c r="AJ2268" s="65"/>
      <c r="AV2268" s="56"/>
    </row>
    <row r="2269" spans="2:48" ht="12.75" hidden="1" customHeight="1" outlineLevel="2">
      <c r="B2269" s="82"/>
      <c r="C2269" s="1234"/>
      <c r="D2269" s="1234"/>
      <c r="E2269" s="84" t="str">
        <f>'Terms and Turnovers'!$AD$12</f>
        <v>ACCESSORIES</v>
      </c>
      <c r="F2269" s="68">
        <f>F1554/'Terms and Turnovers'!$AD146</f>
        <v>0</v>
      </c>
      <c r="G2269" s="728"/>
      <c r="H2269" s="68">
        <f>H1554/'Terms and Turnovers'!$AD146</f>
        <v>0</v>
      </c>
      <c r="I2269" s="728"/>
      <c r="J2269" s="68">
        <f>J1554/'Terms and Turnovers'!$AD146</f>
        <v>0</v>
      </c>
      <c r="K2269" s="728"/>
      <c r="L2269" s="68">
        <f>L1554/'Terms and Turnovers'!$AD146</f>
        <v>0</v>
      </c>
      <c r="M2269" s="728"/>
      <c r="N2269" s="68">
        <f>N1554/'Terms and Turnovers'!$AD146</f>
        <v>0</v>
      </c>
      <c r="O2269" s="728"/>
      <c r="P2269" s="68">
        <f>P1554/'Terms and Turnovers'!$AD146</f>
        <v>0</v>
      </c>
      <c r="Q2269" s="728"/>
      <c r="R2269" s="132">
        <f>SUM(F2269,H2269,J2269,L2269,N2269,P2269)</f>
        <v>0</v>
      </c>
      <c r="S2269" s="728"/>
      <c r="T2269" s="68">
        <f>T1554/'Terms and Turnovers'!$AD146</f>
        <v>0</v>
      </c>
      <c r="U2269" s="728"/>
      <c r="V2269" s="68">
        <f>V1554/'Terms and Turnovers'!$AD146</f>
        <v>0</v>
      </c>
      <c r="W2269" s="728"/>
      <c r="X2269" s="68">
        <f>X1554/'Terms and Turnovers'!$AD146</f>
        <v>0</v>
      </c>
      <c r="Y2269" s="728"/>
      <c r="Z2269" s="68">
        <f>Z1554/'Terms and Turnovers'!$AD146</f>
        <v>0</v>
      </c>
      <c r="AA2269" s="728"/>
      <c r="AB2269" s="68">
        <f>AB1554/'Terms and Turnovers'!$AD146</f>
        <v>0</v>
      </c>
      <c r="AC2269" s="728"/>
      <c r="AD2269" s="68">
        <f>AD1554/'Terms and Turnovers'!$AD146</f>
        <v>0</v>
      </c>
      <c r="AE2269" s="728"/>
      <c r="AF2269" s="132">
        <f>SUM(T2269,V2269,X2269,Z2269,AB2269,AD2269)</f>
        <v>0</v>
      </c>
      <c r="AG2269" s="728"/>
      <c r="AH2269" s="133">
        <f>SUM(AF2269,R2269)</f>
        <v>0</v>
      </c>
      <c r="AI2269" s="728"/>
      <c r="AJ2269" s="65"/>
      <c r="AV2269" s="56"/>
    </row>
    <row r="2270" spans="2:48" ht="12.75" hidden="1" customHeight="1" outlineLevel="2" thickBot="1">
      <c r="B2270" s="82"/>
      <c r="C2270" s="1234"/>
      <c r="D2270" s="1234"/>
      <c r="E2270" s="84">
        <f>'Terms and Turnovers'!$AN$12</f>
        <v>0</v>
      </c>
      <c r="F2270" s="70">
        <f>F1555/'Terms and Turnovers'!$AN146</f>
        <v>0</v>
      </c>
      <c r="G2270" s="728"/>
      <c r="H2270" s="70">
        <f>H1555/'Terms and Turnovers'!$AN146</f>
        <v>0</v>
      </c>
      <c r="I2270" s="728"/>
      <c r="J2270" s="70">
        <f>J1555/'Terms and Turnovers'!$AN146</f>
        <v>0</v>
      </c>
      <c r="K2270" s="728"/>
      <c r="L2270" s="70">
        <f>L1555/'Terms and Turnovers'!$AN146</f>
        <v>0</v>
      </c>
      <c r="M2270" s="728"/>
      <c r="N2270" s="70">
        <f>N1555/'Terms and Turnovers'!$AN146</f>
        <v>0</v>
      </c>
      <c r="O2270" s="728"/>
      <c r="P2270" s="70">
        <f>P1555/'Terms and Turnovers'!$AN146</f>
        <v>0</v>
      </c>
      <c r="Q2270" s="728"/>
      <c r="R2270" s="132">
        <f>SUM(F2270,H2270,J2270,L2270,N2270,P2270)</f>
        <v>0</v>
      </c>
      <c r="S2270" s="728"/>
      <c r="T2270" s="70">
        <f>T1555/'Terms and Turnovers'!$AN146</f>
        <v>0</v>
      </c>
      <c r="U2270" s="728"/>
      <c r="V2270" s="70">
        <f>V1555/'Terms and Turnovers'!$AN146</f>
        <v>0</v>
      </c>
      <c r="W2270" s="728"/>
      <c r="X2270" s="70">
        <f>X1555/'Terms and Turnovers'!$AN146</f>
        <v>0</v>
      </c>
      <c r="Y2270" s="728"/>
      <c r="Z2270" s="70">
        <f>Z1555/'Terms and Turnovers'!$AN146</f>
        <v>0</v>
      </c>
      <c r="AA2270" s="728"/>
      <c r="AB2270" s="70">
        <f>AB1555/'Terms and Turnovers'!$AN146</f>
        <v>0</v>
      </c>
      <c r="AC2270" s="728"/>
      <c r="AD2270" s="70">
        <f>AD1555/'Terms and Turnovers'!$AN146</f>
        <v>0</v>
      </c>
      <c r="AE2270" s="728"/>
      <c r="AF2270" s="132">
        <f>SUM(T2270,V2270,X2270,Z2270,AB2270,AD2270)</f>
        <v>0</v>
      </c>
      <c r="AG2270" s="728"/>
      <c r="AH2270" s="133">
        <f>SUM(AF2270,R2270)</f>
        <v>0</v>
      </c>
      <c r="AI2270" s="728"/>
      <c r="AJ2270" s="65"/>
      <c r="AV2270" s="56"/>
    </row>
    <row r="2271" spans="2:48" ht="13.5" hidden="1" customHeight="1" outlineLevel="2" thickBot="1">
      <c r="B2271" s="82"/>
      <c r="C2271" s="1235"/>
      <c r="D2271" s="1235"/>
      <c r="E2271" s="85">
        <f>'Terms and Turnovers'!$AX$12</f>
        <v>0</v>
      </c>
      <c r="F2271" s="68">
        <f>F1556/'Terms and Turnovers'!$AX146</f>
        <v>0</v>
      </c>
      <c r="G2271" s="107"/>
      <c r="H2271" s="68">
        <f>H1556/'Terms and Turnovers'!$AX146</f>
        <v>0</v>
      </c>
      <c r="I2271" s="107"/>
      <c r="J2271" s="68">
        <f>J1556/'Terms and Turnovers'!$AX146</f>
        <v>0</v>
      </c>
      <c r="K2271" s="107"/>
      <c r="L2271" s="68">
        <f>L1556/'Terms and Turnovers'!$AX146</f>
        <v>0</v>
      </c>
      <c r="M2271" s="107"/>
      <c r="N2271" s="68">
        <f>N1556/'Terms and Turnovers'!$AX146</f>
        <v>0</v>
      </c>
      <c r="O2271" s="107"/>
      <c r="P2271" s="68">
        <f>P1556/'Terms and Turnovers'!$AX146</f>
        <v>0</v>
      </c>
      <c r="Q2271" s="107"/>
      <c r="R2271" s="135">
        <f>SUM(F2271,H2271,J2271,L2271,N2271,P2271)</f>
        <v>0</v>
      </c>
      <c r="S2271" s="107"/>
      <c r="T2271" s="68">
        <f>T1556/'Terms and Turnovers'!$AX146</f>
        <v>0</v>
      </c>
      <c r="U2271" s="107"/>
      <c r="V2271" s="68">
        <f>V1556/'Terms and Turnovers'!$AX146</f>
        <v>0</v>
      </c>
      <c r="W2271" s="107"/>
      <c r="X2271" s="68">
        <f>X1556/'Terms and Turnovers'!$AX146</f>
        <v>0</v>
      </c>
      <c r="Y2271" s="107"/>
      <c r="Z2271" s="68">
        <f>Z1556/'Terms and Turnovers'!$AX146</f>
        <v>0</v>
      </c>
      <c r="AA2271" s="107"/>
      <c r="AB2271" s="68">
        <f>AB1556/'Terms and Turnovers'!$AX146</f>
        <v>0</v>
      </c>
      <c r="AC2271" s="107"/>
      <c r="AD2271" s="68">
        <f>AD1556/'Terms and Turnovers'!$AX146</f>
        <v>0</v>
      </c>
      <c r="AE2271" s="107"/>
      <c r="AF2271" s="135">
        <f>SUM(T2271,V2271,X2271,Z2271,AB2271,AD2271)</f>
        <v>0</v>
      </c>
      <c r="AG2271" s="107"/>
      <c r="AH2271" s="136">
        <f>SUM(AF2271,R2271)</f>
        <v>0</v>
      </c>
      <c r="AI2271" s="107"/>
      <c r="AJ2271" s="65"/>
      <c r="AV2271" s="56"/>
    </row>
    <row r="2272" spans="2:48" ht="13.5" hidden="1" customHeight="1" outlineLevel="2">
      <c r="B2272" s="82"/>
      <c r="C2272" s="425"/>
      <c r="D2272" s="425"/>
      <c r="E2272" s="634"/>
      <c r="F2272" s="635"/>
      <c r="G2272" s="428"/>
      <c r="H2272" s="635"/>
      <c r="I2272" s="428"/>
      <c r="J2272" s="635"/>
      <c r="K2272" s="636"/>
      <c r="L2272" s="635"/>
      <c r="M2272" s="636"/>
      <c r="N2272" s="635"/>
      <c r="O2272" s="636"/>
      <c r="P2272" s="635"/>
      <c r="Q2272" s="636"/>
      <c r="R2272" s="637"/>
      <c r="S2272" s="698">
        <f>SUM(R1552:R1556)/1.18-(SUM(R2267:R2271)*'Mark Up Validation'!$M$175)</f>
        <v>0</v>
      </c>
      <c r="T2272" s="635"/>
      <c r="U2272" s="636"/>
      <c r="V2272" s="635"/>
      <c r="W2272" s="636"/>
      <c r="X2272" s="635"/>
      <c r="Y2272" s="636"/>
      <c r="Z2272" s="635"/>
      <c r="AA2272" s="636"/>
      <c r="AB2272" s="635"/>
      <c r="AC2272" s="636"/>
      <c r="AD2272" s="635"/>
      <c r="AE2272" s="636"/>
      <c r="AF2272" s="637"/>
      <c r="AG2272" s="698">
        <f>SUM(AF1552:AF1556)/1.18-SUM(AF2267:AF2271)*'Mark Up Validation'!$M$175</f>
        <v>0</v>
      </c>
      <c r="AH2272" s="638"/>
      <c r="AI2272" s="698">
        <f>SUM(AH1552:AH1556)/1.18-SUM(AH2267:AH2271)*'Mark Up Validation'!$M$175</f>
        <v>0</v>
      </c>
      <c r="AJ2272" s="65"/>
      <c r="AV2272" s="56"/>
    </row>
    <row r="2273" spans="2:48" ht="13.5" hidden="1" customHeight="1" outlineLevel="2" thickBot="1">
      <c r="B2273" s="82"/>
      <c r="C2273" s="1228" t="s">
        <v>538</v>
      </c>
      <c r="D2273" s="1229"/>
      <c r="E2273" s="699"/>
      <c r="F2273" s="700"/>
      <c r="G2273" s="701"/>
      <c r="H2273" s="700"/>
      <c r="I2273" s="701"/>
      <c r="J2273" s="700"/>
      <c r="K2273" s="702"/>
      <c r="L2273" s="700"/>
      <c r="M2273" s="702"/>
      <c r="N2273" s="700"/>
      <c r="O2273" s="702"/>
      <c r="P2273" s="700"/>
      <c r="Q2273" s="702"/>
      <c r="R2273" s="703"/>
      <c r="S2273" s="729">
        <f>IF(S2272&gt;0,S2272/(SUM(R1552:R1556)/1.18),0)</f>
        <v>0</v>
      </c>
      <c r="T2273" s="700"/>
      <c r="U2273" s="702"/>
      <c r="V2273" s="700"/>
      <c r="W2273" s="702"/>
      <c r="X2273" s="700"/>
      <c r="Y2273" s="702"/>
      <c r="Z2273" s="700"/>
      <c r="AA2273" s="702"/>
      <c r="AB2273" s="700"/>
      <c r="AC2273" s="702"/>
      <c r="AD2273" s="700"/>
      <c r="AE2273" s="702"/>
      <c r="AF2273" s="705"/>
      <c r="AG2273" s="729">
        <f>IF(AG2272&gt;0,AG2272/(SUM(AF1552:AF1556)/1.18),0)</f>
        <v>0</v>
      </c>
      <c r="AH2273" s="706"/>
      <c r="AI2273" s="729">
        <f>IF(AI2272&gt;0,AI2272/(SUM(AH1552:AH1556)/1.18),0)</f>
        <v>0</v>
      </c>
      <c r="AJ2273" s="65"/>
      <c r="AV2273" s="56"/>
    </row>
    <row r="2274" spans="2:48" ht="12.75" hidden="1" customHeight="1" outlineLevel="2">
      <c r="B2274" s="82">
        <f>B2267+1</f>
        <v>16</v>
      </c>
      <c r="C2274" s="1233">
        <f>C1559</f>
        <v>0</v>
      </c>
      <c r="D2274" s="1233">
        <f>D1559</f>
        <v>0</v>
      </c>
      <c r="E2274" s="83" t="str">
        <f>'Terms and Turnovers'!$J$12</f>
        <v>FLIP-FLOPS</v>
      </c>
      <c r="F2274" s="68">
        <f>F1559/'Terms and Turnovers'!$J147</f>
        <v>0</v>
      </c>
      <c r="G2274" s="106"/>
      <c r="H2274" s="68">
        <f>H1559/'Terms and Turnovers'!$J147</f>
        <v>0</v>
      </c>
      <c r="I2274" s="106"/>
      <c r="J2274" s="68">
        <f>J1559/'Terms and Turnovers'!$J147</f>
        <v>0</v>
      </c>
      <c r="K2274" s="106"/>
      <c r="L2274" s="68">
        <f>L1559/'Terms and Turnovers'!$J147</f>
        <v>0</v>
      </c>
      <c r="M2274" s="106"/>
      <c r="N2274" s="68">
        <f>N1559/'Terms and Turnovers'!$J147</f>
        <v>0</v>
      </c>
      <c r="O2274" s="106"/>
      <c r="P2274" s="68">
        <f>P1559/'Terms and Turnovers'!$J147</f>
        <v>0</v>
      </c>
      <c r="Q2274" s="106"/>
      <c r="R2274" s="129">
        <f>SUM(F2274,H2274,J2274,L2274,N2274,P2274)</f>
        <v>0</v>
      </c>
      <c r="S2274" s="106"/>
      <c r="T2274" s="68">
        <f>T1559/'Terms and Turnovers'!$J147</f>
        <v>0</v>
      </c>
      <c r="U2274" s="106"/>
      <c r="V2274" s="68">
        <f>V1559/'Terms and Turnovers'!$J147</f>
        <v>0</v>
      </c>
      <c r="W2274" s="106"/>
      <c r="X2274" s="68">
        <f>X1559/'Terms and Turnovers'!$J147</f>
        <v>0</v>
      </c>
      <c r="Y2274" s="106"/>
      <c r="Z2274" s="68">
        <f>Z1559/'Terms and Turnovers'!$J147</f>
        <v>0</v>
      </c>
      <c r="AA2274" s="106"/>
      <c r="AB2274" s="68">
        <f>AB1559/'Terms and Turnovers'!$J147</f>
        <v>0</v>
      </c>
      <c r="AC2274" s="106"/>
      <c r="AD2274" s="68">
        <f>AD1559/'Terms and Turnovers'!$J147</f>
        <v>0</v>
      </c>
      <c r="AE2274" s="106"/>
      <c r="AF2274" s="129">
        <f>SUM(T2274,V2274,X2274,Z2274,AB2274,AD2274)</f>
        <v>0</v>
      </c>
      <c r="AG2274" s="106"/>
      <c r="AH2274" s="130">
        <f>SUM(AF2274,R2274)</f>
        <v>0</v>
      </c>
      <c r="AI2274" s="106"/>
      <c r="AJ2274" s="65"/>
      <c r="AV2274" s="56"/>
    </row>
    <row r="2275" spans="2:48" ht="12.75" hidden="1" customHeight="1" outlineLevel="2" thickBot="1">
      <c r="B2275" s="82"/>
      <c r="C2275" s="1234"/>
      <c r="D2275" s="1234"/>
      <c r="E2275" s="84" t="str">
        <f>'Terms and Turnovers'!$T$12</f>
        <v>ORIGINALS</v>
      </c>
      <c r="F2275" s="70">
        <f>F1560/'Terms and Turnovers'!$T147</f>
        <v>0</v>
      </c>
      <c r="G2275" s="728"/>
      <c r="H2275" s="70">
        <f>H1560/'Terms and Turnovers'!$T147</f>
        <v>0</v>
      </c>
      <c r="I2275" s="728"/>
      <c r="J2275" s="70">
        <f>J1560/'Terms and Turnovers'!$T147</f>
        <v>0</v>
      </c>
      <c r="K2275" s="728"/>
      <c r="L2275" s="70">
        <f>L1560/'Terms and Turnovers'!$T147</f>
        <v>0</v>
      </c>
      <c r="M2275" s="728"/>
      <c r="N2275" s="70">
        <f>N1560/'Terms and Turnovers'!$T147</f>
        <v>0</v>
      </c>
      <c r="O2275" s="728"/>
      <c r="P2275" s="70">
        <f>P1560/'Terms and Turnovers'!$T147</f>
        <v>0</v>
      </c>
      <c r="Q2275" s="728"/>
      <c r="R2275" s="132">
        <f>SUM(F2275,H2275,J2275,L2275,N2275,P2275)</f>
        <v>0</v>
      </c>
      <c r="S2275" s="728"/>
      <c r="T2275" s="70">
        <f>T1560/'Terms and Turnovers'!$T147</f>
        <v>0</v>
      </c>
      <c r="U2275" s="728"/>
      <c r="V2275" s="70">
        <f>V1560/'Terms and Turnovers'!$T147</f>
        <v>0</v>
      </c>
      <c r="W2275" s="728"/>
      <c r="X2275" s="70">
        <f>X1560/'Terms and Turnovers'!$T147</f>
        <v>0</v>
      </c>
      <c r="Y2275" s="728"/>
      <c r="Z2275" s="70">
        <f>Z1560/'Terms and Turnovers'!$T147</f>
        <v>0</v>
      </c>
      <c r="AA2275" s="728"/>
      <c r="AB2275" s="70">
        <f>AB1560/'Terms and Turnovers'!$T147</f>
        <v>0</v>
      </c>
      <c r="AC2275" s="728"/>
      <c r="AD2275" s="70">
        <f>AD1560/'Terms and Turnovers'!$T147</f>
        <v>0</v>
      </c>
      <c r="AE2275" s="728"/>
      <c r="AF2275" s="132">
        <f>SUM(T2275,V2275,X2275,Z2275,AB2275,AD2275)</f>
        <v>0</v>
      </c>
      <c r="AG2275" s="728"/>
      <c r="AH2275" s="133">
        <f>SUM(AF2275,R2275)</f>
        <v>0</v>
      </c>
      <c r="AI2275" s="728"/>
      <c r="AJ2275" s="65"/>
      <c r="AV2275" s="56"/>
    </row>
    <row r="2276" spans="2:48" ht="12.75" hidden="1" customHeight="1" outlineLevel="2">
      <c r="B2276" s="82"/>
      <c r="C2276" s="1234"/>
      <c r="D2276" s="1234"/>
      <c r="E2276" s="84" t="str">
        <f>'Terms and Turnovers'!$AD$12</f>
        <v>ACCESSORIES</v>
      </c>
      <c r="F2276" s="68">
        <f>F1561/'Terms and Turnovers'!$AD147</f>
        <v>0</v>
      </c>
      <c r="G2276" s="728"/>
      <c r="H2276" s="68">
        <f>H1561/'Terms and Turnovers'!$AD147</f>
        <v>0</v>
      </c>
      <c r="I2276" s="728"/>
      <c r="J2276" s="68">
        <f>J1561/'Terms and Turnovers'!$AD147</f>
        <v>0</v>
      </c>
      <c r="K2276" s="728"/>
      <c r="L2276" s="68">
        <f>L1561/'Terms and Turnovers'!$AD147</f>
        <v>0</v>
      </c>
      <c r="M2276" s="728"/>
      <c r="N2276" s="68">
        <f>N1561/'Terms and Turnovers'!$AD147</f>
        <v>0</v>
      </c>
      <c r="O2276" s="728"/>
      <c r="P2276" s="68">
        <f>P1561/'Terms and Turnovers'!$AD147</f>
        <v>0</v>
      </c>
      <c r="Q2276" s="728"/>
      <c r="R2276" s="132">
        <f>SUM(F2276,H2276,J2276,L2276,N2276,P2276)</f>
        <v>0</v>
      </c>
      <c r="S2276" s="728"/>
      <c r="T2276" s="68">
        <f>T1561/'Terms and Turnovers'!$AD147</f>
        <v>0</v>
      </c>
      <c r="U2276" s="728"/>
      <c r="V2276" s="68">
        <f>V1561/'Terms and Turnovers'!$AD147</f>
        <v>0</v>
      </c>
      <c r="W2276" s="728"/>
      <c r="X2276" s="68">
        <f>X1561/'Terms and Turnovers'!$AD147</f>
        <v>0</v>
      </c>
      <c r="Y2276" s="728"/>
      <c r="Z2276" s="68">
        <f>Z1561/'Terms and Turnovers'!$AD147</f>
        <v>0</v>
      </c>
      <c r="AA2276" s="728"/>
      <c r="AB2276" s="68">
        <f>AB1561/'Terms and Turnovers'!$AD147</f>
        <v>0</v>
      </c>
      <c r="AC2276" s="728"/>
      <c r="AD2276" s="68">
        <f>AD1561/'Terms and Turnovers'!$AD147</f>
        <v>0</v>
      </c>
      <c r="AE2276" s="728"/>
      <c r="AF2276" s="132">
        <f>SUM(T2276,V2276,X2276,Z2276,AB2276,AD2276)</f>
        <v>0</v>
      </c>
      <c r="AG2276" s="728"/>
      <c r="AH2276" s="133">
        <f>SUM(AF2276,R2276)</f>
        <v>0</v>
      </c>
      <c r="AI2276" s="728"/>
      <c r="AJ2276" s="65"/>
      <c r="AV2276" s="56"/>
    </row>
    <row r="2277" spans="2:48" ht="12.75" hidden="1" customHeight="1" outlineLevel="2" thickBot="1">
      <c r="B2277" s="82"/>
      <c r="C2277" s="1234"/>
      <c r="D2277" s="1234"/>
      <c r="E2277" s="84">
        <f>'Terms and Turnovers'!$AN$12</f>
        <v>0</v>
      </c>
      <c r="F2277" s="70">
        <f>F1562/'Terms and Turnovers'!$AN147</f>
        <v>0</v>
      </c>
      <c r="G2277" s="728"/>
      <c r="H2277" s="70">
        <f>H1562/'Terms and Turnovers'!$AN147</f>
        <v>0</v>
      </c>
      <c r="I2277" s="728"/>
      <c r="J2277" s="70">
        <f>J1562/'Terms and Turnovers'!$AN147</f>
        <v>0</v>
      </c>
      <c r="K2277" s="728"/>
      <c r="L2277" s="70">
        <f>L1562/'Terms and Turnovers'!$AN147</f>
        <v>0</v>
      </c>
      <c r="M2277" s="728"/>
      <c r="N2277" s="70">
        <f>N1562/'Terms and Turnovers'!$AN147</f>
        <v>0</v>
      </c>
      <c r="O2277" s="728"/>
      <c r="P2277" s="70">
        <f>P1562/'Terms and Turnovers'!$AN147</f>
        <v>0</v>
      </c>
      <c r="Q2277" s="728"/>
      <c r="R2277" s="132">
        <f>SUM(F2277,H2277,J2277,L2277,N2277,P2277)</f>
        <v>0</v>
      </c>
      <c r="S2277" s="728"/>
      <c r="T2277" s="70">
        <f>T1562/'Terms and Turnovers'!$AN147</f>
        <v>0</v>
      </c>
      <c r="U2277" s="728"/>
      <c r="V2277" s="70">
        <f>V1562/'Terms and Turnovers'!$AN147</f>
        <v>0</v>
      </c>
      <c r="W2277" s="728"/>
      <c r="X2277" s="70">
        <f>X1562/'Terms and Turnovers'!$AN147</f>
        <v>0</v>
      </c>
      <c r="Y2277" s="728"/>
      <c r="Z2277" s="70">
        <f>Z1562/'Terms and Turnovers'!$AN147</f>
        <v>0</v>
      </c>
      <c r="AA2277" s="728"/>
      <c r="AB2277" s="70">
        <f>AB1562/'Terms and Turnovers'!$AN147</f>
        <v>0</v>
      </c>
      <c r="AC2277" s="728"/>
      <c r="AD2277" s="70">
        <f>AD1562/'Terms and Turnovers'!$AN147</f>
        <v>0</v>
      </c>
      <c r="AE2277" s="728"/>
      <c r="AF2277" s="132">
        <f>SUM(T2277,V2277,X2277,Z2277,AB2277,AD2277)</f>
        <v>0</v>
      </c>
      <c r="AG2277" s="728"/>
      <c r="AH2277" s="133">
        <f>SUM(AF2277,R2277)</f>
        <v>0</v>
      </c>
      <c r="AI2277" s="728"/>
      <c r="AJ2277" s="65"/>
      <c r="AV2277" s="56"/>
    </row>
    <row r="2278" spans="2:48" ht="13.5" hidden="1" customHeight="1" outlineLevel="2" thickBot="1">
      <c r="B2278" s="82"/>
      <c r="C2278" s="1235"/>
      <c r="D2278" s="1235"/>
      <c r="E2278" s="85">
        <f>'Terms and Turnovers'!$AX$12</f>
        <v>0</v>
      </c>
      <c r="F2278" s="68">
        <f>F1563/'Terms and Turnovers'!$AX147</f>
        <v>0</v>
      </c>
      <c r="G2278" s="107"/>
      <c r="H2278" s="68">
        <f>H1563/'Terms and Turnovers'!$AX147</f>
        <v>0</v>
      </c>
      <c r="I2278" s="107"/>
      <c r="J2278" s="68">
        <f>J1563/'Terms and Turnovers'!$AX147</f>
        <v>0</v>
      </c>
      <c r="K2278" s="107"/>
      <c r="L2278" s="68">
        <f>L1563/'Terms and Turnovers'!$AX147</f>
        <v>0</v>
      </c>
      <c r="M2278" s="107"/>
      <c r="N2278" s="68">
        <f>N1563/'Terms and Turnovers'!$AX147</f>
        <v>0</v>
      </c>
      <c r="O2278" s="107"/>
      <c r="P2278" s="68">
        <f>P1563/'Terms and Turnovers'!$AX147</f>
        <v>0</v>
      </c>
      <c r="Q2278" s="107"/>
      <c r="R2278" s="135">
        <f>SUM(F2278,H2278,J2278,L2278,N2278,P2278)</f>
        <v>0</v>
      </c>
      <c r="S2278" s="107"/>
      <c r="T2278" s="68">
        <f>T1563/'Terms and Turnovers'!$AX147</f>
        <v>0</v>
      </c>
      <c r="U2278" s="107"/>
      <c r="V2278" s="68">
        <f>V1563/'Terms and Turnovers'!$AX147</f>
        <v>0</v>
      </c>
      <c r="W2278" s="107"/>
      <c r="X2278" s="68">
        <f>X1563/'Terms and Turnovers'!$AX147</f>
        <v>0</v>
      </c>
      <c r="Y2278" s="107"/>
      <c r="Z2278" s="68">
        <f>Z1563/'Terms and Turnovers'!$AX147</f>
        <v>0</v>
      </c>
      <c r="AA2278" s="107"/>
      <c r="AB2278" s="68">
        <f>AB1563/'Terms and Turnovers'!$AX147</f>
        <v>0</v>
      </c>
      <c r="AC2278" s="107"/>
      <c r="AD2278" s="68">
        <f>AD1563/'Terms and Turnovers'!$AX147</f>
        <v>0</v>
      </c>
      <c r="AE2278" s="107"/>
      <c r="AF2278" s="135">
        <f>SUM(T2278,V2278,X2278,Z2278,AB2278,AD2278)</f>
        <v>0</v>
      </c>
      <c r="AG2278" s="107"/>
      <c r="AH2278" s="136">
        <f>SUM(AF2278,R2278)</f>
        <v>0</v>
      </c>
      <c r="AI2278" s="107"/>
      <c r="AJ2278" s="65"/>
      <c r="AV2278" s="56"/>
    </row>
    <row r="2279" spans="2:48" ht="13.5" hidden="1" customHeight="1" outlineLevel="2">
      <c r="B2279" s="82"/>
      <c r="C2279" s="425"/>
      <c r="D2279" s="425"/>
      <c r="E2279" s="634"/>
      <c r="F2279" s="635"/>
      <c r="G2279" s="428"/>
      <c r="H2279" s="635"/>
      <c r="I2279" s="428"/>
      <c r="J2279" s="635"/>
      <c r="K2279" s="636"/>
      <c r="L2279" s="635"/>
      <c r="M2279" s="636"/>
      <c r="N2279" s="635"/>
      <c r="O2279" s="636"/>
      <c r="P2279" s="635"/>
      <c r="Q2279" s="636"/>
      <c r="R2279" s="637"/>
      <c r="S2279" s="698">
        <f>SUM(R1559:R1563)/1.18-(SUM(R2274:R2278)*'Mark Up Validation'!$M$175)</f>
        <v>0</v>
      </c>
      <c r="T2279" s="635"/>
      <c r="U2279" s="636"/>
      <c r="V2279" s="635"/>
      <c r="W2279" s="636"/>
      <c r="X2279" s="635"/>
      <c r="Y2279" s="636"/>
      <c r="Z2279" s="635"/>
      <c r="AA2279" s="636"/>
      <c r="AB2279" s="635"/>
      <c r="AC2279" s="636"/>
      <c r="AD2279" s="635"/>
      <c r="AE2279" s="636"/>
      <c r="AF2279" s="637"/>
      <c r="AG2279" s="698">
        <f>SUM(AF1559:AF1563)/1.18-SUM(AF2274:AF2278)*'Mark Up Validation'!$M$175</f>
        <v>0</v>
      </c>
      <c r="AH2279" s="638"/>
      <c r="AI2279" s="698">
        <f>SUM(AH1559:AH1563)/1.18-SUM(AH2274:AH2278)*'Mark Up Validation'!$M$175</f>
        <v>0</v>
      </c>
      <c r="AJ2279" s="65"/>
      <c r="AV2279" s="56"/>
    </row>
    <row r="2280" spans="2:48" ht="13.5" hidden="1" customHeight="1" outlineLevel="2" thickBot="1">
      <c r="B2280" s="82"/>
      <c r="C2280" s="1228" t="s">
        <v>538</v>
      </c>
      <c r="D2280" s="1229"/>
      <c r="E2280" s="699"/>
      <c r="F2280" s="700"/>
      <c r="G2280" s="701"/>
      <c r="H2280" s="700"/>
      <c r="I2280" s="701"/>
      <c r="J2280" s="700"/>
      <c r="K2280" s="702"/>
      <c r="L2280" s="700"/>
      <c r="M2280" s="702"/>
      <c r="N2280" s="700"/>
      <c r="O2280" s="702"/>
      <c r="P2280" s="700"/>
      <c r="Q2280" s="702"/>
      <c r="R2280" s="703"/>
      <c r="S2280" s="729">
        <f>IF(S2279&gt;0,S2279/(SUM(R1559:R1563)/1.18),0)</f>
        <v>0</v>
      </c>
      <c r="T2280" s="700"/>
      <c r="U2280" s="702"/>
      <c r="V2280" s="700"/>
      <c r="W2280" s="702"/>
      <c r="X2280" s="700"/>
      <c r="Y2280" s="702"/>
      <c r="Z2280" s="700"/>
      <c r="AA2280" s="702"/>
      <c r="AB2280" s="700"/>
      <c r="AC2280" s="702"/>
      <c r="AD2280" s="700"/>
      <c r="AE2280" s="702"/>
      <c r="AF2280" s="705"/>
      <c r="AG2280" s="729">
        <f>IF(AG2279&gt;0,AG2279/(SUM(AF1559:AF1563)/1.18),0)</f>
        <v>0</v>
      </c>
      <c r="AH2280" s="706"/>
      <c r="AI2280" s="729">
        <f>IF(AI2279&gt;0,AI2279/(SUM(AH1559:AH1563)/1.18),0)</f>
        <v>0</v>
      </c>
      <c r="AJ2280" s="65"/>
      <c r="AV2280" s="56"/>
    </row>
    <row r="2281" spans="2:48" ht="12.75" hidden="1" customHeight="1" outlineLevel="2">
      <c r="B2281" s="82">
        <f>B2274+1</f>
        <v>17</v>
      </c>
      <c r="C2281" s="1233">
        <f>C1566</f>
        <v>0</v>
      </c>
      <c r="D2281" s="1233">
        <f>D1566</f>
        <v>0</v>
      </c>
      <c r="E2281" s="83" t="str">
        <f>'Terms and Turnovers'!$J$12</f>
        <v>FLIP-FLOPS</v>
      </c>
      <c r="F2281" s="68">
        <f>F1566/'Terms and Turnovers'!$J148</f>
        <v>0</v>
      </c>
      <c r="G2281" s="106"/>
      <c r="H2281" s="68">
        <f>H1566/'Terms and Turnovers'!$J148</f>
        <v>0</v>
      </c>
      <c r="I2281" s="106"/>
      <c r="J2281" s="68">
        <f>J1566/'Terms and Turnovers'!$J148</f>
        <v>0</v>
      </c>
      <c r="K2281" s="106"/>
      <c r="L2281" s="68">
        <f>L1566/'Terms and Turnovers'!$J148</f>
        <v>0</v>
      </c>
      <c r="M2281" s="106"/>
      <c r="N2281" s="68">
        <f>N1566/'Terms and Turnovers'!$J148</f>
        <v>0</v>
      </c>
      <c r="O2281" s="106"/>
      <c r="P2281" s="68">
        <f>P1566/'Terms and Turnovers'!$J148</f>
        <v>0</v>
      </c>
      <c r="Q2281" s="106"/>
      <c r="R2281" s="129">
        <f>SUM(F2281,H2281,J2281,L2281,N2281,P2281)</f>
        <v>0</v>
      </c>
      <c r="S2281" s="106"/>
      <c r="T2281" s="68">
        <f>T1566/'Terms and Turnovers'!$J148</f>
        <v>0</v>
      </c>
      <c r="U2281" s="106"/>
      <c r="V2281" s="68">
        <f>V1566/'Terms and Turnovers'!$J148</f>
        <v>0</v>
      </c>
      <c r="W2281" s="106"/>
      <c r="X2281" s="68">
        <f>X1566/'Terms and Turnovers'!$J148</f>
        <v>0</v>
      </c>
      <c r="Y2281" s="106"/>
      <c r="Z2281" s="68">
        <f>Z1566/'Terms and Turnovers'!$J148</f>
        <v>0</v>
      </c>
      <c r="AA2281" s="106"/>
      <c r="AB2281" s="68">
        <f>AB1566/'Terms and Turnovers'!$J148</f>
        <v>0</v>
      </c>
      <c r="AC2281" s="106"/>
      <c r="AD2281" s="68">
        <f>AD1566/'Terms and Turnovers'!$J148</f>
        <v>0</v>
      </c>
      <c r="AE2281" s="106"/>
      <c r="AF2281" s="129">
        <f>SUM(T2281,V2281,X2281,Z2281,AB2281,AD2281)</f>
        <v>0</v>
      </c>
      <c r="AG2281" s="106"/>
      <c r="AH2281" s="130">
        <f>SUM(AF2281,R2281)</f>
        <v>0</v>
      </c>
      <c r="AI2281" s="106"/>
      <c r="AJ2281" s="65"/>
      <c r="AV2281" s="56"/>
    </row>
    <row r="2282" spans="2:48" ht="12.75" hidden="1" customHeight="1" outlineLevel="2" thickBot="1">
      <c r="B2282" s="82"/>
      <c r="C2282" s="1234"/>
      <c r="D2282" s="1234"/>
      <c r="E2282" s="84" t="str">
        <f>'Terms and Turnovers'!$T$12</f>
        <v>ORIGINALS</v>
      </c>
      <c r="F2282" s="70">
        <f>F1567/'Terms and Turnovers'!$T148</f>
        <v>0</v>
      </c>
      <c r="G2282" s="728"/>
      <c r="H2282" s="70">
        <f>H1567/'Terms and Turnovers'!$T148</f>
        <v>0</v>
      </c>
      <c r="I2282" s="728"/>
      <c r="J2282" s="70">
        <f>J1567/'Terms and Turnovers'!$T148</f>
        <v>0</v>
      </c>
      <c r="K2282" s="728"/>
      <c r="L2282" s="70">
        <f>L1567/'Terms and Turnovers'!$T148</f>
        <v>0</v>
      </c>
      <c r="M2282" s="728"/>
      <c r="N2282" s="70">
        <f>N1567/'Terms and Turnovers'!$T148</f>
        <v>0</v>
      </c>
      <c r="O2282" s="728"/>
      <c r="P2282" s="70">
        <f>P1567/'Terms and Turnovers'!$T148</f>
        <v>0</v>
      </c>
      <c r="Q2282" s="728"/>
      <c r="R2282" s="132">
        <f>SUM(F2282,H2282,J2282,L2282,N2282,P2282)</f>
        <v>0</v>
      </c>
      <c r="S2282" s="728"/>
      <c r="T2282" s="70">
        <f>T1567/'Terms and Turnovers'!$T148</f>
        <v>0</v>
      </c>
      <c r="U2282" s="728"/>
      <c r="V2282" s="70">
        <f>V1567/'Terms and Turnovers'!$T148</f>
        <v>0</v>
      </c>
      <c r="W2282" s="728"/>
      <c r="X2282" s="70">
        <f>X1567/'Terms and Turnovers'!$T148</f>
        <v>0</v>
      </c>
      <c r="Y2282" s="728"/>
      <c r="Z2282" s="70">
        <f>Z1567/'Terms and Turnovers'!$T148</f>
        <v>0</v>
      </c>
      <c r="AA2282" s="728"/>
      <c r="AB2282" s="70">
        <f>AB1567/'Terms and Turnovers'!$T148</f>
        <v>0</v>
      </c>
      <c r="AC2282" s="728"/>
      <c r="AD2282" s="70">
        <f>AD1567/'Terms and Turnovers'!$T148</f>
        <v>0</v>
      </c>
      <c r="AE2282" s="728"/>
      <c r="AF2282" s="132">
        <f>SUM(T2282,V2282,X2282,Z2282,AB2282,AD2282)</f>
        <v>0</v>
      </c>
      <c r="AG2282" s="728"/>
      <c r="AH2282" s="133">
        <f>SUM(AF2282,R2282)</f>
        <v>0</v>
      </c>
      <c r="AI2282" s="728"/>
      <c r="AJ2282" s="65"/>
      <c r="AV2282" s="56"/>
    </row>
    <row r="2283" spans="2:48" ht="12.75" hidden="1" customHeight="1" outlineLevel="2">
      <c r="B2283" s="82"/>
      <c r="C2283" s="1234"/>
      <c r="D2283" s="1234"/>
      <c r="E2283" s="84" t="str">
        <f>'Terms and Turnovers'!$AD$12</f>
        <v>ACCESSORIES</v>
      </c>
      <c r="F2283" s="68">
        <f>F1568/'Terms and Turnovers'!$AD148</f>
        <v>0</v>
      </c>
      <c r="G2283" s="728"/>
      <c r="H2283" s="68">
        <f>H1568/'Terms and Turnovers'!$AD148</f>
        <v>0</v>
      </c>
      <c r="I2283" s="728"/>
      <c r="J2283" s="68">
        <f>J1568/'Terms and Turnovers'!$AD148</f>
        <v>0</v>
      </c>
      <c r="K2283" s="728"/>
      <c r="L2283" s="68">
        <f>L1568/'Terms and Turnovers'!$AD148</f>
        <v>0</v>
      </c>
      <c r="M2283" s="728"/>
      <c r="N2283" s="68">
        <f>N1568/'Terms and Turnovers'!$AD148</f>
        <v>0</v>
      </c>
      <c r="O2283" s="728"/>
      <c r="P2283" s="68">
        <f>P1568/'Terms and Turnovers'!$AD148</f>
        <v>0</v>
      </c>
      <c r="Q2283" s="728"/>
      <c r="R2283" s="132">
        <f>SUM(F2283,H2283,J2283,L2283,N2283,P2283)</f>
        <v>0</v>
      </c>
      <c r="S2283" s="728"/>
      <c r="T2283" s="68">
        <f>T1568/'Terms and Turnovers'!$AD148</f>
        <v>0</v>
      </c>
      <c r="U2283" s="728"/>
      <c r="V2283" s="68">
        <f>V1568/'Terms and Turnovers'!$AD148</f>
        <v>0</v>
      </c>
      <c r="W2283" s="728"/>
      <c r="X2283" s="68">
        <f>X1568/'Terms and Turnovers'!$AD148</f>
        <v>0</v>
      </c>
      <c r="Y2283" s="728"/>
      <c r="Z2283" s="68">
        <f>Z1568/'Terms and Turnovers'!$AD148</f>
        <v>0</v>
      </c>
      <c r="AA2283" s="728"/>
      <c r="AB2283" s="68">
        <f>AB1568/'Terms and Turnovers'!$AD148</f>
        <v>0</v>
      </c>
      <c r="AC2283" s="728"/>
      <c r="AD2283" s="68">
        <f>AD1568/'Terms and Turnovers'!$AD148</f>
        <v>0</v>
      </c>
      <c r="AE2283" s="728"/>
      <c r="AF2283" s="132">
        <f>SUM(T2283,V2283,X2283,Z2283,AB2283,AD2283)</f>
        <v>0</v>
      </c>
      <c r="AG2283" s="728"/>
      <c r="AH2283" s="133">
        <f>SUM(AF2283,R2283)</f>
        <v>0</v>
      </c>
      <c r="AI2283" s="728"/>
      <c r="AJ2283" s="65"/>
      <c r="AV2283" s="56"/>
    </row>
    <row r="2284" spans="2:48" ht="12.75" hidden="1" customHeight="1" outlineLevel="2" thickBot="1">
      <c r="B2284" s="82"/>
      <c r="C2284" s="1234"/>
      <c r="D2284" s="1234"/>
      <c r="E2284" s="84">
        <f>'Terms and Turnovers'!$AN$12</f>
        <v>0</v>
      </c>
      <c r="F2284" s="70">
        <f>F1569/'Terms and Turnovers'!$AN148</f>
        <v>0</v>
      </c>
      <c r="G2284" s="728"/>
      <c r="H2284" s="70">
        <f>H1569/'Terms and Turnovers'!$AN148</f>
        <v>0</v>
      </c>
      <c r="I2284" s="728"/>
      <c r="J2284" s="70">
        <f>J1569/'Terms and Turnovers'!$AN148</f>
        <v>0</v>
      </c>
      <c r="K2284" s="728"/>
      <c r="L2284" s="70">
        <f>L1569/'Terms and Turnovers'!$AN148</f>
        <v>0</v>
      </c>
      <c r="M2284" s="728"/>
      <c r="N2284" s="70">
        <f>N1569/'Terms and Turnovers'!$AN148</f>
        <v>0</v>
      </c>
      <c r="O2284" s="728"/>
      <c r="P2284" s="70">
        <f>P1569/'Terms and Turnovers'!$AN148</f>
        <v>0</v>
      </c>
      <c r="Q2284" s="728"/>
      <c r="R2284" s="132">
        <f>SUM(F2284,H2284,J2284,L2284,N2284,P2284)</f>
        <v>0</v>
      </c>
      <c r="S2284" s="728"/>
      <c r="T2284" s="70">
        <f>T1569/'Terms and Turnovers'!$AN148</f>
        <v>0</v>
      </c>
      <c r="U2284" s="728"/>
      <c r="V2284" s="70">
        <f>V1569/'Terms and Turnovers'!$AN148</f>
        <v>0</v>
      </c>
      <c r="W2284" s="728"/>
      <c r="X2284" s="70">
        <f>X1569/'Terms and Turnovers'!$AN148</f>
        <v>0</v>
      </c>
      <c r="Y2284" s="728"/>
      <c r="Z2284" s="70">
        <f>Z1569/'Terms and Turnovers'!$AN148</f>
        <v>0</v>
      </c>
      <c r="AA2284" s="728"/>
      <c r="AB2284" s="70">
        <f>AB1569/'Terms and Turnovers'!$AN148</f>
        <v>0</v>
      </c>
      <c r="AC2284" s="728"/>
      <c r="AD2284" s="70">
        <f>AD1569/'Terms and Turnovers'!$AN148</f>
        <v>0</v>
      </c>
      <c r="AE2284" s="728"/>
      <c r="AF2284" s="132">
        <f>SUM(T2284,V2284,X2284,Z2284,AB2284,AD2284)</f>
        <v>0</v>
      </c>
      <c r="AG2284" s="728"/>
      <c r="AH2284" s="133">
        <f>SUM(AF2284,R2284)</f>
        <v>0</v>
      </c>
      <c r="AI2284" s="728"/>
      <c r="AJ2284" s="65"/>
      <c r="AV2284" s="56"/>
    </row>
    <row r="2285" spans="2:48" ht="13.5" hidden="1" customHeight="1" outlineLevel="2" thickBot="1">
      <c r="B2285" s="82"/>
      <c r="C2285" s="1235"/>
      <c r="D2285" s="1235"/>
      <c r="E2285" s="85">
        <f>'Terms and Turnovers'!$AX$12</f>
        <v>0</v>
      </c>
      <c r="F2285" s="68">
        <f>F1570/'Terms and Turnovers'!$AX148</f>
        <v>0</v>
      </c>
      <c r="G2285" s="107"/>
      <c r="H2285" s="68">
        <f>H1570/'Terms and Turnovers'!$AX148</f>
        <v>0</v>
      </c>
      <c r="I2285" s="107"/>
      <c r="J2285" s="68">
        <f>J1570/'Terms and Turnovers'!$AX148</f>
        <v>0</v>
      </c>
      <c r="K2285" s="107"/>
      <c r="L2285" s="68">
        <f>L1570/'Terms and Turnovers'!$AX148</f>
        <v>0</v>
      </c>
      <c r="M2285" s="107"/>
      <c r="N2285" s="68">
        <f>N1570/'Terms and Turnovers'!$AX148</f>
        <v>0</v>
      </c>
      <c r="O2285" s="107"/>
      <c r="P2285" s="68">
        <f>P1570/'Terms and Turnovers'!$AX148</f>
        <v>0</v>
      </c>
      <c r="Q2285" s="107"/>
      <c r="R2285" s="135">
        <f>SUM(F2285,H2285,J2285,L2285,N2285,P2285)</f>
        <v>0</v>
      </c>
      <c r="S2285" s="107"/>
      <c r="T2285" s="68">
        <f>T1570/'Terms and Turnovers'!$AX148</f>
        <v>0</v>
      </c>
      <c r="U2285" s="107"/>
      <c r="V2285" s="68">
        <f>V1570/'Terms and Turnovers'!$AX148</f>
        <v>0</v>
      </c>
      <c r="W2285" s="107"/>
      <c r="X2285" s="68">
        <f>X1570/'Terms and Turnovers'!$AX148</f>
        <v>0</v>
      </c>
      <c r="Y2285" s="107"/>
      <c r="Z2285" s="68">
        <f>Z1570/'Terms and Turnovers'!$AX148</f>
        <v>0</v>
      </c>
      <c r="AA2285" s="107"/>
      <c r="AB2285" s="68">
        <f>AB1570/'Terms and Turnovers'!$AX148</f>
        <v>0</v>
      </c>
      <c r="AC2285" s="107"/>
      <c r="AD2285" s="68">
        <f>AD1570/'Terms and Turnovers'!$AX148</f>
        <v>0</v>
      </c>
      <c r="AE2285" s="107"/>
      <c r="AF2285" s="135">
        <f>SUM(T2285,V2285,X2285,Z2285,AB2285,AD2285)</f>
        <v>0</v>
      </c>
      <c r="AG2285" s="107"/>
      <c r="AH2285" s="136">
        <f>SUM(AF2285,R2285)</f>
        <v>0</v>
      </c>
      <c r="AI2285" s="107"/>
      <c r="AJ2285" s="65"/>
      <c r="AV2285" s="56"/>
    </row>
    <row r="2286" spans="2:48" ht="13.5" hidden="1" customHeight="1" outlineLevel="2">
      <c r="B2286" s="82"/>
      <c r="C2286" s="425"/>
      <c r="D2286" s="425"/>
      <c r="E2286" s="634"/>
      <c r="F2286" s="635"/>
      <c r="G2286" s="428"/>
      <c r="H2286" s="635"/>
      <c r="I2286" s="428"/>
      <c r="J2286" s="635"/>
      <c r="K2286" s="636"/>
      <c r="L2286" s="635"/>
      <c r="M2286" s="636"/>
      <c r="N2286" s="635"/>
      <c r="O2286" s="636"/>
      <c r="P2286" s="635"/>
      <c r="Q2286" s="636"/>
      <c r="R2286" s="637"/>
      <c r="S2286" s="698">
        <f>SUM(R1566:R1570)/1.18-(SUM(R2281:R2285)*'Mark Up Validation'!$M$175)</f>
        <v>0</v>
      </c>
      <c r="T2286" s="635"/>
      <c r="U2286" s="636"/>
      <c r="V2286" s="635"/>
      <c r="W2286" s="636"/>
      <c r="X2286" s="635"/>
      <c r="Y2286" s="636"/>
      <c r="Z2286" s="635"/>
      <c r="AA2286" s="636"/>
      <c r="AB2286" s="635"/>
      <c r="AC2286" s="636"/>
      <c r="AD2286" s="635"/>
      <c r="AE2286" s="636"/>
      <c r="AF2286" s="637"/>
      <c r="AG2286" s="698">
        <f>SUM(AF1566:AF1570)/1.18-SUM(AF2281:AF2285)*'Mark Up Validation'!$M$175</f>
        <v>0</v>
      </c>
      <c r="AH2286" s="638"/>
      <c r="AI2286" s="698">
        <f>SUM(AH1566:AH1570)/1.18-SUM(AH2281:AH2285)*'Mark Up Validation'!$M$175</f>
        <v>0</v>
      </c>
      <c r="AJ2286" s="65"/>
      <c r="AV2286" s="56"/>
    </row>
    <row r="2287" spans="2:48" ht="13.5" hidden="1" customHeight="1" outlineLevel="2" thickBot="1">
      <c r="B2287" s="82"/>
      <c r="C2287" s="1228" t="s">
        <v>538</v>
      </c>
      <c r="D2287" s="1229"/>
      <c r="E2287" s="699"/>
      <c r="F2287" s="700"/>
      <c r="G2287" s="701"/>
      <c r="H2287" s="700"/>
      <c r="I2287" s="701"/>
      <c r="J2287" s="700"/>
      <c r="K2287" s="702"/>
      <c r="L2287" s="700"/>
      <c r="M2287" s="702"/>
      <c r="N2287" s="700"/>
      <c r="O2287" s="702"/>
      <c r="P2287" s="700"/>
      <c r="Q2287" s="702"/>
      <c r="R2287" s="703"/>
      <c r="S2287" s="729">
        <f>IF(S2286&gt;0,S2286/(SUM(R1566:R1570)/1.18),0)</f>
        <v>0</v>
      </c>
      <c r="T2287" s="700"/>
      <c r="U2287" s="702"/>
      <c r="V2287" s="700"/>
      <c r="W2287" s="702"/>
      <c r="X2287" s="700"/>
      <c r="Y2287" s="702"/>
      <c r="Z2287" s="700"/>
      <c r="AA2287" s="702"/>
      <c r="AB2287" s="700"/>
      <c r="AC2287" s="702"/>
      <c r="AD2287" s="700"/>
      <c r="AE2287" s="702"/>
      <c r="AF2287" s="705"/>
      <c r="AG2287" s="729">
        <f>IF(AG2286&gt;0,AG2286/(SUM(AF1566:AF1570)/1.18),0)</f>
        <v>0</v>
      </c>
      <c r="AH2287" s="706"/>
      <c r="AI2287" s="729">
        <f>IF(AI2286&gt;0,AI2286/(SUM(AH1566:AH1570)/1.18),0)</f>
        <v>0</v>
      </c>
      <c r="AJ2287" s="65"/>
      <c r="AV2287" s="56"/>
    </row>
    <row r="2288" spans="2:48" ht="12.75" hidden="1" customHeight="1" outlineLevel="2">
      <c r="B2288" s="82">
        <f>B2281+1</f>
        <v>18</v>
      </c>
      <c r="C2288" s="1233">
        <f>C1573</f>
        <v>0</v>
      </c>
      <c r="D2288" s="1233">
        <f>D1573</f>
        <v>0</v>
      </c>
      <c r="E2288" s="83" t="str">
        <f>'Terms and Turnovers'!$J$12</f>
        <v>FLIP-FLOPS</v>
      </c>
      <c r="F2288" s="68">
        <f>F1573/'Terms and Turnovers'!$J149</f>
        <v>0</v>
      </c>
      <c r="G2288" s="106"/>
      <c r="H2288" s="68">
        <f>H1573/'Terms and Turnovers'!$J149</f>
        <v>0</v>
      </c>
      <c r="I2288" s="106"/>
      <c r="J2288" s="68">
        <f>J1573/'Terms and Turnovers'!$J149</f>
        <v>0</v>
      </c>
      <c r="K2288" s="106"/>
      <c r="L2288" s="68">
        <f>L1573/'Terms and Turnovers'!$J149</f>
        <v>0</v>
      </c>
      <c r="M2288" s="106"/>
      <c r="N2288" s="68">
        <f>N1573/'Terms and Turnovers'!$J149</f>
        <v>0</v>
      </c>
      <c r="O2288" s="106"/>
      <c r="P2288" s="68">
        <f>P1573/'Terms and Turnovers'!$J149</f>
        <v>0</v>
      </c>
      <c r="Q2288" s="106"/>
      <c r="R2288" s="129">
        <f>SUM(F2288,H2288,J2288,L2288,N2288,P2288)</f>
        <v>0</v>
      </c>
      <c r="S2288" s="106"/>
      <c r="T2288" s="68">
        <f>T1573/'Terms and Turnovers'!$J149</f>
        <v>0</v>
      </c>
      <c r="U2288" s="106"/>
      <c r="V2288" s="68">
        <f>V1573/'Terms and Turnovers'!$J149</f>
        <v>0</v>
      </c>
      <c r="W2288" s="106"/>
      <c r="X2288" s="68">
        <f>X1573/'Terms and Turnovers'!$J149</f>
        <v>0</v>
      </c>
      <c r="Y2288" s="106"/>
      <c r="Z2288" s="68">
        <f>Z1573/'Terms and Turnovers'!$J149</f>
        <v>0</v>
      </c>
      <c r="AA2288" s="106"/>
      <c r="AB2288" s="68">
        <f>AB1573/'Terms and Turnovers'!$J149</f>
        <v>0</v>
      </c>
      <c r="AC2288" s="106"/>
      <c r="AD2288" s="68">
        <f>AD1573/'Terms and Turnovers'!$J149</f>
        <v>0</v>
      </c>
      <c r="AE2288" s="106"/>
      <c r="AF2288" s="129">
        <f>SUM(T2288,V2288,X2288,Z2288,AB2288,AD2288)</f>
        <v>0</v>
      </c>
      <c r="AG2288" s="106"/>
      <c r="AH2288" s="130">
        <f>SUM(AF2288,R2288)</f>
        <v>0</v>
      </c>
      <c r="AI2288" s="106"/>
      <c r="AJ2288" s="65"/>
      <c r="AV2288" s="56"/>
    </row>
    <row r="2289" spans="2:48" ht="12.75" hidden="1" customHeight="1" outlineLevel="2" thickBot="1">
      <c r="B2289" s="82"/>
      <c r="C2289" s="1234"/>
      <c r="D2289" s="1234"/>
      <c r="E2289" s="84" t="str">
        <f>'Terms and Turnovers'!$T$12</f>
        <v>ORIGINALS</v>
      </c>
      <c r="F2289" s="70">
        <f>F1574/'Terms and Turnovers'!$T149</f>
        <v>0</v>
      </c>
      <c r="G2289" s="728"/>
      <c r="H2289" s="70">
        <f>H1574/'Terms and Turnovers'!$T149</f>
        <v>0</v>
      </c>
      <c r="I2289" s="728"/>
      <c r="J2289" s="70">
        <f>J1574/'Terms and Turnovers'!$T149</f>
        <v>0</v>
      </c>
      <c r="K2289" s="728"/>
      <c r="L2289" s="70">
        <f>L1574/'Terms and Turnovers'!$T149</f>
        <v>0</v>
      </c>
      <c r="M2289" s="728"/>
      <c r="N2289" s="70">
        <f>N1574/'Terms and Turnovers'!$T149</f>
        <v>0</v>
      </c>
      <c r="O2289" s="728"/>
      <c r="P2289" s="70">
        <f>P1574/'Terms and Turnovers'!$T149</f>
        <v>0</v>
      </c>
      <c r="Q2289" s="728"/>
      <c r="R2289" s="132">
        <f>SUM(F2289,H2289,J2289,L2289,N2289,P2289)</f>
        <v>0</v>
      </c>
      <c r="S2289" s="728"/>
      <c r="T2289" s="70">
        <f>T1574/'Terms and Turnovers'!$T149</f>
        <v>0</v>
      </c>
      <c r="U2289" s="728"/>
      <c r="V2289" s="70">
        <f>V1574/'Terms and Turnovers'!$T149</f>
        <v>0</v>
      </c>
      <c r="W2289" s="728"/>
      <c r="X2289" s="70">
        <f>X1574/'Terms and Turnovers'!$T149</f>
        <v>0</v>
      </c>
      <c r="Y2289" s="728"/>
      <c r="Z2289" s="70">
        <f>Z1574/'Terms and Turnovers'!$T149</f>
        <v>0</v>
      </c>
      <c r="AA2289" s="728"/>
      <c r="AB2289" s="70">
        <f>AB1574/'Terms and Turnovers'!$T149</f>
        <v>0</v>
      </c>
      <c r="AC2289" s="728"/>
      <c r="AD2289" s="70">
        <f>AD1574/'Terms and Turnovers'!$T149</f>
        <v>0</v>
      </c>
      <c r="AE2289" s="728"/>
      <c r="AF2289" s="132">
        <f>SUM(T2289,V2289,X2289,Z2289,AB2289,AD2289)</f>
        <v>0</v>
      </c>
      <c r="AG2289" s="728"/>
      <c r="AH2289" s="133">
        <f>SUM(AF2289,R2289)</f>
        <v>0</v>
      </c>
      <c r="AI2289" s="728"/>
      <c r="AJ2289" s="65"/>
      <c r="AV2289" s="56"/>
    </row>
    <row r="2290" spans="2:48" ht="12.75" hidden="1" customHeight="1" outlineLevel="2">
      <c r="B2290" s="82"/>
      <c r="C2290" s="1234"/>
      <c r="D2290" s="1234"/>
      <c r="E2290" s="84" t="str">
        <f>'Terms and Turnovers'!$AD$12</f>
        <v>ACCESSORIES</v>
      </c>
      <c r="F2290" s="68">
        <f>F1575/'Terms and Turnovers'!$AD149</f>
        <v>0</v>
      </c>
      <c r="G2290" s="728"/>
      <c r="H2290" s="68">
        <f>H1575/'Terms and Turnovers'!$AD149</f>
        <v>0</v>
      </c>
      <c r="I2290" s="728"/>
      <c r="J2290" s="68">
        <f>J1575/'Terms and Turnovers'!$AD149</f>
        <v>0</v>
      </c>
      <c r="K2290" s="728"/>
      <c r="L2290" s="68">
        <f>L1575/'Terms and Turnovers'!$AD149</f>
        <v>0</v>
      </c>
      <c r="M2290" s="728"/>
      <c r="N2290" s="68">
        <f>N1575/'Terms and Turnovers'!$AD149</f>
        <v>0</v>
      </c>
      <c r="O2290" s="728"/>
      <c r="P2290" s="68">
        <f>P1575/'Terms and Turnovers'!$AD149</f>
        <v>0</v>
      </c>
      <c r="Q2290" s="728"/>
      <c r="R2290" s="132">
        <f>SUM(F2290,H2290,J2290,L2290,N2290,P2290)</f>
        <v>0</v>
      </c>
      <c r="S2290" s="728"/>
      <c r="T2290" s="68">
        <f>T1575/'Terms and Turnovers'!$AD149</f>
        <v>0</v>
      </c>
      <c r="U2290" s="728"/>
      <c r="V2290" s="68">
        <f>V1575/'Terms and Turnovers'!$AD149</f>
        <v>0</v>
      </c>
      <c r="W2290" s="728"/>
      <c r="X2290" s="68">
        <f>X1575/'Terms and Turnovers'!$AD149</f>
        <v>0</v>
      </c>
      <c r="Y2290" s="728"/>
      <c r="Z2290" s="68">
        <f>Z1575/'Terms and Turnovers'!$AD149</f>
        <v>0</v>
      </c>
      <c r="AA2290" s="728"/>
      <c r="AB2290" s="68">
        <f>AB1575/'Terms and Turnovers'!$AD149</f>
        <v>0</v>
      </c>
      <c r="AC2290" s="728"/>
      <c r="AD2290" s="68">
        <f>AD1575/'Terms and Turnovers'!$AD149</f>
        <v>0</v>
      </c>
      <c r="AE2290" s="728"/>
      <c r="AF2290" s="132">
        <f>SUM(T2290,V2290,X2290,Z2290,AB2290,AD2290)</f>
        <v>0</v>
      </c>
      <c r="AG2290" s="728"/>
      <c r="AH2290" s="133">
        <f>SUM(AF2290,R2290)</f>
        <v>0</v>
      </c>
      <c r="AI2290" s="728"/>
      <c r="AJ2290" s="65"/>
      <c r="AV2290" s="56"/>
    </row>
    <row r="2291" spans="2:48" ht="12.75" hidden="1" customHeight="1" outlineLevel="2" thickBot="1">
      <c r="B2291" s="82"/>
      <c r="C2291" s="1234"/>
      <c r="D2291" s="1234"/>
      <c r="E2291" s="84">
        <f>'Terms and Turnovers'!$AN$12</f>
        <v>0</v>
      </c>
      <c r="F2291" s="70">
        <f>F1576/'Terms and Turnovers'!$AN149</f>
        <v>0</v>
      </c>
      <c r="G2291" s="728"/>
      <c r="H2291" s="70">
        <f>H1576/'Terms and Turnovers'!$AN149</f>
        <v>0</v>
      </c>
      <c r="I2291" s="728"/>
      <c r="J2291" s="70">
        <f>J1576/'Terms and Turnovers'!$AN149</f>
        <v>0</v>
      </c>
      <c r="K2291" s="728"/>
      <c r="L2291" s="70">
        <f>L1576/'Terms and Turnovers'!$AN149</f>
        <v>0</v>
      </c>
      <c r="M2291" s="728"/>
      <c r="N2291" s="70">
        <f>N1576/'Terms and Turnovers'!$AN149</f>
        <v>0</v>
      </c>
      <c r="O2291" s="728"/>
      <c r="P2291" s="70">
        <f>P1576/'Terms and Turnovers'!$AN149</f>
        <v>0</v>
      </c>
      <c r="Q2291" s="728"/>
      <c r="R2291" s="132">
        <f>SUM(F2291,H2291,J2291,L2291,N2291,P2291)</f>
        <v>0</v>
      </c>
      <c r="S2291" s="728"/>
      <c r="T2291" s="70">
        <f>T1576/'Terms and Turnovers'!$AN149</f>
        <v>0</v>
      </c>
      <c r="U2291" s="728"/>
      <c r="V2291" s="70">
        <f>V1576/'Terms and Turnovers'!$AN149</f>
        <v>0</v>
      </c>
      <c r="W2291" s="728"/>
      <c r="X2291" s="70">
        <f>X1576/'Terms and Turnovers'!$AN149</f>
        <v>0</v>
      </c>
      <c r="Y2291" s="728"/>
      <c r="Z2291" s="70">
        <f>Z1576/'Terms and Turnovers'!$AN149</f>
        <v>0</v>
      </c>
      <c r="AA2291" s="728"/>
      <c r="AB2291" s="70">
        <f>AB1576/'Terms and Turnovers'!$AN149</f>
        <v>0</v>
      </c>
      <c r="AC2291" s="728"/>
      <c r="AD2291" s="70">
        <f>AD1576/'Terms and Turnovers'!$AN149</f>
        <v>0</v>
      </c>
      <c r="AE2291" s="728"/>
      <c r="AF2291" s="132">
        <f>SUM(T2291,V2291,X2291,Z2291,AB2291,AD2291)</f>
        <v>0</v>
      </c>
      <c r="AG2291" s="728"/>
      <c r="AH2291" s="133">
        <f>SUM(AF2291,R2291)</f>
        <v>0</v>
      </c>
      <c r="AI2291" s="728"/>
      <c r="AJ2291" s="65"/>
      <c r="AV2291" s="56"/>
    </row>
    <row r="2292" spans="2:48" ht="13.5" hidden="1" customHeight="1" outlineLevel="2" thickBot="1">
      <c r="B2292" s="82"/>
      <c r="C2292" s="1235"/>
      <c r="D2292" s="1235"/>
      <c r="E2292" s="85">
        <f>'Terms and Turnovers'!$AX$12</f>
        <v>0</v>
      </c>
      <c r="F2292" s="68">
        <f>F1577/'Terms and Turnovers'!$AX149</f>
        <v>0</v>
      </c>
      <c r="G2292" s="107"/>
      <c r="H2292" s="68">
        <f>H1577/'Terms and Turnovers'!$AX149</f>
        <v>0</v>
      </c>
      <c r="I2292" s="107"/>
      <c r="J2292" s="68">
        <f>J1577/'Terms and Turnovers'!$AX149</f>
        <v>0</v>
      </c>
      <c r="K2292" s="107"/>
      <c r="L2292" s="68">
        <f>L1577/'Terms and Turnovers'!$AX149</f>
        <v>0</v>
      </c>
      <c r="M2292" s="107"/>
      <c r="N2292" s="68">
        <f>N1577/'Terms and Turnovers'!$AX149</f>
        <v>0</v>
      </c>
      <c r="O2292" s="107"/>
      <c r="P2292" s="68">
        <f>P1577/'Terms and Turnovers'!$AX149</f>
        <v>0</v>
      </c>
      <c r="Q2292" s="107"/>
      <c r="R2292" s="135">
        <f>SUM(F2292,H2292,J2292,L2292,N2292,P2292)</f>
        <v>0</v>
      </c>
      <c r="S2292" s="107"/>
      <c r="T2292" s="68">
        <f>T1577/'Terms and Turnovers'!$AX149</f>
        <v>0</v>
      </c>
      <c r="U2292" s="107"/>
      <c r="V2292" s="68">
        <f>V1577/'Terms and Turnovers'!$AX149</f>
        <v>0</v>
      </c>
      <c r="W2292" s="107"/>
      <c r="X2292" s="68">
        <f>X1577/'Terms and Turnovers'!$AX149</f>
        <v>0</v>
      </c>
      <c r="Y2292" s="107"/>
      <c r="Z2292" s="68">
        <f>Z1577/'Terms and Turnovers'!$AX149</f>
        <v>0</v>
      </c>
      <c r="AA2292" s="107"/>
      <c r="AB2292" s="68">
        <f>AB1577/'Terms and Turnovers'!$AX149</f>
        <v>0</v>
      </c>
      <c r="AC2292" s="107"/>
      <c r="AD2292" s="68">
        <f>AD1577/'Terms and Turnovers'!$AX149</f>
        <v>0</v>
      </c>
      <c r="AE2292" s="107"/>
      <c r="AF2292" s="135">
        <f>SUM(T2292,V2292,X2292,Z2292,AB2292,AD2292)</f>
        <v>0</v>
      </c>
      <c r="AG2292" s="107"/>
      <c r="AH2292" s="136">
        <f>SUM(AF2292,R2292)</f>
        <v>0</v>
      </c>
      <c r="AI2292" s="107"/>
      <c r="AJ2292" s="65"/>
      <c r="AV2292" s="56"/>
    </row>
    <row r="2293" spans="2:48" ht="13.5" hidden="1" customHeight="1" outlineLevel="2">
      <c r="B2293" s="82"/>
      <c r="C2293" s="425"/>
      <c r="D2293" s="425"/>
      <c r="E2293" s="634"/>
      <c r="F2293" s="635"/>
      <c r="G2293" s="428"/>
      <c r="H2293" s="635"/>
      <c r="I2293" s="428"/>
      <c r="J2293" s="635"/>
      <c r="K2293" s="636"/>
      <c r="L2293" s="635"/>
      <c r="M2293" s="636"/>
      <c r="N2293" s="635"/>
      <c r="O2293" s="636"/>
      <c r="P2293" s="635"/>
      <c r="Q2293" s="636"/>
      <c r="R2293" s="637"/>
      <c r="S2293" s="698">
        <f>SUM(R1573:R1577)/1.18-(SUM(R2288:R2292)*'Mark Up Validation'!$M$175)</f>
        <v>0</v>
      </c>
      <c r="T2293" s="635"/>
      <c r="U2293" s="636"/>
      <c r="V2293" s="635"/>
      <c r="W2293" s="636"/>
      <c r="X2293" s="635"/>
      <c r="Y2293" s="636"/>
      <c r="Z2293" s="635"/>
      <c r="AA2293" s="636"/>
      <c r="AB2293" s="635"/>
      <c r="AC2293" s="636"/>
      <c r="AD2293" s="635"/>
      <c r="AE2293" s="636"/>
      <c r="AF2293" s="637"/>
      <c r="AG2293" s="698">
        <f>SUM(AF1573:AF1577)/1.18-SUM(AF2288:AF2292)*'Mark Up Validation'!$M$175</f>
        <v>0</v>
      </c>
      <c r="AH2293" s="638"/>
      <c r="AI2293" s="698">
        <f>SUM(AH1573:AH1577)/1.18-SUM(AH2288:AH2292)*'Mark Up Validation'!$M$175</f>
        <v>0</v>
      </c>
      <c r="AJ2293" s="65"/>
      <c r="AV2293" s="56"/>
    </row>
    <row r="2294" spans="2:48" ht="13.5" hidden="1" customHeight="1" outlineLevel="2" thickBot="1">
      <c r="B2294" s="82"/>
      <c r="C2294" s="1228" t="s">
        <v>538</v>
      </c>
      <c r="D2294" s="1229"/>
      <c r="E2294" s="699"/>
      <c r="F2294" s="700"/>
      <c r="G2294" s="701"/>
      <c r="H2294" s="700"/>
      <c r="I2294" s="701"/>
      <c r="J2294" s="700"/>
      <c r="K2294" s="702"/>
      <c r="L2294" s="700"/>
      <c r="M2294" s="702"/>
      <c r="N2294" s="700"/>
      <c r="O2294" s="702"/>
      <c r="P2294" s="700"/>
      <c r="Q2294" s="702"/>
      <c r="R2294" s="703"/>
      <c r="S2294" s="729">
        <f>IF(S2293&gt;0,S2293/(SUM(R1573:R1577)/1.18),0)</f>
        <v>0</v>
      </c>
      <c r="T2294" s="700"/>
      <c r="U2294" s="702"/>
      <c r="V2294" s="700"/>
      <c r="W2294" s="702"/>
      <c r="X2294" s="700"/>
      <c r="Y2294" s="702"/>
      <c r="Z2294" s="700"/>
      <c r="AA2294" s="702"/>
      <c r="AB2294" s="700"/>
      <c r="AC2294" s="702"/>
      <c r="AD2294" s="700"/>
      <c r="AE2294" s="702"/>
      <c r="AF2294" s="705"/>
      <c r="AG2294" s="729">
        <f>IF(AG2293&gt;0,AG2293/(SUM(AF1573:AF1577)/1.18),0)</f>
        <v>0</v>
      </c>
      <c r="AH2294" s="706"/>
      <c r="AI2294" s="729">
        <f>IF(AI2293&gt;0,AI2293/(SUM(AH1573:AH1577)/1.18),0)</f>
        <v>0</v>
      </c>
      <c r="AJ2294" s="65"/>
      <c r="AV2294" s="56"/>
    </row>
    <row r="2295" spans="2:48" ht="12.75" hidden="1" customHeight="1" outlineLevel="2">
      <c r="B2295" s="82">
        <f>B2288+1</f>
        <v>19</v>
      </c>
      <c r="C2295" s="1233">
        <f>C1580</f>
        <v>0</v>
      </c>
      <c r="D2295" s="1233">
        <f>D1580</f>
        <v>0</v>
      </c>
      <c r="E2295" s="83" t="str">
        <f>'Terms and Turnovers'!$J$12</f>
        <v>FLIP-FLOPS</v>
      </c>
      <c r="F2295" s="68">
        <f>F1580/'Terms and Turnovers'!$J150</f>
        <v>0</v>
      </c>
      <c r="G2295" s="106"/>
      <c r="H2295" s="68">
        <f>H1580/'Terms and Turnovers'!$J150</f>
        <v>0</v>
      </c>
      <c r="I2295" s="106"/>
      <c r="J2295" s="68">
        <f>J1580/'Terms and Turnovers'!$J150</f>
        <v>0</v>
      </c>
      <c r="K2295" s="106"/>
      <c r="L2295" s="68">
        <f>L1580/'Terms and Turnovers'!$J150</f>
        <v>0</v>
      </c>
      <c r="M2295" s="106"/>
      <c r="N2295" s="68">
        <f>N1580/'Terms and Turnovers'!$J150</f>
        <v>0</v>
      </c>
      <c r="O2295" s="106"/>
      <c r="P2295" s="68">
        <f>P1580/'Terms and Turnovers'!$J150</f>
        <v>0</v>
      </c>
      <c r="Q2295" s="106"/>
      <c r="R2295" s="129">
        <f>SUM(F2295,H2295,J2295,L2295,N2295,P2295)</f>
        <v>0</v>
      </c>
      <c r="S2295" s="106"/>
      <c r="T2295" s="68">
        <f>T1580/'Terms and Turnovers'!$J150</f>
        <v>0</v>
      </c>
      <c r="U2295" s="106"/>
      <c r="V2295" s="68">
        <f>V1580/'Terms and Turnovers'!$J150</f>
        <v>0</v>
      </c>
      <c r="W2295" s="106"/>
      <c r="X2295" s="68">
        <f>X1580/'Terms and Turnovers'!$J150</f>
        <v>0</v>
      </c>
      <c r="Y2295" s="106"/>
      <c r="Z2295" s="68">
        <f>Z1580/'Terms and Turnovers'!$J150</f>
        <v>0</v>
      </c>
      <c r="AA2295" s="106"/>
      <c r="AB2295" s="68">
        <f>AB1580/'Terms and Turnovers'!$J150</f>
        <v>0</v>
      </c>
      <c r="AC2295" s="106"/>
      <c r="AD2295" s="68">
        <f>AD1580/'Terms and Turnovers'!$J150</f>
        <v>0</v>
      </c>
      <c r="AE2295" s="106"/>
      <c r="AF2295" s="129">
        <f>SUM(T2295,V2295,X2295,Z2295,AB2295,AD2295)</f>
        <v>0</v>
      </c>
      <c r="AG2295" s="106"/>
      <c r="AH2295" s="130">
        <f>SUM(AF2295,R2295)</f>
        <v>0</v>
      </c>
      <c r="AI2295" s="106"/>
      <c r="AJ2295" s="65"/>
      <c r="AV2295" s="56"/>
    </row>
    <row r="2296" spans="2:48" ht="12.75" hidden="1" customHeight="1" outlineLevel="2" thickBot="1">
      <c r="B2296" s="82"/>
      <c r="C2296" s="1234"/>
      <c r="D2296" s="1234"/>
      <c r="E2296" s="84" t="str">
        <f>'Terms and Turnovers'!$T$12</f>
        <v>ORIGINALS</v>
      </c>
      <c r="F2296" s="70">
        <f>F1581/'Terms and Turnovers'!$T150</f>
        <v>0</v>
      </c>
      <c r="G2296" s="728"/>
      <c r="H2296" s="70">
        <f>H1581/'Terms and Turnovers'!$T150</f>
        <v>0</v>
      </c>
      <c r="I2296" s="728"/>
      <c r="J2296" s="70">
        <f>J1581/'Terms and Turnovers'!$T150</f>
        <v>0</v>
      </c>
      <c r="K2296" s="728"/>
      <c r="L2296" s="70">
        <f>L1581/'Terms and Turnovers'!$T150</f>
        <v>0</v>
      </c>
      <c r="M2296" s="728"/>
      <c r="N2296" s="70">
        <f>N1581/'Terms and Turnovers'!$T150</f>
        <v>0</v>
      </c>
      <c r="O2296" s="728"/>
      <c r="P2296" s="70">
        <f>P1581/'Terms and Turnovers'!$T150</f>
        <v>0</v>
      </c>
      <c r="Q2296" s="728"/>
      <c r="R2296" s="132">
        <f>SUM(F2296,H2296,J2296,L2296,N2296,P2296)</f>
        <v>0</v>
      </c>
      <c r="S2296" s="728"/>
      <c r="T2296" s="70">
        <f>T1581/'Terms and Turnovers'!$T150</f>
        <v>0</v>
      </c>
      <c r="U2296" s="728"/>
      <c r="V2296" s="70">
        <f>V1581/'Terms and Turnovers'!$T150</f>
        <v>0</v>
      </c>
      <c r="W2296" s="728"/>
      <c r="X2296" s="70">
        <f>X1581/'Terms and Turnovers'!$T150</f>
        <v>0</v>
      </c>
      <c r="Y2296" s="728"/>
      <c r="Z2296" s="70">
        <f>Z1581/'Terms and Turnovers'!$T150</f>
        <v>0</v>
      </c>
      <c r="AA2296" s="728"/>
      <c r="AB2296" s="70">
        <f>AB1581/'Terms and Turnovers'!$T150</f>
        <v>0</v>
      </c>
      <c r="AC2296" s="728"/>
      <c r="AD2296" s="70">
        <f>AD1581/'Terms and Turnovers'!$T150</f>
        <v>0</v>
      </c>
      <c r="AE2296" s="728"/>
      <c r="AF2296" s="132">
        <f>SUM(T2296,V2296,X2296,Z2296,AB2296,AD2296)</f>
        <v>0</v>
      </c>
      <c r="AG2296" s="728"/>
      <c r="AH2296" s="133">
        <f>SUM(AF2296,R2296)</f>
        <v>0</v>
      </c>
      <c r="AI2296" s="728"/>
      <c r="AJ2296" s="65"/>
      <c r="AV2296" s="56"/>
    </row>
    <row r="2297" spans="2:48" ht="12.75" hidden="1" customHeight="1" outlineLevel="2">
      <c r="B2297" s="82"/>
      <c r="C2297" s="1234"/>
      <c r="D2297" s="1234"/>
      <c r="E2297" s="84" t="str">
        <f>'Terms and Turnovers'!$AD$12</f>
        <v>ACCESSORIES</v>
      </c>
      <c r="F2297" s="68">
        <f>F1582/'Terms and Turnovers'!$AD150</f>
        <v>0</v>
      </c>
      <c r="G2297" s="728"/>
      <c r="H2297" s="68">
        <f>H1582/'Terms and Turnovers'!$AD150</f>
        <v>0</v>
      </c>
      <c r="I2297" s="728"/>
      <c r="J2297" s="68">
        <f>J1582/'Terms and Turnovers'!$AD150</f>
        <v>0</v>
      </c>
      <c r="K2297" s="728"/>
      <c r="L2297" s="68">
        <f>L1582/'Terms and Turnovers'!$AD150</f>
        <v>0</v>
      </c>
      <c r="M2297" s="728"/>
      <c r="N2297" s="68">
        <f>N1582/'Terms and Turnovers'!$AD150</f>
        <v>0</v>
      </c>
      <c r="O2297" s="728"/>
      <c r="P2297" s="68">
        <f>P1582/'Terms and Turnovers'!$AD150</f>
        <v>0</v>
      </c>
      <c r="Q2297" s="728"/>
      <c r="R2297" s="132">
        <f>SUM(F2297,H2297,J2297,L2297,N2297,P2297)</f>
        <v>0</v>
      </c>
      <c r="S2297" s="728"/>
      <c r="T2297" s="68">
        <f>T1582/'Terms and Turnovers'!$AD150</f>
        <v>0</v>
      </c>
      <c r="U2297" s="728"/>
      <c r="V2297" s="68">
        <f>V1582/'Terms and Turnovers'!$AD150</f>
        <v>0</v>
      </c>
      <c r="W2297" s="728"/>
      <c r="X2297" s="68">
        <f>X1582/'Terms and Turnovers'!$AD150</f>
        <v>0</v>
      </c>
      <c r="Y2297" s="728"/>
      <c r="Z2297" s="68">
        <f>Z1582/'Terms and Turnovers'!$AD150</f>
        <v>0</v>
      </c>
      <c r="AA2297" s="728"/>
      <c r="AB2297" s="68">
        <f>AB1582/'Terms and Turnovers'!$AD150</f>
        <v>0</v>
      </c>
      <c r="AC2297" s="728"/>
      <c r="AD2297" s="68">
        <f>AD1582/'Terms and Turnovers'!$AD150</f>
        <v>0</v>
      </c>
      <c r="AE2297" s="728"/>
      <c r="AF2297" s="132">
        <f>SUM(T2297,V2297,X2297,Z2297,AB2297,AD2297)</f>
        <v>0</v>
      </c>
      <c r="AG2297" s="728"/>
      <c r="AH2297" s="133">
        <f>SUM(AF2297,R2297)</f>
        <v>0</v>
      </c>
      <c r="AI2297" s="728"/>
      <c r="AJ2297" s="65"/>
      <c r="AV2297" s="56"/>
    </row>
    <row r="2298" spans="2:48" ht="12.75" hidden="1" customHeight="1" outlineLevel="2" thickBot="1">
      <c r="B2298" s="82"/>
      <c r="C2298" s="1234"/>
      <c r="D2298" s="1234"/>
      <c r="E2298" s="84">
        <f>'Terms and Turnovers'!$AN$12</f>
        <v>0</v>
      </c>
      <c r="F2298" s="70">
        <f>F1583/'Terms and Turnovers'!$AN150</f>
        <v>0</v>
      </c>
      <c r="G2298" s="728"/>
      <c r="H2298" s="70">
        <f>H1583/'Terms and Turnovers'!$AN150</f>
        <v>0</v>
      </c>
      <c r="I2298" s="728"/>
      <c r="J2298" s="70">
        <f>J1583/'Terms and Turnovers'!$AN150</f>
        <v>0</v>
      </c>
      <c r="K2298" s="728"/>
      <c r="L2298" s="70">
        <f>L1583/'Terms and Turnovers'!$AN150</f>
        <v>0</v>
      </c>
      <c r="M2298" s="728"/>
      <c r="N2298" s="70">
        <f>N1583/'Terms and Turnovers'!$AN150</f>
        <v>0</v>
      </c>
      <c r="O2298" s="728"/>
      <c r="P2298" s="70">
        <f>P1583/'Terms and Turnovers'!$AN150</f>
        <v>0</v>
      </c>
      <c r="Q2298" s="728"/>
      <c r="R2298" s="132">
        <f>SUM(F2298,H2298,J2298,L2298,N2298,P2298)</f>
        <v>0</v>
      </c>
      <c r="S2298" s="728"/>
      <c r="T2298" s="70">
        <f>T1583/'Terms and Turnovers'!$AN150</f>
        <v>0</v>
      </c>
      <c r="U2298" s="728"/>
      <c r="V2298" s="70">
        <f>V1583/'Terms and Turnovers'!$AN150</f>
        <v>0</v>
      </c>
      <c r="W2298" s="728"/>
      <c r="X2298" s="70">
        <f>X1583/'Terms and Turnovers'!$AN150</f>
        <v>0</v>
      </c>
      <c r="Y2298" s="728"/>
      <c r="Z2298" s="70">
        <f>Z1583/'Terms and Turnovers'!$AN150</f>
        <v>0</v>
      </c>
      <c r="AA2298" s="728"/>
      <c r="AB2298" s="70">
        <f>AB1583/'Terms and Turnovers'!$AN150</f>
        <v>0</v>
      </c>
      <c r="AC2298" s="728"/>
      <c r="AD2298" s="70">
        <f>AD1583/'Terms and Turnovers'!$AN150</f>
        <v>0</v>
      </c>
      <c r="AE2298" s="728"/>
      <c r="AF2298" s="132">
        <f>SUM(T2298,V2298,X2298,Z2298,AB2298,AD2298)</f>
        <v>0</v>
      </c>
      <c r="AG2298" s="728"/>
      <c r="AH2298" s="133">
        <f>SUM(AF2298,R2298)</f>
        <v>0</v>
      </c>
      <c r="AI2298" s="728"/>
      <c r="AJ2298" s="65"/>
      <c r="AV2298" s="56"/>
    </row>
    <row r="2299" spans="2:48" ht="13.5" hidden="1" customHeight="1" outlineLevel="2" thickBot="1">
      <c r="B2299" s="82"/>
      <c r="C2299" s="1235"/>
      <c r="D2299" s="1235"/>
      <c r="E2299" s="85">
        <f>'Terms and Turnovers'!$AX$12</f>
        <v>0</v>
      </c>
      <c r="F2299" s="68">
        <f>F1584/'Terms and Turnovers'!$AX150</f>
        <v>0</v>
      </c>
      <c r="G2299" s="107"/>
      <c r="H2299" s="68">
        <f>H1584/'Terms and Turnovers'!$AX150</f>
        <v>0</v>
      </c>
      <c r="I2299" s="107"/>
      <c r="J2299" s="68">
        <f>J1584/'Terms and Turnovers'!$AX150</f>
        <v>0</v>
      </c>
      <c r="K2299" s="107"/>
      <c r="L2299" s="68">
        <f>L1584/'Terms and Turnovers'!$AX150</f>
        <v>0</v>
      </c>
      <c r="M2299" s="107"/>
      <c r="N2299" s="68">
        <f>N1584/'Terms and Turnovers'!$AX150</f>
        <v>0</v>
      </c>
      <c r="O2299" s="107"/>
      <c r="P2299" s="68">
        <f>P1584/'Terms and Turnovers'!$AX150</f>
        <v>0</v>
      </c>
      <c r="Q2299" s="107"/>
      <c r="R2299" s="135">
        <f>SUM(F2299,H2299,J2299,L2299,N2299,P2299)</f>
        <v>0</v>
      </c>
      <c r="S2299" s="107"/>
      <c r="T2299" s="68">
        <f>T1584/'Terms and Turnovers'!$AX150</f>
        <v>0</v>
      </c>
      <c r="U2299" s="107"/>
      <c r="V2299" s="68">
        <f>V1584/'Terms and Turnovers'!$AX150</f>
        <v>0</v>
      </c>
      <c r="W2299" s="107"/>
      <c r="X2299" s="68">
        <f>X1584/'Terms and Turnovers'!$AX150</f>
        <v>0</v>
      </c>
      <c r="Y2299" s="107"/>
      <c r="Z2299" s="68">
        <f>Z1584/'Terms and Turnovers'!$AX150</f>
        <v>0</v>
      </c>
      <c r="AA2299" s="107"/>
      <c r="AB2299" s="68">
        <f>AB1584/'Terms and Turnovers'!$AX150</f>
        <v>0</v>
      </c>
      <c r="AC2299" s="107"/>
      <c r="AD2299" s="68">
        <f>AD1584/'Terms and Turnovers'!$AX150</f>
        <v>0</v>
      </c>
      <c r="AE2299" s="107"/>
      <c r="AF2299" s="135">
        <f>SUM(T2299,V2299,X2299,Z2299,AB2299,AD2299)</f>
        <v>0</v>
      </c>
      <c r="AG2299" s="107"/>
      <c r="AH2299" s="136">
        <f>SUM(AF2299,R2299)</f>
        <v>0</v>
      </c>
      <c r="AI2299" s="107"/>
      <c r="AJ2299" s="65"/>
      <c r="AV2299" s="56"/>
    </row>
    <row r="2300" spans="2:48" ht="13.5" hidden="1" customHeight="1" outlineLevel="2">
      <c r="B2300" s="82"/>
      <c r="C2300" s="425"/>
      <c r="D2300" s="425"/>
      <c r="E2300" s="634"/>
      <c r="F2300" s="635"/>
      <c r="G2300" s="428"/>
      <c r="H2300" s="635"/>
      <c r="I2300" s="428"/>
      <c r="J2300" s="635"/>
      <c r="K2300" s="636"/>
      <c r="L2300" s="635"/>
      <c r="M2300" s="636"/>
      <c r="N2300" s="635"/>
      <c r="O2300" s="636"/>
      <c r="P2300" s="635"/>
      <c r="Q2300" s="636"/>
      <c r="R2300" s="637"/>
      <c r="S2300" s="698">
        <f>SUM(R1580:R1584)/1.18-(SUM(R2295:R2299)*'Mark Up Validation'!$M$175)</f>
        <v>0</v>
      </c>
      <c r="T2300" s="635"/>
      <c r="U2300" s="636"/>
      <c r="V2300" s="635"/>
      <c r="W2300" s="636"/>
      <c r="X2300" s="635"/>
      <c r="Y2300" s="636"/>
      <c r="Z2300" s="635"/>
      <c r="AA2300" s="636"/>
      <c r="AB2300" s="635"/>
      <c r="AC2300" s="636"/>
      <c r="AD2300" s="635"/>
      <c r="AE2300" s="636"/>
      <c r="AF2300" s="637"/>
      <c r="AG2300" s="698">
        <f>SUM(AF1580:AF1584)/1.18-SUM(AF2295:AF2299)*'Mark Up Validation'!$M$175</f>
        <v>0</v>
      </c>
      <c r="AH2300" s="638"/>
      <c r="AI2300" s="698">
        <f>SUM(AH1580:AH1584)/1.18-SUM(AH2295:AH2299)*'Mark Up Validation'!$M$175</f>
        <v>0</v>
      </c>
      <c r="AJ2300" s="65"/>
      <c r="AV2300" s="56"/>
    </row>
    <row r="2301" spans="2:48" ht="13.5" hidden="1" customHeight="1" outlineLevel="2" thickBot="1">
      <c r="B2301" s="82"/>
      <c r="C2301" s="1228" t="s">
        <v>538</v>
      </c>
      <c r="D2301" s="1229"/>
      <c r="E2301" s="699"/>
      <c r="F2301" s="700"/>
      <c r="G2301" s="701"/>
      <c r="H2301" s="700"/>
      <c r="I2301" s="701"/>
      <c r="J2301" s="700"/>
      <c r="K2301" s="702"/>
      <c r="L2301" s="700"/>
      <c r="M2301" s="702"/>
      <c r="N2301" s="700"/>
      <c r="O2301" s="702"/>
      <c r="P2301" s="700"/>
      <c r="Q2301" s="702"/>
      <c r="R2301" s="703"/>
      <c r="S2301" s="729">
        <f>IF(S2300&gt;0,S2300/(SUM(R1580:R1584)/1.18),0)</f>
        <v>0</v>
      </c>
      <c r="T2301" s="700"/>
      <c r="U2301" s="702"/>
      <c r="V2301" s="700"/>
      <c r="W2301" s="702"/>
      <c r="X2301" s="700"/>
      <c r="Y2301" s="702"/>
      <c r="Z2301" s="700"/>
      <c r="AA2301" s="702"/>
      <c r="AB2301" s="700"/>
      <c r="AC2301" s="702"/>
      <c r="AD2301" s="700"/>
      <c r="AE2301" s="702"/>
      <c r="AF2301" s="705"/>
      <c r="AG2301" s="729">
        <f>IF(AG2300&gt;0,AG2300/(SUM(AF1580:AF1584)/1.18),0)</f>
        <v>0</v>
      </c>
      <c r="AH2301" s="706"/>
      <c r="AI2301" s="729">
        <f>IF(AI2300&gt;0,AI2300/(SUM(AH1580:AH1584)/1.18),0)</f>
        <v>0</v>
      </c>
      <c r="AJ2301" s="65"/>
      <c r="AV2301" s="56"/>
    </row>
    <row r="2302" spans="2:48" ht="12.75" hidden="1" customHeight="1" outlineLevel="2">
      <c r="B2302" s="82">
        <f>B2295+1</f>
        <v>20</v>
      </c>
      <c r="C2302" s="1233">
        <f>C1587</f>
        <v>0</v>
      </c>
      <c r="D2302" s="1233">
        <f>D1587</f>
        <v>0</v>
      </c>
      <c r="E2302" s="83" t="str">
        <f>'Terms and Turnovers'!$J$12</f>
        <v>FLIP-FLOPS</v>
      </c>
      <c r="F2302" s="68">
        <f>F1587/'Terms and Turnovers'!$J151</f>
        <v>0</v>
      </c>
      <c r="G2302" s="106"/>
      <c r="H2302" s="68">
        <f>H1587/'Terms and Turnovers'!$J151</f>
        <v>0</v>
      </c>
      <c r="I2302" s="106"/>
      <c r="J2302" s="68">
        <f>J1587/'Terms and Turnovers'!$J151</f>
        <v>0</v>
      </c>
      <c r="K2302" s="106"/>
      <c r="L2302" s="68">
        <f>L1587/'Terms and Turnovers'!$J151</f>
        <v>0</v>
      </c>
      <c r="M2302" s="106"/>
      <c r="N2302" s="68">
        <f>N1587/'Terms and Turnovers'!$J151</f>
        <v>0</v>
      </c>
      <c r="O2302" s="106"/>
      <c r="P2302" s="68">
        <f>P1587/'Terms and Turnovers'!$J151</f>
        <v>0</v>
      </c>
      <c r="Q2302" s="106"/>
      <c r="R2302" s="129">
        <f>SUM(F2302,H2302,J2302,L2302,N2302,P2302)</f>
        <v>0</v>
      </c>
      <c r="S2302" s="106"/>
      <c r="T2302" s="68">
        <f>T1587/'Terms and Turnovers'!$J151</f>
        <v>0</v>
      </c>
      <c r="U2302" s="106"/>
      <c r="V2302" s="68">
        <f>V1587/'Terms and Turnovers'!$J151</f>
        <v>0</v>
      </c>
      <c r="W2302" s="106"/>
      <c r="X2302" s="68">
        <f>X1587/'Terms and Turnovers'!$J151</f>
        <v>0</v>
      </c>
      <c r="Y2302" s="106"/>
      <c r="Z2302" s="68">
        <f>Z1587/'Terms and Turnovers'!$J151</f>
        <v>0</v>
      </c>
      <c r="AA2302" s="106"/>
      <c r="AB2302" s="68">
        <f>AB1587/'Terms and Turnovers'!$J151</f>
        <v>0</v>
      </c>
      <c r="AC2302" s="106"/>
      <c r="AD2302" s="68">
        <f>AD1587/'Terms and Turnovers'!$J151</f>
        <v>0</v>
      </c>
      <c r="AE2302" s="106"/>
      <c r="AF2302" s="129">
        <f>SUM(T2302,V2302,X2302,Z2302,AB2302,AD2302)</f>
        <v>0</v>
      </c>
      <c r="AG2302" s="106"/>
      <c r="AH2302" s="130">
        <f>SUM(AF2302,R2302)</f>
        <v>0</v>
      </c>
      <c r="AI2302" s="106"/>
      <c r="AJ2302" s="65"/>
      <c r="AV2302" s="56"/>
    </row>
    <row r="2303" spans="2:48" ht="12.75" hidden="1" customHeight="1" outlineLevel="2" thickBot="1">
      <c r="B2303" s="82"/>
      <c r="C2303" s="1234"/>
      <c r="D2303" s="1234"/>
      <c r="E2303" s="84" t="str">
        <f>'Terms and Turnovers'!$T$12</f>
        <v>ORIGINALS</v>
      </c>
      <c r="F2303" s="70">
        <f>F1588/'Terms and Turnovers'!$T151</f>
        <v>0</v>
      </c>
      <c r="G2303" s="728"/>
      <c r="H2303" s="70">
        <f>H1588/'Terms and Turnovers'!$T151</f>
        <v>0</v>
      </c>
      <c r="I2303" s="728"/>
      <c r="J2303" s="70">
        <f>J1588/'Terms and Turnovers'!$T151</f>
        <v>0</v>
      </c>
      <c r="K2303" s="728"/>
      <c r="L2303" s="70">
        <f>L1588/'Terms and Turnovers'!$T151</f>
        <v>0</v>
      </c>
      <c r="M2303" s="728"/>
      <c r="N2303" s="70">
        <f>N1588/'Terms and Turnovers'!$T151</f>
        <v>0</v>
      </c>
      <c r="O2303" s="728"/>
      <c r="P2303" s="70">
        <f>P1588/'Terms and Turnovers'!$T151</f>
        <v>0</v>
      </c>
      <c r="Q2303" s="728"/>
      <c r="R2303" s="132">
        <f>SUM(F2303,H2303,J2303,L2303,N2303,P2303)</f>
        <v>0</v>
      </c>
      <c r="S2303" s="728"/>
      <c r="T2303" s="70">
        <f>T1588/'Terms and Turnovers'!$T151</f>
        <v>0</v>
      </c>
      <c r="U2303" s="728"/>
      <c r="V2303" s="70">
        <f>V1588/'Terms and Turnovers'!$T151</f>
        <v>0</v>
      </c>
      <c r="W2303" s="728"/>
      <c r="X2303" s="70">
        <f>X1588/'Terms and Turnovers'!$T151</f>
        <v>0</v>
      </c>
      <c r="Y2303" s="728"/>
      <c r="Z2303" s="70">
        <f>Z1588/'Terms and Turnovers'!$T151</f>
        <v>0</v>
      </c>
      <c r="AA2303" s="728"/>
      <c r="AB2303" s="70">
        <f>AB1588/'Terms and Turnovers'!$T151</f>
        <v>0</v>
      </c>
      <c r="AC2303" s="728"/>
      <c r="AD2303" s="70">
        <f>AD1588/'Terms and Turnovers'!$T151</f>
        <v>0</v>
      </c>
      <c r="AE2303" s="728"/>
      <c r="AF2303" s="132">
        <f>SUM(T2303,V2303,X2303,Z2303,AB2303,AD2303)</f>
        <v>0</v>
      </c>
      <c r="AG2303" s="728"/>
      <c r="AH2303" s="133">
        <f>SUM(AF2303,R2303)</f>
        <v>0</v>
      </c>
      <c r="AI2303" s="728"/>
      <c r="AJ2303" s="65"/>
      <c r="AV2303" s="56"/>
    </row>
    <row r="2304" spans="2:48" ht="12.75" hidden="1" customHeight="1" outlineLevel="2">
      <c r="B2304" s="82"/>
      <c r="C2304" s="1234"/>
      <c r="D2304" s="1234"/>
      <c r="E2304" s="84" t="str">
        <f>'Terms and Turnovers'!$AD$12</f>
        <v>ACCESSORIES</v>
      </c>
      <c r="F2304" s="68">
        <f>F1589/'Terms and Turnovers'!$AD151</f>
        <v>0</v>
      </c>
      <c r="G2304" s="728"/>
      <c r="H2304" s="68">
        <f>H1589/'Terms and Turnovers'!$AD151</f>
        <v>0</v>
      </c>
      <c r="I2304" s="728"/>
      <c r="J2304" s="68">
        <f>J1589/'Terms and Turnovers'!$AD151</f>
        <v>0</v>
      </c>
      <c r="K2304" s="728"/>
      <c r="L2304" s="68">
        <f>L1589/'Terms and Turnovers'!$AD151</f>
        <v>0</v>
      </c>
      <c r="M2304" s="728"/>
      <c r="N2304" s="68">
        <f>N1589/'Terms and Turnovers'!$AD151</f>
        <v>0</v>
      </c>
      <c r="O2304" s="728"/>
      <c r="P2304" s="68">
        <f>P1589/'Terms and Turnovers'!$AD151</f>
        <v>0</v>
      </c>
      <c r="Q2304" s="728"/>
      <c r="R2304" s="132">
        <f>SUM(F2304,H2304,J2304,L2304,N2304,P2304)</f>
        <v>0</v>
      </c>
      <c r="S2304" s="728"/>
      <c r="T2304" s="68">
        <f>T1589/'Terms and Turnovers'!$AD151</f>
        <v>0</v>
      </c>
      <c r="U2304" s="728"/>
      <c r="V2304" s="68">
        <f>V1589/'Terms and Turnovers'!$AD151</f>
        <v>0</v>
      </c>
      <c r="W2304" s="728"/>
      <c r="X2304" s="68">
        <f>X1589/'Terms and Turnovers'!$AD151</f>
        <v>0</v>
      </c>
      <c r="Y2304" s="728"/>
      <c r="Z2304" s="68">
        <f>Z1589/'Terms and Turnovers'!$AD151</f>
        <v>0</v>
      </c>
      <c r="AA2304" s="728"/>
      <c r="AB2304" s="68">
        <f>AB1589/'Terms and Turnovers'!$AD151</f>
        <v>0</v>
      </c>
      <c r="AC2304" s="728"/>
      <c r="AD2304" s="68">
        <f>AD1589/'Terms and Turnovers'!$AD151</f>
        <v>0</v>
      </c>
      <c r="AE2304" s="728"/>
      <c r="AF2304" s="132">
        <f>SUM(T2304,V2304,X2304,Z2304,AB2304,AD2304)</f>
        <v>0</v>
      </c>
      <c r="AG2304" s="728"/>
      <c r="AH2304" s="133">
        <f>SUM(AF2304,R2304)</f>
        <v>0</v>
      </c>
      <c r="AI2304" s="728"/>
      <c r="AJ2304" s="65"/>
      <c r="AV2304" s="56"/>
    </row>
    <row r="2305" spans="2:48" ht="12.75" hidden="1" customHeight="1" outlineLevel="2" thickBot="1">
      <c r="B2305" s="82"/>
      <c r="C2305" s="1234"/>
      <c r="D2305" s="1234"/>
      <c r="E2305" s="84">
        <f>'Terms and Turnovers'!$AN$12</f>
        <v>0</v>
      </c>
      <c r="F2305" s="70">
        <f>F1590/'Terms and Turnovers'!$AN151</f>
        <v>0</v>
      </c>
      <c r="G2305" s="728"/>
      <c r="H2305" s="70">
        <f>H1590/'Terms and Turnovers'!$AN151</f>
        <v>0</v>
      </c>
      <c r="I2305" s="728"/>
      <c r="J2305" s="70">
        <f>J1590/'Terms and Turnovers'!$AN151</f>
        <v>0</v>
      </c>
      <c r="K2305" s="728"/>
      <c r="L2305" s="70">
        <f>L1590/'Terms and Turnovers'!$AN151</f>
        <v>0</v>
      </c>
      <c r="M2305" s="728"/>
      <c r="N2305" s="70">
        <f>N1590/'Terms and Turnovers'!$AN151</f>
        <v>0</v>
      </c>
      <c r="O2305" s="728"/>
      <c r="P2305" s="70">
        <f>P1590/'Terms and Turnovers'!$AN151</f>
        <v>0</v>
      </c>
      <c r="Q2305" s="728"/>
      <c r="R2305" s="132">
        <f>SUM(F2305,H2305,J2305,L2305,N2305,P2305)</f>
        <v>0</v>
      </c>
      <c r="S2305" s="728"/>
      <c r="T2305" s="70">
        <f>T1590/'Terms and Turnovers'!$AN151</f>
        <v>0</v>
      </c>
      <c r="U2305" s="728"/>
      <c r="V2305" s="70">
        <f>V1590/'Terms and Turnovers'!$AN151</f>
        <v>0</v>
      </c>
      <c r="W2305" s="728"/>
      <c r="X2305" s="70">
        <f>X1590/'Terms and Turnovers'!$AN151</f>
        <v>0</v>
      </c>
      <c r="Y2305" s="728"/>
      <c r="Z2305" s="70">
        <f>Z1590/'Terms and Turnovers'!$AN151</f>
        <v>0</v>
      </c>
      <c r="AA2305" s="728"/>
      <c r="AB2305" s="70">
        <f>AB1590/'Terms and Turnovers'!$AN151</f>
        <v>0</v>
      </c>
      <c r="AC2305" s="728"/>
      <c r="AD2305" s="70">
        <f>AD1590/'Terms and Turnovers'!$AN151</f>
        <v>0</v>
      </c>
      <c r="AE2305" s="728"/>
      <c r="AF2305" s="132">
        <f>SUM(T2305,V2305,X2305,Z2305,AB2305,AD2305)</f>
        <v>0</v>
      </c>
      <c r="AG2305" s="728"/>
      <c r="AH2305" s="133">
        <f>SUM(AF2305,R2305)</f>
        <v>0</v>
      </c>
      <c r="AI2305" s="728"/>
      <c r="AJ2305" s="65"/>
      <c r="AV2305" s="56"/>
    </row>
    <row r="2306" spans="2:48" ht="13.5" hidden="1" customHeight="1" outlineLevel="2" thickBot="1">
      <c r="B2306" s="82"/>
      <c r="C2306" s="1235"/>
      <c r="D2306" s="1235"/>
      <c r="E2306" s="85">
        <f>'Terms and Turnovers'!$AX$12</f>
        <v>0</v>
      </c>
      <c r="F2306" s="68">
        <f>F1591/'Terms and Turnovers'!$AX151</f>
        <v>0</v>
      </c>
      <c r="G2306" s="107"/>
      <c r="H2306" s="68">
        <f>H1591/'Terms and Turnovers'!$AX151</f>
        <v>0</v>
      </c>
      <c r="I2306" s="107"/>
      <c r="J2306" s="68">
        <f>J1591/'Terms and Turnovers'!$AX151</f>
        <v>0</v>
      </c>
      <c r="K2306" s="107"/>
      <c r="L2306" s="68">
        <f>L1591/'Terms and Turnovers'!$AX151</f>
        <v>0</v>
      </c>
      <c r="M2306" s="107"/>
      <c r="N2306" s="68">
        <f>N1591/'Terms and Turnovers'!$AX151</f>
        <v>0</v>
      </c>
      <c r="O2306" s="107"/>
      <c r="P2306" s="68">
        <f>P1591/'Terms and Turnovers'!$AX151</f>
        <v>0</v>
      </c>
      <c r="Q2306" s="107"/>
      <c r="R2306" s="135">
        <f>SUM(F2306,H2306,J2306,L2306,N2306,P2306)</f>
        <v>0</v>
      </c>
      <c r="S2306" s="107"/>
      <c r="T2306" s="68">
        <f>T1591/'Terms and Turnovers'!$AX151</f>
        <v>0</v>
      </c>
      <c r="U2306" s="107"/>
      <c r="V2306" s="68">
        <f>V1591/'Terms and Turnovers'!$AX151</f>
        <v>0</v>
      </c>
      <c r="W2306" s="107"/>
      <c r="X2306" s="68">
        <f>X1591/'Terms and Turnovers'!$AX151</f>
        <v>0</v>
      </c>
      <c r="Y2306" s="107"/>
      <c r="Z2306" s="68">
        <f>Z1591/'Terms and Turnovers'!$AX151</f>
        <v>0</v>
      </c>
      <c r="AA2306" s="107"/>
      <c r="AB2306" s="68">
        <f>AB1591/'Terms and Turnovers'!$AX151</f>
        <v>0</v>
      </c>
      <c r="AC2306" s="107"/>
      <c r="AD2306" s="68">
        <f>AD1591/'Terms and Turnovers'!$AX151</f>
        <v>0</v>
      </c>
      <c r="AE2306" s="107"/>
      <c r="AF2306" s="135">
        <f>SUM(T2306,V2306,X2306,Z2306,AB2306,AD2306)</f>
        <v>0</v>
      </c>
      <c r="AG2306" s="107"/>
      <c r="AH2306" s="136">
        <f>SUM(AF2306,R2306)</f>
        <v>0</v>
      </c>
      <c r="AI2306" s="107"/>
      <c r="AJ2306" s="65"/>
      <c r="AV2306" s="56"/>
    </row>
    <row r="2307" spans="2:48" ht="13.5" hidden="1" customHeight="1" outlineLevel="2">
      <c r="B2307" s="82"/>
      <c r="C2307" s="425"/>
      <c r="D2307" s="425"/>
      <c r="E2307" s="634"/>
      <c r="F2307" s="635"/>
      <c r="G2307" s="428"/>
      <c r="H2307" s="635"/>
      <c r="I2307" s="428"/>
      <c r="J2307" s="635"/>
      <c r="K2307" s="636"/>
      <c r="L2307" s="635"/>
      <c r="M2307" s="636"/>
      <c r="N2307" s="635"/>
      <c r="O2307" s="636"/>
      <c r="P2307" s="635"/>
      <c r="Q2307" s="636"/>
      <c r="R2307" s="637"/>
      <c r="S2307" s="698">
        <f>SUM(R1587:R1591)/1.18-(SUM(R2302:R2306)*'Mark Up Validation'!$M$175)</f>
        <v>0</v>
      </c>
      <c r="T2307" s="635"/>
      <c r="U2307" s="636"/>
      <c r="V2307" s="635"/>
      <c r="W2307" s="636"/>
      <c r="X2307" s="635"/>
      <c r="Y2307" s="636"/>
      <c r="Z2307" s="635"/>
      <c r="AA2307" s="636"/>
      <c r="AB2307" s="635"/>
      <c r="AC2307" s="636"/>
      <c r="AD2307" s="635"/>
      <c r="AE2307" s="636"/>
      <c r="AF2307" s="637"/>
      <c r="AG2307" s="698">
        <f>SUM(AF1587:AF1591)/1.18-SUM(AF2302:AF2306)*'Mark Up Validation'!$M$175</f>
        <v>0</v>
      </c>
      <c r="AH2307" s="638"/>
      <c r="AI2307" s="698">
        <f>SUM(AH1587:AH1591)/1.18-SUM(AH2302:AH2306)*'Mark Up Validation'!$M$175</f>
        <v>0</v>
      </c>
      <c r="AJ2307" s="65"/>
      <c r="AV2307" s="56"/>
    </row>
    <row r="2308" spans="2:48" ht="13.5" hidden="1" customHeight="1" outlineLevel="2" thickBot="1">
      <c r="B2308" s="82"/>
      <c r="C2308" s="1228" t="s">
        <v>538</v>
      </c>
      <c r="D2308" s="1229"/>
      <c r="E2308" s="699"/>
      <c r="F2308" s="700"/>
      <c r="G2308" s="701"/>
      <c r="H2308" s="700"/>
      <c r="I2308" s="701"/>
      <c r="J2308" s="700"/>
      <c r="K2308" s="702"/>
      <c r="L2308" s="700"/>
      <c r="M2308" s="702"/>
      <c r="N2308" s="700"/>
      <c r="O2308" s="702"/>
      <c r="P2308" s="700"/>
      <c r="Q2308" s="702"/>
      <c r="R2308" s="703"/>
      <c r="S2308" s="729">
        <f>IF(S2307&gt;0,S2307/(SUM(R1587:R1591)/1.18),0)</f>
        <v>0</v>
      </c>
      <c r="T2308" s="700"/>
      <c r="U2308" s="702"/>
      <c r="V2308" s="700"/>
      <c r="W2308" s="702"/>
      <c r="X2308" s="700"/>
      <c r="Y2308" s="702"/>
      <c r="Z2308" s="700"/>
      <c r="AA2308" s="702"/>
      <c r="AB2308" s="700"/>
      <c r="AC2308" s="702"/>
      <c r="AD2308" s="700"/>
      <c r="AE2308" s="702"/>
      <c r="AF2308" s="705"/>
      <c r="AG2308" s="729">
        <f>IF(AG2307&gt;0,AG2307/(SUM(AF1587:AF1591)/1.18),0)</f>
        <v>0</v>
      </c>
      <c r="AH2308" s="706"/>
      <c r="AI2308" s="729">
        <f>IF(AI2307&gt;0,AI2307/(SUM(AH1587:AH1591)/1.18),0)</f>
        <v>0</v>
      </c>
      <c r="AJ2308" s="65"/>
      <c r="AV2308" s="56"/>
    </row>
    <row r="2309" spans="2:48" ht="12.75" hidden="1" customHeight="1" outlineLevel="2">
      <c r="B2309" s="82">
        <f>B2302+1</f>
        <v>21</v>
      </c>
      <c r="C2309" s="1233">
        <f>C1594</f>
        <v>0</v>
      </c>
      <c r="D2309" s="1233">
        <f>D1594</f>
        <v>0</v>
      </c>
      <c r="E2309" s="83" t="str">
        <f>'Terms and Turnovers'!$J$12</f>
        <v>FLIP-FLOPS</v>
      </c>
      <c r="F2309" s="68">
        <f>F1594/'Terms and Turnovers'!$J152</f>
        <v>0</v>
      </c>
      <c r="G2309" s="106"/>
      <c r="H2309" s="68">
        <f>H1594/'Terms and Turnovers'!$J152</f>
        <v>0</v>
      </c>
      <c r="I2309" s="106"/>
      <c r="J2309" s="68">
        <f>J1594/'Terms and Turnovers'!$J152</f>
        <v>0</v>
      </c>
      <c r="K2309" s="106"/>
      <c r="L2309" s="68">
        <f>L1594/'Terms and Turnovers'!$J152</f>
        <v>0</v>
      </c>
      <c r="M2309" s="106"/>
      <c r="N2309" s="68">
        <f>N1594/'Terms and Turnovers'!$J152</f>
        <v>0</v>
      </c>
      <c r="O2309" s="106"/>
      <c r="P2309" s="68">
        <f>P1594/'Terms and Turnovers'!$J152</f>
        <v>0</v>
      </c>
      <c r="Q2309" s="106"/>
      <c r="R2309" s="129">
        <f>SUM(F2309,H2309,J2309,L2309,N2309,P2309)</f>
        <v>0</v>
      </c>
      <c r="S2309" s="106"/>
      <c r="T2309" s="68">
        <f>T1594/'Terms and Turnovers'!$J152</f>
        <v>0</v>
      </c>
      <c r="U2309" s="106"/>
      <c r="V2309" s="68">
        <f>V1594/'Terms and Turnovers'!$J152</f>
        <v>0</v>
      </c>
      <c r="W2309" s="106"/>
      <c r="X2309" s="68">
        <f>X1594/'Terms and Turnovers'!$J152</f>
        <v>0</v>
      </c>
      <c r="Y2309" s="106"/>
      <c r="Z2309" s="68">
        <f>Z1594/'Terms and Turnovers'!$J152</f>
        <v>0</v>
      </c>
      <c r="AA2309" s="106"/>
      <c r="AB2309" s="68">
        <f>AB1594/'Terms and Turnovers'!$J152</f>
        <v>0</v>
      </c>
      <c r="AC2309" s="106"/>
      <c r="AD2309" s="68">
        <f>AD1594/'Terms and Turnovers'!$J152</f>
        <v>0</v>
      </c>
      <c r="AE2309" s="106"/>
      <c r="AF2309" s="129">
        <f>SUM(T2309,V2309,X2309,Z2309,AB2309,AD2309)</f>
        <v>0</v>
      </c>
      <c r="AG2309" s="106"/>
      <c r="AH2309" s="130">
        <f>SUM(AF2309,R2309)</f>
        <v>0</v>
      </c>
      <c r="AI2309" s="106"/>
      <c r="AJ2309" s="65"/>
      <c r="AV2309" s="56"/>
    </row>
    <row r="2310" spans="2:48" ht="12.75" hidden="1" customHeight="1" outlineLevel="2" thickBot="1">
      <c r="B2310" s="82"/>
      <c r="C2310" s="1234"/>
      <c r="D2310" s="1234"/>
      <c r="E2310" s="84" t="str">
        <f>'Terms and Turnovers'!$T$12</f>
        <v>ORIGINALS</v>
      </c>
      <c r="F2310" s="70">
        <f>F1595/'Terms and Turnovers'!$T152</f>
        <v>0</v>
      </c>
      <c r="G2310" s="728"/>
      <c r="H2310" s="70">
        <f>H1595/'Terms and Turnovers'!$T152</f>
        <v>0</v>
      </c>
      <c r="I2310" s="728"/>
      <c r="J2310" s="70">
        <f>J1595/'Terms and Turnovers'!$T152</f>
        <v>0</v>
      </c>
      <c r="K2310" s="728"/>
      <c r="L2310" s="70">
        <f>L1595/'Terms and Turnovers'!$T152</f>
        <v>0</v>
      </c>
      <c r="M2310" s="728"/>
      <c r="N2310" s="70">
        <f>N1595/'Terms and Turnovers'!$T152</f>
        <v>0</v>
      </c>
      <c r="O2310" s="728"/>
      <c r="P2310" s="70">
        <f>P1595/'Terms and Turnovers'!$T152</f>
        <v>0</v>
      </c>
      <c r="Q2310" s="728"/>
      <c r="R2310" s="132">
        <f>SUM(F2310,H2310,J2310,L2310,N2310,P2310)</f>
        <v>0</v>
      </c>
      <c r="S2310" s="728"/>
      <c r="T2310" s="70">
        <f>T1595/'Terms and Turnovers'!$T152</f>
        <v>0</v>
      </c>
      <c r="U2310" s="728"/>
      <c r="V2310" s="70">
        <f>V1595/'Terms and Turnovers'!$T152</f>
        <v>0</v>
      </c>
      <c r="W2310" s="728"/>
      <c r="X2310" s="70">
        <f>X1595/'Terms and Turnovers'!$T152</f>
        <v>0</v>
      </c>
      <c r="Y2310" s="728"/>
      <c r="Z2310" s="70">
        <f>Z1595/'Terms and Turnovers'!$T152</f>
        <v>0</v>
      </c>
      <c r="AA2310" s="728"/>
      <c r="AB2310" s="70">
        <f>AB1595/'Terms and Turnovers'!$T152</f>
        <v>0</v>
      </c>
      <c r="AC2310" s="728"/>
      <c r="AD2310" s="70">
        <f>AD1595/'Terms and Turnovers'!$T152</f>
        <v>0</v>
      </c>
      <c r="AE2310" s="728"/>
      <c r="AF2310" s="132">
        <f>SUM(T2310,V2310,X2310,Z2310,AB2310,AD2310)</f>
        <v>0</v>
      </c>
      <c r="AG2310" s="728"/>
      <c r="AH2310" s="133">
        <f>SUM(AF2310,R2310)</f>
        <v>0</v>
      </c>
      <c r="AI2310" s="728"/>
      <c r="AJ2310" s="65"/>
      <c r="AV2310" s="56"/>
    </row>
    <row r="2311" spans="2:48" ht="12.75" hidden="1" customHeight="1" outlineLevel="2">
      <c r="B2311" s="82"/>
      <c r="C2311" s="1234"/>
      <c r="D2311" s="1234"/>
      <c r="E2311" s="84" t="str">
        <f>'Terms and Turnovers'!$AD$12</f>
        <v>ACCESSORIES</v>
      </c>
      <c r="F2311" s="68">
        <f>F1596/'Terms and Turnovers'!$AD152</f>
        <v>0</v>
      </c>
      <c r="G2311" s="728"/>
      <c r="H2311" s="68">
        <f>H1596/'Terms and Turnovers'!$AD152</f>
        <v>0</v>
      </c>
      <c r="I2311" s="728"/>
      <c r="J2311" s="68">
        <f>J1596/'Terms and Turnovers'!$AD152</f>
        <v>0</v>
      </c>
      <c r="K2311" s="728"/>
      <c r="L2311" s="68">
        <f>L1596/'Terms and Turnovers'!$AD152</f>
        <v>0</v>
      </c>
      <c r="M2311" s="728"/>
      <c r="N2311" s="68">
        <f>N1596/'Terms and Turnovers'!$AD152</f>
        <v>0</v>
      </c>
      <c r="O2311" s="728"/>
      <c r="P2311" s="68">
        <f>P1596/'Terms and Turnovers'!$AD152</f>
        <v>0</v>
      </c>
      <c r="Q2311" s="728"/>
      <c r="R2311" s="132">
        <f>SUM(F2311,H2311,J2311,L2311,N2311,P2311)</f>
        <v>0</v>
      </c>
      <c r="S2311" s="728"/>
      <c r="T2311" s="68">
        <f>T1596/'Terms and Turnovers'!$AD152</f>
        <v>0</v>
      </c>
      <c r="U2311" s="728"/>
      <c r="V2311" s="68">
        <f>V1596/'Terms and Turnovers'!$AD152</f>
        <v>0</v>
      </c>
      <c r="W2311" s="728"/>
      <c r="X2311" s="68">
        <f>X1596/'Terms and Turnovers'!$AD152</f>
        <v>0</v>
      </c>
      <c r="Y2311" s="728"/>
      <c r="Z2311" s="68">
        <f>Z1596/'Terms and Turnovers'!$AD152</f>
        <v>0</v>
      </c>
      <c r="AA2311" s="728"/>
      <c r="AB2311" s="68">
        <f>AB1596/'Terms and Turnovers'!$AD152</f>
        <v>0</v>
      </c>
      <c r="AC2311" s="728"/>
      <c r="AD2311" s="68">
        <f>AD1596/'Terms and Turnovers'!$AD152</f>
        <v>0</v>
      </c>
      <c r="AE2311" s="728"/>
      <c r="AF2311" s="132">
        <f>SUM(T2311,V2311,X2311,Z2311,AB2311,AD2311)</f>
        <v>0</v>
      </c>
      <c r="AG2311" s="728"/>
      <c r="AH2311" s="133">
        <f>SUM(AF2311,R2311)</f>
        <v>0</v>
      </c>
      <c r="AI2311" s="728"/>
      <c r="AJ2311" s="65"/>
      <c r="AV2311" s="56"/>
    </row>
    <row r="2312" spans="2:48" ht="12.75" hidden="1" customHeight="1" outlineLevel="2" thickBot="1">
      <c r="B2312" s="82"/>
      <c r="C2312" s="1234"/>
      <c r="D2312" s="1234"/>
      <c r="E2312" s="84">
        <f>'Terms and Turnovers'!$AN$12</f>
        <v>0</v>
      </c>
      <c r="F2312" s="70">
        <f>F1597/'Terms and Turnovers'!$AN152</f>
        <v>0</v>
      </c>
      <c r="G2312" s="728"/>
      <c r="H2312" s="70">
        <f>H1597/'Terms and Turnovers'!$AN152</f>
        <v>0</v>
      </c>
      <c r="I2312" s="728"/>
      <c r="J2312" s="70">
        <f>J1597/'Terms and Turnovers'!$AN152</f>
        <v>0</v>
      </c>
      <c r="K2312" s="728"/>
      <c r="L2312" s="70">
        <f>L1597/'Terms and Turnovers'!$AN152</f>
        <v>0</v>
      </c>
      <c r="M2312" s="728"/>
      <c r="N2312" s="70">
        <f>N1597/'Terms and Turnovers'!$AN152</f>
        <v>0</v>
      </c>
      <c r="O2312" s="728"/>
      <c r="P2312" s="70">
        <f>P1597/'Terms and Turnovers'!$AN152</f>
        <v>0</v>
      </c>
      <c r="Q2312" s="728"/>
      <c r="R2312" s="132">
        <f>SUM(F2312,H2312,J2312,L2312,N2312,P2312)</f>
        <v>0</v>
      </c>
      <c r="S2312" s="728"/>
      <c r="T2312" s="70">
        <f>T1597/'Terms and Turnovers'!$AN152</f>
        <v>0</v>
      </c>
      <c r="U2312" s="728"/>
      <c r="V2312" s="70">
        <f>V1597/'Terms and Turnovers'!$AN152</f>
        <v>0</v>
      </c>
      <c r="W2312" s="728"/>
      <c r="X2312" s="70">
        <f>X1597/'Terms and Turnovers'!$AN152</f>
        <v>0</v>
      </c>
      <c r="Y2312" s="728"/>
      <c r="Z2312" s="70">
        <f>Z1597/'Terms and Turnovers'!$AN152</f>
        <v>0</v>
      </c>
      <c r="AA2312" s="728"/>
      <c r="AB2312" s="70">
        <f>AB1597/'Terms and Turnovers'!$AN152</f>
        <v>0</v>
      </c>
      <c r="AC2312" s="728"/>
      <c r="AD2312" s="70">
        <f>AD1597/'Terms and Turnovers'!$AN152</f>
        <v>0</v>
      </c>
      <c r="AE2312" s="728"/>
      <c r="AF2312" s="132">
        <f>SUM(T2312,V2312,X2312,Z2312,AB2312,AD2312)</f>
        <v>0</v>
      </c>
      <c r="AG2312" s="728"/>
      <c r="AH2312" s="133">
        <f>SUM(AF2312,R2312)</f>
        <v>0</v>
      </c>
      <c r="AI2312" s="728"/>
      <c r="AJ2312" s="65"/>
      <c r="AV2312" s="56"/>
    </row>
    <row r="2313" spans="2:48" ht="13.5" hidden="1" customHeight="1" outlineLevel="2" thickBot="1">
      <c r="B2313" s="82"/>
      <c r="C2313" s="1235"/>
      <c r="D2313" s="1235"/>
      <c r="E2313" s="85">
        <f>'Terms and Turnovers'!$AX$12</f>
        <v>0</v>
      </c>
      <c r="F2313" s="68">
        <f>F1598/'Terms and Turnovers'!$AX152</f>
        <v>0</v>
      </c>
      <c r="G2313" s="107"/>
      <c r="H2313" s="68">
        <f>H1598/'Terms and Turnovers'!$AX152</f>
        <v>0</v>
      </c>
      <c r="I2313" s="107"/>
      <c r="J2313" s="68">
        <f>J1598/'Terms and Turnovers'!$AX152</f>
        <v>0</v>
      </c>
      <c r="K2313" s="107"/>
      <c r="L2313" s="68">
        <f>L1598/'Terms and Turnovers'!$AX152</f>
        <v>0</v>
      </c>
      <c r="M2313" s="107"/>
      <c r="N2313" s="68">
        <f>N1598/'Terms and Turnovers'!$AX152</f>
        <v>0</v>
      </c>
      <c r="O2313" s="107"/>
      <c r="P2313" s="68">
        <f>P1598/'Terms and Turnovers'!$AX152</f>
        <v>0</v>
      </c>
      <c r="Q2313" s="107"/>
      <c r="R2313" s="135">
        <f>SUM(F2313,H2313,J2313,L2313,N2313,P2313)</f>
        <v>0</v>
      </c>
      <c r="S2313" s="107"/>
      <c r="T2313" s="68">
        <f>T1598/'Terms and Turnovers'!$AX152</f>
        <v>0</v>
      </c>
      <c r="U2313" s="107"/>
      <c r="V2313" s="68">
        <f>V1598/'Terms and Turnovers'!$AX152</f>
        <v>0</v>
      </c>
      <c r="W2313" s="107"/>
      <c r="X2313" s="68">
        <f>X1598/'Terms and Turnovers'!$AX152</f>
        <v>0</v>
      </c>
      <c r="Y2313" s="107"/>
      <c r="Z2313" s="68">
        <f>Z1598/'Terms and Turnovers'!$AX152</f>
        <v>0</v>
      </c>
      <c r="AA2313" s="107"/>
      <c r="AB2313" s="68">
        <f>AB1598/'Terms and Turnovers'!$AX152</f>
        <v>0</v>
      </c>
      <c r="AC2313" s="107"/>
      <c r="AD2313" s="68">
        <f>AD1598/'Terms and Turnovers'!$AX152</f>
        <v>0</v>
      </c>
      <c r="AE2313" s="107"/>
      <c r="AF2313" s="135">
        <f>SUM(T2313,V2313,X2313,Z2313,AB2313,AD2313)</f>
        <v>0</v>
      </c>
      <c r="AG2313" s="107"/>
      <c r="AH2313" s="136">
        <f>SUM(AF2313,R2313)</f>
        <v>0</v>
      </c>
      <c r="AI2313" s="107"/>
      <c r="AJ2313" s="65"/>
      <c r="AV2313" s="56"/>
    </row>
    <row r="2314" spans="2:48" ht="13.5" hidden="1" customHeight="1" outlineLevel="2">
      <c r="B2314" s="82"/>
      <c r="C2314" s="425"/>
      <c r="D2314" s="425"/>
      <c r="E2314" s="634"/>
      <c r="F2314" s="635"/>
      <c r="G2314" s="428"/>
      <c r="H2314" s="635"/>
      <c r="I2314" s="428"/>
      <c r="J2314" s="635"/>
      <c r="K2314" s="636"/>
      <c r="L2314" s="635"/>
      <c r="M2314" s="636"/>
      <c r="N2314" s="635"/>
      <c r="O2314" s="636"/>
      <c r="P2314" s="635"/>
      <c r="Q2314" s="636"/>
      <c r="R2314" s="637"/>
      <c r="S2314" s="698">
        <f>SUM(R1594:R1598)/1.18-(SUM(R2309:R2313)*'Mark Up Validation'!$M$175)</f>
        <v>0</v>
      </c>
      <c r="T2314" s="635"/>
      <c r="U2314" s="636"/>
      <c r="V2314" s="635"/>
      <c r="W2314" s="636"/>
      <c r="X2314" s="635"/>
      <c r="Y2314" s="636"/>
      <c r="Z2314" s="635"/>
      <c r="AA2314" s="636"/>
      <c r="AB2314" s="635"/>
      <c r="AC2314" s="636"/>
      <c r="AD2314" s="635"/>
      <c r="AE2314" s="636"/>
      <c r="AF2314" s="637"/>
      <c r="AG2314" s="698">
        <f>SUM(AF1594:AF1598)/1.18-SUM(AF2309:AF2313)*'Mark Up Validation'!$M$175</f>
        <v>0</v>
      </c>
      <c r="AH2314" s="638"/>
      <c r="AI2314" s="698">
        <f>SUM(AH1594:AH1598)/1.18-SUM(AH2309:AH2313)*'Mark Up Validation'!$M$175</f>
        <v>0</v>
      </c>
      <c r="AJ2314" s="65"/>
      <c r="AV2314" s="56"/>
    </row>
    <row r="2315" spans="2:48" ht="13.5" hidden="1" customHeight="1" outlineLevel="2" thickBot="1">
      <c r="B2315" s="82"/>
      <c r="C2315" s="1228" t="s">
        <v>538</v>
      </c>
      <c r="D2315" s="1229"/>
      <c r="E2315" s="699"/>
      <c r="F2315" s="700"/>
      <c r="G2315" s="701"/>
      <c r="H2315" s="700"/>
      <c r="I2315" s="701"/>
      <c r="J2315" s="700"/>
      <c r="K2315" s="702"/>
      <c r="L2315" s="700"/>
      <c r="M2315" s="702"/>
      <c r="N2315" s="700"/>
      <c r="O2315" s="702"/>
      <c r="P2315" s="700"/>
      <c r="Q2315" s="702"/>
      <c r="R2315" s="703"/>
      <c r="S2315" s="729">
        <f>IF(S2314&gt;0,S2314/(SUM(R1594:R1598)/1.18),0)</f>
        <v>0</v>
      </c>
      <c r="T2315" s="700"/>
      <c r="U2315" s="702"/>
      <c r="V2315" s="700"/>
      <c r="W2315" s="702"/>
      <c r="X2315" s="700"/>
      <c r="Y2315" s="702"/>
      <c r="Z2315" s="700"/>
      <c r="AA2315" s="702"/>
      <c r="AB2315" s="700"/>
      <c r="AC2315" s="702"/>
      <c r="AD2315" s="700"/>
      <c r="AE2315" s="702"/>
      <c r="AF2315" s="705"/>
      <c r="AG2315" s="729">
        <f>IF(AG2314&gt;0,AG2314/(SUM(AF1594:AF1598)/1.18),0)</f>
        <v>0</v>
      </c>
      <c r="AH2315" s="706"/>
      <c r="AI2315" s="729">
        <f>IF(AI2314&gt;0,AI2314/(SUM(AH1594:AH1598)/1.18),0)</f>
        <v>0</v>
      </c>
      <c r="AJ2315" s="65"/>
      <c r="AV2315" s="56"/>
    </row>
    <row r="2316" spans="2:48" ht="12.75" hidden="1" customHeight="1" outlineLevel="2">
      <c r="B2316" s="82">
        <f>B2309+1</f>
        <v>22</v>
      </c>
      <c r="C2316" s="1233">
        <f>C1601</f>
        <v>0</v>
      </c>
      <c r="D2316" s="1233">
        <f>D1601</f>
        <v>0</v>
      </c>
      <c r="E2316" s="83" t="str">
        <f>'Terms and Turnovers'!$J$12</f>
        <v>FLIP-FLOPS</v>
      </c>
      <c r="F2316" s="68">
        <f>F1601/'Terms and Turnovers'!$J153</f>
        <v>0</v>
      </c>
      <c r="G2316" s="106"/>
      <c r="H2316" s="68">
        <f>H1601/'Terms and Turnovers'!$J153</f>
        <v>0</v>
      </c>
      <c r="I2316" s="106"/>
      <c r="J2316" s="68">
        <f>J1601/'Terms and Turnovers'!$J153</f>
        <v>0</v>
      </c>
      <c r="K2316" s="106"/>
      <c r="L2316" s="68">
        <f>L1601/'Terms and Turnovers'!$J153</f>
        <v>0</v>
      </c>
      <c r="M2316" s="106"/>
      <c r="N2316" s="68">
        <f>N1601/'Terms and Turnovers'!$J153</f>
        <v>0</v>
      </c>
      <c r="O2316" s="106"/>
      <c r="P2316" s="68">
        <f>P1601/'Terms and Turnovers'!$J153</f>
        <v>0</v>
      </c>
      <c r="Q2316" s="106"/>
      <c r="R2316" s="129">
        <f>SUM(F2316,H2316,J2316,L2316,N2316,P2316)</f>
        <v>0</v>
      </c>
      <c r="S2316" s="106"/>
      <c r="T2316" s="68">
        <f>T1601/'Terms and Turnovers'!$J153</f>
        <v>0</v>
      </c>
      <c r="U2316" s="106"/>
      <c r="V2316" s="68">
        <f>V1601/'Terms and Turnovers'!$J153</f>
        <v>0</v>
      </c>
      <c r="W2316" s="106"/>
      <c r="X2316" s="68">
        <f>X1601/'Terms and Turnovers'!$J153</f>
        <v>0</v>
      </c>
      <c r="Y2316" s="106"/>
      <c r="Z2316" s="68">
        <f>Z1601/'Terms and Turnovers'!$J153</f>
        <v>0</v>
      </c>
      <c r="AA2316" s="106"/>
      <c r="AB2316" s="68">
        <f>AB1601/'Terms and Turnovers'!$J153</f>
        <v>0</v>
      </c>
      <c r="AC2316" s="106"/>
      <c r="AD2316" s="68">
        <f>AD1601/'Terms and Turnovers'!$J153</f>
        <v>0</v>
      </c>
      <c r="AE2316" s="106"/>
      <c r="AF2316" s="129">
        <f>SUM(T2316,V2316,X2316,Z2316,AB2316,AD2316)</f>
        <v>0</v>
      </c>
      <c r="AG2316" s="106"/>
      <c r="AH2316" s="130">
        <f>SUM(AF2316,R2316)</f>
        <v>0</v>
      </c>
      <c r="AI2316" s="106"/>
      <c r="AJ2316" s="65"/>
      <c r="AV2316" s="56"/>
    </row>
    <row r="2317" spans="2:48" ht="12.75" hidden="1" customHeight="1" outlineLevel="2" thickBot="1">
      <c r="B2317" s="82"/>
      <c r="C2317" s="1234"/>
      <c r="D2317" s="1234"/>
      <c r="E2317" s="84" t="str">
        <f>'Terms and Turnovers'!$T$12</f>
        <v>ORIGINALS</v>
      </c>
      <c r="F2317" s="70">
        <f>F1602/'Terms and Turnovers'!$T153</f>
        <v>0</v>
      </c>
      <c r="G2317" s="728"/>
      <c r="H2317" s="70">
        <f>H1602/'Terms and Turnovers'!$T153</f>
        <v>0</v>
      </c>
      <c r="I2317" s="728"/>
      <c r="J2317" s="70">
        <f>J1602/'Terms and Turnovers'!$T153</f>
        <v>0</v>
      </c>
      <c r="K2317" s="728"/>
      <c r="L2317" s="70">
        <f>L1602/'Terms and Turnovers'!$T153</f>
        <v>0</v>
      </c>
      <c r="M2317" s="728"/>
      <c r="N2317" s="70">
        <f>N1602/'Terms and Turnovers'!$T153</f>
        <v>0</v>
      </c>
      <c r="O2317" s="728"/>
      <c r="P2317" s="70">
        <f>P1602/'Terms and Turnovers'!$T153</f>
        <v>0</v>
      </c>
      <c r="Q2317" s="728"/>
      <c r="R2317" s="132">
        <f>SUM(F2317,H2317,J2317,L2317,N2317,P2317)</f>
        <v>0</v>
      </c>
      <c r="S2317" s="728"/>
      <c r="T2317" s="70">
        <f>T1602/'Terms and Turnovers'!$T153</f>
        <v>0</v>
      </c>
      <c r="U2317" s="728"/>
      <c r="V2317" s="70">
        <f>V1602/'Terms and Turnovers'!$T153</f>
        <v>0</v>
      </c>
      <c r="W2317" s="728"/>
      <c r="X2317" s="70">
        <f>X1602/'Terms and Turnovers'!$T153</f>
        <v>0</v>
      </c>
      <c r="Y2317" s="728"/>
      <c r="Z2317" s="70">
        <f>Z1602/'Terms and Turnovers'!$T153</f>
        <v>0</v>
      </c>
      <c r="AA2317" s="728"/>
      <c r="AB2317" s="70">
        <f>AB1602/'Terms and Turnovers'!$T153</f>
        <v>0</v>
      </c>
      <c r="AC2317" s="728"/>
      <c r="AD2317" s="70">
        <f>AD1602/'Terms and Turnovers'!$T153</f>
        <v>0</v>
      </c>
      <c r="AE2317" s="728"/>
      <c r="AF2317" s="132">
        <f>SUM(T2317,V2317,X2317,Z2317,AB2317,AD2317)</f>
        <v>0</v>
      </c>
      <c r="AG2317" s="728"/>
      <c r="AH2317" s="133">
        <f>SUM(AF2317,R2317)</f>
        <v>0</v>
      </c>
      <c r="AI2317" s="728"/>
      <c r="AJ2317" s="65"/>
      <c r="AV2317" s="56"/>
    </row>
    <row r="2318" spans="2:48" ht="12.75" hidden="1" customHeight="1" outlineLevel="2">
      <c r="B2318" s="82"/>
      <c r="C2318" s="1234"/>
      <c r="D2318" s="1234"/>
      <c r="E2318" s="84" t="str">
        <f>'Terms and Turnovers'!$AD$12</f>
        <v>ACCESSORIES</v>
      </c>
      <c r="F2318" s="68">
        <f>F1603/'Terms and Turnovers'!$AD153</f>
        <v>0</v>
      </c>
      <c r="G2318" s="728"/>
      <c r="H2318" s="68">
        <f>H1603/'Terms and Turnovers'!$AD153</f>
        <v>0</v>
      </c>
      <c r="I2318" s="728"/>
      <c r="J2318" s="68">
        <f>J1603/'Terms and Turnovers'!$AD153</f>
        <v>0</v>
      </c>
      <c r="K2318" s="728"/>
      <c r="L2318" s="68">
        <f>L1603/'Terms and Turnovers'!$AD153</f>
        <v>0</v>
      </c>
      <c r="M2318" s="728"/>
      <c r="N2318" s="68">
        <f>N1603/'Terms and Turnovers'!$AD153</f>
        <v>0</v>
      </c>
      <c r="O2318" s="728"/>
      <c r="P2318" s="68">
        <f>P1603/'Terms and Turnovers'!$AD153</f>
        <v>0</v>
      </c>
      <c r="Q2318" s="728"/>
      <c r="R2318" s="132">
        <f>SUM(F2318,H2318,J2318,L2318,N2318,P2318)</f>
        <v>0</v>
      </c>
      <c r="S2318" s="728"/>
      <c r="T2318" s="68">
        <f>T1603/'Terms and Turnovers'!$AD153</f>
        <v>0</v>
      </c>
      <c r="U2318" s="728"/>
      <c r="V2318" s="68">
        <f>V1603/'Terms and Turnovers'!$AD153</f>
        <v>0</v>
      </c>
      <c r="W2318" s="728"/>
      <c r="X2318" s="68">
        <f>X1603/'Terms and Turnovers'!$AD153</f>
        <v>0</v>
      </c>
      <c r="Y2318" s="728"/>
      <c r="Z2318" s="68">
        <f>Z1603/'Terms and Turnovers'!$AD153</f>
        <v>0</v>
      </c>
      <c r="AA2318" s="728"/>
      <c r="AB2318" s="68">
        <f>AB1603/'Terms and Turnovers'!$AD153</f>
        <v>0</v>
      </c>
      <c r="AC2318" s="728"/>
      <c r="AD2318" s="68">
        <f>AD1603/'Terms and Turnovers'!$AD153</f>
        <v>0</v>
      </c>
      <c r="AE2318" s="728"/>
      <c r="AF2318" s="132">
        <f>SUM(T2318,V2318,X2318,Z2318,AB2318,AD2318)</f>
        <v>0</v>
      </c>
      <c r="AG2318" s="728"/>
      <c r="AH2318" s="133">
        <f>SUM(AF2318,R2318)</f>
        <v>0</v>
      </c>
      <c r="AI2318" s="728"/>
      <c r="AJ2318" s="65"/>
      <c r="AV2318" s="56"/>
    </row>
    <row r="2319" spans="2:48" ht="12.75" hidden="1" customHeight="1" outlineLevel="2" thickBot="1">
      <c r="B2319" s="82"/>
      <c r="C2319" s="1234"/>
      <c r="D2319" s="1234"/>
      <c r="E2319" s="84">
        <f>'Terms and Turnovers'!$AN$12</f>
        <v>0</v>
      </c>
      <c r="F2319" s="70">
        <f>F1604/'Terms and Turnovers'!$AN153</f>
        <v>0</v>
      </c>
      <c r="G2319" s="728"/>
      <c r="H2319" s="70">
        <f>H1604/'Terms and Turnovers'!$AN153</f>
        <v>0</v>
      </c>
      <c r="I2319" s="728"/>
      <c r="J2319" s="70">
        <f>J1604/'Terms and Turnovers'!$AN153</f>
        <v>0</v>
      </c>
      <c r="K2319" s="728"/>
      <c r="L2319" s="70">
        <f>L1604/'Terms and Turnovers'!$AN153</f>
        <v>0</v>
      </c>
      <c r="M2319" s="728"/>
      <c r="N2319" s="70">
        <f>N1604/'Terms and Turnovers'!$AN153</f>
        <v>0</v>
      </c>
      <c r="O2319" s="728"/>
      <c r="P2319" s="70">
        <f>P1604/'Terms and Turnovers'!$AN153</f>
        <v>0</v>
      </c>
      <c r="Q2319" s="728"/>
      <c r="R2319" s="132">
        <f>SUM(F2319,H2319,J2319,L2319,N2319,P2319)</f>
        <v>0</v>
      </c>
      <c r="S2319" s="728"/>
      <c r="T2319" s="70">
        <f>T1604/'Terms and Turnovers'!$AN153</f>
        <v>0</v>
      </c>
      <c r="U2319" s="728"/>
      <c r="V2319" s="70">
        <f>V1604/'Terms and Turnovers'!$AN153</f>
        <v>0</v>
      </c>
      <c r="W2319" s="728"/>
      <c r="X2319" s="70">
        <f>X1604/'Terms and Turnovers'!$AN153</f>
        <v>0</v>
      </c>
      <c r="Y2319" s="728"/>
      <c r="Z2319" s="70">
        <f>Z1604/'Terms and Turnovers'!$AN153</f>
        <v>0</v>
      </c>
      <c r="AA2319" s="728"/>
      <c r="AB2319" s="70">
        <f>AB1604/'Terms and Turnovers'!$AN153</f>
        <v>0</v>
      </c>
      <c r="AC2319" s="728"/>
      <c r="AD2319" s="70">
        <f>AD1604/'Terms and Turnovers'!$AN153</f>
        <v>0</v>
      </c>
      <c r="AE2319" s="728"/>
      <c r="AF2319" s="132">
        <f>SUM(T2319,V2319,X2319,Z2319,AB2319,AD2319)</f>
        <v>0</v>
      </c>
      <c r="AG2319" s="728"/>
      <c r="AH2319" s="133">
        <f>SUM(AF2319,R2319)</f>
        <v>0</v>
      </c>
      <c r="AI2319" s="728"/>
      <c r="AJ2319" s="65"/>
      <c r="AV2319" s="56"/>
    </row>
    <row r="2320" spans="2:48" ht="13.5" hidden="1" customHeight="1" outlineLevel="2" thickBot="1">
      <c r="B2320" s="82"/>
      <c r="C2320" s="1235"/>
      <c r="D2320" s="1235"/>
      <c r="E2320" s="85">
        <f>'Terms and Turnovers'!$AX$12</f>
        <v>0</v>
      </c>
      <c r="F2320" s="68">
        <f>F1605/'Terms and Turnovers'!$AX153</f>
        <v>0</v>
      </c>
      <c r="G2320" s="107"/>
      <c r="H2320" s="68">
        <f>H1605/'Terms and Turnovers'!$AX153</f>
        <v>0</v>
      </c>
      <c r="I2320" s="107"/>
      <c r="J2320" s="68">
        <f>J1605/'Terms and Turnovers'!$AX153</f>
        <v>0</v>
      </c>
      <c r="K2320" s="107"/>
      <c r="L2320" s="68">
        <f>L1605/'Terms and Turnovers'!$AX153</f>
        <v>0</v>
      </c>
      <c r="M2320" s="107"/>
      <c r="N2320" s="68">
        <f>N1605/'Terms and Turnovers'!$AX153</f>
        <v>0</v>
      </c>
      <c r="O2320" s="107"/>
      <c r="P2320" s="68">
        <f>P1605/'Terms and Turnovers'!$AX153</f>
        <v>0</v>
      </c>
      <c r="Q2320" s="107"/>
      <c r="R2320" s="135">
        <f>SUM(F2320,H2320,J2320,L2320,N2320,P2320)</f>
        <v>0</v>
      </c>
      <c r="S2320" s="107"/>
      <c r="T2320" s="68">
        <f>T1605/'Terms and Turnovers'!$AX153</f>
        <v>0</v>
      </c>
      <c r="U2320" s="107"/>
      <c r="V2320" s="68">
        <f>V1605/'Terms and Turnovers'!$AX153</f>
        <v>0</v>
      </c>
      <c r="W2320" s="107"/>
      <c r="X2320" s="68">
        <f>X1605/'Terms and Turnovers'!$AX153</f>
        <v>0</v>
      </c>
      <c r="Y2320" s="107"/>
      <c r="Z2320" s="68">
        <f>Z1605/'Terms and Turnovers'!$AX153</f>
        <v>0</v>
      </c>
      <c r="AA2320" s="107"/>
      <c r="AB2320" s="68">
        <f>AB1605/'Terms and Turnovers'!$AX153</f>
        <v>0</v>
      </c>
      <c r="AC2320" s="107"/>
      <c r="AD2320" s="68">
        <f>AD1605/'Terms and Turnovers'!$AX153</f>
        <v>0</v>
      </c>
      <c r="AE2320" s="107"/>
      <c r="AF2320" s="135">
        <f>SUM(T2320,V2320,X2320,Z2320,AB2320,AD2320)</f>
        <v>0</v>
      </c>
      <c r="AG2320" s="107"/>
      <c r="AH2320" s="136">
        <f>SUM(AF2320,R2320)</f>
        <v>0</v>
      </c>
      <c r="AI2320" s="107"/>
      <c r="AJ2320" s="65"/>
      <c r="AV2320" s="56"/>
    </row>
    <row r="2321" spans="2:48" ht="13.5" hidden="1" customHeight="1" outlineLevel="2">
      <c r="B2321" s="82"/>
      <c r="C2321" s="425"/>
      <c r="D2321" s="425"/>
      <c r="E2321" s="634"/>
      <c r="F2321" s="635"/>
      <c r="G2321" s="428"/>
      <c r="H2321" s="635"/>
      <c r="I2321" s="428"/>
      <c r="J2321" s="635"/>
      <c r="K2321" s="636"/>
      <c r="L2321" s="635"/>
      <c r="M2321" s="636"/>
      <c r="N2321" s="635"/>
      <c r="O2321" s="636"/>
      <c r="P2321" s="635"/>
      <c r="Q2321" s="636"/>
      <c r="R2321" s="637"/>
      <c r="S2321" s="698">
        <f>SUM(R1601:R1605)/1.18-(SUM(R2316:R2320)*'Mark Up Validation'!$M$175)</f>
        <v>0</v>
      </c>
      <c r="T2321" s="635"/>
      <c r="U2321" s="636"/>
      <c r="V2321" s="635"/>
      <c r="W2321" s="636"/>
      <c r="X2321" s="635"/>
      <c r="Y2321" s="636"/>
      <c r="Z2321" s="635"/>
      <c r="AA2321" s="636"/>
      <c r="AB2321" s="635"/>
      <c r="AC2321" s="636"/>
      <c r="AD2321" s="635"/>
      <c r="AE2321" s="636"/>
      <c r="AF2321" s="637"/>
      <c r="AG2321" s="698">
        <f>SUM(AF1601:AF1605)/1.18-SUM(AF2316:AF2320)*'Mark Up Validation'!$M$175</f>
        <v>0</v>
      </c>
      <c r="AH2321" s="638"/>
      <c r="AI2321" s="698">
        <f>SUM(AH1601:AH1605)/1.18-SUM(AH2316:AH2320)*'Mark Up Validation'!$M$175</f>
        <v>0</v>
      </c>
      <c r="AJ2321" s="65"/>
      <c r="AV2321" s="56"/>
    </row>
    <row r="2322" spans="2:48" ht="13.5" hidden="1" customHeight="1" outlineLevel="2" thickBot="1">
      <c r="B2322" s="82"/>
      <c r="C2322" s="1228" t="s">
        <v>538</v>
      </c>
      <c r="D2322" s="1229"/>
      <c r="E2322" s="699"/>
      <c r="F2322" s="700"/>
      <c r="G2322" s="701"/>
      <c r="H2322" s="700"/>
      <c r="I2322" s="701"/>
      <c r="J2322" s="700"/>
      <c r="K2322" s="702"/>
      <c r="L2322" s="700"/>
      <c r="M2322" s="702"/>
      <c r="N2322" s="700"/>
      <c r="O2322" s="702"/>
      <c r="P2322" s="700"/>
      <c r="Q2322" s="702"/>
      <c r="R2322" s="703"/>
      <c r="S2322" s="729">
        <f>IF(S2321&gt;0,S2321/(SUM(R1601:R1605)/1.18),0)</f>
        <v>0</v>
      </c>
      <c r="T2322" s="700"/>
      <c r="U2322" s="702"/>
      <c r="V2322" s="700"/>
      <c r="W2322" s="702"/>
      <c r="X2322" s="700"/>
      <c r="Y2322" s="702"/>
      <c r="Z2322" s="700"/>
      <c r="AA2322" s="702"/>
      <c r="AB2322" s="700"/>
      <c r="AC2322" s="702"/>
      <c r="AD2322" s="700"/>
      <c r="AE2322" s="702"/>
      <c r="AF2322" s="705"/>
      <c r="AG2322" s="729">
        <f>IF(AG2321&gt;0,AG2321/(SUM(AF1601:AF1605)/1.18),0)</f>
        <v>0</v>
      </c>
      <c r="AH2322" s="706"/>
      <c r="AI2322" s="729">
        <f>IF(AI2321&gt;0,AI2321/(SUM(AH1601:AH1605)/1.18),0)</f>
        <v>0</v>
      </c>
      <c r="AJ2322" s="65"/>
      <c r="AV2322" s="56"/>
    </row>
    <row r="2323" spans="2:48" ht="12.75" hidden="1" customHeight="1" outlineLevel="2">
      <c r="B2323" s="82">
        <f>B2316+1</f>
        <v>23</v>
      </c>
      <c r="C2323" s="1233">
        <f>C1608</f>
        <v>0</v>
      </c>
      <c r="D2323" s="1233">
        <f>D1608</f>
        <v>0</v>
      </c>
      <c r="E2323" s="83" t="str">
        <f>'Terms and Turnovers'!$J$12</f>
        <v>FLIP-FLOPS</v>
      </c>
      <c r="F2323" s="68">
        <f>F1608/'Terms and Turnovers'!$J154</f>
        <v>0</v>
      </c>
      <c r="G2323" s="106"/>
      <c r="H2323" s="68">
        <f>H1608/'Terms and Turnovers'!$J154</f>
        <v>0</v>
      </c>
      <c r="I2323" s="106"/>
      <c r="J2323" s="68">
        <f>J1608/'Terms and Turnovers'!$J154</f>
        <v>0</v>
      </c>
      <c r="K2323" s="106"/>
      <c r="L2323" s="68">
        <f>L1608/'Terms and Turnovers'!$J154</f>
        <v>0</v>
      </c>
      <c r="M2323" s="106"/>
      <c r="N2323" s="68">
        <f>N1608/'Terms and Turnovers'!$J154</f>
        <v>0</v>
      </c>
      <c r="O2323" s="106"/>
      <c r="P2323" s="68">
        <f>P1608/'Terms and Turnovers'!$J154</f>
        <v>0</v>
      </c>
      <c r="Q2323" s="106"/>
      <c r="R2323" s="129">
        <f>SUM(F2323,H2323,J2323,L2323,N2323,P2323)</f>
        <v>0</v>
      </c>
      <c r="S2323" s="106"/>
      <c r="T2323" s="68">
        <f>T1608/'Terms and Turnovers'!$J154</f>
        <v>0</v>
      </c>
      <c r="U2323" s="106"/>
      <c r="V2323" s="68">
        <f>V1608/'Terms and Turnovers'!$J154</f>
        <v>0</v>
      </c>
      <c r="W2323" s="106"/>
      <c r="X2323" s="68">
        <f>X1608/'Terms and Turnovers'!$J154</f>
        <v>0</v>
      </c>
      <c r="Y2323" s="106"/>
      <c r="Z2323" s="68">
        <f>Z1608/'Terms and Turnovers'!$J154</f>
        <v>0</v>
      </c>
      <c r="AA2323" s="106"/>
      <c r="AB2323" s="68">
        <f>AB1608/'Terms and Turnovers'!$J154</f>
        <v>0</v>
      </c>
      <c r="AC2323" s="106"/>
      <c r="AD2323" s="68">
        <f>AD1608/'Terms and Turnovers'!$J154</f>
        <v>0</v>
      </c>
      <c r="AE2323" s="106"/>
      <c r="AF2323" s="129">
        <f>SUM(T2323,V2323,X2323,Z2323,AB2323,AD2323)</f>
        <v>0</v>
      </c>
      <c r="AG2323" s="106"/>
      <c r="AH2323" s="130">
        <f>SUM(AF2323,R2323)</f>
        <v>0</v>
      </c>
      <c r="AI2323" s="106"/>
      <c r="AJ2323" s="65"/>
      <c r="AV2323" s="56"/>
    </row>
    <row r="2324" spans="2:48" ht="12.75" hidden="1" customHeight="1" outlineLevel="2" thickBot="1">
      <c r="B2324" s="82"/>
      <c r="C2324" s="1234"/>
      <c r="D2324" s="1234"/>
      <c r="E2324" s="84" t="str">
        <f>'Terms and Turnovers'!$T$12</f>
        <v>ORIGINALS</v>
      </c>
      <c r="F2324" s="70">
        <f>F1609/'Terms and Turnovers'!$T154</f>
        <v>0</v>
      </c>
      <c r="G2324" s="728"/>
      <c r="H2324" s="70">
        <f>H1609/'Terms and Turnovers'!$T154</f>
        <v>0</v>
      </c>
      <c r="I2324" s="728"/>
      <c r="J2324" s="70">
        <f>J1609/'Terms and Turnovers'!$T154</f>
        <v>0</v>
      </c>
      <c r="K2324" s="728"/>
      <c r="L2324" s="70">
        <f>L1609/'Terms and Turnovers'!$T154</f>
        <v>0</v>
      </c>
      <c r="M2324" s="728"/>
      <c r="N2324" s="70">
        <f>N1609/'Terms and Turnovers'!$T154</f>
        <v>0</v>
      </c>
      <c r="O2324" s="728"/>
      <c r="P2324" s="70">
        <f>P1609/'Terms and Turnovers'!$T154</f>
        <v>0</v>
      </c>
      <c r="Q2324" s="728"/>
      <c r="R2324" s="132">
        <f>SUM(F2324,H2324,J2324,L2324,N2324,P2324)</f>
        <v>0</v>
      </c>
      <c r="S2324" s="728"/>
      <c r="T2324" s="70">
        <f>T1609/'Terms and Turnovers'!$T154</f>
        <v>0</v>
      </c>
      <c r="U2324" s="728"/>
      <c r="V2324" s="70">
        <f>V1609/'Terms and Turnovers'!$T154</f>
        <v>0</v>
      </c>
      <c r="W2324" s="728"/>
      <c r="X2324" s="70">
        <f>X1609/'Terms and Turnovers'!$T154</f>
        <v>0</v>
      </c>
      <c r="Y2324" s="728"/>
      <c r="Z2324" s="70">
        <f>Z1609/'Terms and Turnovers'!$T154</f>
        <v>0</v>
      </c>
      <c r="AA2324" s="728"/>
      <c r="AB2324" s="70">
        <f>AB1609/'Terms and Turnovers'!$T154</f>
        <v>0</v>
      </c>
      <c r="AC2324" s="728"/>
      <c r="AD2324" s="70">
        <f>AD1609/'Terms and Turnovers'!$T154</f>
        <v>0</v>
      </c>
      <c r="AE2324" s="728"/>
      <c r="AF2324" s="132">
        <f>SUM(T2324,V2324,X2324,Z2324,AB2324,AD2324)</f>
        <v>0</v>
      </c>
      <c r="AG2324" s="728"/>
      <c r="AH2324" s="133">
        <f>SUM(AF2324,R2324)</f>
        <v>0</v>
      </c>
      <c r="AI2324" s="728"/>
      <c r="AJ2324" s="65"/>
      <c r="AV2324" s="56"/>
    </row>
    <row r="2325" spans="2:48" ht="12.75" hidden="1" customHeight="1" outlineLevel="2">
      <c r="B2325" s="82"/>
      <c r="C2325" s="1234"/>
      <c r="D2325" s="1234"/>
      <c r="E2325" s="84" t="str">
        <f>'Terms and Turnovers'!$AD$12</f>
        <v>ACCESSORIES</v>
      </c>
      <c r="F2325" s="68">
        <f>F1610/'Terms and Turnovers'!$AD154</f>
        <v>0</v>
      </c>
      <c r="G2325" s="728"/>
      <c r="H2325" s="68">
        <f>H1610/'Terms and Turnovers'!$AD154</f>
        <v>0</v>
      </c>
      <c r="I2325" s="728"/>
      <c r="J2325" s="68">
        <f>J1610/'Terms and Turnovers'!$AD154</f>
        <v>0</v>
      </c>
      <c r="K2325" s="728"/>
      <c r="L2325" s="68">
        <f>L1610/'Terms and Turnovers'!$AD154</f>
        <v>0</v>
      </c>
      <c r="M2325" s="728"/>
      <c r="N2325" s="68">
        <f>N1610/'Terms and Turnovers'!$AD154</f>
        <v>0</v>
      </c>
      <c r="O2325" s="728"/>
      <c r="P2325" s="68">
        <f>P1610/'Terms and Turnovers'!$AD154</f>
        <v>0</v>
      </c>
      <c r="Q2325" s="728"/>
      <c r="R2325" s="132">
        <f>SUM(F2325,H2325,J2325,L2325,N2325,P2325)</f>
        <v>0</v>
      </c>
      <c r="S2325" s="728"/>
      <c r="T2325" s="68">
        <f>T1610/'Terms and Turnovers'!$AD154</f>
        <v>0</v>
      </c>
      <c r="U2325" s="728"/>
      <c r="V2325" s="68">
        <f>V1610/'Terms and Turnovers'!$AD154</f>
        <v>0</v>
      </c>
      <c r="W2325" s="728"/>
      <c r="X2325" s="68">
        <f>X1610/'Terms and Turnovers'!$AD154</f>
        <v>0</v>
      </c>
      <c r="Y2325" s="728"/>
      <c r="Z2325" s="68">
        <f>Z1610/'Terms and Turnovers'!$AD154</f>
        <v>0</v>
      </c>
      <c r="AA2325" s="728"/>
      <c r="AB2325" s="68">
        <f>AB1610/'Terms and Turnovers'!$AD154</f>
        <v>0</v>
      </c>
      <c r="AC2325" s="728"/>
      <c r="AD2325" s="68">
        <f>AD1610/'Terms and Turnovers'!$AD154</f>
        <v>0</v>
      </c>
      <c r="AE2325" s="728"/>
      <c r="AF2325" s="132">
        <f>SUM(T2325,V2325,X2325,Z2325,AB2325,AD2325)</f>
        <v>0</v>
      </c>
      <c r="AG2325" s="728"/>
      <c r="AH2325" s="133">
        <f>SUM(AF2325,R2325)</f>
        <v>0</v>
      </c>
      <c r="AI2325" s="728"/>
      <c r="AJ2325" s="65"/>
      <c r="AV2325" s="56"/>
    </row>
    <row r="2326" spans="2:48" ht="12.75" hidden="1" customHeight="1" outlineLevel="2" thickBot="1">
      <c r="B2326" s="82"/>
      <c r="C2326" s="1234"/>
      <c r="D2326" s="1234"/>
      <c r="E2326" s="84">
        <f>'Terms and Turnovers'!$AN$12</f>
        <v>0</v>
      </c>
      <c r="F2326" s="70">
        <f>F1611/'Terms and Turnovers'!$AN154</f>
        <v>0</v>
      </c>
      <c r="G2326" s="728"/>
      <c r="H2326" s="70">
        <f>H1611/'Terms and Turnovers'!$AN154</f>
        <v>0</v>
      </c>
      <c r="I2326" s="728"/>
      <c r="J2326" s="70">
        <f>J1611/'Terms and Turnovers'!$AN154</f>
        <v>0</v>
      </c>
      <c r="K2326" s="728"/>
      <c r="L2326" s="70">
        <f>L1611/'Terms and Turnovers'!$AN154</f>
        <v>0</v>
      </c>
      <c r="M2326" s="728"/>
      <c r="N2326" s="70">
        <f>N1611/'Terms and Turnovers'!$AN154</f>
        <v>0</v>
      </c>
      <c r="O2326" s="728"/>
      <c r="P2326" s="70">
        <f>P1611/'Terms and Turnovers'!$AN154</f>
        <v>0</v>
      </c>
      <c r="Q2326" s="728"/>
      <c r="R2326" s="132">
        <f>SUM(F2326,H2326,J2326,L2326,N2326,P2326)</f>
        <v>0</v>
      </c>
      <c r="S2326" s="728"/>
      <c r="T2326" s="70">
        <f>T1611/'Terms and Turnovers'!$AN154</f>
        <v>0</v>
      </c>
      <c r="U2326" s="728"/>
      <c r="V2326" s="70">
        <f>V1611/'Terms and Turnovers'!$AN154</f>
        <v>0</v>
      </c>
      <c r="W2326" s="728"/>
      <c r="X2326" s="70">
        <f>X1611/'Terms and Turnovers'!$AN154</f>
        <v>0</v>
      </c>
      <c r="Y2326" s="728"/>
      <c r="Z2326" s="70">
        <f>Z1611/'Terms and Turnovers'!$AN154</f>
        <v>0</v>
      </c>
      <c r="AA2326" s="728"/>
      <c r="AB2326" s="70">
        <f>AB1611/'Terms and Turnovers'!$AN154</f>
        <v>0</v>
      </c>
      <c r="AC2326" s="728"/>
      <c r="AD2326" s="70">
        <f>AD1611/'Terms and Turnovers'!$AN154</f>
        <v>0</v>
      </c>
      <c r="AE2326" s="728"/>
      <c r="AF2326" s="132">
        <f>SUM(T2326,V2326,X2326,Z2326,AB2326,AD2326)</f>
        <v>0</v>
      </c>
      <c r="AG2326" s="728"/>
      <c r="AH2326" s="133">
        <f>SUM(AF2326,R2326)</f>
        <v>0</v>
      </c>
      <c r="AI2326" s="728"/>
      <c r="AJ2326" s="65"/>
      <c r="AV2326" s="56"/>
    </row>
    <row r="2327" spans="2:48" ht="13.5" hidden="1" customHeight="1" outlineLevel="2" thickBot="1">
      <c r="B2327" s="82"/>
      <c r="C2327" s="1235"/>
      <c r="D2327" s="1235"/>
      <c r="E2327" s="85">
        <f>'Terms and Turnovers'!$AX$12</f>
        <v>0</v>
      </c>
      <c r="F2327" s="68">
        <f>F1612/'Terms and Turnovers'!$AX154</f>
        <v>0</v>
      </c>
      <c r="G2327" s="107"/>
      <c r="H2327" s="68">
        <f>H1612/'Terms and Turnovers'!$AX154</f>
        <v>0</v>
      </c>
      <c r="I2327" s="107"/>
      <c r="J2327" s="68">
        <f>J1612/'Terms and Turnovers'!$AX154</f>
        <v>0</v>
      </c>
      <c r="K2327" s="107"/>
      <c r="L2327" s="68">
        <f>L1612/'Terms and Turnovers'!$AX154</f>
        <v>0</v>
      </c>
      <c r="M2327" s="107"/>
      <c r="N2327" s="68">
        <f>N1612/'Terms and Turnovers'!$AX154</f>
        <v>0</v>
      </c>
      <c r="O2327" s="107"/>
      <c r="P2327" s="68">
        <f>P1612/'Terms and Turnovers'!$AX154</f>
        <v>0</v>
      </c>
      <c r="Q2327" s="107"/>
      <c r="R2327" s="135">
        <f>SUM(F2327,H2327,J2327,L2327,N2327,P2327)</f>
        <v>0</v>
      </c>
      <c r="S2327" s="107"/>
      <c r="T2327" s="68">
        <f>T1612/'Terms and Turnovers'!$AX154</f>
        <v>0</v>
      </c>
      <c r="U2327" s="107"/>
      <c r="V2327" s="68">
        <f>V1612/'Terms and Turnovers'!$AX154</f>
        <v>0</v>
      </c>
      <c r="W2327" s="107"/>
      <c r="X2327" s="68">
        <f>X1612/'Terms and Turnovers'!$AX154</f>
        <v>0</v>
      </c>
      <c r="Y2327" s="107"/>
      <c r="Z2327" s="68">
        <f>Z1612/'Terms and Turnovers'!$AX154</f>
        <v>0</v>
      </c>
      <c r="AA2327" s="107"/>
      <c r="AB2327" s="68">
        <f>AB1612/'Terms and Turnovers'!$AX154</f>
        <v>0</v>
      </c>
      <c r="AC2327" s="107"/>
      <c r="AD2327" s="68">
        <f>AD1612/'Terms and Turnovers'!$AX154</f>
        <v>0</v>
      </c>
      <c r="AE2327" s="107"/>
      <c r="AF2327" s="135">
        <f>SUM(T2327,V2327,X2327,Z2327,AB2327,AD2327)</f>
        <v>0</v>
      </c>
      <c r="AG2327" s="107"/>
      <c r="AH2327" s="136">
        <f>SUM(AF2327,R2327)</f>
        <v>0</v>
      </c>
      <c r="AI2327" s="107"/>
      <c r="AJ2327" s="65"/>
      <c r="AV2327" s="56"/>
    </row>
    <row r="2328" spans="2:48" ht="13.5" hidden="1" customHeight="1" outlineLevel="2">
      <c r="B2328" s="82"/>
      <c r="C2328" s="425"/>
      <c r="D2328" s="425"/>
      <c r="E2328" s="634"/>
      <c r="F2328" s="635"/>
      <c r="G2328" s="428"/>
      <c r="H2328" s="635"/>
      <c r="I2328" s="428"/>
      <c r="J2328" s="635"/>
      <c r="K2328" s="636"/>
      <c r="L2328" s="635"/>
      <c r="M2328" s="636"/>
      <c r="N2328" s="635"/>
      <c r="O2328" s="636"/>
      <c r="P2328" s="635"/>
      <c r="Q2328" s="636"/>
      <c r="R2328" s="637"/>
      <c r="S2328" s="698">
        <f>SUM(R1608:R1612)/1.18-(SUM(R2323:R2327)*'Mark Up Validation'!$M$175)</f>
        <v>0</v>
      </c>
      <c r="T2328" s="635"/>
      <c r="U2328" s="636"/>
      <c r="V2328" s="635"/>
      <c r="W2328" s="636"/>
      <c r="X2328" s="635"/>
      <c r="Y2328" s="636"/>
      <c r="Z2328" s="635"/>
      <c r="AA2328" s="636"/>
      <c r="AB2328" s="635"/>
      <c r="AC2328" s="636"/>
      <c r="AD2328" s="635"/>
      <c r="AE2328" s="636"/>
      <c r="AF2328" s="637"/>
      <c r="AG2328" s="698">
        <f>SUM(AF1608:AF1612)/1.18-SUM(AF2323:AF2327)*'Mark Up Validation'!$M$175</f>
        <v>0</v>
      </c>
      <c r="AH2328" s="638"/>
      <c r="AI2328" s="698">
        <f>SUM(AH1608:AH1612)/1.18-SUM(AH2323:AH2327)*'Mark Up Validation'!$M$175</f>
        <v>0</v>
      </c>
      <c r="AJ2328" s="65"/>
      <c r="AV2328" s="56"/>
    </row>
    <row r="2329" spans="2:48" ht="13.5" hidden="1" customHeight="1" outlineLevel="2" thickBot="1">
      <c r="B2329" s="82"/>
      <c r="C2329" s="1228" t="s">
        <v>538</v>
      </c>
      <c r="D2329" s="1229"/>
      <c r="E2329" s="699"/>
      <c r="F2329" s="700"/>
      <c r="G2329" s="701"/>
      <c r="H2329" s="700"/>
      <c r="I2329" s="701"/>
      <c r="J2329" s="700"/>
      <c r="K2329" s="702"/>
      <c r="L2329" s="700"/>
      <c r="M2329" s="702"/>
      <c r="N2329" s="700"/>
      <c r="O2329" s="702"/>
      <c r="P2329" s="700"/>
      <c r="Q2329" s="702"/>
      <c r="R2329" s="703"/>
      <c r="S2329" s="729">
        <f>IF(S2328&gt;0,S2328/(SUM(R1608:R1612)/1.18),0)</f>
        <v>0</v>
      </c>
      <c r="T2329" s="700"/>
      <c r="U2329" s="702"/>
      <c r="V2329" s="700"/>
      <c r="W2329" s="702"/>
      <c r="X2329" s="700"/>
      <c r="Y2329" s="702"/>
      <c r="Z2329" s="700"/>
      <c r="AA2329" s="702"/>
      <c r="AB2329" s="700"/>
      <c r="AC2329" s="702"/>
      <c r="AD2329" s="700"/>
      <c r="AE2329" s="702"/>
      <c r="AF2329" s="705"/>
      <c r="AG2329" s="729">
        <f>IF(AG2328&gt;0,AG2328/(SUM(AF1608:AF1612)/1.18),0)</f>
        <v>0</v>
      </c>
      <c r="AH2329" s="706"/>
      <c r="AI2329" s="729">
        <f>IF(AI2328&gt;0,AI2328/(SUM(AH1608:AH1612)/1.18),0)</f>
        <v>0</v>
      </c>
      <c r="AJ2329" s="65"/>
      <c r="AV2329" s="56"/>
    </row>
    <row r="2330" spans="2:48" ht="12.75" hidden="1" customHeight="1" outlineLevel="2">
      <c r="B2330" s="82">
        <f>B2323+1</f>
        <v>24</v>
      </c>
      <c r="C2330" s="1233">
        <f>C1615</f>
        <v>0</v>
      </c>
      <c r="D2330" s="1233">
        <f>D1615</f>
        <v>0</v>
      </c>
      <c r="E2330" s="83" t="str">
        <f>'Terms and Turnovers'!$J$12</f>
        <v>FLIP-FLOPS</v>
      </c>
      <c r="F2330" s="68">
        <f>F1615/'Terms and Turnovers'!$J155</f>
        <v>0</v>
      </c>
      <c r="G2330" s="106"/>
      <c r="H2330" s="68">
        <f>H1615/'Terms and Turnovers'!$J155</f>
        <v>0</v>
      </c>
      <c r="I2330" s="106"/>
      <c r="J2330" s="68">
        <f>J1615/'Terms and Turnovers'!$J155</f>
        <v>0</v>
      </c>
      <c r="K2330" s="106"/>
      <c r="L2330" s="68">
        <f>L1615/'Terms and Turnovers'!$J155</f>
        <v>0</v>
      </c>
      <c r="M2330" s="106"/>
      <c r="N2330" s="68">
        <f>N1615/'Terms and Turnovers'!$J155</f>
        <v>0</v>
      </c>
      <c r="O2330" s="106"/>
      <c r="P2330" s="68">
        <f>P1615/'Terms and Turnovers'!$J155</f>
        <v>0</v>
      </c>
      <c r="Q2330" s="106"/>
      <c r="R2330" s="129">
        <f>SUM(F2330,H2330,J2330,L2330,N2330,P2330)</f>
        <v>0</v>
      </c>
      <c r="S2330" s="106"/>
      <c r="T2330" s="68">
        <f>T1615/'Terms and Turnovers'!$J155</f>
        <v>0</v>
      </c>
      <c r="U2330" s="106"/>
      <c r="V2330" s="68">
        <f>V1615/'Terms and Turnovers'!$J155</f>
        <v>0</v>
      </c>
      <c r="W2330" s="106"/>
      <c r="X2330" s="68">
        <f>X1615/'Terms and Turnovers'!$J155</f>
        <v>0</v>
      </c>
      <c r="Y2330" s="106"/>
      <c r="Z2330" s="68">
        <f>Z1615/'Terms and Turnovers'!$J155</f>
        <v>0</v>
      </c>
      <c r="AA2330" s="106"/>
      <c r="AB2330" s="68">
        <f>AB1615/'Terms and Turnovers'!$J155</f>
        <v>0</v>
      </c>
      <c r="AC2330" s="106"/>
      <c r="AD2330" s="68">
        <f>AD1615/'Terms and Turnovers'!$J155</f>
        <v>0</v>
      </c>
      <c r="AE2330" s="106"/>
      <c r="AF2330" s="129">
        <f>SUM(T2330,V2330,X2330,Z2330,AB2330,AD2330)</f>
        <v>0</v>
      </c>
      <c r="AG2330" s="106"/>
      <c r="AH2330" s="130">
        <f>SUM(AF2330,R2330)</f>
        <v>0</v>
      </c>
      <c r="AI2330" s="106"/>
      <c r="AJ2330" s="65"/>
      <c r="AV2330" s="56"/>
    </row>
    <row r="2331" spans="2:48" ht="12.75" hidden="1" customHeight="1" outlineLevel="2" thickBot="1">
      <c r="B2331" s="82"/>
      <c r="C2331" s="1234"/>
      <c r="D2331" s="1234"/>
      <c r="E2331" s="84" t="str">
        <f>'Terms and Turnovers'!$T$12</f>
        <v>ORIGINALS</v>
      </c>
      <c r="F2331" s="70">
        <f>F1616/'Terms and Turnovers'!$T155</f>
        <v>0</v>
      </c>
      <c r="G2331" s="728"/>
      <c r="H2331" s="70">
        <f>H1616/'Terms and Turnovers'!$T155</f>
        <v>0</v>
      </c>
      <c r="I2331" s="728"/>
      <c r="J2331" s="70">
        <f>J1616/'Terms and Turnovers'!$T155</f>
        <v>0</v>
      </c>
      <c r="K2331" s="728"/>
      <c r="L2331" s="70">
        <f>L1616/'Terms and Turnovers'!$T155</f>
        <v>0</v>
      </c>
      <c r="M2331" s="728"/>
      <c r="N2331" s="70">
        <f>N1616/'Terms and Turnovers'!$T155</f>
        <v>0</v>
      </c>
      <c r="O2331" s="728"/>
      <c r="P2331" s="70">
        <f>P1616/'Terms and Turnovers'!$T155</f>
        <v>0</v>
      </c>
      <c r="Q2331" s="728"/>
      <c r="R2331" s="132">
        <f>SUM(F2331,H2331,J2331,L2331,N2331,P2331)</f>
        <v>0</v>
      </c>
      <c r="S2331" s="728"/>
      <c r="T2331" s="70">
        <f>T1616/'Terms and Turnovers'!$T155</f>
        <v>0</v>
      </c>
      <c r="U2331" s="728"/>
      <c r="V2331" s="70">
        <f>V1616/'Terms and Turnovers'!$T155</f>
        <v>0</v>
      </c>
      <c r="W2331" s="728"/>
      <c r="X2331" s="70">
        <f>X1616/'Terms and Turnovers'!$T155</f>
        <v>0</v>
      </c>
      <c r="Y2331" s="728"/>
      <c r="Z2331" s="70">
        <f>Z1616/'Terms and Turnovers'!$T155</f>
        <v>0</v>
      </c>
      <c r="AA2331" s="728"/>
      <c r="AB2331" s="70">
        <f>AB1616/'Terms and Turnovers'!$T155</f>
        <v>0</v>
      </c>
      <c r="AC2331" s="728"/>
      <c r="AD2331" s="70">
        <f>AD1616/'Terms and Turnovers'!$T155</f>
        <v>0</v>
      </c>
      <c r="AE2331" s="728"/>
      <c r="AF2331" s="132">
        <f>SUM(T2331,V2331,X2331,Z2331,AB2331,AD2331)</f>
        <v>0</v>
      </c>
      <c r="AG2331" s="728"/>
      <c r="AH2331" s="133">
        <f>SUM(AF2331,R2331)</f>
        <v>0</v>
      </c>
      <c r="AI2331" s="728"/>
      <c r="AJ2331" s="65"/>
      <c r="AV2331" s="56"/>
    </row>
    <row r="2332" spans="2:48" ht="12.75" hidden="1" customHeight="1" outlineLevel="2">
      <c r="B2332" s="82"/>
      <c r="C2332" s="1234"/>
      <c r="D2332" s="1234"/>
      <c r="E2332" s="84" t="str">
        <f>'Terms and Turnovers'!$AD$12</f>
        <v>ACCESSORIES</v>
      </c>
      <c r="F2332" s="68">
        <f>F1617/'Terms and Turnovers'!$AD155</f>
        <v>0</v>
      </c>
      <c r="G2332" s="728"/>
      <c r="H2332" s="68">
        <f>H1617/'Terms and Turnovers'!$AD155</f>
        <v>0</v>
      </c>
      <c r="I2332" s="728"/>
      <c r="J2332" s="68">
        <f>J1617/'Terms and Turnovers'!$AD155</f>
        <v>0</v>
      </c>
      <c r="K2332" s="728"/>
      <c r="L2332" s="68">
        <f>L1617/'Terms and Turnovers'!$AD155</f>
        <v>0</v>
      </c>
      <c r="M2332" s="728"/>
      <c r="N2332" s="68">
        <f>N1617/'Terms and Turnovers'!$AD155</f>
        <v>0</v>
      </c>
      <c r="O2332" s="728"/>
      <c r="P2332" s="68">
        <f>P1617/'Terms and Turnovers'!$AD155</f>
        <v>0</v>
      </c>
      <c r="Q2332" s="728"/>
      <c r="R2332" s="132">
        <f>SUM(F2332,H2332,J2332,L2332,N2332,P2332)</f>
        <v>0</v>
      </c>
      <c r="S2332" s="728"/>
      <c r="T2332" s="68">
        <f>T1617/'Terms and Turnovers'!$AD155</f>
        <v>0</v>
      </c>
      <c r="U2332" s="728"/>
      <c r="V2332" s="68">
        <f>V1617/'Terms and Turnovers'!$AD155</f>
        <v>0</v>
      </c>
      <c r="W2332" s="728"/>
      <c r="X2332" s="68">
        <f>X1617/'Terms and Turnovers'!$AD155</f>
        <v>0</v>
      </c>
      <c r="Y2332" s="728"/>
      <c r="Z2332" s="68">
        <f>Z1617/'Terms and Turnovers'!$AD155</f>
        <v>0</v>
      </c>
      <c r="AA2332" s="728"/>
      <c r="AB2332" s="68">
        <f>AB1617/'Terms and Turnovers'!$AD155</f>
        <v>0</v>
      </c>
      <c r="AC2332" s="728"/>
      <c r="AD2332" s="68">
        <f>AD1617/'Terms and Turnovers'!$AD155</f>
        <v>0</v>
      </c>
      <c r="AE2332" s="728"/>
      <c r="AF2332" s="132">
        <f>SUM(T2332,V2332,X2332,Z2332,AB2332,AD2332)</f>
        <v>0</v>
      </c>
      <c r="AG2332" s="728"/>
      <c r="AH2332" s="133">
        <f>SUM(AF2332,R2332)</f>
        <v>0</v>
      </c>
      <c r="AI2332" s="728"/>
      <c r="AJ2332" s="65"/>
      <c r="AV2332" s="56"/>
    </row>
    <row r="2333" spans="2:48" ht="12.75" hidden="1" customHeight="1" outlineLevel="2" thickBot="1">
      <c r="B2333" s="82"/>
      <c r="C2333" s="1234"/>
      <c r="D2333" s="1234"/>
      <c r="E2333" s="84">
        <f>'Terms and Turnovers'!$AN$12</f>
        <v>0</v>
      </c>
      <c r="F2333" s="70">
        <f>F1618/'Terms and Turnovers'!$AN155</f>
        <v>0</v>
      </c>
      <c r="G2333" s="728"/>
      <c r="H2333" s="70">
        <f>H1618/'Terms and Turnovers'!$AN155</f>
        <v>0</v>
      </c>
      <c r="I2333" s="728"/>
      <c r="J2333" s="70">
        <f>J1618/'Terms and Turnovers'!$AN155</f>
        <v>0</v>
      </c>
      <c r="K2333" s="728"/>
      <c r="L2333" s="70">
        <f>L1618/'Terms and Turnovers'!$AN155</f>
        <v>0</v>
      </c>
      <c r="M2333" s="728"/>
      <c r="N2333" s="70">
        <f>N1618/'Terms and Turnovers'!$AN155</f>
        <v>0</v>
      </c>
      <c r="O2333" s="728"/>
      <c r="P2333" s="70">
        <f>P1618/'Terms and Turnovers'!$AN155</f>
        <v>0</v>
      </c>
      <c r="Q2333" s="728"/>
      <c r="R2333" s="132">
        <f>SUM(F2333,H2333,J2333,L2333,N2333,P2333)</f>
        <v>0</v>
      </c>
      <c r="S2333" s="728"/>
      <c r="T2333" s="70">
        <f>T1618/'Terms and Turnovers'!$AN155</f>
        <v>0</v>
      </c>
      <c r="U2333" s="728"/>
      <c r="V2333" s="70">
        <f>V1618/'Terms and Turnovers'!$AN155</f>
        <v>0</v>
      </c>
      <c r="W2333" s="728"/>
      <c r="X2333" s="70">
        <f>X1618/'Terms and Turnovers'!$AN155</f>
        <v>0</v>
      </c>
      <c r="Y2333" s="728"/>
      <c r="Z2333" s="70">
        <f>Z1618/'Terms and Turnovers'!$AN155</f>
        <v>0</v>
      </c>
      <c r="AA2333" s="728"/>
      <c r="AB2333" s="70">
        <f>AB1618/'Terms and Turnovers'!$AN155</f>
        <v>0</v>
      </c>
      <c r="AC2333" s="728"/>
      <c r="AD2333" s="70">
        <f>AD1618/'Terms and Turnovers'!$AN155</f>
        <v>0</v>
      </c>
      <c r="AE2333" s="728"/>
      <c r="AF2333" s="132">
        <f>SUM(T2333,V2333,X2333,Z2333,AB2333,AD2333)</f>
        <v>0</v>
      </c>
      <c r="AG2333" s="728"/>
      <c r="AH2333" s="133">
        <f>SUM(AF2333,R2333)</f>
        <v>0</v>
      </c>
      <c r="AI2333" s="728"/>
      <c r="AJ2333" s="65"/>
      <c r="AV2333" s="56"/>
    </row>
    <row r="2334" spans="2:48" ht="13.5" hidden="1" customHeight="1" outlineLevel="2" thickBot="1">
      <c r="B2334" s="82"/>
      <c r="C2334" s="1235"/>
      <c r="D2334" s="1235"/>
      <c r="E2334" s="85">
        <f>'Terms and Turnovers'!$AX$12</f>
        <v>0</v>
      </c>
      <c r="F2334" s="68">
        <f>F1619/'Terms and Turnovers'!$AX155</f>
        <v>0</v>
      </c>
      <c r="G2334" s="107"/>
      <c r="H2334" s="68">
        <f>H1619/'Terms and Turnovers'!$AX155</f>
        <v>0</v>
      </c>
      <c r="I2334" s="107"/>
      <c r="J2334" s="68">
        <f>J1619/'Terms and Turnovers'!$AX155</f>
        <v>0</v>
      </c>
      <c r="K2334" s="107"/>
      <c r="L2334" s="68">
        <f>L1619/'Terms and Turnovers'!$AX155</f>
        <v>0</v>
      </c>
      <c r="M2334" s="107"/>
      <c r="N2334" s="68">
        <f>N1619/'Terms and Turnovers'!$AX155</f>
        <v>0</v>
      </c>
      <c r="O2334" s="107"/>
      <c r="P2334" s="68">
        <f>P1619/'Terms and Turnovers'!$AX155</f>
        <v>0</v>
      </c>
      <c r="Q2334" s="107"/>
      <c r="R2334" s="135">
        <f>SUM(F2334,H2334,J2334,L2334,N2334,P2334)</f>
        <v>0</v>
      </c>
      <c r="S2334" s="107"/>
      <c r="T2334" s="68">
        <f>T1619/'Terms and Turnovers'!$AX155</f>
        <v>0</v>
      </c>
      <c r="U2334" s="107"/>
      <c r="V2334" s="68">
        <f>V1619/'Terms and Turnovers'!$AX155</f>
        <v>0</v>
      </c>
      <c r="W2334" s="107"/>
      <c r="X2334" s="68">
        <f>X1619/'Terms and Turnovers'!$AX155</f>
        <v>0</v>
      </c>
      <c r="Y2334" s="107"/>
      <c r="Z2334" s="68">
        <f>Z1619/'Terms and Turnovers'!$AX155</f>
        <v>0</v>
      </c>
      <c r="AA2334" s="107"/>
      <c r="AB2334" s="68">
        <f>AB1619/'Terms and Turnovers'!$AX155</f>
        <v>0</v>
      </c>
      <c r="AC2334" s="107"/>
      <c r="AD2334" s="68">
        <f>AD1619/'Terms and Turnovers'!$AX155</f>
        <v>0</v>
      </c>
      <c r="AE2334" s="107"/>
      <c r="AF2334" s="135">
        <f>SUM(T2334,V2334,X2334,Z2334,AB2334,AD2334)</f>
        <v>0</v>
      </c>
      <c r="AG2334" s="107"/>
      <c r="AH2334" s="136">
        <f>SUM(AF2334,R2334)</f>
        <v>0</v>
      </c>
      <c r="AI2334" s="107"/>
      <c r="AJ2334" s="65"/>
      <c r="AV2334" s="56"/>
    </row>
    <row r="2335" spans="2:48" ht="13.5" hidden="1" customHeight="1" outlineLevel="2">
      <c r="B2335" s="82"/>
      <c r="C2335" s="425"/>
      <c r="D2335" s="425"/>
      <c r="E2335" s="634"/>
      <c r="F2335" s="635"/>
      <c r="G2335" s="428"/>
      <c r="H2335" s="635"/>
      <c r="I2335" s="428"/>
      <c r="J2335" s="635"/>
      <c r="K2335" s="636"/>
      <c r="L2335" s="635"/>
      <c r="M2335" s="636"/>
      <c r="N2335" s="635"/>
      <c r="O2335" s="636"/>
      <c r="P2335" s="635"/>
      <c r="Q2335" s="636"/>
      <c r="R2335" s="637"/>
      <c r="S2335" s="698">
        <f>SUM(R1615:R1619)/1.18-(SUM(R2330:R2334)*'Mark Up Validation'!$M$175)</f>
        <v>0</v>
      </c>
      <c r="T2335" s="635"/>
      <c r="U2335" s="636"/>
      <c r="V2335" s="635"/>
      <c r="W2335" s="636"/>
      <c r="X2335" s="635"/>
      <c r="Y2335" s="636"/>
      <c r="Z2335" s="635"/>
      <c r="AA2335" s="636"/>
      <c r="AB2335" s="635"/>
      <c r="AC2335" s="636"/>
      <c r="AD2335" s="635"/>
      <c r="AE2335" s="636"/>
      <c r="AF2335" s="637"/>
      <c r="AG2335" s="698">
        <f>SUM(AF1615:AF1619)/1.18-SUM(AF2330:AF2334)*'Mark Up Validation'!$M$175</f>
        <v>0</v>
      </c>
      <c r="AH2335" s="638"/>
      <c r="AI2335" s="698">
        <f>SUM(AH1615:AH1619)/1.18-SUM(AH2330:AH2334)*'Mark Up Validation'!$M$175</f>
        <v>0</v>
      </c>
      <c r="AJ2335" s="65"/>
      <c r="AV2335" s="56"/>
    </row>
    <row r="2336" spans="2:48" ht="13.5" hidden="1" customHeight="1" outlineLevel="2" thickBot="1">
      <c r="B2336" s="82"/>
      <c r="C2336" s="1228" t="s">
        <v>538</v>
      </c>
      <c r="D2336" s="1229"/>
      <c r="E2336" s="699"/>
      <c r="F2336" s="700"/>
      <c r="G2336" s="701"/>
      <c r="H2336" s="700"/>
      <c r="I2336" s="701"/>
      <c r="J2336" s="700"/>
      <c r="K2336" s="702"/>
      <c r="L2336" s="700"/>
      <c r="M2336" s="702"/>
      <c r="N2336" s="700"/>
      <c r="O2336" s="702"/>
      <c r="P2336" s="700"/>
      <c r="Q2336" s="702"/>
      <c r="R2336" s="703"/>
      <c r="S2336" s="729">
        <f>IF(S2335&gt;0,S2335/(SUM(R1615:R1619)/1.18),0)</f>
        <v>0</v>
      </c>
      <c r="T2336" s="700"/>
      <c r="U2336" s="702"/>
      <c r="V2336" s="700"/>
      <c r="W2336" s="702"/>
      <c r="X2336" s="700"/>
      <c r="Y2336" s="702"/>
      <c r="Z2336" s="700"/>
      <c r="AA2336" s="702"/>
      <c r="AB2336" s="700"/>
      <c r="AC2336" s="702"/>
      <c r="AD2336" s="700"/>
      <c r="AE2336" s="702"/>
      <c r="AF2336" s="705"/>
      <c r="AG2336" s="729">
        <f>IF(AG2335&gt;0,AG2335/(SUM(AF1615:AF1619)/1.18),0)</f>
        <v>0</v>
      </c>
      <c r="AH2336" s="706"/>
      <c r="AI2336" s="729">
        <f>IF(AI2335&gt;0,AI2335/(SUM(AH1615:AH1619)/1.18),0)</f>
        <v>0</v>
      </c>
      <c r="AJ2336" s="65"/>
      <c r="AV2336" s="56"/>
    </row>
    <row r="2337" spans="2:48" ht="12.75" hidden="1" customHeight="1" outlineLevel="2">
      <c r="B2337" s="82">
        <f>B2330+1</f>
        <v>25</v>
      </c>
      <c r="C2337" s="1233">
        <f>C1622</f>
        <v>0</v>
      </c>
      <c r="D2337" s="1233">
        <f>D1622</f>
        <v>0</v>
      </c>
      <c r="E2337" s="83" t="str">
        <f>'Terms and Turnovers'!$J$12</f>
        <v>FLIP-FLOPS</v>
      </c>
      <c r="F2337" s="68">
        <f>F1622/'Terms and Turnovers'!$J156</f>
        <v>0</v>
      </c>
      <c r="G2337" s="106"/>
      <c r="H2337" s="68">
        <f>H1622/'Terms and Turnovers'!$J156</f>
        <v>0</v>
      </c>
      <c r="I2337" s="106"/>
      <c r="J2337" s="68">
        <f>J1622/'Terms and Turnovers'!$J156</f>
        <v>0</v>
      </c>
      <c r="K2337" s="106"/>
      <c r="L2337" s="68">
        <f>L1622/'Terms and Turnovers'!$J156</f>
        <v>0</v>
      </c>
      <c r="M2337" s="106"/>
      <c r="N2337" s="68">
        <f>N1622/'Terms and Turnovers'!$J156</f>
        <v>0</v>
      </c>
      <c r="O2337" s="106"/>
      <c r="P2337" s="68">
        <f>P1622/'Terms and Turnovers'!$J156</f>
        <v>0</v>
      </c>
      <c r="Q2337" s="106"/>
      <c r="R2337" s="129">
        <f>SUM(F2337,H2337,J2337,L2337,N2337,P2337)</f>
        <v>0</v>
      </c>
      <c r="S2337" s="106"/>
      <c r="T2337" s="68">
        <f>T1622/'Terms and Turnovers'!$J156</f>
        <v>0</v>
      </c>
      <c r="U2337" s="106"/>
      <c r="V2337" s="68">
        <f>V1622/'Terms and Turnovers'!$J156</f>
        <v>0</v>
      </c>
      <c r="W2337" s="106"/>
      <c r="X2337" s="68">
        <f>X1622/'Terms and Turnovers'!$J156</f>
        <v>0</v>
      </c>
      <c r="Y2337" s="106"/>
      <c r="Z2337" s="68">
        <f>Z1622/'Terms and Turnovers'!$J156</f>
        <v>0</v>
      </c>
      <c r="AA2337" s="106"/>
      <c r="AB2337" s="68">
        <f>AB1622/'Terms and Turnovers'!$J156</f>
        <v>0</v>
      </c>
      <c r="AC2337" s="106"/>
      <c r="AD2337" s="68">
        <f>AD1622/'Terms and Turnovers'!$J156</f>
        <v>0</v>
      </c>
      <c r="AE2337" s="106"/>
      <c r="AF2337" s="129">
        <f>SUM(T2337,V2337,X2337,Z2337,AB2337,AD2337)</f>
        <v>0</v>
      </c>
      <c r="AG2337" s="106"/>
      <c r="AH2337" s="130">
        <f>SUM(AF2337,R2337)</f>
        <v>0</v>
      </c>
      <c r="AI2337" s="106"/>
      <c r="AJ2337" s="65"/>
      <c r="AV2337" s="56"/>
    </row>
    <row r="2338" spans="2:48" ht="12.75" hidden="1" customHeight="1" outlineLevel="2" thickBot="1">
      <c r="B2338" s="82"/>
      <c r="C2338" s="1234"/>
      <c r="D2338" s="1234"/>
      <c r="E2338" s="84" t="str">
        <f>'Terms and Turnovers'!$T$12</f>
        <v>ORIGINALS</v>
      </c>
      <c r="F2338" s="70">
        <f>F1623/'Terms and Turnovers'!$T156</f>
        <v>0</v>
      </c>
      <c r="G2338" s="728"/>
      <c r="H2338" s="70">
        <f>H1623/'Terms and Turnovers'!$T156</f>
        <v>0</v>
      </c>
      <c r="I2338" s="728"/>
      <c r="J2338" s="70">
        <f>J1623/'Terms and Turnovers'!$T156</f>
        <v>0</v>
      </c>
      <c r="K2338" s="728"/>
      <c r="L2338" s="70">
        <f>L1623/'Terms and Turnovers'!$T156</f>
        <v>0</v>
      </c>
      <c r="M2338" s="728"/>
      <c r="N2338" s="70">
        <f>N1623/'Terms and Turnovers'!$T156</f>
        <v>0</v>
      </c>
      <c r="O2338" s="728"/>
      <c r="P2338" s="70">
        <f>P1623/'Terms and Turnovers'!$T156</f>
        <v>0</v>
      </c>
      <c r="Q2338" s="728"/>
      <c r="R2338" s="132">
        <f>SUM(F2338,H2338,J2338,L2338,N2338,P2338)</f>
        <v>0</v>
      </c>
      <c r="S2338" s="728"/>
      <c r="T2338" s="70">
        <f>T1623/'Terms and Turnovers'!$T156</f>
        <v>0</v>
      </c>
      <c r="U2338" s="728"/>
      <c r="V2338" s="70">
        <f>V1623/'Terms and Turnovers'!$T156</f>
        <v>0</v>
      </c>
      <c r="W2338" s="728"/>
      <c r="X2338" s="70">
        <f>X1623/'Terms and Turnovers'!$T156</f>
        <v>0</v>
      </c>
      <c r="Y2338" s="728"/>
      <c r="Z2338" s="70">
        <f>Z1623/'Terms and Turnovers'!$T156</f>
        <v>0</v>
      </c>
      <c r="AA2338" s="728"/>
      <c r="AB2338" s="70">
        <f>AB1623/'Terms and Turnovers'!$T156</f>
        <v>0</v>
      </c>
      <c r="AC2338" s="728"/>
      <c r="AD2338" s="70">
        <f>AD1623/'Terms and Turnovers'!$T156</f>
        <v>0</v>
      </c>
      <c r="AE2338" s="728"/>
      <c r="AF2338" s="132">
        <f>SUM(T2338,V2338,X2338,Z2338,AB2338,AD2338)</f>
        <v>0</v>
      </c>
      <c r="AG2338" s="728"/>
      <c r="AH2338" s="133">
        <f>SUM(AF2338,R2338)</f>
        <v>0</v>
      </c>
      <c r="AI2338" s="728"/>
      <c r="AJ2338" s="65"/>
      <c r="AV2338" s="56"/>
    </row>
    <row r="2339" spans="2:48" ht="12.75" hidden="1" customHeight="1" outlineLevel="2">
      <c r="B2339" s="82"/>
      <c r="C2339" s="1234"/>
      <c r="D2339" s="1234"/>
      <c r="E2339" s="84" t="str">
        <f>'Terms and Turnovers'!$AD$12</f>
        <v>ACCESSORIES</v>
      </c>
      <c r="F2339" s="68">
        <f>F1624/'Terms and Turnovers'!$AD156</f>
        <v>0</v>
      </c>
      <c r="G2339" s="728"/>
      <c r="H2339" s="68">
        <f>H1624/'Terms and Turnovers'!$AD156</f>
        <v>0</v>
      </c>
      <c r="I2339" s="728"/>
      <c r="J2339" s="68">
        <f>J1624/'Terms and Turnovers'!$AD156</f>
        <v>0</v>
      </c>
      <c r="K2339" s="728"/>
      <c r="L2339" s="68">
        <f>L1624/'Terms and Turnovers'!$AD156</f>
        <v>0</v>
      </c>
      <c r="M2339" s="728"/>
      <c r="N2339" s="68">
        <f>N1624/'Terms and Turnovers'!$AD156</f>
        <v>0</v>
      </c>
      <c r="O2339" s="728"/>
      <c r="P2339" s="68">
        <f>P1624/'Terms and Turnovers'!$AD156</f>
        <v>0</v>
      </c>
      <c r="Q2339" s="728"/>
      <c r="R2339" s="132">
        <f>SUM(F2339,H2339,J2339,L2339,N2339,P2339)</f>
        <v>0</v>
      </c>
      <c r="S2339" s="728"/>
      <c r="T2339" s="68">
        <f>T1624/'Terms and Turnovers'!$AD156</f>
        <v>0</v>
      </c>
      <c r="U2339" s="728"/>
      <c r="V2339" s="68">
        <f>V1624/'Terms and Turnovers'!$AD156</f>
        <v>0</v>
      </c>
      <c r="W2339" s="728"/>
      <c r="X2339" s="68">
        <f>X1624/'Terms and Turnovers'!$AD156</f>
        <v>0</v>
      </c>
      <c r="Y2339" s="728"/>
      <c r="Z2339" s="68">
        <f>Z1624/'Terms and Turnovers'!$AD156</f>
        <v>0</v>
      </c>
      <c r="AA2339" s="728"/>
      <c r="AB2339" s="68">
        <f>AB1624/'Terms and Turnovers'!$AD156</f>
        <v>0</v>
      </c>
      <c r="AC2339" s="728"/>
      <c r="AD2339" s="68">
        <f>AD1624/'Terms and Turnovers'!$AD156</f>
        <v>0</v>
      </c>
      <c r="AE2339" s="728"/>
      <c r="AF2339" s="132">
        <f>SUM(T2339,V2339,X2339,Z2339,AB2339,AD2339)</f>
        <v>0</v>
      </c>
      <c r="AG2339" s="728"/>
      <c r="AH2339" s="133">
        <f>SUM(AF2339,R2339)</f>
        <v>0</v>
      </c>
      <c r="AI2339" s="728"/>
      <c r="AJ2339" s="65"/>
      <c r="AV2339" s="56"/>
    </row>
    <row r="2340" spans="2:48" ht="12.75" hidden="1" customHeight="1" outlineLevel="2" thickBot="1">
      <c r="B2340" s="82"/>
      <c r="C2340" s="1234"/>
      <c r="D2340" s="1234"/>
      <c r="E2340" s="84">
        <f>'Terms and Turnovers'!$AN$12</f>
        <v>0</v>
      </c>
      <c r="F2340" s="70">
        <f>F1625/'Terms and Turnovers'!$AN156</f>
        <v>0</v>
      </c>
      <c r="G2340" s="728"/>
      <c r="H2340" s="70">
        <f>H1625/'Terms and Turnovers'!$AN156</f>
        <v>0</v>
      </c>
      <c r="I2340" s="728"/>
      <c r="J2340" s="70">
        <f>J1625/'Terms and Turnovers'!$AN156</f>
        <v>0</v>
      </c>
      <c r="K2340" s="728"/>
      <c r="L2340" s="70">
        <f>L1625/'Terms and Turnovers'!$AN156</f>
        <v>0</v>
      </c>
      <c r="M2340" s="728"/>
      <c r="N2340" s="70">
        <f>N1625/'Terms and Turnovers'!$AN156</f>
        <v>0</v>
      </c>
      <c r="O2340" s="728"/>
      <c r="P2340" s="70">
        <f>P1625/'Terms and Turnovers'!$AN156</f>
        <v>0</v>
      </c>
      <c r="Q2340" s="728"/>
      <c r="R2340" s="132">
        <f>SUM(F2340,H2340,J2340,L2340,N2340,P2340)</f>
        <v>0</v>
      </c>
      <c r="S2340" s="728"/>
      <c r="T2340" s="70">
        <f>T1625/'Terms and Turnovers'!$AN156</f>
        <v>0</v>
      </c>
      <c r="U2340" s="728"/>
      <c r="V2340" s="70">
        <f>V1625/'Terms and Turnovers'!$AN156</f>
        <v>0</v>
      </c>
      <c r="W2340" s="728"/>
      <c r="X2340" s="70">
        <f>X1625/'Terms and Turnovers'!$AN156</f>
        <v>0</v>
      </c>
      <c r="Y2340" s="728"/>
      <c r="Z2340" s="70">
        <f>Z1625/'Terms and Turnovers'!$AN156</f>
        <v>0</v>
      </c>
      <c r="AA2340" s="728"/>
      <c r="AB2340" s="70">
        <f>AB1625/'Terms and Turnovers'!$AN156</f>
        <v>0</v>
      </c>
      <c r="AC2340" s="728"/>
      <c r="AD2340" s="70">
        <f>AD1625/'Terms and Turnovers'!$AN156</f>
        <v>0</v>
      </c>
      <c r="AE2340" s="728"/>
      <c r="AF2340" s="132">
        <f>SUM(T2340,V2340,X2340,Z2340,AB2340,AD2340)</f>
        <v>0</v>
      </c>
      <c r="AG2340" s="728"/>
      <c r="AH2340" s="133">
        <f>SUM(AF2340,R2340)</f>
        <v>0</v>
      </c>
      <c r="AI2340" s="728"/>
      <c r="AJ2340" s="65"/>
      <c r="AV2340" s="56"/>
    </row>
    <row r="2341" spans="2:48" ht="13.5" hidden="1" customHeight="1" outlineLevel="2" thickBot="1">
      <c r="B2341" s="82"/>
      <c r="C2341" s="1235"/>
      <c r="D2341" s="1235"/>
      <c r="E2341" s="85">
        <f>'Terms and Turnovers'!$AX$12</f>
        <v>0</v>
      </c>
      <c r="F2341" s="68">
        <f>F1626/'Terms and Turnovers'!$AX156</f>
        <v>0</v>
      </c>
      <c r="G2341" s="107"/>
      <c r="H2341" s="68">
        <f>H1626/'Terms and Turnovers'!$AX156</f>
        <v>0</v>
      </c>
      <c r="I2341" s="107"/>
      <c r="J2341" s="68">
        <f>J1626/'Terms and Turnovers'!$AX156</f>
        <v>0</v>
      </c>
      <c r="K2341" s="107"/>
      <c r="L2341" s="68">
        <f>L1626/'Terms and Turnovers'!$AX156</f>
        <v>0</v>
      </c>
      <c r="M2341" s="107"/>
      <c r="N2341" s="68">
        <f>N1626/'Terms and Turnovers'!$AX156</f>
        <v>0</v>
      </c>
      <c r="O2341" s="107"/>
      <c r="P2341" s="68">
        <f>P1626/'Terms and Turnovers'!$AX156</f>
        <v>0</v>
      </c>
      <c r="Q2341" s="107"/>
      <c r="R2341" s="135">
        <f>SUM(F2341,H2341,J2341,L2341,N2341,P2341)</f>
        <v>0</v>
      </c>
      <c r="S2341" s="107"/>
      <c r="T2341" s="68">
        <f>T1626/'Terms and Turnovers'!$AX156</f>
        <v>0</v>
      </c>
      <c r="U2341" s="107"/>
      <c r="V2341" s="68">
        <f>V1626/'Terms and Turnovers'!$AX156</f>
        <v>0</v>
      </c>
      <c r="W2341" s="107"/>
      <c r="X2341" s="68">
        <f>X1626/'Terms and Turnovers'!$AX156</f>
        <v>0</v>
      </c>
      <c r="Y2341" s="107"/>
      <c r="Z2341" s="68">
        <f>Z1626/'Terms and Turnovers'!$AX156</f>
        <v>0</v>
      </c>
      <c r="AA2341" s="107"/>
      <c r="AB2341" s="68">
        <f>AB1626/'Terms and Turnovers'!$AX156</f>
        <v>0</v>
      </c>
      <c r="AC2341" s="107"/>
      <c r="AD2341" s="68">
        <f>AD1626/'Terms and Turnovers'!$AX156</f>
        <v>0</v>
      </c>
      <c r="AE2341" s="107"/>
      <c r="AF2341" s="135">
        <f>SUM(T2341,V2341,X2341,Z2341,AB2341,AD2341)</f>
        <v>0</v>
      </c>
      <c r="AG2341" s="107"/>
      <c r="AH2341" s="136">
        <f>SUM(AF2341,R2341)</f>
        <v>0</v>
      </c>
      <c r="AI2341" s="107"/>
      <c r="AJ2341" s="65"/>
      <c r="AV2341" s="56"/>
    </row>
    <row r="2342" spans="2:48" ht="13.5" hidden="1" customHeight="1" outlineLevel="2">
      <c r="B2342" s="82"/>
      <c r="C2342" s="425"/>
      <c r="D2342" s="425"/>
      <c r="E2342" s="634"/>
      <c r="F2342" s="635"/>
      <c r="G2342" s="428"/>
      <c r="H2342" s="635"/>
      <c r="I2342" s="428"/>
      <c r="J2342" s="635"/>
      <c r="K2342" s="636"/>
      <c r="L2342" s="635"/>
      <c r="M2342" s="636"/>
      <c r="N2342" s="635"/>
      <c r="O2342" s="636"/>
      <c r="P2342" s="635"/>
      <c r="Q2342" s="636"/>
      <c r="R2342" s="637"/>
      <c r="S2342" s="698">
        <f>SUM(R1622:R1626)/1.18-(SUM(R2337:R2341)*'Mark Up Validation'!$M$175)</f>
        <v>0</v>
      </c>
      <c r="T2342" s="635"/>
      <c r="U2342" s="636"/>
      <c r="V2342" s="635"/>
      <c r="W2342" s="636"/>
      <c r="X2342" s="635"/>
      <c r="Y2342" s="636"/>
      <c r="Z2342" s="635"/>
      <c r="AA2342" s="636"/>
      <c r="AB2342" s="635"/>
      <c r="AC2342" s="636"/>
      <c r="AD2342" s="635"/>
      <c r="AE2342" s="636"/>
      <c r="AF2342" s="637"/>
      <c r="AG2342" s="698">
        <f>SUM(AF1622:AF1626)/1.18-SUM(AF2337:AF2341)*'Mark Up Validation'!$M$175</f>
        <v>0</v>
      </c>
      <c r="AH2342" s="638"/>
      <c r="AI2342" s="698">
        <f>SUM(AH1622:AH1626)/1.18-SUM(AH2337:AH2341)*'Mark Up Validation'!$M$175</f>
        <v>0</v>
      </c>
      <c r="AJ2342" s="65"/>
      <c r="AV2342" s="56"/>
    </row>
    <row r="2343" spans="2:48" ht="13.5" hidden="1" customHeight="1" outlineLevel="2" thickBot="1">
      <c r="B2343" s="82"/>
      <c r="C2343" s="1228" t="s">
        <v>538</v>
      </c>
      <c r="D2343" s="1229"/>
      <c r="E2343" s="699"/>
      <c r="F2343" s="700"/>
      <c r="G2343" s="701"/>
      <c r="H2343" s="700"/>
      <c r="I2343" s="701"/>
      <c r="J2343" s="700"/>
      <c r="K2343" s="702"/>
      <c r="L2343" s="700"/>
      <c r="M2343" s="702"/>
      <c r="N2343" s="700"/>
      <c r="O2343" s="702"/>
      <c r="P2343" s="700"/>
      <c r="Q2343" s="702"/>
      <c r="R2343" s="703"/>
      <c r="S2343" s="729">
        <f>IF(S2342&gt;0,S2342/(SUM(R1622:R1626)/1.18),0)</f>
        <v>0</v>
      </c>
      <c r="T2343" s="700"/>
      <c r="U2343" s="702"/>
      <c r="V2343" s="700"/>
      <c r="W2343" s="702"/>
      <c r="X2343" s="700"/>
      <c r="Y2343" s="702"/>
      <c r="Z2343" s="700"/>
      <c r="AA2343" s="702"/>
      <c r="AB2343" s="700"/>
      <c r="AC2343" s="702"/>
      <c r="AD2343" s="700"/>
      <c r="AE2343" s="702"/>
      <c r="AF2343" s="705"/>
      <c r="AG2343" s="729">
        <f>IF(AG2342&gt;0,AG2342/(SUM(AF1622:AF1626)/1.18),0)</f>
        <v>0</v>
      </c>
      <c r="AH2343" s="706"/>
      <c r="AI2343" s="729">
        <f>IF(AI2342&gt;0,AI2342/(SUM(AH1622:AH1626)/1.18),0)</f>
        <v>0</v>
      </c>
      <c r="AJ2343" s="65"/>
      <c r="AV2343" s="56"/>
    </row>
    <row r="2344" spans="2:48" ht="12.75" hidden="1" customHeight="1" outlineLevel="2">
      <c r="B2344" s="82">
        <f>B2337+1</f>
        <v>26</v>
      </c>
      <c r="C2344" s="1233">
        <f>C1629</f>
        <v>0</v>
      </c>
      <c r="D2344" s="1233">
        <f>D1629</f>
        <v>0</v>
      </c>
      <c r="E2344" s="83" t="str">
        <f>'Terms and Turnovers'!$J$12</f>
        <v>FLIP-FLOPS</v>
      </c>
      <c r="F2344" s="68">
        <f>F1629/'Terms and Turnovers'!$J157</f>
        <v>0</v>
      </c>
      <c r="G2344" s="106"/>
      <c r="H2344" s="68">
        <f>H1629/'Terms and Turnovers'!$J157</f>
        <v>0</v>
      </c>
      <c r="I2344" s="106"/>
      <c r="J2344" s="68">
        <f>J1629/'Terms and Turnovers'!$J157</f>
        <v>0</v>
      </c>
      <c r="K2344" s="106"/>
      <c r="L2344" s="68">
        <f>L1629/'Terms and Turnovers'!$J157</f>
        <v>0</v>
      </c>
      <c r="M2344" s="106"/>
      <c r="N2344" s="68">
        <f>N1629/'Terms and Turnovers'!$J157</f>
        <v>0</v>
      </c>
      <c r="O2344" s="106"/>
      <c r="P2344" s="68">
        <f>P1629/'Terms and Turnovers'!$J157</f>
        <v>0</v>
      </c>
      <c r="Q2344" s="106"/>
      <c r="R2344" s="129">
        <f>SUM(F2344,H2344,J2344,L2344,N2344,P2344)</f>
        <v>0</v>
      </c>
      <c r="S2344" s="106"/>
      <c r="T2344" s="68">
        <f>T1629/'Terms and Turnovers'!$J157</f>
        <v>0</v>
      </c>
      <c r="U2344" s="106"/>
      <c r="V2344" s="68">
        <f>V1629/'Terms and Turnovers'!$J157</f>
        <v>0</v>
      </c>
      <c r="W2344" s="106"/>
      <c r="X2344" s="68">
        <f>X1629/'Terms and Turnovers'!$J157</f>
        <v>0</v>
      </c>
      <c r="Y2344" s="106"/>
      <c r="Z2344" s="68">
        <f>Z1629/'Terms and Turnovers'!$J157</f>
        <v>0</v>
      </c>
      <c r="AA2344" s="106"/>
      <c r="AB2344" s="68">
        <f>AB1629/'Terms and Turnovers'!$J157</f>
        <v>0</v>
      </c>
      <c r="AC2344" s="106"/>
      <c r="AD2344" s="68">
        <f>AD1629/'Terms and Turnovers'!$J157</f>
        <v>0</v>
      </c>
      <c r="AE2344" s="106"/>
      <c r="AF2344" s="129">
        <f>SUM(T2344,V2344,X2344,Z2344,AB2344,AD2344)</f>
        <v>0</v>
      </c>
      <c r="AG2344" s="106"/>
      <c r="AH2344" s="130">
        <f>SUM(AF2344,R2344)</f>
        <v>0</v>
      </c>
      <c r="AI2344" s="106"/>
      <c r="AJ2344" s="65"/>
      <c r="AV2344" s="56"/>
    </row>
    <row r="2345" spans="2:48" ht="12.75" hidden="1" customHeight="1" outlineLevel="2" thickBot="1">
      <c r="B2345" s="82"/>
      <c r="C2345" s="1234"/>
      <c r="D2345" s="1234"/>
      <c r="E2345" s="84" t="str">
        <f>'Terms and Turnovers'!$T$12</f>
        <v>ORIGINALS</v>
      </c>
      <c r="F2345" s="70">
        <f>F1630/'Terms and Turnovers'!$T157</f>
        <v>0</v>
      </c>
      <c r="G2345" s="728"/>
      <c r="H2345" s="70">
        <f>H1630/'Terms and Turnovers'!$T157</f>
        <v>0</v>
      </c>
      <c r="I2345" s="728"/>
      <c r="J2345" s="70">
        <f>J1630/'Terms and Turnovers'!$T157</f>
        <v>0</v>
      </c>
      <c r="K2345" s="728"/>
      <c r="L2345" s="70">
        <f>L1630/'Terms and Turnovers'!$T157</f>
        <v>0</v>
      </c>
      <c r="M2345" s="728"/>
      <c r="N2345" s="70">
        <f>N1630/'Terms and Turnovers'!$T157</f>
        <v>0</v>
      </c>
      <c r="O2345" s="728"/>
      <c r="P2345" s="70">
        <f>P1630/'Terms and Turnovers'!$T157</f>
        <v>0</v>
      </c>
      <c r="Q2345" s="728"/>
      <c r="R2345" s="132">
        <f>SUM(F2345,H2345,J2345,L2345,N2345,P2345)</f>
        <v>0</v>
      </c>
      <c r="S2345" s="728"/>
      <c r="T2345" s="70">
        <f>T1630/'Terms and Turnovers'!$T157</f>
        <v>0</v>
      </c>
      <c r="U2345" s="728"/>
      <c r="V2345" s="70">
        <f>V1630/'Terms and Turnovers'!$T157</f>
        <v>0</v>
      </c>
      <c r="W2345" s="728"/>
      <c r="X2345" s="70">
        <f>X1630/'Terms and Turnovers'!$T157</f>
        <v>0</v>
      </c>
      <c r="Y2345" s="728"/>
      <c r="Z2345" s="70">
        <f>Z1630/'Terms and Turnovers'!$T157</f>
        <v>0</v>
      </c>
      <c r="AA2345" s="728"/>
      <c r="AB2345" s="70">
        <f>AB1630/'Terms and Turnovers'!$T157</f>
        <v>0</v>
      </c>
      <c r="AC2345" s="728"/>
      <c r="AD2345" s="70">
        <f>AD1630/'Terms and Turnovers'!$T157</f>
        <v>0</v>
      </c>
      <c r="AE2345" s="728"/>
      <c r="AF2345" s="132">
        <f>SUM(T2345,V2345,X2345,Z2345,AB2345,AD2345)</f>
        <v>0</v>
      </c>
      <c r="AG2345" s="728"/>
      <c r="AH2345" s="133">
        <f>SUM(AF2345,R2345)</f>
        <v>0</v>
      </c>
      <c r="AI2345" s="728"/>
      <c r="AJ2345" s="65"/>
      <c r="AV2345" s="56"/>
    </row>
    <row r="2346" spans="2:48" ht="12.75" hidden="1" customHeight="1" outlineLevel="2">
      <c r="B2346" s="82"/>
      <c r="C2346" s="1234"/>
      <c r="D2346" s="1234"/>
      <c r="E2346" s="84" t="str">
        <f>'Terms and Turnovers'!$AD$12</f>
        <v>ACCESSORIES</v>
      </c>
      <c r="F2346" s="68">
        <f>F1631/'Terms and Turnovers'!$AD157</f>
        <v>0</v>
      </c>
      <c r="G2346" s="728"/>
      <c r="H2346" s="68">
        <f>H1631/'Terms and Turnovers'!$AD157</f>
        <v>0</v>
      </c>
      <c r="I2346" s="728"/>
      <c r="J2346" s="68">
        <f>J1631/'Terms and Turnovers'!$AD157</f>
        <v>0</v>
      </c>
      <c r="K2346" s="728"/>
      <c r="L2346" s="68">
        <f>L1631/'Terms and Turnovers'!$AD157</f>
        <v>0</v>
      </c>
      <c r="M2346" s="728"/>
      <c r="N2346" s="68">
        <f>N1631/'Terms and Turnovers'!$AD157</f>
        <v>0</v>
      </c>
      <c r="O2346" s="728"/>
      <c r="P2346" s="68">
        <f>P1631/'Terms and Turnovers'!$AD157</f>
        <v>0</v>
      </c>
      <c r="Q2346" s="728"/>
      <c r="R2346" s="132">
        <f>SUM(F2346,H2346,J2346,L2346,N2346,P2346)</f>
        <v>0</v>
      </c>
      <c r="S2346" s="728"/>
      <c r="T2346" s="68">
        <f>T1631/'Terms and Turnovers'!$AD157</f>
        <v>0</v>
      </c>
      <c r="U2346" s="728"/>
      <c r="V2346" s="68">
        <f>V1631/'Terms and Turnovers'!$AD157</f>
        <v>0</v>
      </c>
      <c r="W2346" s="728"/>
      <c r="X2346" s="68">
        <f>X1631/'Terms and Turnovers'!$AD157</f>
        <v>0</v>
      </c>
      <c r="Y2346" s="728"/>
      <c r="Z2346" s="68">
        <f>Z1631/'Terms and Turnovers'!$AD157</f>
        <v>0</v>
      </c>
      <c r="AA2346" s="728"/>
      <c r="AB2346" s="68">
        <f>AB1631/'Terms and Turnovers'!$AD157</f>
        <v>0</v>
      </c>
      <c r="AC2346" s="728"/>
      <c r="AD2346" s="68">
        <f>AD1631/'Terms and Turnovers'!$AD157</f>
        <v>0</v>
      </c>
      <c r="AE2346" s="728"/>
      <c r="AF2346" s="132">
        <f>SUM(T2346,V2346,X2346,Z2346,AB2346,AD2346)</f>
        <v>0</v>
      </c>
      <c r="AG2346" s="728"/>
      <c r="AH2346" s="133">
        <f>SUM(AF2346,R2346)</f>
        <v>0</v>
      </c>
      <c r="AI2346" s="728"/>
      <c r="AJ2346" s="65"/>
      <c r="AV2346" s="56"/>
    </row>
    <row r="2347" spans="2:48" ht="12.75" hidden="1" customHeight="1" outlineLevel="2" thickBot="1">
      <c r="B2347" s="82"/>
      <c r="C2347" s="1234"/>
      <c r="D2347" s="1234"/>
      <c r="E2347" s="84">
        <f>'Terms and Turnovers'!$AN$12</f>
        <v>0</v>
      </c>
      <c r="F2347" s="70">
        <f>F1632/'Terms and Turnovers'!$AN157</f>
        <v>0</v>
      </c>
      <c r="G2347" s="728"/>
      <c r="H2347" s="70">
        <f>H1632/'Terms and Turnovers'!$AN157</f>
        <v>0</v>
      </c>
      <c r="I2347" s="728"/>
      <c r="J2347" s="70">
        <f>J1632/'Terms and Turnovers'!$AN157</f>
        <v>0</v>
      </c>
      <c r="K2347" s="728"/>
      <c r="L2347" s="70">
        <f>L1632/'Terms and Turnovers'!$AN157</f>
        <v>0</v>
      </c>
      <c r="M2347" s="728"/>
      <c r="N2347" s="70">
        <f>N1632/'Terms and Turnovers'!$AN157</f>
        <v>0</v>
      </c>
      <c r="O2347" s="728"/>
      <c r="P2347" s="70">
        <f>P1632/'Terms and Turnovers'!$AN157</f>
        <v>0</v>
      </c>
      <c r="Q2347" s="728"/>
      <c r="R2347" s="132">
        <f>SUM(F2347,H2347,J2347,L2347,N2347,P2347)</f>
        <v>0</v>
      </c>
      <c r="S2347" s="728"/>
      <c r="T2347" s="70">
        <f>T1632/'Terms and Turnovers'!$AN157</f>
        <v>0</v>
      </c>
      <c r="U2347" s="728"/>
      <c r="V2347" s="70">
        <f>V1632/'Terms and Turnovers'!$AN157</f>
        <v>0</v>
      </c>
      <c r="W2347" s="728"/>
      <c r="X2347" s="70">
        <f>X1632/'Terms and Turnovers'!$AN157</f>
        <v>0</v>
      </c>
      <c r="Y2347" s="728"/>
      <c r="Z2347" s="70">
        <f>Z1632/'Terms and Turnovers'!$AN157</f>
        <v>0</v>
      </c>
      <c r="AA2347" s="728"/>
      <c r="AB2347" s="70">
        <f>AB1632/'Terms and Turnovers'!$AN157</f>
        <v>0</v>
      </c>
      <c r="AC2347" s="728"/>
      <c r="AD2347" s="70">
        <f>AD1632/'Terms and Turnovers'!$AN157</f>
        <v>0</v>
      </c>
      <c r="AE2347" s="728"/>
      <c r="AF2347" s="132">
        <f>SUM(T2347,V2347,X2347,Z2347,AB2347,AD2347)</f>
        <v>0</v>
      </c>
      <c r="AG2347" s="728"/>
      <c r="AH2347" s="133">
        <f>SUM(AF2347,R2347)</f>
        <v>0</v>
      </c>
      <c r="AI2347" s="728"/>
      <c r="AJ2347" s="65"/>
      <c r="AV2347" s="56"/>
    </row>
    <row r="2348" spans="2:48" ht="13.5" hidden="1" customHeight="1" outlineLevel="2" thickBot="1">
      <c r="B2348" s="82"/>
      <c r="C2348" s="1235"/>
      <c r="D2348" s="1235"/>
      <c r="E2348" s="85">
        <f>'Terms and Turnovers'!$AX$12</f>
        <v>0</v>
      </c>
      <c r="F2348" s="68">
        <f>F1633/'Terms and Turnovers'!$AX157</f>
        <v>0</v>
      </c>
      <c r="G2348" s="107"/>
      <c r="H2348" s="68">
        <f>H1633/'Terms and Turnovers'!$AX157</f>
        <v>0</v>
      </c>
      <c r="I2348" s="107"/>
      <c r="J2348" s="68">
        <f>J1633/'Terms and Turnovers'!$AX157</f>
        <v>0</v>
      </c>
      <c r="K2348" s="107"/>
      <c r="L2348" s="68">
        <f>L1633/'Terms and Turnovers'!$AX157</f>
        <v>0</v>
      </c>
      <c r="M2348" s="107"/>
      <c r="N2348" s="68">
        <f>N1633/'Terms and Turnovers'!$AX157</f>
        <v>0</v>
      </c>
      <c r="O2348" s="107"/>
      <c r="P2348" s="68">
        <f>P1633/'Terms and Turnovers'!$AX157</f>
        <v>0</v>
      </c>
      <c r="Q2348" s="107"/>
      <c r="R2348" s="135">
        <f>SUM(F2348,H2348,J2348,L2348,N2348,P2348)</f>
        <v>0</v>
      </c>
      <c r="S2348" s="107"/>
      <c r="T2348" s="68">
        <f>T1633/'Terms and Turnovers'!$AX157</f>
        <v>0</v>
      </c>
      <c r="U2348" s="107"/>
      <c r="V2348" s="68">
        <f>V1633/'Terms and Turnovers'!$AX157</f>
        <v>0</v>
      </c>
      <c r="W2348" s="107"/>
      <c r="X2348" s="68">
        <f>X1633/'Terms and Turnovers'!$AX157</f>
        <v>0</v>
      </c>
      <c r="Y2348" s="107"/>
      <c r="Z2348" s="68">
        <f>Z1633/'Terms and Turnovers'!$AX157</f>
        <v>0</v>
      </c>
      <c r="AA2348" s="107"/>
      <c r="AB2348" s="68">
        <f>AB1633/'Terms and Turnovers'!$AX157</f>
        <v>0</v>
      </c>
      <c r="AC2348" s="107"/>
      <c r="AD2348" s="68">
        <f>AD1633/'Terms and Turnovers'!$AX157</f>
        <v>0</v>
      </c>
      <c r="AE2348" s="107"/>
      <c r="AF2348" s="135">
        <f>SUM(T2348,V2348,X2348,Z2348,AB2348,AD2348)</f>
        <v>0</v>
      </c>
      <c r="AG2348" s="107"/>
      <c r="AH2348" s="136">
        <f>SUM(AF2348,R2348)</f>
        <v>0</v>
      </c>
      <c r="AI2348" s="107"/>
      <c r="AJ2348" s="65"/>
      <c r="AV2348" s="56"/>
    </row>
    <row r="2349" spans="2:48" ht="13.5" hidden="1" customHeight="1" outlineLevel="2">
      <c r="B2349" s="82"/>
      <c r="C2349" s="425"/>
      <c r="D2349" s="425"/>
      <c r="E2349" s="634"/>
      <c r="F2349" s="635"/>
      <c r="G2349" s="428"/>
      <c r="H2349" s="635"/>
      <c r="I2349" s="428"/>
      <c r="J2349" s="635"/>
      <c r="K2349" s="636"/>
      <c r="L2349" s="635"/>
      <c r="M2349" s="636"/>
      <c r="N2349" s="635"/>
      <c r="O2349" s="636"/>
      <c r="P2349" s="635"/>
      <c r="Q2349" s="636"/>
      <c r="R2349" s="637"/>
      <c r="S2349" s="698">
        <f>SUM(R1629:R1633)/1.18-(SUM(R2344:R2348)*'Mark Up Validation'!$M$175)</f>
        <v>0</v>
      </c>
      <c r="T2349" s="635"/>
      <c r="U2349" s="636"/>
      <c r="V2349" s="635"/>
      <c r="W2349" s="636"/>
      <c r="X2349" s="635"/>
      <c r="Y2349" s="636"/>
      <c r="Z2349" s="635"/>
      <c r="AA2349" s="636"/>
      <c r="AB2349" s="635"/>
      <c r="AC2349" s="636"/>
      <c r="AD2349" s="635"/>
      <c r="AE2349" s="636"/>
      <c r="AF2349" s="637"/>
      <c r="AG2349" s="698">
        <f>SUM(AF1629:AF1633)/1.18-SUM(AF2344:AF2348)*'Mark Up Validation'!$M$175</f>
        <v>0</v>
      </c>
      <c r="AH2349" s="638"/>
      <c r="AI2349" s="698">
        <f>SUM(AH1629:AH1633)/1.18-SUM(AH2344:AH2348)*'Mark Up Validation'!$M$175</f>
        <v>0</v>
      </c>
      <c r="AJ2349" s="65"/>
      <c r="AV2349" s="56"/>
    </row>
    <row r="2350" spans="2:48" ht="13.5" hidden="1" customHeight="1" outlineLevel="2" thickBot="1">
      <c r="B2350" s="82"/>
      <c r="C2350" s="1228" t="s">
        <v>538</v>
      </c>
      <c r="D2350" s="1229"/>
      <c r="E2350" s="699"/>
      <c r="F2350" s="700"/>
      <c r="G2350" s="701"/>
      <c r="H2350" s="700"/>
      <c r="I2350" s="701"/>
      <c r="J2350" s="700"/>
      <c r="K2350" s="702"/>
      <c r="L2350" s="700"/>
      <c r="M2350" s="702"/>
      <c r="N2350" s="700"/>
      <c r="O2350" s="702"/>
      <c r="P2350" s="700"/>
      <c r="Q2350" s="702"/>
      <c r="R2350" s="703"/>
      <c r="S2350" s="729">
        <f>IF(S2349&gt;0,S2349/(SUM(R1629:R1633)/1.18),0)</f>
        <v>0</v>
      </c>
      <c r="T2350" s="700"/>
      <c r="U2350" s="702"/>
      <c r="V2350" s="700"/>
      <c r="W2350" s="702"/>
      <c r="X2350" s="700"/>
      <c r="Y2350" s="702"/>
      <c r="Z2350" s="700"/>
      <c r="AA2350" s="702"/>
      <c r="AB2350" s="700"/>
      <c r="AC2350" s="702"/>
      <c r="AD2350" s="700"/>
      <c r="AE2350" s="702"/>
      <c r="AF2350" s="705"/>
      <c r="AG2350" s="729">
        <f>IF(AG2349&gt;0,AG2349/(SUM(AF1629:AF1633)/1.18),0)</f>
        <v>0</v>
      </c>
      <c r="AH2350" s="706"/>
      <c r="AI2350" s="729">
        <f>IF(AI2349&gt;0,AI2349/(SUM(AH1629:AH1633)/1.18),0)</f>
        <v>0</v>
      </c>
      <c r="AJ2350" s="65"/>
      <c r="AV2350" s="56"/>
    </row>
    <row r="2351" spans="2:48" ht="12.75" hidden="1" customHeight="1" outlineLevel="2">
      <c r="B2351" s="82">
        <f>B2344+1</f>
        <v>27</v>
      </c>
      <c r="C2351" s="1233">
        <f>C1636</f>
        <v>0</v>
      </c>
      <c r="D2351" s="1233">
        <f>D1636</f>
        <v>0</v>
      </c>
      <c r="E2351" s="83" t="str">
        <f>'Terms and Turnovers'!$J$12</f>
        <v>FLIP-FLOPS</v>
      </c>
      <c r="F2351" s="68">
        <f>F1636/'Terms and Turnovers'!$J158</f>
        <v>0</v>
      </c>
      <c r="G2351" s="106"/>
      <c r="H2351" s="68">
        <f>H1636/'Terms and Turnovers'!$J158</f>
        <v>0</v>
      </c>
      <c r="I2351" s="106"/>
      <c r="J2351" s="68">
        <f>J1636/'Terms and Turnovers'!$J158</f>
        <v>0</v>
      </c>
      <c r="K2351" s="106"/>
      <c r="L2351" s="68">
        <f>L1636/'Terms and Turnovers'!$J158</f>
        <v>0</v>
      </c>
      <c r="M2351" s="106"/>
      <c r="N2351" s="68">
        <f>N1636/'Terms and Turnovers'!$J158</f>
        <v>0</v>
      </c>
      <c r="O2351" s="106"/>
      <c r="P2351" s="68">
        <f>P1636/'Terms and Turnovers'!$J158</f>
        <v>0</v>
      </c>
      <c r="Q2351" s="106"/>
      <c r="R2351" s="129">
        <f>SUM(F2351,H2351,J2351,L2351,N2351,P2351)</f>
        <v>0</v>
      </c>
      <c r="S2351" s="106"/>
      <c r="T2351" s="68">
        <f>T1636/'Terms and Turnovers'!$J158</f>
        <v>0</v>
      </c>
      <c r="U2351" s="106"/>
      <c r="V2351" s="68">
        <f>V1636/'Terms and Turnovers'!$J158</f>
        <v>0</v>
      </c>
      <c r="W2351" s="106"/>
      <c r="X2351" s="68">
        <f>X1636/'Terms and Turnovers'!$J158</f>
        <v>0</v>
      </c>
      <c r="Y2351" s="106"/>
      <c r="Z2351" s="68">
        <f>Z1636/'Terms and Turnovers'!$J158</f>
        <v>0</v>
      </c>
      <c r="AA2351" s="106"/>
      <c r="AB2351" s="68">
        <f>AB1636/'Terms and Turnovers'!$J158</f>
        <v>0</v>
      </c>
      <c r="AC2351" s="106"/>
      <c r="AD2351" s="68">
        <f>AD1636/'Terms and Turnovers'!$J158</f>
        <v>0</v>
      </c>
      <c r="AE2351" s="106"/>
      <c r="AF2351" s="129">
        <f>SUM(T2351,V2351,X2351,Z2351,AB2351,AD2351)</f>
        <v>0</v>
      </c>
      <c r="AG2351" s="106"/>
      <c r="AH2351" s="130">
        <f>SUM(AF2351,R2351)</f>
        <v>0</v>
      </c>
      <c r="AI2351" s="106"/>
      <c r="AJ2351" s="65"/>
      <c r="AV2351" s="56"/>
    </row>
    <row r="2352" spans="2:48" ht="12.75" hidden="1" customHeight="1" outlineLevel="2" thickBot="1">
      <c r="B2352" s="82"/>
      <c r="C2352" s="1234"/>
      <c r="D2352" s="1234"/>
      <c r="E2352" s="84" t="str">
        <f>'Terms and Turnovers'!$T$12</f>
        <v>ORIGINALS</v>
      </c>
      <c r="F2352" s="70">
        <f>F1637/'Terms and Turnovers'!$T158</f>
        <v>0</v>
      </c>
      <c r="G2352" s="728"/>
      <c r="H2352" s="70">
        <f>H1637/'Terms and Turnovers'!$T158</f>
        <v>0</v>
      </c>
      <c r="I2352" s="728"/>
      <c r="J2352" s="70">
        <f>J1637/'Terms and Turnovers'!$T158</f>
        <v>0</v>
      </c>
      <c r="K2352" s="728"/>
      <c r="L2352" s="70">
        <f>L1637/'Terms and Turnovers'!$T158</f>
        <v>0</v>
      </c>
      <c r="M2352" s="728"/>
      <c r="N2352" s="70">
        <f>N1637/'Terms and Turnovers'!$T158</f>
        <v>0</v>
      </c>
      <c r="O2352" s="728"/>
      <c r="P2352" s="70">
        <f>P1637/'Terms and Turnovers'!$T158</f>
        <v>0</v>
      </c>
      <c r="Q2352" s="728"/>
      <c r="R2352" s="132">
        <f>SUM(F2352,H2352,J2352,L2352,N2352,P2352)</f>
        <v>0</v>
      </c>
      <c r="S2352" s="728"/>
      <c r="T2352" s="70">
        <f>T1637/'Terms and Turnovers'!$T158</f>
        <v>0</v>
      </c>
      <c r="U2352" s="728"/>
      <c r="V2352" s="70">
        <f>V1637/'Terms and Turnovers'!$T158</f>
        <v>0</v>
      </c>
      <c r="W2352" s="728"/>
      <c r="X2352" s="70">
        <f>X1637/'Terms and Turnovers'!$T158</f>
        <v>0</v>
      </c>
      <c r="Y2352" s="728"/>
      <c r="Z2352" s="70">
        <f>Z1637/'Terms and Turnovers'!$T158</f>
        <v>0</v>
      </c>
      <c r="AA2352" s="728"/>
      <c r="AB2352" s="70">
        <f>AB1637/'Terms and Turnovers'!$T158</f>
        <v>0</v>
      </c>
      <c r="AC2352" s="728"/>
      <c r="AD2352" s="70">
        <f>AD1637/'Terms and Turnovers'!$T158</f>
        <v>0</v>
      </c>
      <c r="AE2352" s="728"/>
      <c r="AF2352" s="132">
        <f>SUM(T2352,V2352,X2352,Z2352,AB2352,AD2352)</f>
        <v>0</v>
      </c>
      <c r="AG2352" s="728"/>
      <c r="AH2352" s="133">
        <f>SUM(AF2352,R2352)</f>
        <v>0</v>
      </c>
      <c r="AI2352" s="728"/>
      <c r="AJ2352" s="65"/>
      <c r="AV2352" s="56"/>
    </row>
    <row r="2353" spans="2:48" ht="12.75" hidden="1" customHeight="1" outlineLevel="2">
      <c r="B2353" s="82"/>
      <c r="C2353" s="1234"/>
      <c r="D2353" s="1234"/>
      <c r="E2353" s="84" t="str">
        <f>'Terms and Turnovers'!$AD$12</f>
        <v>ACCESSORIES</v>
      </c>
      <c r="F2353" s="68">
        <f>F1638/'Terms and Turnovers'!$AD158</f>
        <v>0</v>
      </c>
      <c r="G2353" s="728"/>
      <c r="H2353" s="68">
        <f>H1638/'Terms and Turnovers'!$AD158</f>
        <v>0</v>
      </c>
      <c r="I2353" s="728"/>
      <c r="J2353" s="68">
        <f>J1638/'Terms and Turnovers'!$AD158</f>
        <v>0</v>
      </c>
      <c r="K2353" s="728"/>
      <c r="L2353" s="68">
        <f>L1638/'Terms and Turnovers'!$AD158</f>
        <v>0</v>
      </c>
      <c r="M2353" s="728"/>
      <c r="N2353" s="68">
        <f>N1638/'Terms and Turnovers'!$AD158</f>
        <v>0</v>
      </c>
      <c r="O2353" s="728"/>
      <c r="P2353" s="68">
        <f>P1638/'Terms and Turnovers'!$AD158</f>
        <v>0</v>
      </c>
      <c r="Q2353" s="728"/>
      <c r="R2353" s="132">
        <f>SUM(F2353,H2353,J2353,L2353,N2353,P2353)</f>
        <v>0</v>
      </c>
      <c r="S2353" s="728"/>
      <c r="T2353" s="68">
        <f>T1638/'Terms and Turnovers'!$AD158</f>
        <v>0</v>
      </c>
      <c r="U2353" s="728"/>
      <c r="V2353" s="68">
        <f>V1638/'Terms and Turnovers'!$AD158</f>
        <v>0</v>
      </c>
      <c r="W2353" s="728"/>
      <c r="X2353" s="68">
        <f>X1638/'Terms and Turnovers'!$AD158</f>
        <v>0</v>
      </c>
      <c r="Y2353" s="728"/>
      <c r="Z2353" s="68">
        <f>Z1638/'Terms and Turnovers'!$AD158</f>
        <v>0</v>
      </c>
      <c r="AA2353" s="728"/>
      <c r="AB2353" s="68">
        <f>AB1638/'Terms and Turnovers'!$AD158</f>
        <v>0</v>
      </c>
      <c r="AC2353" s="728"/>
      <c r="AD2353" s="68">
        <f>AD1638/'Terms and Turnovers'!$AD158</f>
        <v>0</v>
      </c>
      <c r="AE2353" s="728"/>
      <c r="AF2353" s="132">
        <f>SUM(T2353,V2353,X2353,Z2353,AB2353,AD2353)</f>
        <v>0</v>
      </c>
      <c r="AG2353" s="728"/>
      <c r="AH2353" s="133">
        <f>SUM(AF2353,R2353)</f>
        <v>0</v>
      </c>
      <c r="AI2353" s="728"/>
      <c r="AJ2353" s="65"/>
      <c r="AV2353" s="56"/>
    </row>
    <row r="2354" spans="2:48" ht="12.75" hidden="1" customHeight="1" outlineLevel="2" thickBot="1">
      <c r="B2354" s="82"/>
      <c r="C2354" s="1234"/>
      <c r="D2354" s="1234"/>
      <c r="E2354" s="84">
        <f>'Terms and Turnovers'!$AN$12</f>
        <v>0</v>
      </c>
      <c r="F2354" s="70">
        <f>F1639/'Terms and Turnovers'!$AN158</f>
        <v>0</v>
      </c>
      <c r="G2354" s="728"/>
      <c r="H2354" s="70">
        <f>H1639/'Terms and Turnovers'!$AN158</f>
        <v>0</v>
      </c>
      <c r="I2354" s="728"/>
      <c r="J2354" s="70">
        <f>J1639/'Terms and Turnovers'!$AN158</f>
        <v>0</v>
      </c>
      <c r="K2354" s="728"/>
      <c r="L2354" s="70">
        <f>L1639/'Terms and Turnovers'!$AN158</f>
        <v>0</v>
      </c>
      <c r="M2354" s="728"/>
      <c r="N2354" s="70">
        <f>N1639/'Terms and Turnovers'!$AN158</f>
        <v>0</v>
      </c>
      <c r="O2354" s="728"/>
      <c r="P2354" s="70">
        <f>P1639/'Terms and Turnovers'!$AN158</f>
        <v>0</v>
      </c>
      <c r="Q2354" s="728"/>
      <c r="R2354" s="132">
        <f>SUM(F2354,H2354,J2354,L2354,N2354,P2354)</f>
        <v>0</v>
      </c>
      <c r="S2354" s="728"/>
      <c r="T2354" s="70">
        <f>T1639/'Terms and Turnovers'!$AN158</f>
        <v>0</v>
      </c>
      <c r="U2354" s="728"/>
      <c r="V2354" s="70">
        <f>V1639/'Terms and Turnovers'!$AN158</f>
        <v>0</v>
      </c>
      <c r="W2354" s="728"/>
      <c r="X2354" s="70">
        <f>X1639/'Terms and Turnovers'!$AN158</f>
        <v>0</v>
      </c>
      <c r="Y2354" s="728"/>
      <c r="Z2354" s="70">
        <f>Z1639/'Terms and Turnovers'!$AN158</f>
        <v>0</v>
      </c>
      <c r="AA2354" s="728"/>
      <c r="AB2354" s="70">
        <f>AB1639/'Terms and Turnovers'!$AN158</f>
        <v>0</v>
      </c>
      <c r="AC2354" s="728"/>
      <c r="AD2354" s="70">
        <f>AD1639/'Terms and Turnovers'!$AN158</f>
        <v>0</v>
      </c>
      <c r="AE2354" s="728"/>
      <c r="AF2354" s="132">
        <f>SUM(T2354,V2354,X2354,Z2354,AB2354,AD2354)</f>
        <v>0</v>
      </c>
      <c r="AG2354" s="728"/>
      <c r="AH2354" s="133">
        <f>SUM(AF2354,R2354)</f>
        <v>0</v>
      </c>
      <c r="AI2354" s="728"/>
      <c r="AJ2354" s="65"/>
      <c r="AV2354" s="56"/>
    </row>
    <row r="2355" spans="2:48" ht="13.5" hidden="1" customHeight="1" outlineLevel="2" thickBot="1">
      <c r="B2355" s="82"/>
      <c r="C2355" s="1235"/>
      <c r="D2355" s="1235"/>
      <c r="E2355" s="85">
        <f>'Terms and Turnovers'!$AX$12</f>
        <v>0</v>
      </c>
      <c r="F2355" s="68">
        <f>F1640/'Terms and Turnovers'!$AX158</f>
        <v>0</v>
      </c>
      <c r="G2355" s="107"/>
      <c r="H2355" s="68">
        <f>H1640/'Terms and Turnovers'!$AX158</f>
        <v>0</v>
      </c>
      <c r="I2355" s="107"/>
      <c r="J2355" s="68">
        <f>J1640/'Terms and Turnovers'!$AX158</f>
        <v>0</v>
      </c>
      <c r="K2355" s="107"/>
      <c r="L2355" s="68">
        <f>L1640/'Terms and Turnovers'!$AX158</f>
        <v>0</v>
      </c>
      <c r="M2355" s="107"/>
      <c r="N2355" s="68">
        <f>N1640/'Terms and Turnovers'!$AX158</f>
        <v>0</v>
      </c>
      <c r="O2355" s="107"/>
      <c r="P2355" s="68">
        <f>P1640/'Terms and Turnovers'!$AX158</f>
        <v>0</v>
      </c>
      <c r="Q2355" s="107"/>
      <c r="R2355" s="135">
        <f>SUM(F2355,H2355,J2355,L2355,N2355,P2355)</f>
        <v>0</v>
      </c>
      <c r="S2355" s="107"/>
      <c r="T2355" s="68">
        <f>T1640/'Terms and Turnovers'!$AX158</f>
        <v>0</v>
      </c>
      <c r="U2355" s="107"/>
      <c r="V2355" s="68">
        <f>V1640/'Terms and Turnovers'!$AX158</f>
        <v>0</v>
      </c>
      <c r="W2355" s="107"/>
      <c r="X2355" s="68">
        <f>X1640/'Terms and Turnovers'!$AX158</f>
        <v>0</v>
      </c>
      <c r="Y2355" s="107"/>
      <c r="Z2355" s="68">
        <f>Z1640/'Terms and Turnovers'!$AX158</f>
        <v>0</v>
      </c>
      <c r="AA2355" s="107"/>
      <c r="AB2355" s="68">
        <f>AB1640/'Terms and Turnovers'!$AX158</f>
        <v>0</v>
      </c>
      <c r="AC2355" s="107"/>
      <c r="AD2355" s="68">
        <f>AD1640/'Terms and Turnovers'!$AX158</f>
        <v>0</v>
      </c>
      <c r="AE2355" s="107"/>
      <c r="AF2355" s="135">
        <f>SUM(T2355,V2355,X2355,Z2355,AB2355,AD2355)</f>
        <v>0</v>
      </c>
      <c r="AG2355" s="107"/>
      <c r="AH2355" s="136">
        <f>SUM(AF2355,R2355)</f>
        <v>0</v>
      </c>
      <c r="AI2355" s="107"/>
      <c r="AJ2355" s="65"/>
      <c r="AV2355" s="56"/>
    </row>
    <row r="2356" spans="2:48" ht="13.5" hidden="1" customHeight="1" outlineLevel="2">
      <c r="B2356" s="82"/>
      <c r="C2356" s="425"/>
      <c r="D2356" s="425"/>
      <c r="E2356" s="634"/>
      <c r="F2356" s="635"/>
      <c r="G2356" s="428"/>
      <c r="H2356" s="635"/>
      <c r="I2356" s="428"/>
      <c r="J2356" s="635"/>
      <c r="K2356" s="636"/>
      <c r="L2356" s="635"/>
      <c r="M2356" s="636"/>
      <c r="N2356" s="635"/>
      <c r="O2356" s="636"/>
      <c r="P2356" s="635"/>
      <c r="Q2356" s="636"/>
      <c r="R2356" s="637"/>
      <c r="S2356" s="698">
        <f>SUM(R1636:R1640)/1.18-(SUM(R2351:R2355)*'Mark Up Validation'!$M$175)</f>
        <v>0</v>
      </c>
      <c r="T2356" s="635"/>
      <c r="U2356" s="636"/>
      <c r="V2356" s="635"/>
      <c r="W2356" s="636"/>
      <c r="X2356" s="635"/>
      <c r="Y2356" s="636"/>
      <c r="Z2356" s="635"/>
      <c r="AA2356" s="636"/>
      <c r="AB2356" s="635"/>
      <c r="AC2356" s="636"/>
      <c r="AD2356" s="635"/>
      <c r="AE2356" s="636"/>
      <c r="AF2356" s="637"/>
      <c r="AG2356" s="698">
        <f>SUM(AF1636:AF1640)/1.18-SUM(AF2351:AF2355)*'Mark Up Validation'!$M$175</f>
        <v>0</v>
      </c>
      <c r="AH2356" s="638"/>
      <c r="AI2356" s="698">
        <f>SUM(AH1636:AH1640)/1.18-SUM(AH2351:AH2355)*'Mark Up Validation'!$M$175</f>
        <v>0</v>
      </c>
      <c r="AJ2356" s="65"/>
      <c r="AV2356" s="56"/>
    </row>
    <row r="2357" spans="2:48" ht="13.5" hidden="1" customHeight="1" outlineLevel="2" thickBot="1">
      <c r="B2357" s="82"/>
      <c r="C2357" s="1228" t="s">
        <v>538</v>
      </c>
      <c r="D2357" s="1229"/>
      <c r="E2357" s="699"/>
      <c r="F2357" s="700"/>
      <c r="G2357" s="701"/>
      <c r="H2357" s="700"/>
      <c r="I2357" s="701"/>
      <c r="J2357" s="700"/>
      <c r="K2357" s="702"/>
      <c r="L2357" s="700"/>
      <c r="M2357" s="702"/>
      <c r="N2357" s="700"/>
      <c r="O2357" s="702"/>
      <c r="P2357" s="700"/>
      <c r="Q2357" s="702"/>
      <c r="R2357" s="703"/>
      <c r="S2357" s="729">
        <f>IF(S2356&gt;0,S2356/(SUM(R1636:R1640)/1.18),0)</f>
        <v>0</v>
      </c>
      <c r="T2357" s="700"/>
      <c r="U2357" s="702"/>
      <c r="V2357" s="700"/>
      <c r="W2357" s="702"/>
      <c r="X2357" s="700"/>
      <c r="Y2357" s="702"/>
      <c r="Z2357" s="700"/>
      <c r="AA2357" s="702"/>
      <c r="AB2357" s="700"/>
      <c r="AC2357" s="702"/>
      <c r="AD2357" s="700"/>
      <c r="AE2357" s="702"/>
      <c r="AF2357" s="705"/>
      <c r="AG2357" s="729">
        <f>IF(AG2356&gt;0,AG2356/(SUM(AF1636:AF1640)/1.18),0)</f>
        <v>0</v>
      </c>
      <c r="AH2357" s="706"/>
      <c r="AI2357" s="729">
        <f>IF(AI2356&gt;0,AI2356/(SUM(AH1636:AH1640)/1.18),0)</f>
        <v>0</v>
      </c>
      <c r="AJ2357" s="65"/>
      <c r="AV2357" s="56"/>
    </row>
    <row r="2358" spans="2:48" ht="12.75" hidden="1" customHeight="1" outlineLevel="2">
      <c r="B2358" s="82">
        <f>B2351+1</f>
        <v>28</v>
      </c>
      <c r="C2358" s="1233">
        <f>C1643</f>
        <v>0</v>
      </c>
      <c r="D2358" s="1233">
        <f>D1643</f>
        <v>0</v>
      </c>
      <c r="E2358" s="83" t="str">
        <f>'Terms and Turnovers'!$J$12</f>
        <v>FLIP-FLOPS</v>
      </c>
      <c r="F2358" s="68">
        <f>F1643/'Terms and Turnovers'!$J159</f>
        <v>0</v>
      </c>
      <c r="G2358" s="106"/>
      <c r="H2358" s="68">
        <f>H1643/'Terms and Turnovers'!$J159</f>
        <v>0</v>
      </c>
      <c r="I2358" s="106"/>
      <c r="J2358" s="68">
        <f>J1643/'Terms and Turnovers'!$J159</f>
        <v>0</v>
      </c>
      <c r="K2358" s="106"/>
      <c r="L2358" s="68">
        <f>L1643/'Terms and Turnovers'!$J159</f>
        <v>0</v>
      </c>
      <c r="M2358" s="106"/>
      <c r="N2358" s="68">
        <f>N1643/'Terms and Turnovers'!$J159</f>
        <v>0</v>
      </c>
      <c r="O2358" s="106"/>
      <c r="P2358" s="68">
        <f>P1643/'Terms and Turnovers'!$J159</f>
        <v>0</v>
      </c>
      <c r="Q2358" s="106"/>
      <c r="R2358" s="129">
        <f>SUM(F2358,H2358,J2358,L2358,N2358,P2358)</f>
        <v>0</v>
      </c>
      <c r="S2358" s="106"/>
      <c r="T2358" s="68">
        <f>T1643/'Terms and Turnovers'!$J159</f>
        <v>0</v>
      </c>
      <c r="U2358" s="106"/>
      <c r="V2358" s="68">
        <f>V1643/'Terms and Turnovers'!$J159</f>
        <v>0</v>
      </c>
      <c r="W2358" s="106"/>
      <c r="X2358" s="68">
        <f>X1643/'Terms and Turnovers'!$J159</f>
        <v>0</v>
      </c>
      <c r="Y2358" s="106"/>
      <c r="Z2358" s="68">
        <f>Z1643/'Terms and Turnovers'!$J159</f>
        <v>0</v>
      </c>
      <c r="AA2358" s="106"/>
      <c r="AB2358" s="68">
        <f>AB1643/'Terms and Turnovers'!$J159</f>
        <v>0</v>
      </c>
      <c r="AC2358" s="106"/>
      <c r="AD2358" s="68">
        <f>AD1643/'Terms and Turnovers'!$J159</f>
        <v>0</v>
      </c>
      <c r="AE2358" s="106"/>
      <c r="AF2358" s="129">
        <f>SUM(T2358,V2358,X2358,Z2358,AB2358,AD2358)</f>
        <v>0</v>
      </c>
      <c r="AG2358" s="106"/>
      <c r="AH2358" s="130">
        <f>SUM(AF2358,R2358)</f>
        <v>0</v>
      </c>
      <c r="AI2358" s="106"/>
      <c r="AJ2358" s="65"/>
      <c r="AV2358" s="56"/>
    </row>
    <row r="2359" spans="2:48" ht="12.75" hidden="1" customHeight="1" outlineLevel="2" thickBot="1">
      <c r="B2359" s="82"/>
      <c r="C2359" s="1234"/>
      <c r="D2359" s="1234"/>
      <c r="E2359" s="84" t="str">
        <f>'Terms and Turnovers'!$T$12</f>
        <v>ORIGINALS</v>
      </c>
      <c r="F2359" s="70">
        <f>F1644/'Terms and Turnovers'!$T159</f>
        <v>0</v>
      </c>
      <c r="G2359" s="728"/>
      <c r="H2359" s="70">
        <f>H1644/'Terms and Turnovers'!$T159</f>
        <v>0</v>
      </c>
      <c r="I2359" s="728"/>
      <c r="J2359" s="70">
        <f>J1644/'Terms and Turnovers'!$T159</f>
        <v>0</v>
      </c>
      <c r="K2359" s="728"/>
      <c r="L2359" s="70">
        <f>L1644/'Terms and Turnovers'!$T159</f>
        <v>0</v>
      </c>
      <c r="M2359" s="728"/>
      <c r="N2359" s="70">
        <f>N1644/'Terms and Turnovers'!$T159</f>
        <v>0</v>
      </c>
      <c r="O2359" s="728"/>
      <c r="P2359" s="70">
        <f>P1644/'Terms and Turnovers'!$T159</f>
        <v>0</v>
      </c>
      <c r="Q2359" s="728"/>
      <c r="R2359" s="132">
        <f>SUM(F2359,H2359,J2359,L2359,N2359,P2359)</f>
        <v>0</v>
      </c>
      <c r="S2359" s="728"/>
      <c r="T2359" s="70">
        <f>T1644/'Terms and Turnovers'!$T159</f>
        <v>0</v>
      </c>
      <c r="U2359" s="728"/>
      <c r="V2359" s="70">
        <f>V1644/'Terms and Turnovers'!$T159</f>
        <v>0</v>
      </c>
      <c r="W2359" s="728"/>
      <c r="X2359" s="70">
        <f>X1644/'Terms and Turnovers'!$T159</f>
        <v>0</v>
      </c>
      <c r="Y2359" s="728"/>
      <c r="Z2359" s="70">
        <f>Z1644/'Terms and Turnovers'!$T159</f>
        <v>0</v>
      </c>
      <c r="AA2359" s="728"/>
      <c r="AB2359" s="70">
        <f>AB1644/'Terms and Turnovers'!$T159</f>
        <v>0</v>
      </c>
      <c r="AC2359" s="728"/>
      <c r="AD2359" s="70">
        <f>AD1644/'Terms and Turnovers'!$T159</f>
        <v>0</v>
      </c>
      <c r="AE2359" s="728"/>
      <c r="AF2359" s="132">
        <f>SUM(T2359,V2359,X2359,Z2359,AB2359,AD2359)</f>
        <v>0</v>
      </c>
      <c r="AG2359" s="728"/>
      <c r="AH2359" s="133">
        <f>SUM(AF2359,R2359)</f>
        <v>0</v>
      </c>
      <c r="AI2359" s="728"/>
      <c r="AJ2359" s="65"/>
      <c r="AV2359" s="56"/>
    </row>
    <row r="2360" spans="2:48" ht="12.75" hidden="1" customHeight="1" outlineLevel="2">
      <c r="B2360" s="82"/>
      <c r="C2360" s="1234"/>
      <c r="D2360" s="1234"/>
      <c r="E2360" s="84" t="str">
        <f>'Terms and Turnovers'!$AD$12</f>
        <v>ACCESSORIES</v>
      </c>
      <c r="F2360" s="68">
        <f>F1645/'Terms and Turnovers'!$AD159</f>
        <v>0</v>
      </c>
      <c r="G2360" s="728"/>
      <c r="H2360" s="68">
        <f>H1645/'Terms and Turnovers'!$AD159</f>
        <v>0</v>
      </c>
      <c r="I2360" s="728"/>
      <c r="J2360" s="68">
        <f>J1645/'Terms and Turnovers'!$AD159</f>
        <v>0</v>
      </c>
      <c r="K2360" s="728"/>
      <c r="L2360" s="68">
        <f>L1645/'Terms and Turnovers'!$AD159</f>
        <v>0</v>
      </c>
      <c r="M2360" s="728"/>
      <c r="N2360" s="68">
        <f>N1645/'Terms and Turnovers'!$AD159</f>
        <v>0</v>
      </c>
      <c r="O2360" s="728"/>
      <c r="P2360" s="68">
        <f>P1645/'Terms and Turnovers'!$AD159</f>
        <v>0</v>
      </c>
      <c r="Q2360" s="728"/>
      <c r="R2360" s="132">
        <f>SUM(F2360,H2360,J2360,L2360,N2360,P2360)</f>
        <v>0</v>
      </c>
      <c r="S2360" s="728"/>
      <c r="T2360" s="68">
        <f>T1645/'Terms and Turnovers'!$AD159</f>
        <v>0</v>
      </c>
      <c r="U2360" s="728"/>
      <c r="V2360" s="68">
        <f>V1645/'Terms and Turnovers'!$AD159</f>
        <v>0</v>
      </c>
      <c r="W2360" s="728"/>
      <c r="X2360" s="68">
        <f>X1645/'Terms and Turnovers'!$AD159</f>
        <v>0</v>
      </c>
      <c r="Y2360" s="728"/>
      <c r="Z2360" s="68">
        <f>Z1645/'Terms and Turnovers'!$AD159</f>
        <v>0</v>
      </c>
      <c r="AA2360" s="728"/>
      <c r="AB2360" s="68">
        <f>AB1645/'Terms and Turnovers'!$AD159</f>
        <v>0</v>
      </c>
      <c r="AC2360" s="728"/>
      <c r="AD2360" s="68">
        <f>AD1645/'Terms and Turnovers'!$AD159</f>
        <v>0</v>
      </c>
      <c r="AE2360" s="728"/>
      <c r="AF2360" s="132">
        <f>SUM(T2360,V2360,X2360,Z2360,AB2360,AD2360)</f>
        <v>0</v>
      </c>
      <c r="AG2360" s="728"/>
      <c r="AH2360" s="133">
        <f>SUM(AF2360,R2360)</f>
        <v>0</v>
      </c>
      <c r="AI2360" s="728"/>
      <c r="AJ2360" s="65"/>
      <c r="AV2360" s="56"/>
    </row>
    <row r="2361" spans="2:48" ht="12.75" hidden="1" customHeight="1" outlineLevel="2" thickBot="1">
      <c r="B2361" s="82"/>
      <c r="C2361" s="1234"/>
      <c r="D2361" s="1234"/>
      <c r="E2361" s="84">
        <f>'Terms and Turnovers'!$AN$12</f>
        <v>0</v>
      </c>
      <c r="F2361" s="70">
        <f>F1646/'Terms and Turnovers'!$AN159</f>
        <v>0</v>
      </c>
      <c r="G2361" s="728"/>
      <c r="H2361" s="70">
        <f>H1646/'Terms and Turnovers'!$AN159</f>
        <v>0</v>
      </c>
      <c r="I2361" s="728"/>
      <c r="J2361" s="70">
        <f>J1646/'Terms and Turnovers'!$AN159</f>
        <v>0</v>
      </c>
      <c r="K2361" s="728"/>
      <c r="L2361" s="70">
        <f>L1646/'Terms and Turnovers'!$AN159</f>
        <v>0</v>
      </c>
      <c r="M2361" s="728"/>
      <c r="N2361" s="70">
        <f>N1646/'Terms and Turnovers'!$AN159</f>
        <v>0</v>
      </c>
      <c r="O2361" s="728"/>
      <c r="P2361" s="70">
        <f>P1646/'Terms and Turnovers'!$AN159</f>
        <v>0</v>
      </c>
      <c r="Q2361" s="728"/>
      <c r="R2361" s="132">
        <f>SUM(F2361,H2361,J2361,L2361,N2361,P2361)</f>
        <v>0</v>
      </c>
      <c r="S2361" s="728"/>
      <c r="T2361" s="70">
        <f>T1646/'Terms and Turnovers'!$AN159</f>
        <v>0</v>
      </c>
      <c r="U2361" s="728"/>
      <c r="V2361" s="70">
        <f>V1646/'Terms and Turnovers'!$AN159</f>
        <v>0</v>
      </c>
      <c r="W2361" s="728"/>
      <c r="X2361" s="70">
        <f>X1646/'Terms and Turnovers'!$AN159</f>
        <v>0</v>
      </c>
      <c r="Y2361" s="728"/>
      <c r="Z2361" s="70">
        <f>Z1646/'Terms and Turnovers'!$AN159</f>
        <v>0</v>
      </c>
      <c r="AA2361" s="728"/>
      <c r="AB2361" s="70">
        <f>AB1646/'Terms and Turnovers'!$AN159</f>
        <v>0</v>
      </c>
      <c r="AC2361" s="728"/>
      <c r="AD2361" s="70">
        <f>AD1646/'Terms and Turnovers'!$AN159</f>
        <v>0</v>
      </c>
      <c r="AE2361" s="728"/>
      <c r="AF2361" s="132">
        <f>SUM(T2361,V2361,X2361,Z2361,AB2361,AD2361)</f>
        <v>0</v>
      </c>
      <c r="AG2361" s="728"/>
      <c r="AH2361" s="133">
        <f>SUM(AF2361,R2361)</f>
        <v>0</v>
      </c>
      <c r="AI2361" s="728"/>
      <c r="AJ2361" s="65"/>
      <c r="AV2361" s="56"/>
    </row>
    <row r="2362" spans="2:48" ht="13.5" hidden="1" customHeight="1" outlineLevel="2" thickBot="1">
      <c r="B2362" s="82"/>
      <c r="C2362" s="1235"/>
      <c r="D2362" s="1235"/>
      <c r="E2362" s="85">
        <f>'Terms and Turnovers'!$AX$12</f>
        <v>0</v>
      </c>
      <c r="F2362" s="68">
        <f>F1647/'Terms and Turnovers'!$AX159</f>
        <v>0</v>
      </c>
      <c r="G2362" s="107"/>
      <c r="H2362" s="68">
        <f>H1647/'Terms and Turnovers'!$AX159</f>
        <v>0</v>
      </c>
      <c r="I2362" s="107"/>
      <c r="J2362" s="68">
        <f>J1647/'Terms and Turnovers'!$AX159</f>
        <v>0</v>
      </c>
      <c r="K2362" s="107"/>
      <c r="L2362" s="68">
        <f>L1647/'Terms and Turnovers'!$AX159</f>
        <v>0</v>
      </c>
      <c r="M2362" s="107"/>
      <c r="N2362" s="68">
        <f>N1647/'Terms and Turnovers'!$AX159</f>
        <v>0</v>
      </c>
      <c r="O2362" s="107"/>
      <c r="P2362" s="68">
        <f>P1647/'Terms and Turnovers'!$AX159</f>
        <v>0</v>
      </c>
      <c r="Q2362" s="107"/>
      <c r="R2362" s="135">
        <f>SUM(F2362,H2362,J2362,L2362,N2362,P2362)</f>
        <v>0</v>
      </c>
      <c r="S2362" s="107"/>
      <c r="T2362" s="68">
        <f>T1647/'Terms and Turnovers'!$AX159</f>
        <v>0</v>
      </c>
      <c r="U2362" s="107"/>
      <c r="V2362" s="68">
        <f>V1647/'Terms and Turnovers'!$AX159</f>
        <v>0</v>
      </c>
      <c r="W2362" s="107"/>
      <c r="X2362" s="68">
        <f>X1647/'Terms and Turnovers'!$AX159</f>
        <v>0</v>
      </c>
      <c r="Y2362" s="107"/>
      <c r="Z2362" s="68">
        <f>Z1647/'Terms and Turnovers'!$AX159</f>
        <v>0</v>
      </c>
      <c r="AA2362" s="107"/>
      <c r="AB2362" s="68">
        <f>AB1647/'Terms and Turnovers'!$AX159</f>
        <v>0</v>
      </c>
      <c r="AC2362" s="107"/>
      <c r="AD2362" s="68">
        <f>AD1647/'Terms and Turnovers'!$AX159</f>
        <v>0</v>
      </c>
      <c r="AE2362" s="107"/>
      <c r="AF2362" s="135">
        <f>SUM(T2362,V2362,X2362,Z2362,AB2362,AD2362)</f>
        <v>0</v>
      </c>
      <c r="AG2362" s="107"/>
      <c r="AH2362" s="136">
        <f>SUM(AF2362,R2362)</f>
        <v>0</v>
      </c>
      <c r="AI2362" s="107"/>
      <c r="AJ2362" s="65"/>
      <c r="AV2362" s="56"/>
    </row>
    <row r="2363" spans="2:48" ht="13.5" hidden="1" customHeight="1" outlineLevel="2">
      <c r="B2363" s="82"/>
      <c r="C2363" s="425"/>
      <c r="D2363" s="425"/>
      <c r="E2363" s="634"/>
      <c r="F2363" s="635"/>
      <c r="G2363" s="428"/>
      <c r="H2363" s="635"/>
      <c r="I2363" s="428"/>
      <c r="J2363" s="635"/>
      <c r="K2363" s="636"/>
      <c r="L2363" s="635"/>
      <c r="M2363" s="636"/>
      <c r="N2363" s="635"/>
      <c r="O2363" s="636"/>
      <c r="P2363" s="635"/>
      <c r="Q2363" s="636"/>
      <c r="R2363" s="637"/>
      <c r="S2363" s="698">
        <f>SUM(R1643:R1647)/1.18-(SUM(R2358:R2362)*'Mark Up Validation'!$M$175)</f>
        <v>0</v>
      </c>
      <c r="T2363" s="635"/>
      <c r="U2363" s="636"/>
      <c r="V2363" s="635"/>
      <c r="W2363" s="636"/>
      <c r="X2363" s="635"/>
      <c r="Y2363" s="636"/>
      <c r="Z2363" s="635"/>
      <c r="AA2363" s="636"/>
      <c r="AB2363" s="635"/>
      <c r="AC2363" s="636"/>
      <c r="AD2363" s="635"/>
      <c r="AE2363" s="636"/>
      <c r="AF2363" s="637"/>
      <c r="AG2363" s="698">
        <f>SUM(AF1643:AF1647)/1.18-SUM(AF2358:AF2362)*'Mark Up Validation'!$M$175</f>
        <v>0</v>
      </c>
      <c r="AH2363" s="638"/>
      <c r="AI2363" s="698">
        <f>SUM(AH1643:AH1647)/1.18-SUM(AH2358:AH2362)*'Mark Up Validation'!$M$175</f>
        <v>0</v>
      </c>
      <c r="AJ2363" s="65"/>
      <c r="AV2363" s="56"/>
    </row>
    <row r="2364" spans="2:48" ht="13.5" hidden="1" customHeight="1" outlineLevel="2" thickBot="1">
      <c r="B2364" s="82"/>
      <c r="C2364" s="1228" t="s">
        <v>538</v>
      </c>
      <c r="D2364" s="1229"/>
      <c r="E2364" s="699"/>
      <c r="F2364" s="700"/>
      <c r="G2364" s="701"/>
      <c r="H2364" s="700"/>
      <c r="I2364" s="701"/>
      <c r="J2364" s="700"/>
      <c r="K2364" s="702"/>
      <c r="L2364" s="700"/>
      <c r="M2364" s="702"/>
      <c r="N2364" s="700"/>
      <c r="O2364" s="702"/>
      <c r="P2364" s="700"/>
      <c r="Q2364" s="702"/>
      <c r="R2364" s="703"/>
      <c r="S2364" s="729">
        <f>IF(S2363&gt;0,S2363/(SUM(R1643:R1647)/1.18),0)</f>
        <v>0</v>
      </c>
      <c r="T2364" s="700"/>
      <c r="U2364" s="702"/>
      <c r="V2364" s="700"/>
      <c r="W2364" s="702"/>
      <c r="X2364" s="700"/>
      <c r="Y2364" s="702"/>
      <c r="Z2364" s="700"/>
      <c r="AA2364" s="702"/>
      <c r="AB2364" s="700"/>
      <c r="AC2364" s="702"/>
      <c r="AD2364" s="700"/>
      <c r="AE2364" s="702"/>
      <c r="AF2364" s="705"/>
      <c r="AG2364" s="729">
        <f>IF(AG2363&gt;0,AG2363/(SUM(AF1643:AF1647)/1.18),0)</f>
        <v>0</v>
      </c>
      <c r="AH2364" s="706"/>
      <c r="AI2364" s="729">
        <f>IF(AI2363&gt;0,AI2363/(SUM(AH1643:AH1647)/1.18),0)</f>
        <v>0</v>
      </c>
      <c r="AJ2364" s="65"/>
      <c r="AV2364" s="56"/>
    </row>
    <row r="2365" spans="2:48" ht="12.75" hidden="1" customHeight="1" outlineLevel="2">
      <c r="B2365" s="82">
        <f>B2358+1</f>
        <v>29</v>
      </c>
      <c r="C2365" s="1233">
        <f>C1650</f>
        <v>0</v>
      </c>
      <c r="D2365" s="1233">
        <f>D1650</f>
        <v>0</v>
      </c>
      <c r="E2365" s="83" t="str">
        <f>'Terms and Turnovers'!$J$12</f>
        <v>FLIP-FLOPS</v>
      </c>
      <c r="F2365" s="68">
        <f>F1650/'Terms and Turnovers'!$J160</f>
        <v>0</v>
      </c>
      <c r="G2365" s="106"/>
      <c r="H2365" s="68">
        <f>H1650/'Terms and Turnovers'!$J160</f>
        <v>0</v>
      </c>
      <c r="I2365" s="106"/>
      <c r="J2365" s="68">
        <f>J1650/'Terms and Turnovers'!$J160</f>
        <v>0</v>
      </c>
      <c r="K2365" s="106"/>
      <c r="L2365" s="68">
        <f>L1650/'Terms and Turnovers'!$J160</f>
        <v>0</v>
      </c>
      <c r="M2365" s="106"/>
      <c r="N2365" s="68">
        <f>N1650/'Terms and Turnovers'!$J160</f>
        <v>0</v>
      </c>
      <c r="O2365" s="106"/>
      <c r="P2365" s="68">
        <f>P1650/'Terms and Turnovers'!$J160</f>
        <v>0</v>
      </c>
      <c r="Q2365" s="106"/>
      <c r="R2365" s="129">
        <f>SUM(F2365,H2365,J2365,L2365,N2365,P2365)</f>
        <v>0</v>
      </c>
      <c r="S2365" s="106"/>
      <c r="T2365" s="68">
        <f>T1650/'Terms and Turnovers'!$J160</f>
        <v>0</v>
      </c>
      <c r="U2365" s="106"/>
      <c r="V2365" s="68">
        <f>V1650/'Terms and Turnovers'!$J160</f>
        <v>0</v>
      </c>
      <c r="W2365" s="106"/>
      <c r="X2365" s="68">
        <f>X1650/'Terms and Turnovers'!$J160</f>
        <v>0</v>
      </c>
      <c r="Y2365" s="106"/>
      <c r="Z2365" s="68">
        <f>Z1650/'Terms and Turnovers'!$J160</f>
        <v>0</v>
      </c>
      <c r="AA2365" s="106"/>
      <c r="AB2365" s="68">
        <f>AB1650/'Terms and Turnovers'!$J160</f>
        <v>0</v>
      </c>
      <c r="AC2365" s="106"/>
      <c r="AD2365" s="68">
        <f>AD1650/'Terms and Turnovers'!$J160</f>
        <v>0</v>
      </c>
      <c r="AE2365" s="106"/>
      <c r="AF2365" s="129">
        <f>SUM(T2365,V2365,X2365,Z2365,AB2365,AD2365)</f>
        <v>0</v>
      </c>
      <c r="AG2365" s="106"/>
      <c r="AH2365" s="130">
        <f>SUM(AF2365,R2365)</f>
        <v>0</v>
      </c>
      <c r="AI2365" s="106"/>
      <c r="AJ2365" s="65"/>
      <c r="AV2365" s="56"/>
    </row>
    <row r="2366" spans="2:48" ht="12.75" hidden="1" customHeight="1" outlineLevel="2" thickBot="1">
      <c r="B2366" s="82"/>
      <c r="C2366" s="1234"/>
      <c r="D2366" s="1234"/>
      <c r="E2366" s="84" t="str">
        <f>'Terms and Turnovers'!$T$12</f>
        <v>ORIGINALS</v>
      </c>
      <c r="F2366" s="70">
        <f>F1651/'Terms and Turnovers'!$T160</f>
        <v>0</v>
      </c>
      <c r="G2366" s="728"/>
      <c r="H2366" s="70">
        <f>H1651/'Terms and Turnovers'!$T160</f>
        <v>0</v>
      </c>
      <c r="I2366" s="728"/>
      <c r="J2366" s="70">
        <f>J1651/'Terms and Turnovers'!$T160</f>
        <v>0</v>
      </c>
      <c r="K2366" s="728"/>
      <c r="L2366" s="70">
        <f>L1651/'Terms and Turnovers'!$T160</f>
        <v>0</v>
      </c>
      <c r="M2366" s="728"/>
      <c r="N2366" s="70">
        <f>N1651/'Terms and Turnovers'!$T160</f>
        <v>0</v>
      </c>
      <c r="O2366" s="728"/>
      <c r="P2366" s="70">
        <f>P1651/'Terms and Turnovers'!$T160</f>
        <v>0</v>
      </c>
      <c r="Q2366" s="728"/>
      <c r="R2366" s="132">
        <f>SUM(F2366,H2366,J2366,L2366,N2366,P2366)</f>
        <v>0</v>
      </c>
      <c r="S2366" s="728"/>
      <c r="T2366" s="70">
        <f>T1651/'Terms and Turnovers'!$T160</f>
        <v>0</v>
      </c>
      <c r="U2366" s="728"/>
      <c r="V2366" s="70">
        <f>V1651/'Terms and Turnovers'!$T160</f>
        <v>0</v>
      </c>
      <c r="W2366" s="728"/>
      <c r="X2366" s="70">
        <f>X1651/'Terms and Turnovers'!$T160</f>
        <v>0</v>
      </c>
      <c r="Y2366" s="728"/>
      <c r="Z2366" s="70">
        <f>Z1651/'Terms and Turnovers'!$T160</f>
        <v>0</v>
      </c>
      <c r="AA2366" s="728"/>
      <c r="AB2366" s="70">
        <f>AB1651/'Terms and Turnovers'!$T160</f>
        <v>0</v>
      </c>
      <c r="AC2366" s="728"/>
      <c r="AD2366" s="70">
        <f>AD1651/'Terms and Turnovers'!$T160</f>
        <v>0</v>
      </c>
      <c r="AE2366" s="728"/>
      <c r="AF2366" s="132">
        <f>SUM(T2366,V2366,X2366,Z2366,AB2366,AD2366)</f>
        <v>0</v>
      </c>
      <c r="AG2366" s="728"/>
      <c r="AH2366" s="133">
        <f>SUM(AF2366,R2366)</f>
        <v>0</v>
      </c>
      <c r="AI2366" s="728"/>
      <c r="AJ2366" s="65"/>
      <c r="AV2366" s="56"/>
    </row>
    <row r="2367" spans="2:48" ht="12.75" hidden="1" customHeight="1" outlineLevel="2">
      <c r="B2367" s="82"/>
      <c r="C2367" s="1234"/>
      <c r="D2367" s="1234"/>
      <c r="E2367" s="84" t="str">
        <f>'Terms and Turnovers'!$AD$12</f>
        <v>ACCESSORIES</v>
      </c>
      <c r="F2367" s="68">
        <f>F1652/'Terms and Turnovers'!$AD160</f>
        <v>0</v>
      </c>
      <c r="G2367" s="728"/>
      <c r="H2367" s="68">
        <f>H1652/'Terms and Turnovers'!$AD160</f>
        <v>0</v>
      </c>
      <c r="I2367" s="728"/>
      <c r="J2367" s="68">
        <f>J1652/'Terms and Turnovers'!$AD160</f>
        <v>0</v>
      </c>
      <c r="K2367" s="728"/>
      <c r="L2367" s="68">
        <f>L1652/'Terms and Turnovers'!$AD160</f>
        <v>0</v>
      </c>
      <c r="M2367" s="728"/>
      <c r="N2367" s="68">
        <f>N1652/'Terms and Turnovers'!$AD160</f>
        <v>0</v>
      </c>
      <c r="O2367" s="728"/>
      <c r="P2367" s="68">
        <f>P1652/'Terms and Turnovers'!$AD160</f>
        <v>0</v>
      </c>
      <c r="Q2367" s="728"/>
      <c r="R2367" s="132">
        <f>SUM(F2367,H2367,J2367,L2367,N2367,P2367)</f>
        <v>0</v>
      </c>
      <c r="S2367" s="728"/>
      <c r="T2367" s="68">
        <f>T1652/'Terms and Turnovers'!$AD160</f>
        <v>0</v>
      </c>
      <c r="U2367" s="728"/>
      <c r="V2367" s="68">
        <f>V1652/'Terms and Turnovers'!$AD160</f>
        <v>0</v>
      </c>
      <c r="W2367" s="728"/>
      <c r="X2367" s="68">
        <f>X1652/'Terms and Turnovers'!$AD160</f>
        <v>0</v>
      </c>
      <c r="Y2367" s="728"/>
      <c r="Z2367" s="68">
        <f>Z1652/'Terms and Turnovers'!$AD160</f>
        <v>0</v>
      </c>
      <c r="AA2367" s="728"/>
      <c r="AB2367" s="68">
        <f>AB1652/'Terms and Turnovers'!$AD160</f>
        <v>0</v>
      </c>
      <c r="AC2367" s="728"/>
      <c r="AD2367" s="68">
        <f>AD1652/'Terms and Turnovers'!$AD160</f>
        <v>0</v>
      </c>
      <c r="AE2367" s="728"/>
      <c r="AF2367" s="132">
        <f>SUM(T2367,V2367,X2367,Z2367,AB2367,AD2367)</f>
        <v>0</v>
      </c>
      <c r="AG2367" s="728"/>
      <c r="AH2367" s="133">
        <f>SUM(AF2367,R2367)</f>
        <v>0</v>
      </c>
      <c r="AI2367" s="728"/>
      <c r="AJ2367" s="65"/>
      <c r="AV2367" s="56"/>
    </row>
    <row r="2368" spans="2:48" ht="12.75" hidden="1" customHeight="1" outlineLevel="2" thickBot="1">
      <c r="B2368" s="82"/>
      <c r="C2368" s="1234"/>
      <c r="D2368" s="1234"/>
      <c r="E2368" s="84">
        <f>'Terms and Turnovers'!$AN$12</f>
        <v>0</v>
      </c>
      <c r="F2368" s="70">
        <f>F1653/'Terms and Turnovers'!$AN160</f>
        <v>0</v>
      </c>
      <c r="G2368" s="728"/>
      <c r="H2368" s="70">
        <f>H1653/'Terms and Turnovers'!$AN160</f>
        <v>0</v>
      </c>
      <c r="I2368" s="728"/>
      <c r="J2368" s="70">
        <f>J1653/'Terms and Turnovers'!$AN160</f>
        <v>0</v>
      </c>
      <c r="K2368" s="728"/>
      <c r="L2368" s="70">
        <f>L1653/'Terms and Turnovers'!$AN160</f>
        <v>0</v>
      </c>
      <c r="M2368" s="728"/>
      <c r="N2368" s="70">
        <f>N1653/'Terms and Turnovers'!$AN160</f>
        <v>0</v>
      </c>
      <c r="O2368" s="728"/>
      <c r="P2368" s="70">
        <f>P1653/'Terms and Turnovers'!$AN160</f>
        <v>0</v>
      </c>
      <c r="Q2368" s="728"/>
      <c r="R2368" s="132">
        <f>SUM(F2368,H2368,J2368,L2368,N2368,P2368)</f>
        <v>0</v>
      </c>
      <c r="S2368" s="728"/>
      <c r="T2368" s="70">
        <f>T1653/'Terms and Turnovers'!$AN160</f>
        <v>0</v>
      </c>
      <c r="U2368" s="728"/>
      <c r="V2368" s="70">
        <f>V1653/'Terms and Turnovers'!$AN160</f>
        <v>0</v>
      </c>
      <c r="W2368" s="728"/>
      <c r="X2368" s="70">
        <f>X1653/'Terms and Turnovers'!$AN160</f>
        <v>0</v>
      </c>
      <c r="Y2368" s="728"/>
      <c r="Z2368" s="70">
        <f>Z1653/'Terms and Turnovers'!$AN160</f>
        <v>0</v>
      </c>
      <c r="AA2368" s="728"/>
      <c r="AB2368" s="70">
        <f>AB1653/'Terms and Turnovers'!$AN160</f>
        <v>0</v>
      </c>
      <c r="AC2368" s="728"/>
      <c r="AD2368" s="70">
        <f>AD1653/'Terms and Turnovers'!$AN160</f>
        <v>0</v>
      </c>
      <c r="AE2368" s="728"/>
      <c r="AF2368" s="132">
        <f>SUM(T2368,V2368,X2368,Z2368,AB2368,AD2368)</f>
        <v>0</v>
      </c>
      <c r="AG2368" s="728"/>
      <c r="AH2368" s="133">
        <f>SUM(AF2368,R2368)</f>
        <v>0</v>
      </c>
      <c r="AI2368" s="728"/>
      <c r="AJ2368" s="65"/>
      <c r="AV2368" s="56"/>
    </row>
    <row r="2369" spans="2:48" ht="13.5" hidden="1" customHeight="1" outlineLevel="2" thickBot="1">
      <c r="B2369" s="82"/>
      <c r="C2369" s="1235"/>
      <c r="D2369" s="1235"/>
      <c r="E2369" s="85">
        <f>'Terms and Turnovers'!$AX$12</f>
        <v>0</v>
      </c>
      <c r="F2369" s="68">
        <f>F1654/'Terms and Turnovers'!$AX160</f>
        <v>0</v>
      </c>
      <c r="G2369" s="107"/>
      <c r="H2369" s="68">
        <f>H1654/'Terms and Turnovers'!$AX160</f>
        <v>0</v>
      </c>
      <c r="I2369" s="107"/>
      <c r="J2369" s="68">
        <f>J1654/'Terms and Turnovers'!$AX160</f>
        <v>0</v>
      </c>
      <c r="K2369" s="107"/>
      <c r="L2369" s="68">
        <f>L1654/'Terms and Turnovers'!$AX160</f>
        <v>0</v>
      </c>
      <c r="M2369" s="107"/>
      <c r="N2369" s="68">
        <f>N1654/'Terms and Turnovers'!$AX160</f>
        <v>0</v>
      </c>
      <c r="O2369" s="107"/>
      <c r="P2369" s="68">
        <f>P1654/'Terms and Turnovers'!$AX160</f>
        <v>0</v>
      </c>
      <c r="Q2369" s="107"/>
      <c r="R2369" s="135">
        <f>SUM(F2369,H2369,J2369,L2369,N2369,P2369)</f>
        <v>0</v>
      </c>
      <c r="S2369" s="107"/>
      <c r="T2369" s="68">
        <f>T1654/'Terms and Turnovers'!$AX160</f>
        <v>0</v>
      </c>
      <c r="U2369" s="107"/>
      <c r="V2369" s="68">
        <f>V1654/'Terms and Turnovers'!$AX160</f>
        <v>0</v>
      </c>
      <c r="W2369" s="107"/>
      <c r="X2369" s="68">
        <f>X1654/'Terms and Turnovers'!$AX160</f>
        <v>0</v>
      </c>
      <c r="Y2369" s="107"/>
      <c r="Z2369" s="68">
        <f>Z1654/'Terms and Turnovers'!$AX160</f>
        <v>0</v>
      </c>
      <c r="AA2369" s="107"/>
      <c r="AB2369" s="68">
        <f>AB1654/'Terms and Turnovers'!$AX160</f>
        <v>0</v>
      </c>
      <c r="AC2369" s="107"/>
      <c r="AD2369" s="68">
        <f>AD1654/'Terms and Turnovers'!$AX160</f>
        <v>0</v>
      </c>
      <c r="AE2369" s="107"/>
      <c r="AF2369" s="135">
        <f>SUM(T2369,V2369,X2369,Z2369,AB2369,AD2369)</f>
        <v>0</v>
      </c>
      <c r="AG2369" s="107"/>
      <c r="AH2369" s="136">
        <f>SUM(AF2369,R2369)</f>
        <v>0</v>
      </c>
      <c r="AI2369" s="107"/>
      <c r="AJ2369" s="65"/>
      <c r="AV2369" s="56"/>
    </row>
    <row r="2370" spans="2:48" ht="13.5" hidden="1" customHeight="1" outlineLevel="2">
      <c r="B2370" s="82"/>
      <c r="C2370" s="425"/>
      <c r="D2370" s="425"/>
      <c r="E2370" s="634"/>
      <c r="F2370" s="635"/>
      <c r="G2370" s="428"/>
      <c r="H2370" s="635"/>
      <c r="I2370" s="428"/>
      <c r="J2370" s="635"/>
      <c r="K2370" s="636"/>
      <c r="L2370" s="635"/>
      <c r="M2370" s="636"/>
      <c r="N2370" s="635"/>
      <c r="O2370" s="636"/>
      <c r="P2370" s="635"/>
      <c r="Q2370" s="636"/>
      <c r="R2370" s="637"/>
      <c r="S2370" s="698">
        <f>SUM(R1650:R1654)/1.18-(SUM(R2365:R2369)*'Mark Up Validation'!$M$175)</f>
        <v>0</v>
      </c>
      <c r="T2370" s="635"/>
      <c r="U2370" s="636"/>
      <c r="V2370" s="635"/>
      <c r="W2370" s="636"/>
      <c r="X2370" s="635"/>
      <c r="Y2370" s="636"/>
      <c r="Z2370" s="635"/>
      <c r="AA2370" s="636"/>
      <c r="AB2370" s="635"/>
      <c r="AC2370" s="636"/>
      <c r="AD2370" s="635"/>
      <c r="AE2370" s="636"/>
      <c r="AF2370" s="637"/>
      <c r="AG2370" s="698">
        <f>SUM(AF1650:AF1654)/1.18-SUM(AF2365:AF2369)*'Mark Up Validation'!$M$175</f>
        <v>0</v>
      </c>
      <c r="AH2370" s="638"/>
      <c r="AI2370" s="698">
        <f>SUM(AH1650:AH1654)/1.18-SUM(AH2365:AH2369)*'Mark Up Validation'!$M$175</f>
        <v>0</v>
      </c>
      <c r="AJ2370" s="65"/>
      <c r="AV2370" s="56"/>
    </row>
    <row r="2371" spans="2:48" ht="13.5" hidden="1" customHeight="1" outlineLevel="2" thickBot="1">
      <c r="B2371" s="82"/>
      <c r="C2371" s="1228" t="s">
        <v>538</v>
      </c>
      <c r="D2371" s="1229"/>
      <c r="E2371" s="699"/>
      <c r="F2371" s="700"/>
      <c r="G2371" s="701"/>
      <c r="H2371" s="700"/>
      <c r="I2371" s="701"/>
      <c r="J2371" s="700"/>
      <c r="K2371" s="702"/>
      <c r="L2371" s="700"/>
      <c r="M2371" s="702"/>
      <c r="N2371" s="700"/>
      <c r="O2371" s="702"/>
      <c r="P2371" s="700"/>
      <c r="Q2371" s="702"/>
      <c r="R2371" s="703"/>
      <c r="S2371" s="729">
        <f>IF(S2370&gt;0,S2370/(SUM(R1650:R1654)/1.18),0)</f>
        <v>0</v>
      </c>
      <c r="T2371" s="700"/>
      <c r="U2371" s="702"/>
      <c r="V2371" s="700"/>
      <c r="W2371" s="702"/>
      <c r="X2371" s="700"/>
      <c r="Y2371" s="702"/>
      <c r="Z2371" s="700"/>
      <c r="AA2371" s="702"/>
      <c r="AB2371" s="700"/>
      <c r="AC2371" s="702"/>
      <c r="AD2371" s="700"/>
      <c r="AE2371" s="702"/>
      <c r="AF2371" s="705"/>
      <c r="AG2371" s="729">
        <f>IF(AG2370&gt;0,AG2370/(SUM(AF1650:AF1654)/1.18),0)</f>
        <v>0</v>
      </c>
      <c r="AH2371" s="706"/>
      <c r="AI2371" s="729">
        <f>IF(AI2370&gt;0,AI2370/(SUM(AH1650:AH1654)/1.18),0)</f>
        <v>0</v>
      </c>
      <c r="AJ2371" s="65"/>
      <c r="AV2371" s="56"/>
    </row>
    <row r="2372" spans="2:48" ht="12.75" hidden="1" customHeight="1" outlineLevel="2">
      <c r="B2372" s="82">
        <f>B2365+1</f>
        <v>30</v>
      </c>
      <c r="C2372" s="1233">
        <f>C1657</f>
        <v>0</v>
      </c>
      <c r="D2372" s="1233">
        <f>D1657</f>
        <v>0</v>
      </c>
      <c r="E2372" s="83" t="str">
        <f>'Terms and Turnovers'!$J$12</f>
        <v>FLIP-FLOPS</v>
      </c>
      <c r="F2372" s="68">
        <f>F1657/'Terms and Turnovers'!$J161</f>
        <v>0</v>
      </c>
      <c r="G2372" s="106"/>
      <c r="H2372" s="68">
        <f>H1657/'Terms and Turnovers'!$J161</f>
        <v>0</v>
      </c>
      <c r="I2372" s="106"/>
      <c r="J2372" s="68">
        <f>J1657/'Terms and Turnovers'!$J161</f>
        <v>0</v>
      </c>
      <c r="K2372" s="106"/>
      <c r="L2372" s="68">
        <f>L1657/'Terms and Turnovers'!$J161</f>
        <v>0</v>
      </c>
      <c r="M2372" s="106"/>
      <c r="N2372" s="68">
        <f>N1657/'Terms and Turnovers'!$J161</f>
        <v>0</v>
      </c>
      <c r="O2372" s="106"/>
      <c r="P2372" s="68">
        <f>P1657/'Terms and Turnovers'!$J161</f>
        <v>0</v>
      </c>
      <c r="Q2372" s="106"/>
      <c r="R2372" s="129">
        <f>SUM(F2372,H2372,J2372,L2372,N2372,P2372)</f>
        <v>0</v>
      </c>
      <c r="S2372" s="106"/>
      <c r="T2372" s="68">
        <f>T1657/'Terms and Turnovers'!$J161</f>
        <v>0</v>
      </c>
      <c r="U2372" s="106"/>
      <c r="V2372" s="68">
        <f>V1657/'Terms and Turnovers'!$J161</f>
        <v>0</v>
      </c>
      <c r="W2372" s="106"/>
      <c r="X2372" s="68">
        <f>X1657/'Terms and Turnovers'!$J161</f>
        <v>0</v>
      </c>
      <c r="Y2372" s="106"/>
      <c r="Z2372" s="68">
        <f>Z1657/'Terms and Turnovers'!$J161</f>
        <v>0</v>
      </c>
      <c r="AA2372" s="106"/>
      <c r="AB2372" s="68">
        <f>AB1657/'Terms and Turnovers'!$J161</f>
        <v>0</v>
      </c>
      <c r="AC2372" s="106"/>
      <c r="AD2372" s="68">
        <f>AD1657/'Terms and Turnovers'!$J161</f>
        <v>0</v>
      </c>
      <c r="AE2372" s="106"/>
      <c r="AF2372" s="129">
        <f>SUM(T2372,V2372,X2372,Z2372,AB2372,AD2372)</f>
        <v>0</v>
      </c>
      <c r="AG2372" s="106"/>
      <c r="AH2372" s="130">
        <f>SUM(AF2372,R2372)</f>
        <v>0</v>
      </c>
      <c r="AI2372" s="106"/>
      <c r="AJ2372" s="65"/>
      <c r="AV2372" s="56"/>
    </row>
    <row r="2373" spans="2:48" ht="12.75" hidden="1" customHeight="1" outlineLevel="2" thickBot="1">
      <c r="B2373" s="82"/>
      <c r="C2373" s="1234"/>
      <c r="D2373" s="1234"/>
      <c r="E2373" s="84" t="str">
        <f>'Terms and Turnovers'!$T$12</f>
        <v>ORIGINALS</v>
      </c>
      <c r="F2373" s="70">
        <f>F1658/'Terms and Turnovers'!$T161</f>
        <v>0</v>
      </c>
      <c r="G2373" s="728"/>
      <c r="H2373" s="70">
        <f>H1658/'Terms and Turnovers'!$T161</f>
        <v>0</v>
      </c>
      <c r="I2373" s="728"/>
      <c r="J2373" s="70">
        <f>J1658/'Terms and Turnovers'!$T161</f>
        <v>0</v>
      </c>
      <c r="K2373" s="728"/>
      <c r="L2373" s="70">
        <f>L1658/'Terms and Turnovers'!$T161</f>
        <v>0</v>
      </c>
      <c r="M2373" s="728"/>
      <c r="N2373" s="70">
        <f>N1658/'Terms and Turnovers'!$T161</f>
        <v>0</v>
      </c>
      <c r="O2373" s="728"/>
      <c r="P2373" s="70">
        <f>P1658/'Terms and Turnovers'!$T161</f>
        <v>0</v>
      </c>
      <c r="Q2373" s="728"/>
      <c r="R2373" s="132">
        <f>SUM(F2373,H2373,J2373,L2373,N2373,P2373)</f>
        <v>0</v>
      </c>
      <c r="S2373" s="728"/>
      <c r="T2373" s="70">
        <f>T1658/'Terms and Turnovers'!$T161</f>
        <v>0</v>
      </c>
      <c r="U2373" s="728"/>
      <c r="V2373" s="70">
        <f>V1658/'Terms and Turnovers'!$T161</f>
        <v>0</v>
      </c>
      <c r="W2373" s="728"/>
      <c r="X2373" s="70">
        <f>X1658/'Terms and Turnovers'!$T161</f>
        <v>0</v>
      </c>
      <c r="Y2373" s="728"/>
      <c r="Z2373" s="70">
        <f>Z1658/'Terms and Turnovers'!$T161</f>
        <v>0</v>
      </c>
      <c r="AA2373" s="728"/>
      <c r="AB2373" s="70">
        <f>AB1658/'Terms and Turnovers'!$T161</f>
        <v>0</v>
      </c>
      <c r="AC2373" s="728"/>
      <c r="AD2373" s="70">
        <f>AD1658/'Terms and Turnovers'!$T161</f>
        <v>0</v>
      </c>
      <c r="AE2373" s="728"/>
      <c r="AF2373" s="132">
        <f>SUM(T2373,V2373,X2373,Z2373,AB2373,AD2373)</f>
        <v>0</v>
      </c>
      <c r="AG2373" s="728"/>
      <c r="AH2373" s="133">
        <f>SUM(AF2373,R2373)</f>
        <v>0</v>
      </c>
      <c r="AI2373" s="728"/>
      <c r="AJ2373" s="65"/>
      <c r="AV2373" s="56"/>
    </row>
    <row r="2374" spans="2:48" ht="12.75" hidden="1" customHeight="1" outlineLevel="2">
      <c r="B2374" s="82"/>
      <c r="C2374" s="1234"/>
      <c r="D2374" s="1234"/>
      <c r="E2374" s="84" t="str">
        <f>'Terms and Turnovers'!$AD$12</f>
        <v>ACCESSORIES</v>
      </c>
      <c r="F2374" s="68">
        <f>F1659/'Terms and Turnovers'!$AD161</f>
        <v>0</v>
      </c>
      <c r="G2374" s="728"/>
      <c r="H2374" s="68">
        <f>H1659/'Terms and Turnovers'!$AD161</f>
        <v>0</v>
      </c>
      <c r="I2374" s="728"/>
      <c r="J2374" s="68">
        <f>J1659/'Terms and Turnovers'!$AD161</f>
        <v>0</v>
      </c>
      <c r="K2374" s="728"/>
      <c r="L2374" s="68">
        <f>L1659/'Terms and Turnovers'!$AD161</f>
        <v>0</v>
      </c>
      <c r="M2374" s="728"/>
      <c r="N2374" s="68">
        <f>N1659/'Terms and Turnovers'!$AD161</f>
        <v>0</v>
      </c>
      <c r="O2374" s="728"/>
      <c r="P2374" s="68">
        <f>P1659/'Terms and Turnovers'!$AD161</f>
        <v>0</v>
      </c>
      <c r="Q2374" s="728"/>
      <c r="R2374" s="132">
        <f>SUM(F2374,H2374,J2374,L2374,N2374,P2374)</f>
        <v>0</v>
      </c>
      <c r="S2374" s="728"/>
      <c r="T2374" s="68">
        <f>T1659/'Terms and Turnovers'!$AD161</f>
        <v>0</v>
      </c>
      <c r="U2374" s="728"/>
      <c r="V2374" s="68">
        <f>V1659/'Terms and Turnovers'!$AD161</f>
        <v>0</v>
      </c>
      <c r="W2374" s="728"/>
      <c r="X2374" s="68">
        <f>X1659/'Terms and Turnovers'!$AD161</f>
        <v>0</v>
      </c>
      <c r="Y2374" s="728"/>
      <c r="Z2374" s="68">
        <f>Z1659/'Terms and Turnovers'!$AD161</f>
        <v>0</v>
      </c>
      <c r="AA2374" s="728"/>
      <c r="AB2374" s="68">
        <f>AB1659/'Terms and Turnovers'!$AD161</f>
        <v>0</v>
      </c>
      <c r="AC2374" s="728"/>
      <c r="AD2374" s="68">
        <f>AD1659/'Terms and Turnovers'!$AD161</f>
        <v>0</v>
      </c>
      <c r="AE2374" s="728"/>
      <c r="AF2374" s="132">
        <f>SUM(T2374,V2374,X2374,Z2374,AB2374,AD2374)</f>
        <v>0</v>
      </c>
      <c r="AG2374" s="728"/>
      <c r="AH2374" s="133">
        <f>SUM(AF2374,R2374)</f>
        <v>0</v>
      </c>
      <c r="AI2374" s="728"/>
      <c r="AJ2374" s="65"/>
      <c r="AV2374" s="56"/>
    </row>
    <row r="2375" spans="2:48" ht="12.75" hidden="1" customHeight="1" outlineLevel="2" thickBot="1">
      <c r="B2375" s="82"/>
      <c r="C2375" s="1234"/>
      <c r="D2375" s="1234"/>
      <c r="E2375" s="84">
        <f>'Terms and Turnovers'!$AN$12</f>
        <v>0</v>
      </c>
      <c r="F2375" s="70">
        <f>F1660/'Terms and Turnovers'!$AN161</f>
        <v>0</v>
      </c>
      <c r="G2375" s="728"/>
      <c r="H2375" s="70">
        <f>H1660/'Terms and Turnovers'!$AN161</f>
        <v>0</v>
      </c>
      <c r="I2375" s="728"/>
      <c r="J2375" s="70">
        <f>J1660/'Terms and Turnovers'!$AN161</f>
        <v>0</v>
      </c>
      <c r="K2375" s="728"/>
      <c r="L2375" s="70">
        <f>L1660/'Terms and Turnovers'!$AN161</f>
        <v>0</v>
      </c>
      <c r="M2375" s="728"/>
      <c r="N2375" s="70">
        <f>N1660/'Terms and Turnovers'!$AN161</f>
        <v>0</v>
      </c>
      <c r="O2375" s="728"/>
      <c r="P2375" s="70">
        <f>P1660/'Terms and Turnovers'!$AN161</f>
        <v>0</v>
      </c>
      <c r="Q2375" s="728"/>
      <c r="R2375" s="132">
        <f>SUM(F2375,H2375,J2375,L2375,N2375,P2375)</f>
        <v>0</v>
      </c>
      <c r="S2375" s="728"/>
      <c r="T2375" s="70">
        <f>T1660/'Terms and Turnovers'!$AN161</f>
        <v>0</v>
      </c>
      <c r="U2375" s="728"/>
      <c r="V2375" s="70">
        <f>V1660/'Terms and Turnovers'!$AN161</f>
        <v>0</v>
      </c>
      <c r="W2375" s="728"/>
      <c r="X2375" s="70">
        <f>X1660/'Terms and Turnovers'!$AN161</f>
        <v>0</v>
      </c>
      <c r="Y2375" s="728"/>
      <c r="Z2375" s="70">
        <f>Z1660/'Terms and Turnovers'!$AN161</f>
        <v>0</v>
      </c>
      <c r="AA2375" s="728"/>
      <c r="AB2375" s="70">
        <f>AB1660/'Terms and Turnovers'!$AN161</f>
        <v>0</v>
      </c>
      <c r="AC2375" s="728"/>
      <c r="AD2375" s="70">
        <f>AD1660/'Terms and Turnovers'!$AN161</f>
        <v>0</v>
      </c>
      <c r="AE2375" s="728"/>
      <c r="AF2375" s="132">
        <f>SUM(T2375,V2375,X2375,Z2375,AB2375,AD2375)</f>
        <v>0</v>
      </c>
      <c r="AG2375" s="728"/>
      <c r="AH2375" s="133">
        <f>SUM(AF2375,R2375)</f>
        <v>0</v>
      </c>
      <c r="AI2375" s="728"/>
      <c r="AJ2375" s="65"/>
      <c r="AV2375" s="56"/>
    </row>
    <row r="2376" spans="2:48" ht="13.5" hidden="1" customHeight="1" outlineLevel="2" thickBot="1">
      <c r="B2376" s="82"/>
      <c r="C2376" s="1235"/>
      <c r="D2376" s="1235"/>
      <c r="E2376" s="85">
        <f>'Terms and Turnovers'!$AX$12</f>
        <v>0</v>
      </c>
      <c r="F2376" s="68">
        <f>F1661/'Terms and Turnovers'!$AX161</f>
        <v>0</v>
      </c>
      <c r="G2376" s="107"/>
      <c r="H2376" s="68">
        <f>H1661/'Terms and Turnovers'!$AX161</f>
        <v>0</v>
      </c>
      <c r="I2376" s="107"/>
      <c r="J2376" s="68">
        <f>J1661/'Terms and Turnovers'!$AX161</f>
        <v>0</v>
      </c>
      <c r="K2376" s="107"/>
      <c r="L2376" s="68">
        <f>L1661/'Terms and Turnovers'!$AX161</f>
        <v>0</v>
      </c>
      <c r="M2376" s="107"/>
      <c r="N2376" s="68">
        <f>N1661/'Terms and Turnovers'!$AX161</f>
        <v>0</v>
      </c>
      <c r="O2376" s="107"/>
      <c r="P2376" s="68">
        <f>P1661/'Terms and Turnovers'!$AX161</f>
        <v>0</v>
      </c>
      <c r="Q2376" s="107"/>
      <c r="R2376" s="135">
        <f>SUM(F2376,H2376,J2376,L2376,N2376,P2376)</f>
        <v>0</v>
      </c>
      <c r="S2376" s="107"/>
      <c r="T2376" s="68">
        <f>T1661/'Terms and Turnovers'!$AX161</f>
        <v>0</v>
      </c>
      <c r="U2376" s="107"/>
      <c r="V2376" s="68">
        <f>V1661/'Terms and Turnovers'!$AX161</f>
        <v>0</v>
      </c>
      <c r="W2376" s="107"/>
      <c r="X2376" s="68">
        <f>X1661/'Terms and Turnovers'!$AX161</f>
        <v>0</v>
      </c>
      <c r="Y2376" s="107"/>
      <c r="Z2376" s="68">
        <f>Z1661/'Terms and Turnovers'!$AX161</f>
        <v>0</v>
      </c>
      <c r="AA2376" s="107"/>
      <c r="AB2376" s="68">
        <f>AB1661/'Terms and Turnovers'!$AX161</f>
        <v>0</v>
      </c>
      <c r="AC2376" s="107"/>
      <c r="AD2376" s="68">
        <f>AD1661/'Terms and Turnovers'!$AX161</f>
        <v>0</v>
      </c>
      <c r="AE2376" s="107"/>
      <c r="AF2376" s="135">
        <f>SUM(T2376,V2376,X2376,Z2376,AB2376,AD2376)</f>
        <v>0</v>
      </c>
      <c r="AG2376" s="107"/>
      <c r="AH2376" s="136">
        <f>SUM(AF2376,R2376)</f>
        <v>0</v>
      </c>
      <c r="AI2376" s="107"/>
      <c r="AJ2376" s="65"/>
      <c r="AV2376" s="56"/>
    </row>
    <row r="2377" spans="2:48" ht="13.5" hidden="1" customHeight="1" outlineLevel="2">
      <c r="B2377" s="82"/>
      <c r="C2377" s="425"/>
      <c r="D2377" s="425"/>
      <c r="E2377" s="634"/>
      <c r="F2377" s="635"/>
      <c r="G2377" s="428"/>
      <c r="H2377" s="635"/>
      <c r="I2377" s="428"/>
      <c r="J2377" s="635"/>
      <c r="K2377" s="636"/>
      <c r="L2377" s="635"/>
      <c r="M2377" s="636"/>
      <c r="N2377" s="635"/>
      <c r="O2377" s="636"/>
      <c r="P2377" s="635"/>
      <c r="Q2377" s="636"/>
      <c r="R2377" s="637"/>
      <c r="S2377" s="698">
        <f>SUM(R1657:R1661)/1.18-(SUM(R2372:R2376)*'Mark Up Validation'!$M$175)</f>
        <v>0</v>
      </c>
      <c r="T2377" s="635"/>
      <c r="U2377" s="636"/>
      <c r="V2377" s="635"/>
      <c r="W2377" s="636"/>
      <c r="X2377" s="635"/>
      <c r="Y2377" s="636"/>
      <c r="Z2377" s="635"/>
      <c r="AA2377" s="636"/>
      <c r="AB2377" s="635"/>
      <c r="AC2377" s="636"/>
      <c r="AD2377" s="635"/>
      <c r="AE2377" s="636"/>
      <c r="AF2377" s="637"/>
      <c r="AG2377" s="698">
        <f>SUM(AF1657:AF1661)/1.18-SUM(AF2372:AF2376)*'Mark Up Validation'!$M$175</f>
        <v>0</v>
      </c>
      <c r="AH2377" s="638"/>
      <c r="AI2377" s="698">
        <f>SUM(AH1657:AH1661)/1.18-SUM(AH2372:AH2376)*'Mark Up Validation'!$M$175</f>
        <v>0</v>
      </c>
      <c r="AJ2377" s="65"/>
      <c r="AV2377" s="56"/>
    </row>
    <row r="2378" spans="2:48" ht="13.5" hidden="1" customHeight="1" outlineLevel="2" thickBot="1">
      <c r="B2378" s="82"/>
      <c r="C2378" s="1228" t="s">
        <v>538</v>
      </c>
      <c r="D2378" s="1229"/>
      <c r="E2378" s="699"/>
      <c r="F2378" s="700"/>
      <c r="G2378" s="701"/>
      <c r="H2378" s="700"/>
      <c r="I2378" s="701"/>
      <c r="J2378" s="700"/>
      <c r="K2378" s="702"/>
      <c r="L2378" s="700"/>
      <c r="M2378" s="702"/>
      <c r="N2378" s="700"/>
      <c r="O2378" s="702"/>
      <c r="P2378" s="700"/>
      <c r="Q2378" s="702"/>
      <c r="R2378" s="703"/>
      <c r="S2378" s="729">
        <f>IF(S2377&gt;0,S2377/(SUM(R1657:R1661)/1.18),0)</f>
        <v>0</v>
      </c>
      <c r="T2378" s="700"/>
      <c r="U2378" s="702"/>
      <c r="V2378" s="700"/>
      <c r="W2378" s="702"/>
      <c r="X2378" s="700"/>
      <c r="Y2378" s="702"/>
      <c r="Z2378" s="700"/>
      <c r="AA2378" s="702"/>
      <c r="AB2378" s="700"/>
      <c r="AC2378" s="702"/>
      <c r="AD2378" s="700"/>
      <c r="AE2378" s="702"/>
      <c r="AF2378" s="705"/>
      <c r="AG2378" s="729">
        <f>IF(AG2377&gt;0,AG2377/(SUM(AF1657:AF1661)/1.18),0)</f>
        <v>0</v>
      </c>
      <c r="AH2378" s="706"/>
      <c r="AI2378" s="729">
        <f>IF(AI2377&gt;0,AI2377/(SUM(AH1657:AH1661)/1.18),0)</f>
        <v>0</v>
      </c>
      <c r="AJ2378" s="65"/>
      <c r="AV2378" s="56"/>
    </row>
    <row r="2379" spans="2:48" ht="12.75" hidden="1" customHeight="1" outlineLevel="2">
      <c r="B2379" s="82">
        <f>B2372+1</f>
        <v>31</v>
      </c>
      <c r="C2379" s="1233">
        <f>C1664</f>
        <v>0</v>
      </c>
      <c r="D2379" s="1233">
        <f>D1664</f>
        <v>0</v>
      </c>
      <c r="E2379" s="83" t="str">
        <f>'Terms and Turnovers'!$J$12</f>
        <v>FLIP-FLOPS</v>
      </c>
      <c r="F2379" s="68">
        <f>F1664/'Terms and Turnovers'!$J162</f>
        <v>0</v>
      </c>
      <c r="G2379" s="106"/>
      <c r="H2379" s="68">
        <f>H1664/'Terms and Turnovers'!$J162</f>
        <v>0</v>
      </c>
      <c r="I2379" s="106"/>
      <c r="J2379" s="68">
        <f>J1664/'Terms and Turnovers'!$J162</f>
        <v>0</v>
      </c>
      <c r="K2379" s="106"/>
      <c r="L2379" s="68">
        <f>L1664/'Terms and Turnovers'!$J162</f>
        <v>0</v>
      </c>
      <c r="M2379" s="106"/>
      <c r="N2379" s="68">
        <f>N1664/'Terms and Turnovers'!$J162</f>
        <v>0</v>
      </c>
      <c r="O2379" s="106"/>
      <c r="P2379" s="68">
        <f>P1664/'Terms and Turnovers'!$J162</f>
        <v>0</v>
      </c>
      <c r="Q2379" s="106"/>
      <c r="R2379" s="129">
        <f>SUM(F2379,H2379,J2379,L2379,N2379,P2379)</f>
        <v>0</v>
      </c>
      <c r="S2379" s="106"/>
      <c r="T2379" s="68">
        <f>T1664/'Terms and Turnovers'!$J162</f>
        <v>0</v>
      </c>
      <c r="U2379" s="106"/>
      <c r="V2379" s="68">
        <f>V1664/'Terms and Turnovers'!$J162</f>
        <v>0</v>
      </c>
      <c r="W2379" s="106"/>
      <c r="X2379" s="68">
        <f>X1664/'Terms and Turnovers'!$J162</f>
        <v>0</v>
      </c>
      <c r="Y2379" s="106"/>
      <c r="Z2379" s="68">
        <f>Z1664/'Terms and Turnovers'!$J162</f>
        <v>0</v>
      </c>
      <c r="AA2379" s="106"/>
      <c r="AB2379" s="68">
        <f>AB1664/'Terms and Turnovers'!$J162</f>
        <v>0</v>
      </c>
      <c r="AC2379" s="106"/>
      <c r="AD2379" s="68">
        <f>AD1664/'Terms and Turnovers'!$J162</f>
        <v>0</v>
      </c>
      <c r="AE2379" s="106"/>
      <c r="AF2379" s="129">
        <f>SUM(T2379,V2379,X2379,Z2379,AB2379,AD2379)</f>
        <v>0</v>
      </c>
      <c r="AG2379" s="106"/>
      <c r="AH2379" s="130">
        <f>SUM(AF2379,R2379)</f>
        <v>0</v>
      </c>
      <c r="AI2379" s="106"/>
      <c r="AJ2379" s="65"/>
      <c r="AV2379" s="56"/>
    </row>
    <row r="2380" spans="2:48" ht="12.75" hidden="1" customHeight="1" outlineLevel="2" thickBot="1">
      <c r="B2380" s="82"/>
      <c r="C2380" s="1234"/>
      <c r="D2380" s="1234"/>
      <c r="E2380" s="84" t="str">
        <f>'Terms and Turnovers'!$T$12</f>
        <v>ORIGINALS</v>
      </c>
      <c r="F2380" s="70">
        <f>F1665/'Terms and Turnovers'!$T162</f>
        <v>0</v>
      </c>
      <c r="G2380" s="728"/>
      <c r="H2380" s="70">
        <f>H1665/'Terms and Turnovers'!$T162</f>
        <v>0</v>
      </c>
      <c r="I2380" s="728"/>
      <c r="J2380" s="70">
        <f>J1665/'Terms and Turnovers'!$T162</f>
        <v>0</v>
      </c>
      <c r="K2380" s="728"/>
      <c r="L2380" s="70">
        <f>L1665/'Terms and Turnovers'!$T162</f>
        <v>0</v>
      </c>
      <c r="M2380" s="728"/>
      <c r="N2380" s="70">
        <f>N1665/'Terms and Turnovers'!$T162</f>
        <v>0</v>
      </c>
      <c r="O2380" s="728"/>
      <c r="P2380" s="70">
        <f>P1665/'Terms and Turnovers'!$T162</f>
        <v>0</v>
      </c>
      <c r="Q2380" s="728"/>
      <c r="R2380" s="132">
        <f>SUM(F2380,H2380,J2380,L2380,N2380,P2380)</f>
        <v>0</v>
      </c>
      <c r="S2380" s="728"/>
      <c r="T2380" s="70">
        <f>T1665/'Terms and Turnovers'!$T162</f>
        <v>0</v>
      </c>
      <c r="U2380" s="728"/>
      <c r="V2380" s="70">
        <f>V1665/'Terms and Turnovers'!$T162</f>
        <v>0</v>
      </c>
      <c r="W2380" s="728"/>
      <c r="X2380" s="70">
        <f>X1665/'Terms and Turnovers'!$T162</f>
        <v>0</v>
      </c>
      <c r="Y2380" s="728"/>
      <c r="Z2380" s="70">
        <f>Z1665/'Terms and Turnovers'!$T162</f>
        <v>0</v>
      </c>
      <c r="AA2380" s="728"/>
      <c r="AB2380" s="70">
        <f>AB1665/'Terms and Turnovers'!$T162</f>
        <v>0</v>
      </c>
      <c r="AC2380" s="728"/>
      <c r="AD2380" s="70">
        <f>AD1665/'Terms and Turnovers'!$T162</f>
        <v>0</v>
      </c>
      <c r="AE2380" s="728"/>
      <c r="AF2380" s="132">
        <f>SUM(T2380,V2380,X2380,Z2380,AB2380,AD2380)</f>
        <v>0</v>
      </c>
      <c r="AG2380" s="728"/>
      <c r="AH2380" s="133">
        <f>SUM(AF2380,R2380)</f>
        <v>0</v>
      </c>
      <c r="AI2380" s="728"/>
      <c r="AJ2380" s="65"/>
      <c r="AV2380" s="56"/>
    </row>
    <row r="2381" spans="2:48" ht="12.75" hidden="1" customHeight="1" outlineLevel="2">
      <c r="B2381" s="82"/>
      <c r="C2381" s="1234"/>
      <c r="D2381" s="1234"/>
      <c r="E2381" s="84" t="str">
        <f>'Terms and Turnovers'!$AD$12</f>
        <v>ACCESSORIES</v>
      </c>
      <c r="F2381" s="68">
        <f>F1666/'Terms and Turnovers'!$AD162</f>
        <v>0</v>
      </c>
      <c r="G2381" s="728"/>
      <c r="H2381" s="68">
        <f>H1666/'Terms and Turnovers'!$AD162</f>
        <v>0</v>
      </c>
      <c r="I2381" s="728"/>
      <c r="J2381" s="68">
        <f>J1666/'Terms and Turnovers'!$AD162</f>
        <v>0</v>
      </c>
      <c r="K2381" s="728"/>
      <c r="L2381" s="68">
        <f>L1666/'Terms and Turnovers'!$AD162</f>
        <v>0</v>
      </c>
      <c r="M2381" s="728"/>
      <c r="N2381" s="68">
        <f>N1666/'Terms and Turnovers'!$AD162</f>
        <v>0</v>
      </c>
      <c r="O2381" s="728"/>
      <c r="P2381" s="68">
        <f>P1666/'Terms and Turnovers'!$AD162</f>
        <v>0</v>
      </c>
      <c r="Q2381" s="728"/>
      <c r="R2381" s="132">
        <f>SUM(F2381,H2381,J2381,L2381,N2381,P2381)</f>
        <v>0</v>
      </c>
      <c r="S2381" s="728"/>
      <c r="T2381" s="68">
        <f>T1666/'Terms and Turnovers'!$AD162</f>
        <v>0</v>
      </c>
      <c r="U2381" s="728"/>
      <c r="V2381" s="68">
        <f>V1666/'Terms and Turnovers'!$AD162</f>
        <v>0</v>
      </c>
      <c r="W2381" s="728"/>
      <c r="X2381" s="68">
        <f>X1666/'Terms and Turnovers'!$AD162</f>
        <v>0</v>
      </c>
      <c r="Y2381" s="728"/>
      <c r="Z2381" s="68">
        <f>Z1666/'Terms and Turnovers'!$AD162</f>
        <v>0</v>
      </c>
      <c r="AA2381" s="728"/>
      <c r="AB2381" s="68">
        <f>AB1666/'Terms and Turnovers'!$AD162</f>
        <v>0</v>
      </c>
      <c r="AC2381" s="728"/>
      <c r="AD2381" s="68">
        <f>AD1666/'Terms and Turnovers'!$AD162</f>
        <v>0</v>
      </c>
      <c r="AE2381" s="728"/>
      <c r="AF2381" s="132">
        <f>SUM(T2381,V2381,X2381,Z2381,AB2381,AD2381)</f>
        <v>0</v>
      </c>
      <c r="AG2381" s="728"/>
      <c r="AH2381" s="133">
        <f>SUM(AF2381,R2381)</f>
        <v>0</v>
      </c>
      <c r="AI2381" s="728"/>
      <c r="AJ2381" s="65"/>
      <c r="AV2381" s="56"/>
    </row>
    <row r="2382" spans="2:48" ht="12.75" hidden="1" customHeight="1" outlineLevel="2" thickBot="1">
      <c r="B2382" s="82"/>
      <c r="C2382" s="1234"/>
      <c r="D2382" s="1234"/>
      <c r="E2382" s="84">
        <f>'Terms and Turnovers'!$AN$12</f>
        <v>0</v>
      </c>
      <c r="F2382" s="70">
        <f>F1667/'Terms and Turnovers'!$AN162</f>
        <v>0</v>
      </c>
      <c r="G2382" s="728"/>
      <c r="H2382" s="70">
        <f>H1667/'Terms and Turnovers'!$AN162</f>
        <v>0</v>
      </c>
      <c r="I2382" s="728"/>
      <c r="J2382" s="70">
        <f>J1667/'Terms and Turnovers'!$AN162</f>
        <v>0</v>
      </c>
      <c r="K2382" s="728"/>
      <c r="L2382" s="70">
        <f>L1667/'Terms and Turnovers'!$AN162</f>
        <v>0</v>
      </c>
      <c r="M2382" s="728"/>
      <c r="N2382" s="70">
        <f>N1667/'Terms and Turnovers'!$AN162</f>
        <v>0</v>
      </c>
      <c r="O2382" s="728"/>
      <c r="P2382" s="70">
        <f>P1667/'Terms and Turnovers'!$AN162</f>
        <v>0</v>
      </c>
      <c r="Q2382" s="728"/>
      <c r="R2382" s="132">
        <f>SUM(F2382,H2382,J2382,L2382,N2382,P2382)</f>
        <v>0</v>
      </c>
      <c r="S2382" s="728"/>
      <c r="T2382" s="70">
        <f>T1667/'Terms and Turnovers'!$AN162</f>
        <v>0</v>
      </c>
      <c r="U2382" s="728"/>
      <c r="V2382" s="70">
        <f>V1667/'Terms and Turnovers'!$AN162</f>
        <v>0</v>
      </c>
      <c r="W2382" s="728"/>
      <c r="X2382" s="70">
        <f>X1667/'Terms and Turnovers'!$AN162</f>
        <v>0</v>
      </c>
      <c r="Y2382" s="728"/>
      <c r="Z2382" s="70">
        <f>Z1667/'Terms and Turnovers'!$AN162</f>
        <v>0</v>
      </c>
      <c r="AA2382" s="728"/>
      <c r="AB2382" s="70">
        <f>AB1667/'Terms and Turnovers'!$AN162</f>
        <v>0</v>
      </c>
      <c r="AC2382" s="728"/>
      <c r="AD2382" s="70">
        <f>AD1667/'Terms and Turnovers'!$AN162</f>
        <v>0</v>
      </c>
      <c r="AE2382" s="728"/>
      <c r="AF2382" s="132">
        <f>SUM(T2382,V2382,X2382,Z2382,AB2382,AD2382)</f>
        <v>0</v>
      </c>
      <c r="AG2382" s="728"/>
      <c r="AH2382" s="133">
        <f>SUM(AF2382,R2382)</f>
        <v>0</v>
      </c>
      <c r="AI2382" s="728"/>
      <c r="AJ2382" s="65"/>
      <c r="AV2382" s="56"/>
    </row>
    <row r="2383" spans="2:48" ht="13.5" hidden="1" customHeight="1" outlineLevel="2" thickBot="1">
      <c r="B2383" s="82"/>
      <c r="C2383" s="1235"/>
      <c r="D2383" s="1235"/>
      <c r="E2383" s="85">
        <f>'Terms and Turnovers'!$AX$12</f>
        <v>0</v>
      </c>
      <c r="F2383" s="68">
        <f>F1668/'Terms and Turnovers'!$AX162</f>
        <v>0</v>
      </c>
      <c r="G2383" s="107"/>
      <c r="H2383" s="68">
        <f>H1668/'Terms and Turnovers'!$AX162</f>
        <v>0</v>
      </c>
      <c r="I2383" s="107"/>
      <c r="J2383" s="68">
        <f>J1668/'Terms and Turnovers'!$AX162</f>
        <v>0</v>
      </c>
      <c r="K2383" s="107"/>
      <c r="L2383" s="68">
        <f>L1668/'Terms and Turnovers'!$AX162</f>
        <v>0</v>
      </c>
      <c r="M2383" s="107"/>
      <c r="N2383" s="68">
        <f>N1668/'Terms and Turnovers'!$AX162</f>
        <v>0</v>
      </c>
      <c r="O2383" s="107"/>
      <c r="P2383" s="68">
        <f>P1668/'Terms and Turnovers'!$AX162</f>
        <v>0</v>
      </c>
      <c r="Q2383" s="107"/>
      <c r="R2383" s="135">
        <f>SUM(F2383,H2383,J2383,L2383,N2383,P2383)</f>
        <v>0</v>
      </c>
      <c r="S2383" s="107"/>
      <c r="T2383" s="68">
        <f>T1668/'Terms and Turnovers'!$AX162</f>
        <v>0</v>
      </c>
      <c r="U2383" s="107"/>
      <c r="V2383" s="68">
        <f>V1668/'Terms and Turnovers'!$AX162</f>
        <v>0</v>
      </c>
      <c r="W2383" s="107"/>
      <c r="X2383" s="68">
        <f>X1668/'Terms and Turnovers'!$AX162</f>
        <v>0</v>
      </c>
      <c r="Y2383" s="107"/>
      <c r="Z2383" s="68">
        <f>Z1668/'Terms and Turnovers'!$AX162</f>
        <v>0</v>
      </c>
      <c r="AA2383" s="107"/>
      <c r="AB2383" s="68">
        <f>AB1668/'Terms and Turnovers'!$AX162</f>
        <v>0</v>
      </c>
      <c r="AC2383" s="107"/>
      <c r="AD2383" s="68">
        <f>AD1668/'Terms and Turnovers'!$AX162</f>
        <v>0</v>
      </c>
      <c r="AE2383" s="107"/>
      <c r="AF2383" s="135">
        <f>SUM(T2383,V2383,X2383,Z2383,AB2383,AD2383)</f>
        <v>0</v>
      </c>
      <c r="AG2383" s="107"/>
      <c r="AH2383" s="136">
        <f>SUM(AF2383,R2383)</f>
        <v>0</v>
      </c>
      <c r="AI2383" s="107"/>
      <c r="AJ2383" s="65"/>
      <c r="AV2383" s="56"/>
    </row>
    <row r="2384" spans="2:48" ht="13.5" hidden="1" customHeight="1" outlineLevel="2">
      <c r="B2384" s="82"/>
      <c r="C2384" s="425"/>
      <c r="D2384" s="425"/>
      <c r="E2384" s="634"/>
      <c r="F2384" s="635"/>
      <c r="G2384" s="428"/>
      <c r="H2384" s="635"/>
      <c r="I2384" s="428"/>
      <c r="J2384" s="635"/>
      <c r="K2384" s="636"/>
      <c r="L2384" s="635"/>
      <c r="M2384" s="636"/>
      <c r="N2384" s="635"/>
      <c r="O2384" s="636"/>
      <c r="P2384" s="635"/>
      <c r="Q2384" s="636"/>
      <c r="R2384" s="637"/>
      <c r="S2384" s="698">
        <f>SUM(R1664:R1668)/1.18-(SUM(R2379:R2383)*'Mark Up Validation'!$M$175)</f>
        <v>0</v>
      </c>
      <c r="T2384" s="635"/>
      <c r="U2384" s="636"/>
      <c r="V2384" s="635"/>
      <c r="W2384" s="636"/>
      <c r="X2384" s="635"/>
      <c r="Y2384" s="636"/>
      <c r="Z2384" s="635"/>
      <c r="AA2384" s="636"/>
      <c r="AB2384" s="635"/>
      <c r="AC2384" s="636"/>
      <c r="AD2384" s="635"/>
      <c r="AE2384" s="636"/>
      <c r="AF2384" s="637"/>
      <c r="AG2384" s="698">
        <f>SUM(AF1664:AF1668)/1.18-SUM(AF2379:AF2383)*'Mark Up Validation'!$M$175</f>
        <v>0</v>
      </c>
      <c r="AH2384" s="638"/>
      <c r="AI2384" s="698">
        <f>SUM(AH1664:AH1668)/1.18-SUM(AH2379:AH2383)*'Mark Up Validation'!$M$175</f>
        <v>0</v>
      </c>
      <c r="AJ2384" s="65"/>
      <c r="AV2384" s="56"/>
    </row>
    <row r="2385" spans="2:48" ht="13.5" hidden="1" customHeight="1" outlineLevel="2" thickBot="1">
      <c r="B2385" s="82"/>
      <c r="C2385" s="1228" t="s">
        <v>538</v>
      </c>
      <c r="D2385" s="1229"/>
      <c r="E2385" s="699"/>
      <c r="F2385" s="700"/>
      <c r="G2385" s="701"/>
      <c r="H2385" s="700"/>
      <c r="I2385" s="701"/>
      <c r="J2385" s="700"/>
      <c r="K2385" s="702"/>
      <c r="L2385" s="700"/>
      <c r="M2385" s="702"/>
      <c r="N2385" s="700"/>
      <c r="O2385" s="702"/>
      <c r="P2385" s="700"/>
      <c r="Q2385" s="702"/>
      <c r="R2385" s="703"/>
      <c r="S2385" s="729">
        <f>IF(S2384&gt;0,S2384/(SUM(R1664:R1668)/1.18),0)</f>
        <v>0</v>
      </c>
      <c r="T2385" s="700"/>
      <c r="U2385" s="702"/>
      <c r="V2385" s="700"/>
      <c r="W2385" s="702"/>
      <c r="X2385" s="700"/>
      <c r="Y2385" s="702"/>
      <c r="Z2385" s="700"/>
      <c r="AA2385" s="702"/>
      <c r="AB2385" s="700"/>
      <c r="AC2385" s="702"/>
      <c r="AD2385" s="700"/>
      <c r="AE2385" s="702"/>
      <c r="AF2385" s="705"/>
      <c r="AG2385" s="729">
        <f>IF(AG2384&gt;0,AG2384/(SUM(AF1664:AF1668)/1.18),0)</f>
        <v>0</v>
      </c>
      <c r="AH2385" s="706"/>
      <c r="AI2385" s="729">
        <f>IF(AI2384&gt;0,AI2384/(SUM(AH1664:AH1668)/1.18),0)</f>
        <v>0</v>
      </c>
      <c r="AJ2385" s="65"/>
      <c r="AV2385" s="56"/>
    </row>
    <row r="2386" spans="2:48" ht="12.75" hidden="1" customHeight="1" outlineLevel="2">
      <c r="B2386" s="82">
        <f>B2379+1</f>
        <v>32</v>
      </c>
      <c r="C2386" s="1233">
        <f>C1671</f>
        <v>0</v>
      </c>
      <c r="D2386" s="1233">
        <f>D1671</f>
        <v>0</v>
      </c>
      <c r="E2386" s="83" t="str">
        <f>'Terms and Turnovers'!$J$12</f>
        <v>FLIP-FLOPS</v>
      </c>
      <c r="F2386" s="68">
        <f>F1671/'Terms and Turnovers'!$J163</f>
        <v>0</v>
      </c>
      <c r="G2386" s="106"/>
      <c r="H2386" s="68">
        <f>H1671/'Terms and Turnovers'!$J163</f>
        <v>0</v>
      </c>
      <c r="I2386" s="106"/>
      <c r="J2386" s="68">
        <f>J1671/'Terms and Turnovers'!$J163</f>
        <v>0</v>
      </c>
      <c r="K2386" s="106"/>
      <c r="L2386" s="68">
        <f>L1671/'Terms and Turnovers'!$J163</f>
        <v>0</v>
      </c>
      <c r="M2386" s="106"/>
      <c r="N2386" s="68">
        <f>N1671/'Terms and Turnovers'!$J163</f>
        <v>0</v>
      </c>
      <c r="O2386" s="106"/>
      <c r="P2386" s="68">
        <f>P1671/'Terms and Turnovers'!$J163</f>
        <v>0</v>
      </c>
      <c r="Q2386" s="106"/>
      <c r="R2386" s="129">
        <f>SUM(F2386,H2386,J2386,L2386,N2386,P2386)</f>
        <v>0</v>
      </c>
      <c r="S2386" s="106"/>
      <c r="T2386" s="68">
        <f>T1671/'Terms and Turnovers'!$J163</f>
        <v>0</v>
      </c>
      <c r="U2386" s="106"/>
      <c r="V2386" s="68">
        <f>V1671/'Terms and Turnovers'!$J163</f>
        <v>0</v>
      </c>
      <c r="W2386" s="106"/>
      <c r="X2386" s="68">
        <f>X1671/'Terms and Turnovers'!$J163</f>
        <v>0</v>
      </c>
      <c r="Y2386" s="106"/>
      <c r="Z2386" s="68">
        <f>Z1671/'Terms and Turnovers'!$J163</f>
        <v>0</v>
      </c>
      <c r="AA2386" s="106"/>
      <c r="AB2386" s="68">
        <f>AB1671/'Terms and Turnovers'!$J163</f>
        <v>0</v>
      </c>
      <c r="AC2386" s="106"/>
      <c r="AD2386" s="68">
        <f>AD1671/'Terms and Turnovers'!$J163</f>
        <v>0</v>
      </c>
      <c r="AE2386" s="106"/>
      <c r="AF2386" s="129">
        <f>SUM(T2386,V2386,X2386,Z2386,AB2386,AD2386)</f>
        <v>0</v>
      </c>
      <c r="AG2386" s="106"/>
      <c r="AH2386" s="130">
        <f>SUM(AF2386,R2386)</f>
        <v>0</v>
      </c>
      <c r="AI2386" s="106"/>
      <c r="AJ2386" s="65"/>
      <c r="AV2386" s="56"/>
    </row>
    <row r="2387" spans="2:48" ht="12.75" hidden="1" customHeight="1" outlineLevel="2" thickBot="1">
      <c r="B2387" s="82"/>
      <c r="C2387" s="1234"/>
      <c r="D2387" s="1234"/>
      <c r="E2387" s="84" t="str">
        <f>'Terms and Turnovers'!$T$12</f>
        <v>ORIGINALS</v>
      </c>
      <c r="F2387" s="70">
        <f>F1672/'Terms and Turnovers'!$T163</f>
        <v>0</v>
      </c>
      <c r="G2387" s="728"/>
      <c r="H2387" s="70">
        <f>H1672/'Terms and Turnovers'!$T163</f>
        <v>0</v>
      </c>
      <c r="I2387" s="728"/>
      <c r="J2387" s="70">
        <f>J1672/'Terms and Turnovers'!$T163</f>
        <v>0</v>
      </c>
      <c r="K2387" s="728"/>
      <c r="L2387" s="70">
        <f>L1672/'Terms and Turnovers'!$T163</f>
        <v>0</v>
      </c>
      <c r="M2387" s="728"/>
      <c r="N2387" s="70">
        <f>N1672/'Terms and Turnovers'!$T163</f>
        <v>0</v>
      </c>
      <c r="O2387" s="728"/>
      <c r="P2387" s="70">
        <f>P1672/'Terms and Turnovers'!$T163</f>
        <v>0</v>
      </c>
      <c r="Q2387" s="728"/>
      <c r="R2387" s="132">
        <f>SUM(F2387,H2387,J2387,L2387,N2387,P2387)</f>
        <v>0</v>
      </c>
      <c r="S2387" s="728"/>
      <c r="T2387" s="70">
        <f>T1672/'Terms and Turnovers'!$T163</f>
        <v>0</v>
      </c>
      <c r="U2387" s="728"/>
      <c r="V2387" s="70">
        <f>V1672/'Terms and Turnovers'!$T163</f>
        <v>0</v>
      </c>
      <c r="W2387" s="728"/>
      <c r="X2387" s="70">
        <f>X1672/'Terms and Turnovers'!$T163</f>
        <v>0</v>
      </c>
      <c r="Y2387" s="728"/>
      <c r="Z2387" s="70">
        <f>Z1672/'Terms and Turnovers'!$T163</f>
        <v>0</v>
      </c>
      <c r="AA2387" s="728"/>
      <c r="AB2387" s="70">
        <f>AB1672/'Terms and Turnovers'!$T163</f>
        <v>0</v>
      </c>
      <c r="AC2387" s="728"/>
      <c r="AD2387" s="70">
        <f>AD1672/'Terms and Turnovers'!$T163</f>
        <v>0</v>
      </c>
      <c r="AE2387" s="728"/>
      <c r="AF2387" s="132">
        <f>SUM(T2387,V2387,X2387,Z2387,AB2387,AD2387)</f>
        <v>0</v>
      </c>
      <c r="AG2387" s="728"/>
      <c r="AH2387" s="133">
        <f>SUM(AF2387,R2387)</f>
        <v>0</v>
      </c>
      <c r="AI2387" s="728"/>
      <c r="AJ2387" s="65"/>
      <c r="AV2387" s="56"/>
    </row>
    <row r="2388" spans="2:48" ht="12.75" hidden="1" customHeight="1" outlineLevel="2">
      <c r="B2388" s="82"/>
      <c r="C2388" s="1234"/>
      <c r="D2388" s="1234"/>
      <c r="E2388" s="84" t="str">
        <f>'Terms and Turnovers'!$AD$12</f>
        <v>ACCESSORIES</v>
      </c>
      <c r="F2388" s="68">
        <f>F1673/'Terms and Turnovers'!$AD163</f>
        <v>0</v>
      </c>
      <c r="G2388" s="728"/>
      <c r="H2388" s="68">
        <f>H1673/'Terms and Turnovers'!$AD163</f>
        <v>0</v>
      </c>
      <c r="I2388" s="728"/>
      <c r="J2388" s="68">
        <f>J1673/'Terms and Turnovers'!$AD163</f>
        <v>0</v>
      </c>
      <c r="K2388" s="728"/>
      <c r="L2388" s="68">
        <f>L1673/'Terms and Turnovers'!$AD163</f>
        <v>0</v>
      </c>
      <c r="M2388" s="728"/>
      <c r="N2388" s="68">
        <f>N1673/'Terms and Turnovers'!$AD163</f>
        <v>0</v>
      </c>
      <c r="O2388" s="728"/>
      <c r="P2388" s="68">
        <f>P1673/'Terms and Turnovers'!$AD163</f>
        <v>0</v>
      </c>
      <c r="Q2388" s="728"/>
      <c r="R2388" s="132">
        <f>SUM(F2388,H2388,J2388,L2388,N2388,P2388)</f>
        <v>0</v>
      </c>
      <c r="S2388" s="728"/>
      <c r="T2388" s="68">
        <f>T1673/'Terms and Turnovers'!$AD163</f>
        <v>0</v>
      </c>
      <c r="U2388" s="728"/>
      <c r="V2388" s="68">
        <f>V1673/'Terms and Turnovers'!$AD163</f>
        <v>0</v>
      </c>
      <c r="W2388" s="728"/>
      <c r="X2388" s="68">
        <f>X1673/'Terms and Turnovers'!$AD163</f>
        <v>0</v>
      </c>
      <c r="Y2388" s="728"/>
      <c r="Z2388" s="68">
        <f>Z1673/'Terms and Turnovers'!$AD163</f>
        <v>0</v>
      </c>
      <c r="AA2388" s="728"/>
      <c r="AB2388" s="68">
        <f>AB1673/'Terms and Turnovers'!$AD163</f>
        <v>0</v>
      </c>
      <c r="AC2388" s="728"/>
      <c r="AD2388" s="68">
        <f>AD1673/'Terms and Turnovers'!$AD163</f>
        <v>0</v>
      </c>
      <c r="AE2388" s="728"/>
      <c r="AF2388" s="132">
        <f>SUM(T2388,V2388,X2388,Z2388,AB2388,AD2388)</f>
        <v>0</v>
      </c>
      <c r="AG2388" s="728"/>
      <c r="AH2388" s="133">
        <f>SUM(AF2388,R2388)</f>
        <v>0</v>
      </c>
      <c r="AI2388" s="728"/>
      <c r="AJ2388" s="65"/>
      <c r="AV2388" s="56"/>
    </row>
    <row r="2389" spans="2:48" ht="12.75" hidden="1" customHeight="1" outlineLevel="2" thickBot="1">
      <c r="B2389" s="82"/>
      <c r="C2389" s="1234"/>
      <c r="D2389" s="1234"/>
      <c r="E2389" s="84">
        <f>'Terms and Turnovers'!$AN$12</f>
        <v>0</v>
      </c>
      <c r="F2389" s="70">
        <f>F1674/'Terms and Turnovers'!$AN163</f>
        <v>0</v>
      </c>
      <c r="G2389" s="728"/>
      <c r="H2389" s="70">
        <f>H1674/'Terms and Turnovers'!$AN163</f>
        <v>0</v>
      </c>
      <c r="I2389" s="728"/>
      <c r="J2389" s="70">
        <f>J1674/'Terms and Turnovers'!$AN163</f>
        <v>0</v>
      </c>
      <c r="K2389" s="728"/>
      <c r="L2389" s="70">
        <f>L1674/'Terms and Turnovers'!$AN163</f>
        <v>0</v>
      </c>
      <c r="M2389" s="728"/>
      <c r="N2389" s="70">
        <f>N1674/'Terms and Turnovers'!$AN163</f>
        <v>0</v>
      </c>
      <c r="O2389" s="728"/>
      <c r="P2389" s="70">
        <f>P1674/'Terms and Turnovers'!$AN163</f>
        <v>0</v>
      </c>
      <c r="Q2389" s="728"/>
      <c r="R2389" s="132">
        <f>SUM(F2389,H2389,J2389,L2389,N2389,P2389)</f>
        <v>0</v>
      </c>
      <c r="S2389" s="728"/>
      <c r="T2389" s="70">
        <f>T1674/'Terms and Turnovers'!$AN163</f>
        <v>0</v>
      </c>
      <c r="U2389" s="728"/>
      <c r="V2389" s="70">
        <f>V1674/'Terms and Turnovers'!$AN163</f>
        <v>0</v>
      </c>
      <c r="W2389" s="728"/>
      <c r="X2389" s="70">
        <f>X1674/'Terms and Turnovers'!$AN163</f>
        <v>0</v>
      </c>
      <c r="Y2389" s="728"/>
      <c r="Z2389" s="70">
        <f>Z1674/'Terms and Turnovers'!$AN163</f>
        <v>0</v>
      </c>
      <c r="AA2389" s="728"/>
      <c r="AB2389" s="70">
        <f>AB1674/'Terms and Turnovers'!$AN163</f>
        <v>0</v>
      </c>
      <c r="AC2389" s="728"/>
      <c r="AD2389" s="70">
        <f>AD1674/'Terms and Turnovers'!$AN163</f>
        <v>0</v>
      </c>
      <c r="AE2389" s="728"/>
      <c r="AF2389" s="132">
        <f>SUM(T2389,V2389,X2389,Z2389,AB2389,AD2389)</f>
        <v>0</v>
      </c>
      <c r="AG2389" s="728"/>
      <c r="AH2389" s="133">
        <f>SUM(AF2389,R2389)</f>
        <v>0</v>
      </c>
      <c r="AI2389" s="728"/>
      <c r="AJ2389" s="65"/>
      <c r="AV2389" s="56"/>
    </row>
    <row r="2390" spans="2:48" ht="13.5" hidden="1" customHeight="1" outlineLevel="2" thickBot="1">
      <c r="B2390" s="82"/>
      <c r="C2390" s="1235"/>
      <c r="D2390" s="1235"/>
      <c r="E2390" s="85">
        <f>'Terms and Turnovers'!$AX$12</f>
        <v>0</v>
      </c>
      <c r="F2390" s="68">
        <f>F1675/'Terms and Turnovers'!$AX163</f>
        <v>0</v>
      </c>
      <c r="G2390" s="107"/>
      <c r="H2390" s="68">
        <f>H1675/'Terms and Turnovers'!$AX163</f>
        <v>0</v>
      </c>
      <c r="I2390" s="107"/>
      <c r="J2390" s="68">
        <f>J1675/'Terms and Turnovers'!$AX163</f>
        <v>0</v>
      </c>
      <c r="K2390" s="107"/>
      <c r="L2390" s="68">
        <f>L1675/'Terms and Turnovers'!$AX163</f>
        <v>0</v>
      </c>
      <c r="M2390" s="107"/>
      <c r="N2390" s="68">
        <f>N1675/'Terms and Turnovers'!$AX163</f>
        <v>0</v>
      </c>
      <c r="O2390" s="107"/>
      <c r="P2390" s="68">
        <f>P1675/'Terms and Turnovers'!$AX163</f>
        <v>0</v>
      </c>
      <c r="Q2390" s="107"/>
      <c r="R2390" s="135">
        <f>SUM(F2390,H2390,J2390,L2390,N2390,P2390)</f>
        <v>0</v>
      </c>
      <c r="S2390" s="107"/>
      <c r="T2390" s="68">
        <f>T1675/'Terms and Turnovers'!$AX163</f>
        <v>0</v>
      </c>
      <c r="U2390" s="107"/>
      <c r="V2390" s="68">
        <f>V1675/'Terms and Turnovers'!$AX163</f>
        <v>0</v>
      </c>
      <c r="W2390" s="107"/>
      <c r="X2390" s="68">
        <f>X1675/'Terms and Turnovers'!$AX163</f>
        <v>0</v>
      </c>
      <c r="Y2390" s="107"/>
      <c r="Z2390" s="68">
        <f>Z1675/'Terms and Turnovers'!$AX163</f>
        <v>0</v>
      </c>
      <c r="AA2390" s="107"/>
      <c r="AB2390" s="68">
        <f>AB1675/'Terms and Turnovers'!$AX163</f>
        <v>0</v>
      </c>
      <c r="AC2390" s="107"/>
      <c r="AD2390" s="68">
        <f>AD1675/'Terms and Turnovers'!$AX163</f>
        <v>0</v>
      </c>
      <c r="AE2390" s="107"/>
      <c r="AF2390" s="135">
        <f>SUM(T2390,V2390,X2390,Z2390,AB2390,AD2390)</f>
        <v>0</v>
      </c>
      <c r="AG2390" s="107"/>
      <c r="AH2390" s="136">
        <f>SUM(AF2390,R2390)</f>
        <v>0</v>
      </c>
      <c r="AI2390" s="107"/>
      <c r="AJ2390" s="65"/>
      <c r="AV2390" s="56"/>
    </row>
    <row r="2391" spans="2:48" ht="13.5" hidden="1" customHeight="1" outlineLevel="2">
      <c r="B2391" s="82"/>
      <c r="C2391" s="425"/>
      <c r="D2391" s="425"/>
      <c r="E2391" s="634"/>
      <c r="F2391" s="635"/>
      <c r="G2391" s="428"/>
      <c r="H2391" s="635"/>
      <c r="I2391" s="428"/>
      <c r="J2391" s="635"/>
      <c r="K2391" s="636"/>
      <c r="L2391" s="635"/>
      <c r="M2391" s="636"/>
      <c r="N2391" s="635"/>
      <c r="O2391" s="636"/>
      <c r="P2391" s="635"/>
      <c r="Q2391" s="636"/>
      <c r="R2391" s="637"/>
      <c r="S2391" s="698">
        <f>SUM(R1671:R1675)/1.18-(SUM(R2386:R2390)*'Mark Up Validation'!$M$175)</f>
        <v>0</v>
      </c>
      <c r="T2391" s="635"/>
      <c r="U2391" s="636"/>
      <c r="V2391" s="635"/>
      <c r="W2391" s="636"/>
      <c r="X2391" s="635"/>
      <c r="Y2391" s="636"/>
      <c r="Z2391" s="635"/>
      <c r="AA2391" s="636"/>
      <c r="AB2391" s="635"/>
      <c r="AC2391" s="636"/>
      <c r="AD2391" s="635"/>
      <c r="AE2391" s="636"/>
      <c r="AF2391" s="637"/>
      <c r="AG2391" s="698">
        <f>SUM(AF1671:AF1675)/1.18-SUM(AF2386:AF2390)*'Mark Up Validation'!$M$175</f>
        <v>0</v>
      </c>
      <c r="AH2391" s="638"/>
      <c r="AI2391" s="698">
        <f>SUM(AH1671:AH1675)/1.18-SUM(AH2386:AH2390)*'Mark Up Validation'!$M$175</f>
        <v>0</v>
      </c>
      <c r="AJ2391" s="65"/>
      <c r="AV2391" s="56"/>
    </row>
    <row r="2392" spans="2:48" ht="13.5" hidden="1" customHeight="1" outlineLevel="2" thickBot="1">
      <c r="B2392" s="82"/>
      <c r="C2392" s="1228" t="s">
        <v>538</v>
      </c>
      <c r="D2392" s="1229"/>
      <c r="E2392" s="699"/>
      <c r="F2392" s="700"/>
      <c r="G2392" s="701"/>
      <c r="H2392" s="700"/>
      <c r="I2392" s="701"/>
      <c r="J2392" s="700"/>
      <c r="K2392" s="702"/>
      <c r="L2392" s="700"/>
      <c r="M2392" s="702"/>
      <c r="N2392" s="700"/>
      <c r="O2392" s="702"/>
      <c r="P2392" s="700"/>
      <c r="Q2392" s="702"/>
      <c r="R2392" s="703"/>
      <c r="S2392" s="729">
        <f>IF(S2391&gt;0,S2391/(SUM(R1671:R1675)/1.18),0)</f>
        <v>0</v>
      </c>
      <c r="T2392" s="700"/>
      <c r="U2392" s="702"/>
      <c r="V2392" s="700"/>
      <c r="W2392" s="702"/>
      <c r="X2392" s="700"/>
      <c r="Y2392" s="702"/>
      <c r="Z2392" s="700"/>
      <c r="AA2392" s="702"/>
      <c r="AB2392" s="700"/>
      <c r="AC2392" s="702"/>
      <c r="AD2392" s="700"/>
      <c r="AE2392" s="702"/>
      <c r="AF2392" s="705"/>
      <c r="AG2392" s="729">
        <f>IF(AG2391&gt;0,AG2391/(SUM(AF1671:AF1675)/1.18),0)</f>
        <v>0</v>
      </c>
      <c r="AH2392" s="706"/>
      <c r="AI2392" s="729">
        <f>IF(AI2391&gt;0,AI2391/(SUM(AH1671:AH1675)/1.18),0)</f>
        <v>0</v>
      </c>
      <c r="AJ2392" s="65"/>
      <c r="AV2392" s="56"/>
    </row>
    <row r="2393" spans="2:48" ht="12.75" hidden="1" customHeight="1" outlineLevel="2">
      <c r="B2393" s="82">
        <f>B2386+1</f>
        <v>33</v>
      </c>
      <c r="C2393" s="1233">
        <f>C1678</f>
        <v>0</v>
      </c>
      <c r="D2393" s="1233">
        <f>D1678</f>
        <v>0</v>
      </c>
      <c r="E2393" s="83" t="str">
        <f>'Terms and Turnovers'!$J$12</f>
        <v>FLIP-FLOPS</v>
      </c>
      <c r="F2393" s="68">
        <f>F1678/'Terms and Turnovers'!$J164</f>
        <v>0</v>
      </c>
      <c r="G2393" s="106"/>
      <c r="H2393" s="68">
        <f>H1678/'Terms and Turnovers'!$J164</f>
        <v>0</v>
      </c>
      <c r="I2393" s="106"/>
      <c r="J2393" s="68">
        <f>J1678/'Terms and Turnovers'!$J164</f>
        <v>0</v>
      </c>
      <c r="K2393" s="106"/>
      <c r="L2393" s="68">
        <f>L1678/'Terms and Turnovers'!$J164</f>
        <v>0</v>
      </c>
      <c r="M2393" s="106"/>
      <c r="N2393" s="68">
        <f>N1678/'Terms and Turnovers'!$J164</f>
        <v>0</v>
      </c>
      <c r="O2393" s="106"/>
      <c r="P2393" s="68">
        <f>P1678/'Terms and Turnovers'!$J164</f>
        <v>0</v>
      </c>
      <c r="Q2393" s="106"/>
      <c r="R2393" s="129">
        <f>SUM(F2393,H2393,J2393,L2393,N2393,P2393)</f>
        <v>0</v>
      </c>
      <c r="S2393" s="106"/>
      <c r="T2393" s="68">
        <f>T1678/'Terms and Turnovers'!$J164</f>
        <v>0</v>
      </c>
      <c r="U2393" s="106"/>
      <c r="V2393" s="68">
        <f>V1678/'Terms and Turnovers'!$J164</f>
        <v>0</v>
      </c>
      <c r="W2393" s="106"/>
      <c r="X2393" s="68">
        <f>X1678/'Terms and Turnovers'!$J164</f>
        <v>0</v>
      </c>
      <c r="Y2393" s="106"/>
      <c r="Z2393" s="68">
        <f>Z1678/'Terms and Turnovers'!$J164</f>
        <v>0</v>
      </c>
      <c r="AA2393" s="106"/>
      <c r="AB2393" s="68">
        <f>AB1678/'Terms and Turnovers'!$J164</f>
        <v>0</v>
      </c>
      <c r="AC2393" s="106"/>
      <c r="AD2393" s="68">
        <f>AD1678/'Terms and Turnovers'!$J164</f>
        <v>0</v>
      </c>
      <c r="AE2393" s="106"/>
      <c r="AF2393" s="129">
        <f>SUM(T2393,V2393,X2393,Z2393,AB2393,AD2393)</f>
        <v>0</v>
      </c>
      <c r="AG2393" s="106"/>
      <c r="AH2393" s="130">
        <f>SUM(AF2393,R2393)</f>
        <v>0</v>
      </c>
      <c r="AI2393" s="106"/>
      <c r="AJ2393" s="65"/>
      <c r="AV2393" s="56"/>
    </row>
    <row r="2394" spans="2:48" ht="12.75" hidden="1" customHeight="1" outlineLevel="2" thickBot="1">
      <c r="B2394" s="82"/>
      <c r="C2394" s="1234"/>
      <c r="D2394" s="1234"/>
      <c r="E2394" s="84" t="str">
        <f>'Terms and Turnovers'!$T$12</f>
        <v>ORIGINALS</v>
      </c>
      <c r="F2394" s="70">
        <f>F1679/'Terms and Turnovers'!$T164</f>
        <v>0</v>
      </c>
      <c r="G2394" s="728"/>
      <c r="H2394" s="70">
        <f>H1679/'Terms and Turnovers'!$T164</f>
        <v>0</v>
      </c>
      <c r="I2394" s="728"/>
      <c r="J2394" s="70">
        <f>J1679/'Terms and Turnovers'!$T164</f>
        <v>0</v>
      </c>
      <c r="K2394" s="728"/>
      <c r="L2394" s="70">
        <f>L1679/'Terms and Turnovers'!$T164</f>
        <v>0</v>
      </c>
      <c r="M2394" s="728"/>
      <c r="N2394" s="70">
        <f>N1679/'Terms and Turnovers'!$T164</f>
        <v>0</v>
      </c>
      <c r="O2394" s="728"/>
      <c r="P2394" s="70">
        <f>P1679/'Terms and Turnovers'!$T164</f>
        <v>0</v>
      </c>
      <c r="Q2394" s="728"/>
      <c r="R2394" s="132">
        <f>SUM(F2394,H2394,J2394,L2394,N2394,P2394)</f>
        <v>0</v>
      </c>
      <c r="S2394" s="728"/>
      <c r="T2394" s="70">
        <f>T1679/'Terms and Turnovers'!$T164</f>
        <v>0</v>
      </c>
      <c r="U2394" s="728"/>
      <c r="V2394" s="70">
        <f>V1679/'Terms and Turnovers'!$T164</f>
        <v>0</v>
      </c>
      <c r="W2394" s="728"/>
      <c r="X2394" s="70">
        <f>X1679/'Terms and Turnovers'!$T164</f>
        <v>0</v>
      </c>
      <c r="Y2394" s="728"/>
      <c r="Z2394" s="70">
        <f>Z1679/'Terms and Turnovers'!$T164</f>
        <v>0</v>
      </c>
      <c r="AA2394" s="728"/>
      <c r="AB2394" s="70">
        <f>AB1679/'Terms and Turnovers'!$T164</f>
        <v>0</v>
      </c>
      <c r="AC2394" s="728"/>
      <c r="AD2394" s="70">
        <f>AD1679/'Terms and Turnovers'!$T164</f>
        <v>0</v>
      </c>
      <c r="AE2394" s="728"/>
      <c r="AF2394" s="132">
        <f>SUM(T2394,V2394,X2394,Z2394,AB2394,AD2394)</f>
        <v>0</v>
      </c>
      <c r="AG2394" s="728"/>
      <c r="AH2394" s="133">
        <f>SUM(AF2394,R2394)</f>
        <v>0</v>
      </c>
      <c r="AI2394" s="728"/>
      <c r="AJ2394" s="65"/>
      <c r="AV2394" s="56"/>
    </row>
    <row r="2395" spans="2:48" ht="12.75" hidden="1" customHeight="1" outlineLevel="2">
      <c r="B2395" s="82"/>
      <c r="C2395" s="1234"/>
      <c r="D2395" s="1234"/>
      <c r="E2395" s="84" t="str">
        <f>'Terms and Turnovers'!$AD$12</f>
        <v>ACCESSORIES</v>
      </c>
      <c r="F2395" s="68">
        <f>F1680/'Terms and Turnovers'!$AD164</f>
        <v>0</v>
      </c>
      <c r="G2395" s="728"/>
      <c r="H2395" s="68">
        <f>H1680/'Terms and Turnovers'!$AD164</f>
        <v>0</v>
      </c>
      <c r="I2395" s="728"/>
      <c r="J2395" s="68">
        <f>J1680/'Terms and Turnovers'!$AD164</f>
        <v>0</v>
      </c>
      <c r="K2395" s="728"/>
      <c r="L2395" s="68">
        <f>L1680/'Terms and Turnovers'!$AD164</f>
        <v>0</v>
      </c>
      <c r="M2395" s="728"/>
      <c r="N2395" s="68">
        <f>N1680/'Terms and Turnovers'!$AD164</f>
        <v>0</v>
      </c>
      <c r="O2395" s="728"/>
      <c r="P2395" s="68">
        <f>P1680/'Terms and Turnovers'!$AD164</f>
        <v>0</v>
      </c>
      <c r="Q2395" s="728"/>
      <c r="R2395" s="132">
        <f>SUM(F2395,H2395,J2395,L2395,N2395,P2395)</f>
        <v>0</v>
      </c>
      <c r="S2395" s="728"/>
      <c r="T2395" s="68">
        <f>T1680/'Terms and Turnovers'!$AD164</f>
        <v>0</v>
      </c>
      <c r="U2395" s="728"/>
      <c r="V2395" s="68">
        <f>V1680/'Terms and Turnovers'!$AD164</f>
        <v>0</v>
      </c>
      <c r="W2395" s="728"/>
      <c r="X2395" s="68">
        <f>X1680/'Terms and Turnovers'!$AD164</f>
        <v>0</v>
      </c>
      <c r="Y2395" s="728"/>
      <c r="Z2395" s="68">
        <f>Z1680/'Terms and Turnovers'!$AD164</f>
        <v>0</v>
      </c>
      <c r="AA2395" s="728"/>
      <c r="AB2395" s="68">
        <f>AB1680/'Terms and Turnovers'!$AD164</f>
        <v>0</v>
      </c>
      <c r="AC2395" s="728"/>
      <c r="AD2395" s="68">
        <f>AD1680/'Terms and Turnovers'!$AD164</f>
        <v>0</v>
      </c>
      <c r="AE2395" s="728"/>
      <c r="AF2395" s="132">
        <f>SUM(T2395,V2395,X2395,Z2395,AB2395,AD2395)</f>
        <v>0</v>
      </c>
      <c r="AG2395" s="728"/>
      <c r="AH2395" s="133">
        <f>SUM(AF2395,R2395)</f>
        <v>0</v>
      </c>
      <c r="AI2395" s="728"/>
      <c r="AJ2395" s="65"/>
      <c r="AV2395" s="56"/>
    </row>
    <row r="2396" spans="2:48" ht="12.75" hidden="1" customHeight="1" outlineLevel="2" thickBot="1">
      <c r="B2396" s="82"/>
      <c r="C2396" s="1234"/>
      <c r="D2396" s="1234"/>
      <c r="E2396" s="84">
        <f>'Terms and Turnovers'!$AN$12</f>
        <v>0</v>
      </c>
      <c r="F2396" s="70">
        <f>F1681/'Terms and Turnovers'!$AN164</f>
        <v>0</v>
      </c>
      <c r="G2396" s="728"/>
      <c r="H2396" s="70">
        <f>H1681/'Terms and Turnovers'!$AN164</f>
        <v>0</v>
      </c>
      <c r="I2396" s="728"/>
      <c r="J2396" s="70">
        <f>J1681/'Terms and Turnovers'!$AN164</f>
        <v>0</v>
      </c>
      <c r="K2396" s="728"/>
      <c r="L2396" s="70">
        <f>L1681/'Terms and Turnovers'!$AN164</f>
        <v>0</v>
      </c>
      <c r="M2396" s="728"/>
      <c r="N2396" s="70">
        <f>N1681/'Terms and Turnovers'!$AN164</f>
        <v>0</v>
      </c>
      <c r="O2396" s="728"/>
      <c r="P2396" s="70">
        <f>P1681/'Terms and Turnovers'!$AN164</f>
        <v>0</v>
      </c>
      <c r="Q2396" s="728"/>
      <c r="R2396" s="132">
        <f>SUM(F2396,H2396,J2396,L2396,N2396,P2396)</f>
        <v>0</v>
      </c>
      <c r="S2396" s="728"/>
      <c r="T2396" s="70">
        <f>T1681/'Terms and Turnovers'!$AN164</f>
        <v>0</v>
      </c>
      <c r="U2396" s="728"/>
      <c r="V2396" s="70">
        <f>V1681/'Terms and Turnovers'!$AN164</f>
        <v>0</v>
      </c>
      <c r="W2396" s="728"/>
      <c r="X2396" s="70">
        <f>X1681/'Terms and Turnovers'!$AN164</f>
        <v>0</v>
      </c>
      <c r="Y2396" s="728"/>
      <c r="Z2396" s="70">
        <f>Z1681/'Terms and Turnovers'!$AN164</f>
        <v>0</v>
      </c>
      <c r="AA2396" s="728"/>
      <c r="AB2396" s="70">
        <f>AB1681/'Terms and Turnovers'!$AN164</f>
        <v>0</v>
      </c>
      <c r="AC2396" s="728"/>
      <c r="AD2396" s="70">
        <f>AD1681/'Terms and Turnovers'!$AN164</f>
        <v>0</v>
      </c>
      <c r="AE2396" s="728"/>
      <c r="AF2396" s="132">
        <f>SUM(T2396,V2396,X2396,Z2396,AB2396,AD2396)</f>
        <v>0</v>
      </c>
      <c r="AG2396" s="728"/>
      <c r="AH2396" s="133">
        <f>SUM(AF2396,R2396)</f>
        <v>0</v>
      </c>
      <c r="AI2396" s="728"/>
      <c r="AJ2396" s="65"/>
      <c r="AV2396" s="56"/>
    </row>
    <row r="2397" spans="2:48" ht="13.5" hidden="1" customHeight="1" outlineLevel="2" thickBot="1">
      <c r="B2397" s="82"/>
      <c r="C2397" s="1235"/>
      <c r="D2397" s="1235"/>
      <c r="E2397" s="85">
        <f>'Terms and Turnovers'!$AX$12</f>
        <v>0</v>
      </c>
      <c r="F2397" s="68">
        <f>F1682/'Terms and Turnovers'!$AX164</f>
        <v>0</v>
      </c>
      <c r="G2397" s="107"/>
      <c r="H2397" s="68">
        <f>H1682/'Terms and Turnovers'!$AX164</f>
        <v>0</v>
      </c>
      <c r="I2397" s="107"/>
      <c r="J2397" s="68">
        <f>J1682/'Terms and Turnovers'!$AX164</f>
        <v>0</v>
      </c>
      <c r="K2397" s="107"/>
      <c r="L2397" s="68">
        <f>L1682/'Terms and Turnovers'!$AX164</f>
        <v>0</v>
      </c>
      <c r="M2397" s="107"/>
      <c r="N2397" s="68">
        <f>N1682/'Terms and Turnovers'!$AX164</f>
        <v>0</v>
      </c>
      <c r="O2397" s="107"/>
      <c r="P2397" s="68">
        <f>P1682/'Terms and Turnovers'!$AX164</f>
        <v>0</v>
      </c>
      <c r="Q2397" s="107"/>
      <c r="R2397" s="135">
        <f>SUM(F2397,H2397,J2397,L2397,N2397,P2397)</f>
        <v>0</v>
      </c>
      <c r="S2397" s="107"/>
      <c r="T2397" s="68">
        <f>T1682/'Terms and Turnovers'!$AX164</f>
        <v>0</v>
      </c>
      <c r="U2397" s="107"/>
      <c r="V2397" s="68">
        <f>V1682/'Terms and Turnovers'!$AX164</f>
        <v>0</v>
      </c>
      <c r="W2397" s="107"/>
      <c r="X2397" s="68">
        <f>X1682/'Terms and Turnovers'!$AX164</f>
        <v>0</v>
      </c>
      <c r="Y2397" s="107"/>
      <c r="Z2397" s="68">
        <f>Z1682/'Terms and Turnovers'!$AX164</f>
        <v>0</v>
      </c>
      <c r="AA2397" s="107"/>
      <c r="AB2397" s="68">
        <f>AB1682/'Terms and Turnovers'!$AX164</f>
        <v>0</v>
      </c>
      <c r="AC2397" s="107"/>
      <c r="AD2397" s="68">
        <f>AD1682/'Terms and Turnovers'!$AX164</f>
        <v>0</v>
      </c>
      <c r="AE2397" s="107"/>
      <c r="AF2397" s="135">
        <f>SUM(T2397,V2397,X2397,Z2397,AB2397,AD2397)</f>
        <v>0</v>
      </c>
      <c r="AG2397" s="107"/>
      <c r="AH2397" s="136">
        <f>SUM(AF2397,R2397)</f>
        <v>0</v>
      </c>
      <c r="AI2397" s="107"/>
      <c r="AJ2397" s="65"/>
      <c r="AV2397" s="56"/>
    </row>
    <row r="2398" spans="2:48" ht="13.5" hidden="1" customHeight="1" outlineLevel="2">
      <c r="B2398" s="82"/>
      <c r="C2398" s="425"/>
      <c r="D2398" s="425"/>
      <c r="E2398" s="634"/>
      <c r="F2398" s="635"/>
      <c r="G2398" s="428"/>
      <c r="H2398" s="635"/>
      <c r="I2398" s="428"/>
      <c r="J2398" s="635"/>
      <c r="K2398" s="636"/>
      <c r="L2398" s="635"/>
      <c r="M2398" s="636"/>
      <c r="N2398" s="635"/>
      <c r="O2398" s="636"/>
      <c r="P2398" s="635"/>
      <c r="Q2398" s="636"/>
      <c r="R2398" s="637"/>
      <c r="S2398" s="698">
        <f>SUM(R1678:R1682)/1.18-(SUM(R2393:R2397)*'Mark Up Validation'!$M$175)</f>
        <v>0</v>
      </c>
      <c r="T2398" s="635"/>
      <c r="U2398" s="636"/>
      <c r="V2398" s="635"/>
      <c r="W2398" s="636"/>
      <c r="X2398" s="635"/>
      <c r="Y2398" s="636"/>
      <c r="Z2398" s="635"/>
      <c r="AA2398" s="636"/>
      <c r="AB2398" s="635"/>
      <c r="AC2398" s="636"/>
      <c r="AD2398" s="635"/>
      <c r="AE2398" s="636"/>
      <c r="AF2398" s="637"/>
      <c r="AG2398" s="698">
        <f>SUM(AF1678:AF1682)/1.18-SUM(AF2393:AF2397)*'Mark Up Validation'!$M$175</f>
        <v>0</v>
      </c>
      <c r="AH2398" s="638"/>
      <c r="AI2398" s="698">
        <f>SUM(AH1678:AH1682)/1.18-SUM(AH2393:AH2397)*'Mark Up Validation'!$M$175</f>
        <v>0</v>
      </c>
      <c r="AJ2398" s="65"/>
      <c r="AV2398" s="56"/>
    </row>
    <row r="2399" spans="2:48" ht="13.5" hidden="1" customHeight="1" outlineLevel="2" thickBot="1">
      <c r="B2399" s="82"/>
      <c r="C2399" s="1228" t="s">
        <v>538</v>
      </c>
      <c r="D2399" s="1229"/>
      <c r="E2399" s="699"/>
      <c r="F2399" s="700"/>
      <c r="G2399" s="701"/>
      <c r="H2399" s="700"/>
      <c r="I2399" s="701"/>
      <c r="J2399" s="700"/>
      <c r="K2399" s="702"/>
      <c r="L2399" s="700"/>
      <c r="M2399" s="702"/>
      <c r="N2399" s="700"/>
      <c r="O2399" s="702"/>
      <c r="P2399" s="700"/>
      <c r="Q2399" s="702"/>
      <c r="R2399" s="703"/>
      <c r="S2399" s="729">
        <f>IF(S2398&gt;0,S2398/(SUM(R1678:R1682)/1.18),0)</f>
        <v>0</v>
      </c>
      <c r="T2399" s="700"/>
      <c r="U2399" s="702"/>
      <c r="V2399" s="700"/>
      <c r="W2399" s="702"/>
      <c r="X2399" s="700"/>
      <c r="Y2399" s="702"/>
      <c r="Z2399" s="700"/>
      <c r="AA2399" s="702"/>
      <c r="AB2399" s="700"/>
      <c r="AC2399" s="702"/>
      <c r="AD2399" s="700"/>
      <c r="AE2399" s="702"/>
      <c r="AF2399" s="705"/>
      <c r="AG2399" s="729">
        <f>IF(AG2398&gt;0,AG2398/(SUM(AF1678:AF1682)/1.18),0)</f>
        <v>0</v>
      </c>
      <c r="AH2399" s="706"/>
      <c r="AI2399" s="729">
        <f>IF(AI2398&gt;0,AI2398/(SUM(AH1678:AH1682)/1.18),0)</f>
        <v>0</v>
      </c>
      <c r="AJ2399" s="65"/>
      <c r="AV2399" s="56"/>
    </row>
    <row r="2400" spans="2:48" ht="12.75" hidden="1" customHeight="1" outlineLevel="2">
      <c r="B2400" s="82">
        <f>B2393+1</f>
        <v>34</v>
      </c>
      <c r="C2400" s="1233">
        <f>C1685</f>
        <v>0</v>
      </c>
      <c r="D2400" s="1233">
        <f>D1685</f>
        <v>0</v>
      </c>
      <c r="E2400" s="83" t="str">
        <f>'Terms and Turnovers'!$J$12</f>
        <v>FLIP-FLOPS</v>
      </c>
      <c r="F2400" s="68">
        <f>F1685/'Terms and Turnovers'!$J165</f>
        <v>0</v>
      </c>
      <c r="G2400" s="106"/>
      <c r="H2400" s="68">
        <f>H1685/'Terms and Turnovers'!$J165</f>
        <v>0</v>
      </c>
      <c r="I2400" s="106"/>
      <c r="J2400" s="68">
        <f>J1685/'Terms and Turnovers'!$J165</f>
        <v>0</v>
      </c>
      <c r="K2400" s="106"/>
      <c r="L2400" s="68">
        <f>L1685/'Terms and Turnovers'!$J165</f>
        <v>0</v>
      </c>
      <c r="M2400" s="106"/>
      <c r="N2400" s="68">
        <f>N1685/'Terms and Turnovers'!$J165</f>
        <v>0</v>
      </c>
      <c r="O2400" s="106"/>
      <c r="P2400" s="68">
        <f>P1685/'Terms and Turnovers'!$J165</f>
        <v>0</v>
      </c>
      <c r="Q2400" s="106"/>
      <c r="R2400" s="129">
        <f>SUM(F2400,H2400,J2400,L2400,N2400,P2400)</f>
        <v>0</v>
      </c>
      <c r="S2400" s="106"/>
      <c r="T2400" s="68">
        <f>T1685/'Terms and Turnovers'!$J165</f>
        <v>0</v>
      </c>
      <c r="U2400" s="106"/>
      <c r="V2400" s="68">
        <f>V1685/'Terms and Turnovers'!$J165</f>
        <v>0</v>
      </c>
      <c r="W2400" s="106"/>
      <c r="X2400" s="68">
        <f>X1685/'Terms and Turnovers'!$J165</f>
        <v>0</v>
      </c>
      <c r="Y2400" s="106"/>
      <c r="Z2400" s="68">
        <f>Z1685/'Terms and Turnovers'!$J165</f>
        <v>0</v>
      </c>
      <c r="AA2400" s="106"/>
      <c r="AB2400" s="68">
        <f>AB1685/'Terms and Turnovers'!$J165</f>
        <v>0</v>
      </c>
      <c r="AC2400" s="106"/>
      <c r="AD2400" s="68">
        <f>AD1685/'Terms and Turnovers'!$J165</f>
        <v>0</v>
      </c>
      <c r="AE2400" s="106"/>
      <c r="AF2400" s="129">
        <f>SUM(T2400,V2400,X2400,Z2400,AB2400,AD2400)</f>
        <v>0</v>
      </c>
      <c r="AG2400" s="106"/>
      <c r="AH2400" s="130">
        <f>SUM(AF2400,R2400)</f>
        <v>0</v>
      </c>
      <c r="AI2400" s="106"/>
      <c r="AJ2400" s="65"/>
      <c r="AV2400" s="56"/>
    </row>
    <row r="2401" spans="2:48" ht="12.75" hidden="1" customHeight="1" outlineLevel="2" thickBot="1">
      <c r="B2401" s="82"/>
      <c r="C2401" s="1234"/>
      <c r="D2401" s="1234"/>
      <c r="E2401" s="84" t="str">
        <f>'Terms and Turnovers'!$T$12</f>
        <v>ORIGINALS</v>
      </c>
      <c r="F2401" s="70">
        <f>F1686/'Terms and Turnovers'!$T165</f>
        <v>0</v>
      </c>
      <c r="G2401" s="728"/>
      <c r="H2401" s="70">
        <f>H1686/'Terms and Turnovers'!$T165</f>
        <v>0</v>
      </c>
      <c r="I2401" s="728"/>
      <c r="J2401" s="70">
        <f>J1686/'Terms and Turnovers'!$T165</f>
        <v>0</v>
      </c>
      <c r="K2401" s="728"/>
      <c r="L2401" s="70">
        <f>L1686/'Terms and Turnovers'!$T165</f>
        <v>0</v>
      </c>
      <c r="M2401" s="728"/>
      <c r="N2401" s="70">
        <f>N1686/'Terms and Turnovers'!$T165</f>
        <v>0</v>
      </c>
      <c r="O2401" s="728"/>
      <c r="P2401" s="70">
        <f>P1686/'Terms and Turnovers'!$T165</f>
        <v>0</v>
      </c>
      <c r="Q2401" s="728"/>
      <c r="R2401" s="132">
        <f>SUM(F2401,H2401,J2401,L2401,N2401,P2401)</f>
        <v>0</v>
      </c>
      <c r="S2401" s="728"/>
      <c r="T2401" s="70">
        <f>T1686/'Terms and Turnovers'!$T165</f>
        <v>0</v>
      </c>
      <c r="U2401" s="728"/>
      <c r="V2401" s="70">
        <f>V1686/'Terms and Turnovers'!$T165</f>
        <v>0</v>
      </c>
      <c r="W2401" s="728"/>
      <c r="X2401" s="70">
        <f>X1686/'Terms and Turnovers'!$T165</f>
        <v>0</v>
      </c>
      <c r="Y2401" s="728"/>
      <c r="Z2401" s="70">
        <f>Z1686/'Terms and Turnovers'!$T165</f>
        <v>0</v>
      </c>
      <c r="AA2401" s="728"/>
      <c r="AB2401" s="70">
        <f>AB1686/'Terms and Turnovers'!$T165</f>
        <v>0</v>
      </c>
      <c r="AC2401" s="728"/>
      <c r="AD2401" s="70">
        <f>AD1686/'Terms and Turnovers'!$T165</f>
        <v>0</v>
      </c>
      <c r="AE2401" s="728"/>
      <c r="AF2401" s="132">
        <f>SUM(T2401,V2401,X2401,Z2401,AB2401,AD2401)</f>
        <v>0</v>
      </c>
      <c r="AG2401" s="728"/>
      <c r="AH2401" s="133">
        <f>SUM(AF2401,R2401)</f>
        <v>0</v>
      </c>
      <c r="AI2401" s="728"/>
      <c r="AJ2401" s="65"/>
      <c r="AV2401" s="56"/>
    </row>
    <row r="2402" spans="2:48" ht="12.75" hidden="1" customHeight="1" outlineLevel="2">
      <c r="B2402" s="82"/>
      <c r="C2402" s="1234"/>
      <c r="D2402" s="1234"/>
      <c r="E2402" s="84" t="str">
        <f>'Terms and Turnovers'!$AD$12</f>
        <v>ACCESSORIES</v>
      </c>
      <c r="F2402" s="68">
        <f>F1687/'Terms and Turnovers'!$AD165</f>
        <v>0</v>
      </c>
      <c r="G2402" s="728"/>
      <c r="H2402" s="68">
        <f>H1687/'Terms and Turnovers'!$AD165</f>
        <v>0</v>
      </c>
      <c r="I2402" s="728"/>
      <c r="J2402" s="68">
        <f>J1687/'Terms and Turnovers'!$AD165</f>
        <v>0</v>
      </c>
      <c r="K2402" s="728"/>
      <c r="L2402" s="68">
        <f>L1687/'Terms and Turnovers'!$AD165</f>
        <v>0</v>
      </c>
      <c r="M2402" s="728"/>
      <c r="N2402" s="68">
        <f>N1687/'Terms and Turnovers'!$AD165</f>
        <v>0</v>
      </c>
      <c r="O2402" s="728"/>
      <c r="P2402" s="68">
        <f>P1687/'Terms and Turnovers'!$AD165</f>
        <v>0</v>
      </c>
      <c r="Q2402" s="728"/>
      <c r="R2402" s="132">
        <f>SUM(F2402,H2402,J2402,L2402,N2402,P2402)</f>
        <v>0</v>
      </c>
      <c r="S2402" s="728"/>
      <c r="T2402" s="68">
        <f>T1687/'Terms and Turnovers'!$AD165</f>
        <v>0</v>
      </c>
      <c r="U2402" s="728"/>
      <c r="V2402" s="68">
        <f>V1687/'Terms and Turnovers'!$AD165</f>
        <v>0</v>
      </c>
      <c r="W2402" s="728"/>
      <c r="X2402" s="68">
        <f>X1687/'Terms and Turnovers'!$AD165</f>
        <v>0</v>
      </c>
      <c r="Y2402" s="728"/>
      <c r="Z2402" s="68">
        <f>Z1687/'Terms and Turnovers'!$AD165</f>
        <v>0</v>
      </c>
      <c r="AA2402" s="728"/>
      <c r="AB2402" s="68">
        <f>AB1687/'Terms and Turnovers'!$AD165</f>
        <v>0</v>
      </c>
      <c r="AC2402" s="728"/>
      <c r="AD2402" s="68">
        <f>AD1687/'Terms and Turnovers'!$AD165</f>
        <v>0</v>
      </c>
      <c r="AE2402" s="728"/>
      <c r="AF2402" s="132">
        <f>SUM(T2402,V2402,X2402,Z2402,AB2402,AD2402)</f>
        <v>0</v>
      </c>
      <c r="AG2402" s="728"/>
      <c r="AH2402" s="133">
        <f>SUM(AF2402,R2402)</f>
        <v>0</v>
      </c>
      <c r="AI2402" s="728"/>
      <c r="AJ2402" s="65"/>
      <c r="AV2402" s="56"/>
    </row>
    <row r="2403" spans="2:48" ht="12.75" hidden="1" customHeight="1" outlineLevel="2" thickBot="1">
      <c r="B2403" s="82"/>
      <c r="C2403" s="1234"/>
      <c r="D2403" s="1234"/>
      <c r="E2403" s="84">
        <f>'Terms and Turnovers'!$AN$12</f>
        <v>0</v>
      </c>
      <c r="F2403" s="70">
        <f>F1688/'Terms and Turnovers'!$AN165</f>
        <v>0</v>
      </c>
      <c r="G2403" s="728"/>
      <c r="H2403" s="70">
        <f>H1688/'Terms and Turnovers'!$AN165</f>
        <v>0</v>
      </c>
      <c r="I2403" s="728"/>
      <c r="J2403" s="70">
        <f>J1688/'Terms and Turnovers'!$AN165</f>
        <v>0</v>
      </c>
      <c r="K2403" s="728"/>
      <c r="L2403" s="70">
        <f>L1688/'Terms and Turnovers'!$AN165</f>
        <v>0</v>
      </c>
      <c r="M2403" s="728"/>
      <c r="N2403" s="70">
        <f>N1688/'Terms and Turnovers'!$AN165</f>
        <v>0</v>
      </c>
      <c r="O2403" s="728"/>
      <c r="P2403" s="70">
        <f>P1688/'Terms and Turnovers'!$AN165</f>
        <v>0</v>
      </c>
      <c r="Q2403" s="728"/>
      <c r="R2403" s="132">
        <f>SUM(F2403,H2403,J2403,L2403,N2403,P2403)</f>
        <v>0</v>
      </c>
      <c r="S2403" s="728"/>
      <c r="T2403" s="70">
        <f>T1688/'Terms and Turnovers'!$AN165</f>
        <v>0</v>
      </c>
      <c r="U2403" s="728"/>
      <c r="V2403" s="70">
        <f>V1688/'Terms and Turnovers'!$AN165</f>
        <v>0</v>
      </c>
      <c r="W2403" s="728"/>
      <c r="X2403" s="70">
        <f>X1688/'Terms and Turnovers'!$AN165</f>
        <v>0</v>
      </c>
      <c r="Y2403" s="728"/>
      <c r="Z2403" s="70">
        <f>Z1688/'Terms and Turnovers'!$AN165</f>
        <v>0</v>
      </c>
      <c r="AA2403" s="728"/>
      <c r="AB2403" s="70">
        <f>AB1688/'Terms and Turnovers'!$AN165</f>
        <v>0</v>
      </c>
      <c r="AC2403" s="728"/>
      <c r="AD2403" s="70">
        <f>AD1688/'Terms and Turnovers'!$AN165</f>
        <v>0</v>
      </c>
      <c r="AE2403" s="728"/>
      <c r="AF2403" s="132">
        <f>SUM(T2403,V2403,X2403,Z2403,AB2403,AD2403)</f>
        <v>0</v>
      </c>
      <c r="AG2403" s="728"/>
      <c r="AH2403" s="133">
        <f>SUM(AF2403,R2403)</f>
        <v>0</v>
      </c>
      <c r="AI2403" s="728"/>
      <c r="AJ2403" s="65"/>
      <c r="AV2403" s="56"/>
    </row>
    <row r="2404" spans="2:48" ht="13.5" hidden="1" customHeight="1" outlineLevel="2" thickBot="1">
      <c r="B2404" s="82"/>
      <c r="C2404" s="1235"/>
      <c r="D2404" s="1235"/>
      <c r="E2404" s="85">
        <f>'Terms and Turnovers'!$AX$12</f>
        <v>0</v>
      </c>
      <c r="F2404" s="68">
        <f>F1689/'Terms and Turnovers'!$AX165</f>
        <v>0</v>
      </c>
      <c r="G2404" s="107"/>
      <c r="H2404" s="68">
        <f>H1689/'Terms and Turnovers'!$AX165</f>
        <v>0</v>
      </c>
      <c r="I2404" s="107"/>
      <c r="J2404" s="68">
        <f>J1689/'Terms and Turnovers'!$AX165</f>
        <v>0</v>
      </c>
      <c r="K2404" s="107"/>
      <c r="L2404" s="68">
        <f>L1689/'Terms and Turnovers'!$AX165</f>
        <v>0</v>
      </c>
      <c r="M2404" s="107"/>
      <c r="N2404" s="68">
        <f>N1689/'Terms and Turnovers'!$AX165</f>
        <v>0</v>
      </c>
      <c r="O2404" s="107"/>
      <c r="P2404" s="68">
        <f>P1689/'Terms and Turnovers'!$AX165</f>
        <v>0</v>
      </c>
      <c r="Q2404" s="107"/>
      <c r="R2404" s="135">
        <f>SUM(F2404,H2404,J2404,L2404,N2404,P2404)</f>
        <v>0</v>
      </c>
      <c r="S2404" s="107"/>
      <c r="T2404" s="68">
        <f>T1689/'Terms and Turnovers'!$AX165</f>
        <v>0</v>
      </c>
      <c r="U2404" s="107"/>
      <c r="V2404" s="68">
        <f>V1689/'Terms and Turnovers'!$AX165</f>
        <v>0</v>
      </c>
      <c r="W2404" s="107"/>
      <c r="X2404" s="68">
        <f>X1689/'Terms and Turnovers'!$AX165</f>
        <v>0</v>
      </c>
      <c r="Y2404" s="107"/>
      <c r="Z2404" s="68">
        <f>Z1689/'Terms and Turnovers'!$AX165</f>
        <v>0</v>
      </c>
      <c r="AA2404" s="107"/>
      <c r="AB2404" s="68">
        <f>AB1689/'Terms and Turnovers'!$AX165</f>
        <v>0</v>
      </c>
      <c r="AC2404" s="107"/>
      <c r="AD2404" s="68">
        <f>AD1689/'Terms and Turnovers'!$AX165</f>
        <v>0</v>
      </c>
      <c r="AE2404" s="107"/>
      <c r="AF2404" s="135">
        <f>SUM(T2404,V2404,X2404,Z2404,AB2404,AD2404)</f>
        <v>0</v>
      </c>
      <c r="AG2404" s="107"/>
      <c r="AH2404" s="136">
        <f>SUM(AF2404,R2404)</f>
        <v>0</v>
      </c>
      <c r="AI2404" s="107"/>
      <c r="AJ2404" s="65"/>
      <c r="AV2404" s="56"/>
    </row>
    <row r="2405" spans="2:48" ht="13.5" hidden="1" customHeight="1" outlineLevel="2">
      <c r="B2405" s="82"/>
      <c r="C2405" s="425"/>
      <c r="D2405" s="425"/>
      <c r="E2405" s="634"/>
      <c r="F2405" s="635"/>
      <c r="G2405" s="428"/>
      <c r="H2405" s="635"/>
      <c r="I2405" s="428"/>
      <c r="J2405" s="635"/>
      <c r="K2405" s="636"/>
      <c r="L2405" s="635"/>
      <c r="M2405" s="636"/>
      <c r="N2405" s="635"/>
      <c r="O2405" s="636"/>
      <c r="P2405" s="635"/>
      <c r="Q2405" s="636"/>
      <c r="R2405" s="637"/>
      <c r="S2405" s="698">
        <f>SUM(R1685:R1689)/1.18-(SUM(R2400:R2404)*'Mark Up Validation'!$M$175)</f>
        <v>0</v>
      </c>
      <c r="T2405" s="635"/>
      <c r="U2405" s="636"/>
      <c r="V2405" s="635"/>
      <c r="W2405" s="636"/>
      <c r="X2405" s="635"/>
      <c r="Y2405" s="636"/>
      <c r="Z2405" s="635"/>
      <c r="AA2405" s="636"/>
      <c r="AB2405" s="635"/>
      <c r="AC2405" s="636"/>
      <c r="AD2405" s="635"/>
      <c r="AE2405" s="636"/>
      <c r="AF2405" s="637"/>
      <c r="AG2405" s="698">
        <f>SUM(AF1685:AF1689)/1.18-SUM(AF2400:AF2404)*'Mark Up Validation'!$M$175</f>
        <v>0</v>
      </c>
      <c r="AH2405" s="638"/>
      <c r="AI2405" s="698">
        <f>SUM(AH1685:AH1689)/1.18-SUM(AH2400:AH2404)*'Mark Up Validation'!$M$175</f>
        <v>0</v>
      </c>
      <c r="AJ2405" s="65"/>
      <c r="AV2405" s="56"/>
    </row>
    <row r="2406" spans="2:48" ht="13.5" hidden="1" customHeight="1" outlineLevel="2" thickBot="1">
      <c r="B2406" s="82"/>
      <c r="C2406" s="1228" t="s">
        <v>538</v>
      </c>
      <c r="D2406" s="1229"/>
      <c r="E2406" s="699"/>
      <c r="F2406" s="700"/>
      <c r="G2406" s="701"/>
      <c r="H2406" s="700"/>
      <c r="I2406" s="701"/>
      <c r="J2406" s="700"/>
      <c r="K2406" s="702"/>
      <c r="L2406" s="700"/>
      <c r="M2406" s="702"/>
      <c r="N2406" s="700"/>
      <c r="O2406" s="702"/>
      <c r="P2406" s="700"/>
      <c r="Q2406" s="702"/>
      <c r="R2406" s="703"/>
      <c r="S2406" s="729">
        <f>IF(S2405&gt;0,S2405/(SUM(R1685:R1689)/1.18),0)</f>
        <v>0</v>
      </c>
      <c r="T2406" s="700"/>
      <c r="U2406" s="702"/>
      <c r="V2406" s="700"/>
      <c r="W2406" s="702"/>
      <c r="X2406" s="700"/>
      <c r="Y2406" s="702"/>
      <c r="Z2406" s="700"/>
      <c r="AA2406" s="702"/>
      <c r="AB2406" s="700"/>
      <c r="AC2406" s="702"/>
      <c r="AD2406" s="700"/>
      <c r="AE2406" s="702"/>
      <c r="AF2406" s="705"/>
      <c r="AG2406" s="729">
        <f>IF(AG2405&gt;0,AG2405/(SUM(AF1685:AF1689)/1.18),0)</f>
        <v>0</v>
      </c>
      <c r="AH2406" s="706"/>
      <c r="AI2406" s="729">
        <f>IF(AI2405&gt;0,AI2405/(SUM(AH1685:AH1689)/1.18),0)</f>
        <v>0</v>
      </c>
      <c r="AJ2406" s="65"/>
      <c r="AV2406" s="56"/>
    </row>
    <row r="2407" spans="2:48" ht="12.75" hidden="1" customHeight="1" outlineLevel="2">
      <c r="B2407" s="82">
        <f>B2400+1</f>
        <v>35</v>
      </c>
      <c r="C2407" s="1233">
        <f>C1692</f>
        <v>0</v>
      </c>
      <c r="D2407" s="1233">
        <f>D1692</f>
        <v>0</v>
      </c>
      <c r="E2407" s="83" t="str">
        <f>'Terms and Turnovers'!$J$12</f>
        <v>FLIP-FLOPS</v>
      </c>
      <c r="F2407" s="68">
        <f>F1692/'Terms and Turnovers'!$J166</f>
        <v>0</v>
      </c>
      <c r="G2407" s="106"/>
      <c r="H2407" s="68">
        <f>H1692/'Terms and Turnovers'!$J166</f>
        <v>0</v>
      </c>
      <c r="I2407" s="106"/>
      <c r="J2407" s="68">
        <f>J1692/'Terms and Turnovers'!$J166</f>
        <v>0</v>
      </c>
      <c r="K2407" s="106"/>
      <c r="L2407" s="68">
        <f>L1692/'Terms and Turnovers'!$J166</f>
        <v>0</v>
      </c>
      <c r="M2407" s="106"/>
      <c r="N2407" s="68">
        <f>N1692/'Terms and Turnovers'!$J166</f>
        <v>0</v>
      </c>
      <c r="O2407" s="106"/>
      <c r="P2407" s="68">
        <f>P1692/'Terms and Turnovers'!$J166</f>
        <v>0</v>
      </c>
      <c r="Q2407" s="106"/>
      <c r="R2407" s="129">
        <f>SUM(F2407,H2407,J2407,L2407,N2407,P2407)</f>
        <v>0</v>
      </c>
      <c r="S2407" s="106"/>
      <c r="T2407" s="68">
        <f>T1692/'Terms and Turnovers'!$J166</f>
        <v>0</v>
      </c>
      <c r="U2407" s="106"/>
      <c r="V2407" s="68">
        <f>V1692/'Terms and Turnovers'!$J166</f>
        <v>0</v>
      </c>
      <c r="W2407" s="106"/>
      <c r="X2407" s="68">
        <f>X1692/'Terms and Turnovers'!$J166</f>
        <v>0</v>
      </c>
      <c r="Y2407" s="106"/>
      <c r="Z2407" s="68">
        <f>Z1692/'Terms and Turnovers'!$J166</f>
        <v>0</v>
      </c>
      <c r="AA2407" s="106"/>
      <c r="AB2407" s="68">
        <f>AB1692/'Terms and Turnovers'!$J166</f>
        <v>0</v>
      </c>
      <c r="AC2407" s="106"/>
      <c r="AD2407" s="68">
        <f>AD1692/'Terms and Turnovers'!$J166</f>
        <v>0</v>
      </c>
      <c r="AE2407" s="106"/>
      <c r="AF2407" s="129">
        <f>SUM(T2407,V2407,X2407,Z2407,AB2407,AD2407)</f>
        <v>0</v>
      </c>
      <c r="AG2407" s="106"/>
      <c r="AH2407" s="130">
        <f>SUM(AF2407,R2407)</f>
        <v>0</v>
      </c>
      <c r="AI2407" s="106"/>
      <c r="AJ2407" s="65"/>
      <c r="AV2407" s="56"/>
    </row>
    <row r="2408" spans="2:48" ht="12.75" hidden="1" customHeight="1" outlineLevel="2" thickBot="1">
      <c r="B2408" s="82"/>
      <c r="C2408" s="1234"/>
      <c r="D2408" s="1234"/>
      <c r="E2408" s="84" t="str">
        <f>'Terms and Turnovers'!$T$12</f>
        <v>ORIGINALS</v>
      </c>
      <c r="F2408" s="70">
        <f>F1693/'Terms and Turnovers'!$T166</f>
        <v>0</v>
      </c>
      <c r="G2408" s="728"/>
      <c r="H2408" s="70">
        <f>H1693/'Terms and Turnovers'!$T166</f>
        <v>0</v>
      </c>
      <c r="I2408" s="728"/>
      <c r="J2408" s="70">
        <f>J1693/'Terms and Turnovers'!$T166</f>
        <v>0</v>
      </c>
      <c r="K2408" s="728"/>
      <c r="L2408" s="70">
        <f>L1693/'Terms and Turnovers'!$T166</f>
        <v>0</v>
      </c>
      <c r="M2408" s="728"/>
      <c r="N2408" s="70">
        <f>N1693/'Terms and Turnovers'!$T166</f>
        <v>0</v>
      </c>
      <c r="O2408" s="728"/>
      <c r="P2408" s="70">
        <f>P1693/'Terms and Turnovers'!$T166</f>
        <v>0</v>
      </c>
      <c r="Q2408" s="728"/>
      <c r="R2408" s="132">
        <f>SUM(F2408,H2408,J2408,L2408,N2408,P2408)</f>
        <v>0</v>
      </c>
      <c r="S2408" s="728"/>
      <c r="T2408" s="70">
        <f>T1693/'Terms and Turnovers'!$T166</f>
        <v>0</v>
      </c>
      <c r="U2408" s="728"/>
      <c r="V2408" s="70">
        <f>V1693/'Terms and Turnovers'!$T166</f>
        <v>0</v>
      </c>
      <c r="W2408" s="728"/>
      <c r="X2408" s="70">
        <f>X1693/'Terms and Turnovers'!$T166</f>
        <v>0</v>
      </c>
      <c r="Y2408" s="728"/>
      <c r="Z2408" s="70">
        <f>Z1693/'Terms and Turnovers'!$T166</f>
        <v>0</v>
      </c>
      <c r="AA2408" s="728"/>
      <c r="AB2408" s="70">
        <f>AB1693/'Terms and Turnovers'!$T166</f>
        <v>0</v>
      </c>
      <c r="AC2408" s="728"/>
      <c r="AD2408" s="70">
        <f>AD1693/'Terms and Turnovers'!$T166</f>
        <v>0</v>
      </c>
      <c r="AE2408" s="728"/>
      <c r="AF2408" s="132">
        <f>SUM(T2408,V2408,X2408,Z2408,AB2408,AD2408)</f>
        <v>0</v>
      </c>
      <c r="AG2408" s="728"/>
      <c r="AH2408" s="133">
        <f>SUM(AF2408,R2408)</f>
        <v>0</v>
      </c>
      <c r="AI2408" s="728"/>
      <c r="AJ2408" s="65"/>
      <c r="AV2408" s="56"/>
    </row>
    <row r="2409" spans="2:48" ht="12.75" hidden="1" customHeight="1" outlineLevel="2">
      <c r="B2409" s="82"/>
      <c r="C2409" s="1234"/>
      <c r="D2409" s="1234"/>
      <c r="E2409" s="84" t="str">
        <f>'Terms and Turnovers'!$AD$12</f>
        <v>ACCESSORIES</v>
      </c>
      <c r="F2409" s="68">
        <f>F1694/'Terms and Turnovers'!$AD166</f>
        <v>0</v>
      </c>
      <c r="G2409" s="728"/>
      <c r="H2409" s="68">
        <f>H1694/'Terms and Turnovers'!$AD166</f>
        <v>0</v>
      </c>
      <c r="I2409" s="728"/>
      <c r="J2409" s="68">
        <f>J1694/'Terms and Turnovers'!$AD166</f>
        <v>0</v>
      </c>
      <c r="K2409" s="728"/>
      <c r="L2409" s="68">
        <f>L1694/'Terms and Turnovers'!$AD166</f>
        <v>0</v>
      </c>
      <c r="M2409" s="728"/>
      <c r="N2409" s="68">
        <f>N1694/'Terms and Turnovers'!$AD166</f>
        <v>0</v>
      </c>
      <c r="O2409" s="728"/>
      <c r="P2409" s="68">
        <f>P1694/'Terms and Turnovers'!$AD166</f>
        <v>0</v>
      </c>
      <c r="Q2409" s="728"/>
      <c r="R2409" s="132">
        <f>SUM(F2409,H2409,J2409,L2409,N2409,P2409)</f>
        <v>0</v>
      </c>
      <c r="S2409" s="728"/>
      <c r="T2409" s="68">
        <f>T1694/'Terms and Turnovers'!$AD166</f>
        <v>0</v>
      </c>
      <c r="U2409" s="728"/>
      <c r="V2409" s="68">
        <f>V1694/'Terms and Turnovers'!$AD166</f>
        <v>0</v>
      </c>
      <c r="W2409" s="728"/>
      <c r="X2409" s="68">
        <f>X1694/'Terms and Turnovers'!$AD166</f>
        <v>0</v>
      </c>
      <c r="Y2409" s="728"/>
      <c r="Z2409" s="68">
        <f>Z1694/'Terms and Turnovers'!$AD166</f>
        <v>0</v>
      </c>
      <c r="AA2409" s="728"/>
      <c r="AB2409" s="68">
        <f>AB1694/'Terms and Turnovers'!$AD166</f>
        <v>0</v>
      </c>
      <c r="AC2409" s="728"/>
      <c r="AD2409" s="68">
        <f>AD1694/'Terms and Turnovers'!$AD166</f>
        <v>0</v>
      </c>
      <c r="AE2409" s="728"/>
      <c r="AF2409" s="132">
        <f>SUM(T2409,V2409,X2409,Z2409,AB2409,AD2409)</f>
        <v>0</v>
      </c>
      <c r="AG2409" s="728"/>
      <c r="AH2409" s="133">
        <f>SUM(AF2409,R2409)</f>
        <v>0</v>
      </c>
      <c r="AI2409" s="728"/>
      <c r="AJ2409" s="65"/>
      <c r="AV2409" s="56"/>
    </row>
    <row r="2410" spans="2:48" ht="12.75" hidden="1" customHeight="1" outlineLevel="2" thickBot="1">
      <c r="B2410" s="82"/>
      <c r="C2410" s="1234"/>
      <c r="D2410" s="1234"/>
      <c r="E2410" s="84">
        <f>'Terms and Turnovers'!$AN$12</f>
        <v>0</v>
      </c>
      <c r="F2410" s="70">
        <f>F1695/'Terms and Turnovers'!$AN166</f>
        <v>0</v>
      </c>
      <c r="G2410" s="728"/>
      <c r="H2410" s="70">
        <f>H1695/'Terms and Turnovers'!$AN166</f>
        <v>0</v>
      </c>
      <c r="I2410" s="728"/>
      <c r="J2410" s="70">
        <f>J1695/'Terms and Turnovers'!$AN166</f>
        <v>0</v>
      </c>
      <c r="K2410" s="728"/>
      <c r="L2410" s="70">
        <f>L1695/'Terms and Turnovers'!$AN166</f>
        <v>0</v>
      </c>
      <c r="M2410" s="728"/>
      <c r="N2410" s="70">
        <f>N1695/'Terms and Turnovers'!$AN166</f>
        <v>0</v>
      </c>
      <c r="O2410" s="728"/>
      <c r="P2410" s="70">
        <f>P1695/'Terms and Turnovers'!$AN166</f>
        <v>0</v>
      </c>
      <c r="Q2410" s="728"/>
      <c r="R2410" s="132">
        <f>SUM(F2410,H2410,J2410,L2410,N2410,P2410)</f>
        <v>0</v>
      </c>
      <c r="S2410" s="728"/>
      <c r="T2410" s="70">
        <f>T1695/'Terms and Turnovers'!$AN166</f>
        <v>0</v>
      </c>
      <c r="U2410" s="728"/>
      <c r="V2410" s="70">
        <f>V1695/'Terms and Turnovers'!$AN166</f>
        <v>0</v>
      </c>
      <c r="W2410" s="728"/>
      <c r="X2410" s="70">
        <f>X1695/'Terms and Turnovers'!$AN166</f>
        <v>0</v>
      </c>
      <c r="Y2410" s="728"/>
      <c r="Z2410" s="70">
        <f>Z1695/'Terms and Turnovers'!$AN166</f>
        <v>0</v>
      </c>
      <c r="AA2410" s="728"/>
      <c r="AB2410" s="70">
        <f>AB1695/'Terms and Turnovers'!$AN166</f>
        <v>0</v>
      </c>
      <c r="AC2410" s="728"/>
      <c r="AD2410" s="70">
        <f>AD1695/'Terms and Turnovers'!$AN166</f>
        <v>0</v>
      </c>
      <c r="AE2410" s="728"/>
      <c r="AF2410" s="132">
        <f>SUM(T2410,V2410,X2410,Z2410,AB2410,AD2410)</f>
        <v>0</v>
      </c>
      <c r="AG2410" s="728"/>
      <c r="AH2410" s="133">
        <f>SUM(AF2410,R2410)</f>
        <v>0</v>
      </c>
      <c r="AI2410" s="728"/>
      <c r="AJ2410" s="65"/>
      <c r="AV2410" s="56"/>
    </row>
    <row r="2411" spans="2:48" ht="13.5" hidden="1" customHeight="1" outlineLevel="2" thickBot="1">
      <c r="B2411" s="82"/>
      <c r="C2411" s="1235"/>
      <c r="D2411" s="1235"/>
      <c r="E2411" s="85">
        <f>'Terms and Turnovers'!$AX$12</f>
        <v>0</v>
      </c>
      <c r="F2411" s="68">
        <f>F1696/'Terms and Turnovers'!$AX166</f>
        <v>0</v>
      </c>
      <c r="G2411" s="107"/>
      <c r="H2411" s="68">
        <f>H1696/'Terms and Turnovers'!$AX166</f>
        <v>0</v>
      </c>
      <c r="I2411" s="107"/>
      <c r="J2411" s="68">
        <f>J1696/'Terms and Turnovers'!$AX166</f>
        <v>0</v>
      </c>
      <c r="K2411" s="107"/>
      <c r="L2411" s="68">
        <f>L1696/'Terms and Turnovers'!$AX166</f>
        <v>0</v>
      </c>
      <c r="M2411" s="107"/>
      <c r="N2411" s="68">
        <f>N1696/'Terms and Turnovers'!$AX166</f>
        <v>0</v>
      </c>
      <c r="O2411" s="107"/>
      <c r="P2411" s="68">
        <f>P1696/'Terms and Turnovers'!$AX166</f>
        <v>0</v>
      </c>
      <c r="Q2411" s="107"/>
      <c r="R2411" s="135">
        <f>SUM(F2411,H2411,J2411,L2411,N2411,P2411)</f>
        <v>0</v>
      </c>
      <c r="S2411" s="107"/>
      <c r="T2411" s="68">
        <f>T1696/'Terms and Turnovers'!$AX166</f>
        <v>0</v>
      </c>
      <c r="U2411" s="107"/>
      <c r="V2411" s="68">
        <f>V1696/'Terms and Turnovers'!$AX166</f>
        <v>0</v>
      </c>
      <c r="W2411" s="107"/>
      <c r="X2411" s="68">
        <f>X1696/'Terms and Turnovers'!$AX166</f>
        <v>0</v>
      </c>
      <c r="Y2411" s="107"/>
      <c r="Z2411" s="68">
        <f>Z1696/'Terms and Turnovers'!$AX166</f>
        <v>0</v>
      </c>
      <c r="AA2411" s="107"/>
      <c r="AB2411" s="68">
        <f>AB1696/'Terms and Turnovers'!$AX166</f>
        <v>0</v>
      </c>
      <c r="AC2411" s="107"/>
      <c r="AD2411" s="68">
        <f>AD1696/'Terms and Turnovers'!$AX166</f>
        <v>0</v>
      </c>
      <c r="AE2411" s="107"/>
      <c r="AF2411" s="135">
        <f>SUM(T2411,V2411,X2411,Z2411,AB2411,AD2411)</f>
        <v>0</v>
      </c>
      <c r="AG2411" s="107"/>
      <c r="AH2411" s="136">
        <f>SUM(AF2411,R2411)</f>
        <v>0</v>
      </c>
      <c r="AI2411" s="107"/>
      <c r="AJ2411" s="65"/>
      <c r="AV2411" s="56"/>
    </row>
    <row r="2412" spans="2:48" ht="13.5" hidden="1" customHeight="1" outlineLevel="2">
      <c r="B2412" s="82"/>
      <c r="C2412" s="425"/>
      <c r="D2412" s="425"/>
      <c r="E2412" s="634"/>
      <c r="F2412" s="635"/>
      <c r="G2412" s="428"/>
      <c r="H2412" s="635"/>
      <c r="I2412" s="428"/>
      <c r="J2412" s="635"/>
      <c r="K2412" s="636"/>
      <c r="L2412" s="635"/>
      <c r="M2412" s="636"/>
      <c r="N2412" s="635"/>
      <c r="O2412" s="636"/>
      <c r="P2412" s="635"/>
      <c r="Q2412" s="636"/>
      <c r="R2412" s="637"/>
      <c r="S2412" s="698">
        <f>SUM(R1692:R1696)/1.18-(SUM(R2407:R2411)*'Mark Up Validation'!$M$175)</f>
        <v>0</v>
      </c>
      <c r="T2412" s="635"/>
      <c r="U2412" s="636"/>
      <c r="V2412" s="635"/>
      <c r="W2412" s="636"/>
      <c r="X2412" s="635"/>
      <c r="Y2412" s="636"/>
      <c r="Z2412" s="635"/>
      <c r="AA2412" s="636"/>
      <c r="AB2412" s="635"/>
      <c r="AC2412" s="636"/>
      <c r="AD2412" s="635"/>
      <c r="AE2412" s="636"/>
      <c r="AF2412" s="637"/>
      <c r="AG2412" s="698">
        <f>SUM(AF1692:AF1696)/1.18-SUM(AF2407:AF2411)*'Mark Up Validation'!$M$175</f>
        <v>0</v>
      </c>
      <c r="AH2412" s="638"/>
      <c r="AI2412" s="698">
        <f>SUM(AH1692:AH1696)/1.18-SUM(AH2407:AH2411)*'Mark Up Validation'!$M$175</f>
        <v>0</v>
      </c>
      <c r="AJ2412" s="65"/>
      <c r="AV2412" s="56"/>
    </row>
    <row r="2413" spans="2:48" ht="13.5" hidden="1" customHeight="1" outlineLevel="2" thickBot="1">
      <c r="B2413" s="82"/>
      <c r="C2413" s="1228" t="s">
        <v>538</v>
      </c>
      <c r="D2413" s="1229"/>
      <c r="E2413" s="699"/>
      <c r="F2413" s="700"/>
      <c r="G2413" s="701"/>
      <c r="H2413" s="700"/>
      <c r="I2413" s="701"/>
      <c r="J2413" s="700"/>
      <c r="K2413" s="702"/>
      <c r="L2413" s="700"/>
      <c r="M2413" s="702"/>
      <c r="N2413" s="700"/>
      <c r="O2413" s="702"/>
      <c r="P2413" s="700"/>
      <c r="Q2413" s="702"/>
      <c r="R2413" s="703"/>
      <c r="S2413" s="729">
        <f>IF(S2412&gt;0,S2412/(SUM(R1692:R1696)/1.18),0)</f>
        <v>0</v>
      </c>
      <c r="T2413" s="700"/>
      <c r="U2413" s="702"/>
      <c r="V2413" s="700"/>
      <c r="W2413" s="702"/>
      <c r="X2413" s="700"/>
      <c r="Y2413" s="702"/>
      <c r="Z2413" s="700"/>
      <c r="AA2413" s="702"/>
      <c r="AB2413" s="700"/>
      <c r="AC2413" s="702"/>
      <c r="AD2413" s="700"/>
      <c r="AE2413" s="702"/>
      <c r="AF2413" s="705"/>
      <c r="AG2413" s="729">
        <f>IF(AG2412&gt;0,AG2412/(SUM(AF1692:AF1696)/1.18),0)</f>
        <v>0</v>
      </c>
      <c r="AH2413" s="706"/>
      <c r="AI2413" s="729">
        <f>IF(AI2412&gt;0,AI2412/(SUM(AH1692:AH1696)/1.18),0)</f>
        <v>0</v>
      </c>
      <c r="AJ2413" s="65"/>
      <c r="AV2413" s="56"/>
    </row>
    <row r="2414" spans="2:48" ht="12.75" hidden="1" customHeight="1" outlineLevel="1">
      <c r="B2414" s="82">
        <f>B2407+1</f>
        <v>36</v>
      </c>
      <c r="C2414" s="1233">
        <f>C1699</f>
        <v>0</v>
      </c>
      <c r="D2414" s="1233">
        <f>D1699</f>
        <v>0</v>
      </c>
      <c r="E2414" s="83" t="str">
        <f>'Terms and Turnovers'!$J$12</f>
        <v>FLIP-FLOPS</v>
      </c>
      <c r="F2414" s="68">
        <f>F1699/'Terms and Turnovers'!$J167</f>
        <v>0</v>
      </c>
      <c r="G2414" s="106"/>
      <c r="H2414" s="68">
        <f>H1699/'Terms and Turnovers'!$J167</f>
        <v>0</v>
      </c>
      <c r="I2414" s="106"/>
      <c r="J2414" s="68">
        <f>J1699/'Terms and Turnovers'!$J167</f>
        <v>0</v>
      </c>
      <c r="K2414" s="106"/>
      <c r="L2414" s="68">
        <f>L1699/'Terms and Turnovers'!$J167</f>
        <v>0</v>
      </c>
      <c r="M2414" s="106"/>
      <c r="N2414" s="68">
        <f>N1699/'Terms and Turnovers'!$J167</f>
        <v>0</v>
      </c>
      <c r="O2414" s="106"/>
      <c r="P2414" s="68">
        <f>P1699/'Terms and Turnovers'!$J167</f>
        <v>0</v>
      </c>
      <c r="Q2414" s="106"/>
      <c r="R2414" s="129">
        <f>SUM(F2414,H2414,J2414,L2414,N2414,P2414)</f>
        <v>0</v>
      </c>
      <c r="S2414" s="106"/>
      <c r="T2414" s="68">
        <f>T1699/'Terms and Turnovers'!$J167</f>
        <v>0</v>
      </c>
      <c r="U2414" s="106"/>
      <c r="V2414" s="68">
        <f>V1699/'Terms and Turnovers'!$J167</f>
        <v>0</v>
      </c>
      <c r="W2414" s="106"/>
      <c r="X2414" s="68">
        <f>X1699/'Terms and Turnovers'!$J167</f>
        <v>0</v>
      </c>
      <c r="Y2414" s="106"/>
      <c r="Z2414" s="68">
        <f>Z1699/'Terms and Turnovers'!$J167</f>
        <v>0</v>
      </c>
      <c r="AA2414" s="106"/>
      <c r="AB2414" s="68">
        <f>AB1699/'Terms and Turnovers'!$J167</f>
        <v>0</v>
      </c>
      <c r="AC2414" s="106"/>
      <c r="AD2414" s="68">
        <f>AD1699/'Terms and Turnovers'!$J167</f>
        <v>0</v>
      </c>
      <c r="AE2414" s="106"/>
      <c r="AF2414" s="129">
        <f>SUM(T2414,V2414,X2414,Z2414,AB2414,AD2414)</f>
        <v>0</v>
      </c>
      <c r="AG2414" s="106"/>
      <c r="AH2414" s="130">
        <f>SUM(AF2414,R2414)</f>
        <v>0</v>
      </c>
      <c r="AI2414" s="106"/>
      <c r="AJ2414" s="65"/>
    </row>
    <row r="2415" spans="2:48" ht="12.75" hidden="1" customHeight="1" outlineLevel="1" thickBot="1">
      <c r="B2415" s="82"/>
      <c r="C2415" s="1234"/>
      <c r="D2415" s="1234"/>
      <c r="E2415" s="84" t="str">
        <f>'Terms and Turnovers'!$T$12</f>
        <v>ORIGINALS</v>
      </c>
      <c r="F2415" s="70">
        <f>F1700/'Terms and Turnovers'!$T167</f>
        <v>0</v>
      </c>
      <c r="G2415" s="728"/>
      <c r="H2415" s="70">
        <f>H1700/'Terms and Turnovers'!$T167</f>
        <v>0</v>
      </c>
      <c r="I2415" s="728"/>
      <c r="J2415" s="70">
        <f>J1700/'Terms and Turnovers'!$T167</f>
        <v>0</v>
      </c>
      <c r="K2415" s="728"/>
      <c r="L2415" s="70">
        <f>L1700/'Terms and Turnovers'!$T167</f>
        <v>0</v>
      </c>
      <c r="M2415" s="728"/>
      <c r="N2415" s="70">
        <f>N1700/'Terms and Turnovers'!$T167</f>
        <v>0</v>
      </c>
      <c r="O2415" s="728"/>
      <c r="P2415" s="70">
        <f>P1700/'Terms and Turnovers'!$T167</f>
        <v>0</v>
      </c>
      <c r="Q2415" s="728"/>
      <c r="R2415" s="132">
        <f>SUM(F2415,H2415,J2415,L2415,N2415,P2415)</f>
        <v>0</v>
      </c>
      <c r="S2415" s="728"/>
      <c r="T2415" s="70">
        <f>T1700/'Terms and Turnovers'!$T167</f>
        <v>0</v>
      </c>
      <c r="U2415" s="728"/>
      <c r="V2415" s="70">
        <f>V1700/'Terms and Turnovers'!$T167</f>
        <v>0</v>
      </c>
      <c r="W2415" s="728"/>
      <c r="X2415" s="70">
        <f>X1700/'Terms and Turnovers'!$T167</f>
        <v>0</v>
      </c>
      <c r="Y2415" s="728"/>
      <c r="Z2415" s="70">
        <f>Z1700/'Terms and Turnovers'!$T167</f>
        <v>0</v>
      </c>
      <c r="AA2415" s="728"/>
      <c r="AB2415" s="70">
        <f>AB1700/'Terms and Turnovers'!$T167</f>
        <v>0</v>
      </c>
      <c r="AC2415" s="728"/>
      <c r="AD2415" s="70">
        <f>AD1700/'Terms and Turnovers'!$T167</f>
        <v>0</v>
      </c>
      <c r="AE2415" s="728"/>
      <c r="AF2415" s="132">
        <f>SUM(T2415,V2415,X2415,Z2415,AB2415,AD2415)</f>
        <v>0</v>
      </c>
      <c r="AG2415" s="728"/>
      <c r="AH2415" s="133">
        <f>SUM(AF2415,R2415)</f>
        <v>0</v>
      </c>
      <c r="AI2415" s="728"/>
      <c r="AJ2415" s="65"/>
    </row>
    <row r="2416" spans="2:48" ht="12.75" hidden="1" customHeight="1" outlineLevel="1">
      <c r="B2416" s="82"/>
      <c r="C2416" s="1234"/>
      <c r="D2416" s="1234"/>
      <c r="E2416" s="84" t="str">
        <f>'Terms and Turnovers'!$AD$12</f>
        <v>ACCESSORIES</v>
      </c>
      <c r="F2416" s="68">
        <f>F1701/'Terms and Turnovers'!$AD167</f>
        <v>0</v>
      </c>
      <c r="G2416" s="728"/>
      <c r="H2416" s="68">
        <f>H1701/'Terms and Turnovers'!$AD167</f>
        <v>0</v>
      </c>
      <c r="I2416" s="728"/>
      <c r="J2416" s="68">
        <f>J1701/'Terms and Turnovers'!$AD167</f>
        <v>0</v>
      </c>
      <c r="K2416" s="728"/>
      <c r="L2416" s="68">
        <f>L1701/'Terms and Turnovers'!$AD167</f>
        <v>0</v>
      </c>
      <c r="M2416" s="728"/>
      <c r="N2416" s="68">
        <f>N1701/'Terms and Turnovers'!$AD167</f>
        <v>0</v>
      </c>
      <c r="O2416" s="728"/>
      <c r="P2416" s="68">
        <f>P1701/'Terms and Turnovers'!$AD167</f>
        <v>0</v>
      </c>
      <c r="Q2416" s="728"/>
      <c r="R2416" s="132">
        <f>SUM(F2416,H2416,J2416,L2416,N2416,P2416)</f>
        <v>0</v>
      </c>
      <c r="S2416" s="728"/>
      <c r="T2416" s="68">
        <f>T1701/'Terms and Turnovers'!$AD167</f>
        <v>0</v>
      </c>
      <c r="U2416" s="728"/>
      <c r="V2416" s="68">
        <f>V1701/'Terms and Turnovers'!$AD167</f>
        <v>0</v>
      </c>
      <c r="W2416" s="728"/>
      <c r="X2416" s="68">
        <f>X1701/'Terms and Turnovers'!$AD167</f>
        <v>0</v>
      </c>
      <c r="Y2416" s="728"/>
      <c r="Z2416" s="68">
        <f>Z1701/'Terms and Turnovers'!$AD167</f>
        <v>0</v>
      </c>
      <c r="AA2416" s="728"/>
      <c r="AB2416" s="68">
        <f>AB1701/'Terms and Turnovers'!$AD167</f>
        <v>0</v>
      </c>
      <c r="AC2416" s="728"/>
      <c r="AD2416" s="68">
        <f>AD1701/'Terms and Turnovers'!$AD167</f>
        <v>0</v>
      </c>
      <c r="AE2416" s="728"/>
      <c r="AF2416" s="132">
        <f>SUM(T2416,V2416,X2416,Z2416,AB2416,AD2416)</f>
        <v>0</v>
      </c>
      <c r="AG2416" s="728"/>
      <c r="AH2416" s="133">
        <f>SUM(AF2416,R2416)</f>
        <v>0</v>
      </c>
      <c r="AI2416" s="728"/>
      <c r="AJ2416" s="65"/>
    </row>
    <row r="2417" spans="2:48" ht="12.75" hidden="1" customHeight="1" outlineLevel="1" thickBot="1">
      <c r="B2417" s="82"/>
      <c r="C2417" s="1234"/>
      <c r="D2417" s="1234"/>
      <c r="E2417" s="84">
        <f>'Terms and Turnovers'!$AN$12</f>
        <v>0</v>
      </c>
      <c r="F2417" s="70">
        <f>F1702/'Terms and Turnovers'!$AN167</f>
        <v>0</v>
      </c>
      <c r="G2417" s="728"/>
      <c r="H2417" s="70">
        <f>H1702/'Terms and Turnovers'!$AN167</f>
        <v>0</v>
      </c>
      <c r="I2417" s="728"/>
      <c r="J2417" s="70">
        <f>J1702/'Terms and Turnovers'!$AN167</f>
        <v>0</v>
      </c>
      <c r="K2417" s="728"/>
      <c r="L2417" s="70">
        <f>L1702/'Terms and Turnovers'!$AN167</f>
        <v>0</v>
      </c>
      <c r="M2417" s="728"/>
      <c r="N2417" s="70">
        <f>N1702/'Terms and Turnovers'!$AN167</f>
        <v>0</v>
      </c>
      <c r="O2417" s="728"/>
      <c r="P2417" s="70">
        <f>P1702/'Terms and Turnovers'!$AN167</f>
        <v>0</v>
      </c>
      <c r="Q2417" s="728"/>
      <c r="R2417" s="132">
        <f>SUM(F2417,H2417,J2417,L2417,N2417,P2417)</f>
        <v>0</v>
      </c>
      <c r="S2417" s="728"/>
      <c r="T2417" s="70">
        <f>T1702/'Terms and Turnovers'!$AN167</f>
        <v>0</v>
      </c>
      <c r="U2417" s="728"/>
      <c r="V2417" s="70">
        <f>V1702/'Terms and Turnovers'!$AN167</f>
        <v>0</v>
      </c>
      <c r="W2417" s="728"/>
      <c r="X2417" s="70">
        <f>X1702/'Terms and Turnovers'!$AN167</f>
        <v>0</v>
      </c>
      <c r="Y2417" s="728"/>
      <c r="Z2417" s="70">
        <f>Z1702/'Terms and Turnovers'!$AN167</f>
        <v>0</v>
      </c>
      <c r="AA2417" s="728"/>
      <c r="AB2417" s="70">
        <f>AB1702/'Terms and Turnovers'!$AN167</f>
        <v>0</v>
      </c>
      <c r="AC2417" s="728"/>
      <c r="AD2417" s="70">
        <f>AD1702/'Terms and Turnovers'!$AN167</f>
        <v>0</v>
      </c>
      <c r="AE2417" s="728"/>
      <c r="AF2417" s="132">
        <f>SUM(T2417,V2417,X2417,Z2417,AB2417,AD2417)</f>
        <v>0</v>
      </c>
      <c r="AG2417" s="728"/>
      <c r="AH2417" s="133">
        <f>SUM(AF2417,R2417)</f>
        <v>0</v>
      </c>
      <c r="AI2417" s="728"/>
      <c r="AJ2417" s="65"/>
    </row>
    <row r="2418" spans="2:48" ht="13.5" hidden="1" customHeight="1" outlineLevel="1" thickBot="1">
      <c r="B2418" s="82"/>
      <c r="C2418" s="1235"/>
      <c r="D2418" s="1235"/>
      <c r="E2418" s="85">
        <f>'Terms and Turnovers'!$AX$12</f>
        <v>0</v>
      </c>
      <c r="F2418" s="68">
        <f>F1703/'Terms and Turnovers'!$AX167</f>
        <v>0</v>
      </c>
      <c r="G2418" s="107"/>
      <c r="H2418" s="68">
        <f>H1703/'Terms and Turnovers'!$AX167</f>
        <v>0</v>
      </c>
      <c r="I2418" s="107"/>
      <c r="J2418" s="68">
        <f>J1703/'Terms and Turnovers'!$AX167</f>
        <v>0</v>
      </c>
      <c r="K2418" s="107"/>
      <c r="L2418" s="68">
        <f>L1703/'Terms and Turnovers'!$AX167</f>
        <v>0</v>
      </c>
      <c r="M2418" s="107"/>
      <c r="N2418" s="68">
        <f>N1703/'Terms and Turnovers'!$AX167</f>
        <v>0</v>
      </c>
      <c r="O2418" s="107"/>
      <c r="P2418" s="68">
        <f>P1703/'Terms and Turnovers'!$AX167</f>
        <v>0</v>
      </c>
      <c r="Q2418" s="107"/>
      <c r="R2418" s="135">
        <f>SUM(F2418,H2418,J2418,L2418,N2418,P2418)</f>
        <v>0</v>
      </c>
      <c r="S2418" s="107"/>
      <c r="T2418" s="68">
        <f>T1703/'Terms and Turnovers'!$AX167</f>
        <v>0</v>
      </c>
      <c r="U2418" s="107"/>
      <c r="V2418" s="68">
        <f>V1703/'Terms and Turnovers'!$AX167</f>
        <v>0</v>
      </c>
      <c r="W2418" s="107"/>
      <c r="X2418" s="68">
        <f>X1703/'Terms and Turnovers'!$AX167</f>
        <v>0</v>
      </c>
      <c r="Y2418" s="107"/>
      <c r="Z2418" s="68">
        <f>Z1703/'Terms and Turnovers'!$AX167</f>
        <v>0</v>
      </c>
      <c r="AA2418" s="107"/>
      <c r="AB2418" s="68">
        <f>AB1703/'Terms and Turnovers'!$AX167</f>
        <v>0</v>
      </c>
      <c r="AC2418" s="107"/>
      <c r="AD2418" s="68">
        <f>AD1703/'Terms and Turnovers'!$AX167</f>
        <v>0</v>
      </c>
      <c r="AE2418" s="107"/>
      <c r="AF2418" s="135">
        <f>SUM(T2418,V2418,X2418,Z2418,AB2418,AD2418)</f>
        <v>0</v>
      </c>
      <c r="AG2418" s="107"/>
      <c r="AH2418" s="136">
        <f>SUM(AF2418,R2418)</f>
        <v>0</v>
      </c>
      <c r="AI2418" s="107"/>
      <c r="AJ2418" s="65"/>
    </row>
    <row r="2419" spans="2:48" ht="13.5" hidden="1" customHeight="1" outlineLevel="1">
      <c r="B2419" s="82"/>
      <c r="C2419" s="425"/>
      <c r="D2419" s="425"/>
      <c r="E2419" s="634"/>
      <c r="F2419" s="635"/>
      <c r="G2419" s="428"/>
      <c r="H2419" s="635"/>
      <c r="I2419" s="428"/>
      <c r="J2419" s="635"/>
      <c r="K2419" s="636"/>
      <c r="L2419" s="635"/>
      <c r="M2419" s="636"/>
      <c r="N2419" s="635"/>
      <c r="O2419" s="636"/>
      <c r="P2419" s="635"/>
      <c r="Q2419" s="636"/>
      <c r="R2419" s="637"/>
      <c r="S2419" s="698">
        <f>SUM(R1699:R1703)/1.18-(SUM(R2414:R2418)*'Mark Up Validation'!$M$175)</f>
        <v>0</v>
      </c>
      <c r="T2419" s="635"/>
      <c r="U2419" s="636"/>
      <c r="V2419" s="635"/>
      <c r="W2419" s="636"/>
      <c r="X2419" s="635"/>
      <c r="Y2419" s="636"/>
      <c r="Z2419" s="635"/>
      <c r="AA2419" s="636"/>
      <c r="AB2419" s="635"/>
      <c r="AC2419" s="636"/>
      <c r="AD2419" s="635"/>
      <c r="AE2419" s="636"/>
      <c r="AF2419" s="637"/>
      <c r="AG2419" s="698">
        <f>SUM(AF1699:AF1703)/1.18-SUM(AF2414:AF2418)*'Mark Up Validation'!$M$175</f>
        <v>0</v>
      </c>
      <c r="AH2419" s="638"/>
      <c r="AI2419" s="698">
        <f>SUM(AH1699:AH1703)/1.18-SUM(AH2414:AH2418)*'Mark Up Validation'!$M$175</f>
        <v>0</v>
      </c>
      <c r="AJ2419" s="65"/>
    </row>
    <row r="2420" spans="2:48" ht="13.5" hidden="1" customHeight="1" outlineLevel="1" thickBot="1">
      <c r="B2420" s="82"/>
      <c r="C2420" s="1228" t="s">
        <v>538</v>
      </c>
      <c r="D2420" s="1229"/>
      <c r="E2420" s="699"/>
      <c r="F2420" s="700"/>
      <c r="G2420" s="701"/>
      <c r="H2420" s="700"/>
      <c r="I2420" s="701"/>
      <c r="J2420" s="700"/>
      <c r="K2420" s="702"/>
      <c r="L2420" s="700"/>
      <c r="M2420" s="702"/>
      <c r="N2420" s="700"/>
      <c r="O2420" s="702"/>
      <c r="P2420" s="700"/>
      <c r="Q2420" s="702"/>
      <c r="R2420" s="703"/>
      <c r="S2420" s="729">
        <f>IF(S2419&gt;0,S2419/(SUM(R1699:R1703)/1.18),0)</f>
        <v>0</v>
      </c>
      <c r="T2420" s="700"/>
      <c r="U2420" s="702"/>
      <c r="V2420" s="700"/>
      <c r="W2420" s="702"/>
      <c r="X2420" s="700"/>
      <c r="Y2420" s="702"/>
      <c r="Z2420" s="700"/>
      <c r="AA2420" s="702"/>
      <c r="AB2420" s="700"/>
      <c r="AC2420" s="702"/>
      <c r="AD2420" s="700"/>
      <c r="AE2420" s="702"/>
      <c r="AF2420" s="705"/>
      <c r="AG2420" s="729">
        <f>IF(AG2419&gt;0,AG2419/(SUM(AF1699:AF1703)/1.18),0)</f>
        <v>0</v>
      </c>
      <c r="AH2420" s="706"/>
      <c r="AI2420" s="729">
        <f>IF(AI2419&gt;0,AI2419/(SUM(AH1699:AH1703)/1.18),0)</f>
        <v>0</v>
      </c>
      <c r="AJ2420" s="65"/>
    </row>
    <row r="2421" spans="2:48" ht="12.75" hidden="1" customHeight="1" outlineLevel="2">
      <c r="B2421" s="82">
        <f>B2414+1</f>
        <v>37</v>
      </c>
      <c r="C2421" s="1233">
        <f>C1706</f>
        <v>0</v>
      </c>
      <c r="D2421" s="1233">
        <f>D1706</f>
        <v>0</v>
      </c>
      <c r="E2421" s="83" t="str">
        <f>'Terms and Turnovers'!$J$12</f>
        <v>FLIP-FLOPS</v>
      </c>
      <c r="F2421" s="68">
        <f>F1706/'Terms and Turnovers'!$J168</f>
        <v>0</v>
      </c>
      <c r="G2421" s="106"/>
      <c r="H2421" s="68">
        <f>H1706/'Terms and Turnovers'!$J168</f>
        <v>0</v>
      </c>
      <c r="I2421" s="106"/>
      <c r="J2421" s="68">
        <f>J1706/'Terms and Turnovers'!$J168</f>
        <v>0</v>
      </c>
      <c r="K2421" s="106"/>
      <c r="L2421" s="68">
        <f>L1706/'Terms and Turnovers'!$J168</f>
        <v>0</v>
      </c>
      <c r="M2421" s="106"/>
      <c r="N2421" s="68">
        <f>N1706/'Terms and Turnovers'!$J168</f>
        <v>0</v>
      </c>
      <c r="O2421" s="106"/>
      <c r="P2421" s="68">
        <f>P1706/'Terms and Turnovers'!$J168</f>
        <v>0</v>
      </c>
      <c r="Q2421" s="106"/>
      <c r="R2421" s="129">
        <f>SUM(F2421,H2421,J2421,L2421,N2421,P2421)</f>
        <v>0</v>
      </c>
      <c r="S2421" s="106"/>
      <c r="T2421" s="68">
        <f>T1706/'Terms and Turnovers'!$J168</f>
        <v>0</v>
      </c>
      <c r="U2421" s="106"/>
      <c r="V2421" s="68">
        <f>V1706/'Terms and Turnovers'!$J168</f>
        <v>0</v>
      </c>
      <c r="W2421" s="106"/>
      <c r="X2421" s="68">
        <f>X1706/'Terms and Turnovers'!$J168</f>
        <v>0</v>
      </c>
      <c r="Y2421" s="106"/>
      <c r="Z2421" s="68">
        <f>Z1706/'Terms and Turnovers'!$J168</f>
        <v>0</v>
      </c>
      <c r="AA2421" s="106"/>
      <c r="AB2421" s="68">
        <f>AB1706/'Terms and Turnovers'!$J168</f>
        <v>0</v>
      </c>
      <c r="AC2421" s="106"/>
      <c r="AD2421" s="68">
        <f>AD1706/'Terms and Turnovers'!$J168</f>
        <v>0</v>
      </c>
      <c r="AE2421" s="106"/>
      <c r="AF2421" s="129">
        <f>SUM(T2421,V2421,X2421,Z2421,AB2421,AD2421)</f>
        <v>0</v>
      </c>
      <c r="AG2421" s="106"/>
      <c r="AH2421" s="130">
        <f>SUM(AF2421,R2421)</f>
        <v>0</v>
      </c>
      <c r="AI2421" s="106"/>
      <c r="AJ2421" s="65"/>
      <c r="AV2421" s="56"/>
    </row>
    <row r="2422" spans="2:48" ht="12.75" hidden="1" customHeight="1" outlineLevel="2" thickBot="1">
      <c r="B2422" s="82"/>
      <c r="C2422" s="1234"/>
      <c r="D2422" s="1234"/>
      <c r="E2422" s="84" t="str">
        <f>'Terms and Turnovers'!$T$12</f>
        <v>ORIGINALS</v>
      </c>
      <c r="F2422" s="70">
        <f>F1707/'Terms and Turnovers'!$T168</f>
        <v>0</v>
      </c>
      <c r="G2422" s="728"/>
      <c r="H2422" s="70">
        <f>H1707/'Terms and Turnovers'!$T168</f>
        <v>0</v>
      </c>
      <c r="I2422" s="728"/>
      <c r="J2422" s="70">
        <f>J1707/'Terms and Turnovers'!$T168</f>
        <v>0</v>
      </c>
      <c r="K2422" s="728"/>
      <c r="L2422" s="70">
        <f>L1707/'Terms and Turnovers'!$T168</f>
        <v>0</v>
      </c>
      <c r="M2422" s="728"/>
      <c r="N2422" s="70">
        <f>N1707/'Terms and Turnovers'!$T168</f>
        <v>0</v>
      </c>
      <c r="O2422" s="728"/>
      <c r="P2422" s="70">
        <f>P1707/'Terms and Turnovers'!$T168</f>
        <v>0</v>
      </c>
      <c r="Q2422" s="728"/>
      <c r="R2422" s="132">
        <f>SUM(F2422,H2422,J2422,L2422,N2422,P2422)</f>
        <v>0</v>
      </c>
      <c r="S2422" s="728"/>
      <c r="T2422" s="70">
        <f>T1707/'Terms and Turnovers'!$T168</f>
        <v>0</v>
      </c>
      <c r="U2422" s="728"/>
      <c r="V2422" s="70">
        <f>V1707/'Terms and Turnovers'!$T168</f>
        <v>0</v>
      </c>
      <c r="W2422" s="728"/>
      <c r="X2422" s="70">
        <f>X1707/'Terms and Turnovers'!$T168</f>
        <v>0</v>
      </c>
      <c r="Y2422" s="728"/>
      <c r="Z2422" s="70">
        <f>Z1707/'Terms and Turnovers'!$T168</f>
        <v>0</v>
      </c>
      <c r="AA2422" s="728"/>
      <c r="AB2422" s="70">
        <f>AB1707/'Terms and Turnovers'!$T168</f>
        <v>0</v>
      </c>
      <c r="AC2422" s="728"/>
      <c r="AD2422" s="70">
        <f>AD1707/'Terms and Turnovers'!$T168</f>
        <v>0</v>
      </c>
      <c r="AE2422" s="728"/>
      <c r="AF2422" s="132">
        <f>SUM(T2422,V2422,X2422,Z2422,AB2422,AD2422)</f>
        <v>0</v>
      </c>
      <c r="AG2422" s="728"/>
      <c r="AH2422" s="133">
        <f>SUM(AF2422,R2422)</f>
        <v>0</v>
      </c>
      <c r="AI2422" s="728"/>
      <c r="AJ2422" s="65"/>
      <c r="AV2422" s="56"/>
    </row>
    <row r="2423" spans="2:48" ht="12.75" hidden="1" customHeight="1" outlineLevel="2">
      <c r="B2423" s="82"/>
      <c r="C2423" s="1234"/>
      <c r="D2423" s="1234"/>
      <c r="E2423" s="84" t="str">
        <f>'Terms and Turnovers'!$AD$12</f>
        <v>ACCESSORIES</v>
      </c>
      <c r="F2423" s="68">
        <f>F1708/'Terms and Turnovers'!$AD168</f>
        <v>0</v>
      </c>
      <c r="G2423" s="728"/>
      <c r="H2423" s="68">
        <f>H1708/'Terms and Turnovers'!$AD168</f>
        <v>0</v>
      </c>
      <c r="I2423" s="728"/>
      <c r="J2423" s="68">
        <f>J1708/'Terms and Turnovers'!$AD168</f>
        <v>0</v>
      </c>
      <c r="K2423" s="728"/>
      <c r="L2423" s="68">
        <f>L1708/'Terms and Turnovers'!$AD168</f>
        <v>0</v>
      </c>
      <c r="M2423" s="728"/>
      <c r="N2423" s="68">
        <f>N1708/'Terms and Turnovers'!$AD168</f>
        <v>0</v>
      </c>
      <c r="O2423" s="728"/>
      <c r="P2423" s="68">
        <f>P1708/'Terms and Turnovers'!$AD168</f>
        <v>0</v>
      </c>
      <c r="Q2423" s="728"/>
      <c r="R2423" s="132">
        <f>SUM(F2423,H2423,J2423,L2423,N2423,P2423)</f>
        <v>0</v>
      </c>
      <c r="S2423" s="728"/>
      <c r="T2423" s="68">
        <f>T1708/'Terms and Turnovers'!$AD168</f>
        <v>0</v>
      </c>
      <c r="U2423" s="728"/>
      <c r="V2423" s="68">
        <f>V1708/'Terms and Turnovers'!$AD168</f>
        <v>0</v>
      </c>
      <c r="W2423" s="728"/>
      <c r="X2423" s="68">
        <f>X1708/'Terms and Turnovers'!$AD168</f>
        <v>0</v>
      </c>
      <c r="Y2423" s="728"/>
      <c r="Z2423" s="68">
        <f>Z1708/'Terms and Turnovers'!$AD168</f>
        <v>0</v>
      </c>
      <c r="AA2423" s="728"/>
      <c r="AB2423" s="68">
        <f>AB1708/'Terms and Turnovers'!$AD168</f>
        <v>0</v>
      </c>
      <c r="AC2423" s="728"/>
      <c r="AD2423" s="68">
        <f>AD1708/'Terms and Turnovers'!$AD168</f>
        <v>0</v>
      </c>
      <c r="AE2423" s="728"/>
      <c r="AF2423" s="132">
        <f>SUM(T2423,V2423,X2423,Z2423,AB2423,AD2423)</f>
        <v>0</v>
      </c>
      <c r="AG2423" s="728"/>
      <c r="AH2423" s="133">
        <f>SUM(AF2423,R2423)</f>
        <v>0</v>
      </c>
      <c r="AI2423" s="728"/>
      <c r="AJ2423" s="65"/>
      <c r="AV2423" s="56"/>
    </row>
    <row r="2424" spans="2:48" ht="12.75" hidden="1" customHeight="1" outlineLevel="2" thickBot="1">
      <c r="B2424" s="82"/>
      <c r="C2424" s="1234"/>
      <c r="D2424" s="1234"/>
      <c r="E2424" s="84">
        <f>'Terms and Turnovers'!$AN$12</f>
        <v>0</v>
      </c>
      <c r="F2424" s="70">
        <f>F1709/'Terms and Turnovers'!$AN168</f>
        <v>0</v>
      </c>
      <c r="G2424" s="728"/>
      <c r="H2424" s="70">
        <f>H1709/'Terms and Turnovers'!$AN168</f>
        <v>0</v>
      </c>
      <c r="I2424" s="728"/>
      <c r="J2424" s="70">
        <f>J1709/'Terms and Turnovers'!$AN168</f>
        <v>0</v>
      </c>
      <c r="K2424" s="728"/>
      <c r="L2424" s="70">
        <f>L1709/'Terms and Turnovers'!$AN168</f>
        <v>0</v>
      </c>
      <c r="M2424" s="728"/>
      <c r="N2424" s="70">
        <f>N1709/'Terms and Turnovers'!$AN168</f>
        <v>0</v>
      </c>
      <c r="O2424" s="728"/>
      <c r="P2424" s="70">
        <f>P1709/'Terms and Turnovers'!$AN168</f>
        <v>0</v>
      </c>
      <c r="Q2424" s="728"/>
      <c r="R2424" s="132">
        <f>SUM(F2424,H2424,J2424,L2424,N2424,P2424)</f>
        <v>0</v>
      </c>
      <c r="S2424" s="728"/>
      <c r="T2424" s="70">
        <f>T1709/'Terms and Turnovers'!$AN168</f>
        <v>0</v>
      </c>
      <c r="U2424" s="728"/>
      <c r="V2424" s="70">
        <f>V1709/'Terms and Turnovers'!$AN168</f>
        <v>0</v>
      </c>
      <c r="W2424" s="728"/>
      <c r="X2424" s="70">
        <f>X1709/'Terms and Turnovers'!$AN168</f>
        <v>0</v>
      </c>
      <c r="Y2424" s="728"/>
      <c r="Z2424" s="70">
        <f>Z1709/'Terms and Turnovers'!$AN168</f>
        <v>0</v>
      </c>
      <c r="AA2424" s="728"/>
      <c r="AB2424" s="70">
        <f>AB1709/'Terms and Turnovers'!$AN168</f>
        <v>0</v>
      </c>
      <c r="AC2424" s="728"/>
      <c r="AD2424" s="70">
        <f>AD1709/'Terms and Turnovers'!$AN168</f>
        <v>0</v>
      </c>
      <c r="AE2424" s="728"/>
      <c r="AF2424" s="132">
        <f>SUM(T2424,V2424,X2424,Z2424,AB2424,AD2424)</f>
        <v>0</v>
      </c>
      <c r="AG2424" s="728"/>
      <c r="AH2424" s="133">
        <f>SUM(AF2424,R2424)</f>
        <v>0</v>
      </c>
      <c r="AI2424" s="728"/>
      <c r="AJ2424" s="65"/>
      <c r="AV2424" s="56"/>
    </row>
    <row r="2425" spans="2:48" ht="13.5" hidden="1" customHeight="1" outlineLevel="2" thickBot="1">
      <c r="B2425" s="82"/>
      <c r="C2425" s="1235"/>
      <c r="D2425" s="1235"/>
      <c r="E2425" s="85">
        <f>'Terms and Turnovers'!$AX$12</f>
        <v>0</v>
      </c>
      <c r="F2425" s="68">
        <f>F1710/'Terms and Turnovers'!$AX168</f>
        <v>0</v>
      </c>
      <c r="G2425" s="107"/>
      <c r="H2425" s="68">
        <f>H1710/'Terms and Turnovers'!$AX168</f>
        <v>0</v>
      </c>
      <c r="I2425" s="107"/>
      <c r="J2425" s="68">
        <f>J1710/'Terms and Turnovers'!$AX168</f>
        <v>0</v>
      </c>
      <c r="K2425" s="107"/>
      <c r="L2425" s="68">
        <f>L1710/'Terms and Turnovers'!$AX168</f>
        <v>0</v>
      </c>
      <c r="M2425" s="107"/>
      <c r="N2425" s="68">
        <f>N1710/'Terms and Turnovers'!$AX168</f>
        <v>0</v>
      </c>
      <c r="O2425" s="107"/>
      <c r="P2425" s="68">
        <f>P1710/'Terms and Turnovers'!$AX168</f>
        <v>0</v>
      </c>
      <c r="Q2425" s="107"/>
      <c r="R2425" s="135">
        <f>SUM(F2425,H2425,J2425,L2425,N2425,P2425)</f>
        <v>0</v>
      </c>
      <c r="S2425" s="107"/>
      <c r="T2425" s="68">
        <f>T1710/'Terms and Turnovers'!$AX168</f>
        <v>0</v>
      </c>
      <c r="U2425" s="107"/>
      <c r="V2425" s="68">
        <f>V1710/'Terms and Turnovers'!$AX168</f>
        <v>0</v>
      </c>
      <c r="W2425" s="107"/>
      <c r="X2425" s="68">
        <f>X1710/'Terms and Turnovers'!$AX168</f>
        <v>0</v>
      </c>
      <c r="Y2425" s="107"/>
      <c r="Z2425" s="68">
        <f>Z1710/'Terms and Turnovers'!$AX168</f>
        <v>0</v>
      </c>
      <c r="AA2425" s="107"/>
      <c r="AB2425" s="68">
        <f>AB1710/'Terms and Turnovers'!$AX168</f>
        <v>0</v>
      </c>
      <c r="AC2425" s="107"/>
      <c r="AD2425" s="68">
        <f>AD1710/'Terms and Turnovers'!$AX168</f>
        <v>0</v>
      </c>
      <c r="AE2425" s="107"/>
      <c r="AF2425" s="135">
        <f>SUM(T2425,V2425,X2425,Z2425,AB2425,AD2425)</f>
        <v>0</v>
      </c>
      <c r="AG2425" s="107"/>
      <c r="AH2425" s="136">
        <f>SUM(AF2425,R2425)</f>
        <v>0</v>
      </c>
      <c r="AI2425" s="107"/>
      <c r="AJ2425" s="65"/>
      <c r="AV2425" s="56"/>
    </row>
    <row r="2426" spans="2:48" ht="13.5" hidden="1" customHeight="1" outlineLevel="2">
      <c r="B2426" s="82"/>
      <c r="C2426" s="425"/>
      <c r="D2426" s="425"/>
      <c r="E2426" s="634"/>
      <c r="F2426" s="635"/>
      <c r="G2426" s="428"/>
      <c r="H2426" s="635"/>
      <c r="I2426" s="428"/>
      <c r="J2426" s="635"/>
      <c r="K2426" s="636"/>
      <c r="L2426" s="635"/>
      <c r="M2426" s="636"/>
      <c r="N2426" s="635"/>
      <c r="O2426" s="636"/>
      <c r="P2426" s="635"/>
      <c r="Q2426" s="636"/>
      <c r="R2426" s="637"/>
      <c r="S2426" s="698">
        <f>SUM(R1706:R1710)/1.18-(SUM(R2421:R2425)*'Mark Up Validation'!$M$175)</f>
        <v>0</v>
      </c>
      <c r="T2426" s="635"/>
      <c r="U2426" s="636"/>
      <c r="V2426" s="635"/>
      <c r="W2426" s="636"/>
      <c r="X2426" s="635"/>
      <c r="Y2426" s="636"/>
      <c r="Z2426" s="635"/>
      <c r="AA2426" s="636"/>
      <c r="AB2426" s="635"/>
      <c r="AC2426" s="636"/>
      <c r="AD2426" s="635"/>
      <c r="AE2426" s="636"/>
      <c r="AF2426" s="637"/>
      <c r="AG2426" s="698">
        <f>SUM(AF1706:AF1710)/1.18-SUM(AF2421:AF2425)*'Mark Up Validation'!$M$175</f>
        <v>0</v>
      </c>
      <c r="AH2426" s="638"/>
      <c r="AI2426" s="698">
        <f>SUM(AH1706:AH1710)/1.18-SUM(AH2421:AH2425)*'Mark Up Validation'!$M$175</f>
        <v>0</v>
      </c>
      <c r="AJ2426" s="65"/>
      <c r="AV2426" s="56"/>
    </row>
    <row r="2427" spans="2:48" ht="13.5" hidden="1" customHeight="1" outlineLevel="2" thickBot="1">
      <c r="B2427" s="82"/>
      <c r="C2427" s="1228" t="s">
        <v>538</v>
      </c>
      <c r="D2427" s="1229"/>
      <c r="E2427" s="699"/>
      <c r="F2427" s="700"/>
      <c r="G2427" s="701"/>
      <c r="H2427" s="700"/>
      <c r="I2427" s="701"/>
      <c r="J2427" s="700"/>
      <c r="K2427" s="702"/>
      <c r="L2427" s="700"/>
      <c r="M2427" s="702"/>
      <c r="N2427" s="700"/>
      <c r="O2427" s="702"/>
      <c r="P2427" s="700"/>
      <c r="Q2427" s="702"/>
      <c r="R2427" s="703"/>
      <c r="S2427" s="729">
        <f>IF(S2426&gt;0,S2426/(SUM(R1706:R1710)/1.18),0)</f>
        <v>0</v>
      </c>
      <c r="T2427" s="700"/>
      <c r="U2427" s="702"/>
      <c r="V2427" s="700"/>
      <c r="W2427" s="702"/>
      <c r="X2427" s="700"/>
      <c r="Y2427" s="702"/>
      <c r="Z2427" s="700"/>
      <c r="AA2427" s="702"/>
      <c r="AB2427" s="700"/>
      <c r="AC2427" s="702"/>
      <c r="AD2427" s="700"/>
      <c r="AE2427" s="702"/>
      <c r="AF2427" s="705"/>
      <c r="AG2427" s="729">
        <f>IF(AG2426&gt;0,AG2426/(SUM(AF1706:AF1710)/1.18),0)</f>
        <v>0</v>
      </c>
      <c r="AH2427" s="706"/>
      <c r="AI2427" s="729">
        <f>IF(AI2426&gt;0,AI2426/(SUM(AH1706:AH1710)/1.18),0)</f>
        <v>0</v>
      </c>
      <c r="AJ2427" s="65"/>
      <c r="AV2427" s="56"/>
    </row>
    <row r="2428" spans="2:48" ht="12.75" hidden="1" customHeight="1" outlineLevel="2">
      <c r="B2428" s="82">
        <f>B2421+1</f>
        <v>38</v>
      </c>
      <c r="C2428" s="1233">
        <f>C1713</f>
        <v>0</v>
      </c>
      <c r="D2428" s="1233">
        <f>D1713</f>
        <v>0</v>
      </c>
      <c r="E2428" s="83" t="str">
        <f>'Terms and Turnovers'!$J$12</f>
        <v>FLIP-FLOPS</v>
      </c>
      <c r="F2428" s="68">
        <f>F1713/'Terms and Turnovers'!$J169</f>
        <v>0</v>
      </c>
      <c r="G2428" s="106"/>
      <c r="H2428" s="68">
        <f>H1713/'Terms and Turnovers'!$J169</f>
        <v>0</v>
      </c>
      <c r="I2428" s="106"/>
      <c r="J2428" s="68">
        <f>J1713/'Terms and Turnovers'!$J169</f>
        <v>0</v>
      </c>
      <c r="K2428" s="106"/>
      <c r="L2428" s="68">
        <f>L1713/'Terms and Turnovers'!$J169</f>
        <v>0</v>
      </c>
      <c r="M2428" s="106"/>
      <c r="N2428" s="68">
        <f>N1713/'Terms and Turnovers'!$J169</f>
        <v>0</v>
      </c>
      <c r="O2428" s="106"/>
      <c r="P2428" s="68">
        <f>P1713/'Terms and Turnovers'!$J169</f>
        <v>0</v>
      </c>
      <c r="Q2428" s="106"/>
      <c r="R2428" s="129">
        <f>SUM(F2428,H2428,J2428,L2428,N2428,P2428)</f>
        <v>0</v>
      </c>
      <c r="S2428" s="106"/>
      <c r="T2428" s="68">
        <f>T1713/'Terms and Turnovers'!$J169</f>
        <v>0</v>
      </c>
      <c r="U2428" s="106"/>
      <c r="V2428" s="68">
        <f>V1713/'Terms and Turnovers'!$J169</f>
        <v>0</v>
      </c>
      <c r="W2428" s="106"/>
      <c r="X2428" s="68">
        <f>X1713/'Terms and Turnovers'!$J169</f>
        <v>0</v>
      </c>
      <c r="Y2428" s="106"/>
      <c r="Z2428" s="68">
        <f>Z1713/'Terms and Turnovers'!$J169</f>
        <v>0</v>
      </c>
      <c r="AA2428" s="106"/>
      <c r="AB2428" s="68">
        <f>AB1713/'Terms and Turnovers'!$J169</f>
        <v>0</v>
      </c>
      <c r="AC2428" s="106"/>
      <c r="AD2428" s="68">
        <f>AD1713/'Terms and Turnovers'!$J169</f>
        <v>0</v>
      </c>
      <c r="AE2428" s="106"/>
      <c r="AF2428" s="129">
        <f>SUM(T2428,V2428,X2428,Z2428,AB2428,AD2428)</f>
        <v>0</v>
      </c>
      <c r="AG2428" s="106"/>
      <c r="AH2428" s="130">
        <f>SUM(AF2428,R2428)</f>
        <v>0</v>
      </c>
      <c r="AI2428" s="106"/>
      <c r="AJ2428" s="65"/>
      <c r="AV2428" s="56"/>
    </row>
    <row r="2429" spans="2:48" ht="12.75" hidden="1" customHeight="1" outlineLevel="2" thickBot="1">
      <c r="B2429" s="82"/>
      <c r="C2429" s="1234"/>
      <c r="D2429" s="1234"/>
      <c r="E2429" s="84" t="str">
        <f>'Terms and Turnovers'!$T$12</f>
        <v>ORIGINALS</v>
      </c>
      <c r="F2429" s="70">
        <f>F1714/'Terms and Turnovers'!$T169</f>
        <v>0</v>
      </c>
      <c r="G2429" s="728"/>
      <c r="H2429" s="70">
        <f>H1714/'Terms and Turnovers'!$T169</f>
        <v>0</v>
      </c>
      <c r="I2429" s="728"/>
      <c r="J2429" s="70">
        <f>J1714/'Terms and Turnovers'!$T169</f>
        <v>0</v>
      </c>
      <c r="K2429" s="728"/>
      <c r="L2429" s="70">
        <f>L1714/'Terms and Turnovers'!$T169</f>
        <v>0</v>
      </c>
      <c r="M2429" s="728"/>
      <c r="N2429" s="70">
        <f>N1714/'Terms and Turnovers'!$T169</f>
        <v>0</v>
      </c>
      <c r="O2429" s="728"/>
      <c r="P2429" s="70">
        <f>P1714/'Terms and Turnovers'!$T169</f>
        <v>0</v>
      </c>
      <c r="Q2429" s="728"/>
      <c r="R2429" s="132">
        <f>SUM(F2429,H2429,J2429,L2429,N2429,P2429)</f>
        <v>0</v>
      </c>
      <c r="S2429" s="728"/>
      <c r="T2429" s="70">
        <f>T1714/'Terms and Turnovers'!$T169</f>
        <v>0</v>
      </c>
      <c r="U2429" s="728"/>
      <c r="V2429" s="70">
        <f>V1714/'Terms and Turnovers'!$T169</f>
        <v>0</v>
      </c>
      <c r="W2429" s="728"/>
      <c r="X2429" s="70">
        <f>X1714/'Terms and Turnovers'!$T169</f>
        <v>0</v>
      </c>
      <c r="Y2429" s="728"/>
      <c r="Z2429" s="70">
        <f>Z1714/'Terms and Turnovers'!$T169</f>
        <v>0</v>
      </c>
      <c r="AA2429" s="728"/>
      <c r="AB2429" s="70">
        <f>AB1714/'Terms and Turnovers'!$T169</f>
        <v>0</v>
      </c>
      <c r="AC2429" s="728"/>
      <c r="AD2429" s="70">
        <f>AD1714/'Terms and Turnovers'!$T169</f>
        <v>0</v>
      </c>
      <c r="AE2429" s="728"/>
      <c r="AF2429" s="132">
        <f>SUM(T2429,V2429,X2429,Z2429,AB2429,AD2429)</f>
        <v>0</v>
      </c>
      <c r="AG2429" s="728"/>
      <c r="AH2429" s="133">
        <f>SUM(AF2429,R2429)</f>
        <v>0</v>
      </c>
      <c r="AI2429" s="728"/>
      <c r="AJ2429" s="65"/>
      <c r="AV2429" s="56"/>
    </row>
    <row r="2430" spans="2:48" ht="12.75" hidden="1" customHeight="1" outlineLevel="2">
      <c r="B2430" s="82"/>
      <c r="C2430" s="1234"/>
      <c r="D2430" s="1234"/>
      <c r="E2430" s="84" t="str">
        <f>'Terms and Turnovers'!$AD$12</f>
        <v>ACCESSORIES</v>
      </c>
      <c r="F2430" s="68">
        <f>F1715/'Terms and Turnovers'!$AD169</f>
        <v>0</v>
      </c>
      <c r="G2430" s="728"/>
      <c r="H2430" s="68">
        <f>H1715/'Terms and Turnovers'!$AD169</f>
        <v>0</v>
      </c>
      <c r="I2430" s="728"/>
      <c r="J2430" s="68">
        <f>J1715/'Terms and Turnovers'!$AD169</f>
        <v>0</v>
      </c>
      <c r="K2430" s="728"/>
      <c r="L2430" s="68">
        <f>L1715/'Terms and Turnovers'!$AD169</f>
        <v>0</v>
      </c>
      <c r="M2430" s="728"/>
      <c r="N2430" s="68">
        <f>N1715/'Terms and Turnovers'!$AD169</f>
        <v>0</v>
      </c>
      <c r="O2430" s="728"/>
      <c r="P2430" s="68">
        <f>P1715/'Terms and Turnovers'!$AD169</f>
        <v>0</v>
      </c>
      <c r="Q2430" s="728"/>
      <c r="R2430" s="132">
        <f>SUM(F2430,H2430,J2430,L2430,N2430,P2430)</f>
        <v>0</v>
      </c>
      <c r="S2430" s="728"/>
      <c r="T2430" s="68">
        <f>T1715/'Terms and Turnovers'!$AD169</f>
        <v>0</v>
      </c>
      <c r="U2430" s="728"/>
      <c r="V2430" s="68">
        <f>V1715/'Terms and Turnovers'!$AD169</f>
        <v>0</v>
      </c>
      <c r="W2430" s="728"/>
      <c r="X2430" s="68">
        <f>X1715/'Terms and Turnovers'!$AD169</f>
        <v>0</v>
      </c>
      <c r="Y2430" s="728"/>
      <c r="Z2430" s="68">
        <f>Z1715/'Terms and Turnovers'!$AD169</f>
        <v>0</v>
      </c>
      <c r="AA2430" s="728"/>
      <c r="AB2430" s="68">
        <f>AB1715/'Terms and Turnovers'!$AD169</f>
        <v>0</v>
      </c>
      <c r="AC2430" s="728"/>
      <c r="AD2430" s="68">
        <f>AD1715/'Terms and Turnovers'!$AD169</f>
        <v>0</v>
      </c>
      <c r="AE2430" s="728"/>
      <c r="AF2430" s="132">
        <f>SUM(T2430,V2430,X2430,Z2430,AB2430,AD2430)</f>
        <v>0</v>
      </c>
      <c r="AG2430" s="728"/>
      <c r="AH2430" s="133">
        <f>SUM(AF2430,R2430)</f>
        <v>0</v>
      </c>
      <c r="AI2430" s="728"/>
      <c r="AJ2430" s="65"/>
      <c r="AV2430" s="56"/>
    </row>
    <row r="2431" spans="2:48" ht="12.75" hidden="1" customHeight="1" outlineLevel="2" thickBot="1">
      <c r="B2431" s="82"/>
      <c r="C2431" s="1234"/>
      <c r="D2431" s="1234"/>
      <c r="E2431" s="84">
        <f>'Terms and Turnovers'!$AN$12</f>
        <v>0</v>
      </c>
      <c r="F2431" s="70">
        <f>F1716/'Terms and Turnovers'!$AN169</f>
        <v>0</v>
      </c>
      <c r="G2431" s="728"/>
      <c r="H2431" s="70">
        <f>H1716/'Terms and Turnovers'!$AN169</f>
        <v>0</v>
      </c>
      <c r="I2431" s="728"/>
      <c r="J2431" s="70">
        <f>J1716/'Terms and Turnovers'!$AN169</f>
        <v>0</v>
      </c>
      <c r="K2431" s="728"/>
      <c r="L2431" s="70">
        <f>L1716/'Terms and Turnovers'!$AN169</f>
        <v>0</v>
      </c>
      <c r="M2431" s="728"/>
      <c r="N2431" s="70">
        <f>N1716/'Terms and Turnovers'!$AN169</f>
        <v>0</v>
      </c>
      <c r="O2431" s="728"/>
      <c r="P2431" s="70">
        <f>P1716/'Terms and Turnovers'!$AN169</f>
        <v>0</v>
      </c>
      <c r="Q2431" s="728"/>
      <c r="R2431" s="132">
        <f>SUM(F2431,H2431,J2431,L2431,N2431,P2431)</f>
        <v>0</v>
      </c>
      <c r="S2431" s="728"/>
      <c r="T2431" s="70">
        <f>T1716/'Terms and Turnovers'!$AN169</f>
        <v>0</v>
      </c>
      <c r="U2431" s="728"/>
      <c r="V2431" s="70">
        <f>V1716/'Terms and Turnovers'!$AN169</f>
        <v>0</v>
      </c>
      <c r="W2431" s="728"/>
      <c r="X2431" s="70">
        <f>X1716/'Terms and Turnovers'!$AN169</f>
        <v>0</v>
      </c>
      <c r="Y2431" s="728"/>
      <c r="Z2431" s="70">
        <f>Z1716/'Terms and Turnovers'!$AN169</f>
        <v>0</v>
      </c>
      <c r="AA2431" s="728"/>
      <c r="AB2431" s="70">
        <f>AB1716/'Terms and Turnovers'!$AN169</f>
        <v>0</v>
      </c>
      <c r="AC2431" s="728"/>
      <c r="AD2431" s="70">
        <f>AD1716/'Terms and Turnovers'!$AN169</f>
        <v>0</v>
      </c>
      <c r="AE2431" s="728"/>
      <c r="AF2431" s="132">
        <f>SUM(T2431,V2431,X2431,Z2431,AB2431,AD2431)</f>
        <v>0</v>
      </c>
      <c r="AG2431" s="728"/>
      <c r="AH2431" s="133">
        <f>SUM(AF2431,R2431)</f>
        <v>0</v>
      </c>
      <c r="AI2431" s="728"/>
      <c r="AJ2431" s="65"/>
      <c r="AV2431" s="56"/>
    </row>
    <row r="2432" spans="2:48" ht="13.5" hidden="1" customHeight="1" outlineLevel="2" thickBot="1">
      <c r="B2432" s="82"/>
      <c r="C2432" s="1235"/>
      <c r="D2432" s="1235"/>
      <c r="E2432" s="85">
        <f>'Terms and Turnovers'!$AX$12</f>
        <v>0</v>
      </c>
      <c r="F2432" s="68">
        <f>F1717/'Terms and Turnovers'!$AX169</f>
        <v>0</v>
      </c>
      <c r="G2432" s="107"/>
      <c r="H2432" s="68">
        <f>H1717/'Terms and Turnovers'!$AX169</f>
        <v>0</v>
      </c>
      <c r="I2432" s="107"/>
      <c r="J2432" s="68">
        <f>J1717/'Terms and Turnovers'!$AX169</f>
        <v>0</v>
      </c>
      <c r="K2432" s="107"/>
      <c r="L2432" s="68">
        <f>L1717/'Terms and Turnovers'!$AX169</f>
        <v>0</v>
      </c>
      <c r="M2432" s="107"/>
      <c r="N2432" s="68">
        <f>N1717/'Terms and Turnovers'!$AX169</f>
        <v>0</v>
      </c>
      <c r="O2432" s="107"/>
      <c r="P2432" s="68">
        <f>P1717/'Terms and Turnovers'!$AX169</f>
        <v>0</v>
      </c>
      <c r="Q2432" s="107"/>
      <c r="R2432" s="135">
        <f>SUM(F2432,H2432,J2432,L2432,N2432,P2432)</f>
        <v>0</v>
      </c>
      <c r="S2432" s="107"/>
      <c r="T2432" s="68">
        <f>T1717/'Terms and Turnovers'!$AX169</f>
        <v>0</v>
      </c>
      <c r="U2432" s="107"/>
      <c r="V2432" s="68">
        <f>V1717/'Terms and Turnovers'!$AX169</f>
        <v>0</v>
      </c>
      <c r="W2432" s="107"/>
      <c r="X2432" s="68">
        <f>X1717/'Terms and Turnovers'!$AX169</f>
        <v>0</v>
      </c>
      <c r="Y2432" s="107"/>
      <c r="Z2432" s="68">
        <f>Z1717/'Terms and Turnovers'!$AX169</f>
        <v>0</v>
      </c>
      <c r="AA2432" s="107"/>
      <c r="AB2432" s="68">
        <f>AB1717/'Terms and Turnovers'!$AX169</f>
        <v>0</v>
      </c>
      <c r="AC2432" s="107"/>
      <c r="AD2432" s="68">
        <f>AD1717/'Terms and Turnovers'!$AX169</f>
        <v>0</v>
      </c>
      <c r="AE2432" s="107"/>
      <c r="AF2432" s="135">
        <f>SUM(T2432,V2432,X2432,Z2432,AB2432,AD2432)</f>
        <v>0</v>
      </c>
      <c r="AG2432" s="107"/>
      <c r="AH2432" s="136">
        <f>SUM(AF2432,R2432)</f>
        <v>0</v>
      </c>
      <c r="AI2432" s="107"/>
      <c r="AJ2432" s="65"/>
      <c r="AV2432" s="56"/>
    </row>
    <row r="2433" spans="2:48" ht="13.5" hidden="1" customHeight="1" outlineLevel="2">
      <c r="B2433" s="82"/>
      <c r="C2433" s="425"/>
      <c r="D2433" s="425"/>
      <c r="E2433" s="634"/>
      <c r="F2433" s="635"/>
      <c r="G2433" s="428"/>
      <c r="H2433" s="635"/>
      <c r="I2433" s="428"/>
      <c r="J2433" s="635"/>
      <c r="K2433" s="636"/>
      <c r="L2433" s="635"/>
      <c r="M2433" s="636"/>
      <c r="N2433" s="635"/>
      <c r="O2433" s="636"/>
      <c r="P2433" s="635"/>
      <c r="Q2433" s="636"/>
      <c r="R2433" s="637"/>
      <c r="S2433" s="698">
        <f>SUM(R1713:R1717)/1.18-(SUM(R2428:R2432)*'Mark Up Validation'!$M$175)</f>
        <v>0</v>
      </c>
      <c r="T2433" s="635"/>
      <c r="U2433" s="636"/>
      <c r="V2433" s="635"/>
      <c r="W2433" s="636"/>
      <c r="X2433" s="635"/>
      <c r="Y2433" s="636"/>
      <c r="Z2433" s="635"/>
      <c r="AA2433" s="636"/>
      <c r="AB2433" s="635"/>
      <c r="AC2433" s="636"/>
      <c r="AD2433" s="635"/>
      <c r="AE2433" s="636"/>
      <c r="AF2433" s="637"/>
      <c r="AG2433" s="698">
        <f>SUM(AF1713:AF1717)/1.18-SUM(AF2428:AF2432)*'Mark Up Validation'!$M$175</f>
        <v>0</v>
      </c>
      <c r="AH2433" s="638"/>
      <c r="AI2433" s="698">
        <f>SUM(AH1713:AH1717)/1.18-SUM(AH2428:AH2432)*'Mark Up Validation'!$M$175</f>
        <v>0</v>
      </c>
      <c r="AJ2433" s="65"/>
      <c r="AV2433" s="56"/>
    </row>
    <row r="2434" spans="2:48" ht="13.5" hidden="1" customHeight="1" outlineLevel="2" thickBot="1">
      <c r="B2434" s="82"/>
      <c r="C2434" s="1228" t="s">
        <v>538</v>
      </c>
      <c r="D2434" s="1229"/>
      <c r="E2434" s="699"/>
      <c r="F2434" s="700"/>
      <c r="G2434" s="701"/>
      <c r="H2434" s="700"/>
      <c r="I2434" s="701"/>
      <c r="J2434" s="700"/>
      <c r="K2434" s="702"/>
      <c r="L2434" s="700"/>
      <c r="M2434" s="702"/>
      <c r="N2434" s="700"/>
      <c r="O2434" s="702"/>
      <c r="P2434" s="700"/>
      <c r="Q2434" s="702"/>
      <c r="R2434" s="703"/>
      <c r="S2434" s="729">
        <f>IF(S2433&gt;0,S2433/(SUM(R1713:R1717)/1.18),0)</f>
        <v>0</v>
      </c>
      <c r="T2434" s="700"/>
      <c r="U2434" s="702"/>
      <c r="V2434" s="700"/>
      <c r="W2434" s="702"/>
      <c r="X2434" s="700"/>
      <c r="Y2434" s="702"/>
      <c r="Z2434" s="700"/>
      <c r="AA2434" s="702"/>
      <c r="AB2434" s="700"/>
      <c r="AC2434" s="702"/>
      <c r="AD2434" s="700"/>
      <c r="AE2434" s="702"/>
      <c r="AF2434" s="705"/>
      <c r="AG2434" s="729">
        <f>IF(AG2433&gt;0,AG2433/(SUM(AF1713:AF1717)/1.18),0)</f>
        <v>0</v>
      </c>
      <c r="AH2434" s="706"/>
      <c r="AI2434" s="729">
        <f>IF(AI2433&gt;0,AI2433/(SUM(AH1713:AH1717)/1.18),0)</f>
        <v>0</v>
      </c>
      <c r="AJ2434" s="65"/>
      <c r="AV2434" s="56"/>
    </row>
    <row r="2435" spans="2:48" ht="12.75" hidden="1" customHeight="1" outlineLevel="2">
      <c r="B2435" s="82">
        <f>B2428+1</f>
        <v>39</v>
      </c>
      <c r="C2435" s="1233">
        <f>C1720</f>
        <v>0</v>
      </c>
      <c r="D2435" s="1233">
        <f>D1720</f>
        <v>0</v>
      </c>
      <c r="E2435" s="83" t="str">
        <f>'Terms and Turnovers'!$J$12</f>
        <v>FLIP-FLOPS</v>
      </c>
      <c r="F2435" s="68">
        <f>F1720/'Terms and Turnovers'!$J170</f>
        <v>0</v>
      </c>
      <c r="G2435" s="106"/>
      <c r="H2435" s="68">
        <f>H1720/'Terms and Turnovers'!$J170</f>
        <v>0</v>
      </c>
      <c r="I2435" s="106"/>
      <c r="J2435" s="68">
        <f>J1720/'Terms and Turnovers'!$J170</f>
        <v>0</v>
      </c>
      <c r="K2435" s="106"/>
      <c r="L2435" s="68">
        <f>L1720/'Terms and Turnovers'!$J170</f>
        <v>0</v>
      </c>
      <c r="M2435" s="106"/>
      <c r="N2435" s="68">
        <f>N1720/'Terms and Turnovers'!$J170</f>
        <v>0</v>
      </c>
      <c r="O2435" s="106"/>
      <c r="P2435" s="68">
        <f>P1720/'Terms and Turnovers'!$J170</f>
        <v>0</v>
      </c>
      <c r="Q2435" s="106"/>
      <c r="R2435" s="129">
        <f>SUM(F2435,H2435,J2435,L2435,N2435,P2435)</f>
        <v>0</v>
      </c>
      <c r="S2435" s="106"/>
      <c r="T2435" s="68">
        <f>T1720/'Terms and Turnovers'!$J170</f>
        <v>0</v>
      </c>
      <c r="U2435" s="106"/>
      <c r="V2435" s="68">
        <f>V1720/'Terms and Turnovers'!$J170</f>
        <v>0</v>
      </c>
      <c r="W2435" s="106"/>
      <c r="X2435" s="68">
        <f>X1720/'Terms and Turnovers'!$J170</f>
        <v>0</v>
      </c>
      <c r="Y2435" s="106"/>
      <c r="Z2435" s="68">
        <f>Z1720/'Terms and Turnovers'!$J170</f>
        <v>0</v>
      </c>
      <c r="AA2435" s="106"/>
      <c r="AB2435" s="68">
        <f>AB1720/'Terms and Turnovers'!$J170</f>
        <v>0</v>
      </c>
      <c r="AC2435" s="106"/>
      <c r="AD2435" s="68">
        <f>AD1720/'Terms and Turnovers'!$J170</f>
        <v>0</v>
      </c>
      <c r="AE2435" s="106"/>
      <c r="AF2435" s="129">
        <f>SUM(T2435,V2435,X2435,Z2435,AB2435,AD2435)</f>
        <v>0</v>
      </c>
      <c r="AG2435" s="106"/>
      <c r="AH2435" s="130">
        <f>SUM(AF2435,R2435)</f>
        <v>0</v>
      </c>
      <c r="AI2435" s="106"/>
      <c r="AJ2435" s="65"/>
      <c r="AV2435" s="56"/>
    </row>
    <row r="2436" spans="2:48" ht="12.75" hidden="1" customHeight="1" outlineLevel="2" thickBot="1">
      <c r="B2436" s="82"/>
      <c r="C2436" s="1234"/>
      <c r="D2436" s="1234"/>
      <c r="E2436" s="84" t="str">
        <f>'Terms and Turnovers'!$T$12</f>
        <v>ORIGINALS</v>
      </c>
      <c r="F2436" s="70">
        <f>F1721/'Terms and Turnovers'!$T170</f>
        <v>0</v>
      </c>
      <c r="G2436" s="728"/>
      <c r="H2436" s="70">
        <f>H1721/'Terms and Turnovers'!$T170</f>
        <v>0</v>
      </c>
      <c r="I2436" s="728"/>
      <c r="J2436" s="70">
        <f>J1721/'Terms and Turnovers'!$T170</f>
        <v>0</v>
      </c>
      <c r="K2436" s="728"/>
      <c r="L2436" s="70">
        <f>L1721/'Terms and Turnovers'!$T170</f>
        <v>0</v>
      </c>
      <c r="M2436" s="728"/>
      <c r="N2436" s="70">
        <f>N1721/'Terms and Turnovers'!$T170</f>
        <v>0</v>
      </c>
      <c r="O2436" s="728"/>
      <c r="P2436" s="70">
        <f>P1721/'Terms and Turnovers'!$T170</f>
        <v>0</v>
      </c>
      <c r="Q2436" s="728"/>
      <c r="R2436" s="132">
        <f>SUM(F2436,H2436,J2436,L2436,N2436,P2436)</f>
        <v>0</v>
      </c>
      <c r="S2436" s="728"/>
      <c r="T2436" s="70">
        <f>T1721/'Terms and Turnovers'!$T170</f>
        <v>0</v>
      </c>
      <c r="U2436" s="728"/>
      <c r="V2436" s="70">
        <f>V1721/'Terms and Turnovers'!$T170</f>
        <v>0</v>
      </c>
      <c r="W2436" s="728"/>
      <c r="X2436" s="70">
        <f>X1721/'Terms and Turnovers'!$T170</f>
        <v>0</v>
      </c>
      <c r="Y2436" s="728"/>
      <c r="Z2436" s="70">
        <f>Z1721/'Terms and Turnovers'!$T170</f>
        <v>0</v>
      </c>
      <c r="AA2436" s="728"/>
      <c r="AB2436" s="70">
        <f>AB1721/'Terms and Turnovers'!$T170</f>
        <v>0</v>
      </c>
      <c r="AC2436" s="728"/>
      <c r="AD2436" s="70">
        <f>AD1721/'Terms and Turnovers'!$T170</f>
        <v>0</v>
      </c>
      <c r="AE2436" s="728"/>
      <c r="AF2436" s="132">
        <f>SUM(T2436,V2436,X2436,Z2436,AB2436,AD2436)</f>
        <v>0</v>
      </c>
      <c r="AG2436" s="728"/>
      <c r="AH2436" s="133">
        <f>SUM(AF2436,R2436)</f>
        <v>0</v>
      </c>
      <c r="AI2436" s="728"/>
      <c r="AJ2436" s="65"/>
      <c r="AV2436" s="56"/>
    </row>
    <row r="2437" spans="2:48" ht="12.75" hidden="1" customHeight="1" outlineLevel="2">
      <c r="B2437" s="82"/>
      <c r="C2437" s="1234"/>
      <c r="D2437" s="1234"/>
      <c r="E2437" s="84" t="str">
        <f>'Terms and Turnovers'!$AD$12</f>
        <v>ACCESSORIES</v>
      </c>
      <c r="F2437" s="68">
        <f>F1722/'Terms and Turnovers'!$AD170</f>
        <v>0</v>
      </c>
      <c r="G2437" s="728"/>
      <c r="H2437" s="68">
        <f>H1722/'Terms and Turnovers'!$AD170</f>
        <v>0</v>
      </c>
      <c r="I2437" s="728"/>
      <c r="J2437" s="68">
        <f>J1722/'Terms and Turnovers'!$AD170</f>
        <v>0</v>
      </c>
      <c r="K2437" s="728"/>
      <c r="L2437" s="68">
        <f>L1722/'Terms and Turnovers'!$AD170</f>
        <v>0</v>
      </c>
      <c r="M2437" s="728"/>
      <c r="N2437" s="68">
        <f>N1722/'Terms and Turnovers'!$AD170</f>
        <v>0</v>
      </c>
      <c r="O2437" s="728"/>
      <c r="P2437" s="68">
        <f>P1722/'Terms and Turnovers'!$AD170</f>
        <v>0</v>
      </c>
      <c r="Q2437" s="728"/>
      <c r="R2437" s="132">
        <f>SUM(F2437,H2437,J2437,L2437,N2437,P2437)</f>
        <v>0</v>
      </c>
      <c r="S2437" s="728"/>
      <c r="T2437" s="68">
        <f>T1722/'Terms and Turnovers'!$AD170</f>
        <v>0</v>
      </c>
      <c r="U2437" s="728"/>
      <c r="V2437" s="68">
        <f>V1722/'Terms and Turnovers'!$AD170</f>
        <v>0</v>
      </c>
      <c r="W2437" s="728"/>
      <c r="X2437" s="68">
        <f>X1722/'Terms and Turnovers'!$AD170</f>
        <v>0</v>
      </c>
      <c r="Y2437" s="728"/>
      <c r="Z2437" s="68">
        <f>Z1722/'Terms and Turnovers'!$AD170</f>
        <v>0</v>
      </c>
      <c r="AA2437" s="728"/>
      <c r="AB2437" s="68">
        <f>AB1722/'Terms and Turnovers'!$AD170</f>
        <v>0</v>
      </c>
      <c r="AC2437" s="728"/>
      <c r="AD2437" s="68">
        <f>AD1722/'Terms and Turnovers'!$AD170</f>
        <v>0</v>
      </c>
      <c r="AE2437" s="728"/>
      <c r="AF2437" s="132">
        <f>SUM(T2437,V2437,X2437,Z2437,AB2437,AD2437)</f>
        <v>0</v>
      </c>
      <c r="AG2437" s="728"/>
      <c r="AH2437" s="133">
        <f>SUM(AF2437,R2437)</f>
        <v>0</v>
      </c>
      <c r="AI2437" s="728"/>
      <c r="AJ2437" s="65"/>
      <c r="AV2437" s="56"/>
    </row>
    <row r="2438" spans="2:48" ht="12.75" hidden="1" customHeight="1" outlineLevel="2" thickBot="1">
      <c r="B2438" s="82"/>
      <c r="C2438" s="1234"/>
      <c r="D2438" s="1234"/>
      <c r="E2438" s="84">
        <f>'Terms and Turnovers'!$AN$12</f>
        <v>0</v>
      </c>
      <c r="F2438" s="70">
        <f>F1723/'Terms and Turnovers'!$AN170</f>
        <v>0</v>
      </c>
      <c r="G2438" s="728"/>
      <c r="H2438" s="70">
        <f>H1723/'Terms and Turnovers'!$AN170</f>
        <v>0</v>
      </c>
      <c r="I2438" s="728"/>
      <c r="J2438" s="70">
        <f>J1723/'Terms and Turnovers'!$AN170</f>
        <v>0</v>
      </c>
      <c r="K2438" s="728"/>
      <c r="L2438" s="70">
        <f>L1723/'Terms and Turnovers'!$AN170</f>
        <v>0</v>
      </c>
      <c r="M2438" s="728"/>
      <c r="N2438" s="70">
        <f>N1723/'Terms and Turnovers'!$AN170</f>
        <v>0</v>
      </c>
      <c r="O2438" s="728"/>
      <c r="P2438" s="70">
        <f>P1723/'Terms and Turnovers'!$AN170</f>
        <v>0</v>
      </c>
      <c r="Q2438" s="728"/>
      <c r="R2438" s="132">
        <f>SUM(F2438,H2438,J2438,L2438,N2438,P2438)</f>
        <v>0</v>
      </c>
      <c r="S2438" s="728"/>
      <c r="T2438" s="70">
        <f>T1723/'Terms and Turnovers'!$AN170</f>
        <v>0</v>
      </c>
      <c r="U2438" s="728"/>
      <c r="V2438" s="70">
        <f>V1723/'Terms and Turnovers'!$AN170</f>
        <v>0</v>
      </c>
      <c r="W2438" s="728"/>
      <c r="X2438" s="70">
        <f>X1723/'Terms and Turnovers'!$AN170</f>
        <v>0</v>
      </c>
      <c r="Y2438" s="728"/>
      <c r="Z2438" s="70">
        <f>Z1723/'Terms and Turnovers'!$AN170</f>
        <v>0</v>
      </c>
      <c r="AA2438" s="728"/>
      <c r="AB2438" s="70">
        <f>AB1723/'Terms and Turnovers'!$AN170</f>
        <v>0</v>
      </c>
      <c r="AC2438" s="728"/>
      <c r="AD2438" s="70">
        <f>AD1723/'Terms and Turnovers'!$AN170</f>
        <v>0</v>
      </c>
      <c r="AE2438" s="728"/>
      <c r="AF2438" s="132">
        <f>SUM(T2438,V2438,X2438,Z2438,AB2438,AD2438)</f>
        <v>0</v>
      </c>
      <c r="AG2438" s="728"/>
      <c r="AH2438" s="133">
        <f>SUM(AF2438,R2438)</f>
        <v>0</v>
      </c>
      <c r="AI2438" s="728"/>
      <c r="AJ2438" s="65"/>
      <c r="AV2438" s="56"/>
    </row>
    <row r="2439" spans="2:48" ht="13.5" hidden="1" customHeight="1" outlineLevel="2" thickBot="1">
      <c r="B2439" s="82"/>
      <c r="C2439" s="1235"/>
      <c r="D2439" s="1235"/>
      <c r="E2439" s="85">
        <f>'Terms and Turnovers'!$AX$12</f>
        <v>0</v>
      </c>
      <c r="F2439" s="68">
        <f>F1724/'Terms and Turnovers'!$AX170</f>
        <v>0</v>
      </c>
      <c r="G2439" s="107"/>
      <c r="H2439" s="68">
        <f>H1724/'Terms and Turnovers'!$AX170</f>
        <v>0</v>
      </c>
      <c r="I2439" s="107"/>
      <c r="J2439" s="68">
        <f>J1724/'Terms and Turnovers'!$AX170</f>
        <v>0</v>
      </c>
      <c r="K2439" s="107"/>
      <c r="L2439" s="68">
        <f>L1724/'Terms and Turnovers'!$AX170</f>
        <v>0</v>
      </c>
      <c r="M2439" s="107"/>
      <c r="N2439" s="68">
        <f>N1724/'Terms and Turnovers'!$AX170</f>
        <v>0</v>
      </c>
      <c r="O2439" s="107"/>
      <c r="P2439" s="68">
        <f>P1724/'Terms and Turnovers'!$AX170</f>
        <v>0</v>
      </c>
      <c r="Q2439" s="107"/>
      <c r="R2439" s="135">
        <f>SUM(F2439,H2439,J2439,L2439,N2439,P2439)</f>
        <v>0</v>
      </c>
      <c r="S2439" s="107"/>
      <c r="T2439" s="68">
        <f>T1724/'Terms and Turnovers'!$AX170</f>
        <v>0</v>
      </c>
      <c r="U2439" s="107"/>
      <c r="V2439" s="68">
        <f>V1724/'Terms and Turnovers'!$AX170</f>
        <v>0</v>
      </c>
      <c r="W2439" s="107"/>
      <c r="X2439" s="68">
        <f>X1724/'Terms and Turnovers'!$AX170</f>
        <v>0</v>
      </c>
      <c r="Y2439" s="107"/>
      <c r="Z2439" s="68">
        <f>Z1724/'Terms and Turnovers'!$AX170</f>
        <v>0</v>
      </c>
      <c r="AA2439" s="107"/>
      <c r="AB2439" s="68">
        <f>AB1724/'Terms and Turnovers'!$AX170</f>
        <v>0</v>
      </c>
      <c r="AC2439" s="107"/>
      <c r="AD2439" s="68">
        <f>AD1724/'Terms and Turnovers'!$AX170</f>
        <v>0</v>
      </c>
      <c r="AE2439" s="107"/>
      <c r="AF2439" s="135">
        <f>SUM(T2439,V2439,X2439,Z2439,AB2439,AD2439)</f>
        <v>0</v>
      </c>
      <c r="AG2439" s="107"/>
      <c r="AH2439" s="136">
        <f>SUM(AF2439,R2439)</f>
        <v>0</v>
      </c>
      <c r="AI2439" s="107"/>
      <c r="AJ2439" s="65"/>
      <c r="AV2439" s="56"/>
    </row>
    <row r="2440" spans="2:48" ht="13.5" hidden="1" customHeight="1" outlineLevel="2">
      <c r="B2440" s="82"/>
      <c r="C2440" s="425"/>
      <c r="D2440" s="425"/>
      <c r="E2440" s="634"/>
      <c r="F2440" s="635"/>
      <c r="G2440" s="428"/>
      <c r="H2440" s="635"/>
      <c r="I2440" s="428"/>
      <c r="J2440" s="635"/>
      <c r="K2440" s="636"/>
      <c r="L2440" s="635"/>
      <c r="M2440" s="636"/>
      <c r="N2440" s="635"/>
      <c r="O2440" s="636"/>
      <c r="P2440" s="635"/>
      <c r="Q2440" s="636"/>
      <c r="R2440" s="637"/>
      <c r="S2440" s="698">
        <f>SUM(R1720:R1724)/1.18-(SUM(R2435:R2439)*'Mark Up Validation'!$M$175)</f>
        <v>0</v>
      </c>
      <c r="T2440" s="635"/>
      <c r="U2440" s="636"/>
      <c r="V2440" s="635"/>
      <c r="W2440" s="636"/>
      <c r="X2440" s="635"/>
      <c r="Y2440" s="636"/>
      <c r="Z2440" s="635"/>
      <c r="AA2440" s="636"/>
      <c r="AB2440" s="635"/>
      <c r="AC2440" s="636"/>
      <c r="AD2440" s="635"/>
      <c r="AE2440" s="636"/>
      <c r="AF2440" s="637"/>
      <c r="AG2440" s="698">
        <f>SUM(AF1720:AF1724)/1.18-SUM(AF2435:AF2439)*'Mark Up Validation'!$M$175</f>
        <v>0</v>
      </c>
      <c r="AH2440" s="638"/>
      <c r="AI2440" s="698">
        <f>SUM(AH1720:AH1724)/1.18-SUM(AH2435:AH2439)*'Mark Up Validation'!$M$175</f>
        <v>0</v>
      </c>
      <c r="AJ2440" s="65"/>
      <c r="AV2440" s="56"/>
    </row>
    <row r="2441" spans="2:48" ht="13.5" hidden="1" customHeight="1" outlineLevel="2" thickBot="1">
      <c r="B2441" s="82"/>
      <c r="C2441" s="1228" t="s">
        <v>538</v>
      </c>
      <c r="D2441" s="1229"/>
      <c r="E2441" s="699"/>
      <c r="F2441" s="700"/>
      <c r="G2441" s="701"/>
      <c r="H2441" s="700"/>
      <c r="I2441" s="701"/>
      <c r="J2441" s="700"/>
      <c r="K2441" s="702"/>
      <c r="L2441" s="700"/>
      <c r="M2441" s="702"/>
      <c r="N2441" s="700"/>
      <c r="O2441" s="702"/>
      <c r="P2441" s="700"/>
      <c r="Q2441" s="702"/>
      <c r="R2441" s="703"/>
      <c r="S2441" s="729">
        <f>IF(S2440&gt;0,S2440/(SUM(R1720:R1724)/1.18),0)</f>
        <v>0</v>
      </c>
      <c r="T2441" s="700"/>
      <c r="U2441" s="702"/>
      <c r="V2441" s="700"/>
      <c r="W2441" s="702"/>
      <c r="X2441" s="700"/>
      <c r="Y2441" s="702"/>
      <c r="Z2441" s="700"/>
      <c r="AA2441" s="702"/>
      <c r="AB2441" s="700"/>
      <c r="AC2441" s="702"/>
      <c r="AD2441" s="700"/>
      <c r="AE2441" s="702"/>
      <c r="AF2441" s="705"/>
      <c r="AG2441" s="729">
        <f>IF(AG2440&gt;0,AG2440/(SUM(AF1720:AF1724)/1.18),0)</f>
        <v>0</v>
      </c>
      <c r="AH2441" s="706"/>
      <c r="AI2441" s="729">
        <f>IF(AI2440&gt;0,AI2440/(SUM(AH1720:AH1724)/1.18),0)</f>
        <v>0</v>
      </c>
      <c r="AJ2441" s="65"/>
      <c r="AV2441" s="56"/>
    </row>
    <row r="2442" spans="2:48" ht="12.75" hidden="1" customHeight="1" outlineLevel="2">
      <c r="B2442" s="82">
        <f>B2435+1</f>
        <v>40</v>
      </c>
      <c r="C2442" s="1233">
        <f>C1727</f>
        <v>0</v>
      </c>
      <c r="D2442" s="1233">
        <f>D1727</f>
        <v>0</v>
      </c>
      <c r="E2442" s="83" t="str">
        <f>'Terms and Turnovers'!$J$12</f>
        <v>FLIP-FLOPS</v>
      </c>
      <c r="F2442" s="68">
        <f>F1727/'Terms and Turnovers'!$J171</f>
        <v>0</v>
      </c>
      <c r="G2442" s="106"/>
      <c r="H2442" s="68">
        <f>H1727/'Terms and Turnovers'!$J171</f>
        <v>0</v>
      </c>
      <c r="I2442" s="106"/>
      <c r="J2442" s="68">
        <f>J1727/'Terms and Turnovers'!$J171</f>
        <v>0</v>
      </c>
      <c r="K2442" s="106"/>
      <c r="L2442" s="68">
        <f>L1727/'Terms and Turnovers'!$J171</f>
        <v>0</v>
      </c>
      <c r="M2442" s="106"/>
      <c r="N2442" s="68">
        <f>N1727/'Terms and Turnovers'!$J171</f>
        <v>0</v>
      </c>
      <c r="O2442" s="106"/>
      <c r="P2442" s="68">
        <f>P1727/'Terms and Turnovers'!$J171</f>
        <v>0</v>
      </c>
      <c r="Q2442" s="106"/>
      <c r="R2442" s="129">
        <f>SUM(F2442,H2442,J2442,L2442,N2442,P2442)</f>
        <v>0</v>
      </c>
      <c r="S2442" s="106"/>
      <c r="T2442" s="68">
        <f>T1727/'Terms and Turnovers'!$J171</f>
        <v>0</v>
      </c>
      <c r="U2442" s="106"/>
      <c r="V2442" s="68">
        <f>V1727/'Terms and Turnovers'!$J171</f>
        <v>0</v>
      </c>
      <c r="W2442" s="106"/>
      <c r="X2442" s="68">
        <f>X1727/'Terms and Turnovers'!$J171</f>
        <v>0</v>
      </c>
      <c r="Y2442" s="106"/>
      <c r="Z2442" s="68">
        <f>Z1727/'Terms and Turnovers'!$J171</f>
        <v>0</v>
      </c>
      <c r="AA2442" s="106"/>
      <c r="AB2442" s="68">
        <f>AB1727/'Terms and Turnovers'!$J171</f>
        <v>0</v>
      </c>
      <c r="AC2442" s="106"/>
      <c r="AD2442" s="68">
        <f>AD1727/'Terms and Turnovers'!$J171</f>
        <v>0</v>
      </c>
      <c r="AE2442" s="106"/>
      <c r="AF2442" s="129">
        <f>SUM(T2442,V2442,X2442,Z2442,AB2442,AD2442)</f>
        <v>0</v>
      </c>
      <c r="AG2442" s="106"/>
      <c r="AH2442" s="130">
        <f>SUM(AF2442,R2442)</f>
        <v>0</v>
      </c>
      <c r="AI2442" s="106"/>
      <c r="AJ2442" s="65"/>
      <c r="AV2442" s="56"/>
    </row>
    <row r="2443" spans="2:48" ht="12.75" hidden="1" customHeight="1" outlineLevel="2" thickBot="1">
      <c r="B2443" s="82"/>
      <c r="C2443" s="1234"/>
      <c r="D2443" s="1234"/>
      <c r="E2443" s="84" t="str">
        <f>'Terms and Turnovers'!$T$12</f>
        <v>ORIGINALS</v>
      </c>
      <c r="F2443" s="70">
        <f>F1728/'Terms and Turnovers'!$T171</f>
        <v>0</v>
      </c>
      <c r="G2443" s="728"/>
      <c r="H2443" s="70">
        <f>H1728/'Terms and Turnovers'!$T171</f>
        <v>0</v>
      </c>
      <c r="I2443" s="728"/>
      <c r="J2443" s="70">
        <f>J1728/'Terms and Turnovers'!$T171</f>
        <v>0</v>
      </c>
      <c r="K2443" s="728"/>
      <c r="L2443" s="70">
        <f>L1728/'Terms and Turnovers'!$T171</f>
        <v>0</v>
      </c>
      <c r="M2443" s="728"/>
      <c r="N2443" s="70">
        <f>N1728/'Terms and Turnovers'!$T171</f>
        <v>0</v>
      </c>
      <c r="O2443" s="728"/>
      <c r="P2443" s="70">
        <f>P1728/'Terms and Turnovers'!$T171</f>
        <v>0</v>
      </c>
      <c r="Q2443" s="728"/>
      <c r="R2443" s="132">
        <f>SUM(F2443,H2443,J2443,L2443,N2443,P2443)</f>
        <v>0</v>
      </c>
      <c r="S2443" s="728"/>
      <c r="T2443" s="70">
        <f>T1728/'Terms and Turnovers'!$T171</f>
        <v>0</v>
      </c>
      <c r="U2443" s="728"/>
      <c r="V2443" s="70">
        <f>V1728/'Terms and Turnovers'!$T171</f>
        <v>0</v>
      </c>
      <c r="W2443" s="728"/>
      <c r="X2443" s="70">
        <f>X1728/'Terms and Turnovers'!$T171</f>
        <v>0</v>
      </c>
      <c r="Y2443" s="728"/>
      <c r="Z2443" s="70">
        <f>Z1728/'Terms and Turnovers'!$T171</f>
        <v>0</v>
      </c>
      <c r="AA2443" s="728"/>
      <c r="AB2443" s="70">
        <f>AB1728/'Terms and Turnovers'!$T171</f>
        <v>0</v>
      </c>
      <c r="AC2443" s="728"/>
      <c r="AD2443" s="70">
        <f>AD1728/'Terms and Turnovers'!$T171</f>
        <v>0</v>
      </c>
      <c r="AE2443" s="728"/>
      <c r="AF2443" s="132">
        <f>SUM(T2443,V2443,X2443,Z2443,AB2443,AD2443)</f>
        <v>0</v>
      </c>
      <c r="AG2443" s="728"/>
      <c r="AH2443" s="133">
        <f>SUM(AF2443,R2443)</f>
        <v>0</v>
      </c>
      <c r="AI2443" s="728"/>
      <c r="AJ2443" s="65"/>
      <c r="AV2443" s="56"/>
    </row>
    <row r="2444" spans="2:48" ht="12.75" hidden="1" customHeight="1" outlineLevel="2">
      <c r="B2444" s="82"/>
      <c r="C2444" s="1234"/>
      <c r="D2444" s="1234"/>
      <c r="E2444" s="84" t="str">
        <f>'Terms and Turnovers'!$AD$12</f>
        <v>ACCESSORIES</v>
      </c>
      <c r="F2444" s="68">
        <f>F1729/'Terms and Turnovers'!$AD171</f>
        <v>0</v>
      </c>
      <c r="G2444" s="728"/>
      <c r="H2444" s="68">
        <f>H1729/'Terms and Turnovers'!$AD171</f>
        <v>0</v>
      </c>
      <c r="I2444" s="728"/>
      <c r="J2444" s="68">
        <f>J1729/'Terms and Turnovers'!$AD171</f>
        <v>0</v>
      </c>
      <c r="K2444" s="728"/>
      <c r="L2444" s="68">
        <f>L1729/'Terms and Turnovers'!$AD171</f>
        <v>0</v>
      </c>
      <c r="M2444" s="728"/>
      <c r="N2444" s="68">
        <f>N1729/'Terms and Turnovers'!$AD171</f>
        <v>0</v>
      </c>
      <c r="O2444" s="728"/>
      <c r="P2444" s="68">
        <f>P1729/'Terms and Turnovers'!$AD171</f>
        <v>0</v>
      </c>
      <c r="Q2444" s="728"/>
      <c r="R2444" s="132">
        <f>SUM(F2444,H2444,J2444,L2444,N2444,P2444)</f>
        <v>0</v>
      </c>
      <c r="S2444" s="728"/>
      <c r="T2444" s="68">
        <f>T1729/'Terms and Turnovers'!$AD171</f>
        <v>0</v>
      </c>
      <c r="U2444" s="728"/>
      <c r="V2444" s="68">
        <f>V1729/'Terms and Turnovers'!$AD171</f>
        <v>0</v>
      </c>
      <c r="W2444" s="728"/>
      <c r="X2444" s="68">
        <f>X1729/'Terms and Turnovers'!$AD171</f>
        <v>0</v>
      </c>
      <c r="Y2444" s="728"/>
      <c r="Z2444" s="68">
        <f>Z1729/'Terms and Turnovers'!$AD171</f>
        <v>0</v>
      </c>
      <c r="AA2444" s="728"/>
      <c r="AB2444" s="68">
        <f>AB1729/'Terms and Turnovers'!$AD171</f>
        <v>0</v>
      </c>
      <c r="AC2444" s="728"/>
      <c r="AD2444" s="68">
        <f>AD1729/'Terms and Turnovers'!$AD171</f>
        <v>0</v>
      </c>
      <c r="AE2444" s="728"/>
      <c r="AF2444" s="132">
        <f>SUM(T2444,V2444,X2444,Z2444,AB2444,AD2444)</f>
        <v>0</v>
      </c>
      <c r="AG2444" s="728"/>
      <c r="AH2444" s="133">
        <f>SUM(AF2444,R2444)</f>
        <v>0</v>
      </c>
      <c r="AI2444" s="728"/>
      <c r="AJ2444" s="65"/>
      <c r="AV2444" s="56"/>
    </row>
    <row r="2445" spans="2:48" ht="12.75" hidden="1" customHeight="1" outlineLevel="2" thickBot="1">
      <c r="B2445" s="82"/>
      <c r="C2445" s="1234"/>
      <c r="D2445" s="1234"/>
      <c r="E2445" s="84">
        <f>'Terms and Turnovers'!$AN$12</f>
        <v>0</v>
      </c>
      <c r="F2445" s="70">
        <f>F1730/'Terms and Turnovers'!$AN171</f>
        <v>0</v>
      </c>
      <c r="G2445" s="728"/>
      <c r="H2445" s="70">
        <f>H1730/'Terms and Turnovers'!$AN171</f>
        <v>0</v>
      </c>
      <c r="I2445" s="728"/>
      <c r="J2445" s="70">
        <f>J1730/'Terms and Turnovers'!$AN171</f>
        <v>0</v>
      </c>
      <c r="K2445" s="728"/>
      <c r="L2445" s="70">
        <f>L1730/'Terms and Turnovers'!$AN171</f>
        <v>0</v>
      </c>
      <c r="M2445" s="728"/>
      <c r="N2445" s="70">
        <f>N1730/'Terms and Turnovers'!$AN171</f>
        <v>0</v>
      </c>
      <c r="O2445" s="728"/>
      <c r="P2445" s="70">
        <f>P1730/'Terms and Turnovers'!$AN171</f>
        <v>0</v>
      </c>
      <c r="Q2445" s="728"/>
      <c r="R2445" s="132">
        <f>SUM(F2445,H2445,J2445,L2445,N2445,P2445)</f>
        <v>0</v>
      </c>
      <c r="S2445" s="728"/>
      <c r="T2445" s="70">
        <f>T1730/'Terms and Turnovers'!$AN171</f>
        <v>0</v>
      </c>
      <c r="U2445" s="728"/>
      <c r="V2445" s="70">
        <f>V1730/'Terms and Turnovers'!$AN171</f>
        <v>0</v>
      </c>
      <c r="W2445" s="728"/>
      <c r="X2445" s="70">
        <f>X1730/'Terms and Turnovers'!$AN171</f>
        <v>0</v>
      </c>
      <c r="Y2445" s="728"/>
      <c r="Z2445" s="70">
        <f>Z1730/'Terms and Turnovers'!$AN171</f>
        <v>0</v>
      </c>
      <c r="AA2445" s="728"/>
      <c r="AB2445" s="70">
        <f>AB1730/'Terms and Turnovers'!$AN171</f>
        <v>0</v>
      </c>
      <c r="AC2445" s="728"/>
      <c r="AD2445" s="70">
        <f>AD1730/'Terms and Turnovers'!$AN171</f>
        <v>0</v>
      </c>
      <c r="AE2445" s="728"/>
      <c r="AF2445" s="132">
        <f>SUM(T2445,V2445,X2445,Z2445,AB2445,AD2445)</f>
        <v>0</v>
      </c>
      <c r="AG2445" s="728"/>
      <c r="AH2445" s="133">
        <f>SUM(AF2445,R2445)</f>
        <v>0</v>
      </c>
      <c r="AI2445" s="728"/>
      <c r="AJ2445" s="65"/>
      <c r="AV2445" s="56"/>
    </row>
    <row r="2446" spans="2:48" ht="13.5" hidden="1" customHeight="1" outlineLevel="2" thickBot="1">
      <c r="B2446" s="82"/>
      <c r="C2446" s="1235"/>
      <c r="D2446" s="1235"/>
      <c r="E2446" s="85">
        <f>'Terms and Turnovers'!$AX$12</f>
        <v>0</v>
      </c>
      <c r="F2446" s="68">
        <f>F1731/'Terms and Turnovers'!$AX171</f>
        <v>0</v>
      </c>
      <c r="G2446" s="107"/>
      <c r="H2446" s="68">
        <f>H1731/'Terms and Turnovers'!$AX171</f>
        <v>0</v>
      </c>
      <c r="I2446" s="107"/>
      <c r="J2446" s="68">
        <f>J1731/'Terms and Turnovers'!$AX171</f>
        <v>0</v>
      </c>
      <c r="K2446" s="107"/>
      <c r="L2446" s="68">
        <f>L1731/'Terms and Turnovers'!$AX171</f>
        <v>0</v>
      </c>
      <c r="M2446" s="107"/>
      <c r="N2446" s="68">
        <f>N1731/'Terms and Turnovers'!$AX171</f>
        <v>0</v>
      </c>
      <c r="O2446" s="107"/>
      <c r="P2446" s="68">
        <f>P1731/'Terms and Turnovers'!$AX171</f>
        <v>0</v>
      </c>
      <c r="Q2446" s="107"/>
      <c r="R2446" s="135">
        <f>SUM(F2446,H2446,J2446,L2446,N2446,P2446)</f>
        <v>0</v>
      </c>
      <c r="S2446" s="107"/>
      <c r="T2446" s="68">
        <f>T1731/'Terms and Turnovers'!$AX171</f>
        <v>0</v>
      </c>
      <c r="U2446" s="107"/>
      <c r="V2446" s="68">
        <f>V1731/'Terms and Turnovers'!$AX171</f>
        <v>0</v>
      </c>
      <c r="W2446" s="107"/>
      <c r="X2446" s="68">
        <f>X1731/'Terms and Turnovers'!$AX171</f>
        <v>0</v>
      </c>
      <c r="Y2446" s="107"/>
      <c r="Z2446" s="68">
        <f>Z1731/'Terms and Turnovers'!$AX171</f>
        <v>0</v>
      </c>
      <c r="AA2446" s="107"/>
      <c r="AB2446" s="68">
        <f>AB1731/'Terms and Turnovers'!$AX171</f>
        <v>0</v>
      </c>
      <c r="AC2446" s="107"/>
      <c r="AD2446" s="68">
        <f>AD1731/'Terms and Turnovers'!$AX171</f>
        <v>0</v>
      </c>
      <c r="AE2446" s="107"/>
      <c r="AF2446" s="135">
        <f>SUM(T2446,V2446,X2446,Z2446,AB2446,AD2446)</f>
        <v>0</v>
      </c>
      <c r="AG2446" s="107"/>
      <c r="AH2446" s="136">
        <f>SUM(AF2446,R2446)</f>
        <v>0</v>
      </c>
      <c r="AI2446" s="107"/>
      <c r="AJ2446" s="65"/>
      <c r="AV2446" s="56"/>
    </row>
    <row r="2447" spans="2:48" ht="13.5" hidden="1" customHeight="1" outlineLevel="2">
      <c r="B2447" s="82"/>
      <c r="C2447" s="425"/>
      <c r="D2447" s="425"/>
      <c r="E2447" s="634"/>
      <c r="F2447" s="635"/>
      <c r="G2447" s="428"/>
      <c r="H2447" s="635"/>
      <c r="I2447" s="428"/>
      <c r="J2447" s="635"/>
      <c r="K2447" s="636"/>
      <c r="L2447" s="635"/>
      <c r="M2447" s="636"/>
      <c r="N2447" s="635"/>
      <c r="O2447" s="636"/>
      <c r="P2447" s="635"/>
      <c r="Q2447" s="636"/>
      <c r="R2447" s="637"/>
      <c r="S2447" s="698">
        <f>SUM(R1727:R1731)/1.18-(SUM(R2442:R2446)*'Mark Up Validation'!$M$175)</f>
        <v>0</v>
      </c>
      <c r="T2447" s="635"/>
      <c r="U2447" s="636"/>
      <c r="V2447" s="635"/>
      <c r="W2447" s="636"/>
      <c r="X2447" s="635"/>
      <c r="Y2447" s="636"/>
      <c r="Z2447" s="635"/>
      <c r="AA2447" s="636"/>
      <c r="AB2447" s="635"/>
      <c r="AC2447" s="636"/>
      <c r="AD2447" s="635"/>
      <c r="AE2447" s="636"/>
      <c r="AF2447" s="637"/>
      <c r="AG2447" s="698">
        <f>SUM(AF1727:AF1731)/1.18-SUM(AF2442:AF2446)*'Mark Up Validation'!$M$175</f>
        <v>0</v>
      </c>
      <c r="AH2447" s="638"/>
      <c r="AI2447" s="698">
        <f>SUM(AH1727:AH1731)/1.18-SUM(AH2442:AH2446)*'Mark Up Validation'!$M$175</f>
        <v>0</v>
      </c>
      <c r="AJ2447" s="65"/>
      <c r="AV2447" s="56"/>
    </row>
    <row r="2448" spans="2:48" ht="13.5" hidden="1" customHeight="1" outlineLevel="2" thickBot="1">
      <c r="B2448" s="82"/>
      <c r="C2448" s="1228" t="s">
        <v>538</v>
      </c>
      <c r="D2448" s="1229"/>
      <c r="E2448" s="699"/>
      <c r="F2448" s="700"/>
      <c r="G2448" s="701"/>
      <c r="H2448" s="700"/>
      <c r="I2448" s="701"/>
      <c r="J2448" s="700"/>
      <c r="K2448" s="702"/>
      <c r="L2448" s="700"/>
      <c r="M2448" s="702"/>
      <c r="N2448" s="700"/>
      <c r="O2448" s="702"/>
      <c r="P2448" s="700"/>
      <c r="Q2448" s="702"/>
      <c r="R2448" s="703"/>
      <c r="S2448" s="729">
        <f>IF(S2447&gt;0,S2447/(SUM(R1727:R1731)/1.18),0)</f>
        <v>0</v>
      </c>
      <c r="T2448" s="700"/>
      <c r="U2448" s="702"/>
      <c r="V2448" s="700"/>
      <c r="W2448" s="702"/>
      <c r="X2448" s="700"/>
      <c r="Y2448" s="702"/>
      <c r="Z2448" s="700"/>
      <c r="AA2448" s="702"/>
      <c r="AB2448" s="700"/>
      <c r="AC2448" s="702"/>
      <c r="AD2448" s="700"/>
      <c r="AE2448" s="702"/>
      <c r="AF2448" s="705"/>
      <c r="AG2448" s="729">
        <f>IF(AG2447&gt;0,AG2447/(SUM(AF1727:AF1731)/1.18),0)</f>
        <v>0</v>
      </c>
      <c r="AH2448" s="706"/>
      <c r="AI2448" s="729">
        <f>IF(AI2447&gt;0,AI2447/(SUM(AH1727:AH1731)/1.18),0)</f>
        <v>0</v>
      </c>
      <c r="AJ2448" s="65"/>
      <c r="AV2448" s="56"/>
    </row>
    <row r="2449" spans="2:48" ht="12.75" hidden="1" customHeight="1" outlineLevel="2">
      <c r="B2449" s="82">
        <f>B2442+1</f>
        <v>41</v>
      </c>
      <c r="C2449" s="1233">
        <f>C1734</f>
        <v>0</v>
      </c>
      <c r="D2449" s="1233">
        <f>D1734</f>
        <v>0</v>
      </c>
      <c r="E2449" s="83" t="str">
        <f>'Terms and Turnovers'!$J$12</f>
        <v>FLIP-FLOPS</v>
      </c>
      <c r="F2449" s="68">
        <f>F1734/'Terms and Turnovers'!$J172</f>
        <v>0</v>
      </c>
      <c r="G2449" s="106"/>
      <c r="H2449" s="68">
        <f>H1734/'Terms and Turnovers'!$J172</f>
        <v>0</v>
      </c>
      <c r="I2449" s="106"/>
      <c r="J2449" s="68">
        <f>J1734/'Terms and Turnovers'!$J172</f>
        <v>0</v>
      </c>
      <c r="K2449" s="106"/>
      <c r="L2449" s="68">
        <f>L1734/'Terms and Turnovers'!$J172</f>
        <v>0</v>
      </c>
      <c r="M2449" s="106"/>
      <c r="N2449" s="68">
        <f>N1734/'Terms and Turnovers'!$J172</f>
        <v>0</v>
      </c>
      <c r="O2449" s="106"/>
      <c r="P2449" s="68">
        <f>P1734/'Terms and Turnovers'!$J172</f>
        <v>0</v>
      </c>
      <c r="Q2449" s="106"/>
      <c r="R2449" s="129">
        <f>SUM(F2449,H2449,J2449,L2449,N2449,P2449)</f>
        <v>0</v>
      </c>
      <c r="S2449" s="106"/>
      <c r="T2449" s="68">
        <f>T1734/'Terms and Turnovers'!$J172</f>
        <v>0</v>
      </c>
      <c r="U2449" s="106"/>
      <c r="V2449" s="68">
        <f>V1734/'Terms and Turnovers'!$J172</f>
        <v>0</v>
      </c>
      <c r="W2449" s="106"/>
      <c r="X2449" s="68">
        <f>X1734/'Terms and Turnovers'!$J172</f>
        <v>0</v>
      </c>
      <c r="Y2449" s="106"/>
      <c r="Z2449" s="68">
        <f>Z1734/'Terms and Turnovers'!$J172</f>
        <v>0</v>
      </c>
      <c r="AA2449" s="106"/>
      <c r="AB2449" s="68">
        <f>AB1734/'Terms and Turnovers'!$J172</f>
        <v>0</v>
      </c>
      <c r="AC2449" s="106"/>
      <c r="AD2449" s="68">
        <f>AD1734/'Terms and Turnovers'!$J172</f>
        <v>0</v>
      </c>
      <c r="AE2449" s="106"/>
      <c r="AF2449" s="129">
        <f>SUM(T2449,V2449,X2449,Z2449,AB2449,AD2449)</f>
        <v>0</v>
      </c>
      <c r="AG2449" s="106"/>
      <c r="AH2449" s="130">
        <f>SUM(AF2449,R2449)</f>
        <v>0</v>
      </c>
      <c r="AI2449" s="106"/>
      <c r="AJ2449" s="65"/>
      <c r="AV2449" s="56"/>
    </row>
    <row r="2450" spans="2:48" ht="12.75" hidden="1" customHeight="1" outlineLevel="2" thickBot="1">
      <c r="B2450" s="82"/>
      <c r="C2450" s="1234"/>
      <c r="D2450" s="1234"/>
      <c r="E2450" s="84" t="str">
        <f>'Terms and Turnovers'!$T$12</f>
        <v>ORIGINALS</v>
      </c>
      <c r="F2450" s="70">
        <f>F1735/'Terms and Turnovers'!$T172</f>
        <v>0</v>
      </c>
      <c r="G2450" s="728"/>
      <c r="H2450" s="70">
        <f>H1735/'Terms and Turnovers'!$T172</f>
        <v>0</v>
      </c>
      <c r="I2450" s="728"/>
      <c r="J2450" s="70">
        <f>J1735/'Terms and Turnovers'!$T172</f>
        <v>0</v>
      </c>
      <c r="K2450" s="728"/>
      <c r="L2450" s="70">
        <f>L1735/'Terms and Turnovers'!$T172</f>
        <v>0</v>
      </c>
      <c r="M2450" s="728"/>
      <c r="N2450" s="70">
        <f>N1735/'Terms and Turnovers'!$T172</f>
        <v>0</v>
      </c>
      <c r="O2450" s="728"/>
      <c r="P2450" s="70">
        <f>P1735/'Terms and Turnovers'!$T172</f>
        <v>0</v>
      </c>
      <c r="Q2450" s="728"/>
      <c r="R2450" s="132">
        <f>SUM(F2450,H2450,J2450,L2450,N2450,P2450)</f>
        <v>0</v>
      </c>
      <c r="S2450" s="728"/>
      <c r="T2450" s="70">
        <f>T1735/'Terms and Turnovers'!$T172</f>
        <v>0</v>
      </c>
      <c r="U2450" s="728"/>
      <c r="V2450" s="70">
        <f>V1735/'Terms and Turnovers'!$T172</f>
        <v>0</v>
      </c>
      <c r="W2450" s="728"/>
      <c r="X2450" s="70">
        <f>X1735/'Terms and Turnovers'!$T172</f>
        <v>0</v>
      </c>
      <c r="Y2450" s="728"/>
      <c r="Z2450" s="70">
        <f>Z1735/'Terms and Turnovers'!$T172</f>
        <v>0</v>
      </c>
      <c r="AA2450" s="728"/>
      <c r="AB2450" s="70">
        <f>AB1735/'Terms and Turnovers'!$T172</f>
        <v>0</v>
      </c>
      <c r="AC2450" s="728"/>
      <c r="AD2450" s="70">
        <f>AD1735/'Terms and Turnovers'!$T172</f>
        <v>0</v>
      </c>
      <c r="AE2450" s="728"/>
      <c r="AF2450" s="132">
        <f>SUM(T2450,V2450,X2450,Z2450,AB2450,AD2450)</f>
        <v>0</v>
      </c>
      <c r="AG2450" s="728"/>
      <c r="AH2450" s="133">
        <f>SUM(AF2450,R2450)</f>
        <v>0</v>
      </c>
      <c r="AI2450" s="728"/>
      <c r="AJ2450" s="65"/>
      <c r="AV2450" s="56"/>
    </row>
    <row r="2451" spans="2:48" ht="12.75" hidden="1" customHeight="1" outlineLevel="2">
      <c r="B2451" s="82"/>
      <c r="C2451" s="1234"/>
      <c r="D2451" s="1234"/>
      <c r="E2451" s="84" t="str">
        <f>'Terms and Turnovers'!$AD$12</f>
        <v>ACCESSORIES</v>
      </c>
      <c r="F2451" s="68">
        <f>F1736/'Terms and Turnovers'!$AD172</f>
        <v>0</v>
      </c>
      <c r="G2451" s="728"/>
      <c r="H2451" s="68">
        <f>H1736/'Terms and Turnovers'!$AD172</f>
        <v>0</v>
      </c>
      <c r="I2451" s="728"/>
      <c r="J2451" s="68">
        <f>J1736/'Terms and Turnovers'!$AD172</f>
        <v>0</v>
      </c>
      <c r="K2451" s="728"/>
      <c r="L2451" s="68">
        <f>L1736/'Terms and Turnovers'!$AD172</f>
        <v>0</v>
      </c>
      <c r="M2451" s="728"/>
      <c r="N2451" s="68">
        <f>N1736/'Terms and Turnovers'!$AD172</f>
        <v>0</v>
      </c>
      <c r="O2451" s="728"/>
      <c r="P2451" s="68">
        <f>P1736/'Terms and Turnovers'!$AD172</f>
        <v>0</v>
      </c>
      <c r="Q2451" s="728"/>
      <c r="R2451" s="132">
        <f>SUM(F2451,H2451,J2451,L2451,N2451,P2451)</f>
        <v>0</v>
      </c>
      <c r="S2451" s="728"/>
      <c r="T2451" s="68">
        <f>T1736/'Terms and Turnovers'!$AD172</f>
        <v>0</v>
      </c>
      <c r="U2451" s="728"/>
      <c r="V2451" s="68">
        <f>V1736/'Terms and Turnovers'!$AD172</f>
        <v>0</v>
      </c>
      <c r="W2451" s="728"/>
      <c r="X2451" s="68">
        <f>X1736/'Terms and Turnovers'!$AD172</f>
        <v>0</v>
      </c>
      <c r="Y2451" s="728"/>
      <c r="Z2451" s="68">
        <f>Z1736/'Terms and Turnovers'!$AD172</f>
        <v>0</v>
      </c>
      <c r="AA2451" s="728"/>
      <c r="AB2451" s="68">
        <f>AB1736/'Terms and Turnovers'!$AD172</f>
        <v>0</v>
      </c>
      <c r="AC2451" s="728"/>
      <c r="AD2451" s="68">
        <f>AD1736/'Terms and Turnovers'!$AD172</f>
        <v>0</v>
      </c>
      <c r="AE2451" s="728"/>
      <c r="AF2451" s="132">
        <f>SUM(T2451,V2451,X2451,Z2451,AB2451,AD2451)</f>
        <v>0</v>
      </c>
      <c r="AG2451" s="728"/>
      <c r="AH2451" s="133">
        <f>SUM(AF2451,R2451)</f>
        <v>0</v>
      </c>
      <c r="AI2451" s="728"/>
      <c r="AJ2451" s="65"/>
      <c r="AV2451" s="56"/>
    </row>
    <row r="2452" spans="2:48" ht="12.75" hidden="1" customHeight="1" outlineLevel="2" thickBot="1">
      <c r="B2452" s="82"/>
      <c r="C2452" s="1234"/>
      <c r="D2452" s="1234"/>
      <c r="E2452" s="84">
        <f>'Terms and Turnovers'!$AN$12</f>
        <v>0</v>
      </c>
      <c r="F2452" s="70">
        <f>F1737/'Terms and Turnovers'!$AN172</f>
        <v>0</v>
      </c>
      <c r="G2452" s="728"/>
      <c r="H2452" s="70">
        <f>H1737/'Terms and Turnovers'!$AN172</f>
        <v>0</v>
      </c>
      <c r="I2452" s="728"/>
      <c r="J2452" s="70">
        <f>J1737/'Terms and Turnovers'!$AN172</f>
        <v>0</v>
      </c>
      <c r="K2452" s="728"/>
      <c r="L2452" s="70">
        <f>L1737/'Terms and Turnovers'!$AN172</f>
        <v>0</v>
      </c>
      <c r="M2452" s="728"/>
      <c r="N2452" s="70">
        <f>N1737/'Terms and Turnovers'!$AN172</f>
        <v>0</v>
      </c>
      <c r="O2452" s="728"/>
      <c r="P2452" s="70">
        <f>P1737/'Terms and Turnovers'!$AN172</f>
        <v>0</v>
      </c>
      <c r="Q2452" s="728"/>
      <c r="R2452" s="132">
        <f>SUM(F2452,H2452,J2452,L2452,N2452,P2452)</f>
        <v>0</v>
      </c>
      <c r="S2452" s="728"/>
      <c r="T2452" s="70">
        <f>T1737/'Terms and Turnovers'!$AN172</f>
        <v>0</v>
      </c>
      <c r="U2452" s="728"/>
      <c r="V2452" s="70">
        <f>V1737/'Terms and Turnovers'!$AN172</f>
        <v>0</v>
      </c>
      <c r="W2452" s="728"/>
      <c r="X2452" s="70">
        <f>X1737/'Terms and Turnovers'!$AN172</f>
        <v>0</v>
      </c>
      <c r="Y2452" s="728"/>
      <c r="Z2452" s="70">
        <f>Z1737/'Terms and Turnovers'!$AN172</f>
        <v>0</v>
      </c>
      <c r="AA2452" s="728"/>
      <c r="AB2452" s="70">
        <f>AB1737/'Terms and Turnovers'!$AN172</f>
        <v>0</v>
      </c>
      <c r="AC2452" s="728"/>
      <c r="AD2452" s="70">
        <f>AD1737/'Terms and Turnovers'!$AN172</f>
        <v>0</v>
      </c>
      <c r="AE2452" s="728"/>
      <c r="AF2452" s="132">
        <f>SUM(T2452,V2452,X2452,Z2452,AB2452,AD2452)</f>
        <v>0</v>
      </c>
      <c r="AG2452" s="728"/>
      <c r="AH2452" s="133">
        <f>SUM(AF2452,R2452)</f>
        <v>0</v>
      </c>
      <c r="AI2452" s="728"/>
      <c r="AJ2452" s="65"/>
      <c r="AV2452" s="56"/>
    </row>
    <row r="2453" spans="2:48" ht="13.5" hidden="1" customHeight="1" outlineLevel="2" thickBot="1">
      <c r="B2453" s="82"/>
      <c r="C2453" s="1235"/>
      <c r="D2453" s="1235"/>
      <c r="E2453" s="85">
        <f>'Terms and Turnovers'!$AX$12</f>
        <v>0</v>
      </c>
      <c r="F2453" s="68">
        <f>F1738/'Terms and Turnovers'!$AX172</f>
        <v>0</v>
      </c>
      <c r="G2453" s="107"/>
      <c r="H2453" s="68">
        <f>H1738/'Terms and Turnovers'!$AX172</f>
        <v>0</v>
      </c>
      <c r="I2453" s="107"/>
      <c r="J2453" s="68">
        <f>J1738/'Terms and Turnovers'!$AX172</f>
        <v>0</v>
      </c>
      <c r="K2453" s="107"/>
      <c r="L2453" s="68">
        <f>L1738/'Terms and Turnovers'!$AX172</f>
        <v>0</v>
      </c>
      <c r="M2453" s="107"/>
      <c r="N2453" s="68">
        <f>N1738/'Terms and Turnovers'!$AX172</f>
        <v>0</v>
      </c>
      <c r="O2453" s="107"/>
      <c r="P2453" s="68">
        <f>P1738/'Terms and Turnovers'!$AX172</f>
        <v>0</v>
      </c>
      <c r="Q2453" s="107"/>
      <c r="R2453" s="135">
        <f>SUM(F2453,H2453,J2453,L2453,N2453,P2453)</f>
        <v>0</v>
      </c>
      <c r="S2453" s="107"/>
      <c r="T2453" s="68">
        <f>T1738/'Terms and Turnovers'!$AX172</f>
        <v>0</v>
      </c>
      <c r="U2453" s="107"/>
      <c r="V2453" s="68">
        <f>V1738/'Terms and Turnovers'!$AX172</f>
        <v>0</v>
      </c>
      <c r="W2453" s="107"/>
      <c r="X2453" s="68">
        <f>X1738/'Terms and Turnovers'!$AX172</f>
        <v>0</v>
      </c>
      <c r="Y2453" s="107"/>
      <c r="Z2453" s="68">
        <f>Z1738/'Terms and Turnovers'!$AX172</f>
        <v>0</v>
      </c>
      <c r="AA2453" s="107"/>
      <c r="AB2453" s="68">
        <f>AB1738/'Terms and Turnovers'!$AX172</f>
        <v>0</v>
      </c>
      <c r="AC2453" s="107"/>
      <c r="AD2453" s="68">
        <f>AD1738/'Terms and Turnovers'!$AX172</f>
        <v>0</v>
      </c>
      <c r="AE2453" s="107"/>
      <c r="AF2453" s="135">
        <f>SUM(T2453,V2453,X2453,Z2453,AB2453,AD2453)</f>
        <v>0</v>
      </c>
      <c r="AG2453" s="107"/>
      <c r="AH2453" s="136">
        <f>SUM(AF2453,R2453)</f>
        <v>0</v>
      </c>
      <c r="AI2453" s="107"/>
      <c r="AJ2453" s="65"/>
      <c r="AV2453" s="56"/>
    </row>
    <row r="2454" spans="2:48" ht="13.5" hidden="1" customHeight="1" outlineLevel="2">
      <c r="B2454" s="82"/>
      <c r="C2454" s="425"/>
      <c r="D2454" s="425"/>
      <c r="E2454" s="634"/>
      <c r="F2454" s="635"/>
      <c r="G2454" s="428"/>
      <c r="H2454" s="635"/>
      <c r="I2454" s="428"/>
      <c r="J2454" s="635"/>
      <c r="K2454" s="636"/>
      <c r="L2454" s="635"/>
      <c r="M2454" s="636"/>
      <c r="N2454" s="635"/>
      <c r="O2454" s="636"/>
      <c r="P2454" s="635"/>
      <c r="Q2454" s="636"/>
      <c r="R2454" s="637"/>
      <c r="S2454" s="698">
        <f>SUM(R1734:R1738)/1.18-(SUM(R2449:R2453)*'Mark Up Validation'!$M$175)</f>
        <v>0</v>
      </c>
      <c r="T2454" s="635"/>
      <c r="U2454" s="636"/>
      <c r="V2454" s="635"/>
      <c r="W2454" s="636"/>
      <c r="X2454" s="635"/>
      <c r="Y2454" s="636"/>
      <c r="Z2454" s="635"/>
      <c r="AA2454" s="636"/>
      <c r="AB2454" s="635"/>
      <c r="AC2454" s="636"/>
      <c r="AD2454" s="635"/>
      <c r="AE2454" s="636"/>
      <c r="AF2454" s="637"/>
      <c r="AG2454" s="698">
        <f>SUM(AF1734:AF1738)/1.18-SUM(AF2449:AF2453)*'Mark Up Validation'!$M$175</f>
        <v>0</v>
      </c>
      <c r="AH2454" s="638"/>
      <c r="AI2454" s="698">
        <f>SUM(AH1734:AH1738)/1.18-SUM(AH2449:AH2453)*'Mark Up Validation'!$M$175</f>
        <v>0</v>
      </c>
      <c r="AJ2454" s="65"/>
      <c r="AV2454" s="56"/>
    </row>
    <row r="2455" spans="2:48" ht="13.5" hidden="1" customHeight="1" outlineLevel="2" thickBot="1">
      <c r="B2455" s="82"/>
      <c r="C2455" s="1228" t="s">
        <v>538</v>
      </c>
      <c r="D2455" s="1229"/>
      <c r="E2455" s="699"/>
      <c r="F2455" s="700"/>
      <c r="G2455" s="701"/>
      <c r="H2455" s="700"/>
      <c r="I2455" s="701"/>
      <c r="J2455" s="700"/>
      <c r="K2455" s="702"/>
      <c r="L2455" s="700"/>
      <c r="M2455" s="702"/>
      <c r="N2455" s="700"/>
      <c r="O2455" s="702"/>
      <c r="P2455" s="700"/>
      <c r="Q2455" s="702"/>
      <c r="R2455" s="703"/>
      <c r="S2455" s="729">
        <f>IF(S2454&gt;0,S2454/(SUM(R1734:R1738)/1.18),0)</f>
        <v>0</v>
      </c>
      <c r="T2455" s="700"/>
      <c r="U2455" s="702"/>
      <c r="V2455" s="700"/>
      <c r="W2455" s="702"/>
      <c r="X2455" s="700"/>
      <c r="Y2455" s="702"/>
      <c r="Z2455" s="700"/>
      <c r="AA2455" s="702"/>
      <c r="AB2455" s="700"/>
      <c r="AC2455" s="702"/>
      <c r="AD2455" s="700"/>
      <c r="AE2455" s="702"/>
      <c r="AF2455" s="705"/>
      <c r="AG2455" s="729">
        <f>IF(AG2454&gt;0,AG2454/(SUM(AF1734:AF1738)/1.18),0)</f>
        <v>0</v>
      </c>
      <c r="AH2455" s="706"/>
      <c r="AI2455" s="729">
        <f>IF(AI2454&gt;0,AI2454/(SUM(AH1734:AH1738)/1.18),0)</f>
        <v>0</v>
      </c>
      <c r="AJ2455" s="65"/>
      <c r="AV2455" s="56"/>
    </row>
    <row r="2456" spans="2:48" ht="12.75" hidden="1" customHeight="1" outlineLevel="2">
      <c r="B2456" s="82">
        <f>B2449+1</f>
        <v>42</v>
      </c>
      <c r="C2456" s="1233">
        <f>C1741</f>
        <v>0</v>
      </c>
      <c r="D2456" s="1233">
        <f>D1741</f>
        <v>0</v>
      </c>
      <c r="E2456" s="83" t="str">
        <f>'Terms and Turnovers'!$J$12</f>
        <v>FLIP-FLOPS</v>
      </c>
      <c r="F2456" s="68">
        <f>F1741/'Terms and Turnovers'!$J173</f>
        <v>0</v>
      </c>
      <c r="G2456" s="106"/>
      <c r="H2456" s="68">
        <f>H1741/'Terms and Turnovers'!$J173</f>
        <v>0</v>
      </c>
      <c r="I2456" s="106"/>
      <c r="J2456" s="68">
        <f>J1741/'Terms and Turnovers'!$J173</f>
        <v>0</v>
      </c>
      <c r="K2456" s="106"/>
      <c r="L2456" s="68">
        <f>L1741/'Terms and Turnovers'!$J173</f>
        <v>0</v>
      </c>
      <c r="M2456" s="106"/>
      <c r="N2456" s="68">
        <f>N1741/'Terms and Turnovers'!$J173</f>
        <v>0</v>
      </c>
      <c r="O2456" s="106"/>
      <c r="P2456" s="68">
        <f>P1741/'Terms and Turnovers'!$J173</f>
        <v>0</v>
      </c>
      <c r="Q2456" s="106"/>
      <c r="R2456" s="129">
        <f>SUM(F2456,H2456,J2456,L2456,N2456,P2456)</f>
        <v>0</v>
      </c>
      <c r="S2456" s="106"/>
      <c r="T2456" s="68">
        <f>T1741/'Terms and Turnovers'!$J173</f>
        <v>0</v>
      </c>
      <c r="U2456" s="106"/>
      <c r="V2456" s="68">
        <f>V1741/'Terms and Turnovers'!$J173</f>
        <v>0</v>
      </c>
      <c r="W2456" s="106"/>
      <c r="X2456" s="68">
        <f>X1741/'Terms and Turnovers'!$J173</f>
        <v>0</v>
      </c>
      <c r="Y2456" s="106"/>
      <c r="Z2456" s="68">
        <f>Z1741/'Terms and Turnovers'!$J173</f>
        <v>0</v>
      </c>
      <c r="AA2456" s="106"/>
      <c r="AB2456" s="68">
        <f>AB1741/'Terms and Turnovers'!$J173</f>
        <v>0</v>
      </c>
      <c r="AC2456" s="106"/>
      <c r="AD2456" s="68">
        <f>AD1741/'Terms and Turnovers'!$J173</f>
        <v>0</v>
      </c>
      <c r="AE2456" s="106"/>
      <c r="AF2456" s="129">
        <f>SUM(T2456,V2456,X2456,Z2456,AB2456,AD2456)</f>
        <v>0</v>
      </c>
      <c r="AG2456" s="106"/>
      <c r="AH2456" s="130">
        <f>SUM(AF2456,R2456)</f>
        <v>0</v>
      </c>
      <c r="AI2456" s="106"/>
      <c r="AJ2456" s="65"/>
      <c r="AV2456" s="56"/>
    </row>
    <row r="2457" spans="2:48" ht="12.75" hidden="1" customHeight="1" outlineLevel="2" thickBot="1">
      <c r="B2457" s="82"/>
      <c r="C2457" s="1234"/>
      <c r="D2457" s="1234"/>
      <c r="E2457" s="84" t="str">
        <f>'Terms and Turnovers'!$T$12</f>
        <v>ORIGINALS</v>
      </c>
      <c r="F2457" s="70">
        <f>F1742/'Terms and Turnovers'!$T173</f>
        <v>0</v>
      </c>
      <c r="G2457" s="728"/>
      <c r="H2457" s="70">
        <f>H1742/'Terms and Turnovers'!$T173</f>
        <v>0</v>
      </c>
      <c r="I2457" s="728"/>
      <c r="J2457" s="70">
        <f>J1742/'Terms and Turnovers'!$T173</f>
        <v>0</v>
      </c>
      <c r="K2457" s="728"/>
      <c r="L2457" s="70">
        <f>L1742/'Terms and Turnovers'!$T173</f>
        <v>0</v>
      </c>
      <c r="M2457" s="728"/>
      <c r="N2457" s="70">
        <f>N1742/'Terms and Turnovers'!$T173</f>
        <v>0</v>
      </c>
      <c r="O2457" s="728"/>
      <c r="P2457" s="70">
        <f>P1742/'Terms and Turnovers'!$T173</f>
        <v>0</v>
      </c>
      <c r="Q2457" s="728"/>
      <c r="R2457" s="132">
        <f>SUM(F2457,H2457,J2457,L2457,N2457,P2457)</f>
        <v>0</v>
      </c>
      <c r="S2457" s="728"/>
      <c r="T2457" s="70">
        <f>T1742/'Terms and Turnovers'!$T173</f>
        <v>0</v>
      </c>
      <c r="U2457" s="728"/>
      <c r="V2457" s="70">
        <f>V1742/'Terms and Turnovers'!$T173</f>
        <v>0</v>
      </c>
      <c r="W2457" s="728"/>
      <c r="X2457" s="70">
        <f>X1742/'Terms and Turnovers'!$T173</f>
        <v>0</v>
      </c>
      <c r="Y2457" s="728"/>
      <c r="Z2457" s="70">
        <f>Z1742/'Terms and Turnovers'!$T173</f>
        <v>0</v>
      </c>
      <c r="AA2457" s="728"/>
      <c r="AB2457" s="70">
        <f>AB1742/'Terms and Turnovers'!$T173</f>
        <v>0</v>
      </c>
      <c r="AC2457" s="728"/>
      <c r="AD2457" s="70">
        <f>AD1742/'Terms and Turnovers'!$T173</f>
        <v>0</v>
      </c>
      <c r="AE2457" s="728"/>
      <c r="AF2457" s="132">
        <f>SUM(T2457,V2457,X2457,Z2457,AB2457,AD2457)</f>
        <v>0</v>
      </c>
      <c r="AG2457" s="728"/>
      <c r="AH2457" s="133">
        <f>SUM(AF2457,R2457)</f>
        <v>0</v>
      </c>
      <c r="AI2457" s="728"/>
      <c r="AJ2457" s="65"/>
      <c r="AV2457" s="56"/>
    </row>
    <row r="2458" spans="2:48" ht="12.75" hidden="1" customHeight="1" outlineLevel="2">
      <c r="B2458" s="82"/>
      <c r="C2458" s="1234"/>
      <c r="D2458" s="1234"/>
      <c r="E2458" s="84" t="str">
        <f>'Terms and Turnovers'!$AD$12</f>
        <v>ACCESSORIES</v>
      </c>
      <c r="F2458" s="68">
        <f>F1743/'Terms and Turnovers'!$AD173</f>
        <v>0</v>
      </c>
      <c r="G2458" s="728"/>
      <c r="H2458" s="68">
        <f>H1743/'Terms and Turnovers'!$AD173</f>
        <v>0</v>
      </c>
      <c r="I2458" s="728"/>
      <c r="J2458" s="68">
        <f>J1743/'Terms and Turnovers'!$AD173</f>
        <v>0</v>
      </c>
      <c r="K2458" s="728"/>
      <c r="L2458" s="68">
        <f>L1743/'Terms and Turnovers'!$AD173</f>
        <v>0</v>
      </c>
      <c r="M2458" s="728"/>
      <c r="N2458" s="68">
        <f>N1743/'Terms and Turnovers'!$AD173</f>
        <v>0</v>
      </c>
      <c r="O2458" s="728"/>
      <c r="P2458" s="68">
        <f>P1743/'Terms and Turnovers'!$AD173</f>
        <v>0</v>
      </c>
      <c r="Q2458" s="728"/>
      <c r="R2458" s="132">
        <f>SUM(F2458,H2458,J2458,L2458,N2458,P2458)</f>
        <v>0</v>
      </c>
      <c r="S2458" s="728"/>
      <c r="T2458" s="68">
        <f>T1743/'Terms and Turnovers'!$AD173</f>
        <v>0</v>
      </c>
      <c r="U2458" s="728"/>
      <c r="V2458" s="68">
        <f>V1743/'Terms and Turnovers'!$AD173</f>
        <v>0</v>
      </c>
      <c r="W2458" s="728"/>
      <c r="X2458" s="68">
        <f>X1743/'Terms and Turnovers'!$AD173</f>
        <v>0</v>
      </c>
      <c r="Y2458" s="728"/>
      <c r="Z2458" s="68">
        <f>Z1743/'Terms and Turnovers'!$AD173</f>
        <v>0</v>
      </c>
      <c r="AA2458" s="728"/>
      <c r="AB2458" s="68">
        <f>AB1743/'Terms and Turnovers'!$AD173</f>
        <v>0</v>
      </c>
      <c r="AC2458" s="728"/>
      <c r="AD2458" s="68">
        <f>AD1743/'Terms and Turnovers'!$AD173</f>
        <v>0</v>
      </c>
      <c r="AE2458" s="728"/>
      <c r="AF2458" s="132">
        <f>SUM(T2458,V2458,X2458,Z2458,AB2458,AD2458)</f>
        <v>0</v>
      </c>
      <c r="AG2458" s="728"/>
      <c r="AH2458" s="133">
        <f>SUM(AF2458,R2458)</f>
        <v>0</v>
      </c>
      <c r="AI2458" s="728"/>
      <c r="AJ2458" s="65"/>
      <c r="AV2458" s="56"/>
    </row>
    <row r="2459" spans="2:48" ht="12.75" hidden="1" customHeight="1" outlineLevel="2" thickBot="1">
      <c r="B2459" s="82"/>
      <c r="C2459" s="1234"/>
      <c r="D2459" s="1234"/>
      <c r="E2459" s="84">
        <f>'Terms and Turnovers'!$AN$12</f>
        <v>0</v>
      </c>
      <c r="F2459" s="70">
        <f>F1744/'Terms and Turnovers'!$AN173</f>
        <v>0</v>
      </c>
      <c r="G2459" s="728"/>
      <c r="H2459" s="70">
        <f>H1744/'Terms and Turnovers'!$AN173</f>
        <v>0</v>
      </c>
      <c r="I2459" s="728"/>
      <c r="J2459" s="70">
        <f>J1744/'Terms and Turnovers'!$AN173</f>
        <v>0</v>
      </c>
      <c r="K2459" s="728"/>
      <c r="L2459" s="70">
        <f>L1744/'Terms and Turnovers'!$AN173</f>
        <v>0</v>
      </c>
      <c r="M2459" s="728"/>
      <c r="N2459" s="70">
        <f>N1744/'Terms and Turnovers'!$AN173</f>
        <v>0</v>
      </c>
      <c r="O2459" s="728"/>
      <c r="P2459" s="70">
        <f>P1744/'Terms and Turnovers'!$AN173</f>
        <v>0</v>
      </c>
      <c r="Q2459" s="728"/>
      <c r="R2459" s="132">
        <f>SUM(F2459,H2459,J2459,L2459,N2459,P2459)</f>
        <v>0</v>
      </c>
      <c r="S2459" s="728"/>
      <c r="T2459" s="70">
        <f>T1744/'Terms and Turnovers'!$AN173</f>
        <v>0</v>
      </c>
      <c r="U2459" s="728"/>
      <c r="V2459" s="70">
        <f>V1744/'Terms and Turnovers'!$AN173</f>
        <v>0</v>
      </c>
      <c r="W2459" s="728"/>
      <c r="X2459" s="70">
        <f>X1744/'Terms and Turnovers'!$AN173</f>
        <v>0</v>
      </c>
      <c r="Y2459" s="728"/>
      <c r="Z2459" s="70">
        <f>Z1744/'Terms and Turnovers'!$AN173</f>
        <v>0</v>
      </c>
      <c r="AA2459" s="728"/>
      <c r="AB2459" s="70">
        <f>AB1744/'Terms and Turnovers'!$AN173</f>
        <v>0</v>
      </c>
      <c r="AC2459" s="728"/>
      <c r="AD2459" s="70">
        <f>AD1744/'Terms and Turnovers'!$AN173</f>
        <v>0</v>
      </c>
      <c r="AE2459" s="728"/>
      <c r="AF2459" s="132">
        <f>SUM(T2459,V2459,X2459,Z2459,AB2459,AD2459)</f>
        <v>0</v>
      </c>
      <c r="AG2459" s="728"/>
      <c r="AH2459" s="133">
        <f>SUM(AF2459,R2459)</f>
        <v>0</v>
      </c>
      <c r="AI2459" s="728"/>
      <c r="AJ2459" s="65"/>
      <c r="AV2459" s="56"/>
    </row>
    <row r="2460" spans="2:48" ht="13.5" hidden="1" customHeight="1" outlineLevel="2" thickBot="1">
      <c r="B2460" s="82"/>
      <c r="C2460" s="1235"/>
      <c r="D2460" s="1235"/>
      <c r="E2460" s="85">
        <f>'Terms and Turnovers'!$AX$12</f>
        <v>0</v>
      </c>
      <c r="F2460" s="68">
        <f>F1745/'Terms and Turnovers'!$AX173</f>
        <v>0</v>
      </c>
      <c r="G2460" s="107"/>
      <c r="H2460" s="68">
        <f>H1745/'Terms and Turnovers'!$AX173</f>
        <v>0</v>
      </c>
      <c r="I2460" s="107"/>
      <c r="J2460" s="68">
        <f>J1745/'Terms and Turnovers'!$AX173</f>
        <v>0</v>
      </c>
      <c r="K2460" s="107"/>
      <c r="L2460" s="68">
        <f>L1745/'Terms and Turnovers'!$AX173</f>
        <v>0</v>
      </c>
      <c r="M2460" s="107"/>
      <c r="N2460" s="68">
        <f>N1745/'Terms and Turnovers'!$AX173</f>
        <v>0</v>
      </c>
      <c r="O2460" s="107"/>
      <c r="P2460" s="68">
        <f>P1745/'Terms and Turnovers'!$AX173</f>
        <v>0</v>
      </c>
      <c r="Q2460" s="107"/>
      <c r="R2460" s="135">
        <f>SUM(F2460,H2460,J2460,L2460,N2460,P2460)</f>
        <v>0</v>
      </c>
      <c r="S2460" s="107"/>
      <c r="T2460" s="68">
        <f>T1745/'Terms and Turnovers'!$AX173</f>
        <v>0</v>
      </c>
      <c r="U2460" s="107"/>
      <c r="V2460" s="68">
        <f>V1745/'Terms and Turnovers'!$AX173</f>
        <v>0</v>
      </c>
      <c r="W2460" s="107"/>
      <c r="X2460" s="68">
        <f>X1745/'Terms and Turnovers'!$AX173</f>
        <v>0</v>
      </c>
      <c r="Y2460" s="107"/>
      <c r="Z2460" s="68">
        <f>Z1745/'Terms and Turnovers'!$AX173</f>
        <v>0</v>
      </c>
      <c r="AA2460" s="107"/>
      <c r="AB2460" s="68">
        <f>AB1745/'Terms and Turnovers'!$AX173</f>
        <v>0</v>
      </c>
      <c r="AC2460" s="107"/>
      <c r="AD2460" s="68">
        <f>AD1745/'Terms and Turnovers'!$AX173</f>
        <v>0</v>
      </c>
      <c r="AE2460" s="107"/>
      <c r="AF2460" s="135">
        <f>SUM(T2460,V2460,X2460,Z2460,AB2460,AD2460)</f>
        <v>0</v>
      </c>
      <c r="AG2460" s="107"/>
      <c r="AH2460" s="136">
        <f>SUM(AF2460,R2460)</f>
        <v>0</v>
      </c>
      <c r="AI2460" s="107"/>
      <c r="AJ2460" s="65"/>
      <c r="AV2460" s="56"/>
    </row>
    <row r="2461" spans="2:48" ht="13.5" hidden="1" customHeight="1" outlineLevel="2">
      <c r="B2461" s="82"/>
      <c r="C2461" s="425"/>
      <c r="D2461" s="425"/>
      <c r="E2461" s="634"/>
      <c r="F2461" s="635"/>
      <c r="G2461" s="428"/>
      <c r="H2461" s="635"/>
      <c r="I2461" s="428"/>
      <c r="J2461" s="635"/>
      <c r="K2461" s="636"/>
      <c r="L2461" s="635"/>
      <c r="M2461" s="636"/>
      <c r="N2461" s="635"/>
      <c r="O2461" s="636"/>
      <c r="P2461" s="635"/>
      <c r="Q2461" s="636"/>
      <c r="R2461" s="637"/>
      <c r="S2461" s="698">
        <f>SUM(R1741:R1745)/1.18-(SUM(R2456:R2460)*'Mark Up Validation'!$M$175)</f>
        <v>0</v>
      </c>
      <c r="T2461" s="635"/>
      <c r="U2461" s="636"/>
      <c r="V2461" s="635"/>
      <c r="W2461" s="636"/>
      <c r="X2461" s="635"/>
      <c r="Y2461" s="636"/>
      <c r="Z2461" s="635"/>
      <c r="AA2461" s="636"/>
      <c r="AB2461" s="635"/>
      <c r="AC2461" s="636"/>
      <c r="AD2461" s="635"/>
      <c r="AE2461" s="636"/>
      <c r="AF2461" s="637"/>
      <c r="AG2461" s="698">
        <f>SUM(AF1741:AF1745)/1.18-SUM(AF2456:AF2460)*'Mark Up Validation'!$M$175</f>
        <v>0</v>
      </c>
      <c r="AH2461" s="638"/>
      <c r="AI2461" s="698">
        <f>SUM(AH1741:AH1745)/1.18-SUM(AH2456:AH2460)*'Mark Up Validation'!$M$175</f>
        <v>0</v>
      </c>
      <c r="AJ2461" s="65"/>
      <c r="AV2461" s="56"/>
    </row>
    <row r="2462" spans="2:48" ht="13.5" hidden="1" customHeight="1" outlineLevel="2" thickBot="1">
      <c r="B2462" s="82"/>
      <c r="C2462" s="1228" t="s">
        <v>538</v>
      </c>
      <c r="D2462" s="1229"/>
      <c r="E2462" s="699"/>
      <c r="F2462" s="700"/>
      <c r="G2462" s="701"/>
      <c r="H2462" s="700"/>
      <c r="I2462" s="701"/>
      <c r="J2462" s="700"/>
      <c r="K2462" s="702"/>
      <c r="L2462" s="700"/>
      <c r="M2462" s="702"/>
      <c r="N2462" s="700"/>
      <c r="O2462" s="702"/>
      <c r="P2462" s="700"/>
      <c r="Q2462" s="702"/>
      <c r="R2462" s="703"/>
      <c r="S2462" s="729">
        <f>IF(S2461&gt;0,S2461/(SUM(R1741:R1745)/1.18),0)</f>
        <v>0</v>
      </c>
      <c r="T2462" s="700"/>
      <c r="U2462" s="702"/>
      <c r="V2462" s="700"/>
      <c r="W2462" s="702"/>
      <c r="X2462" s="700"/>
      <c r="Y2462" s="702"/>
      <c r="Z2462" s="700"/>
      <c r="AA2462" s="702"/>
      <c r="AB2462" s="700"/>
      <c r="AC2462" s="702"/>
      <c r="AD2462" s="700"/>
      <c r="AE2462" s="702"/>
      <c r="AF2462" s="705"/>
      <c r="AG2462" s="729">
        <f>IF(AG2461&gt;0,AG2461/(SUM(AF1741:AF1745)/1.18),0)</f>
        <v>0</v>
      </c>
      <c r="AH2462" s="706"/>
      <c r="AI2462" s="729">
        <f>IF(AI2461&gt;0,AI2461/(SUM(AH1741:AH1745)/1.18),0)</f>
        <v>0</v>
      </c>
      <c r="AJ2462" s="65"/>
      <c r="AV2462" s="56"/>
    </row>
    <row r="2463" spans="2:48" ht="12.75" hidden="1" customHeight="1" outlineLevel="2">
      <c r="B2463" s="82">
        <f>B2456+1</f>
        <v>43</v>
      </c>
      <c r="C2463" s="1233">
        <f>C1748</f>
        <v>0</v>
      </c>
      <c r="D2463" s="1233">
        <f>D1748</f>
        <v>0</v>
      </c>
      <c r="E2463" s="83" t="str">
        <f>'Terms and Turnovers'!$J$12</f>
        <v>FLIP-FLOPS</v>
      </c>
      <c r="F2463" s="68">
        <f>F1748/'Terms and Turnovers'!$J174</f>
        <v>0</v>
      </c>
      <c r="G2463" s="106"/>
      <c r="H2463" s="68">
        <f>H1748/'Terms and Turnovers'!$J174</f>
        <v>0</v>
      </c>
      <c r="I2463" s="106"/>
      <c r="J2463" s="68">
        <f>J1748/'Terms and Turnovers'!$J174</f>
        <v>0</v>
      </c>
      <c r="K2463" s="106"/>
      <c r="L2463" s="68">
        <f>L1748/'Terms and Turnovers'!$J174</f>
        <v>0</v>
      </c>
      <c r="M2463" s="106"/>
      <c r="N2463" s="68">
        <f>N1748/'Terms and Turnovers'!$J174</f>
        <v>0</v>
      </c>
      <c r="O2463" s="106"/>
      <c r="P2463" s="68">
        <f>P1748/'Terms and Turnovers'!$J174</f>
        <v>0</v>
      </c>
      <c r="Q2463" s="106"/>
      <c r="R2463" s="129">
        <f>SUM(F2463,H2463,J2463,L2463,N2463,P2463)</f>
        <v>0</v>
      </c>
      <c r="S2463" s="106"/>
      <c r="T2463" s="68">
        <f>T1748/'Terms and Turnovers'!$J174</f>
        <v>0</v>
      </c>
      <c r="U2463" s="106"/>
      <c r="V2463" s="68">
        <f>V1748/'Terms and Turnovers'!$J174</f>
        <v>0</v>
      </c>
      <c r="W2463" s="106"/>
      <c r="X2463" s="68">
        <f>X1748/'Terms and Turnovers'!$J174</f>
        <v>0</v>
      </c>
      <c r="Y2463" s="106"/>
      <c r="Z2463" s="68">
        <f>Z1748/'Terms and Turnovers'!$J174</f>
        <v>0</v>
      </c>
      <c r="AA2463" s="106"/>
      <c r="AB2463" s="68">
        <f>AB1748/'Terms and Turnovers'!$J174</f>
        <v>0</v>
      </c>
      <c r="AC2463" s="106"/>
      <c r="AD2463" s="68">
        <f>AD1748/'Terms and Turnovers'!$J174</f>
        <v>0</v>
      </c>
      <c r="AE2463" s="106"/>
      <c r="AF2463" s="129">
        <f>SUM(T2463,V2463,X2463,Z2463,AB2463,AD2463)</f>
        <v>0</v>
      </c>
      <c r="AG2463" s="106"/>
      <c r="AH2463" s="130">
        <f>SUM(AF2463,R2463)</f>
        <v>0</v>
      </c>
      <c r="AI2463" s="106"/>
      <c r="AJ2463" s="65"/>
      <c r="AV2463" s="56"/>
    </row>
    <row r="2464" spans="2:48" ht="12.75" hidden="1" customHeight="1" outlineLevel="2" thickBot="1">
      <c r="B2464" s="82"/>
      <c r="C2464" s="1234"/>
      <c r="D2464" s="1234"/>
      <c r="E2464" s="84" t="str">
        <f>'Terms and Turnovers'!$T$12</f>
        <v>ORIGINALS</v>
      </c>
      <c r="F2464" s="70">
        <f>F1749/'Terms and Turnovers'!$T174</f>
        <v>0</v>
      </c>
      <c r="G2464" s="728"/>
      <c r="H2464" s="70">
        <f>H1749/'Terms and Turnovers'!$T174</f>
        <v>0</v>
      </c>
      <c r="I2464" s="728"/>
      <c r="J2464" s="70">
        <f>J1749/'Terms and Turnovers'!$T174</f>
        <v>0</v>
      </c>
      <c r="K2464" s="728"/>
      <c r="L2464" s="70">
        <f>L1749/'Terms and Turnovers'!$T174</f>
        <v>0</v>
      </c>
      <c r="M2464" s="728"/>
      <c r="N2464" s="70">
        <f>N1749/'Terms and Turnovers'!$T174</f>
        <v>0</v>
      </c>
      <c r="O2464" s="728"/>
      <c r="P2464" s="70">
        <f>P1749/'Terms and Turnovers'!$T174</f>
        <v>0</v>
      </c>
      <c r="Q2464" s="728"/>
      <c r="R2464" s="132">
        <f>SUM(F2464,H2464,J2464,L2464,N2464,P2464)</f>
        <v>0</v>
      </c>
      <c r="S2464" s="728"/>
      <c r="T2464" s="70">
        <f>T1749/'Terms and Turnovers'!$T174</f>
        <v>0</v>
      </c>
      <c r="U2464" s="728"/>
      <c r="V2464" s="70">
        <f>V1749/'Terms and Turnovers'!$T174</f>
        <v>0</v>
      </c>
      <c r="W2464" s="728"/>
      <c r="X2464" s="70">
        <f>X1749/'Terms and Turnovers'!$T174</f>
        <v>0</v>
      </c>
      <c r="Y2464" s="728"/>
      <c r="Z2464" s="70">
        <f>Z1749/'Terms and Turnovers'!$T174</f>
        <v>0</v>
      </c>
      <c r="AA2464" s="728"/>
      <c r="AB2464" s="70">
        <f>AB1749/'Terms and Turnovers'!$T174</f>
        <v>0</v>
      </c>
      <c r="AC2464" s="728"/>
      <c r="AD2464" s="70">
        <f>AD1749/'Terms and Turnovers'!$T174</f>
        <v>0</v>
      </c>
      <c r="AE2464" s="728"/>
      <c r="AF2464" s="132">
        <f>SUM(T2464,V2464,X2464,Z2464,AB2464,AD2464)</f>
        <v>0</v>
      </c>
      <c r="AG2464" s="728"/>
      <c r="AH2464" s="133">
        <f>SUM(AF2464,R2464)</f>
        <v>0</v>
      </c>
      <c r="AI2464" s="728"/>
      <c r="AJ2464" s="65"/>
      <c r="AV2464" s="56"/>
    </row>
    <row r="2465" spans="2:48" ht="12.75" hidden="1" customHeight="1" outlineLevel="2">
      <c r="B2465" s="82"/>
      <c r="C2465" s="1234"/>
      <c r="D2465" s="1234"/>
      <c r="E2465" s="84" t="str">
        <f>'Terms and Turnovers'!$AD$12</f>
        <v>ACCESSORIES</v>
      </c>
      <c r="F2465" s="68">
        <f>F1750/'Terms and Turnovers'!$AD174</f>
        <v>0</v>
      </c>
      <c r="G2465" s="728"/>
      <c r="H2465" s="68">
        <f>H1750/'Terms and Turnovers'!$AD174</f>
        <v>0</v>
      </c>
      <c r="I2465" s="728"/>
      <c r="J2465" s="68">
        <f>J1750/'Terms and Turnovers'!$AD174</f>
        <v>0</v>
      </c>
      <c r="K2465" s="728"/>
      <c r="L2465" s="68">
        <f>L1750/'Terms and Turnovers'!$AD174</f>
        <v>0</v>
      </c>
      <c r="M2465" s="728"/>
      <c r="N2465" s="68">
        <f>N1750/'Terms and Turnovers'!$AD174</f>
        <v>0</v>
      </c>
      <c r="O2465" s="728"/>
      <c r="P2465" s="68">
        <f>P1750/'Terms and Turnovers'!$AD174</f>
        <v>0</v>
      </c>
      <c r="Q2465" s="728"/>
      <c r="R2465" s="132">
        <f>SUM(F2465,H2465,J2465,L2465,N2465,P2465)</f>
        <v>0</v>
      </c>
      <c r="S2465" s="728"/>
      <c r="T2465" s="68">
        <f>T1750/'Terms and Turnovers'!$AD174</f>
        <v>0</v>
      </c>
      <c r="U2465" s="728"/>
      <c r="V2465" s="68">
        <f>V1750/'Terms and Turnovers'!$AD174</f>
        <v>0</v>
      </c>
      <c r="W2465" s="728"/>
      <c r="X2465" s="68">
        <f>X1750/'Terms and Turnovers'!$AD174</f>
        <v>0</v>
      </c>
      <c r="Y2465" s="728"/>
      <c r="Z2465" s="68">
        <f>Z1750/'Terms and Turnovers'!$AD174</f>
        <v>0</v>
      </c>
      <c r="AA2465" s="728"/>
      <c r="AB2465" s="68">
        <f>AB1750/'Terms and Turnovers'!$AD174</f>
        <v>0</v>
      </c>
      <c r="AC2465" s="728"/>
      <c r="AD2465" s="68">
        <f>AD1750/'Terms and Turnovers'!$AD174</f>
        <v>0</v>
      </c>
      <c r="AE2465" s="728"/>
      <c r="AF2465" s="132">
        <f>SUM(T2465,V2465,X2465,Z2465,AB2465,AD2465)</f>
        <v>0</v>
      </c>
      <c r="AG2465" s="728"/>
      <c r="AH2465" s="133">
        <f>SUM(AF2465,R2465)</f>
        <v>0</v>
      </c>
      <c r="AI2465" s="728"/>
      <c r="AJ2465" s="65"/>
      <c r="AV2465" s="56"/>
    </row>
    <row r="2466" spans="2:48" ht="12.75" hidden="1" customHeight="1" outlineLevel="2" thickBot="1">
      <c r="B2466" s="82"/>
      <c r="C2466" s="1234"/>
      <c r="D2466" s="1234"/>
      <c r="E2466" s="84">
        <f>'Terms and Turnovers'!$AN$12</f>
        <v>0</v>
      </c>
      <c r="F2466" s="70">
        <f>F1751/'Terms and Turnovers'!$AN174</f>
        <v>0</v>
      </c>
      <c r="G2466" s="728"/>
      <c r="H2466" s="70">
        <f>H1751/'Terms and Turnovers'!$AN174</f>
        <v>0</v>
      </c>
      <c r="I2466" s="728"/>
      <c r="J2466" s="70">
        <f>J1751/'Terms and Turnovers'!$AN174</f>
        <v>0</v>
      </c>
      <c r="K2466" s="728"/>
      <c r="L2466" s="70">
        <f>L1751/'Terms and Turnovers'!$AN174</f>
        <v>0</v>
      </c>
      <c r="M2466" s="728"/>
      <c r="N2466" s="70">
        <f>N1751/'Terms and Turnovers'!$AN174</f>
        <v>0</v>
      </c>
      <c r="O2466" s="728"/>
      <c r="P2466" s="70">
        <f>P1751/'Terms and Turnovers'!$AN174</f>
        <v>0</v>
      </c>
      <c r="Q2466" s="728"/>
      <c r="R2466" s="132">
        <f>SUM(F2466,H2466,J2466,L2466,N2466,P2466)</f>
        <v>0</v>
      </c>
      <c r="S2466" s="728"/>
      <c r="T2466" s="70">
        <f>T1751/'Terms and Turnovers'!$AN174</f>
        <v>0</v>
      </c>
      <c r="U2466" s="728"/>
      <c r="V2466" s="70">
        <f>V1751/'Terms and Turnovers'!$AN174</f>
        <v>0</v>
      </c>
      <c r="W2466" s="728"/>
      <c r="X2466" s="70">
        <f>X1751/'Terms and Turnovers'!$AN174</f>
        <v>0</v>
      </c>
      <c r="Y2466" s="728"/>
      <c r="Z2466" s="70">
        <f>Z1751/'Terms and Turnovers'!$AN174</f>
        <v>0</v>
      </c>
      <c r="AA2466" s="728"/>
      <c r="AB2466" s="70">
        <f>AB1751/'Terms and Turnovers'!$AN174</f>
        <v>0</v>
      </c>
      <c r="AC2466" s="728"/>
      <c r="AD2466" s="70">
        <f>AD1751/'Terms and Turnovers'!$AN174</f>
        <v>0</v>
      </c>
      <c r="AE2466" s="728"/>
      <c r="AF2466" s="132">
        <f>SUM(T2466,V2466,X2466,Z2466,AB2466,AD2466)</f>
        <v>0</v>
      </c>
      <c r="AG2466" s="728"/>
      <c r="AH2466" s="133">
        <f>SUM(AF2466,R2466)</f>
        <v>0</v>
      </c>
      <c r="AI2466" s="728"/>
      <c r="AJ2466" s="65"/>
      <c r="AV2466" s="56"/>
    </row>
    <row r="2467" spans="2:48" ht="13.5" hidden="1" customHeight="1" outlineLevel="2" thickBot="1">
      <c r="B2467" s="82"/>
      <c r="C2467" s="1235"/>
      <c r="D2467" s="1235"/>
      <c r="E2467" s="85">
        <f>'Terms and Turnovers'!$AX$12</f>
        <v>0</v>
      </c>
      <c r="F2467" s="68">
        <f>F1752/'Terms and Turnovers'!$AX174</f>
        <v>0</v>
      </c>
      <c r="G2467" s="107"/>
      <c r="H2467" s="68">
        <f>H1752/'Terms and Turnovers'!$AX174</f>
        <v>0</v>
      </c>
      <c r="I2467" s="107"/>
      <c r="J2467" s="68">
        <f>J1752/'Terms and Turnovers'!$AX174</f>
        <v>0</v>
      </c>
      <c r="K2467" s="107"/>
      <c r="L2467" s="68">
        <f>L1752/'Terms and Turnovers'!$AX174</f>
        <v>0</v>
      </c>
      <c r="M2467" s="107"/>
      <c r="N2467" s="68">
        <f>N1752/'Terms and Turnovers'!$AX174</f>
        <v>0</v>
      </c>
      <c r="O2467" s="107"/>
      <c r="P2467" s="68">
        <f>P1752/'Terms and Turnovers'!$AX174</f>
        <v>0</v>
      </c>
      <c r="Q2467" s="107"/>
      <c r="R2467" s="135">
        <f>SUM(F2467,H2467,J2467,L2467,N2467,P2467)</f>
        <v>0</v>
      </c>
      <c r="S2467" s="107"/>
      <c r="T2467" s="68">
        <f>T1752/'Terms and Turnovers'!$AX174</f>
        <v>0</v>
      </c>
      <c r="U2467" s="107"/>
      <c r="V2467" s="68">
        <f>V1752/'Terms and Turnovers'!$AX174</f>
        <v>0</v>
      </c>
      <c r="W2467" s="107"/>
      <c r="X2467" s="68">
        <f>X1752/'Terms and Turnovers'!$AX174</f>
        <v>0</v>
      </c>
      <c r="Y2467" s="107"/>
      <c r="Z2467" s="68">
        <f>Z1752/'Terms and Turnovers'!$AX174</f>
        <v>0</v>
      </c>
      <c r="AA2467" s="107"/>
      <c r="AB2467" s="68">
        <f>AB1752/'Terms and Turnovers'!$AX174</f>
        <v>0</v>
      </c>
      <c r="AC2467" s="107"/>
      <c r="AD2467" s="68">
        <f>AD1752/'Terms and Turnovers'!$AX174</f>
        <v>0</v>
      </c>
      <c r="AE2467" s="107"/>
      <c r="AF2467" s="135">
        <f>SUM(T2467,V2467,X2467,Z2467,AB2467,AD2467)</f>
        <v>0</v>
      </c>
      <c r="AG2467" s="107"/>
      <c r="AH2467" s="136">
        <f>SUM(AF2467,R2467)</f>
        <v>0</v>
      </c>
      <c r="AI2467" s="107"/>
      <c r="AJ2467" s="65"/>
      <c r="AV2467" s="56"/>
    </row>
    <row r="2468" spans="2:48" ht="13.5" hidden="1" customHeight="1" outlineLevel="2">
      <c r="B2468" s="82"/>
      <c r="C2468" s="425"/>
      <c r="D2468" s="425"/>
      <c r="E2468" s="634"/>
      <c r="F2468" s="635"/>
      <c r="G2468" s="428"/>
      <c r="H2468" s="635"/>
      <c r="I2468" s="428"/>
      <c r="J2468" s="635"/>
      <c r="K2468" s="636"/>
      <c r="L2468" s="635"/>
      <c r="M2468" s="636"/>
      <c r="N2468" s="635"/>
      <c r="O2468" s="636"/>
      <c r="P2468" s="635"/>
      <c r="Q2468" s="636"/>
      <c r="R2468" s="637"/>
      <c r="S2468" s="698">
        <f>SUM(R1748:R1752)/1.18-(SUM(R2463:R2467)*'Mark Up Validation'!$M$175)</f>
        <v>0</v>
      </c>
      <c r="T2468" s="635"/>
      <c r="U2468" s="636"/>
      <c r="V2468" s="635"/>
      <c r="W2468" s="636"/>
      <c r="X2468" s="635"/>
      <c r="Y2468" s="636"/>
      <c r="Z2468" s="635"/>
      <c r="AA2468" s="636"/>
      <c r="AB2468" s="635"/>
      <c r="AC2468" s="636"/>
      <c r="AD2468" s="635"/>
      <c r="AE2468" s="636"/>
      <c r="AF2468" s="637"/>
      <c r="AG2468" s="698">
        <f>SUM(AF1748:AF1752)/1.18-SUM(AF2463:AF2467)*'Mark Up Validation'!$M$175</f>
        <v>0</v>
      </c>
      <c r="AH2468" s="638"/>
      <c r="AI2468" s="698">
        <f>SUM(AH1748:AH1752)/1.18-SUM(AH2463:AH2467)*'Mark Up Validation'!$M$175</f>
        <v>0</v>
      </c>
      <c r="AJ2468" s="65"/>
      <c r="AV2468" s="56"/>
    </row>
    <row r="2469" spans="2:48" ht="13.5" hidden="1" customHeight="1" outlineLevel="2" thickBot="1">
      <c r="B2469" s="82"/>
      <c r="C2469" s="1228" t="s">
        <v>538</v>
      </c>
      <c r="D2469" s="1229"/>
      <c r="E2469" s="699"/>
      <c r="F2469" s="700"/>
      <c r="G2469" s="701"/>
      <c r="H2469" s="700"/>
      <c r="I2469" s="701"/>
      <c r="J2469" s="700"/>
      <c r="K2469" s="702"/>
      <c r="L2469" s="700"/>
      <c r="M2469" s="702"/>
      <c r="N2469" s="700"/>
      <c r="O2469" s="702"/>
      <c r="P2469" s="700"/>
      <c r="Q2469" s="702"/>
      <c r="R2469" s="703"/>
      <c r="S2469" s="729">
        <f>IF(S2468&gt;0,S2468/(SUM(R1748:R1752)/1.18),0)</f>
        <v>0</v>
      </c>
      <c r="T2469" s="700"/>
      <c r="U2469" s="702"/>
      <c r="V2469" s="700"/>
      <c r="W2469" s="702"/>
      <c r="X2469" s="700"/>
      <c r="Y2469" s="702"/>
      <c r="Z2469" s="700"/>
      <c r="AA2469" s="702"/>
      <c r="AB2469" s="700"/>
      <c r="AC2469" s="702"/>
      <c r="AD2469" s="700"/>
      <c r="AE2469" s="702"/>
      <c r="AF2469" s="705"/>
      <c r="AG2469" s="729">
        <f>IF(AG2468&gt;0,AG2468/(SUM(AF1748:AF1752)/1.18),0)</f>
        <v>0</v>
      </c>
      <c r="AH2469" s="706"/>
      <c r="AI2469" s="729">
        <f>IF(AI2468&gt;0,AI2468/(SUM(AH1748:AH1752)/1.18),0)</f>
        <v>0</v>
      </c>
      <c r="AJ2469" s="65"/>
      <c r="AV2469" s="56"/>
    </row>
    <row r="2470" spans="2:48" ht="12.75" hidden="1" customHeight="1" outlineLevel="2">
      <c r="B2470" s="82">
        <f>B2463+1</f>
        <v>44</v>
      </c>
      <c r="C2470" s="1233">
        <f>C1755</f>
        <v>0</v>
      </c>
      <c r="D2470" s="1233">
        <f>D1755</f>
        <v>0</v>
      </c>
      <c r="E2470" s="83" t="str">
        <f>'Terms and Turnovers'!$J$12</f>
        <v>FLIP-FLOPS</v>
      </c>
      <c r="F2470" s="68">
        <f>F1755/'Terms and Turnovers'!$J175</f>
        <v>0</v>
      </c>
      <c r="G2470" s="106"/>
      <c r="H2470" s="68">
        <f>H1755/'Terms and Turnovers'!$J175</f>
        <v>0</v>
      </c>
      <c r="I2470" s="106"/>
      <c r="J2470" s="68">
        <f>J1755/'Terms and Turnovers'!$J175</f>
        <v>0</v>
      </c>
      <c r="K2470" s="106"/>
      <c r="L2470" s="68">
        <f>L1755/'Terms and Turnovers'!$J175</f>
        <v>0</v>
      </c>
      <c r="M2470" s="106"/>
      <c r="N2470" s="68">
        <f>N1755/'Terms and Turnovers'!$J175</f>
        <v>0</v>
      </c>
      <c r="O2470" s="106"/>
      <c r="P2470" s="68">
        <f>P1755/'Terms and Turnovers'!$J175</f>
        <v>0</v>
      </c>
      <c r="Q2470" s="106"/>
      <c r="R2470" s="129">
        <f>SUM(F2470,H2470,J2470,L2470,N2470,P2470)</f>
        <v>0</v>
      </c>
      <c r="S2470" s="106"/>
      <c r="T2470" s="68">
        <f>T1755/'Terms and Turnovers'!$J175</f>
        <v>0</v>
      </c>
      <c r="U2470" s="106"/>
      <c r="V2470" s="68">
        <f>V1755/'Terms and Turnovers'!$J175</f>
        <v>0</v>
      </c>
      <c r="W2470" s="106"/>
      <c r="X2470" s="68">
        <f>X1755/'Terms and Turnovers'!$J175</f>
        <v>0</v>
      </c>
      <c r="Y2470" s="106"/>
      <c r="Z2470" s="68">
        <f>Z1755/'Terms and Turnovers'!$J175</f>
        <v>0</v>
      </c>
      <c r="AA2470" s="106"/>
      <c r="AB2470" s="68">
        <f>AB1755/'Terms and Turnovers'!$J175</f>
        <v>0</v>
      </c>
      <c r="AC2470" s="106"/>
      <c r="AD2470" s="68">
        <f>AD1755/'Terms and Turnovers'!$J175</f>
        <v>0</v>
      </c>
      <c r="AE2470" s="106"/>
      <c r="AF2470" s="129">
        <f>SUM(T2470,V2470,X2470,Z2470,AB2470,AD2470)</f>
        <v>0</v>
      </c>
      <c r="AG2470" s="106"/>
      <c r="AH2470" s="130">
        <f>SUM(AF2470,R2470)</f>
        <v>0</v>
      </c>
      <c r="AI2470" s="106"/>
      <c r="AJ2470" s="65"/>
      <c r="AV2470" s="56"/>
    </row>
    <row r="2471" spans="2:48" ht="12.75" hidden="1" customHeight="1" outlineLevel="2" thickBot="1">
      <c r="B2471" s="82"/>
      <c r="C2471" s="1234"/>
      <c r="D2471" s="1234"/>
      <c r="E2471" s="84" t="str">
        <f>'Terms and Turnovers'!$T$12</f>
        <v>ORIGINALS</v>
      </c>
      <c r="F2471" s="70">
        <f>F1756/'Terms and Turnovers'!$T175</f>
        <v>0</v>
      </c>
      <c r="G2471" s="728"/>
      <c r="H2471" s="70">
        <f>H1756/'Terms and Turnovers'!$T175</f>
        <v>0</v>
      </c>
      <c r="I2471" s="728"/>
      <c r="J2471" s="70">
        <f>J1756/'Terms and Turnovers'!$T175</f>
        <v>0</v>
      </c>
      <c r="K2471" s="728"/>
      <c r="L2471" s="70">
        <f>L1756/'Terms and Turnovers'!$T175</f>
        <v>0</v>
      </c>
      <c r="M2471" s="728"/>
      <c r="N2471" s="70">
        <f>N1756/'Terms and Turnovers'!$T175</f>
        <v>0</v>
      </c>
      <c r="O2471" s="728"/>
      <c r="P2471" s="70">
        <f>P1756/'Terms and Turnovers'!$T175</f>
        <v>0</v>
      </c>
      <c r="Q2471" s="728"/>
      <c r="R2471" s="132">
        <f>SUM(F2471,H2471,J2471,L2471,N2471,P2471)</f>
        <v>0</v>
      </c>
      <c r="S2471" s="728"/>
      <c r="T2471" s="70">
        <f>T1756/'Terms and Turnovers'!$T175</f>
        <v>0</v>
      </c>
      <c r="U2471" s="728"/>
      <c r="V2471" s="70">
        <f>V1756/'Terms and Turnovers'!$T175</f>
        <v>0</v>
      </c>
      <c r="W2471" s="728"/>
      <c r="X2471" s="70">
        <f>X1756/'Terms and Turnovers'!$T175</f>
        <v>0</v>
      </c>
      <c r="Y2471" s="728"/>
      <c r="Z2471" s="70">
        <f>Z1756/'Terms and Turnovers'!$T175</f>
        <v>0</v>
      </c>
      <c r="AA2471" s="728"/>
      <c r="AB2471" s="70">
        <f>AB1756/'Terms and Turnovers'!$T175</f>
        <v>0</v>
      </c>
      <c r="AC2471" s="728"/>
      <c r="AD2471" s="70">
        <f>AD1756/'Terms and Turnovers'!$T175</f>
        <v>0</v>
      </c>
      <c r="AE2471" s="728"/>
      <c r="AF2471" s="132">
        <f>SUM(T2471,V2471,X2471,Z2471,AB2471,AD2471)</f>
        <v>0</v>
      </c>
      <c r="AG2471" s="728"/>
      <c r="AH2471" s="133">
        <f>SUM(AF2471,R2471)</f>
        <v>0</v>
      </c>
      <c r="AI2471" s="728"/>
      <c r="AJ2471" s="65"/>
      <c r="AV2471" s="56"/>
    </row>
    <row r="2472" spans="2:48" ht="12.75" hidden="1" customHeight="1" outlineLevel="2">
      <c r="B2472" s="82"/>
      <c r="C2472" s="1234"/>
      <c r="D2472" s="1234"/>
      <c r="E2472" s="84" t="str">
        <f>'Terms and Turnovers'!$AD$12</f>
        <v>ACCESSORIES</v>
      </c>
      <c r="F2472" s="68">
        <f>F1757/'Terms and Turnovers'!$AD175</f>
        <v>0</v>
      </c>
      <c r="G2472" s="728"/>
      <c r="H2472" s="68">
        <f>H1757/'Terms and Turnovers'!$AD175</f>
        <v>0</v>
      </c>
      <c r="I2472" s="728"/>
      <c r="J2472" s="68">
        <f>J1757/'Terms and Turnovers'!$AD175</f>
        <v>0</v>
      </c>
      <c r="K2472" s="728"/>
      <c r="L2472" s="68">
        <f>L1757/'Terms and Turnovers'!$AD175</f>
        <v>0</v>
      </c>
      <c r="M2472" s="728"/>
      <c r="N2472" s="68">
        <f>N1757/'Terms and Turnovers'!$AD175</f>
        <v>0</v>
      </c>
      <c r="O2472" s="728"/>
      <c r="P2472" s="68">
        <f>P1757/'Terms and Turnovers'!$AD175</f>
        <v>0</v>
      </c>
      <c r="Q2472" s="728"/>
      <c r="R2472" s="132">
        <f>SUM(F2472,H2472,J2472,L2472,N2472,P2472)</f>
        <v>0</v>
      </c>
      <c r="S2472" s="728"/>
      <c r="T2472" s="68">
        <f>T1757/'Terms and Turnovers'!$AD175</f>
        <v>0</v>
      </c>
      <c r="U2472" s="728"/>
      <c r="V2472" s="68">
        <f>V1757/'Terms and Turnovers'!$AD175</f>
        <v>0</v>
      </c>
      <c r="W2472" s="728"/>
      <c r="X2472" s="68">
        <f>X1757/'Terms and Turnovers'!$AD175</f>
        <v>0</v>
      </c>
      <c r="Y2472" s="728"/>
      <c r="Z2472" s="68">
        <f>Z1757/'Terms and Turnovers'!$AD175</f>
        <v>0</v>
      </c>
      <c r="AA2472" s="728"/>
      <c r="AB2472" s="68">
        <f>AB1757/'Terms and Turnovers'!$AD175</f>
        <v>0</v>
      </c>
      <c r="AC2472" s="728"/>
      <c r="AD2472" s="68">
        <f>AD1757/'Terms and Turnovers'!$AD175</f>
        <v>0</v>
      </c>
      <c r="AE2472" s="728"/>
      <c r="AF2472" s="132">
        <f>SUM(T2472,V2472,X2472,Z2472,AB2472,AD2472)</f>
        <v>0</v>
      </c>
      <c r="AG2472" s="728"/>
      <c r="AH2472" s="133">
        <f>SUM(AF2472,R2472)</f>
        <v>0</v>
      </c>
      <c r="AI2472" s="728"/>
      <c r="AJ2472" s="65"/>
      <c r="AV2472" s="56"/>
    </row>
    <row r="2473" spans="2:48" ht="12.75" hidden="1" customHeight="1" outlineLevel="2" thickBot="1">
      <c r="B2473" s="82"/>
      <c r="C2473" s="1234"/>
      <c r="D2473" s="1234"/>
      <c r="E2473" s="84">
        <f>'Terms and Turnovers'!$AN$12</f>
        <v>0</v>
      </c>
      <c r="F2473" s="70">
        <f>F1758/'Terms and Turnovers'!$AN175</f>
        <v>0</v>
      </c>
      <c r="G2473" s="728"/>
      <c r="H2473" s="70">
        <f>H1758/'Terms and Turnovers'!$AN175</f>
        <v>0</v>
      </c>
      <c r="I2473" s="728"/>
      <c r="J2473" s="70">
        <f>J1758/'Terms and Turnovers'!$AN175</f>
        <v>0</v>
      </c>
      <c r="K2473" s="728"/>
      <c r="L2473" s="70">
        <f>L1758/'Terms and Turnovers'!$AN175</f>
        <v>0</v>
      </c>
      <c r="M2473" s="728"/>
      <c r="N2473" s="70">
        <f>N1758/'Terms and Turnovers'!$AN175</f>
        <v>0</v>
      </c>
      <c r="O2473" s="728"/>
      <c r="P2473" s="70">
        <f>P1758/'Terms and Turnovers'!$AN175</f>
        <v>0</v>
      </c>
      <c r="Q2473" s="728"/>
      <c r="R2473" s="132">
        <f>SUM(F2473,H2473,J2473,L2473,N2473,P2473)</f>
        <v>0</v>
      </c>
      <c r="S2473" s="728"/>
      <c r="T2473" s="70">
        <f>T1758/'Terms and Turnovers'!$AN175</f>
        <v>0</v>
      </c>
      <c r="U2473" s="728"/>
      <c r="V2473" s="70">
        <f>V1758/'Terms and Turnovers'!$AN175</f>
        <v>0</v>
      </c>
      <c r="W2473" s="728"/>
      <c r="X2473" s="70">
        <f>X1758/'Terms and Turnovers'!$AN175</f>
        <v>0</v>
      </c>
      <c r="Y2473" s="728"/>
      <c r="Z2473" s="70">
        <f>Z1758/'Terms and Turnovers'!$AN175</f>
        <v>0</v>
      </c>
      <c r="AA2473" s="728"/>
      <c r="AB2473" s="70">
        <f>AB1758/'Terms and Turnovers'!$AN175</f>
        <v>0</v>
      </c>
      <c r="AC2473" s="728"/>
      <c r="AD2473" s="70">
        <f>AD1758/'Terms and Turnovers'!$AN175</f>
        <v>0</v>
      </c>
      <c r="AE2473" s="728"/>
      <c r="AF2473" s="132">
        <f>SUM(T2473,V2473,X2473,Z2473,AB2473,AD2473)</f>
        <v>0</v>
      </c>
      <c r="AG2473" s="728"/>
      <c r="AH2473" s="133">
        <f>SUM(AF2473,R2473)</f>
        <v>0</v>
      </c>
      <c r="AI2473" s="728"/>
      <c r="AJ2473" s="65"/>
      <c r="AV2473" s="56"/>
    </row>
    <row r="2474" spans="2:48" ht="13.5" hidden="1" customHeight="1" outlineLevel="2" thickBot="1">
      <c r="B2474" s="82"/>
      <c r="C2474" s="1235"/>
      <c r="D2474" s="1235"/>
      <c r="E2474" s="85">
        <f>'Terms and Turnovers'!$AX$12</f>
        <v>0</v>
      </c>
      <c r="F2474" s="68">
        <f>F1759/'Terms and Turnovers'!$AX175</f>
        <v>0</v>
      </c>
      <c r="G2474" s="107"/>
      <c r="H2474" s="68">
        <f>H1759/'Terms and Turnovers'!$AX175</f>
        <v>0</v>
      </c>
      <c r="I2474" s="107"/>
      <c r="J2474" s="68">
        <f>J1759/'Terms and Turnovers'!$AX175</f>
        <v>0</v>
      </c>
      <c r="K2474" s="107"/>
      <c r="L2474" s="68">
        <f>L1759/'Terms and Turnovers'!$AX175</f>
        <v>0</v>
      </c>
      <c r="M2474" s="107"/>
      <c r="N2474" s="68">
        <f>N1759/'Terms and Turnovers'!$AX175</f>
        <v>0</v>
      </c>
      <c r="O2474" s="107"/>
      <c r="P2474" s="68">
        <f>P1759/'Terms and Turnovers'!$AX175</f>
        <v>0</v>
      </c>
      <c r="Q2474" s="107"/>
      <c r="R2474" s="135">
        <f>SUM(F2474,H2474,J2474,L2474,N2474,P2474)</f>
        <v>0</v>
      </c>
      <c r="S2474" s="107"/>
      <c r="T2474" s="68">
        <f>T1759/'Terms and Turnovers'!$AX175</f>
        <v>0</v>
      </c>
      <c r="U2474" s="107"/>
      <c r="V2474" s="68">
        <f>V1759/'Terms and Turnovers'!$AX175</f>
        <v>0</v>
      </c>
      <c r="W2474" s="107"/>
      <c r="X2474" s="68">
        <f>X1759/'Terms and Turnovers'!$AX175</f>
        <v>0</v>
      </c>
      <c r="Y2474" s="107"/>
      <c r="Z2474" s="68">
        <f>Z1759/'Terms and Turnovers'!$AX175</f>
        <v>0</v>
      </c>
      <c r="AA2474" s="107"/>
      <c r="AB2474" s="68">
        <f>AB1759/'Terms and Turnovers'!$AX175</f>
        <v>0</v>
      </c>
      <c r="AC2474" s="107"/>
      <c r="AD2474" s="68">
        <f>AD1759/'Terms and Turnovers'!$AX175</f>
        <v>0</v>
      </c>
      <c r="AE2474" s="107"/>
      <c r="AF2474" s="135">
        <f>SUM(T2474,V2474,X2474,Z2474,AB2474,AD2474)</f>
        <v>0</v>
      </c>
      <c r="AG2474" s="107"/>
      <c r="AH2474" s="136">
        <f>SUM(AF2474,R2474)</f>
        <v>0</v>
      </c>
      <c r="AI2474" s="107"/>
      <c r="AJ2474" s="65"/>
      <c r="AV2474" s="56"/>
    </row>
    <row r="2475" spans="2:48" ht="13.5" hidden="1" customHeight="1" outlineLevel="2">
      <c r="B2475" s="82"/>
      <c r="C2475" s="425"/>
      <c r="D2475" s="425"/>
      <c r="E2475" s="634"/>
      <c r="F2475" s="635"/>
      <c r="G2475" s="428"/>
      <c r="H2475" s="635"/>
      <c r="I2475" s="428"/>
      <c r="J2475" s="635"/>
      <c r="K2475" s="636"/>
      <c r="L2475" s="635"/>
      <c r="M2475" s="636"/>
      <c r="N2475" s="635"/>
      <c r="O2475" s="636"/>
      <c r="P2475" s="635"/>
      <c r="Q2475" s="636"/>
      <c r="R2475" s="637"/>
      <c r="S2475" s="698">
        <f>SUM(R1755:R1759)/1.18-(SUM(R2470:R2474)*'Mark Up Validation'!$M$175)</f>
        <v>0</v>
      </c>
      <c r="T2475" s="635"/>
      <c r="U2475" s="636"/>
      <c r="V2475" s="635"/>
      <c r="W2475" s="636"/>
      <c r="X2475" s="635"/>
      <c r="Y2475" s="636"/>
      <c r="Z2475" s="635"/>
      <c r="AA2475" s="636"/>
      <c r="AB2475" s="635"/>
      <c r="AC2475" s="636"/>
      <c r="AD2475" s="635"/>
      <c r="AE2475" s="636"/>
      <c r="AF2475" s="637"/>
      <c r="AG2475" s="698">
        <f>SUM(AF1755:AF1759)/1.18-SUM(AF2470:AF2474)*'Mark Up Validation'!$M$175</f>
        <v>0</v>
      </c>
      <c r="AH2475" s="638"/>
      <c r="AI2475" s="698">
        <f>SUM(AH1755:AH1759)/1.18-SUM(AH2470:AH2474)*'Mark Up Validation'!$M$175</f>
        <v>0</v>
      </c>
      <c r="AJ2475" s="65"/>
      <c r="AV2475" s="56"/>
    </row>
    <row r="2476" spans="2:48" ht="13.5" hidden="1" customHeight="1" outlineLevel="2" thickBot="1">
      <c r="B2476" s="82"/>
      <c r="C2476" s="1228" t="s">
        <v>538</v>
      </c>
      <c r="D2476" s="1229"/>
      <c r="E2476" s="699"/>
      <c r="F2476" s="700"/>
      <c r="G2476" s="701"/>
      <c r="H2476" s="700"/>
      <c r="I2476" s="701"/>
      <c r="J2476" s="700"/>
      <c r="K2476" s="702"/>
      <c r="L2476" s="700"/>
      <c r="M2476" s="702"/>
      <c r="N2476" s="700"/>
      <c r="O2476" s="702"/>
      <c r="P2476" s="700"/>
      <c r="Q2476" s="702"/>
      <c r="R2476" s="703"/>
      <c r="S2476" s="729">
        <f>IF(S2475&gt;0,S2475/(SUM(R1755:R1759)/1.18),0)</f>
        <v>0</v>
      </c>
      <c r="T2476" s="700"/>
      <c r="U2476" s="702"/>
      <c r="V2476" s="700"/>
      <c r="W2476" s="702"/>
      <c r="X2476" s="700"/>
      <c r="Y2476" s="702"/>
      <c r="Z2476" s="700"/>
      <c r="AA2476" s="702"/>
      <c r="AB2476" s="700"/>
      <c r="AC2476" s="702"/>
      <c r="AD2476" s="700"/>
      <c r="AE2476" s="702"/>
      <c r="AF2476" s="705"/>
      <c r="AG2476" s="729">
        <f>IF(AG2475&gt;0,AG2475/(SUM(AF1755:AF1759)/1.18),0)</f>
        <v>0</v>
      </c>
      <c r="AH2476" s="706"/>
      <c r="AI2476" s="729">
        <f>IF(AI2475&gt;0,AI2475/(SUM(AH1755:AH1759)/1.18),0)</f>
        <v>0</v>
      </c>
      <c r="AJ2476" s="65"/>
      <c r="AV2476" s="56"/>
    </row>
    <row r="2477" spans="2:48" ht="12.75" hidden="1" customHeight="1" outlineLevel="2">
      <c r="B2477" s="82">
        <f>B2470+1</f>
        <v>45</v>
      </c>
      <c r="C2477" s="1233">
        <f>C1762</f>
        <v>0</v>
      </c>
      <c r="D2477" s="1233">
        <f>D1762</f>
        <v>0</v>
      </c>
      <c r="E2477" s="83" t="str">
        <f>'Terms and Turnovers'!$J$12</f>
        <v>FLIP-FLOPS</v>
      </c>
      <c r="F2477" s="68">
        <f>F1762/'Terms and Turnovers'!$J176</f>
        <v>0</v>
      </c>
      <c r="G2477" s="106"/>
      <c r="H2477" s="68">
        <f>H1762/'Terms and Turnovers'!$J176</f>
        <v>0</v>
      </c>
      <c r="I2477" s="106"/>
      <c r="J2477" s="68">
        <f>J1762/'Terms and Turnovers'!$J176</f>
        <v>0</v>
      </c>
      <c r="K2477" s="106"/>
      <c r="L2477" s="68">
        <f>L1762/'Terms and Turnovers'!$J176</f>
        <v>0</v>
      </c>
      <c r="M2477" s="106"/>
      <c r="N2477" s="68">
        <f>N1762/'Terms and Turnovers'!$J176</f>
        <v>0</v>
      </c>
      <c r="O2477" s="106"/>
      <c r="P2477" s="68">
        <f>P1762/'Terms and Turnovers'!$J176</f>
        <v>0</v>
      </c>
      <c r="Q2477" s="106"/>
      <c r="R2477" s="129">
        <f>SUM(F2477,H2477,J2477,L2477,N2477,P2477)</f>
        <v>0</v>
      </c>
      <c r="S2477" s="106"/>
      <c r="T2477" s="68">
        <f>T1762/'Terms and Turnovers'!$J176</f>
        <v>0</v>
      </c>
      <c r="U2477" s="106"/>
      <c r="V2477" s="68">
        <f>V1762/'Terms and Turnovers'!$J176</f>
        <v>0</v>
      </c>
      <c r="W2477" s="106"/>
      <c r="X2477" s="68">
        <f>X1762/'Terms and Turnovers'!$J176</f>
        <v>0</v>
      </c>
      <c r="Y2477" s="106"/>
      <c r="Z2477" s="68">
        <f>Z1762/'Terms and Turnovers'!$J176</f>
        <v>0</v>
      </c>
      <c r="AA2477" s="106"/>
      <c r="AB2477" s="68">
        <f>AB1762/'Terms and Turnovers'!$J176</f>
        <v>0</v>
      </c>
      <c r="AC2477" s="106"/>
      <c r="AD2477" s="68">
        <f>AD1762/'Terms and Turnovers'!$J176</f>
        <v>0</v>
      </c>
      <c r="AE2477" s="106"/>
      <c r="AF2477" s="129">
        <f>SUM(T2477,V2477,X2477,Z2477,AB2477,AD2477)</f>
        <v>0</v>
      </c>
      <c r="AG2477" s="106"/>
      <c r="AH2477" s="130">
        <f>SUM(AF2477,R2477)</f>
        <v>0</v>
      </c>
      <c r="AI2477" s="106"/>
      <c r="AJ2477" s="65"/>
      <c r="AV2477" s="56"/>
    </row>
    <row r="2478" spans="2:48" ht="12.75" hidden="1" customHeight="1" outlineLevel="2" thickBot="1">
      <c r="B2478" s="82"/>
      <c r="C2478" s="1234"/>
      <c r="D2478" s="1234"/>
      <c r="E2478" s="84" t="str">
        <f>'Terms and Turnovers'!$T$12</f>
        <v>ORIGINALS</v>
      </c>
      <c r="F2478" s="70">
        <f>F1763/'Terms and Turnovers'!$T176</f>
        <v>0</v>
      </c>
      <c r="G2478" s="728"/>
      <c r="H2478" s="70">
        <f>H1763/'Terms and Turnovers'!$T176</f>
        <v>0</v>
      </c>
      <c r="I2478" s="728"/>
      <c r="J2478" s="70">
        <f>J1763/'Terms and Turnovers'!$T176</f>
        <v>0</v>
      </c>
      <c r="K2478" s="728"/>
      <c r="L2478" s="70">
        <f>L1763/'Terms and Turnovers'!$T176</f>
        <v>0</v>
      </c>
      <c r="M2478" s="728"/>
      <c r="N2478" s="70">
        <f>N1763/'Terms and Turnovers'!$T176</f>
        <v>0</v>
      </c>
      <c r="O2478" s="728"/>
      <c r="P2478" s="70">
        <f>P1763/'Terms and Turnovers'!$T176</f>
        <v>0</v>
      </c>
      <c r="Q2478" s="728"/>
      <c r="R2478" s="132">
        <f>SUM(F2478,H2478,J2478,L2478,N2478,P2478)</f>
        <v>0</v>
      </c>
      <c r="S2478" s="728"/>
      <c r="T2478" s="70">
        <f>T1763/'Terms and Turnovers'!$T176</f>
        <v>0</v>
      </c>
      <c r="U2478" s="728"/>
      <c r="V2478" s="70">
        <f>V1763/'Terms and Turnovers'!$T176</f>
        <v>0</v>
      </c>
      <c r="W2478" s="728"/>
      <c r="X2478" s="70">
        <f>X1763/'Terms and Turnovers'!$T176</f>
        <v>0</v>
      </c>
      <c r="Y2478" s="728"/>
      <c r="Z2478" s="70">
        <f>Z1763/'Terms and Turnovers'!$T176</f>
        <v>0</v>
      </c>
      <c r="AA2478" s="728"/>
      <c r="AB2478" s="70">
        <f>AB1763/'Terms and Turnovers'!$T176</f>
        <v>0</v>
      </c>
      <c r="AC2478" s="728"/>
      <c r="AD2478" s="70">
        <f>AD1763/'Terms and Turnovers'!$T176</f>
        <v>0</v>
      </c>
      <c r="AE2478" s="728"/>
      <c r="AF2478" s="132">
        <f>SUM(T2478,V2478,X2478,Z2478,AB2478,AD2478)</f>
        <v>0</v>
      </c>
      <c r="AG2478" s="728"/>
      <c r="AH2478" s="133">
        <f>SUM(AF2478,R2478)</f>
        <v>0</v>
      </c>
      <c r="AI2478" s="728"/>
      <c r="AJ2478" s="65"/>
      <c r="AV2478" s="56"/>
    </row>
    <row r="2479" spans="2:48" ht="12.75" hidden="1" customHeight="1" outlineLevel="2">
      <c r="B2479" s="82"/>
      <c r="C2479" s="1234"/>
      <c r="D2479" s="1234"/>
      <c r="E2479" s="84" t="str">
        <f>'Terms and Turnovers'!$AD$12</f>
        <v>ACCESSORIES</v>
      </c>
      <c r="F2479" s="68">
        <f>F1764/'Terms and Turnovers'!$AD176</f>
        <v>0</v>
      </c>
      <c r="G2479" s="728"/>
      <c r="H2479" s="68">
        <f>H1764/'Terms and Turnovers'!$AD176</f>
        <v>0</v>
      </c>
      <c r="I2479" s="728"/>
      <c r="J2479" s="68">
        <f>J1764/'Terms and Turnovers'!$AD176</f>
        <v>0</v>
      </c>
      <c r="K2479" s="728"/>
      <c r="L2479" s="68">
        <f>L1764/'Terms and Turnovers'!$AD176</f>
        <v>0</v>
      </c>
      <c r="M2479" s="728"/>
      <c r="N2479" s="68">
        <f>N1764/'Terms and Turnovers'!$AD176</f>
        <v>0</v>
      </c>
      <c r="O2479" s="728"/>
      <c r="P2479" s="68">
        <f>P1764/'Terms and Turnovers'!$AD176</f>
        <v>0</v>
      </c>
      <c r="Q2479" s="728"/>
      <c r="R2479" s="132">
        <f>SUM(F2479,H2479,J2479,L2479,N2479,P2479)</f>
        <v>0</v>
      </c>
      <c r="S2479" s="728"/>
      <c r="T2479" s="68">
        <f>T1764/'Terms and Turnovers'!$AD176</f>
        <v>0</v>
      </c>
      <c r="U2479" s="728"/>
      <c r="V2479" s="68">
        <f>V1764/'Terms and Turnovers'!$AD176</f>
        <v>0</v>
      </c>
      <c r="W2479" s="728"/>
      <c r="X2479" s="68">
        <f>X1764/'Terms and Turnovers'!$AD176</f>
        <v>0</v>
      </c>
      <c r="Y2479" s="728"/>
      <c r="Z2479" s="68">
        <f>Z1764/'Terms and Turnovers'!$AD176</f>
        <v>0</v>
      </c>
      <c r="AA2479" s="728"/>
      <c r="AB2479" s="68">
        <f>AB1764/'Terms and Turnovers'!$AD176</f>
        <v>0</v>
      </c>
      <c r="AC2479" s="728"/>
      <c r="AD2479" s="68">
        <f>AD1764/'Terms and Turnovers'!$AD176</f>
        <v>0</v>
      </c>
      <c r="AE2479" s="728"/>
      <c r="AF2479" s="132">
        <f>SUM(T2479,V2479,X2479,Z2479,AB2479,AD2479)</f>
        <v>0</v>
      </c>
      <c r="AG2479" s="728"/>
      <c r="AH2479" s="133">
        <f>SUM(AF2479,R2479)</f>
        <v>0</v>
      </c>
      <c r="AI2479" s="728"/>
      <c r="AJ2479" s="65"/>
      <c r="AV2479" s="56"/>
    </row>
    <row r="2480" spans="2:48" ht="12.75" hidden="1" customHeight="1" outlineLevel="2" thickBot="1">
      <c r="B2480" s="82"/>
      <c r="C2480" s="1234"/>
      <c r="D2480" s="1234"/>
      <c r="E2480" s="84">
        <f>'Terms and Turnovers'!$AN$12</f>
        <v>0</v>
      </c>
      <c r="F2480" s="70">
        <f>F1765/'Terms and Turnovers'!$AN176</f>
        <v>0</v>
      </c>
      <c r="G2480" s="728"/>
      <c r="H2480" s="70">
        <f>H1765/'Terms and Turnovers'!$AN176</f>
        <v>0</v>
      </c>
      <c r="I2480" s="728"/>
      <c r="J2480" s="70">
        <f>J1765/'Terms and Turnovers'!$AN176</f>
        <v>0</v>
      </c>
      <c r="K2480" s="728"/>
      <c r="L2480" s="70">
        <f>L1765/'Terms and Turnovers'!$AN176</f>
        <v>0</v>
      </c>
      <c r="M2480" s="728"/>
      <c r="N2480" s="70">
        <f>N1765/'Terms and Turnovers'!$AN176</f>
        <v>0</v>
      </c>
      <c r="O2480" s="728"/>
      <c r="P2480" s="70">
        <f>P1765/'Terms and Turnovers'!$AN176</f>
        <v>0</v>
      </c>
      <c r="Q2480" s="728"/>
      <c r="R2480" s="132">
        <f>SUM(F2480,H2480,J2480,L2480,N2480,P2480)</f>
        <v>0</v>
      </c>
      <c r="S2480" s="728"/>
      <c r="T2480" s="70">
        <f>T1765/'Terms and Turnovers'!$AN176</f>
        <v>0</v>
      </c>
      <c r="U2480" s="728"/>
      <c r="V2480" s="70">
        <f>V1765/'Terms and Turnovers'!$AN176</f>
        <v>0</v>
      </c>
      <c r="W2480" s="728"/>
      <c r="X2480" s="70">
        <f>X1765/'Terms and Turnovers'!$AN176</f>
        <v>0</v>
      </c>
      <c r="Y2480" s="728"/>
      <c r="Z2480" s="70">
        <f>Z1765/'Terms and Turnovers'!$AN176</f>
        <v>0</v>
      </c>
      <c r="AA2480" s="728"/>
      <c r="AB2480" s="70">
        <f>AB1765/'Terms and Turnovers'!$AN176</f>
        <v>0</v>
      </c>
      <c r="AC2480" s="728"/>
      <c r="AD2480" s="70">
        <f>AD1765/'Terms and Turnovers'!$AN176</f>
        <v>0</v>
      </c>
      <c r="AE2480" s="728"/>
      <c r="AF2480" s="132">
        <f>SUM(T2480,V2480,X2480,Z2480,AB2480,AD2480)</f>
        <v>0</v>
      </c>
      <c r="AG2480" s="728"/>
      <c r="AH2480" s="133">
        <f>SUM(AF2480,R2480)</f>
        <v>0</v>
      </c>
      <c r="AI2480" s="728"/>
      <c r="AJ2480" s="65"/>
      <c r="AV2480" s="56"/>
    </row>
    <row r="2481" spans="2:48" ht="13.5" hidden="1" customHeight="1" outlineLevel="2" thickBot="1">
      <c r="B2481" s="82"/>
      <c r="C2481" s="1235"/>
      <c r="D2481" s="1235"/>
      <c r="E2481" s="85">
        <f>'Terms and Turnovers'!$AX$12</f>
        <v>0</v>
      </c>
      <c r="F2481" s="68">
        <f>F1766/'Terms and Turnovers'!$AX176</f>
        <v>0</v>
      </c>
      <c r="G2481" s="107"/>
      <c r="H2481" s="68">
        <f>H1766/'Terms and Turnovers'!$AX176</f>
        <v>0</v>
      </c>
      <c r="I2481" s="107"/>
      <c r="J2481" s="68">
        <f>J1766/'Terms and Turnovers'!$AX176</f>
        <v>0</v>
      </c>
      <c r="K2481" s="107"/>
      <c r="L2481" s="68">
        <f>L1766/'Terms and Turnovers'!$AX176</f>
        <v>0</v>
      </c>
      <c r="M2481" s="107"/>
      <c r="N2481" s="68">
        <f>N1766/'Terms and Turnovers'!$AX176</f>
        <v>0</v>
      </c>
      <c r="O2481" s="107"/>
      <c r="P2481" s="68">
        <f>P1766/'Terms and Turnovers'!$AX176</f>
        <v>0</v>
      </c>
      <c r="Q2481" s="107"/>
      <c r="R2481" s="135">
        <f>SUM(F2481,H2481,J2481,L2481,N2481,P2481)</f>
        <v>0</v>
      </c>
      <c r="S2481" s="107"/>
      <c r="T2481" s="68">
        <f>T1766/'Terms and Turnovers'!$AX176</f>
        <v>0</v>
      </c>
      <c r="U2481" s="107"/>
      <c r="V2481" s="68">
        <f>V1766/'Terms and Turnovers'!$AX176</f>
        <v>0</v>
      </c>
      <c r="W2481" s="107"/>
      <c r="X2481" s="68">
        <f>X1766/'Terms and Turnovers'!$AX176</f>
        <v>0</v>
      </c>
      <c r="Y2481" s="107"/>
      <c r="Z2481" s="68">
        <f>Z1766/'Terms and Turnovers'!$AX176</f>
        <v>0</v>
      </c>
      <c r="AA2481" s="107"/>
      <c r="AB2481" s="68">
        <f>AB1766/'Terms and Turnovers'!$AX176</f>
        <v>0</v>
      </c>
      <c r="AC2481" s="107"/>
      <c r="AD2481" s="68">
        <f>AD1766/'Terms and Turnovers'!$AX176</f>
        <v>0</v>
      </c>
      <c r="AE2481" s="107"/>
      <c r="AF2481" s="135">
        <f>SUM(T2481,V2481,X2481,Z2481,AB2481,AD2481)</f>
        <v>0</v>
      </c>
      <c r="AG2481" s="107"/>
      <c r="AH2481" s="136">
        <f>SUM(AF2481,R2481)</f>
        <v>0</v>
      </c>
      <c r="AI2481" s="107"/>
      <c r="AJ2481" s="65"/>
      <c r="AV2481" s="56"/>
    </row>
    <row r="2482" spans="2:48" ht="13.5" hidden="1" customHeight="1" outlineLevel="2">
      <c r="B2482" s="82"/>
      <c r="C2482" s="425"/>
      <c r="D2482" s="425"/>
      <c r="E2482" s="634"/>
      <c r="F2482" s="635"/>
      <c r="G2482" s="428"/>
      <c r="H2482" s="635"/>
      <c r="I2482" s="428"/>
      <c r="J2482" s="635"/>
      <c r="K2482" s="636"/>
      <c r="L2482" s="635"/>
      <c r="M2482" s="636"/>
      <c r="N2482" s="635"/>
      <c r="O2482" s="636"/>
      <c r="P2482" s="635"/>
      <c r="Q2482" s="636"/>
      <c r="R2482" s="637"/>
      <c r="S2482" s="698">
        <f>SUM(R1762:R1766)/1.18-(SUM(R2477:R2481)*'Mark Up Validation'!$M$175)</f>
        <v>0</v>
      </c>
      <c r="T2482" s="635"/>
      <c r="U2482" s="636"/>
      <c r="V2482" s="635"/>
      <c r="W2482" s="636"/>
      <c r="X2482" s="635"/>
      <c r="Y2482" s="636"/>
      <c r="Z2482" s="635"/>
      <c r="AA2482" s="636"/>
      <c r="AB2482" s="635"/>
      <c r="AC2482" s="636"/>
      <c r="AD2482" s="635"/>
      <c r="AE2482" s="636"/>
      <c r="AF2482" s="637"/>
      <c r="AG2482" s="698">
        <f>SUM(AF1762:AF1766)/1.18-SUM(AF2477:AF2481)*'Mark Up Validation'!$M$175</f>
        <v>0</v>
      </c>
      <c r="AH2482" s="638"/>
      <c r="AI2482" s="698">
        <f>SUM(AH1762:AH1766)/1.18-SUM(AH2477:AH2481)*'Mark Up Validation'!$M$175</f>
        <v>0</v>
      </c>
      <c r="AJ2482" s="65"/>
      <c r="AV2482" s="56"/>
    </row>
    <row r="2483" spans="2:48" ht="13.5" hidden="1" customHeight="1" outlineLevel="2" thickBot="1">
      <c r="B2483" s="82"/>
      <c r="C2483" s="1228" t="s">
        <v>538</v>
      </c>
      <c r="D2483" s="1229"/>
      <c r="E2483" s="699"/>
      <c r="F2483" s="700"/>
      <c r="G2483" s="701"/>
      <c r="H2483" s="700"/>
      <c r="I2483" s="701"/>
      <c r="J2483" s="700"/>
      <c r="K2483" s="702"/>
      <c r="L2483" s="700"/>
      <c r="M2483" s="702"/>
      <c r="N2483" s="700"/>
      <c r="O2483" s="702"/>
      <c r="P2483" s="700"/>
      <c r="Q2483" s="702"/>
      <c r="R2483" s="703"/>
      <c r="S2483" s="729">
        <f>IF(S2482&gt;0,S2482/(SUM(R1762:R1766)/1.18),0)</f>
        <v>0</v>
      </c>
      <c r="T2483" s="700"/>
      <c r="U2483" s="702"/>
      <c r="V2483" s="700"/>
      <c r="W2483" s="702"/>
      <c r="X2483" s="700"/>
      <c r="Y2483" s="702"/>
      <c r="Z2483" s="700"/>
      <c r="AA2483" s="702"/>
      <c r="AB2483" s="700"/>
      <c r="AC2483" s="702"/>
      <c r="AD2483" s="700"/>
      <c r="AE2483" s="702"/>
      <c r="AF2483" s="705"/>
      <c r="AG2483" s="729">
        <f>IF(AG2482&gt;0,AG2482/(SUM(AF1762:AF1766)/1.18),0)</f>
        <v>0</v>
      </c>
      <c r="AH2483" s="706"/>
      <c r="AI2483" s="729">
        <f>IF(AI2482&gt;0,AI2482/(SUM(AH1762:AH1766)/1.18),0)</f>
        <v>0</v>
      </c>
      <c r="AJ2483" s="65"/>
      <c r="AV2483" s="56"/>
    </row>
    <row r="2484" spans="2:48" ht="12.75" hidden="1" customHeight="1" outlineLevel="2">
      <c r="B2484" s="82">
        <f>B2477+1</f>
        <v>46</v>
      </c>
      <c r="C2484" s="1233">
        <f>C1769</f>
        <v>0</v>
      </c>
      <c r="D2484" s="1233">
        <f>D1769</f>
        <v>0</v>
      </c>
      <c r="E2484" s="83" t="str">
        <f>'Terms and Turnovers'!$J$12</f>
        <v>FLIP-FLOPS</v>
      </c>
      <c r="F2484" s="68">
        <f>F1769/'Terms and Turnovers'!$J177</f>
        <v>0</v>
      </c>
      <c r="G2484" s="106"/>
      <c r="H2484" s="68">
        <f>H1769/'Terms and Turnovers'!$J177</f>
        <v>0</v>
      </c>
      <c r="I2484" s="106"/>
      <c r="J2484" s="68">
        <f>J1769/'Terms and Turnovers'!$J177</f>
        <v>0</v>
      </c>
      <c r="K2484" s="106"/>
      <c r="L2484" s="68">
        <f>L1769/'Terms and Turnovers'!$J177</f>
        <v>0</v>
      </c>
      <c r="M2484" s="106"/>
      <c r="N2484" s="68">
        <f>N1769/'Terms and Turnovers'!$J177</f>
        <v>0</v>
      </c>
      <c r="O2484" s="106"/>
      <c r="P2484" s="68">
        <f>P1769/'Terms and Turnovers'!$J177</f>
        <v>0</v>
      </c>
      <c r="Q2484" s="106"/>
      <c r="R2484" s="129">
        <f>SUM(F2484,H2484,J2484,L2484,N2484,P2484)</f>
        <v>0</v>
      </c>
      <c r="S2484" s="106"/>
      <c r="T2484" s="68">
        <f>T1769/'Terms and Turnovers'!$J177</f>
        <v>0</v>
      </c>
      <c r="U2484" s="106"/>
      <c r="V2484" s="68">
        <f>V1769/'Terms and Turnovers'!$J177</f>
        <v>0</v>
      </c>
      <c r="W2484" s="106"/>
      <c r="X2484" s="68">
        <f>X1769/'Terms and Turnovers'!$J177</f>
        <v>0</v>
      </c>
      <c r="Y2484" s="106"/>
      <c r="Z2484" s="68">
        <f>Z1769/'Terms and Turnovers'!$J177</f>
        <v>0</v>
      </c>
      <c r="AA2484" s="106"/>
      <c r="AB2484" s="68">
        <f>AB1769/'Terms and Turnovers'!$J177</f>
        <v>0</v>
      </c>
      <c r="AC2484" s="106"/>
      <c r="AD2484" s="68">
        <f>AD1769/'Terms and Turnovers'!$J177</f>
        <v>0</v>
      </c>
      <c r="AE2484" s="106"/>
      <c r="AF2484" s="129">
        <f>SUM(T2484,V2484,X2484,Z2484,AB2484,AD2484)</f>
        <v>0</v>
      </c>
      <c r="AG2484" s="106"/>
      <c r="AH2484" s="130">
        <f>SUM(AF2484,R2484)</f>
        <v>0</v>
      </c>
      <c r="AI2484" s="106"/>
      <c r="AJ2484" s="65"/>
      <c r="AV2484" s="56"/>
    </row>
    <row r="2485" spans="2:48" ht="12.75" hidden="1" customHeight="1" outlineLevel="2" thickBot="1">
      <c r="B2485" s="82"/>
      <c r="C2485" s="1234"/>
      <c r="D2485" s="1234"/>
      <c r="E2485" s="84" t="str">
        <f>'Terms and Turnovers'!$T$12</f>
        <v>ORIGINALS</v>
      </c>
      <c r="F2485" s="70">
        <f>F1770/'Terms and Turnovers'!$T177</f>
        <v>0</v>
      </c>
      <c r="G2485" s="728"/>
      <c r="H2485" s="70">
        <f>H1770/'Terms and Turnovers'!$T177</f>
        <v>0</v>
      </c>
      <c r="I2485" s="728"/>
      <c r="J2485" s="70">
        <f>J1770/'Terms and Turnovers'!$T177</f>
        <v>0</v>
      </c>
      <c r="K2485" s="728"/>
      <c r="L2485" s="70">
        <f>L1770/'Terms and Turnovers'!$T177</f>
        <v>0</v>
      </c>
      <c r="M2485" s="728"/>
      <c r="N2485" s="70">
        <f>N1770/'Terms and Turnovers'!$T177</f>
        <v>0</v>
      </c>
      <c r="O2485" s="728"/>
      <c r="P2485" s="70">
        <f>P1770/'Terms and Turnovers'!$T177</f>
        <v>0</v>
      </c>
      <c r="Q2485" s="728"/>
      <c r="R2485" s="132">
        <f>SUM(F2485,H2485,J2485,L2485,N2485,P2485)</f>
        <v>0</v>
      </c>
      <c r="S2485" s="728"/>
      <c r="T2485" s="70">
        <f>T1770/'Terms and Turnovers'!$T177</f>
        <v>0</v>
      </c>
      <c r="U2485" s="728"/>
      <c r="V2485" s="70">
        <f>V1770/'Terms and Turnovers'!$T177</f>
        <v>0</v>
      </c>
      <c r="W2485" s="728"/>
      <c r="X2485" s="70">
        <f>X1770/'Terms and Turnovers'!$T177</f>
        <v>0</v>
      </c>
      <c r="Y2485" s="728"/>
      <c r="Z2485" s="70">
        <f>Z1770/'Terms and Turnovers'!$T177</f>
        <v>0</v>
      </c>
      <c r="AA2485" s="728"/>
      <c r="AB2485" s="70">
        <f>AB1770/'Terms and Turnovers'!$T177</f>
        <v>0</v>
      </c>
      <c r="AC2485" s="728"/>
      <c r="AD2485" s="70">
        <f>AD1770/'Terms and Turnovers'!$T177</f>
        <v>0</v>
      </c>
      <c r="AE2485" s="728"/>
      <c r="AF2485" s="132">
        <f>SUM(T2485,V2485,X2485,Z2485,AB2485,AD2485)</f>
        <v>0</v>
      </c>
      <c r="AG2485" s="728"/>
      <c r="AH2485" s="133">
        <f>SUM(AF2485,R2485)</f>
        <v>0</v>
      </c>
      <c r="AI2485" s="728"/>
      <c r="AJ2485" s="65"/>
      <c r="AV2485" s="56"/>
    </row>
    <row r="2486" spans="2:48" ht="12.75" hidden="1" customHeight="1" outlineLevel="2">
      <c r="B2486" s="82"/>
      <c r="C2486" s="1234"/>
      <c r="D2486" s="1234"/>
      <c r="E2486" s="84" t="str">
        <f>'Terms and Turnovers'!$AD$12</f>
        <v>ACCESSORIES</v>
      </c>
      <c r="F2486" s="68">
        <f>F1771/'Terms and Turnovers'!$AD177</f>
        <v>0</v>
      </c>
      <c r="G2486" s="728"/>
      <c r="H2486" s="68">
        <f>H1771/'Terms and Turnovers'!$AD177</f>
        <v>0</v>
      </c>
      <c r="I2486" s="728"/>
      <c r="J2486" s="68">
        <f>J1771/'Terms and Turnovers'!$AD177</f>
        <v>0</v>
      </c>
      <c r="K2486" s="728"/>
      <c r="L2486" s="68">
        <f>L1771/'Terms and Turnovers'!$AD177</f>
        <v>0</v>
      </c>
      <c r="M2486" s="728"/>
      <c r="N2486" s="68">
        <f>N1771/'Terms and Turnovers'!$AD177</f>
        <v>0</v>
      </c>
      <c r="O2486" s="728"/>
      <c r="P2486" s="68">
        <f>P1771/'Terms and Turnovers'!$AD177</f>
        <v>0</v>
      </c>
      <c r="Q2486" s="728"/>
      <c r="R2486" s="132">
        <f>SUM(F2486,H2486,J2486,L2486,N2486,P2486)</f>
        <v>0</v>
      </c>
      <c r="S2486" s="728"/>
      <c r="T2486" s="68">
        <f>T1771/'Terms and Turnovers'!$AD177</f>
        <v>0</v>
      </c>
      <c r="U2486" s="728"/>
      <c r="V2486" s="68">
        <f>V1771/'Terms and Turnovers'!$AD177</f>
        <v>0</v>
      </c>
      <c r="W2486" s="728"/>
      <c r="X2486" s="68">
        <f>X1771/'Terms and Turnovers'!$AD177</f>
        <v>0</v>
      </c>
      <c r="Y2486" s="728"/>
      <c r="Z2486" s="68">
        <f>Z1771/'Terms and Turnovers'!$AD177</f>
        <v>0</v>
      </c>
      <c r="AA2486" s="728"/>
      <c r="AB2486" s="68">
        <f>AB1771/'Terms and Turnovers'!$AD177</f>
        <v>0</v>
      </c>
      <c r="AC2486" s="728"/>
      <c r="AD2486" s="68">
        <f>AD1771/'Terms and Turnovers'!$AD177</f>
        <v>0</v>
      </c>
      <c r="AE2486" s="728"/>
      <c r="AF2486" s="132">
        <f>SUM(T2486,V2486,X2486,Z2486,AB2486,AD2486)</f>
        <v>0</v>
      </c>
      <c r="AG2486" s="728"/>
      <c r="AH2486" s="133">
        <f>SUM(AF2486,R2486)</f>
        <v>0</v>
      </c>
      <c r="AI2486" s="728"/>
      <c r="AJ2486" s="65"/>
      <c r="AV2486" s="56"/>
    </row>
    <row r="2487" spans="2:48" ht="12.75" hidden="1" customHeight="1" outlineLevel="2" thickBot="1">
      <c r="B2487" s="82"/>
      <c r="C2487" s="1234"/>
      <c r="D2487" s="1234"/>
      <c r="E2487" s="84">
        <f>'Terms and Turnovers'!$AN$12</f>
        <v>0</v>
      </c>
      <c r="F2487" s="70">
        <f>F1772/'Terms and Turnovers'!$AN177</f>
        <v>0</v>
      </c>
      <c r="G2487" s="728"/>
      <c r="H2487" s="70">
        <f>H1772/'Terms and Turnovers'!$AN177</f>
        <v>0</v>
      </c>
      <c r="I2487" s="728"/>
      <c r="J2487" s="70">
        <f>J1772/'Terms and Turnovers'!$AN177</f>
        <v>0</v>
      </c>
      <c r="K2487" s="728"/>
      <c r="L2487" s="70">
        <f>L1772/'Terms and Turnovers'!$AN177</f>
        <v>0</v>
      </c>
      <c r="M2487" s="728"/>
      <c r="N2487" s="70">
        <f>N1772/'Terms and Turnovers'!$AN177</f>
        <v>0</v>
      </c>
      <c r="O2487" s="728"/>
      <c r="P2487" s="70">
        <f>P1772/'Terms and Turnovers'!$AN177</f>
        <v>0</v>
      </c>
      <c r="Q2487" s="728"/>
      <c r="R2487" s="132">
        <f>SUM(F2487,H2487,J2487,L2487,N2487,P2487)</f>
        <v>0</v>
      </c>
      <c r="S2487" s="728"/>
      <c r="T2487" s="70">
        <f>T1772/'Terms and Turnovers'!$AN177</f>
        <v>0</v>
      </c>
      <c r="U2487" s="728"/>
      <c r="V2487" s="70">
        <f>V1772/'Terms and Turnovers'!$AN177</f>
        <v>0</v>
      </c>
      <c r="W2487" s="728"/>
      <c r="X2487" s="70">
        <f>X1772/'Terms and Turnovers'!$AN177</f>
        <v>0</v>
      </c>
      <c r="Y2487" s="728"/>
      <c r="Z2487" s="70">
        <f>Z1772/'Terms and Turnovers'!$AN177</f>
        <v>0</v>
      </c>
      <c r="AA2487" s="728"/>
      <c r="AB2487" s="70">
        <f>AB1772/'Terms and Turnovers'!$AN177</f>
        <v>0</v>
      </c>
      <c r="AC2487" s="728"/>
      <c r="AD2487" s="70">
        <f>AD1772/'Terms and Turnovers'!$AN177</f>
        <v>0</v>
      </c>
      <c r="AE2487" s="728"/>
      <c r="AF2487" s="132">
        <f>SUM(T2487,V2487,X2487,Z2487,AB2487,AD2487)</f>
        <v>0</v>
      </c>
      <c r="AG2487" s="728"/>
      <c r="AH2487" s="133">
        <f>SUM(AF2487,R2487)</f>
        <v>0</v>
      </c>
      <c r="AI2487" s="728"/>
      <c r="AJ2487" s="65"/>
      <c r="AV2487" s="56"/>
    </row>
    <row r="2488" spans="2:48" ht="13.5" hidden="1" customHeight="1" outlineLevel="2" thickBot="1">
      <c r="B2488" s="82"/>
      <c r="C2488" s="1235"/>
      <c r="D2488" s="1235"/>
      <c r="E2488" s="85">
        <f>'Terms and Turnovers'!$AX$12</f>
        <v>0</v>
      </c>
      <c r="F2488" s="68">
        <f>F1773/'Terms and Turnovers'!$AX177</f>
        <v>0</v>
      </c>
      <c r="G2488" s="107"/>
      <c r="H2488" s="68">
        <f>H1773/'Terms and Turnovers'!$AX177</f>
        <v>0</v>
      </c>
      <c r="I2488" s="107"/>
      <c r="J2488" s="68">
        <f>J1773/'Terms and Turnovers'!$AX177</f>
        <v>0</v>
      </c>
      <c r="K2488" s="107"/>
      <c r="L2488" s="68">
        <f>L1773/'Terms and Turnovers'!$AX177</f>
        <v>0</v>
      </c>
      <c r="M2488" s="107"/>
      <c r="N2488" s="68">
        <f>N1773/'Terms and Turnovers'!$AX177</f>
        <v>0</v>
      </c>
      <c r="O2488" s="107"/>
      <c r="P2488" s="68">
        <f>P1773/'Terms and Turnovers'!$AX177</f>
        <v>0</v>
      </c>
      <c r="Q2488" s="107"/>
      <c r="R2488" s="135">
        <f>SUM(F2488,H2488,J2488,L2488,N2488,P2488)</f>
        <v>0</v>
      </c>
      <c r="S2488" s="107"/>
      <c r="T2488" s="68">
        <f>T1773/'Terms and Turnovers'!$AX177</f>
        <v>0</v>
      </c>
      <c r="U2488" s="107"/>
      <c r="V2488" s="68">
        <f>V1773/'Terms and Turnovers'!$AX177</f>
        <v>0</v>
      </c>
      <c r="W2488" s="107"/>
      <c r="X2488" s="68">
        <f>X1773/'Terms and Turnovers'!$AX177</f>
        <v>0</v>
      </c>
      <c r="Y2488" s="107"/>
      <c r="Z2488" s="68">
        <f>Z1773/'Terms and Turnovers'!$AX177</f>
        <v>0</v>
      </c>
      <c r="AA2488" s="107"/>
      <c r="AB2488" s="68">
        <f>AB1773/'Terms and Turnovers'!$AX177</f>
        <v>0</v>
      </c>
      <c r="AC2488" s="107"/>
      <c r="AD2488" s="68">
        <f>AD1773/'Terms and Turnovers'!$AX177</f>
        <v>0</v>
      </c>
      <c r="AE2488" s="107"/>
      <c r="AF2488" s="135">
        <f>SUM(T2488,V2488,X2488,Z2488,AB2488,AD2488)</f>
        <v>0</v>
      </c>
      <c r="AG2488" s="107"/>
      <c r="AH2488" s="136">
        <f>SUM(AF2488,R2488)</f>
        <v>0</v>
      </c>
      <c r="AI2488" s="107"/>
      <c r="AJ2488" s="65"/>
      <c r="AV2488" s="56"/>
    </row>
    <row r="2489" spans="2:48" ht="13.5" hidden="1" customHeight="1" outlineLevel="2">
      <c r="B2489" s="82"/>
      <c r="C2489" s="425"/>
      <c r="D2489" s="425"/>
      <c r="E2489" s="634"/>
      <c r="F2489" s="635"/>
      <c r="G2489" s="428"/>
      <c r="H2489" s="635"/>
      <c r="I2489" s="428"/>
      <c r="J2489" s="635"/>
      <c r="K2489" s="636"/>
      <c r="L2489" s="635"/>
      <c r="M2489" s="636"/>
      <c r="N2489" s="635"/>
      <c r="O2489" s="636"/>
      <c r="P2489" s="635"/>
      <c r="Q2489" s="636"/>
      <c r="R2489" s="637"/>
      <c r="S2489" s="698">
        <f>SUM(R1769:R1773)/1.18-(SUM(R2484:R2488)*'Mark Up Validation'!$M$175)</f>
        <v>0</v>
      </c>
      <c r="T2489" s="635"/>
      <c r="U2489" s="636"/>
      <c r="V2489" s="635"/>
      <c r="W2489" s="636"/>
      <c r="X2489" s="635"/>
      <c r="Y2489" s="636"/>
      <c r="Z2489" s="635"/>
      <c r="AA2489" s="636"/>
      <c r="AB2489" s="635"/>
      <c r="AC2489" s="636"/>
      <c r="AD2489" s="635"/>
      <c r="AE2489" s="636"/>
      <c r="AF2489" s="637"/>
      <c r="AG2489" s="698">
        <f>SUM(AF1769:AF1773)/1.18-SUM(AF2484:AF2488)*'Mark Up Validation'!$M$175</f>
        <v>0</v>
      </c>
      <c r="AH2489" s="638"/>
      <c r="AI2489" s="698">
        <f>SUM(AH1769:AH1773)/1.18-SUM(AH2484:AH2488)*'Mark Up Validation'!$M$175</f>
        <v>0</v>
      </c>
      <c r="AJ2489" s="65"/>
      <c r="AV2489" s="56"/>
    </row>
    <row r="2490" spans="2:48" ht="13.5" hidden="1" customHeight="1" outlineLevel="2" thickBot="1">
      <c r="B2490" s="82"/>
      <c r="C2490" s="1228" t="s">
        <v>538</v>
      </c>
      <c r="D2490" s="1229"/>
      <c r="E2490" s="699"/>
      <c r="F2490" s="700"/>
      <c r="G2490" s="701"/>
      <c r="H2490" s="700"/>
      <c r="I2490" s="701"/>
      <c r="J2490" s="700"/>
      <c r="K2490" s="702"/>
      <c r="L2490" s="700"/>
      <c r="M2490" s="702"/>
      <c r="N2490" s="700"/>
      <c r="O2490" s="702"/>
      <c r="P2490" s="700"/>
      <c r="Q2490" s="702"/>
      <c r="R2490" s="703"/>
      <c r="S2490" s="729">
        <f>IF(S2489&gt;0,S2489/(SUM(R1769:R1773)/1.18),0)</f>
        <v>0</v>
      </c>
      <c r="T2490" s="700"/>
      <c r="U2490" s="702"/>
      <c r="V2490" s="700"/>
      <c r="W2490" s="702"/>
      <c r="X2490" s="700"/>
      <c r="Y2490" s="702"/>
      <c r="Z2490" s="700"/>
      <c r="AA2490" s="702"/>
      <c r="AB2490" s="700"/>
      <c r="AC2490" s="702"/>
      <c r="AD2490" s="700"/>
      <c r="AE2490" s="702"/>
      <c r="AF2490" s="705"/>
      <c r="AG2490" s="729">
        <f>IF(AG2489&gt;0,AG2489/(SUM(AF1769:AF1773)/1.18),0)</f>
        <v>0</v>
      </c>
      <c r="AH2490" s="706"/>
      <c r="AI2490" s="729">
        <f>IF(AI2489&gt;0,AI2489/(SUM(AH1769:AH1773)/1.18),0)</f>
        <v>0</v>
      </c>
      <c r="AJ2490" s="65"/>
      <c r="AV2490" s="56"/>
    </row>
    <row r="2491" spans="2:48" ht="12.75" hidden="1" customHeight="1" outlineLevel="2">
      <c r="B2491" s="82">
        <f>B2484+1</f>
        <v>47</v>
      </c>
      <c r="C2491" s="1233">
        <f>C1776</f>
        <v>0</v>
      </c>
      <c r="D2491" s="1233">
        <f>D1776</f>
        <v>0</v>
      </c>
      <c r="E2491" s="83" t="str">
        <f>'Terms and Turnovers'!$J$12</f>
        <v>FLIP-FLOPS</v>
      </c>
      <c r="F2491" s="68">
        <f>F1776/'Terms and Turnovers'!$J178</f>
        <v>0</v>
      </c>
      <c r="G2491" s="106"/>
      <c r="H2491" s="68">
        <f>H1776/'Terms and Turnovers'!$J178</f>
        <v>0</v>
      </c>
      <c r="I2491" s="106"/>
      <c r="J2491" s="68">
        <f>J1776/'Terms and Turnovers'!$J178</f>
        <v>0</v>
      </c>
      <c r="K2491" s="106"/>
      <c r="L2491" s="68">
        <f>L1776/'Terms and Turnovers'!$J178</f>
        <v>0</v>
      </c>
      <c r="M2491" s="106"/>
      <c r="N2491" s="68">
        <f>N1776/'Terms and Turnovers'!$J178</f>
        <v>0</v>
      </c>
      <c r="O2491" s="106"/>
      <c r="P2491" s="68">
        <f>P1776/'Terms and Turnovers'!$J178</f>
        <v>0</v>
      </c>
      <c r="Q2491" s="106"/>
      <c r="R2491" s="129">
        <f>SUM(F2491,H2491,J2491,L2491,N2491,P2491)</f>
        <v>0</v>
      </c>
      <c r="S2491" s="106"/>
      <c r="T2491" s="68">
        <f>T1776/'Terms and Turnovers'!$J178</f>
        <v>0</v>
      </c>
      <c r="U2491" s="106"/>
      <c r="V2491" s="68">
        <f>V1776/'Terms and Turnovers'!$J178</f>
        <v>0</v>
      </c>
      <c r="W2491" s="106"/>
      <c r="X2491" s="68">
        <f>X1776/'Terms and Turnovers'!$J178</f>
        <v>0</v>
      </c>
      <c r="Y2491" s="106"/>
      <c r="Z2491" s="68">
        <f>Z1776/'Terms and Turnovers'!$J178</f>
        <v>0</v>
      </c>
      <c r="AA2491" s="106"/>
      <c r="AB2491" s="68">
        <f>AB1776/'Terms and Turnovers'!$J178</f>
        <v>0</v>
      </c>
      <c r="AC2491" s="106"/>
      <c r="AD2491" s="68">
        <f>AD1776/'Terms and Turnovers'!$J178</f>
        <v>0</v>
      </c>
      <c r="AE2491" s="106"/>
      <c r="AF2491" s="129">
        <f>SUM(T2491,V2491,X2491,Z2491,AB2491,AD2491)</f>
        <v>0</v>
      </c>
      <c r="AG2491" s="106"/>
      <c r="AH2491" s="130">
        <f>SUM(AF2491,R2491)</f>
        <v>0</v>
      </c>
      <c r="AI2491" s="106"/>
      <c r="AJ2491" s="65"/>
      <c r="AV2491" s="56"/>
    </row>
    <row r="2492" spans="2:48" ht="12.75" hidden="1" customHeight="1" outlineLevel="2" thickBot="1">
      <c r="B2492" s="82"/>
      <c r="C2492" s="1234"/>
      <c r="D2492" s="1234"/>
      <c r="E2492" s="84" t="str">
        <f>'Terms and Turnovers'!$T$12</f>
        <v>ORIGINALS</v>
      </c>
      <c r="F2492" s="70">
        <f>F1777/'Terms and Turnovers'!$T178</f>
        <v>0</v>
      </c>
      <c r="G2492" s="728"/>
      <c r="H2492" s="70">
        <f>H1777/'Terms and Turnovers'!$T178</f>
        <v>0</v>
      </c>
      <c r="I2492" s="728"/>
      <c r="J2492" s="70">
        <f>J1777/'Terms and Turnovers'!$T178</f>
        <v>0</v>
      </c>
      <c r="K2492" s="728"/>
      <c r="L2492" s="70">
        <f>L1777/'Terms and Turnovers'!$T178</f>
        <v>0</v>
      </c>
      <c r="M2492" s="728"/>
      <c r="N2492" s="70">
        <f>N1777/'Terms and Turnovers'!$T178</f>
        <v>0</v>
      </c>
      <c r="O2492" s="728"/>
      <c r="P2492" s="70">
        <f>P1777/'Terms and Turnovers'!$T178</f>
        <v>0</v>
      </c>
      <c r="Q2492" s="728"/>
      <c r="R2492" s="132">
        <f>SUM(F2492,H2492,J2492,L2492,N2492,P2492)</f>
        <v>0</v>
      </c>
      <c r="S2492" s="728"/>
      <c r="T2492" s="70">
        <f>T1777/'Terms and Turnovers'!$T178</f>
        <v>0</v>
      </c>
      <c r="U2492" s="728"/>
      <c r="V2492" s="70">
        <f>V1777/'Terms and Turnovers'!$T178</f>
        <v>0</v>
      </c>
      <c r="W2492" s="728"/>
      <c r="X2492" s="70">
        <f>X1777/'Terms and Turnovers'!$T178</f>
        <v>0</v>
      </c>
      <c r="Y2492" s="728"/>
      <c r="Z2492" s="70">
        <f>Z1777/'Terms and Turnovers'!$T178</f>
        <v>0</v>
      </c>
      <c r="AA2492" s="728"/>
      <c r="AB2492" s="70">
        <f>AB1777/'Terms and Turnovers'!$T178</f>
        <v>0</v>
      </c>
      <c r="AC2492" s="728"/>
      <c r="AD2492" s="70">
        <f>AD1777/'Terms and Turnovers'!$T178</f>
        <v>0</v>
      </c>
      <c r="AE2492" s="728"/>
      <c r="AF2492" s="132">
        <f>SUM(T2492,V2492,X2492,Z2492,AB2492,AD2492)</f>
        <v>0</v>
      </c>
      <c r="AG2492" s="728"/>
      <c r="AH2492" s="133">
        <f>SUM(AF2492,R2492)</f>
        <v>0</v>
      </c>
      <c r="AI2492" s="728"/>
      <c r="AJ2492" s="65"/>
      <c r="AV2492" s="56"/>
    </row>
    <row r="2493" spans="2:48" ht="12.75" hidden="1" customHeight="1" outlineLevel="2">
      <c r="B2493" s="82"/>
      <c r="C2493" s="1234"/>
      <c r="D2493" s="1234"/>
      <c r="E2493" s="84" t="str">
        <f>'Terms and Turnovers'!$AD$12</f>
        <v>ACCESSORIES</v>
      </c>
      <c r="F2493" s="68">
        <f>F1778/'Terms and Turnovers'!$AD178</f>
        <v>0</v>
      </c>
      <c r="G2493" s="728"/>
      <c r="H2493" s="68">
        <f>H1778/'Terms and Turnovers'!$AD178</f>
        <v>0</v>
      </c>
      <c r="I2493" s="728"/>
      <c r="J2493" s="68">
        <f>J1778/'Terms and Turnovers'!$AD178</f>
        <v>0</v>
      </c>
      <c r="K2493" s="728"/>
      <c r="L2493" s="68">
        <f>L1778/'Terms and Turnovers'!$AD178</f>
        <v>0</v>
      </c>
      <c r="M2493" s="728"/>
      <c r="N2493" s="68">
        <f>N1778/'Terms and Turnovers'!$AD178</f>
        <v>0</v>
      </c>
      <c r="O2493" s="728"/>
      <c r="P2493" s="68">
        <f>P1778/'Terms and Turnovers'!$AD178</f>
        <v>0</v>
      </c>
      <c r="Q2493" s="728"/>
      <c r="R2493" s="132">
        <f>SUM(F2493,H2493,J2493,L2493,N2493,P2493)</f>
        <v>0</v>
      </c>
      <c r="S2493" s="728"/>
      <c r="T2493" s="68">
        <f>T1778/'Terms and Turnovers'!$AD178</f>
        <v>0</v>
      </c>
      <c r="U2493" s="728"/>
      <c r="V2493" s="68">
        <f>V1778/'Terms and Turnovers'!$AD178</f>
        <v>0</v>
      </c>
      <c r="W2493" s="728"/>
      <c r="X2493" s="68">
        <f>X1778/'Terms and Turnovers'!$AD178</f>
        <v>0</v>
      </c>
      <c r="Y2493" s="728"/>
      <c r="Z2493" s="68">
        <f>Z1778/'Terms and Turnovers'!$AD178</f>
        <v>0</v>
      </c>
      <c r="AA2493" s="728"/>
      <c r="AB2493" s="68">
        <f>AB1778/'Terms and Turnovers'!$AD178</f>
        <v>0</v>
      </c>
      <c r="AC2493" s="728"/>
      <c r="AD2493" s="68">
        <f>AD1778/'Terms and Turnovers'!$AD178</f>
        <v>0</v>
      </c>
      <c r="AE2493" s="728"/>
      <c r="AF2493" s="132">
        <f>SUM(T2493,V2493,X2493,Z2493,AB2493,AD2493)</f>
        <v>0</v>
      </c>
      <c r="AG2493" s="728"/>
      <c r="AH2493" s="133">
        <f>SUM(AF2493,R2493)</f>
        <v>0</v>
      </c>
      <c r="AI2493" s="728"/>
      <c r="AJ2493" s="65"/>
      <c r="AV2493" s="56"/>
    </row>
    <row r="2494" spans="2:48" ht="12.75" hidden="1" customHeight="1" outlineLevel="2" thickBot="1">
      <c r="B2494" s="82"/>
      <c r="C2494" s="1234"/>
      <c r="D2494" s="1234"/>
      <c r="E2494" s="84">
        <f>'Terms and Turnovers'!$AN$12</f>
        <v>0</v>
      </c>
      <c r="F2494" s="70">
        <f>F1779/'Terms and Turnovers'!$AN178</f>
        <v>0</v>
      </c>
      <c r="G2494" s="728"/>
      <c r="H2494" s="70">
        <f>H1779/'Terms and Turnovers'!$AN178</f>
        <v>0</v>
      </c>
      <c r="I2494" s="728"/>
      <c r="J2494" s="70">
        <f>J1779/'Terms and Turnovers'!$AN178</f>
        <v>0</v>
      </c>
      <c r="K2494" s="728"/>
      <c r="L2494" s="70">
        <f>L1779/'Terms and Turnovers'!$AN178</f>
        <v>0</v>
      </c>
      <c r="M2494" s="728"/>
      <c r="N2494" s="70">
        <f>N1779/'Terms and Turnovers'!$AN178</f>
        <v>0</v>
      </c>
      <c r="O2494" s="728"/>
      <c r="P2494" s="70">
        <f>P1779/'Terms and Turnovers'!$AN178</f>
        <v>0</v>
      </c>
      <c r="Q2494" s="728"/>
      <c r="R2494" s="132">
        <f>SUM(F2494,H2494,J2494,L2494,N2494,P2494)</f>
        <v>0</v>
      </c>
      <c r="S2494" s="728"/>
      <c r="T2494" s="70">
        <f>T1779/'Terms and Turnovers'!$AN178</f>
        <v>0</v>
      </c>
      <c r="U2494" s="728"/>
      <c r="V2494" s="70">
        <f>V1779/'Terms and Turnovers'!$AN178</f>
        <v>0</v>
      </c>
      <c r="W2494" s="728"/>
      <c r="X2494" s="70">
        <f>X1779/'Terms and Turnovers'!$AN178</f>
        <v>0</v>
      </c>
      <c r="Y2494" s="728"/>
      <c r="Z2494" s="70">
        <f>Z1779/'Terms and Turnovers'!$AN178</f>
        <v>0</v>
      </c>
      <c r="AA2494" s="728"/>
      <c r="AB2494" s="70">
        <f>AB1779/'Terms and Turnovers'!$AN178</f>
        <v>0</v>
      </c>
      <c r="AC2494" s="728"/>
      <c r="AD2494" s="70">
        <f>AD1779/'Terms and Turnovers'!$AN178</f>
        <v>0</v>
      </c>
      <c r="AE2494" s="728"/>
      <c r="AF2494" s="132">
        <f>SUM(T2494,V2494,X2494,Z2494,AB2494,AD2494)</f>
        <v>0</v>
      </c>
      <c r="AG2494" s="728"/>
      <c r="AH2494" s="133">
        <f>SUM(AF2494,R2494)</f>
        <v>0</v>
      </c>
      <c r="AI2494" s="728"/>
      <c r="AJ2494" s="65"/>
      <c r="AV2494" s="56"/>
    </row>
    <row r="2495" spans="2:48" ht="13.5" hidden="1" customHeight="1" outlineLevel="2" thickBot="1">
      <c r="B2495" s="82"/>
      <c r="C2495" s="1235"/>
      <c r="D2495" s="1235"/>
      <c r="E2495" s="85">
        <f>'Terms and Turnovers'!$AX$12</f>
        <v>0</v>
      </c>
      <c r="F2495" s="68">
        <f>F1780/'Terms and Turnovers'!$AX178</f>
        <v>0</v>
      </c>
      <c r="G2495" s="107"/>
      <c r="H2495" s="68">
        <f>H1780/'Terms and Turnovers'!$AX178</f>
        <v>0</v>
      </c>
      <c r="I2495" s="107"/>
      <c r="J2495" s="68">
        <f>J1780/'Terms and Turnovers'!$AX178</f>
        <v>0</v>
      </c>
      <c r="K2495" s="107"/>
      <c r="L2495" s="68">
        <f>L1780/'Terms and Turnovers'!$AX178</f>
        <v>0</v>
      </c>
      <c r="M2495" s="107"/>
      <c r="N2495" s="68">
        <f>N1780/'Terms and Turnovers'!$AX178</f>
        <v>0</v>
      </c>
      <c r="O2495" s="107"/>
      <c r="P2495" s="68">
        <f>P1780/'Terms and Turnovers'!$AX178</f>
        <v>0</v>
      </c>
      <c r="Q2495" s="107"/>
      <c r="R2495" s="135">
        <f>SUM(F2495,H2495,J2495,L2495,N2495,P2495)</f>
        <v>0</v>
      </c>
      <c r="S2495" s="107"/>
      <c r="T2495" s="68">
        <f>T1780/'Terms and Turnovers'!$AX178</f>
        <v>0</v>
      </c>
      <c r="U2495" s="107"/>
      <c r="V2495" s="68">
        <f>V1780/'Terms and Turnovers'!$AX178</f>
        <v>0</v>
      </c>
      <c r="W2495" s="107"/>
      <c r="X2495" s="68">
        <f>X1780/'Terms and Turnovers'!$AX178</f>
        <v>0</v>
      </c>
      <c r="Y2495" s="107"/>
      <c r="Z2495" s="68">
        <f>Z1780/'Terms and Turnovers'!$AX178</f>
        <v>0</v>
      </c>
      <c r="AA2495" s="107"/>
      <c r="AB2495" s="68">
        <f>AB1780/'Terms and Turnovers'!$AX178</f>
        <v>0</v>
      </c>
      <c r="AC2495" s="107"/>
      <c r="AD2495" s="68">
        <f>AD1780/'Terms and Turnovers'!$AX178</f>
        <v>0</v>
      </c>
      <c r="AE2495" s="107"/>
      <c r="AF2495" s="135">
        <f>SUM(T2495,V2495,X2495,Z2495,AB2495,AD2495)</f>
        <v>0</v>
      </c>
      <c r="AG2495" s="107"/>
      <c r="AH2495" s="136">
        <f>SUM(AF2495,R2495)</f>
        <v>0</v>
      </c>
      <c r="AI2495" s="107"/>
      <c r="AJ2495" s="65"/>
      <c r="AV2495" s="56"/>
    </row>
    <row r="2496" spans="2:48" ht="13.5" hidden="1" customHeight="1" outlineLevel="2">
      <c r="B2496" s="82"/>
      <c r="C2496" s="425"/>
      <c r="D2496" s="425"/>
      <c r="E2496" s="634"/>
      <c r="F2496" s="635"/>
      <c r="G2496" s="428"/>
      <c r="H2496" s="635"/>
      <c r="I2496" s="428"/>
      <c r="J2496" s="635"/>
      <c r="K2496" s="636"/>
      <c r="L2496" s="635"/>
      <c r="M2496" s="636"/>
      <c r="N2496" s="635"/>
      <c r="O2496" s="636"/>
      <c r="P2496" s="635"/>
      <c r="Q2496" s="636"/>
      <c r="R2496" s="637"/>
      <c r="S2496" s="698">
        <f>SUM(R1776:R1780)/1.18-(SUM(R2491:R2495)*'Mark Up Validation'!$M$175)</f>
        <v>0</v>
      </c>
      <c r="T2496" s="635"/>
      <c r="U2496" s="636"/>
      <c r="V2496" s="635"/>
      <c r="W2496" s="636"/>
      <c r="X2496" s="635"/>
      <c r="Y2496" s="636"/>
      <c r="Z2496" s="635"/>
      <c r="AA2496" s="636"/>
      <c r="AB2496" s="635"/>
      <c r="AC2496" s="636"/>
      <c r="AD2496" s="635"/>
      <c r="AE2496" s="636"/>
      <c r="AF2496" s="637"/>
      <c r="AG2496" s="698">
        <f>SUM(AF1776:AF1780)/1.18-SUM(AF2491:AF2495)*'Mark Up Validation'!$M$175</f>
        <v>0</v>
      </c>
      <c r="AH2496" s="638"/>
      <c r="AI2496" s="698">
        <f>SUM(AH1776:AH1780)/1.18-SUM(AH2491:AH2495)*'Mark Up Validation'!$M$175</f>
        <v>0</v>
      </c>
      <c r="AJ2496" s="65"/>
      <c r="AV2496" s="56"/>
    </row>
    <row r="2497" spans="2:48" ht="13.5" hidden="1" customHeight="1" outlineLevel="2" thickBot="1">
      <c r="B2497" s="82"/>
      <c r="C2497" s="1228" t="s">
        <v>538</v>
      </c>
      <c r="D2497" s="1229"/>
      <c r="E2497" s="699"/>
      <c r="F2497" s="700"/>
      <c r="G2497" s="701"/>
      <c r="H2497" s="700"/>
      <c r="I2497" s="701"/>
      <c r="J2497" s="700"/>
      <c r="K2497" s="702"/>
      <c r="L2497" s="700"/>
      <c r="M2497" s="702"/>
      <c r="N2497" s="700"/>
      <c r="O2497" s="702"/>
      <c r="P2497" s="700"/>
      <c r="Q2497" s="702"/>
      <c r="R2497" s="703"/>
      <c r="S2497" s="729">
        <f>IF(S2496&gt;0,S2496/(SUM(R1776:R1780)/1.18),0)</f>
        <v>0</v>
      </c>
      <c r="T2497" s="700"/>
      <c r="U2497" s="702"/>
      <c r="V2497" s="700"/>
      <c r="W2497" s="702"/>
      <c r="X2497" s="700"/>
      <c r="Y2497" s="702"/>
      <c r="Z2497" s="700"/>
      <c r="AA2497" s="702"/>
      <c r="AB2497" s="700"/>
      <c r="AC2497" s="702"/>
      <c r="AD2497" s="700"/>
      <c r="AE2497" s="702"/>
      <c r="AF2497" s="705"/>
      <c r="AG2497" s="729">
        <f>IF(AG2496&gt;0,AG2496/(SUM(AF1776:AF1780)/1.18),0)</f>
        <v>0</v>
      </c>
      <c r="AH2497" s="706"/>
      <c r="AI2497" s="729">
        <f>IF(AI2496&gt;0,AI2496/(SUM(AH1776:AH1780)/1.18),0)</f>
        <v>0</v>
      </c>
      <c r="AJ2497" s="65"/>
      <c r="AV2497" s="56"/>
    </row>
    <row r="2498" spans="2:48" ht="12.75" hidden="1" customHeight="1" outlineLevel="2">
      <c r="B2498" s="82">
        <f>B2491+1</f>
        <v>48</v>
      </c>
      <c r="C2498" s="1233">
        <f>C1783</f>
        <v>0</v>
      </c>
      <c r="D2498" s="1233">
        <f>D1783</f>
        <v>0</v>
      </c>
      <c r="E2498" s="83" t="str">
        <f>'Terms and Turnovers'!$J$12</f>
        <v>FLIP-FLOPS</v>
      </c>
      <c r="F2498" s="68">
        <f>F1783/'Terms and Turnovers'!$J179</f>
        <v>0</v>
      </c>
      <c r="G2498" s="106"/>
      <c r="H2498" s="68">
        <f>H1783/'Terms and Turnovers'!$J179</f>
        <v>0</v>
      </c>
      <c r="I2498" s="106"/>
      <c r="J2498" s="68">
        <f>J1783/'Terms and Turnovers'!$J179</f>
        <v>0</v>
      </c>
      <c r="K2498" s="106"/>
      <c r="L2498" s="68">
        <f>L1783/'Terms and Turnovers'!$J179</f>
        <v>0</v>
      </c>
      <c r="M2498" s="106"/>
      <c r="N2498" s="68">
        <f>N1783/'Terms and Turnovers'!$J179</f>
        <v>0</v>
      </c>
      <c r="O2498" s="106"/>
      <c r="P2498" s="68">
        <f>P1783/'Terms and Turnovers'!$J179</f>
        <v>0</v>
      </c>
      <c r="Q2498" s="106"/>
      <c r="R2498" s="129">
        <f>SUM(F2498,H2498,J2498,L2498,N2498,P2498)</f>
        <v>0</v>
      </c>
      <c r="S2498" s="106"/>
      <c r="T2498" s="68">
        <f>T1783/'Terms and Turnovers'!$J179</f>
        <v>0</v>
      </c>
      <c r="U2498" s="106"/>
      <c r="V2498" s="68">
        <f>V1783/'Terms and Turnovers'!$J179</f>
        <v>0</v>
      </c>
      <c r="W2498" s="106"/>
      <c r="X2498" s="68">
        <f>X1783/'Terms and Turnovers'!$J179</f>
        <v>0</v>
      </c>
      <c r="Y2498" s="106"/>
      <c r="Z2498" s="68">
        <f>Z1783/'Terms and Turnovers'!$J179</f>
        <v>0</v>
      </c>
      <c r="AA2498" s="106"/>
      <c r="AB2498" s="68">
        <f>AB1783/'Terms and Turnovers'!$J179</f>
        <v>0</v>
      </c>
      <c r="AC2498" s="106"/>
      <c r="AD2498" s="68">
        <f>AD1783/'Terms and Turnovers'!$J179</f>
        <v>0</v>
      </c>
      <c r="AE2498" s="106"/>
      <c r="AF2498" s="129">
        <f>SUM(T2498,V2498,X2498,Z2498,AB2498,AD2498)</f>
        <v>0</v>
      </c>
      <c r="AG2498" s="106"/>
      <c r="AH2498" s="130">
        <f>SUM(AF2498,R2498)</f>
        <v>0</v>
      </c>
      <c r="AI2498" s="106"/>
      <c r="AJ2498" s="65"/>
      <c r="AV2498" s="56"/>
    </row>
    <row r="2499" spans="2:48" ht="12.75" hidden="1" customHeight="1" outlineLevel="2" thickBot="1">
      <c r="B2499" s="82"/>
      <c r="C2499" s="1234"/>
      <c r="D2499" s="1234"/>
      <c r="E2499" s="84" t="str">
        <f>'Terms and Turnovers'!$T$12</f>
        <v>ORIGINALS</v>
      </c>
      <c r="F2499" s="70">
        <f>F1784/'Terms and Turnovers'!$T179</f>
        <v>0</v>
      </c>
      <c r="G2499" s="728"/>
      <c r="H2499" s="70">
        <f>H1784/'Terms and Turnovers'!$T179</f>
        <v>0</v>
      </c>
      <c r="I2499" s="728"/>
      <c r="J2499" s="70">
        <f>J1784/'Terms and Turnovers'!$T179</f>
        <v>0</v>
      </c>
      <c r="K2499" s="728"/>
      <c r="L2499" s="70">
        <f>L1784/'Terms and Turnovers'!$T179</f>
        <v>0</v>
      </c>
      <c r="M2499" s="728"/>
      <c r="N2499" s="70">
        <f>N1784/'Terms and Turnovers'!$T179</f>
        <v>0</v>
      </c>
      <c r="O2499" s="728"/>
      <c r="P2499" s="70">
        <f>P1784/'Terms and Turnovers'!$T179</f>
        <v>0</v>
      </c>
      <c r="Q2499" s="728"/>
      <c r="R2499" s="132">
        <f>SUM(F2499,H2499,J2499,L2499,N2499,P2499)</f>
        <v>0</v>
      </c>
      <c r="S2499" s="728"/>
      <c r="T2499" s="70">
        <f>T1784/'Terms and Turnovers'!$T179</f>
        <v>0</v>
      </c>
      <c r="U2499" s="728"/>
      <c r="V2499" s="70">
        <f>V1784/'Terms and Turnovers'!$T179</f>
        <v>0</v>
      </c>
      <c r="W2499" s="728"/>
      <c r="X2499" s="70">
        <f>X1784/'Terms and Turnovers'!$T179</f>
        <v>0</v>
      </c>
      <c r="Y2499" s="728"/>
      <c r="Z2499" s="70">
        <f>Z1784/'Terms and Turnovers'!$T179</f>
        <v>0</v>
      </c>
      <c r="AA2499" s="728"/>
      <c r="AB2499" s="70">
        <f>AB1784/'Terms and Turnovers'!$T179</f>
        <v>0</v>
      </c>
      <c r="AC2499" s="728"/>
      <c r="AD2499" s="70">
        <f>AD1784/'Terms and Turnovers'!$T179</f>
        <v>0</v>
      </c>
      <c r="AE2499" s="728"/>
      <c r="AF2499" s="132">
        <f>SUM(T2499,V2499,X2499,Z2499,AB2499,AD2499)</f>
        <v>0</v>
      </c>
      <c r="AG2499" s="728"/>
      <c r="AH2499" s="133">
        <f>SUM(AF2499,R2499)</f>
        <v>0</v>
      </c>
      <c r="AI2499" s="728"/>
      <c r="AJ2499" s="65"/>
      <c r="AV2499" s="56"/>
    </row>
    <row r="2500" spans="2:48" ht="12.75" hidden="1" customHeight="1" outlineLevel="2">
      <c r="B2500" s="82"/>
      <c r="C2500" s="1234"/>
      <c r="D2500" s="1234"/>
      <c r="E2500" s="84" t="str">
        <f>'Terms and Turnovers'!$AD$12</f>
        <v>ACCESSORIES</v>
      </c>
      <c r="F2500" s="68">
        <f>F1785/'Terms and Turnovers'!$AD179</f>
        <v>0</v>
      </c>
      <c r="G2500" s="728"/>
      <c r="H2500" s="68">
        <f>H1785/'Terms and Turnovers'!$AD179</f>
        <v>0</v>
      </c>
      <c r="I2500" s="728"/>
      <c r="J2500" s="68">
        <f>J1785/'Terms and Turnovers'!$AD179</f>
        <v>0</v>
      </c>
      <c r="K2500" s="728"/>
      <c r="L2500" s="68">
        <f>L1785/'Terms and Turnovers'!$AD179</f>
        <v>0</v>
      </c>
      <c r="M2500" s="728"/>
      <c r="N2500" s="68">
        <f>N1785/'Terms and Turnovers'!$AD179</f>
        <v>0</v>
      </c>
      <c r="O2500" s="728"/>
      <c r="P2500" s="68">
        <f>P1785/'Terms and Turnovers'!$AD179</f>
        <v>0</v>
      </c>
      <c r="Q2500" s="728"/>
      <c r="R2500" s="132">
        <f>SUM(F2500,H2500,J2500,L2500,N2500,P2500)</f>
        <v>0</v>
      </c>
      <c r="S2500" s="728"/>
      <c r="T2500" s="68">
        <f>T1785/'Terms and Turnovers'!$AD179</f>
        <v>0</v>
      </c>
      <c r="U2500" s="728"/>
      <c r="V2500" s="68">
        <f>V1785/'Terms and Turnovers'!$AD179</f>
        <v>0</v>
      </c>
      <c r="W2500" s="728"/>
      <c r="X2500" s="68">
        <f>X1785/'Terms and Turnovers'!$AD179</f>
        <v>0</v>
      </c>
      <c r="Y2500" s="728"/>
      <c r="Z2500" s="68">
        <f>Z1785/'Terms and Turnovers'!$AD179</f>
        <v>0</v>
      </c>
      <c r="AA2500" s="728"/>
      <c r="AB2500" s="68">
        <f>AB1785/'Terms and Turnovers'!$AD179</f>
        <v>0</v>
      </c>
      <c r="AC2500" s="728"/>
      <c r="AD2500" s="68">
        <f>AD1785/'Terms and Turnovers'!$AD179</f>
        <v>0</v>
      </c>
      <c r="AE2500" s="728"/>
      <c r="AF2500" s="132">
        <f>SUM(T2500,V2500,X2500,Z2500,AB2500,AD2500)</f>
        <v>0</v>
      </c>
      <c r="AG2500" s="728"/>
      <c r="AH2500" s="133">
        <f>SUM(AF2500,R2500)</f>
        <v>0</v>
      </c>
      <c r="AI2500" s="728"/>
      <c r="AJ2500" s="65"/>
      <c r="AV2500" s="56"/>
    </row>
    <row r="2501" spans="2:48" ht="12.75" hidden="1" customHeight="1" outlineLevel="2" thickBot="1">
      <c r="B2501" s="82"/>
      <c r="C2501" s="1234"/>
      <c r="D2501" s="1234"/>
      <c r="E2501" s="84">
        <f>'Terms and Turnovers'!$AN$12</f>
        <v>0</v>
      </c>
      <c r="F2501" s="70">
        <f>F1786/'Terms and Turnovers'!$AN179</f>
        <v>0</v>
      </c>
      <c r="G2501" s="728"/>
      <c r="H2501" s="70">
        <f>H1786/'Terms and Turnovers'!$AN179</f>
        <v>0</v>
      </c>
      <c r="I2501" s="728"/>
      <c r="J2501" s="70">
        <f>J1786/'Terms and Turnovers'!$AN179</f>
        <v>0</v>
      </c>
      <c r="K2501" s="728"/>
      <c r="L2501" s="70">
        <f>L1786/'Terms and Turnovers'!$AN179</f>
        <v>0</v>
      </c>
      <c r="M2501" s="728"/>
      <c r="N2501" s="70">
        <f>N1786/'Terms and Turnovers'!$AN179</f>
        <v>0</v>
      </c>
      <c r="O2501" s="728"/>
      <c r="P2501" s="70">
        <f>P1786/'Terms and Turnovers'!$AN179</f>
        <v>0</v>
      </c>
      <c r="Q2501" s="728"/>
      <c r="R2501" s="132">
        <f>SUM(F2501,H2501,J2501,L2501,N2501,P2501)</f>
        <v>0</v>
      </c>
      <c r="S2501" s="728"/>
      <c r="T2501" s="70">
        <f>T1786/'Terms and Turnovers'!$AN179</f>
        <v>0</v>
      </c>
      <c r="U2501" s="728"/>
      <c r="V2501" s="70">
        <f>V1786/'Terms and Turnovers'!$AN179</f>
        <v>0</v>
      </c>
      <c r="W2501" s="728"/>
      <c r="X2501" s="70">
        <f>X1786/'Terms and Turnovers'!$AN179</f>
        <v>0</v>
      </c>
      <c r="Y2501" s="728"/>
      <c r="Z2501" s="70">
        <f>Z1786/'Terms and Turnovers'!$AN179</f>
        <v>0</v>
      </c>
      <c r="AA2501" s="728"/>
      <c r="AB2501" s="70">
        <f>AB1786/'Terms and Turnovers'!$AN179</f>
        <v>0</v>
      </c>
      <c r="AC2501" s="728"/>
      <c r="AD2501" s="70">
        <f>AD1786/'Terms and Turnovers'!$AN179</f>
        <v>0</v>
      </c>
      <c r="AE2501" s="728"/>
      <c r="AF2501" s="132">
        <f>SUM(T2501,V2501,X2501,Z2501,AB2501,AD2501)</f>
        <v>0</v>
      </c>
      <c r="AG2501" s="728"/>
      <c r="AH2501" s="133">
        <f>SUM(AF2501,R2501)</f>
        <v>0</v>
      </c>
      <c r="AI2501" s="728"/>
      <c r="AJ2501" s="65"/>
      <c r="AV2501" s="56"/>
    </row>
    <row r="2502" spans="2:48" ht="13.5" hidden="1" customHeight="1" outlineLevel="2" thickBot="1">
      <c r="B2502" s="82"/>
      <c r="C2502" s="1235"/>
      <c r="D2502" s="1235"/>
      <c r="E2502" s="85">
        <f>'Terms and Turnovers'!$AX$12</f>
        <v>0</v>
      </c>
      <c r="F2502" s="68">
        <f>F1787/'Terms and Turnovers'!$AX179</f>
        <v>0</v>
      </c>
      <c r="G2502" s="107"/>
      <c r="H2502" s="68">
        <f>H1787/'Terms and Turnovers'!$AX179</f>
        <v>0</v>
      </c>
      <c r="I2502" s="107"/>
      <c r="J2502" s="68">
        <f>J1787/'Terms and Turnovers'!$AX179</f>
        <v>0</v>
      </c>
      <c r="K2502" s="107"/>
      <c r="L2502" s="68">
        <f>L1787/'Terms and Turnovers'!$AX179</f>
        <v>0</v>
      </c>
      <c r="M2502" s="107"/>
      <c r="N2502" s="68">
        <f>N1787/'Terms and Turnovers'!$AX179</f>
        <v>0</v>
      </c>
      <c r="O2502" s="107"/>
      <c r="P2502" s="68">
        <f>P1787/'Terms and Turnovers'!$AX179</f>
        <v>0</v>
      </c>
      <c r="Q2502" s="107"/>
      <c r="R2502" s="135">
        <f>SUM(F2502,H2502,J2502,L2502,N2502,P2502)</f>
        <v>0</v>
      </c>
      <c r="S2502" s="107"/>
      <c r="T2502" s="68">
        <f>T1787/'Terms and Turnovers'!$AX179</f>
        <v>0</v>
      </c>
      <c r="U2502" s="107"/>
      <c r="V2502" s="68">
        <f>V1787/'Terms and Turnovers'!$AX179</f>
        <v>0</v>
      </c>
      <c r="W2502" s="107"/>
      <c r="X2502" s="68">
        <f>X1787/'Terms and Turnovers'!$AX179</f>
        <v>0</v>
      </c>
      <c r="Y2502" s="107"/>
      <c r="Z2502" s="68">
        <f>Z1787/'Terms and Turnovers'!$AX179</f>
        <v>0</v>
      </c>
      <c r="AA2502" s="107"/>
      <c r="AB2502" s="68">
        <f>AB1787/'Terms and Turnovers'!$AX179</f>
        <v>0</v>
      </c>
      <c r="AC2502" s="107"/>
      <c r="AD2502" s="68">
        <f>AD1787/'Terms and Turnovers'!$AX179</f>
        <v>0</v>
      </c>
      <c r="AE2502" s="107"/>
      <c r="AF2502" s="135">
        <f>SUM(T2502,V2502,X2502,Z2502,AB2502,AD2502)</f>
        <v>0</v>
      </c>
      <c r="AG2502" s="107"/>
      <c r="AH2502" s="136">
        <f>SUM(AF2502,R2502)</f>
        <v>0</v>
      </c>
      <c r="AI2502" s="107"/>
      <c r="AJ2502" s="65"/>
      <c r="AV2502" s="56"/>
    </row>
    <row r="2503" spans="2:48" ht="13.5" hidden="1" customHeight="1" outlineLevel="2">
      <c r="B2503" s="82"/>
      <c r="C2503" s="425"/>
      <c r="D2503" s="425"/>
      <c r="E2503" s="634"/>
      <c r="F2503" s="635"/>
      <c r="G2503" s="428"/>
      <c r="H2503" s="635"/>
      <c r="I2503" s="428"/>
      <c r="J2503" s="635"/>
      <c r="K2503" s="636"/>
      <c r="L2503" s="635"/>
      <c r="M2503" s="636"/>
      <c r="N2503" s="635"/>
      <c r="O2503" s="636"/>
      <c r="P2503" s="635"/>
      <c r="Q2503" s="636"/>
      <c r="R2503" s="637"/>
      <c r="S2503" s="698">
        <f>SUM(R1783:R1787)/1.18-(SUM(R2498:R2502)*'Mark Up Validation'!$M$175)</f>
        <v>0</v>
      </c>
      <c r="T2503" s="635"/>
      <c r="U2503" s="636"/>
      <c r="V2503" s="635"/>
      <c r="W2503" s="636"/>
      <c r="X2503" s="635"/>
      <c r="Y2503" s="636"/>
      <c r="Z2503" s="635"/>
      <c r="AA2503" s="636"/>
      <c r="AB2503" s="635"/>
      <c r="AC2503" s="636"/>
      <c r="AD2503" s="635"/>
      <c r="AE2503" s="636"/>
      <c r="AF2503" s="637"/>
      <c r="AG2503" s="698">
        <f>SUM(AF1783:AF1787)/1.18-SUM(AF2498:AF2502)*'Mark Up Validation'!$M$175</f>
        <v>0</v>
      </c>
      <c r="AH2503" s="638"/>
      <c r="AI2503" s="698">
        <f>SUM(AH1783:AH1787)/1.18-SUM(AH2498:AH2502)*'Mark Up Validation'!$M$175</f>
        <v>0</v>
      </c>
      <c r="AJ2503" s="65"/>
      <c r="AV2503" s="56"/>
    </row>
    <row r="2504" spans="2:48" ht="13.5" hidden="1" customHeight="1" outlineLevel="2" thickBot="1">
      <c r="B2504" s="82"/>
      <c r="C2504" s="1228" t="s">
        <v>538</v>
      </c>
      <c r="D2504" s="1229"/>
      <c r="E2504" s="699"/>
      <c r="F2504" s="700"/>
      <c r="G2504" s="701"/>
      <c r="H2504" s="700"/>
      <c r="I2504" s="701"/>
      <c r="J2504" s="700"/>
      <c r="K2504" s="702"/>
      <c r="L2504" s="700"/>
      <c r="M2504" s="702"/>
      <c r="N2504" s="700"/>
      <c r="O2504" s="702"/>
      <c r="P2504" s="700"/>
      <c r="Q2504" s="702"/>
      <c r="R2504" s="703"/>
      <c r="S2504" s="729">
        <f>IF(S2503&gt;0,S2503/(SUM(R1783:R1787)/1.18),0)</f>
        <v>0</v>
      </c>
      <c r="T2504" s="700"/>
      <c r="U2504" s="702"/>
      <c r="V2504" s="700"/>
      <c r="W2504" s="702"/>
      <c r="X2504" s="700"/>
      <c r="Y2504" s="702"/>
      <c r="Z2504" s="700"/>
      <c r="AA2504" s="702"/>
      <c r="AB2504" s="700"/>
      <c r="AC2504" s="702"/>
      <c r="AD2504" s="700"/>
      <c r="AE2504" s="702"/>
      <c r="AF2504" s="705"/>
      <c r="AG2504" s="729">
        <f>IF(AG2503&gt;0,AG2503/(SUM(AF1783:AF1787)/1.18),0)</f>
        <v>0</v>
      </c>
      <c r="AH2504" s="706"/>
      <c r="AI2504" s="729">
        <f>IF(AI2503&gt;0,AI2503/(SUM(AH1783:AH1787)/1.18),0)</f>
        <v>0</v>
      </c>
      <c r="AJ2504" s="65"/>
      <c r="AV2504" s="56"/>
    </row>
    <row r="2505" spans="2:48" ht="12.75" hidden="1" customHeight="1" outlineLevel="2">
      <c r="B2505" s="82">
        <f>B2498+1</f>
        <v>49</v>
      </c>
      <c r="C2505" s="1233">
        <f>C1790</f>
        <v>0</v>
      </c>
      <c r="D2505" s="1233">
        <f>D1790</f>
        <v>0</v>
      </c>
      <c r="E2505" s="83" t="str">
        <f>'Terms and Turnovers'!$J$12</f>
        <v>FLIP-FLOPS</v>
      </c>
      <c r="F2505" s="68">
        <f>F1790/'Terms and Turnovers'!$J180</f>
        <v>0</v>
      </c>
      <c r="G2505" s="106"/>
      <c r="H2505" s="68">
        <f>H1790/'Terms and Turnovers'!$J180</f>
        <v>0</v>
      </c>
      <c r="I2505" s="106"/>
      <c r="J2505" s="68">
        <f>J1790/'Terms and Turnovers'!$J180</f>
        <v>0</v>
      </c>
      <c r="K2505" s="106"/>
      <c r="L2505" s="68">
        <f>L1790/'Terms and Turnovers'!$J180</f>
        <v>0</v>
      </c>
      <c r="M2505" s="106"/>
      <c r="N2505" s="68">
        <f>N1790/'Terms and Turnovers'!$J180</f>
        <v>0</v>
      </c>
      <c r="O2505" s="106"/>
      <c r="P2505" s="68">
        <f>P1790/'Terms and Turnovers'!$J180</f>
        <v>0</v>
      </c>
      <c r="Q2505" s="106"/>
      <c r="R2505" s="129">
        <f>SUM(F2505,H2505,J2505,L2505,N2505,P2505)</f>
        <v>0</v>
      </c>
      <c r="S2505" s="106"/>
      <c r="T2505" s="68">
        <f>T1790/'Terms and Turnovers'!$J180</f>
        <v>0</v>
      </c>
      <c r="U2505" s="106"/>
      <c r="V2505" s="68">
        <f>V1790/'Terms and Turnovers'!$J180</f>
        <v>0</v>
      </c>
      <c r="W2505" s="106"/>
      <c r="X2505" s="68">
        <f>X1790/'Terms and Turnovers'!$J180</f>
        <v>0</v>
      </c>
      <c r="Y2505" s="106"/>
      <c r="Z2505" s="68">
        <f>Z1790/'Terms and Turnovers'!$J180</f>
        <v>0</v>
      </c>
      <c r="AA2505" s="106"/>
      <c r="AB2505" s="68">
        <f>AB1790/'Terms and Turnovers'!$J180</f>
        <v>0</v>
      </c>
      <c r="AC2505" s="106"/>
      <c r="AD2505" s="68">
        <f>AD1790/'Terms and Turnovers'!$J180</f>
        <v>0</v>
      </c>
      <c r="AE2505" s="106"/>
      <c r="AF2505" s="129">
        <f>SUM(T2505,V2505,X2505,Z2505,AB2505,AD2505)</f>
        <v>0</v>
      </c>
      <c r="AG2505" s="106"/>
      <c r="AH2505" s="130">
        <f>SUM(AF2505,R2505)</f>
        <v>0</v>
      </c>
      <c r="AI2505" s="106"/>
      <c r="AJ2505" s="65"/>
      <c r="AV2505" s="56"/>
    </row>
    <row r="2506" spans="2:48" ht="12.75" hidden="1" customHeight="1" outlineLevel="2" thickBot="1">
      <c r="B2506" s="82"/>
      <c r="C2506" s="1234"/>
      <c r="D2506" s="1234"/>
      <c r="E2506" s="84" t="str">
        <f>'Terms and Turnovers'!$T$12</f>
        <v>ORIGINALS</v>
      </c>
      <c r="F2506" s="70">
        <f>F1791/'Terms and Turnovers'!$T180</f>
        <v>0</v>
      </c>
      <c r="G2506" s="728"/>
      <c r="H2506" s="70">
        <f>H1791/'Terms and Turnovers'!$T180</f>
        <v>0</v>
      </c>
      <c r="I2506" s="728"/>
      <c r="J2506" s="70">
        <f>J1791/'Terms and Turnovers'!$T180</f>
        <v>0</v>
      </c>
      <c r="K2506" s="728"/>
      <c r="L2506" s="70">
        <f>L1791/'Terms and Turnovers'!$T180</f>
        <v>0</v>
      </c>
      <c r="M2506" s="728"/>
      <c r="N2506" s="70">
        <f>N1791/'Terms and Turnovers'!$T180</f>
        <v>0</v>
      </c>
      <c r="O2506" s="728"/>
      <c r="P2506" s="70">
        <f>P1791/'Terms and Turnovers'!$T180</f>
        <v>0</v>
      </c>
      <c r="Q2506" s="728"/>
      <c r="R2506" s="132">
        <f>SUM(F2506,H2506,J2506,L2506,N2506,P2506)</f>
        <v>0</v>
      </c>
      <c r="S2506" s="728"/>
      <c r="T2506" s="70">
        <f>T1791/'Terms and Turnovers'!$T180</f>
        <v>0</v>
      </c>
      <c r="U2506" s="728"/>
      <c r="V2506" s="70">
        <f>V1791/'Terms and Turnovers'!$T180</f>
        <v>0</v>
      </c>
      <c r="W2506" s="728"/>
      <c r="X2506" s="70">
        <f>X1791/'Terms and Turnovers'!$T180</f>
        <v>0</v>
      </c>
      <c r="Y2506" s="728"/>
      <c r="Z2506" s="70">
        <f>Z1791/'Terms and Turnovers'!$T180</f>
        <v>0</v>
      </c>
      <c r="AA2506" s="728"/>
      <c r="AB2506" s="70">
        <f>AB1791/'Terms and Turnovers'!$T180</f>
        <v>0</v>
      </c>
      <c r="AC2506" s="728"/>
      <c r="AD2506" s="70">
        <f>AD1791/'Terms and Turnovers'!$T180</f>
        <v>0</v>
      </c>
      <c r="AE2506" s="728"/>
      <c r="AF2506" s="132">
        <f>SUM(T2506,V2506,X2506,Z2506,AB2506,AD2506)</f>
        <v>0</v>
      </c>
      <c r="AG2506" s="728"/>
      <c r="AH2506" s="133">
        <f>SUM(AF2506,R2506)</f>
        <v>0</v>
      </c>
      <c r="AI2506" s="728"/>
      <c r="AJ2506" s="65"/>
      <c r="AV2506" s="56"/>
    </row>
    <row r="2507" spans="2:48" ht="12.75" hidden="1" customHeight="1" outlineLevel="2">
      <c r="B2507" s="82"/>
      <c r="C2507" s="1234"/>
      <c r="D2507" s="1234"/>
      <c r="E2507" s="84" t="str">
        <f>'Terms and Turnovers'!$AD$12</f>
        <v>ACCESSORIES</v>
      </c>
      <c r="F2507" s="68">
        <f>F1792/'Terms and Turnovers'!$AD180</f>
        <v>0</v>
      </c>
      <c r="G2507" s="728"/>
      <c r="H2507" s="68">
        <f>H1792/'Terms and Turnovers'!$AD180</f>
        <v>0</v>
      </c>
      <c r="I2507" s="728"/>
      <c r="J2507" s="68">
        <f>J1792/'Terms and Turnovers'!$AD180</f>
        <v>0</v>
      </c>
      <c r="K2507" s="728"/>
      <c r="L2507" s="68">
        <f>L1792/'Terms and Turnovers'!$AD180</f>
        <v>0</v>
      </c>
      <c r="M2507" s="728"/>
      <c r="N2507" s="68">
        <f>N1792/'Terms and Turnovers'!$AD180</f>
        <v>0</v>
      </c>
      <c r="O2507" s="728"/>
      <c r="P2507" s="68">
        <f>P1792/'Terms and Turnovers'!$AD180</f>
        <v>0</v>
      </c>
      <c r="Q2507" s="728"/>
      <c r="R2507" s="132">
        <f>SUM(F2507,H2507,J2507,L2507,N2507,P2507)</f>
        <v>0</v>
      </c>
      <c r="S2507" s="728"/>
      <c r="T2507" s="68">
        <f>T1792/'Terms and Turnovers'!$AD180</f>
        <v>0</v>
      </c>
      <c r="U2507" s="728"/>
      <c r="V2507" s="68">
        <f>V1792/'Terms and Turnovers'!$AD180</f>
        <v>0</v>
      </c>
      <c r="W2507" s="728"/>
      <c r="X2507" s="68">
        <f>X1792/'Terms and Turnovers'!$AD180</f>
        <v>0</v>
      </c>
      <c r="Y2507" s="728"/>
      <c r="Z2507" s="68">
        <f>Z1792/'Terms and Turnovers'!$AD180</f>
        <v>0</v>
      </c>
      <c r="AA2507" s="728"/>
      <c r="AB2507" s="68">
        <f>AB1792/'Terms and Turnovers'!$AD180</f>
        <v>0</v>
      </c>
      <c r="AC2507" s="728"/>
      <c r="AD2507" s="68">
        <f>AD1792/'Terms and Turnovers'!$AD180</f>
        <v>0</v>
      </c>
      <c r="AE2507" s="728"/>
      <c r="AF2507" s="132">
        <f>SUM(T2507,V2507,X2507,Z2507,AB2507,AD2507)</f>
        <v>0</v>
      </c>
      <c r="AG2507" s="728"/>
      <c r="AH2507" s="133">
        <f>SUM(AF2507,R2507)</f>
        <v>0</v>
      </c>
      <c r="AI2507" s="728"/>
      <c r="AJ2507" s="65"/>
      <c r="AV2507" s="56"/>
    </row>
    <row r="2508" spans="2:48" ht="12.75" hidden="1" customHeight="1" outlineLevel="2" thickBot="1">
      <c r="B2508" s="82"/>
      <c r="C2508" s="1234"/>
      <c r="D2508" s="1234"/>
      <c r="E2508" s="84">
        <f>'Terms and Turnovers'!$AN$12</f>
        <v>0</v>
      </c>
      <c r="F2508" s="70">
        <f>F1793/'Terms and Turnovers'!$AN180</f>
        <v>0</v>
      </c>
      <c r="G2508" s="728"/>
      <c r="H2508" s="70">
        <f>H1793/'Terms and Turnovers'!$AN180</f>
        <v>0</v>
      </c>
      <c r="I2508" s="728"/>
      <c r="J2508" s="70">
        <f>J1793/'Terms and Turnovers'!$AN180</f>
        <v>0</v>
      </c>
      <c r="K2508" s="728"/>
      <c r="L2508" s="70">
        <f>L1793/'Terms and Turnovers'!$AN180</f>
        <v>0</v>
      </c>
      <c r="M2508" s="728"/>
      <c r="N2508" s="70">
        <f>N1793/'Terms and Turnovers'!$AN180</f>
        <v>0</v>
      </c>
      <c r="O2508" s="728"/>
      <c r="P2508" s="70">
        <f>P1793/'Terms and Turnovers'!$AN180</f>
        <v>0</v>
      </c>
      <c r="Q2508" s="728"/>
      <c r="R2508" s="132">
        <f>SUM(F2508,H2508,J2508,L2508,N2508,P2508)</f>
        <v>0</v>
      </c>
      <c r="S2508" s="728"/>
      <c r="T2508" s="70">
        <f>T1793/'Terms and Turnovers'!$AN180</f>
        <v>0</v>
      </c>
      <c r="U2508" s="728"/>
      <c r="V2508" s="70">
        <f>V1793/'Terms and Turnovers'!$AN180</f>
        <v>0</v>
      </c>
      <c r="W2508" s="728"/>
      <c r="X2508" s="70">
        <f>X1793/'Terms and Turnovers'!$AN180</f>
        <v>0</v>
      </c>
      <c r="Y2508" s="728"/>
      <c r="Z2508" s="70">
        <f>Z1793/'Terms and Turnovers'!$AN180</f>
        <v>0</v>
      </c>
      <c r="AA2508" s="728"/>
      <c r="AB2508" s="70">
        <f>AB1793/'Terms and Turnovers'!$AN180</f>
        <v>0</v>
      </c>
      <c r="AC2508" s="728"/>
      <c r="AD2508" s="70">
        <f>AD1793/'Terms and Turnovers'!$AN180</f>
        <v>0</v>
      </c>
      <c r="AE2508" s="728"/>
      <c r="AF2508" s="132">
        <f>SUM(T2508,V2508,X2508,Z2508,AB2508,AD2508)</f>
        <v>0</v>
      </c>
      <c r="AG2508" s="728"/>
      <c r="AH2508" s="133">
        <f>SUM(AF2508,R2508)</f>
        <v>0</v>
      </c>
      <c r="AI2508" s="728"/>
      <c r="AJ2508" s="65"/>
      <c r="AV2508" s="56"/>
    </row>
    <row r="2509" spans="2:48" ht="13.5" hidden="1" customHeight="1" outlineLevel="2" thickBot="1">
      <c r="B2509" s="82"/>
      <c r="C2509" s="1235"/>
      <c r="D2509" s="1235"/>
      <c r="E2509" s="85">
        <f>'Terms and Turnovers'!$AX$12</f>
        <v>0</v>
      </c>
      <c r="F2509" s="68">
        <f>F1794/'Terms and Turnovers'!$AX180</f>
        <v>0</v>
      </c>
      <c r="G2509" s="107"/>
      <c r="H2509" s="68">
        <f>H1794/'Terms and Turnovers'!$AX180</f>
        <v>0</v>
      </c>
      <c r="I2509" s="107"/>
      <c r="J2509" s="68">
        <f>J1794/'Terms and Turnovers'!$AX180</f>
        <v>0</v>
      </c>
      <c r="K2509" s="107"/>
      <c r="L2509" s="68">
        <f>L1794/'Terms and Turnovers'!$AX180</f>
        <v>0</v>
      </c>
      <c r="M2509" s="107"/>
      <c r="N2509" s="68">
        <f>N1794/'Terms and Turnovers'!$AX180</f>
        <v>0</v>
      </c>
      <c r="O2509" s="107"/>
      <c r="P2509" s="68">
        <f>P1794/'Terms and Turnovers'!$AX180</f>
        <v>0</v>
      </c>
      <c r="Q2509" s="107"/>
      <c r="R2509" s="135">
        <f>SUM(F2509,H2509,J2509,L2509,N2509,P2509)</f>
        <v>0</v>
      </c>
      <c r="S2509" s="107"/>
      <c r="T2509" s="68">
        <f>T1794/'Terms and Turnovers'!$AX180</f>
        <v>0</v>
      </c>
      <c r="U2509" s="107"/>
      <c r="V2509" s="68">
        <f>V1794/'Terms and Turnovers'!$AX180</f>
        <v>0</v>
      </c>
      <c r="W2509" s="107"/>
      <c r="X2509" s="68">
        <f>X1794/'Terms and Turnovers'!$AX180</f>
        <v>0</v>
      </c>
      <c r="Y2509" s="107"/>
      <c r="Z2509" s="68">
        <f>Z1794/'Terms and Turnovers'!$AX180</f>
        <v>0</v>
      </c>
      <c r="AA2509" s="107"/>
      <c r="AB2509" s="68">
        <f>AB1794/'Terms and Turnovers'!$AX180</f>
        <v>0</v>
      </c>
      <c r="AC2509" s="107"/>
      <c r="AD2509" s="68">
        <f>AD1794/'Terms and Turnovers'!$AX180</f>
        <v>0</v>
      </c>
      <c r="AE2509" s="107"/>
      <c r="AF2509" s="135">
        <f>SUM(T2509,V2509,X2509,Z2509,AB2509,AD2509)</f>
        <v>0</v>
      </c>
      <c r="AG2509" s="107"/>
      <c r="AH2509" s="136">
        <f>SUM(AF2509,R2509)</f>
        <v>0</v>
      </c>
      <c r="AI2509" s="107"/>
      <c r="AJ2509" s="65"/>
      <c r="AV2509" s="56"/>
    </row>
    <row r="2510" spans="2:48" ht="13.5" hidden="1" customHeight="1" outlineLevel="2">
      <c r="B2510" s="82"/>
      <c r="C2510" s="425"/>
      <c r="D2510" s="425"/>
      <c r="E2510" s="634"/>
      <c r="F2510" s="635"/>
      <c r="G2510" s="428"/>
      <c r="H2510" s="635"/>
      <c r="I2510" s="428"/>
      <c r="J2510" s="635"/>
      <c r="K2510" s="636"/>
      <c r="L2510" s="635"/>
      <c r="M2510" s="636"/>
      <c r="N2510" s="635"/>
      <c r="O2510" s="636"/>
      <c r="P2510" s="635"/>
      <c r="Q2510" s="636"/>
      <c r="R2510" s="637"/>
      <c r="S2510" s="698">
        <f>SUM(R1790:R1794)/1.18-(SUM(R2505:R2509)*'Mark Up Validation'!$M$175)</f>
        <v>0</v>
      </c>
      <c r="T2510" s="635"/>
      <c r="U2510" s="636"/>
      <c r="V2510" s="635"/>
      <c r="W2510" s="636"/>
      <c r="X2510" s="635"/>
      <c r="Y2510" s="636"/>
      <c r="Z2510" s="635"/>
      <c r="AA2510" s="636"/>
      <c r="AB2510" s="635"/>
      <c r="AC2510" s="636"/>
      <c r="AD2510" s="635"/>
      <c r="AE2510" s="636"/>
      <c r="AF2510" s="637"/>
      <c r="AG2510" s="698">
        <f>SUM(AF1790:AF1794)/1.18-SUM(AF2505:AF2509)*'Mark Up Validation'!$M$175</f>
        <v>0</v>
      </c>
      <c r="AH2510" s="638"/>
      <c r="AI2510" s="698">
        <f>SUM(AH1790:AH1794)/1.18-SUM(AH2505:AH2509)*'Mark Up Validation'!$M$175</f>
        <v>0</v>
      </c>
      <c r="AJ2510" s="65"/>
      <c r="AV2510" s="56"/>
    </row>
    <row r="2511" spans="2:48" ht="13.5" hidden="1" customHeight="1" outlineLevel="2" thickBot="1">
      <c r="B2511" s="82"/>
      <c r="C2511" s="1228" t="s">
        <v>538</v>
      </c>
      <c r="D2511" s="1229"/>
      <c r="E2511" s="699"/>
      <c r="F2511" s="700"/>
      <c r="G2511" s="701"/>
      <c r="H2511" s="700"/>
      <c r="I2511" s="701"/>
      <c r="J2511" s="700"/>
      <c r="K2511" s="702"/>
      <c r="L2511" s="700"/>
      <c r="M2511" s="702"/>
      <c r="N2511" s="700"/>
      <c r="O2511" s="702"/>
      <c r="P2511" s="700"/>
      <c r="Q2511" s="702"/>
      <c r="R2511" s="703"/>
      <c r="S2511" s="729">
        <f>IF(S2510&gt;0,S2510/(SUM(R1790:R1794)/1.18),0)</f>
        <v>0</v>
      </c>
      <c r="T2511" s="700"/>
      <c r="U2511" s="702"/>
      <c r="V2511" s="700"/>
      <c r="W2511" s="702"/>
      <c r="X2511" s="700"/>
      <c r="Y2511" s="702"/>
      <c r="Z2511" s="700"/>
      <c r="AA2511" s="702"/>
      <c r="AB2511" s="700"/>
      <c r="AC2511" s="702"/>
      <c r="AD2511" s="700"/>
      <c r="AE2511" s="702"/>
      <c r="AF2511" s="705"/>
      <c r="AG2511" s="729">
        <f>IF(AG2510&gt;0,AG2510/(SUM(AF1790:AF1794)/1.18),0)</f>
        <v>0</v>
      </c>
      <c r="AH2511" s="706"/>
      <c r="AI2511" s="729">
        <f>IF(AI2510&gt;0,AI2510/(SUM(AH1790:AH1794)/1.18),0)</f>
        <v>0</v>
      </c>
      <c r="AJ2511" s="65"/>
      <c r="AV2511" s="56"/>
    </row>
    <row r="2512" spans="2:48" ht="12.75" hidden="1" customHeight="1" outlineLevel="2">
      <c r="B2512" s="82">
        <f>B2505+1</f>
        <v>50</v>
      </c>
      <c r="C2512" s="1233">
        <f>C1797</f>
        <v>0</v>
      </c>
      <c r="D2512" s="1233">
        <f>D1797</f>
        <v>0</v>
      </c>
      <c r="E2512" s="83" t="str">
        <f>'Terms and Turnovers'!$J$12</f>
        <v>FLIP-FLOPS</v>
      </c>
      <c r="F2512" s="68">
        <f>F1797/'Terms and Turnovers'!$J181</f>
        <v>0</v>
      </c>
      <c r="G2512" s="106"/>
      <c r="H2512" s="68">
        <f>H1797/'Terms and Turnovers'!$J181</f>
        <v>0</v>
      </c>
      <c r="I2512" s="106"/>
      <c r="J2512" s="68">
        <f>J1797/'Terms and Turnovers'!$J181</f>
        <v>0</v>
      </c>
      <c r="K2512" s="106"/>
      <c r="L2512" s="68">
        <f>L1797/'Terms and Turnovers'!$J181</f>
        <v>0</v>
      </c>
      <c r="M2512" s="106"/>
      <c r="N2512" s="68">
        <f>N1797/'Terms and Turnovers'!$J181</f>
        <v>0</v>
      </c>
      <c r="O2512" s="106"/>
      <c r="P2512" s="68">
        <f>P1797/'Terms and Turnovers'!$J181</f>
        <v>0</v>
      </c>
      <c r="Q2512" s="106"/>
      <c r="R2512" s="129">
        <f>SUM(F2512,H2512,J2512,L2512,N2512,P2512)</f>
        <v>0</v>
      </c>
      <c r="S2512" s="106"/>
      <c r="T2512" s="68">
        <f>T1797/'Terms and Turnovers'!$J181</f>
        <v>0</v>
      </c>
      <c r="U2512" s="106"/>
      <c r="V2512" s="68">
        <f>V1797/'Terms and Turnovers'!$J181</f>
        <v>0</v>
      </c>
      <c r="W2512" s="106"/>
      <c r="X2512" s="68">
        <f>X1797/'Terms and Turnovers'!$J181</f>
        <v>0</v>
      </c>
      <c r="Y2512" s="106"/>
      <c r="Z2512" s="68">
        <f>Z1797/'Terms and Turnovers'!$J181</f>
        <v>0</v>
      </c>
      <c r="AA2512" s="106"/>
      <c r="AB2512" s="68">
        <f>AB1797/'Terms and Turnovers'!$J181</f>
        <v>0</v>
      </c>
      <c r="AC2512" s="106"/>
      <c r="AD2512" s="68">
        <f>AD1797/'Terms and Turnovers'!$J181</f>
        <v>0</v>
      </c>
      <c r="AE2512" s="106"/>
      <c r="AF2512" s="129">
        <f>SUM(T2512,V2512,X2512,Z2512,AB2512,AD2512)</f>
        <v>0</v>
      </c>
      <c r="AG2512" s="106"/>
      <c r="AH2512" s="130">
        <f>SUM(AF2512,R2512)</f>
        <v>0</v>
      </c>
      <c r="AI2512" s="106"/>
      <c r="AJ2512" s="65"/>
      <c r="AV2512" s="56"/>
    </row>
    <row r="2513" spans="2:48" ht="12.75" hidden="1" customHeight="1" outlineLevel="2" thickBot="1">
      <c r="B2513" s="82"/>
      <c r="C2513" s="1234"/>
      <c r="D2513" s="1234"/>
      <c r="E2513" s="84" t="str">
        <f>'Terms and Turnovers'!$T$12</f>
        <v>ORIGINALS</v>
      </c>
      <c r="F2513" s="70">
        <f>F1798/'Terms and Turnovers'!$T181</f>
        <v>0</v>
      </c>
      <c r="G2513" s="728"/>
      <c r="H2513" s="70">
        <f>H1798/'Terms and Turnovers'!$T181</f>
        <v>0</v>
      </c>
      <c r="I2513" s="728"/>
      <c r="J2513" s="70">
        <f>J1798/'Terms and Turnovers'!$T181</f>
        <v>0</v>
      </c>
      <c r="K2513" s="728"/>
      <c r="L2513" s="70">
        <f>L1798/'Terms and Turnovers'!$T181</f>
        <v>0</v>
      </c>
      <c r="M2513" s="728"/>
      <c r="N2513" s="70">
        <f>N1798/'Terms and Turnovers'!$T181</f>
        <v>0</v>
      </c>
      <c r="O2513" s="728"/>
      <c r="P2513" s="70">
        <f>P1798/'Terms and Turnovers'!$T181</f>
        <v>0</v>
      </c>
      <c r="Q2513" s="728"/>
      <c r="R2513" s="132">
        <f>SUM(F2513,H2513,J2513,L2513,N2513,P2513)</f>
        <v>0</v>
      </c>
      <c r="S2513" s="728"/>
      <c r="T2513" s="70">
        <f>T1798/'Terms and Turnovers'!$T181</f>
        <v>0</v>
      </c>
      <c r="U2513" s="728"/>
      <c r="V2513" s="70">
        <f>V1798/'Terms and Turnovers'!$T181</f>
        <v>0</v>
      </c>
      <c r="W2513" s="728"/>
      <c r="X2513" s="70">
        <f>X1798/'Terms and Turnovers'!$T181</f>
        <v>0</v>
      </c>
      <c r="Y2513" s="728"/>
      <c r="Z2513" s="70">
        <f>Z1798/'Terms and Turnovers'!$T181</f>
        <v>0</v>
      </c>
      <c r="AA2513" s="728"/>
      <c r="AB2513" s="70">
        <f>AB1798/'Terms and Turnovers'!$T181</f>
        <v>0</v>
      </c>
      <c r="AC2513" s="728"/>
      <c r="AD2513" s="70">
        <f>AD1798/'Terms and Turnovers'!$T181</f>
        <v>0</v>
      </c>
      <c r="AE2513" s="728"/>
      <c r="AF2513" s="132">
        <f>SUM(T2513,V2513,X2513,Z2513,AB2513,AD2513)</f>
        <v>0</v>
      </c>
      <c r="AG2513" s="728"/>
      <c r="AH2513" s="133">
        <f>SUM(AF2513,R2513)</f>
        <v>0</v>
      </c>
      <c r="AI2513" s="728"/>
      <c r="AJ2513" s="65"/>
      <c r="AV2513" s="56"/>
    </row>
    <row r="2514" spans="2:48" ht="12.75" hidden="1" customHeight="1" outlineLevel="2">
      <c r="B2514" s="82"/>
      <c r="C2514" s="1234"/>
      <c r="D2514" s="1234"/>
      <c r="E2514" s="84" t="str">
        <f>'Terms and Turnovers'!$AD$12</f>
        <v>ACCESSORIES</v>
      </c>
      <c r="F2514" s="68">
        <f>F1799/'Terms and Turnovers'!$AD181</f>
        <v>0</v>
      </c>
      <c r="G2514" s="728"/>
      <c r="H2514" s="68">
        <f>H1799/'Terms and Turnovers'!$AD181</f>
        <v>0</v>
      </c>
      <c r="I2514" s="728"/>
      <c r="J2514" s="68">
        <f>J1799/'Terms and Turnovers'!$AD181</f>
        <v>0</v>
      </c>
      <c r="K2514" s="728"/>
      <c r="L2514" s="68">
        <f>L1799/'Terms and Turnovers'!$AD181</f>
        <v>0</v>
      </c>
      <c r="M2514" s="728"/>
      <c r="N2514" s="68">
        <f>N1799/'Terms and Turnovers'!$AD181</f>
        <v>0</v>
      </c>
      <c r="O2514" s="728"/>
      <c r="P2514" s="68">
        <f>P1799/'Terms and Turnovers'!$AD181</f>
        <v>0</v>
      </c>
      <c r="Q2514" s="728"/>
      <c r="R2514" s="132">
        <f>SUM(F2514,H2514,J2514,L2514,N2514,P2514)</f>
        <v>0</v>
      </c>
      <c r="S2514" s="728"/>
      <c r="T2514" s="68">
        <f>T1799/'Terms and Turnovers'!$AD181</f>
        <v>0</v>
      </c>
      <c r="U2514" s="728"/>
      <c r="V2514" s="68">
        <f>V1799/'Terms and Turnovers'!$AD181</f>
        <v>0</v>
      </c>
      <c r="W2514" s="728"/>
      <c r="X2514" s="68">
        <f>X1799/'Terms and Turnovers'!$AD181</f>
        <v>0</v>
      </c>
      <c r="Y2514" s="728"/>
      <c r="Z2514" s="68">
        <f>Z1799/'Terms and Turnovers'!$AD181</f>
        <v>0</v>
      </c>
      <c r="AA2514" s="728"/>
      <c r="AB2514" s="68">
        <f>AB1799/'Terms and Turnovers'!$AD181</f>
        <v>0</v>
      </c>
      <c r="AC2514" s="728"/>
      <c r="AD2514" s="68">
        <f>AD1799/'Terms and Turnovers'!$AD181</f>
        <v>0</v>
      </c>
      <c r="AE2514" s="728"/>
      <c r="AF2514" s="132">
        <f>SUM(T2514,V2514,X2514,Z2514,AB2514,AD2514)</f>
        <v>0</v>
      </c>
      <c r="AG2514" s="728"/>
      <c r="AH2514" s="133">
        <f>SUM(AF2514,R2514)</f>
        <v>0</v>
      </c>
      <c r="AI2514" s="728"/>
      <c r="AJ2514" s="65"/>
      <c r="AV2514" s="56"/>
    </row>
    <row r="2515" spans="2:48" ht="12.75" hidden="1" customHeight="1" outlineLevel="2" thickBot="1">
      <c r="B2515" s="82"/>
      <c r="C2515" s="1234"/>
      <c r="D2515" s="1234"/>
      <c r="E2515" s="84">
        <f>'Terms and Turnovers'!$AN$12</f>
        <v>0</v>
      </c>
      <c r="F2515" s="70">
        <f>F1800/'Terms and Turnovers'!$AN181</f>
        <v>0</v>
      </c>
      <c r="G2515" s="728"/>
      <c r="H2515" s="70">
        <f>H1800/'Terms and Turnovers'!$AN181</f>
        <v>0</v>
      </c>
      <c r="I2515" s="728"/>
      <c r="J2515" s="70">
        <f>J1800/'Terms and Turnovers'!$AN181</f>
        <v>0</v>
      </c>
      <c r="K2515" s="728"/>
      <c r="L2515" s="70">
        <f>L1800/'Terms and Turnovers'!$AN181</f>
        <v>0</v>
      </c>
      <c r="M2515" s="728"/>
      <c r="N2515" s="70">
        <f>N1800/'Terms and Turnovers'!$AN181</f>
        <v>0</v>
      </c>
      <c r="O2515" s="728"/>
      <c r="P2515" s="70">
        <f>P1800/'Terms and Turnovers'!$AN181</f>
        <v>0</v>
      </c>
      <c r="Q2515" s="728"/>
      <c r="R2515" s="132">
        <f>SUM(F2515,H2515,J2515,L2515,N2515,P2515)</f>
        <v>0</v>
      </c>
      <c r="S2515" s="728"/>
      <c r="T2515" s="70">
        <f>T1800/'Terms and Turnovers'!$AN181</f>
        <v>0</v>
      </c>
      <c r="U2515" s="728"/>
      <c r="V2515" s="70">
        <f>V1800/'Terms and Turnovers'!$AN181</f>
        <v>0</v>
      </c>
      <c r="W2515" s="728"/>
      <c r="X2515" s="70">
        <f>X1800/'Terms and Turnovers'!$AN181</f>
        <v>0</v>
      </c>
      <c r="Y2515" s="728"/>
      <c r="Z2515" s="70">
        <f>Z1800/'Terms and Turnovers'!$AN181</f>
        <v>0</v>
      </c>
      <c r="AA2515" s="728"/>
      <c r="AB2515" s="70">
        <f>AB1800/'Terms and Turnovers'!$AN181</f>
        <v>0</v>
      </c>
      <c r="AC2515" s="728"/>
      <c r="AD2515" s="70">
        <f>AD1800/'Terms and Turnovers'!$AN181</f>
        <v>0</v>
      </c>
      <c r="AE2515" s="728"/>
      <c r="AF2515" s="132">
        <f>SUM(T2515,V2515,X2515,Z2515,AB2515,AD2515)</f>
        <v>0</v>
      </c>
      <c r="AG2515" s="728"/>
      <c r="AH2515" s="133">
        <f>SUM(AF2515,R2515)</f>
        <v>0</v>
      </c>
      <c r="AI2515" s="728"/>
      <c r="AJ2515" s="65"/>
      <c r="AV2515" s="56"/>
    </row>
    <row r="2516" spans="2:48" ht="13.5" hidden="1" customHeight="1" outlineLevel="2" thickBot="1">
      <c r="B2516" s="82"/>
      <c r="C2516" s="1235"/>
      <c r="D2516" s="1235"/>
      <c r="E2516" s="85">
        <f>'Terms and Turnovers'!$AX$12</f>
        <v>0</v>
      </c>
      <c r="F2516" s="68">
        <f>F1801/'Terms and Turnovers'!$AX181</f>
        <v>0</v>
      </c>
      <c r="G2516" s="107"/>
      <c r="H2516" s="68">
        <f>H1801/'Terms and Turnovers'!$AX181</f>
        <v>0</v>
      </c>
      <c r="I2516" s="107"/>
      <c r="J2516" s="68">
        <f>J1801/'Terms and Turnovers'!$AX181</f>
        <v>0</v>
      </c>
      <c r="K2516" s="107"/>
      <c r="L2516" s="68">
        <f>L1801/'Terms and Turnovers'!$AX181</f>
        <v>0</v>
      </c>
      <c r="M2516" s="107"/>
      <c r="N2516" s="68">
        <f>N1801/'Terms and Turnovers'!$AX181</f>
        <v>0</v>
      </c>
      <c r="O2516" s="107"/>
      <c r="P2516" s="68">
        <f>P1801/'Terms and Turnovers'!$AX181</f>
        <v>0</v>
      </c>
      <c r="Q2516" s="107"/>
      <c r="R2516" s="135">
        <f>SUM(F2516,H2516,J2516,L2516,N2516,P2516)</f>
        <v>0</v>
      </c>
      <c r="S2516" s="107"/>
      <c r="T2516" s="68">
        <f>T1801/'Terms and Turnovers'!$AX181</f>
        <v>0</v>
      </c>
      <c r="U2516" s="107"/>
      <c r="V2516" s="68">
        <f>V1801/'Terms and Turnovers'!$AX181</f>
        <v>0</v>
      </c>
      <c r="W2516" s="107"/>
      <c r="X2516" s="68">
        <f>X1801/'Terms and Turnovers'!$AX181</f>
        <v>0</v>
      </c>
      <c r="Y2516" s="107"/>
      <c r="Z2516" s="68">
        <f>Z1801/'Terms and Turnovers'!$AX181</f>
        <v>0</v>
      </c>
      <c r="AA2516" s="107"/>
      <c r="AB2516" s="68">
        <f>AB1801/'Terms and Turnovers'!$AX181</f>
        <v>0</v>
      </c>
      <c r="AC2516" s="107"/>
      <c r="AD2516" s="68">
        <f>AD1801/'Terms and Turnovers'!$AX181</f>
        <v>0</v>
      </c>
      <c r="AE2516" s="107"/>
      <c r="AF2516" s="135">
        <f>SUM(T2516,V2516,X2516,Z2516,AB2516,AD2516)</f>
        <v>0</v>
      </c>
      <c r="AG2516" s="107"/>
      <c r="AH2516" s="136">
        <f>SUM(AF2516,R2516)</f>
        <v>0</v>
      </c>
      <c r="AI2516" s="107"/>
      <c r="AJ2516" s="65"/>
      <c r="AV2516" s="56"/>
    </row>
    <row r="2517" spans="2:48" ht="13.5" hidden="1" customHeight="1" outlineLevel="2">
      <c r="B2517" s="82"/>
      <c r="C2517" s="425"/>
      <c r="D2517" s="425"/>
      <c r="E2517" s="634"/>
      <c r="F2517" s="635"/>
      <c r="G2517" s="428"/>
      <c r="H2517" s="635"/>
      <c r="I2517" s="428"/>
      <c r="J2517" s="635"/>
      <c r="K2517" s="636"/>
      <c r="L2517" s="635"/>
      <c r="M2517" s="636"/>
      <c r="N2517" s="635"/>
      <c r="O2517" s="636"/>
      <c r="P2517" s="635"/>
      <c r="Q2517" s="636"/>
      <c r="R2517" s="637"/>
      <c r="S2517" s="698">
        <f>SUM(R1797:R1801)/1.18-(SUM(R2512:R2516)*'Mark Up Validation'!$M$175)</f>
        <v>0</v>
      </c>
      <c r="T2517" s="635"/>
      <c r="U2517" s="636"/>
      <c r="V2517" s="635"/>
      <c r="W2517" s="636"/>
      <c r="X2517" s="635"/>
      <c r="Y2517" s="636"/>
      <c r="Z2517" s="635"/>
      <c r="AA2517" s="636"/>
      <c r="AB2517" s="635"/>
      <c r="AC2517" s="636"/>
      <c r="AD2517" s="635"/>
      <c r="AE2517" s="636"/>
      <c r="AF2517" s="637"/>
      <c r="AG2517" s="698">
        <f>SUM(AF1797:AF1801)/1.18-SUM(AF2512:AF2516)*'Mark Up Validation'!$M$175</f>
        <v>0</v>
      </c>
      <c r="AH2517" s="638"/>
      <c r="AI2517" s="698">
        <f>SUM(AH1797:AH1801)/1.18-SUM(AH2512:AH2516)*'Mark Up Validation'!$M$175</f>
        <v>0</v>
      </c>
      <c r="AJ2517" s="65"/>
      <c r="AV2517" s="56"/>
    </row>
    <row r="2518" spans="2:48" ht="13.5" hidden="1" customHeight="1" outlineLevel="2" thickBot="1">
      <c r="B2518" s="82"/>
      <c r="C2518" s="1228" t="s">
        <v>538</v>
      </c>
      <c r="D2518" s="1229"/>
      <c r="E2518" s="699"/>
      <c r="F2518" s="700"/>
      <c r="G2518" s="701"/>
      <c r="H2518" s="700"/>
      <c r="I2518" s="701"/>
      <c r="J2518" s="700"/>
      <c r="K2518" s="702"/>
      <c r="L2518" s="700"/>
      <c r="M2518" s="702"/>
      <c r="N2518" s="700"/>
      <c r="O2518" s="702"/>
      <c r="P2518" s="700"/>
      <c r="Q2518" s="702"/>
      <c r="R2518" s="703"/>
      <c r="S2518" s="729">
        <f>IF(S2517&gt;0,S2517/(SUM(R1797:R1801)/1.18),0)</f>
        <v>0</v>
      </c>
      <c r="T2518" s="700"/>
      <c r="U2518" s="702"/>
      <c r="V2518" s="700"/>
      <c r="W2518" s="702"/>
      <c r="X2518" s="700"/>
      <c r="Y2518" s="702"/>
      <c r="Z2518" s="700"/>
      <c r="AA2518" s="702"/>
      <c r="AB2518" s="700"/>
      <c r="AC2518" s="702"/>
      <c r="AD2518" s="700"/>
      <c r="AE2518" s="702"/>
      <c r="AF2518" s="705"/>
      <c r="AG2518" s="729">
        <f>IF(AG2517&gt;0,AG2517/(SUM(AF1797:AF1801)/1.18),0)</f>
        <v>0</v>
      </c>
      <c r="AH2518" s="706"/>
      <c r="AI2518" s="729">
        <f>IF(AI2517&gt;0,AI2517/(SUM(AH1797:AH1801)/1.18),0)</f>
        <v>0</v>
      </c>
      <c r="AJ2518" s="65"/>
      <c r="AV2518" s="56"/>
    </row>
    <row r="2519" spans="2:48" ht="12.75" hidden="1" customHeight="1" outlineLevel="2">
      <c r="B2519" s="82">
        <f>B2512+1</f>
        <v>51</v>
      </c>
      <c r="C2519" s="1233">
        <f>C1804</f>
        <v>0</v>
      </c>
      <c r="D2519" s="1233">
        <f>D1804</f>
        <v>0</v>
      </c>
      <c r="E2519" s="83" t="str">
        <f>'Terms and Turnovers'!$J$12</f>
        <v>FLIP-FLOPS</v>
      </c>
      <c r="F2519" s="68">
        <f>F1804/'Terms and Turnovers'!$J182</f>
        <v>0</v>
      </c>
      <c r="G2519" s="106"/>
      <c r="H2519" s="68">
        <f>H1804/'Terms and Turnovers'!$J182</f>
        <v>0</v>
      </c>
      <c r="I2519" s="106"/>
      <c r="J2519" s="68">
        <f>J1804/'Terms and Turnovers'!$J182</f>
        <v>0</v>
      </c>
      <c r="K2519" s="106"/>
      <c r="L2519" s="68">
        <f>L1804/'Terms and Turnovers'!$J182</f>
        <v>0</v>
      </c>
      <c r="M2519" s="106"/>
      <c r="N2519" s="68">
        <f>N1804/'Terms and Turnovers'!$J182</f>
        <v>0</v>
      </c>
      <c r="O2519" s="106"/>
      <c r="P2519" s="68">
        <f>P1804/'Terms and Turnovers'!$J182</f>
        <v>0</v>
      </c>
      <c r="Q2519" s="106"/>
      <c r="R2519" s="129">
        <f>SUM(F2519,H2519,J2519,L2519,N2519,P2519)</f>
        <v>0</v>
      </c>
      <c r="S2519" s="106"/>
      <c r="T2519" s="68">
        <f>T1804/'Terms and Turnovers'!$J182</f>
        <v>0</v>
      </c>
      <c r="U2519" s="106"/>
      <c r="V2519" s="68">
        <f>V1804/'Terms and Turnovers'!$J182</f>
        <v>0</v>
      </c>
      <c r="W2519" s="106"/>
      <c r="X2519" s="68">
        <f>X1804/'Terms and Turnovers'!$J182</f>
        <v>0</v>
      </c>
      <c r="Y2519" s="106"/>
      <c r="Z2519" s="68">
        <f>Z1804/'Terms and Turnovers'!$J182</f>
        <v>0</v>
      </c>
      <c r="AA2519" s="106"/>
      <c r="AB2519" s="68">
        <f>AB1804/'Terms and Turnovers'!$J182</f>
        <v>0</v>
      </c>
      <c r="AC2519" s="106"/>
      <c r="AD2519" s="68">
        <f>AD1804/'Terms and Turnovers'!$J182</f>
        <v>0</v>
      </c>
      <c r="AE2519" s="106"/>
      <c r="AF2519" s="129">
        <f>SUM(T2519,V2519,X2519,Z2519,AB2519,AD2519)</f>
        <v>0</v>
      </c>
      <c r="AG2519" s="106"/>
      <c r="AH2519" s="130">
        <f>SUM(AF2519,R2519)</f>
        <v>0</v>
      </c>
      <c r="AI2519" s="106"/>
      <c r="AJ2519" s="65"/>
      <c r="AV2519" s="56"/>
    </row>
    <row r="2520" spans="2:48" ht="12.75" hidden="1" customHeight="1" outlineLevel="2" thickBot="1">
      <c r="B2520" s="82"/>
      <c r="C2520" s="1234"/>
      <c r="D2520" s="1234"/>
      <c r="E2520" s="84" t="str">
        <f>'Terms and Turnovers'!$T$12</f>
        <v>ORIGINALS</v>
      </c>
      <c r="F2520" s="70">
        <f>F1805/'Terms and Turnovers'!$T182</f>
        <v>0</v>
      </c>
      <c r="G2520" s="728"/>
      <c r="H2520" s="70">
        <f>H1805/'Terms and Turnovers'!$T182</f>
        <v>0</v>
      </c>
      <c r="I2520" s="728"/>
      <c r="J2520" s="70">
        <f>J1805/'Terms and Turnovers'!$T182</f>
        <v>0</v>
      </c>
      <c r="K2520" s="728"/>
      <c r="L2520" s="70">
        <f>L1805/'Terms and Turnovers'!$T182</f>
        <v>0</v>
      </c>
      <c r="M2520" s="728"/>
      <c r="N2520" s="70">
        <f>N1805/'Terms and Turnovers'!$T182</f>
        <v>0</v>
      </c>
      <c r="O2520" s="728"/>
      <c r="P2520" s="70">
        <f>P1805/'Terms and Turnovers'!$T182</f>
        <v>0</v>
      </c>
      <c r="Q2520" s="728"/>
      <c r="R2520" s="132">
        <f>SUM(F2520,H2520,J2520,L2520,N2520,P2520)</f>
        <v>0</v>
      </c>
      <c r="S2520" s="728"/>
      <c r="T2520" s="70">
        <f>T1805/'Terms and Turnovers'!$T182</f>
        <v>0</v>
      </c>
      <c r="U2520" s="728"/>
      <c r="V2520" s="70">
        <f>V1805/'Terms and Turnovers'!$T182</f>
        <v>0</v>
      </c>
      <c r="W2520" s="728"/>
      <c r="X2520" s="70">
        <f>X1805/'Terms and Turnovers'!$T182</f>
        <v>0</v>
      </c>
      <c r="Y2520" s="728"/>
      <c r="Z2520" s="70">
        <f>Z1805/'Terms and Turnovers'!$T182</f>
        <v>0</v>
      </c>
      <c r="AA2520" s="728"/>
      <c r="AB2520" s="70">
        <f>AB1805/'Terms and Turnovers'!$T182</f>
        <v>0</v>
      </c>
      <c r="AC2520" s="728"/>
      <c r="AD2520" s="70">
        <f>AD1805/'Terms and Turnovers'!$T182</f>
        <v>0</v>
      </c>
      <c r="AE2520" s="728"/>
      <c r="AF2520" s="132">
        <f>SUM(T2520,V2520,X2520,Z2520,AB2520,AD2520)</f>
        <v>0</v>
      </c>
      <c r="AG2520" s="728"/>
      <c r="AH2520" s="133">
        <f>SUM(AF2520,R2520)</f>
        <v>0</v>
      </c>
      <c r="AI2520" s="728"/>
      <c r="AJ2520" s="65"/>
      <c r="AV2520" s="56"/>
    </row>
    <row r="2521" spans="2:48" ht="12.75" hidden="1" customHeight="1" outlineLevel="2">
      <c r="B2521" s="82"/>
      <c r="C2521" s="1234"/>
      <c r="D2521" s="1234"/>
      <c r="E2521" s="84" t="str">
        <f>'Terms and Turnovers'!$AD$12</f>
        <v>ACCESSORIES</v>
      </c>
      <c r="F2521" s="68">
        <f>F1806/'Terms and Turnovers'!$AD182</f>
        <v>0</v>
      </c>
      <c r="G2521" s="728"/>
      <c r="H2521" s="68">
        <f>H1806/'Terms and Turnovers'!$AD182</f>
        <v>0</v>
      </c>
      <c r="I2521" s="728"/>
      <c r="J2521" s="68">
        <f>J1806/'Terms and Turnovers'!$AD182</f>
        <v>0</v>
      </c>
      <c r="K2521" s="728"/>
      <c r="L2521" s="68">
        <f>L1806/'Terms and Turnovers'!$AD182</f>
        <v>0</v>
      </c>
      <c r="M2521" s="728"/>
      <c r="N2521" s="68">
        <f>N1806/'Terms and Turnovers'!$AD182</f>
        <v>0</v>
      </c>
      <c r="O2521" s="728"/>
      <c r="P2521" s="68">
        <f>P1806/'Terms and Turnovers'!$AD182</f>
        <v>0</v>
      </c>
      <c r="Q2521" s="728"/>
      <c r="R2521" s="132">
        <f>SUM(F2521,H2521,J2521,L2521,N2521,P2521)</f>
        <v>0</v>
      </c>
      <c r="S2521" s="728"/>
      <c r="T2521" s="68">
        <f>T1806/'Terms and Turnovers'!$AD182</f>
        <v>0</v>
      </c>
      <c r="U2521" s="728"/>
      <c r="V2521" s="68">
        <f>V1806/'Terms and Turnovers'!$AD182</f>
        <v>0</v>
      </c>
      <c r="W2521" s="728"/>
      <c r="X2521" s="68">
        <f>X1806/'Terms and Turnovers'!$AD182</f>
        <v>0</v>
      </c>
      <c r="Y2521" s="728"/>
      <c r="Z2521" s="68">
        <f>Z1806/'Terms and Turnovers'!$AD182</f>
        <v>0</v>
      </c>
      <c r="AA2521" s="728"/>
      <c r="AB2521" s="68">
        <f>AB1806/'Terms and Turnovers'!$AD182</f>
        <v>0</v>
      </c>
      <c r="AC2521" s="728"/>
      <c r="AD2521" s="68">
        <f>AD1806/'Terms and Turnovers'!$AD182</f>
        <v>0</v>
      </c>
      <c r="AE2521" s="728"/>
      <c r="AF2521" s="132">
        <f>SUM(T2521,V2521,X2521,Z2521,AB2521,AD2521)</f>
        <v>0</v>
      </c>
      <c r="AG2521" s="728"/>
      <c r="AH2521" s="133">
        <f>SUM(AF2521,R2521)</f>
        <v>0</v>
      </c>
      <c r="AI2521" s="728"/>
      <c r="AJ2521" s="65"/>
      <c r="AV2521" s="56"/>
    </row>
    <row r="2522" spans="2:48" ht="12.75" hidden="1" customHeight="1" outlineLevel="2" thickBot="1">
      <c r="B2522" s="82"/>
      <c r="C2522" s="1234"/>
      <c r="D2522" s="1234"/>
      <c r="E2522" s="84">
        <f>'Terms and Turnovers'!$AN$12</f>
        <v>0</v>
      </c>
      <c r="F2522" s="70">
        <f>F1807/'Terms and Turnovers'!$AN182</f>
        <v>0</v>
      </c>
      <c r="G2522" s="728"/>
      <c r="H2522" s="70">
        <f>H1807/'Terms and Turnovers'!$AN182</f>
        <v>0</v>
      </c>
      <c r="I2522" s="728"/>
      <c r="J2522" s="70">
        <f>J1807/'Terms and Turnovers'!$AN182</f>
        <v>0</v>
      </c>
      <c r="K2522" s="728"/>
      <c r="L2522" s="70">
        <f>L1807/'Terms and Turnovers'!$AN182</f>
        <v>0</v>
      </c>
      <c r="M2522" s="728"/>
      <c r="N2522" s="70">
        <f>N1807/'Terms and Turnovers'!$AN182</f>
        <v>0</v>
      </c>
      <c r="O2522" s="728"/>
      <c r="P2522" s="70">
        <f>P1807/'Terms and Turnovers'!$AN182</f>
        <v>0</v>
      </c>
      <c r="Q2522" s="728"/>
      <c r="R2522" s="132">
        <f>SUM(F2522,H2522,J2522,L2522,N2522,P2522)</f>
        <v>0</v>
      </c>
      <c r="S2522" s="728"/>
      <c r="T2522" s="70">
        <f>T1807/'Terms and Turnovers'!$AN182</f>
        <v>0</v>
      </c>
      <c r="U2522" s="728"/>
      <c r="V2522" s="70">
        <f>V1807/'Terms and Turnovers'!$AN182</f>
        <v>0</v>
      </c>
      <c r="W2522" s="728"/>
      <c r="X2522" s="70">
        <f>X1807/'Terms and Turnovers'!$AN182</f>
        <v>0</v>
      </c>
      <c r="Y2522" s="728"/>
      <c r="Z2522" s="70">
        <f>Z1807/'Terms and Turnovers'!$AN182</f>
        <v>0</v>
      </c>
      <c r="AA2522" s="728"/>
      <c r="AB2522" s="70">
        <f>AB1807/'Terms and Turnovers'!$AN182</f>
        <v>0</v>
      </c>
      <c r="AC2522" s="728"/>
      <c r="AD2522" s="70">
        <f>AD1807/'Terms and Turnovers'!$AN182</f>
        <v>0</v>
      </c>
      <c r="AE2522" s="728"/>
      <c r="AF2522" s="132">
        <f>SUM(T2522,V2522,X2522,Z2522,AB2522,AD2522)</f>
        <v>0</v>
      </c>
      <c r="AG2522" s="728"/>
      <c r="AH2522" s="133">
        <f>SUM(AF2522,R2522)</f>
        <v>0</v>
      </c>
      <c r="AI2522" s="728"/>
      <c r="AJ2522" s="65"/>
      <c r="AV2522" s="56"/>
    </row>
    <row r="2523" spans="2:48" ht="13.5" hidden="1" customHeight="1" outlineLevel="2" thickBot="1">
      <c r="B2523" s="82"/>
      <c r="C2523" s="1235"/>
      <c r="D2523" s="1235"/>
      <c r="E2523" s="85">
        <f>'Terms and Turnovers'!$AX$12</f>
        <v>0</v>
      </c>
      <c r="F2523" s="68">
        <f>F1808/'Terms and Turnovers'!$AX182</f>
        <v>0</v>
      </c>
      <c r="G2523" s="107"/>
      <c r="H2523" s="68">
        <f>H1808/'Terms and Turnovers'!$AX182</f>
        <v>0</v>
      </c>
      <c r="I2523" s="107"/>
      <c r="J2523" s="68">
        <f>J1808/'Terms and Turnovers'!$AX182</f>
        <v>0</v>
      </c>
      <c r="K2523" s="107"/>
      <c r="L2523" s="68">
        <f>L1808/'Terms and Turnovers'!$AX182</f>
        <v>0</v>
      </c>
      <c r="M2523" s="107"/>
      <c r="N2523" s="68">
        <f>N1808/'Terms and Turnovers'!$AX182</f>
        <v>0</v>
      </c>
      <c r="O2523" s="107"/>
      <c r="P2523" s="68">
        <f>P1808/'Terms and Turnovers'!$AX182</f>
        <v>0</v>
      </c>
      <c r="Q2523" s="107"/>
      <c r="R2523" s="135">
        <f>SUM(F2523,H2523,J2523,L2523,N2523,P2523)</f>
        <v>0</v>
      </c>
      <c r="S2523" s="107"/>
      <c r="T2523" s="68">
        <f>T1808/'Terms and Turnovers'!$AX182</f>
        <v>0</v>
      </c>
      <c r="U2523" s="107"/>
      <c r="V2523" s="68">
        <f>V1808/'Terms and Turnovers'!$AX182</f>
        <v>0</v>
      </c>
      <c r="W2523" s="107"/>
      <c r="X2523" s="68">
        <f>X1808/'Terms and Turnovers'!$AX182</f>
        <v>0</v>
      </c>
      <c r="Y2523" s="107"/>
      <c r="Z2523" s="68">
        <f>Z1808/'Terms and Turnovers'!$AX182</f>
        <v>0</v>
      </c>
      <c r="AA2523" s="107"/>
      <c r="AB2523" s="68">
        <f>AB1808/'Terms and Turnovers'!$AX182</f>
        <v>0</v>
      </c>
      <c r="AC2523" s="107"/>
      <c r="AD2523" s="68">
        <f>AD1808/'Terms and Turnovers'!$AX182</f>
        <v>0</v>
      </c>
      <c r="AE2523" s="107"/>
      <c r="AF2523" s="135">
        <f>SUM(T2523,V2523,X2523,Z2523,AB2523,AD2523)</f>
        <v>0</v>
      </c>
      <c r="AG2523" s="107"/>
      <c r="AH2523" s="136">
        <f>SUM(AF2523,R2523)</f>
        <v>0</v>
      </c>
      <c r="AI2523" s="107"/>
      <c r="AJ2523" s="65"/>
      <c r="AV2523" s="56"/>
    </row>
    <row r="2524" spans="2:48" ht="13.5" hidden="1" customHeight="1" outlineLevel="2">
      <c r="B2524" s="82"/>
      <c r="C2524" s="425"/>
      <c r="D2524" s="425"/>
      <c r="E2524" s="634"/>
      <c r="F2524" s="635"/>
      <c r="G2524" s="428"/>
      <c r="H2524" s="635"/>
      <c r="I2524" s="428"/>
      <c r="J2524" s="635"/>
      <c r="K2524" s="636"/>
      <c r="L2524" s="635"/>
      <c r="M2524" s="636"/>
      <c r="N2524" s="635"/>
      <c r="O2524" s="636"/>
      <c r="P2524" s="635"/>
      <c r="Q2524" s="636"/>
      <c r="R2524" s="637"/>
      <c r="S2524" s="698">
        <f>SUM(R1804:R1808)/1.18-(SUM(R2519:R2523)*'Mark Up Validation'!$M$175)</f>
        <v>0</v>
      </c>
      <c r="T2524" s="635"/>
      <c r="U2524" s="636"/>
      <c r="V2524" s="635"/>
      <c r="W2524" s="636"/>
      <c r="X2524" s="635"/>
      <c r="Y2524" s="636"/>
      <c r="Z2524" s="635"/>
      <c r="AA2524" s="636"/>
      <c r="AB2524" s="635"/>
      <c r="AC2524" s="636"/>
      <c r="AD2524" s="635"/>
      <c r="AE2524" s="636"/>
      <c r="AF2524" s="637"/>
      <c r="AG2524" s="698">
        <f>SUM(AF1804:AF1808)/1.18-SUM(AF2519:AF2523)*'Mark Up Validation'!$M$175</f>
        <v>0</v>
      </c>
      <c r="AH2524" s="638"/>
      <c r="AI2524" s="698">
        <f>SUM(AH1804:AH1808)/1.18-SUM(AH2519:AH2523)*'Mark Up Validation'!$M$175</f>
        <v>0</v>
      </c>
      <c r="AJ2524" s="65"/>
      <c r="AV2524" s="56"/>
    </row>
    <row r="2525" spans="2:48" ht="13.5" hidden="1" customHeight="1" outlineLevel="2" thickBot="1">
      <c r="B2525" s="82"/>
      <c r="C2525" s="1228" t="s">
        <v>538</v>
      </c>
      <c r="D2525" s="1229"/>
      <c r="E2525" s="699"/>
      <c r="F2525" s="700"/>
      <c r="G2525" s="701"/>
      <c r="H2525" s="700"/>
      <c r="I2525" s="701"/>
      <c r="J2525" s="700"/>
      <c r="K2525" s="702"/>
      <c r="L2525" s="700"/>
      <c r="M2525" s="702"/>
      <c r="N2525" s="700"/>
      <c r="O2525" s="702"/>
      <c r="P2525" s="700"/>
      <c r="Q2525" s="702"/>
      <c r="R2525" s="703"/>
      <c r="S2525" s="729">
        <f>IF(S2524&gt;0,S2524/(SUM(R1804:R1808)/1.18),0)</f>
        <v>0</v>
      </c>
      <c r="T2525" s="700"/>
      <c r="U2525" s="702"/>
      <c r="V2525" s="700"/>
      <c r="W2525" s="702"/>
      <c r="X2525" s="700"/>
      <c r="Y2525" s="702"/>
      <c r="Z2525" s="700"/>
      <c r="AA2525" s="702"/>
      <c r="AB2525" s="700"/>
      <c r="AC2525" s="702"/>
      <c r="AD2525" s="700"/>
      <c r="AE2525" s="702"/>
      <c r="AF2525" s="705"/>
      <c r="AG2525" s="729">
        <f>IF(AG2524&gt;0,AG2524/(SUM(AF1804:AF1808)/1.18),0)</f>
        <v>0</v>
      </c>
      <c r="AH2525" s="706"/>
      <c r="AI2525" s="729">
        <f>IF(AI2524&gt;0,AI2524/(SUM(AH1804:AH1808)/1.18),0)</f>
        <v>0</v>
      </c>
      <c r="AJ2525" s="65"/>
      <c r="AV2525" s="56"/>
    </row>
    <row r="2526" spans="2:48" ht="12.75" hidden="1" customHeight="1" outlineLevel="2">
      <c r="B2526" s="82">
        <f>B2519+1</f>
        <v>52</v>
      </c>
      <c r="C2526" s="1233">
        <f>C1811</f>
        <v>0</v>
      </c>
      <c r="D2526" s="1233">
        <f>D1811</f>
        <v>0</v>
      </c>
      <c r="E2526" s="83" t="str">
        <f>'Terms and Turnovers'!$J$12</f>
        <v>FLIP-FLOPS</v>
      </c>
      <c r="F2526" s="68">
        <f>F1811/'Terms and Turnovers'!$J183</f>
        <v>0</v>
      </c>
      <c r="G2526" s="106"/>
      <c r="H2526" s="68">
        <f>H1811/'Terms and Turnovers'!$J183</f>
        <v>0</v>
      </c>
      <c r="I2526" s="106"/>
      <c r="J2526" s="68">
        <f>J1811/'Terms and Turnovers'!$J183</f>
        <v>0</v>
      </c>
      <c r="K2526" s="106"/>
      <c r="L2526" s="68">
        <f>L1811/'Terms and Turnovers'!$J183</f>
        <v>0</v>
      </c>
      <c r="M2526" s="106"/>
      <c r="N2526" s="68">
        <f>N1811/'Terms and Turnovers'!$J183</f>
        <v>0</v>
      </c>
      <c r="O2526" s="106"/>
      <c r="P2526" s="68">
        <f>P1811/'Terms and Turnovers'!$J183</f>
        <v>0</v>
      </c>
      <c r="Q2526" s="106"/>
      <c r="R2526" s="129">
        <f>SUM(F2526,H2526,J2526,L2526,N2526,P2526)</f>
        <v>0</v>
      </c>
      <c r="S2526" s="106"/>
      <c r="T2526" s="68">
        <f>T1811/'Terms and Turnovers'!$J183</f>
        <v>0</v>
      </c>
      <c r="U2526" s="106"/>
      <c r="V2526" s="68">
        <f>V1811/'Terms and Turnovers'!$J183</f>
        <v>0</v>
      </c>
      <c r="W2526" s="106"/>
      <c r="X2526" s="68">
        <f>X1811/'Terms and Turnovers'!$J183</f>
        <v>0</v>
      </c>
      <c r="Y2526" s="106"/>
      <c r="Z2526" s="68">
        <f>Z1811/'Terms and Turnovers'!$J183</f>
        <v>0</v>
      </c>
      <c r="AA2526" s="106"/>
      <c r="AB2526" s="68">
        <f>AB1811/'Terms and Turnovers'!$J183</f>
        <v>0</v>
      </c>
      <c r="AC2526" s="106"/>
      <c r="AD2526" s="68">
        <f>AD1811/'Terms and Turnovers'!$J183</f>
        <v>0</v>
      </c>
      <c r="AE2526" s="106"/>
      <c r="AF2526" s="129">
        <f>SUM(T2526,V2526,X2526,Z2526,AB2526,AD2526)</f>
        <v>0</v>
      </c>
      <c r="AG2526" s="106"/>
      <c r="AH2526" s="130">
        <f>SUM(AF2526,R2526)</f>
        <v>0</v>
      </c>
      <c r="AI2526" s="106"/>
      <c r="AJ2526" s="65"/>
      <c r="AV2526" s="56"/>
    </row>
    <row r="2527" spans="2:48" ht="12.75" hidden="1" customHeight="1" outlineLevel="2" thickBot="1">
      <c r="B2527" s="82"/>
      <c r="C2527" s="1234"/>
      <c r="D2527" s="1234"/>
      <c r="E2527" s="84" t="str">
        <f>'Terms and Turnovers'!$T$12</f>
        <v>ORIGINALS</v>
      </c>
      <c r="F2527" s="70">
        <f>F1812/'Terms and Turnovers'!$T183</f>
        <v>0</v>
      </c>
      <c r="G2527" s="728"/>
      <c r="H2527" s="70">
        <f>H1812/'Terms and Turnovers'!$T183</f>
        <v>0</v>
      </c>
      <c r="I2527" s="728"/>
      <c r="J2527" s="70">
        <f>J1812/'Terms and Turnovers'!$T183</f>
        <v>0</v>
      </c>
      <c r="K2527" s="728"/>
      <c r="L2527" s="70">
        <f>L1812/'Terms and Turnovers'!$T183</f>
        <v>0</v>
      </c>
      <c r="M2527" s="728"/>
      <c r="N2527" s="70">
        <f>N1812/'Terms and Turnovers'!$T183</f>
        <v>0</v>
      </c>
      <c r="O2527" s="728"/>
      <c r="P2527" s="70">
        <f>P1812/'Terms and Turnovers'!$T183</f>
        <v>0</v>
      </c>
      <c r="Q2527" s="728"/>
      <c r="R2527" s="132">
        <f>SUM(F2527,H2527,J2527,L2527,N2527,P2527)</f>
        <v>0</v>
      </c>
      <c r="S2527" s="728"/>
      <c r="T2527" s="70">
        <f>T1812/'Terms and Turnovers'!$T183</f>
        <v>0</v>
      </c>
      <c r="U2527" s="728"/>
      <c r="V2527" s="70">
        <f>V1812/'Terms and Turnovers'!$T183</f>
        <v>0</v>
      </c>
      <c r="W2527" s="728"/>
      <c r="X2527" s="70">
        <f>X1812/'Terms and Turnovers'!$T183</f>
        <v>0</v>
      </c>
      <c r="Y2527" s="728"/>
      <c r="Z2527" s="70">
        <f>Z1812/'Terms and Turnovers'!$T183</f>
        <v>0</v>
      </c>
      <c r="AA2527" s="728"/>
      <c r="AB2527" s="70">
        <f>AB1812/'Terms and Turnovers'!$T183</f>
        <v>0</v>
      </c>
      <c r="AC2527" s="728"/>
      <c r="AD2527" s="70">
        <f>AD1812/'Terms and Turnovers'!$T183</f>
        <v>0</v>
      </c>
      <c r="AE2527" s="728"/>
      <c r="AF2527" s="132">
        <f>SUM(T2527,V2527,X2527,Z2527,AB2527,AD2527)</f>
        <v>0</v>
      </c>
      <c r="AG2527" s="728"/>
      <c r="AH2527" s="133">
        <f>SUM(AF2527,R2527)</f>
        <v>0</v>
      </c>
      <c r="AI2527" s="728"/>
      <c r="AJ2527" s="65"/>
      <c r="AV2527" s="56"/>
    </row>
    <row r="2528" spans="2:48" ht="12.75" hidden="1" customHeight="1" outlineLevel="2">
      <c r="B2528" s="82"/>
      <c r="C2528" s="1234"/>
      <c r="D2528" s="1234"/>
      <c r="E2528" s="84" t="str">
        <f>'Terms and Turnovers'!$AD$12</f>
        <v>ACCESSORIES</v>
      </c>
      <c r="F2528" s="68">
        <f>F1813/'Terms and Turnovers'!$AD183</f>
        <v>0</v>
      </c>
      <c r="G2528" s="728"/>
      <c r="H2528" s="68">
        <f>H1813/'Terms and Turnovers'!$AD183</f>
        <v>0</v>
      </c>
      <c r="I2528" s="728"/>
      <c r="J2528" s="68">
        <f>J1813/'Terms and Turnovers'!$AD183</f>
        <v>0</v>
      </c>
      <c r="K2528" s="728"/>
      <c r="L2528" s="68">
        <f>L1813/'Terms and Turnovers'!$AD183</f>
        <v>0</v>
      </c>
      <c r="M2528" s="728"/>
      <c r="N2528" s="68">
        <f>N1813/'Terms and Turnovers'!$AD183</f>
        <v>0</v>
      </c>
      <c r="O2528" s="728"/>
      <c r="P2528" s="68">
        <f>P1813/'Terms and Turnovers'!$AD183</f>
        <v>0</v>
      </c>
      <c r="Q2528" s="728"/>
      <c r="R2528" s="132">
        <f>SUM(F2528,H2528,J2528,L2528,N2528,P2528)</f>
        <v>0</v>
      </c>
      <c r="S2528" s="728"/>
      <c r="T2528" s="68">
        <f>T1813/'Terms and Turnovers'!$AD183</f>
        <v>0</v>
      </c>
      <c r="U2528" s="728"/>
      <c r="V2528" s="68">
        <f>V1813/'Terms and Turnovers'!$AD183</f>
        <v>0</v>
      </c>
      <c r="W2528" s="728"/>
      <c r="X2528" s="68">
        <f>X1813/'Terms and Turnovers'!$AD183</f>
        <v>0</v>
      </c>
      <c r="Y2528" s="728"/>
      <c r="Z2528" s="68">
        <f>Z1813/'Terms and Turnovers'!$AD183</f>
        <v>0</v>
      </c>
      <c r="AA2528" s="728"/>
      <c r="AB2528" s="68">
        <f>AB1813/'Terms and Turnovers'!$AD183</f>
        <v>0</v>
      </c>
      <c r="AC2528" s="728"/>
      <c r="AD2528" s="68">
        <f>AD1813/'Terms and Turnovers'!$AD183</f>
        <v>0</v>
      </c>
      <c r="AE2528" s="728"/>
      <c r="AF2528" s="132">
        <f>SUM(T2528,V2528,X2528,Z2528,AB2528,AD2528)</f>
        <v>0</v>
      </c>
      <c r="AG2528" s="728"/>
      <c r="AH2528" s="133">
        <f>SUM(AF2528,R2528)</f>
        <v>0</v>
      </c>
      <c r="AI2528" s="728"/>
      <c r="AJ2528" s="65"/>
      <c r="AV2528" s="56"/>
    </row>
    <row r="2529" spans="2:48" ht="12.75" hidden="1" customHeight="1" outlineLevel="2" thickBot="1">
      <c r="B2529" s="82"/>
      <c r="C2529" s="1234"/>
      <c r="D2529" s="1234"/>
      <c r="E2529" s="84">
        <f>'Terms and Turnovers'!$AN$12</f>
        <v>0</v>
      </c>
      <c r="F2529" s="70">
        <f>F1814/'Terms and Turnovers'!$AN183</f>
        <v>0</v>
      </c>
      <c r="G2529" s="728"/>
      <c r="H2529" s="70">
        <f>H1814/'Terms and Turnovers'!$AN183</f>
        <v>0</v>
      </c>
      <c r="I2529" s="728"/>
      <c r="J2529" s="70">
        <f>J1814/'Terms and Turnovers'!$AN183</f>
        <v>0</v>
      </c>
      <c r="K2529" s="728"/>
      <c r="L2529" s="70">
        <f>L1814/'Terms and Turnovers'!$AN183</f>
        <v>0</v>
      </c>
      <c r="M2529" s="728"/>
      <c r="N2529" s="70">
        <f>N1814/'Terms and Turnovers'!$AN183</f>
        <v>0</v>
      </c>
      <c r="O2529" s="728"/>
      <c r="P2529" s="70">
        <f>P1814/'Terms and Turnovers'!$AN183</f>
        <v>0</v>
      </c>
      <c r="Q2529" s="728"/>
      <c r="R2529" s="132">
        <f>SUM(F2529,H2529,J2529,L2529,N2529,P2529)</f>
        <v>0</v>
      </c>
      <c r="S2529" s="728"/>
      <c r="T2529" s="70">
        <f>T1814/'Terms and Turnovers'!$AN183</f>
        <v>0</v>
      </c>
      <c r="U2529" s="728"/>
      <c r="V2529" s="70">
        <f>V1814/'Terms and Turnovers'!$AN183</f>
        <v>0</v>
      </c>
      <c r="W2529" s="728"/>
      <c r="X2529" s="70">
        <f>X1814/'Terms and Turnovers'!$AN183</f>
        <v>0</v>
      </c>
      <c r="Y2529" s="728"/>
      <c r="Z2529" s="70">
        <f>Z1814/'Terms and Turnovers'!$AN183</f>
        <v>0</v>
      </c>
      <c r="AA2529" s="728"/>
      <c r="AB2529" s="70">
        <f>AB1814/'Terms and Turnovers'!$AN183</f>
        <v>0</v>
      </c>
      <c r="AC2529" s="728"/>
      <c r="AD2529" s="70">
        <f>AD1814/'Terms and Turnovers'!$AN183</f>
        <v>0</v>
      </c>
      <c r="AE2529" s="728"/>
      <c r="AF2529" s="132">
        <f>SUM(T2529,V2529,X2529,Z2529,AB2529,AD2529)</f>
        <v>0</v>
      </c>
      <c r="AG2529" s="728"/>
      <c r="AH2529" s="133">
        <f>SUM(AF2529,R2529)</f>
        <v>0</v>
      </c>
      <c r="AI2529" s="728"/>
      <c r="AJ2529" s="65"/>
      <c r="AV2529" s="56"/>
    </row>
    <row r="2530" spans="2:48" ht="13.5" hidden="1" customHeight="1" outlineLevel="2" thickBot="1">
      <c r="B2530" s="82"/>
      <c r="C2530" s="1235"/>
      <c r="D2530" s="1235"/>
      <c r="E2530" s="85">
        <f>'Terms and Turnovers'!$AX$12</f>
        <v>0</v>
      </c>
      <c r="F2530" s="68">
        <f>F1815/'Terms and Turnovers'!$AX183</f>
        <v>0</v>
      </c>
      <c r="G2530" s="107"/>
      <c r="H2530" s="68">
        <f>H1815/'Terms and Turnovers'!$AX183</f>
        <v>0</v>
      </c>
      <c r="I2530" s="107"/>
      <c r="J2530" s="68">
        <f>J1815/'Terms and Turnovers'!$AX183</f>
        <v>0</v>
      </c>
      <c r="K2530" s="107"/>
      <c r="L2530" s="68">
        <f>L1815/'Terms and Turnovers'!$AX183</f>
        <v>0</v>
      </c>
      <c r="M2530" s="107"/>
      <c r="N2530" s="68">
        <f>N1815/'Terms and Turnovers'!$AX183</f>
        <v>0</v>
      </c>
      <c r="O2530" s="107"/>
      <c r="P2530" s="68">
        <f>P1815/'Terms and Turnovers'!$AX183</f>
        <v>0</v>
      </c>
      <c r="Q2530" s="107"/>
      <c r="R2530" s="135">
        <f>SUM(F2530,H2530,J2530,L2530,N2530,P2530)</f>
        <v>0</v>
      </c>
      <c r="S2530" s="107"/>
      <c r="T2530" s="68">
        <f>T1815/'Terms and Turnovers'!$AX183</f>
        <v>0</v>
      </c>
      <c r="U2530" s="107"/>
      <c r="V2530" s="68">
        <f>V1815/'Terms and Turnovers'!$AX183</f>
        <v>0</v>
      </c>
      <c r="W2530" s="107"/>
      <c r="X2530" s="68">
        <f>X1815/'Terms and Turnovers'!$AX183</f>
        <v>0</v>
      </c>
      <c r="Y2530" s="107"/>
      <c r="Z2530" s="68">
        <f>Z1815/'Terms and Turnovers'!$AX183</f>
        <v>0</v>
      </c>
      <c r="AA2530" s="107"/>
      <c r="AB2530" s="68">
        <f>AB1815/'Terms and Turnovers'!$AX183</f>
        <v>0</v>
      </c>
      <c r="AC2530" s="107"/>
      <c r="AD2530" s="68">
        <f>AD1815/'Terms and Turnovers'!$AX183</f>
        <v>0</v>
      </c>
      <c r="AE2530" s="107"/>
      <c r="AF2530" s="135">
        <f>SUM(T2530,V2530,X2530,Z2530,AB2530,AD2530)</f>
        <v>0</v>
      </c>
      <c r="AG2530" s="107"/>
      <c r="AH2530" s="136">
        <f>SUM(AF2530,R2530)</f>
        <v>0</v>
      </c>
      <c r="AI2530" s="107"/>
      <c r="AJ2530" s="65"/>
      <c r="AV2530" s="56"/>
    </row>
    <row r="2531" spans="2:48" ht="13.5" hidden="1" customHeight="1" outlineLevel="2">
      <c r="B2531" s="82"/>
      <c r="C2531" s="425"/>
      <c r="D2531" s="425"/>
      <c r="E2531" s="634"/>
      <c r="F2531" s="635"/>
      <c r="G2531" s="428"/>
      <c r="H2531" s="635"/>
      <c r="I2531" s="428"/>
      <c r="J2531" s="635"/>
      <c r="K2531" s="636"/>
      <c r="L2531" s="635"/>
      <c r="M2531" s="636"/>
      <c r="N2531" s="635"/>
      <c r="O2531" s="636"/>
      <c r="P2531" s="635"/>
      <c r="Q2531" s="636"/>
      <c r="R2531" s="637"/>
      <c r="S2531" s="698">
        <f>SUM(R1811:R1815)/1.18-(SUM(R2526:R2530)*'Mark Up Validation'!$M$175)</f>
        <v>0</v>
      </c>
      <c r="T2531" s="635"/>
      <c r="U2531" s="636"/>
      <c r="V2531" s="635"/>
      <c r="W2531" s="636"/>
      <c r="X2531" s="635"/>
      <c r="Y2531" s="636"/>
      <c r="Z2531" s="635"/>
      <c r="AA2531" s="636"/>
      <c r="AB2531" s="635"/>
      <c r="AC2531" s="636"/>
      <c r="AD2531" s="635"/>
      <c r="AE2531" s="636"/>
      <c r="AF2531" s="637"/>
      <c r="AG2531" s="698">
        <f>SUM(AF1811:AF1815)/1.18-SUM(AF2526:AF2530)*'Mark Up Validation'!$M$175</f>
        <v>0</v>
      </c>
      <c r="AH2531" s="638"/>
      <c r="AI2531" s="698">
        <f>SUM(AH1811:AH1815)/1.18-SUM(AH2526:AH2530)*'Mark Up Validation'!$M$175</f>
        <v>0</v>
      </c>
      <c r="AJ2531" s="65"/>
      <c r="AV2531" s="56"/>
    </row>
    <row r="2532" spans="2:48" ht="13.5" hidden="1" customHeight="1" outlineLevel="2" thickBot="1">
      <c r="B2532" s="82"/>
      <c r="C2532" s="1228" t="s">
        <v>538</v>
      </c>
      <c r="D2532" s="1229"/>
      <c r="E2532" s="699"/>
      <c r="F2532" s="700"/>
      <c r="G2532" s="701"/>
      <c r="H2532" s="700"/>
      <c r="I2532" s="701"/>
      <c r="J2532" s="700"/>
      <c r="K2532" s="702"/>
      <c r="L2532" s="700"/>
      <c r="M2532" s="702"/>
      <c r="N2532" s="700"/>
      <c r="O2532" s="702"/>
      <c r="P2532" s="700"/>
      <c r="Q2532" s="702"/>
      <c r="R2532" s="703"/>
      <c r="S2532" s="729">
        <f>IF(S2531&gt;0,S2531/(SUM(R1811:R1815)/1.18),0)</f>
        <v>0</v>
      </c>
      <c r="T2532" s="700"/>
      <c r="U2532" s="702"/>
      <c r="V2532" s="700"/>
      <c r="W2532" s="702"/>
      <c r="X2532" s="700"/>
      <c r="Y2532" s="702"/>
      <c r="Z2532" s="700"/>
      <c r="AA2532" s="702"/>
      <c r="AB2532" s="700"/>
      <c r="AC2532" s="702"/>
      <c r="AD2532" s="700"/>
      <c r="AE2532" s="702"/>
      <c r="AF2532" s="705"/>
      <c r="AG2532" s="729">
        <f>IF(AG2531&gt;0,AG2531/(SUM(AF1811:AF1815)/1.18),0)</f>
        <v>0</v>
      </c>
      <c r="AH2532" s="706"/>
      <c r="AI2532" s="729">
        <f>IF(AI2531&gt;0,AI2531/(SUM(AH1811:AH1815)/1.18),0)</f>
        <v>0</v>
      </c>
      <c r="AJ2532" s="65"/>
      <c r="AV2532" s="56"/>
    </row>
    <row r="2533" spans="2:48" ht="12.75" hidden="1" customHeight="1" outlineLevel="2">
      <c r="B2533" s="82">
        <f>B2526+1</f>
        <v>53</v>
      </c>
      <c r="C2533" s="1233">
        <f>C1818</f>
        <v>0</v>
      </c>
      <c r="D2533" s="1233">
        <f>D1818</f>
        <v>0</v>
      </c>
      <c r="E2533" s="83" t="str">
        <f>'Terms and Turnovers'!$J$12</f>
        <v>FLIP-FLOPS</v>
      </c>
      <c r="F2533" s="68">
        <f>F1818/'Terms and Turnovers'!$J184</f>
        <v>0</v>
      </c>
      <c r="G2533" s="106"/>
      <c r="H2533" s="68">
        <f>H1818/'Terms and Turnovers'!$J184</f>
        <v>0</v>
      </c>
      <c r="I2533" s="106"/>
      <c r="J2533" s="68">
        <f>J1818/'Terms and Turnovers'!$J184</f>
        <v>0</v>
      </c>
      <c r="K2533" s="106"/>
      <c r="L2533" s="68">
        <f>L1818/'Terms and Turnovers'!$J184</f>
        <v>0</v>
      </c>
      <c r="M2533" s="106"/>
      <c r="N2533" s="68">
        <f>N1818/'Terms and Turnovers'!$J184</f>
        <v>0</v>
      </c>
      <c r="O2533" s="106"/>
      <c r="P2533" s="68">
        <f>P1818/'Terms and Turnovers'!$J184</f>
        <v>0</v>
      </c>
      <c r="Q2533" s="106"/>
      <c r="R2533" s="129">
        <f>SUM(F2533,H2533,J2533,L2533,N2533,P2533)</f>
        <v>0</v>
      </c>
      <c r="S2533" s="106"/>
      <c r="T2533" s="68">
        <f>T1818/'Terms and Turnovers'!$J184</f>
        <v>0</v>
      </c>
      <c r="U2533" s="106"/>
      <c r="V2533" s="68">
        <f>V1818/'Terms and Turnovers'!$J184</f>
        <v>0</v>
      </c>
      <c r="W2533" s="106"/>
      <c r="X2533" s="68">
        <f>X1818/'Terms and Turnovers'!$J184</f>
        <v>0</v>
      </c>
      <c r="Y2533" s="106"/>
      <c r="Z2533" s="68">
        <f>Z1818/'Terms and Turnovers'!$J184</f>
        <v>0</v>
      </c>
      <c r="AA2533" s="106"/>
      <c r="AB2533" s="68">
        <f>AB1818/'Terms and Turnovers'!$J184</f>
        <v>0</v>
      </c>
      <c r="AC2533" s="106"/>
      <c r="AD2533" s="68">
        <f>AD1818/'Terms and Turnovers'!$J184</f>
        <v>0</v>
      </c>
      <c r="AE2533" s="106"/>
      <c r="AF2533" s="129">
        <f>SUM(T2533,V2533,X2533,Z2533,AB2533,AD2533)</f>
        <v>0</v>
      </c>
      <c r="AG2533" s="106"/>
      <c r="AH2533" s="130">
        <f>SUM(AF2533,R2533)</f>
        <v>0</v>
      </c>
      <c r="AI2533" s="106"/>
      <c r="AJ2533" s="65"/>
      <c r="AV2533" s="56"/>
    </row>
    <row r="2534" spans="2:48" ht="12.75" hidden="1" customHeight="1" outlineLevel="2" thickBot="1">
      <c r="B2534" s="82"/>
      <c r="C2534" s="1234"/>
      <c r="D2534" s="1234"/>
      <c r="E2534" s="84" t="str">
        <f>'Terms and Turnovers'!$T$12</f>
        <v>ORIGINALS</v>
      </c>
      <c r="F2534" s="70">
        <f>F1819/'Terms and Turnovers'!$T184</f>
        <v>0</v>
      </c>
      <c r="G2534" s="728"/>
      <c r="H2534" s="70">
        <f>H1819/'Terms and Turnovers'!$T184</f>
        <v>0</v>
      </c>
      <c r="I2534" s="728"/>
      <c r="J2534" s="70">
        <f>J1819/'Terms and Turnovers'!$T184</f>
        <v>0</v>
      </c>
      <c r="K2534" s="728"/>
      <c r="L2534" s="70">
        <f>L1819/'Terms and Turnovers'!$T184</f>
        <v>0</v>
      </c>
      <c r="M2534" s="728"/>
      <c r="N2534" s="70">
        <f>N1819/'Terms and Turnovers'!$T184</f>
        <v>0</v>
      </c>
      <c r="O2534" s="728"/>
      <c r="P2534" s="70">
        <f>P1819/'Terms and Turnovers'!$T184</f>
        <v>0</v>
      </c>
      <c r="Q2534" s="728"/>
      <c r="R2534" s="132">
        <f>SUM(F2534,H2534,J2534,L2534,N2534,P2534)</f>
        <v>0</v>
      </c>
      <c r="S2534" s="728"/>
      <c r="T2534" s="70">
        <f>T1819/'Terms and Turnovers'!$T184</f>
        <v>0</v>
      </c>
      <c r="U2534" s="728"/>
      <c r="V2534" s="70">
        <f>V1819/'Terms and Turnovers'!$T184</f>
        <v>0</v>
      </c>
      <c r="W2534" s="728"/>
      <c r="X2534" s="70">
        <f>X1819/'Terms and Turnovers'!$T184</f>
        <v>0</v>
      </c>
      <c r="Y2534" s="728"/>
      <c r="Z2534" s="70">
        <f>Z1819/'Terms and Turnovers'!$T184</f>
        <v>0</v>
      </c>
      <c r="AA2534" s="728"/>
      <c r="AB2534" s="70">
        <f>AB1819/'Terms and Turnovers'!$T184</f>
        <v>0</v>
      </c>
      <c r="AC2534" s="728"/>
      <c r="AD2534" s="70">
        <f>AD1819/'Terms and Turnovers'!$T184</f>
        <v>0</v>
      </c>
      <c r="AE2534" s="728"/>
      <c r="AF2534" s="132">
        <f>SUM(T2534,V2534,X2534,Z2534,AB2534,AD2534)</f>
        <v>0</v>
      </c>
      <c r="AG2534" s="728"/>
      <c r="AH2534" s="133">
        <f>SUM(AF2534,R2534)</f>
        <v>0</v>
      </c>
      <c r="AI2534" s="728"/>
      <c r="AJ2534" s="65"/>
      <c r="AV2534" s="56"/>
    </row>
    <row r="2535" spans="2:48" ht="12.75" hidden="1" customHeight="1" outlineLevel="2">
      <c r="B2535" s="82"/>
      <c r="C2535" s="1234"/>
      <c r="D2535" s="1234"/>
      <c r="E2535" s="84" t="str">
        <f>'Terms and Turnovers'!$AD$12</f>
        <v>ACCESSORIES</v>
      </c>
      <c r="F2535" s="68">
        <f>F1820/'Terms and Turnovers'!$AD184</f>
        <v>0</v>
      </c>
      <c r="G2535" s="728"/>
      <c r="H2535" s="68">
        <f>H1820/'Terms and Turnovers'!$AD184</f>
        <v>0</v>
      </c>
      <c r="I2535" s="728"/>
      <c r="J2535" s="68">
        <f>J1820/'Terms and Turnovers'!$AD184</f>
        <v>0</v>
      </c>
      <c r="K2535" s="728"/>
      <c r="L2535" s="68">
        <f>L1820/'Terms and Turnovers'!$AD184</f>
        <v>0</v>
      </c>
      <c r="M2535" s="728"/>
      <c r="N2535" s="68">
        <f>N1820/'Terms and Turnovers'!$AD184</f>
        <v>0</v>
      </c>
      <c r="O2535" s="728"/>
      <c r="P2535" s="68">
        <f>P1820/'Terms and Turnovers'!$AD184</f>
        <v>0</v>
      </c>
      <c r="Q2535" s="728"/>
      <c r="R2535" s="132">
        <f>SUM(F2535,H2535,J2535,L2535,N2535,P2535)</f>
        <v>0</v>
      </c>
      <c r="S2535" s="728"/>
      <c r="T2535" s="68">
        <f>T1820/'Terms and Turnovers'!$AD184</f>
        <v>0</v>
      </c>
      <c r="U2535" s="728"/>
      <c r="V2535" s="68">
        <f>V1820/'Terms and Turnovers'!$AD184</f>
        <v>0</v>
      </c>
      <c r="W2535" s="728"/>
      <c r="X2535" s="68">
        <f>X1820/'Terms and Turnovers'!$AD184</f>
        <v>0</v>
      </c>
      <c r="Y2535" s="728"/>
      <c r="Z2535" s="68">
        <f>Z1820/'Terms and Turnovers'!$AD184</f>
        <v>0</v>
      </c>
      <c r="AA2535" s="728"/>
      <c r="AB2535" s="68">
        <f>AB1820/'Terms and Turnovers'!$AD184</f>
        <v>0</v>
      </c>
      <c r="AC2535" s="728"/>
      <c r="AD2535" s="68">
        <f>AD1820/'Terms and Turnovers'!$AD184</f>
        <v>0</v>
      </c>
      <c r="AE2535" s="728"/>
      <c r="AF2535" s="132">
        <f>SUM(T2535,V2535,X2535,Z2535,AB2535,AD2535)</f>
        <v>0</v>
      </c>
      <c r="AG2535" s="728"/>
      <c r="AH2535" s="133">
        <f>SUM(AF2535,R2535)</f>
        <v>0</v>
      </c>
      <c r="AI2535" s="728"/>
      <c r="AJ2535" s="65"/>
      <c r="AV2535" s="56"/>
    </row>
    <row r="2536" spans="2:48" ht="12.75" hidden="1" customHeight="1" outlineLevel="2" thickBot="1">
      <c r="B2536" s="82"/>
      <c r="C2536" s="1234"/>
      <c r="D2536" s="1234"/>
      <c r="E2536" s="84">
        <f>'Terms and Turnovers'!$AN$12</f>
        <v>0</v>
      </c>
      <c r="F2536" s="70">
        <f>F1821/'Terms and Turnovers'!$AN184</f>
        <v>0</v>
      </c>
      <c r="G2536" s="728"/>
      <c r="H2536" s="70">
        <f>H1821/'Terms and Turnovers'!$AN184</f>
        <v>0</v>
      </c>
      <c r="I2536" s="728"/>
      <c r="J2536" s="70">
        <f>J1821/'Terms and Turnovers'!$AN184</f>
        <v>0</v>
      </c>
      <c r="K2536" s="728"/>
      <c r="L2536" s="70">
        <f>L1821/'Terms and Turnovers'!$AN184</f>
        <v>0</v>
      </c>
      <c r="M2536" s="728"/>
      <c r="N2536" s="70">
        <f>N1821/'Terms and Turnovers'!$AN184</f>
        <v>0</v>
      </c>
      <c r="O2536" s="728"/>
      <c r="P2536" s="70">
        <f>P1821/'Terms and Turnovers'!$AN184</f>
        <v>0</v>
      </c>
      <c r="Q2536" s="728"/>
      <c r="R2536" s="132">
        <f>SUM(F2536,H2536,J2536,L2536,N2536,P2536)</f>
        <v>0</v>
      </c>
      <c r="S2536" s="728"/>
      <c r="T2536" s="70">
        <f>T1821/'Terms and Turnovers'!$AN184</f>
        <v>0</v>
      </c>
      <c r="U2536" s="728"/>
      <c r="V2536" s="70">
        <f>V1821/'Terms and Turnovers'!$AN184</f>
        <v>0</v>
      </c>
      <c r="W2536" s="728"/>
      <c r="X2536" s="70">
        <f>X1821/'Terms and Turnovers'!$AN184</f>
        <v>0</v>
      </c>
      <c r="Y2536" s="728"/>
      <c r="Z2536" s="70">
        <f>Z1821/'Terms and Turnovers'!$AN184</f>
        <v>0</v>
      </c>
      <c r="AA2536" s="728"/>
      <c r="AB2536" s="70">
        <f>AB1821/'Terms and Turnovers'!$AN184</f>
        <v>0</v>
      </c>
      <c r="AC2536" s="728"/>
      <c r="AD2536" s="70">
        <f>AD1821/'Terms and Turnovers'!$AN184</f>
        <v>0</v>
      </c>
      <c r="AE2536" s="728"/>
      <c r="AF2536" s="132">
        <f>SUM(T2536,V2536,X2536,Z2536,AB2536,AD2536)</f>
        <v>0</v>
      </c>
      <c r="AG2536" s="728"/>
      <c r="AH2536" s="133">
        <f>SUM(AF2536,R2536)</f>
        <v>0</v>
      </c>
      <c r="AI2536" s="728"/>
      <c r="AJ2536" s="65"/>
      <c r="AV2536" s="56"/>
    </row>
    <row r="2537" spans="2:48" ht="13.5" hidden="1" customHeight="1" outlineLevel="2" thickBot="1">
      <c r="B2537" s="82"/>
      <c r="C2537" s="1235"/>
      <c r="D2537" s="1235"/>
      <c r="E2537" s="85">
        <f>'Terms and Turnovers'!$AX$12</f>
        <v>0</v>
      </c>
      <c r="F2537" s="68">
        <f>F1822/'Terms and Turnovers'!$AX184</f>
        <v>0</v>
      </c>
      <c r="G2537" s="107"/>
      <c r="H2537" s="68">
        <f>H1822/'Terms and Turnovers'!$AX184</f>
        <v>0</v>
      </c>
      <c r="I2537" s="107"/>
      <c r="J2537" s="68">
        <f>J1822/'Terms and Turnovers'!$AX184</f>
        <v>0</v>
      </c>
      <c r="K2537" s="107"/>
      <c r="L2537" s="68">
        <f>L1822/'Terms and Turnovers'!$AX184</f>
        <v>0</v>
      </c>
      <c r="M2537" s="107"/>
      <c r="N2537" s="68">
        <f>N1822/'Terms and Turnovers'!$AX184</f>
        <v>0</v>
      </c>
      <c r="O2537" s="107"/>
      <c r="P2537" s="68">
        <f>P1822/'Terms and Turnovers'!$AX184</f>
        <v>0</v>
      </c>
      <c r="Q2537" s="107"/>
      <c r="R2537" s="135">
        <f>SUM(F2537,H2537,J2537,L2537,N2537,P2537)</f>
        <v>0</v>
      </c>
      <c r="S2537" s="107"/>
      <c r="T2537" s="68">
        <f>T1822/'Terms and Turnovers'!$AX184</f>
        <v>0</v>
      </c>
      <c r="U2537" s="107"/>
      <c r="V2537" s="68">
        <f>V1822/'Terms and Turnovers'!$AX184</f>
        <v>0</v>
      </c>
      <c r="W2537" s="107"/>
      <c r="X2537" s="68">
        <f>X1822/'Terms and Turnovers'!$AX184</f>
        <v>0</v>
      </c>
      <c r="Y2537" s="107"/>
      <c r="Z2537" s="68">
        <f>Z1822/'Terms and Turnovers'!$AX184</f>
        <v>0</v>
      </c>
      <c r="AA2537" s="107"/>
      <c r="AB2537" s="68">
        <f>AB1822/'Terms and Turnovers'!$AX184</f>
        <v>0</v>
      </c>
      <c r="AC2537" s="107"/>
      <c r="AD2537" s="68">
        <f>AD1822/'Terms and Turnovers'!$AX184</f>
        <v>0</v>
      </c>
      <c r="AE2537" s="107"/>
      <c r="AF2537" s="135">
        <f>SUM(T2537,V2537,X2537,Z2537,AB2537,AD2537)</f>
        <v>0</v>
      </c>
      <c r="AG2537" s="107"/>
      <c r="AH2537" s="136">
        <f>SUM(AF2537,R2537)</f>
        <v>0</v>
      </c>
      <c r="AI2537" s="107"/>
      <c r="AJ2537" s="65"/>
      <c r="AV2537" s="56"/>
    </row>
    <row r="2538" spans="2:48" ht="13.5" hidden="1" customHeight="1" outlineLevel="2">
      <c r="B2538" s="82"/>
      <c r="C2538" s="425"/>
      <c r="D2538" s="425"/>
      <c r="E2538" s="634"/>
      <c r="F2538" s="635"/>
      <c r="G2538" s="428"/>
      <c r="H2538" s="635"/>
      <c r="I2538" s="428"/>
      <c r="J2538" s="635"/>
      <c r="K2538" s="636"/>
      <c r="L2538" s="635"/>
      <c r="M2538" s="636"/>
      <c r="N2538" s="635"/>
      <c r="O2538" s="636"/>
      <c r="P2538" s="635"/>
      <c r="Q2538" s="636"/>
      <c r="R2538" s="637"/>
      <c r="S2538" s="698">
        <f>SUM(R1818:R1822)/1.18-(SUM(R2533:R2537)*'Mark Up Validation'!$M$175)</f>
        <v>0</v>
      </c>
      <c r="T2538" s="635"/>
      <c r="U2538" s="636"/>
      <c r="V2538" s="635"/>
      <c r="W2538" s="636"/>
      <c r="X2538" s="635"/>
      <c r="Y2538" s="636"/>
      <c r="Z2538" s="635"/>
      <c r="AA2538" s="636"/>
      <c r="AB2538" s="635"/>
      <c r="AC2538" s="636"/>
      <c r="AD2538" s="635"/>
      <c r="AE2538" s="636"/>
      <c r="AF2538" s="637"/>
      <c r="AG2538" s="698">
        <f>SUM(AF1818:AF1822)/1.18-SUM(AF2533:AF2537)*'Mark Up Validation'!$M$175</f>
        <v>0</v>
      </c>
      <c r="AH2538" s="638"/>
      <c r="AI2538" s="698">
        <f>SUM(AH1818:AH1822)/1.18-SUM(AH2533:AH2537)*'Mark Up Validation'!$M$175</f>
        <v>0</v>
      </c>
      <c r="AJ2538" s="65"/>
      <c r="AV2538" s="56"/>
    </row>
    <row r="2539" spans="2:48" ht="13.5" hidden="1" customHeight="1" outlineLevel="2" thickBot="1">
      <c r="B2539" s="82"/>
      <c r="C2539" s="1228" t="s">
        <v>538</v>
      </c>
      <c r="D2539" s="1229"/>
      <c r="E2539" s="699"/>
      <c r="F2539" s="700"/>
      <c r="G2539" s="701"/>
      <c r="H2539" s="700"/>
      <c r="I2539" s="701"/>
      <c r="J2539" s="700"/>
      <c r="K2539" s="702"/>
      <c r="L2539" s="700"/>
      <c r="M2539" s="702"/>
      <c r="N2539" s="700"/>
      <c r="O2539" s="702"/>
      <c r="P2539" s="700"/>
      <c r="Q2539" s="702"/>
      <c r="R2539" s="703"/>
      <c r="S2539" s="729">
        <f>IF(S2538&gt;0,S2538/(SUM(R1818:R1822)/1.18),0)</f>
        <v>0</v>
      </c>
      <c r="T2539" s="700"/>
      <c r="U2539" s="702"/>
      <c r="V2539" s="700"/>
      <c r="W2539" s="702"/>
      <c r="X2539" s="700"/>
      <c r="Y2539" s="702"/>
      <c r="Z2539" s="700"/>
      <c r="AA2539" s="702"/>
      <c r="AB2539" s="700"/>
      <c r="AC2539" s="702"/>
      <c r="AD2539" s="700"/>
      <c r="AE2539" s="702"/>
      <c r="AF2539" s="705"/>
      <c r="AG2539" s="729">
        <f>IF(AG2538&gt;0,AG2538/(SUM(AF1818:AF1822)/1.18),0)</f>
        <v>0</v>
      </c>
      <c r="AH2539" s="706"/>
      <c r="AI2539" s="729">
        <f>IF(AI2538&gt;0,AI2538/(SUM(AH1818:AH1822)/1.18),0)</f>
        <v>0</v>
      </c>
      <c r="AJ2539" s="65"/>
      <c r="AV2539" s="56"/>
    </row>
    <row r="2540" spans="2:48" ht="12.75" hidden="1" customHeight="1" outlineLevel="2">
      <c r="B2540" s="82">
        <f>B2533+1</f>
        <v>54</v>
      </c>
      <c r="C2540" s="1233">
        <f>C1825</f>
        <v>0</v>
      </c>
      <c r="D2540" s="1233">
        <f>D1825</f>
        <v>0</v>
      </c>
      <c r="E2540" s="83" t="str">
        <f>'Terms and Turnovers'!$J$12</f>
        <v>FLIP-FLOPS</v>
      </c>
      <c r="F2540" s="68">
        <f>F1825/'Terms and Turnovers'!$J185</f>
        <v>0</v>
      </c>
      <c r="G2540" s="106"/>
      <c r="H2540" s="68">
        <f>H1825/'Terms and Turnovers'!$J185</f>
        <v>0</v>
      </c>
      <c r="I2540" s="106"/>
      <c r="J2540" s="68">
        <f>J1825/'Terms and Turnovers'!$J185</f>
        <v>0</v>
      </c>
      <c r="K2540" s="106"/>
      <c r="L2540" s="68">
        <f>L1825/'Terms and Turnovers'!$J185</f>
        <v>0</v>
      </c>
      <c r="M2540" s="106"/>
      <c r="N2540" s="68">
        <f>N1825/'Terms and Turnovers'!$J185</f>
        <v>0</v>
      </c>
      <c r="O2540" s="106"/>
      <c r="P2540" s="68">
        <f>P1825/'Terms and Turnovers'!$J185</f>
        <v>0</v>
      </c>
      <c r="Q2540" s="106"/>
      <c r="R2540" s="129">
        <f>SUM(F2540,H2540,J2540,L2540,N2540,P2540)</f>
        <v>0</v>
      </c>
      <c r="S2540" s="106"/>
      <c r="T2540" s="68">
        <f>T1825/'Terms and Turnovers'!$J185</f>
        <v>0</v>
      </c>
      <c r="U2540" s="106"/>
      <c r="V2540" s="68">
        <f>V1825/'Terms and Turnovers'!$J185</f>
        <v>0</v>
      </c>
      <c r="W2540" s="106"/>
      <c r="X2540" s="68">
        <f>X1825/'Terms and Turnovers'!$J185</f>
        <v>0</v>
      </c>
      <c r="Y2540" s="106"/>
      <c r="Z2540" s="68">
        <f>Z1825/'Terms and Turnovers'!$J185</f>
        <v>0</v>
      </c>
      <c r="AA2540" s="106"/>
      <c r="AB2540" s="68">
        <f>AB1825/'Terms and Turnovers'!$J185</f>
        <v>0</v>
      </c>
      <c r="AC2540" s="106"/>
      <c r="AD2540" s="68">
        <f>AD1825/'Terms and Turnovers'!$J185</f>
        <v>0</v>
      </c>
      <c r="AE2540" s="106"/>
      <c r="AF2540" s="129">
        <f>SUM(T2540,V2540,X2540,Z2540,AB2540,AD2540)</f>
        <v>0</v>
      </c>
      <c r="AG2540" s="106"/>
      <c r="AH2540" s="130">
        <f>SUM(AF2540,R2540)</f>
        <v>0</v>
      </c>
      <c r="AI2540" s="106"/>
      <c r="AJ2540" s="65"/>
      <c r="AV2540" s="56"/>
    </row>
    <row r="2541" spans="2:48" ht="12.75" hidden="1" customHeight="1" outlineLevel="2" thickBot="1">
      <c r="B2541" s="82"/>
      <c r="C2541" s="1234"/>
      <c r="D2541" s="1234"/>
      <c r="E2541" s="84" t="str">
        <f>'Terms and Turnovers'!$T$12</f>
        <v>ORIGINALS</v>
      </c>
      <c r="F2541" s="70">
        <f>F1826/'Terms and Turnovers'!$T185</f>
        <v>0</v>
      </c>
      <c r="G2541" s="728"/>
      <c r="H2541" s="70">
        <f>H1826/'Terms and Turnovers'!$T185</f>
        <v>0</v>
      </c>
      <c r="I2541" s="728"/>
      <c r="J2541" s="70">
        <f>J1826/'Terms and Turnovers'!$T185</f>
        <v>0</v>
      </c>
      <c r="K2541" s="728"/>
      <c r="L2541" s="70">
        <f>L1826/'Terms and Turnovers'!$T185</f>
        <v>0</v>
      </c>
      <c r="M2541" s="728"/>
      <c r="N2541" s="70">
        <f>N1826/'Terms and Turnovers'!$T185</f>
        <v>0</v>
      </c>
      <c r="O2541" s="728"/>
      <c r="P2541" s="70">
        <f>P1826/'Terms and Turnovers'!$T185</f>
        <v>0</v>
      </c>
      <c r="Q2541" s="728"/>
      <c r="R2541" s="132">
        <f>SUM(F2541,H2541,J2541,L2541,N2541,P2541)</f>
        <v>0</v>
      </c>
      <c r="S2541" s="728"/>
      <c r="T2541" s="70">
        <f>T1826/'Terms and Turnovers'!$T185</f>
        <v>0</v>
      </c>
      <c r="U2541" s="728"/>
      <c r="V2541" s="70">
        <f>V1826/'Terms and Turnovers'!$T185</f>
        <v>0</v>
      </c>
      <c r="W2541" s="728"/>
      <c r="X2541" s="70">
        <f>X1826/'Terms and Turnovers'!$T185</f>
        <v>0</v>
      </c>
      <c r="Y2541" s="728"/>
      <c r="Z2541" s="70">
        <f>Z1826/'Terms and Turnovers'!$T185</f>
        <v>0</v>
      </c>
      <c r="AA2541" s="728"/>
      <c r="AB2541" s="70">
        <f>AB1826/'Terms and Turnovers'!$T185</f>
        <v>0</v>
      </c>
      <c r="AC2541" s="728"/>
      <c r="AD2541" s="70">
        <f>AD1826/'Terms and Turnovers'!$T185</f>
        <v>0</v>
      </c>
      <c r="AE2541" s="728"/>
      <c r="AF2541" s="132">
        <f>SUM(T2541,V2541,X2541,Z2541,AB2541,AD2541)</f>
        <v>0</v>
      </c>
      <c r="AG2541" s="728"/>
      <c r="AH2541" s="133">
        <f>SUM(AF2541,R2541)</f>
        <v>0</v>
      </c>
      <c r="AI2541" s="728"/>
      <c r="AJ2541" s="65"/>
      <c r="AV2541" s="56"/>
    </row>
    <row r="2542" spans="2:48" ht="12.75" hidden="1" customHeight="1" outlineLevel="2">
      <c r="B2542" s="82"/>
      <c r="C2542" s="1234"/>
      <c r="D2542" s="1234"/>
      <c r="E2542" s="84" t="str">
        <f>'Terms and Turnovers'!$AD$12</f>
        <v>ACCESSORIES</v>
      </c>
      <c r="F2542" s="68">
        <f>F1827/'Terms and Turnovers'!$AD185</f>
        <v>0</v>
      </c>
      <c r="G2542" s="728"/>
      <c r="H2542" s="68">
        <f>H1827/'Terms and Turnovers'!$AD185</f>
        <v>0</v>
      </c>
      <c r="I2542" s="728"/>
      <c r="J2542" s="68">
        <f>J1827/'Terms and Turnovers'!$AD185</f>
        <v>0</v>
      </c>
      <c r="K2542" s="728"/>
      <c r="L2542" s="68">
        <f>L1827/'Terms and Turnovers'!$AD185</f>
        <v>0</v>
      </c>
      <c r="M2542" s="728"/>
      <c r="N2542" s="68">
        <f>N1827/'Terms and Turnovers'!$AD185</f>
        <v>0</v>
      </c>
      <c r="O2542" s="728"/>
      <c r="P2542" s="68">
        <f>P1827/'Terms and Turnovers'!$AD185</f>
        <v>0</v>
      </c>
      <c r="Q2542" s="728"/>
      <c r="R2542" s="132">
        <f>SUM(F2542,H2542,J2542,L2542,N2542,P2542)</f>
        <v>0</v>
      </c>
      <c r="S2542" s="728"/>
      <c r="T2542" s="68">
        <f>T1827/'Terms and Turnovers'!$AD185</f>
        <v>0</v>
      </c>
      <c r="U2542" s="728"/>
      <c r="V2542" s="68">
        <f>V1827/'Terms and Turnovers'!$AD185</f>
        <v>0</v>
      </c>
      <c r="W2542" s="728"/>
      <c r="X2542" s="68">
        <f>X1827/'Terms and Turnovers'!$AD185</f>
        <v>0</v>
      </c>
      <c r="Y2542" s="728"/>
      <c r="Z2542" s="68">
        <f>Z1827/'Terms and Turnovers'!$AD185</f>
        <v>0</v>
      </c>
      <c r="AA2542" s="728"/>
      <c r="AB2542" s="68">
        <f>AB1827/'Terms and Turnovers'!$AD185</f>
        <v>0</v>
      </c>
      <c r="AC2542" s="728"/>
      <c r="AD2542" s="68">
        <f>AD1827/'Terms and Turnovers'!$AD185</f>
        <v>0</v>
      </c>
      <c r="AE2542" s="728"/>
      <c r="AF2542" s="132">
        <f>SUM(T2542,V2542,X2542,Z2542,AB2542,AD2542)</f>
        <v>0</v>
      </c>
      <c r="AG2542" s="728"/>
      <c r="AH2542" s="133">
        <f>SUM(AF2542,R2542)</f>
        <v>0</v>
      </c>
      <c r="AI2542" s="728"/>
      <c r="AJ2542" s="65"/>
      <c r="AV2542" s="56"/>
    </row>
    <row r="2543" spans="2:48" ht="12.75" hidden="1" customHeight="1" outlineLevel="2" thickBot="1">
      <c r="B2543" s="82"/>
      <c r="C2543" s="1234"/>
      <c r="D2543" s="1234"/>
      <c r="E2543" s="84">
        <f>'Terms and Turnovers'!$AN$12</f>
        <v>0</v>
      </c>
      <c r="F2543" s="70">
        <f>F1828/'Terms and Turnovers'!$AN185</f>
        <v>0</v>
      </c>
      <c r="G2543" s="728"/>
      <c r="H2543" s="70">
        <f>H1828/'Terms and Turnovers'!$AN185</f>
        <v>0</v>
      </c>
      <c r="I2543" s="728"/>
      <c r="J2543" s="70">
        <f>J1828/'Terms and Turnovers'!$AN185</f>
        <v>0</v>
      </c>
      <c r="K2543" s="728"/>
      <c r="L2543" s="70">
        <f>L1828/'Terms and Turnovers'!$AN185</f>
        <v>0</v>
      </c>
      <c r="M2543" s="728"/>
      <c r="N2543" s="70">
        <f>N1828/'Terms and Turnovers'!$AN185</f>
        <v>0</v>
      </c>
      <c r="O2543" s="728"/>
      <c r="P2543" s="70">
        <f>P1828/'Terms and Turnovers'!$AN185</f>
        <v>0</v>
      </c>
      <c r="Q2543" s="728"/>
      <c r="R2543" s="132">
        <f>SUM(F2543,H2543,J2543,L2543,N2543,P2543)</f>
        <v>0</v>
      </c>
      <c r="S2543" s="728"/>
      <c r="T2543" s="70">
        <f>T1828/'Terms and Turnovers'!$AN185</f>
        <v>0</v>
      </c>
      <c r="U2543" s="728"/>
      <c r="V2543" s="70">
        <f>V1828/'Terms and Turnovers'!$AN185</f>
        <v>0</v>
      </c>
      <c r="W2543" s="728"/>
      <c r="X2543" s="70">
        <f>X1828/'Terms and Turnovers'!$AN185</f>
        <v>0</v>
      </c>
      <c r="Y2543" s="728"/>
      <c r="Z2543" s="70">
        <f>Z1828/'Terms and Turnovers'!$AN185</f>
        <v>0</v>
      </c>
      <c r="AA2543" s="728"/>
      <c r="AB2543" s="70">
        <f>AB1828/'Terms and Turnovers'!$AN185</f>
        <v>0</v>
      </c>
      <c r="AC2543" s="728"/>
      <c r="AD2543" s="70">
        <f>AD1828/'Terms and Turnovers'!$AN185</f>
        <v>0</v>
      </c>
      <c r="AE2543" s="728"/>
      <c r="AF2543" s="132">
        <f>SUM(T2543,V2543,X2543,Z2543,AB2543,AD2543)</f>
        <v>0</v>
      </c>
      <c r="AG2543" s="728"/>
      <c r="AH2543" s="133">
        <f>SUM(AF2543,R2543)</f>
        <v>0</v>
      </c>
      <c r="AI2543" s="728"/>
      <c r="AJ2543" s="65"/>
      <c r="AV2543" s="56"/>
    </row>
    <row r="2544" spans="2:48" ht="13.5" hidden="1" customHeight="1" outlineLevel="2" thickBot="1">
      <c r="B2544" s="82"/>
      <c r="C2544" s="1235"/>
      <c r="D2544" s="1235"/>
      <c r="E2544" s="85">
        <f>'Terms and Turnovers'!$AX$12</f>
        <v>0</v>
      </c>
      <c r="F2544" s="68">
        <f>F1829/'Terms and Turnovers'!$AX185</f>
        <v>0</v>
      </c>
      <c r="G2544" s="107"/>
      <c r="H2544" s="68">
        <f>H1829/'Terms and Turnovers'!$AX185</f>
        <v>0</v>
      </c>
      <c r="I2544" s="107"/>
      <c r="J2544" s="68">
        <f>J1829/'Terms and Turnovers'!$AX185</f>
        <v>0</v>
      </c>
      <c r="K2544" s="107"/>
      <c r="L2544" s="68">
        <f>L1829/'Terms and Turnovers'!$AX185</f>
        <v>0</v>
      </c>
      <c r="M2544" s="107"/>
      <c r="N2544" s="68">
        <f>N1829/'Terms and Turnovers'!$AX185</f>
        <v>0</v>
      </c>
      <c r="O2544" s="107"/>
      <c r="P2544" s="68">
        <f>P1829/'Terms and Turnovers'!$AX185</f>
        <v>0</v>
      </c>
      <c r="Q2544" s="107"/>
      <c r="R2544" s="135">
        <f>SUM(F2544,H2544,J2544,L2544,N2544,P2544)</f>
        <v>0</v>
      </c>
      <c r="S2544" s="107"/>
      <c r="T2544" s="68">
        <f>T1829/'Terms and Turnovers'!$AX185</f>
        <v>0</v>
      </c>
      <c r="U2544" s="107"/>
      <c r="V2544" s="68">
        <f>V1829/'Terms and Turnovers'!$AX185</f>
        <v>0</v>
      </c>
      <c r="W2544" s="107"/>
      <c r="X2544" s="68">
        <f>X1829/'Terms and Turnovers'!$AX185</f>
        <v>0</v>
      </c>
      <c r="Y2544" s="107"/>
      <c r="Z2544" s="68">
        <f>Z1829/'Terms and Turnovers'!$AX185</f>
        <v>0</v>
      </c>
      <c r="AA2544" s="107"/>
      <c r="AB2544" s="68">
        <f>AB1829/'Terms and Turnovers'!$AX185</f>
        <v>0</v>
      </c>
      <c r="AC2544" s="107"/>
      <c r="AD2544" s="68">
        <f>AD1829/'Terms and Turnovers'!$AX185</f>
        <v>0</v>
      </c>
      <c r="AE2544" s="107"/>
      <c r="AF2544" s="135">
        <f>SUM(T2544,V2544,X2544,Z2544,AB2544,AD2544)</f>
        <v>0</v>
      </c>
      <c r="AG2544" s="107"/>
      <c r="AH2544" s="136">
        <f>SUM(AF2544,R2544)</f>
        <v>0</v>
      </c>
      <c r="AI2544" s="107"/>
      <c r="AJ2544" s="65"/>
      <c r="AV2544" s="56"/>
    </row>
    <row r="2545" spans="2:48" ht="13.5" hidden="1" customHeight="1" outlineLevel="2">
      <c r="B2545" s="82"/>
      <c r="C2545" s="425"/>
      <c r="D2545" s="425"/>
      <c r="E2545" s="634"/>
      <c r="F2545" s="635"/>
      <c r="G2545" s="428"/>
      <c r="H2545" s="635"/>
      <c r="I2545" s="428"/>
      <c r="J2545" s="635"/>
      <c r="K2545" s="636"/>
      <c r="L2545" s="635"/>
      <c r="M2545" s="636"/>
      <c r="N2545" s="635"/>
      <c r="O2545" s="636"/>
      <c r="P2545" s="635"/>
      <c r="Q2545" s="636"/>
      <c r="R2545" s="637"/>
      <c r="S2545" s="698">
        <f>SUM(R1825:R1829)/1.18-(SUM(R2540:R2544)*'Mark Up Validation'!$M$175)</f>
        <v>0</v>
      </c>
      <c r="T2545" s="635"/>
      <c r="U2545" s="636"/>
      <c r="V2545" s="635"/>
      <c r="W2545" s="636"/>
      <c r="X2545" s="635"/>
      <c r="Y2545" s="636"/>
      <c r="Z2545" s="635"/>
      <c r="AA2545" s="636"/>
      <c r="AB2545" s="635"/>
      <c r="AC2545" s="636"/>
      <c r="AD2545" s="635"/>
      <c r="AE2545" s="636"/>
      <c r="AF2545" s="637"/>
      <c r="AG2545" s="698">
        <f>SUM(AF1825:AF1829)/1.18-SUM(AF2540:AF2544)*'Mark Up Validation'!$M$175</f>
        <v>0</v>
      </c>
      <c r="AH2545" s="638"/>
      <c r="AI2545" s="698">
        <f>SUM(AH1825:AH1829)/1.18-SUM(AH2540:AH2544)*'Mark Up Validation'!$M$175</f>
        <v>0</v>
      </c>
      <c r="AJ2545" s="65"/>
      <c r="AV2545" s="56"/>
    </row>
    <row r="2546" spans="2:48" ht="13.5" hidden="1" customHeight="1" outlineLevel="2" thickBot="1">
      <c r="B2546" s="82"/>
      <c r="C2546" s="1228" t="s">
        <v>538</v>
      </c>
      <c r="D2546" s="1229"/>
      <c r="E2546" s="699"/>
      <c r="F2546" s="700"/>
      <c r="G2546" s="701"/>
      <c r="H2546" s="700"/>
      <c r="I2546" s="701"/>
      <c r="J2546" s="700"/>
      <c r="K2546" s="702"/>
      <c r="L2546" s="700"/>
      <c r="M2546" s="702"/>
      <c r="N2546" s="700"/>
      <c r="O2546" s="702"/>
      <c r="P2546" s="700"/>
      <c r="Q2546" s="702"/>
      <c r="R2546" s="703"/>
      <c r="S2546" s="729">
        <f>IF(S2545&gt;0,S2545/(SUM(R1825:R1829)/1.18),0)</f>
        <v>0</v>
      </c>
      <c r="T2546" s="700"/>
      <c r="U2546" s="702"/>
      <c r="V2546" s="700"/>
      <c r="W2546" s="702"/>
      <c r="X2546" s="700"/>
      <c r="Y2546" s="702"/>
      <c r="Z2546" s="700"/>
      <c r="AA2546" s="702"/>
      <c r="AB2546" s="700"/>
      <c r="AC2546" s="702"/>
      <c r="AD2546" s="700"/>
      <c r="AE2546" s="702"/>
      <c r="AF2546" s="705"/>
      <c r="AG2546" s="729">
        <f>IF(AG2545&gt;0,AG2545/(SUM(AF1825:AF1829)/1.18),0)</f>
        <v>0</v>
      </c>
      <c r="AH2546" s="706"/>
      <c r="AI2546" s="729">
        <f>IF(AI2545&gt;0,AI2545/(SUM(AH1825:AH1829)/1.18),0)</f>
        <v>0</v>
      </c>
      <c r="AJ2546" s="65"/>
      <c r="AV2546" s="56"/>
    </row>
    <row r="2547" spans="2:48" ht="12.75" hidden="1" customHeight="1" outlineLevel="2">
      <c r="B2547" s="82">
        <f>B2540+1</f>
        <v>55</v>
      </c>
      <c r="C2547" s="1233">
        <f>C1832</f>
        <v>0</v>
      </c>
      <c r="D2547" s="1233">
        <f>D1832</f>
        <v>0</v>
      </c>
      <c r="E2547" s="83" t="str">
        <f>'Terms and Turnovers'!$J$12</f>
        <v>FLIP-FLOPS</v>
      </c>
      <c r="F2547" s="68">
        <f>F1832/'Terms and Turnovers'!$J186</f>
        <v>0</v>
      </c>
      <c r="G2547" s="106"/>
      <c r="H2547" s="68">
        <f>H1832/'Terms and Turnovers'!$J186</f>
        <v>0</v>
      </c>
      <c r="I2547" s="106"/>
      <c r="J2547" s="68">
        <f>J1832/'Terms and Turnovers'!$J186</f>
        <v>0</v>
      </c>
      <c r="K2547" s="106"/>
      <c r="L2547" s="68">
        <f>L1832/'Terms and Turnovers'!$J186</f>
        <v>0</v>
      </c>
      <c r="M2547" s="106"/>
      <c r="N2547" s="68">
        <f>N1832/'Terms and Turnovers'!$J186</f>
        <v>0</v>
      </c>
      <c r="O2547" s="106"/>
      <c r="P2547" s="68">
        <f>P1832/'Terms and Turnovers'!$J186</f>
        <v>0</v>
      </c>
      <c r="Q2547" s="106"/>
      <c r="R2547" s="129">
        <f>SUM(F2547,H2547,J2547,L2547,N2547,P2547)</f>
        <v>0</v>
      </c>
      <c r="S2547" s="106"/>
      <c r="T2547" s="68">
        <f>T1832/'Terms and Turnovers'!$J186</f>
        <v>0</v>
      </c>
      <c r="U2547" s="106"/>
      <c r="V2547" s="68">
        <f>V1832/'Terms and Turnovers'!$J186</f>
        <v>0</v>
      </c>
      <c r="W2547" s="106"/>
      <c r="X2547" s="68">
        <f>X1832/'Terms and Turnovers'!$J186</f>
        <v>0</v>
      </c>
      <c r="Y2547" s="106"/>
      <c r="Z2547" s="68">
        <f>Z1832/'Terms and Turnovers'!$J186</f>
        <v>0</v>
      </c>
      <c r="AA2547" s="106"/>
      <c r="AB2547" s="68">
        <f>AB1832/'Terms and Turnovers'!$J186</f>
        <v>0</v>
      </c>
      <c r="AC2547" s="106"/>
      <c r="AD2547" s="68">
        <f>AD1832/'Terms and Turnovers'!$J186</f>
        <v>0</v>
      </c>
      <c r="AE2547" s="106"/>
      <c r="AF2547" s="129">
        <f>SUM(T2547,V2547,X2547,Z2547,AB2547,AD2547)</f>
        <v>0</v>
      </c>
      <c r="AG2547" s="106"/>
      <c r="AH2547" s="130">
        <f>SUM(AF2547,R2547)</f>
        <v>0</v>
      </c>
      <c r="AI2547" s="106"/>
      <c r="AJ2547" s="65"/>
      <c r="AV2547" s="56"/>
    </row>
    <row r="2548" spans="2:48" ht="12.75" hidden="1" customHeight="1" outlineLevel="2" thickBot="1">
      <c r="B2548" s="82"/>
      <c r="C2548" s="1234"/>
      <c r="D2548" s="1234"/>
      <c r="E2548" s="84" t="str">
        <f>'Terms and Turnovers'!$T$12</f>
        <v>ORIGINALS</v>
      </c>
      <c r="F2548" s="70">
        <f>F1833/'Terms and Turnovers'!$T186</f>
        <v>0</v>
      </c>
      <c r="G2548" s="728"/>
      <c r="H2548" s="70">
        <f>H1833/'Terms and Turnovers'!$T186</f>
        <v>0</v>
      </c>
      <c r="I2548" s="728"/>
      <c r="J2548" s="70">
        <f>J1833/'Terms and Turnovers'!$T186</f>
        <v>0</v>
      </c>
      <c r="K2548" s="728"/>
      <c r="L2548" s="70">
        <f>L1833/'Terms and Turnovers'!$T186</f>
        <v>0</v>
      </c>
      <c r="M2548" s="728"/>
      <c r="N2548" s="70">
        <f>N1833/'Terms and Turnovers'!$T186</f>
        <v>0</v>
      </c>
      <c r="O2548" s="728"/>
      <c r="P2548" s="70">
        <f>P1833/'Terms and Turnovers'!$T186</f>
        <v>0</v>
      </c>
      <c r="Q2548" s="728"/>
      <c r="R2548" s="132">
        <f>SUM(F2548,H2548,J2548,L2548,N2548,P2548)</f>
        <v>0</v>
      </c>
      <c r="S2548" s="728"/>
      <c r="T2548" s="70">
        <f>T1833/'Terms and Turnovers'!$T186</f>
        <v>0</v>
      </c>
      <c r="U2548" s="728"/>
      <c r="V2548" s="70">
        <f>V1833/'Terms and Turnovers'!$T186</f>
        <v>0</v>
      </c>
      <c r="W2548" s="728"/>
      <c r="X2548" s="70">
        <f>X1833/'Terms and Turnovers'!$T186</f>
        <v>0</v>
      </c>
      <c r="Y2548" s="728"/>
      <c r="Z2548" s="70">
        <f>Z1833/'Terms and Turnovers'!$T186</f>
        <v>0</v>
      </c>
      <c r="AA2548" s="728"/>
      <c r="AB2548" s="70">
        <f>AB1833/'Terms and Turnovers'!$T186</f>
        <v>0</v>
      </c>
      <c r="AC2548" s="728"/>
      <c r="AD2548" s="70">
        <f>AD1833/'Terms and Turnovers'!$T186</f>
        <v>0</v>
      </c>
      <c r="AE2548" s="728"/>
      <c r="AF2548" s="132">
        <f>SUM(T2548,V2548,X2548,Z2548,AB2548,AD2548)</f>
        <v>0</v>
      </c>
      <c r="AG2548" s="728"/>
      <c r="AH2548" s="133">
        <f>SUM(AF2548,R2548)</f>
        <v>0</v>
      </c>
      <c r="AI2548" s="728"/>
      <c r="AJ2548" s="65"/>
      <c r="AV2548" s="56"/>
    </row>
    <row r="2549" spans="2:48" ht="12.75" hidden="1" customHeight="1" outlineLevel="2">
      <c r="B2549" s="82"/>
      <c r="C2549" s="1234"/>
      <c r="D2549" s="1234"/>
      <c r="E2549" s="84" t="str">
        <f>'Terms and Turnovers'!$AD$12</f>
        <v>ACCESSORIES</v>
      </c>
      <c r="F2549" s="68">
        <f>F1834/'Terms and Turnovers'!$AD186</f>
        <v>0</v>
      </c>
      <c r="G2549" s="728"/>
      <c r="H2549" s="68">
        <f>H1834/'Terms and Turnovers'!$AD186</f>
        <v>0</v>
      </c>
      <c r="I2549" s="728"/>
      <c r="J2549" s="68">
        <f>J1834/'Terms and Turnovers'!$AD186</f>
        <v>0</v>
      </c>
      <c r="K2549" s="728"/>
      <c r="L2549" s="68">
        <f>L1834/'Terms and Turnovers'!$AD186</f>
        <v>0</v>
      </c>
      <c r="M2549" s="728"/>
      <c r="N2549" s="68">
        <f>N1834/'Terms and Turnovers'!$AD186</f>
        <v>0</v>
      </c>
      <c r="O2549" s="728"/>
      <c r="P2549" s="68">
        <f>P1834/'Terms and Turnovers'!$AD186</f>
        <v>0</v>
      </c>
      <c r="Q2549" s="728"/>
      <c r="R2549" s="132">
        <f>SUM(F2549,H2549,J2549,L2549,N2549,P2549)</f>
        <v>0</v>
      </c>
      <c r="S2549" s="728"/>
      <c r="T2549" s="68">
        <f>T1834/'Terms and Turnovers'!$AD186</f>
        <v>0</v>
      </c>
      <c r="U2549" s="728"/>
      <c r="V2549" s="68">
        <f>V1834/'Terms and Turnovers'!$AD186</f>
        <v>0</v>
      </c>
      <c r="W2549" s="728"/>
      <c r="X2549" s="68">
        <f>X1834/'Terms and Turnovers'!$AD186</f>
        <v>0</v>
      </c>
      <c r="Y2549" s="728"/>
      <c r="Z2549" s="68">
        <f>Z1834/'Terms and Turnovers'!$AD186</f>
        <v>0</v>
      </c>
      <c r="AA2549" s="728"/>
      <c r="AB2549" s="68">
        <f>AB1834/'Terms and Turnovers'!$AD186</f>
        <v>0</v>
      </c>
      <c r="AC2549" s="728"/>
      <c r="AD2549" s="68">
        <f>AD1834/'Terms and Turnovers'!$AD186</f>
        <v>0</v>
      </c>
      <c r="AE2549" s="728"/>
      <c r="AF2549" s="132">
        <f>SUM(T2549,V2549,X2549,Z2549,AB2549,AD2549)</f>
        <v>0</v>
      </c>
      <c r="AG2549" s="728"/>
      <c r="AH2549" s="133">
        <f>SUM(AF2549,R2549)</f>
        <v>0</v>
      </c>
      <c r="AI2549" s="728"/>
      <c r="AJ2549" s="65"/>
      <c r="AV2549" s="56"/>
    </row>
    <row r="2550" spans="2:48" ht="12.75" hidden="1" customHeight="1" outlineLevel="2" thickBot="1">
      <c r="B2550" s="82"/>
      <c r="C2550" s="1234"/>
      <c r="D2550" s="1234"/>
      <c r="E2550" s="84">
        <f>'Terms and Turnovers'!$AN$12</f>
        <v>0</v>
      </c>
      <c r="F2550" s="70">
        <f>F1835/'Terms and Turnovers'!$AN186</f>
        <v>0</v>
      </c>
      <c r="G2550" s="728"/>
      <c r="H2550" s="70">
        <f>H1835/'Terms and Turnovers'!$AN186</f>
        <v>0</v>
      </c>
      <c r="I2550" s="728"/>
      <c r="J2550" s="70">
        <f>J1835/'Terms and Turnovers'!$AN186</f>
        <v>0</v>
      </c>
      <c r="K2550" s="728"/>
      <c r="L2550" s="70">
        <f>L1835/'Terms and Turnovers'!$AN186</f>
        <v>0</v>
      </c>
      <c r="M2550" s="728"/>
      <c r="N2550" s="70">
        <f>N1835/'Terms and Turnovers'!$AN186</f>
        <v>0</v>
      </c>
      <c r="O2550" s="728"/>
      <c r="P2550" s="70">
        <f>P1835/'Terms and Turnovers'!$AN186</f>
        <v>0</v>
      </c>
      <c r="Q2550" s="728"/>
      <c r="R2550" s="132">
        <f>SUM(F2550,H2550,J2550,L2550,N2550,P2550)</f>
        <v>0</v>
      </c>
      <c r="S2550" s="728"/>
      <c r="T2550" s="70">
        <f>T1835/'Terms and Turnovers'!$AN186</f>
        <v>0</v>
      </c>
      <c r="U2550" s="728"/>
      <c r="V2550" s="70">
        <f>V1835/'Terms and Turnovers'!$AN186</f>
        <v>0</v>
      </c>
      <c r="W2550" s="728"/>
      <c r="X2550" s="70">
        <f>X1835/'Terms and Turnovers'!$AN186</f>
        <v>0</v>
      </c>
      <c r="Y2550" s="728"/>
      <c r="Z2550" s="70">
        <f>Z1835/'Terms and Turnovers'!$AN186</f>
        <v>0</v>
      </c>
      <c r="AA2550" s="728"/>
      <c r="AB2550" s="70">
        <f>AB1835/'Terms and Turnovers'!$AN186</f>
        <v>0</v>
      </c>
      <c r="AC2550" s="728"/>
      <c r="AD2550" s="70">
        <f>AD1835/'Terms and Turnovers'!$AN186</f>
        <v>0</v>
      </c>
      <c r="AE2550" s="728"/>
      <c r="AF2550" s="132">
        <f>SUM(T2550,V2550,X2550,Z2550,AB2550,AD2550)</f>
        <v>0</v>
      </c>
      <c r="AG2550" s="728"/>
      <c r="AH2550" s="133">
        <f>SUM(AF2550,R2550)</f>
        <v>0</v>
      </c>
      <c r="AI2550" s="728"/>
      <c r="AJ2550" s="65"/>
      <c r="AV2550" s="56"/>
    </row>
    <row r="2551" spans="2:48" ht="13.5" hidden="1" customHeight="1" outlineLevel="2" thickBot="1">
      <c r="B2551" s="82"/>
      <c r="C2551" s="1235"/>
      <c r="D2551" s="1235"/>
      <c r="E2551" s="85">
        <f>'Terms and Turnovers'!$AX$12</f>
        <v>0</v>
      </c>
      <c r="F2551" s="68">
        <f>F1836/'Terms and Turnovers'!$AX186</f>
        <v>0</v>
      </c>
      <c r="G2551" s="107"/>
      <c r="H2551" s="68">
        <f>H1836/'Terms and Turnovers'!$AX186</f>
        <v>0</v>
      </c>
      <c r="I2551" s="107"/>
      <c r="J2551" s="68">
        <f>J1836/'Terms and Turnovers'!$AX186</f>
        <v>0</v>
      </c>
      <c r="K2551" s="107"/>
      <c r="L2551" s="68">
        <f>L1836/'Terms and Turnovers'!$AX186</f>
        <v>0</v>
      </c>
      <c r="M2551" s="107"/>
      <c r="N2551" s="68">
        <f>N1836/'Terms and Turnovers'!$AX186</f>
        <v>0</v>
      </c>
      <c r="O2551" s="107"/>
      <c r="P2551" s="68">
        <f>P1836/'Terms and Turnovers'!$AX186</f>
        <v>0</v>
      </c>
      <c r="Q2551" s="107"/>
      <c r="R2551" s="135">
        <f>SUM(F2551,H2551,J2551,L2551,N2551,P2551)</f>
        <v>0</v>
      </c>
      <c r="S2551" s="107"/>
      <c r="T2551" s="68">
        <f>T1836/'Terms and Turnovers'!$AX186</f>
        <v>0</v>
      </c>
      <c r="U2551" s="107"/>
      <c r="V2551" s="68">
        <f>V1836/'Terms and Turnovers'!$AX186</f>
        <v>0</v>
      </c>
      <c r="W2551" s="107"/>
      <c r="X2551" s="68">
        <f>X1836/'Terms and Turnovers'!$AX186</f>
        <v>0</v>
      </c>
      <c r="Y2551" s="107"/>
      <c r="Z2551" s="68">
        <f>Z1836/'Terms and Turnovers'!$AX186</f>
        <v>0</v>
      </c>
      <c r="AA2551" s="107"/>
      <c r="AB2551" s="68">
        <f>AB1836/'Terms and Turnovers'!$AX186</f>
        <v>0</v>
      </c>
      <c r="AC2551" s="107"/>
      <c r="AD2551" s="68">
        <f>AD1836/'Terms and Turnovers'!$AX186</f>
        <v>0</v>
      </c>
      <c r="AE2551" s="107"/>
      <c r="AF2551" s="135">
        <f>SUM(T2551,V2551,X2551,Z2551,AB2551,AD2551)</f>
        <v>0</v>
      </c>
      <c r="AG2551" s="107"/>
      <c r="AH2551" s="136">
        <f>SUM(AF2551,R2551)</f>
        <v>0</v>
      </c>
      <c r="AI2551" s="107"/>
      <c r="AJ2551" s="65"/>
      <c r="AV2551" s="56"/>
    </row>
    <row r="2552" spans="2:48" ht="13.5" hidden="1" customHeight="1" outlineLevel="2">
      <c r="B2552" s="82"/>
      <c r="C2552" s="425"/>
      <c r="D2552" s="425"/>
      <c r="E2552" s="634"/>
      <c r="F2552" s="635"/>
      <c r="G2552" s="428"/>
      <c r="H2552" s="635"/>
      <c r="I2552" s="428"/>
      <c r="J2552" s="635"/>
      <c r="K2552" s="636"/>
      <c r="L2552" s="635"/>
      <c r="M2552" s="636"/>
      <c r="N2552" s="635"/>
      <c r="O2552" s="636"/>
      <c r="P2552" s="635"/>
      <c r="Q2552" s="636"/>
      <c r="R2552" s="637"/>
      <c r="S2552" s="698">
        <f>SUM(R1832:R1836)/1.18-(SUM(R2547:R2551)*'Mark Up Validation'!$M$175)</f>
        <v>0</v>
      </c>
      <c r="T2552" s="635"/>
      <c r="U2552" s="636"/>
      <c r="V2552" s="635"/>
      <c r="W2552" s="636"/>
      <c r="X2552" s="635"/>
      <c r="Y2552" s="636"/>
      <c r="Z2552" s="635"/>
      <c r="AA2552" s="636"/>
      <c r="AB2552" s="635"/>
      <c r="AC2552" s="636"/>
      <c r="AD2552" s="635"/>
      <c r="AE2552" s="636"/>
      <c r="AF2552" s="637"/>
      <c r="AG2552" s="698">
        <f>SUM(AF1832:AF1836)/1.18-SUM(AF2547:AF2551)*'Mark Up Validation'!$M$175</f>
        <v>0</v>
      </c>
      <c r="AH2552" s="638"/>
      <c r="AI2552" s="698">
        <f>SUM(AH1832:AH1836)/1.18-SUM(AH2547:AH2551)*'Mark Up Validation'!$M$175</f>
        <v>0</v>
      </c>
      <c r="AJ2552" s="65"/>
      <c r="AV2552" s="56"/>
    </row>
    <row r="2553" spans="2:48" ht="13.5" hidden="1" customHeight="1" outlineLevel="2" thickBot="1">
      <c r="B2553" s="82"/>
      <c r="C2553" s="1228" t="s">
        <v>538</v>
      </c>
      <c r="D2553" s="1229"/>
      <c r="E2553" s="699"/>
      <c r="F2553" s="700"/>
      <c r="G2553" s="701"/>
      <c r="H2553" s="700"/>
      <c r="I2553" s="701"/>
      <c r="J2553" s="700"/>
      <c r="K2553" s="702"/>
      <c r="L2553" s="700"/>
      <c r="M2553" s="702"/>
      <c r="N2553" s="700"/>
      <c r="O2553" s="702"/>
      <c r="P2553" s="700"/>
      <c r="Q2553" s="702"/>
      <c r="R2553" s="703"/>
      <c r="S2553" s="729">
        <f>IF(S2552&gt;0,S2552/(SUM(R1832:R1836)/1.18),0)</f>
        <v>0</v>
      </c>
      <c r="T2553" s="700"/>
      <c r="U2553" s="702"/>
      <c r="V2553" s="700"/>
      <c r="W2553" s="702"/>
      <c r="X2553" s="700"/>
      <c r="Y2553" s="702"/>
      <c r="Z2553" s="700"/>
      <c r="AA2553" s="702"/>
      <c r="AB2553" s="700"/>
      <c r="AC2553" s="702"/>
      <c r="AD2553" s="700"/>
      <c r="AE2553" s="702"/>
      <c r="AF2553" s="705"/>
      <c r="AG2553" s="729">
        <f>IF(AG2552&gt;0,AG2552/(SUM(AF1832:AF1836)/1.18),0)</f>
        <v>0</v>
      </c>
      <c r="AH2553" s="706"/>
      <c r="AI2553" s="729">
        <f>IF(AI2552&gt;0,AI2552/(SUM(AH1832:AH1836)/1.18),0)</f>
        <v>0</v>
      </c>
      <c r="AJ2553" s="65"/>
      <c r="AV2553" s="56"/>
    </row>
    <row r="2554" spans="2:48" ht="12.75" hidden="1" customHeight="1" outlineLevel="2">
      <c r="B2554" s="82">
        <f>B2547+1</f>
        <v>56</v>
      </c>
      <c r="C2554" s="1233">
        <f>C1839</f>
        <v>0</v>
      </c>
      <c r="D2554" s="1233">
        <f>D1839</f>
        <v>0</v>
      </c>
      <c r="E2554" s="83" t="str">
        <f>'Terms and Turnovers'!$J$12</f>
        <v>FLIP-FLOPS</v>
      </c>
      <c r="F2554" s="68">
        <f>F1839/'Terms and Turnovers'!$J187</f>
        <v>0</v>
      </c>
      <c r="G2554" s="106"/>
      <c r="H2554" s="68">
        <f>H1839/'Terms and Turnovers'!$J187</f>
        <v>0</v>
      </c>
      <c r="I2554" s="106"/>
      <c r="J2554" s="68">
        <f>J1839/'Terms and Turnovers'!$J187</f>
        <v>0</v>
      </c>
      <c r="K2554" s="106"/>
      <c r="L2554" s="68">
        <f>L1839/'Terms and Turnovers'!$J187</f>
        <v>0</v>
      </c>
      <c r="M2554" s="106"/>
      <c r="N2554" s="68">
        <f>N1839/'Terms and Turnovers'!$J187</f>
        <v>0</v>
      </c>
      <c r="O2554" s="106"/>
      <c r="P2554" s="68">
        <f>P1839/'Terms and Turnovers'!$J187</f>
        <v>0</v>
      </c>
      <c r="Q2554" s="106"/>
      <c r="R2554" s="129">
        <f>SUM(F2554,H2554,J2554,L2554,N2554,P2554)</f>
        <v>0</v>
      </c>
      <c r="S2554" s="106"/>
      <c r="T2554" s="68">
        <f>T1839/'Terms and Turnovers'!$J187</f>
        <v>0</v>
      </c>
      <c r="U2554" s="106"/>
      <c r="V2554" s="68">
        <f>V1839/'Terms and Turnovers'!$J187</f>
        <v>0</v>
      </c>
      <c r="W2554" s="106"/>
      <c r="X2554" s="68">
        <f>X1839/'Terms and Turnovers'!$J187</f>
        <v>0</v>
      </c>
      <c r="Y2554" s="106"/>
      <c r="Z2554" s="68">
        <f>Z1839/'Terms and Turnovers'!$J187</f>
        <v>0</v>
      </c>
      <c r="AA2554" s="106"/>
      <c r="AB2554" s="68">
        <f>AB1839/'Terms and Turnovers'!$J187</f>
        <v>0</v>
      </c>
      <c r="AC2554" s="106"/>
      <c r="AD2554" s="68">
        <f>AD1839/'Terms and Turnovers'!$J187</f>
        <v>0</v>
      </c>
      <c r="AE2554" s="106"/>
      <c r="AF2554" s="129">
        <f>SUM(T2554,V2554,X2554,Z2554,AB2554,AD2554)</f>
        <v>0</v>
      </c>
      <c r="AG2554" s="106"/>
      <c r="AH2554" s="130">
        <f>SUM(AF2554,R2554)</f>
        <v>0</v>
      </c>
      <c r="AI2554" s="106"/>
      <c r="AJ2554" s="65"/>
      <c r="AV2554" s="56"/>
    </row>
    <row r="2555" spans="2:48" ht="12.75" hidden="1" customHeight="1" outlineLevel="2" thickBot="1">
      <c r="B2555" s="82"/>
      <c r="C2555" s="1234"/>
      <c r="D2555" s="1234"/>
      <c r="E2555" s="84" t="str">
        <f>'Terms and Turnovers'!$T$12</f>
        <v>ORIGINALS</v>
      </c>
      <c r="F2555" s="70">
        <f>F1840/'Terms and Turnovers'!$T187</f>
        <v>0</v>
      </c>
      <c r="G2555" s="728"/>
      <c r="H2555" s="70">
        <f>H1840/'Terms and Turnovers'!$T187</f>
        <v>0</v>
      </c>
      <c r="I2555" s="728"/>
      <c r="J2555" s="70">
        <f>J1840/'Terms and Turnovers'!$T187</f>
        <v>0</v>
      </c>
      <c r="K2555" s="728"/>
      <c r="L2555" s="70">
        <f>L1840/'Terms and Turnovers'!$T187</f>
        <v>0</v>
      </c>
      <c r="M2555" s="728"/>
      <c r="N2555" s="70">
        <f>N1840/'Terms and Turnovers'!$T187</f>
        <v>0</v>
      </c>
      <c r="O2555" s="728"/>
      <c r="P2555" s="70">
        <f>P1840/'Terms and Turnovers'!$T187</f>
        <v>0</v>
      </c>
      <c r="Q2555" s="728"/>
      <c r="R2555" s="132">
        <f>SUM(F2555,H2555,J2555,L2555,N2555,P2555)</f>
        <v>0</v>
      </c>
      <c r="S2555" s="728"/>
      <c r="T2555" s="70">
        <f>T1840/'Terms and Turnovers'!$T187</f>
        <v>0</v>
      </c>
      <c r="U2555" s="728"/>
      <c r="V2555" s="70">
        <f>V1840/'Terms and Turnovers'!$T187</f>
        <v>0</v>
      </c>
      <c r="W2555" s="728"/>
      <c r="X2555" s="70">
        <f>X1840/'Terms and Turnovers'!$T187</f>
        <v>0</v>
      </c>
      <c r="Y2555" s="728"/>
      <c r="Z2555" s="70">
        <f>Z1840/'Terms and Turnovers'!$T187</f>
        <v>0</v>
      </c>
      <c r="AA2555" s="728"/>
      <c r="AB2555" s="70">
        <f>AB1840/'Terms and Turnovers'!$T187</f>
        <v>0</v>
      </c>
      <c r="AC2555" s="728"/>
      <c r="AD2555" s="70">
        <f>AD1840/'Terms and Turnovers'!$T187</f>
        <v>0</v>
      </c>
      <c r="AE2555" s="728"/>
      <c r="AF2555" s="132">
        <f>SUM(T2555,V2555,X2555,Z2555,AB2555,AD2555)</f>
        <v>0</v>
      </c>
      <c r="AG2555" s="728"/>
      <c r="AH2555" s="133">
        <f>SUM(AF2555,R2555)</f>
        <v>0</v>
      </c>
      <c r="AI2555" s="728"/>
      <c r="AJ2555" s="65"/>
      <c r="AV2555" s="56"/>
    </row>
    <row r="2556" spans="2:48" ht="12.75" hidden="1" customHeight="1" outlineLevel="2">
      <c r="B2556" s="82"/>
      <c r="C2556" s="1234"/>
      <c r="D2556" s="1234"/>
      <c r="E2556" s="84" t="str">
        <f>'Terms and Turnovers'!$AD$12</f>
        <v>ACCESSORIES</v>
      </c>
      <c r="F2556" s="68">
        <f>F1841/'Terms and Turnovers'!$AD187</f>
        <v>0</v>
      </c>
      <c r="G2556" s="728"/>
      <c r="H2556" s="68">
        <f>H1841/'Terms and Turnovers'!$AD187</f>
        <v>0</v>
      </c>
      <c r="I2556" s="728"/>
      <c r="J2556" s="68">
        <f>J1841/'Terms and Turnovers'!$AD187</f>
        <v>0</v>
      </c>
      <c r="K2556" s="728"/>
      <c r="L2556" s="68">
        <f>L1841/'Terms and Turnovers'!$AD187</f>
        <v>0</v>
      </c>
      <c r="M2556" s="728"/>
      <c r="N2556" s="68">
        <f>N1841/'Terms and Turnovers'!$AD187</f>
        <v>0</v>
      </c>
      <c r="O2556" s="728"/>
      <c r="P2556" s="68">
        <f>P1841/'Terms and Turnovers'!$AD187</f>
        <v>0</v>
      </c>
      <c r="Q2556" s="728"/>
      <c r="R2556" s="132">
        <f>SUM(F2556,H2556,J2556,L2556,N2556,P2556)</f>
        <v>0</v>
      </c>
      <c r="S2556" s="728"/>
      <c r="T2556" s="68">
        <f>T1841/'Terms and Turnovers'!$AD187</f>
        <v>0</v>
      </c>
      <c r="U2556" s="728"/>
      <c r="V2556" s="68">
        <f>V1841/'Terms and Turnovers'!$AD187</f>
        <v>0</v>
      </c>
      <c r="W2556" s="728"/>
      <c r="X2556" s="68">
        <f>X1841/'Terms and Turnovers'!$AD187</f>
        <v>0</v>
      </c>
      <c r="Y2556" s="728"/>
      <c r="Z2556" s="68">
        <f>Z1841/'Terms and Turnovers'!$AD187</f>
        <v>0</v>
      </c>
      <c r="AA2556" s="728"/>
      <c r="AB2556" s="68">
        <f>AB1841/'Terms and Turnovers'!$AD187</f>
        <v>0</v>
      </c>
      <c r="AC2556" s="728"/>
      <c r="AD2556" s="68">
        <f>AD1841/'Terms and Turnovers'!$AD187</f>
        <v>0</v>
      </c>
      <c r="AE2556" s="728"/>
      <c r="AF2556" s="132">
        <f>SUM(T2556,V2556,X2556,Z2556,AB2556,AD2556)</f>
        <v>0</v>
      </c>
      <c r="AG2556" s="728"/>
      <c r="AH2556" s="133">
        <f>SUM(AF2556,R2556)</f>
        <v>0</v>
      </c>
      <c r="AI2556" s="728"/>
      <c r="AJ2556" s="65"/>
      <c r="AV2556" s="56"/>
    </row>
    <row r="2557" spans="2:48" ht="12.75" hidden="1" customHeight="1" outlineLevel="2" thickBot="1">
      <c r="B2557" s="82"/>
      <c r="C2557" s="1234"/>
      <c r="D2557" s="1234"/>
      <c r="E2557" s="84">
        <f>'Terms and Turnovers'!$AN$12</f>
        <v>0</v>
      </c>
      <c r="F2557" s="70">
        <f>F1842/'Terms and Turnovers'!$AN187</f>
        <v>0</v>
      </c>
      <c r="G2557" s="728"/>
      <c r="H2557" s="70">
        <f>H1842/'Terms and Turnovers'!$AN187</f>
        <v>0</v>
      </c>
      <c r="I2557" s="728"/>
      <c r="J2557" s="70">
        <f>J1842/'Terms and Turnovers'!$AN187</f>
        <v>0</v>
      </c>
      <c r="K2557" s="728"/>
      <c r="L2557" s="70">
        <f>L1842/'Terms and Turnovers'!$AN187</f>
        <v>0</v>
      </c>
      <c r="M2557" s="728"/>
      <c r="N2557" s="70">
        <f>N1842/'Terms and Turnovers'!$AN187</f>
        <v>0</v>
      </c>
      <c r="O2557" s="728"/>
      <c r="P2557" s="70">
        <f>P1842/'Terms and Turnovers'!$AN187</f>
        <v>0</v>
      </c>
      <c r="Q2557" s="728"/>
      <c r="R2557" s="132">
        <f>SUM(F2557,H2557,J2557,L2557,N2557,P2557)</f>
        <v>0</v>
      </c>
      <c r="S2557" s="728"/>
      <c r="T2557" s="70">
        <f>T1842/'Terms and Turnovers'!$AN187</f>
        <v>0</v>
      </c>
      <c r="U2557" s="728"/>
      <c r="V2557" s="70">
        <f>V1842/'Terms and Turnovers'!$AN187</f>
        <v>0</v>
      </c>
      <c r="W2557" s="728"/>
      <c r="X2557" s="70">
        <f>X1842/'Terms and Turnovers'!$AN187</f>
        <v>0</v>
      </c>
      <c r="Y2557" s="728"/>
      <c r="Z2557" s="70">
        <f>Z1842/'Terms and Turnovers'!$AN187</f>
        <v>0</v>
      </c>
      <c r="AA2557" s="728"/>
      <c r="AB2557" s="70">
        <f>AB1842/'Terms and Turnovers'!$AN187</f>
        <v>0</v>
      </c>
      <c r="AC2557" s="728"/>
      <c r="AD2557" s="70">
        <f>AD1842/'Terms and Turnovers'!$AN187</f>
        <v>0</v>
      </c>
      <c r="AE2557" s="728"/>
      <c r="AF2557" s="132">
        <f>SUM(T2557,V2557,X2557,Z2557,AB2557,AD2557)</f>
        <v>0</v>
      </c>
      <c r="AG2557" s="728"/>
      <c r="AH2557" s="133">
        <f>SUM(AF2557,R2557)</f>
        <v>0</v>
      </c>
      <c r="AI2557" s="728"/>
      <c r="AJ2557" s="65"/>
      <c r="AV2557" s="56"/>
    </row>
    <row r="2558" spans="2:48" ht="13.5" hidden="1" customHeight="1" outlineLevel="2" thickBot="1">
      <c r="B2558" s="82"/>
      <c r="C2558" s="1235"/>
      <c r="D2558" s="1235"/>
      <c r="E2558" s="85">
        <f>'Terms and Turnovers'!$AX$12</f>
        <v>0</v>
      </c>
      <c r="F2558" s="68">
        <f>F1843/'Terms and Turnovers'!$AX187</f>
        <v>0</v>
      </c>
      <c r="G2558" s="107"/>
      <c r="H2558" s="68">
        <f>H1843/'Terms and Turnovers'!$AX187</f>
        <v>0</v>
      </c>
      <c r="I2558" s="107"/>
      <c r="J2558" s="68">
        <f>J1843/'Terms and Turnovers'!$AX187</f>
        <v>0</v>
      </c>
      <c r="K2558" s="107"/>
      <c r="L2558" s="68">
        <f>L1843/'Terms and Turnovers'!$AX187</f>
        <v>0</v>
      </c>
      <c r="M2558" s="107"/>
      <c r="N2558" s="68">
        <f>N1843/'Terms and Turnovers'!$AX187</f>
        <v>0</v>
      </c>
      <c r="O2558" s="107"/>
      <c r="P2558" s="68">
        <f>P1843/'Terms and Turnovers'!$AX187</f>
        <v>0</v>
      </c>
      <c r="Q2558" s="107"/>
      <c r="R2558" s="135">
        <f>SUM(F2558,H2558,J2558,L2558,N2558,P2558)</f>
        <v>0</v>
      </c>
      <c r="S2558" s="107"/>
      <c r="T2558" s="68">
        <f>T1843/'Terms and Turnovers'!$AX187</f>
        <v>0</v>
      </c>
      <c r="U2558" s="107"/>
      <c r="V2558" s="68">
        <f>V1843/'Terms and Turnovers'!$AX187</f>
        <v>0</v>
      </c>
      <c r="W2558" s="107"/>
      <c r="X2558" s="68">
        <f>X1843/'Terms and Turnovers'!$AX187</f>
        <v>0</v>
      </c>
      <c r="Y2558" s="107"/>
      <c r="Z2558" s="68">
        <f>Z1843/'Terms and Turnovers'!$AX187</f>
        <v>0</v>
      </c>
      <c r="AA2558" s="107"/>
      <c r="AB2558" s="68">
        <f>AB1843/'Terms and Turnovers'!$AX187</f>
        <v>0</v>
      </c>
      <c r="AC2558" s="107"/>
      <c r="AD2558" s="68">
        <f>AD1843/'Terms and Turnovers'!$AX187</f>
        <v>0</v>
      </c>
      <c r="AE2558" s="107"/>
      <c r="AF2558" s="135">
        <f>SUM(T2558,V2558,X2558,Z2558,AB2558,AD2558)</f>
        <v>0</v>
      </c>
      <c r="AG2558" s="107"/>
      <c r="AH2558" s="136">
        <f>SUM(AF2558,R2558)</f>
        <v>0</v>
      </c>
      <c r="AI2558" s="107"/>
      <c r="AJ2558" s="65"/>
      <c r="AV2558" s="56"/>
    </row>
    <row r="2559" spans="2:48" ht="13.5" hidden="1" customHeight="1" outlineLevel="2">
      <c r="B2559" s="82"/>
      <c r="C2559" s="425"/>
      <c r="D2559" s="425"/>
      <c r="E2559" s="634"/>
      <c r="F2559" s="635"/>
      <c r="G2559" s="428"/>
      <c r="H2559" s="635"/>
      <c r="I2559" s="428"/>
      <c r="J2559" s="635"/>
      <c r="K2559" s="636"/>
      <c r="L2559" s="635"/>
      <c r="M2559" s="636"/>
      <c r="N2559" s="635"/>
      <c r="O2559" s="636"/>
      <c r="P2559" s="635"/>
      <c r="Q2559" s="636"/>
      <c r="R2559" s="637"/>
      <c r="S2559" s="698">
        <f>SUM(R1839:R1843)/1.18-(SUM(R2554:R2558)*'Mark Up Validation'!$M$175)</f>
        <v>0</v>
      </c>
      <c r="T2559" s="635"/>
      <c r="U2559" s="636"/>
      <c r="V2559" s="635"/>
      <c r="W2559" s="636"/>
      <c r="X2559" s="635"/>
      <c r="Y2559" s="636"/>
      <c r="Z2559" s="635"/>
      <c r="AA2559" s="636"/>
      <c r="AB2559" s="635"/>
      <c r="AC2559" s="636"/>
      <c r="AD2559" s="635"/>
      <c r="AE2559" s="636"/>
      <c r="AF2559" s="637"/>
      <c r="AG2559" s="698">
        <f>SUM(AF1839:AF1843)/1.18-SUM(AF2554:AF2558)*'Mark Up Validation'!$M$175</f>
        <v>0</v>
      </c>
      <c r="AH2559" s="638"/>
      <c r="AI2559" s="698">
        <f>SUM(AH1839:AH1843)/1.18-SUM(AH2554:AH2558)*'Mark Up Validation'!$M$175</f>
        <v>0</v>
      </c>
      <c r="AJ2559" s="65"/>
      <c r="AV2559" s="56"/>
    </row>
    <row r="2560" spans="2:48" ht="13.5" hidden="1" customHeight="1" outlineLevel="2" thickBot="1">
      <c r="B2560" s="82"/>
      <c r="C2560" s="1228" t="s">
        <v>538</v>
      </c>
      <c r="D2560" s="1229"/>
      <c r="E2560" s="699"/>
      <c r="F2560" s="700"/>
      <c r="G2560" s="701"/>
      <c r="H2560" s="700"/>
      <c r="I2560" s="701"/>
      <c r="J2560" s="700"/>
      <c r="K2560" s="702"/>
      <c r="L2560" s="700"/>
      <c r="M2560" s="702"/>
      <c r="N2560" s="700"/>
      <c r="O2560" s="702"/>
      <c r="P2560" s="700"/>
      <c r="Q2560" s="702"/>
      <c r="R2560" s="703"/>
      <c r="S2560" s="729">
        <f>IF(S2559&gt;0,S2559/(SUM(R1839:R1843)/1.18),0)</f>
        <v>0</v>
      </c>
      <c r="T2560" s="700"/>
      <c r="U2560" s="702"/>
      <c r="V2560" s="700"/>
      <c r="W2560" s="702"/>
      <c r="X2560" s="700"/>
      <c r="Y2560" s="702"/>
      <c r="Z2560" s="700"/>
      <c r="AA2560" s="702"/>
      <c r="AB2560" s="700"/>
      <c r="AC2560" s="702"/>
      <c r="AD2560" s="700"/>
      <c r="AE2560" s="702"/>
      <c r="AF2560" s="705"/>
      <c r="AG2560" s="729">
        <f>IF(AG2559&gt;0,AG2559/(SUM(AF1839:AF1843)/1.18),0)</f>
        <v>0</v>
      </c>
      <c r="AH2560" s="706"/>
      <c r="AI2560" s="729">
        <f>IF(AI2559&gt;0,AI2559/(SUM(AH1839:AH1843)/1.18),0)</f>
        <v>0</v>
      </c>
      <c r="AJ2560" s="65"/>
      <c r="AV2560" s="56"/>
    </row>
    <row r="2561" spans="2:48" ht="12.75" hidden="1" customHeight="1" outlineLevel="2">
      <c r="B2561" s="82">
        <f>B2554+1</f>
        <v>57</v>
      </c>
      <c r="C2561" s="1233">
        <f>C1846</f>
        <v>0</v>
      </c>
      <c r="D2561" s="1233">
        <f>D1846</f>
        <v>0</v>
      </c>
      <c r="E2561" s="83" t="str">
        <f>'Terms and Turnovers'!$J$12</f>
        <v>FLIP-FLOPS</v>
      </c>
      <c r="F2561" s="68">
        <f>F1846/'Terms and Turnovers'!$J188</f>
        <v>0</v>
      </c>
      <c r="G2561" s="106"/>
      <c r="H2561" s="68">
        <f>H1846/'Terms and Turnovers'!$J188</f>
        <v>0</v>
      </c>
      <c r="I2561" s="106"/>
      <c r="J2561" s="68">
        <f>J1846/'Terms and Turnovers'!$J188</f>
        <v>0</v>
      </c>
      <c r="K2561" s="106"/>
      <c r="L2561" s="68">
        <f>L1846/'Terms and Turnovers'!$J188</f>
        <v>0</v>
      </c>
      <c r="M2561" s="106"/>
      <c r="N2561" s="68">
        <f>N1846/'Terms and Turnovers'!$J188</f>
        <v>0</v>
      </c>
      <c r="O2561" s="106"/>
      <c r="P2561" s="68">
        <f>P1846/'Terms and Turnovers'!$J188</f>
        <v>0</v>
      </c>
      <c r="Q2561" s="106"/>
      <c r="R2561" s="129">
        <f>SUM(F2561,H2561,J2561,L2561,N2561,P2561)</f>
        <v>0</v>
      </c>
      <c r="S2561" s="106"/>
      <c r="T2561" s="68">
        <f>T1846/'Terms and Turnovers'!$J188</f>
        <v>0</v>
      </c>
      <c r="U2561" s="106"/>
      <c r="V2561" s="68">
        <f>V1846/'Terms and Turnovers'!$J188</f>
        <v>0</v>
      </c>
      <c r="W2561" s="106"/>
      <c r="X2561" s="68">
        <f>X1846/'Terms and Turnovers'!$J188</f>
        <v>0</v>
      </c>
      <c r="Y2561" s="106"/>
      <c r="Z2561" s="68">
        <f>Z1846/'Terms and Turnovers'!$J188</f>
        <v>0</v>
      </c>
      <c r="AA2561" s="106"/>
      <c r="AB2561" s="68">
        <f>AB1846/'Terms and Turnovers'!$J188</f>
        <v>0</v>
      </c>
      <c r="AC2561" s="106"/>
      <c r="AD2561" s="68">
        <f>AD1846/'Terms and Turnovers'!$J188</f>
        <v>0</v>
      </c>
      <c r="AE2561" s="106"/>
      <c r="AF2561" s="129">
        <f>SUM(T2561,V2561,X2561,Z2561,AB2561,AD2561)</f>
        <v>0</v>
      </c>
      <c r="AG2561" s="106"/>
      <c r="AH2561" s="130">
        <f>SUM(AF2561,R2561)</f>
        <v>0</v>
      </c>
      <c r="AI2561" s="106"/>
      <c r="AJ2561" s="65"/>
      <c r="AV2561" s="56"/>
    </row>
    <row r="2562" spans="2:48" ht="12.75" hidden="1" customHeight="1" outlineLevel="2" thickBot="1">
      <c r="B2562" s="82"/>
      <c r="C2562" s="1234"/>
      <c r="D2562" s="1234"/>
      <c r="E2562" s="84" t="str">
        <f>'Terms and Turnovers'!$T$12</f>
        <v>ORIGINALS</v>
      </c>
      <c r="F2562" s="70">
        <f>F1847/'Terms and Turnovers'!$T188</f>
        <v>0</v>
      </c>
      <c r="G2562" s="728"/>
      <c r="H2562" s="70">
        <f>H1847/'Terms and Turnovers'!$T188</f>
        <v>0</v>
      </c>
      <c r="I2562" s="728"/>
      <c r="J2562" s="70">
        <f>J1847/'Terms and Turnovers'!$T188</f>
        <v>0</v>
      </c>
      <c r="K2562" s="728"/>
      <c r="L2562" s="70">
        <f>L1847/'Terms and Turnovers'!$T188</f>
        <v>0</v>
      </c>
      <c r="M2562" s="728"/>
      <c r="N2562" s="70">
        <f>N1847/'Terms and Turnovers'!$T188</f>
        <v>0</v>
      </c>
      <c r="O2562" s="728"/>
      <c r="P2562" s="70">
        <f>P1847/'Terms and Turnovers'!$T188</f>
        <v>0</v>
      </c>
      <c r="Q2562" s="728"/>
      <c r="R2562" s="132">
        <f>SUM(F2562,H2562,J2562,L2562,N2562,P2562)</f>
        <v>0</v>
      </c>
      <c r="S2562" s="728"/>
      <c r="T2562" s="70">
        <f>T1847/'Terms and Turnovers'!$T188</f>
        <v>0</v>
      </c>
      <c r="U2562" s="728"/>
      <c r="V2562" s="70">
        <f>V1847/'Terms and Turnovers'!$T188</f>
        <v>0</v>
      </c>
      <c r="W2562" s="728"/>
      <c r="X2562" s="70">
        <f>X1847/'Terms and Turnovers'!$T188</f>
        <v>0</v>
      </c>
      <c r="Y2562" s="728"/>
      <c r="Z2562" s="70">
        <f>Z1847/'Terms and Turnovers'!$T188</f>
        <v>0</v>
      </c>
      <c r="AA2562" s="728"/>
      <c r="AB2562" s="70">
        <f>AB1847/'Terms and Turnovers'!$T188</f>
        <v>0</v>
      </c>
      <c r="AC2562" s="728"/>
      <c r="AD2562" s="70">
        <f>AD1847/'Terms and Turnovers'!$T188</f>
        <v>0</v>
      </c>
      <c r="AE2562" s="728"/>
      <c r="AF2562" s="132">
        <f>SUM(T2562,V2562,X2562,Z2562,AB2562,AD2562)</f>
        <v>0</v>
      </c>
      <c r="AG2562" s="728"/>
      <c r="AH2562" s="133">
        <f>SUM(AF2562,R2562)</f>
        <v>0</v>
      </c>
      <c r="AI2562" s="728"/>
      <c r="AJ2562" s="65"/>
      <c r="AV2562" s="56"/>
    </row>
    <row r="2563" spans="2:48" ht="12.75" hidden="1" customHeight="1" outlineLevel="2">
      <c r="B2563" s="82"/>
      <c r="C2563" s="1234"/>
      <c r="D2563" s="1234"/>
      <c r="E2563" s="84" t="str">
        <f>'Terms and Turnovers'!$AD$12</f>
        <v>ACCESSORIES</v>
      </c>
      <c r="F2563" s="68">
        <f>F1848/'Terms and Turnovers'!$AD188</f>
        <v>0</v>
      </c>
      <c r="G2563" s="728"/>
      <c r="H2563" s="68">
        <f>H1848/'Terms and Turnovers'!$AD188</f>
        <v>0</v>
      </c>
      <c r="I2563" s="728"/>
      <c r="J2563" s="68">
        <f>J1848/'Terms and Turnovers'!$AD188</f>
        <v>0</v>
      </c>
      <c r="K2563" s="728"/>
      <c r="L2563" s="68">
        <f>L1848/'Terms and Turnovers'!$AD188</f>
        <v>0</v>
      </c>
      <c r="M2563" s="728"/>
      <c r="N2563" s="68">
        <f>N1848/'Terms and Turnovers'!$AD188</f>
        <v>0</v>
      </c>
      <c r="O2563" s="728"/>
      <c r="P2563" s="68">
        <f>P1848/'Terms and Turnovers'!$AD188</f>
        <v>0</v>
      </c>
      <c r="Q2563" s="728"/>
      <c r="R2563" s="132">
        <f>SUM(F2563,H2563,J2563,L2563,N2563,P2563)</f>
        <v>0</v>
      </c>
      <c r="S2563" s="728"/>
      <c r="T2563" s="68">
        <f>T1848/'Terms and Turnovers'!$AD188</f>
        <v>0</v>
      </c>
      <c r="U2563" s="728"/>
      <c r="V2563" s="68">
        <f>V1848/'Terms and Turnovers'!$AD188</f>
        <v>0</v>
      </c>
      <c r="W2563" s="728"/>
      <c r="X2563" s="68">
        <f>X1848/'Terms and Turnovers'!$AD188</f>
        <v>0</v>
      </c>
      <c r="Y2563" s="728"/>
      <c r="Z2563" s="68">
        <f>Z1848/'Terms and Turnovers'!$AD188</f>
        <v>0</v>
      </c>
      <c r="AA2563" s="728"/>
      <c r="AB2563" s="68">
        <f>AB1848/'Terms and Turnovers'!$AD188</f>
        <v>0</v>
      </c>
      <c r="AC2563" s="728"/>
      <c r="AD2563" s="68">
        <f>AD1848/'Terms and Turnovers'!$AD188</f>
        <v>0</v>
      </c>
      <c r="AE2563" s="728"/>
      <c r="AF2563" s="132">
        <f>SUM(T2563,V2563,X2563,Z2563,AB2563,AD2563)</f>
        <v>0</v>
      </c>
      <c r="AG2563" s="728"/>
      <c r="AH2563" s="133">
        <f>SUM(AF2563,R2563)</f>
        <v>0</v>
      </c>
      <c r="AI2563" s="728"/>
      <c r="AJ2563" s="65"/>
      <c r="AV2563" s="56"/>
    </row>
    <row r="2564" spans="2:48" ht="12.75" hidden="1" customHeight="1" outlineLevel="2" thickBot="1">
      <c r="B2564" s="82"/>
      <c r="C2564" s="1234"/>
      <c r="D2564" s="1234"/>
      <c r="E2564" s="84">
        <f>'Terms and Turnovers'!$AN$12</f>
        <v>0</v>
      </c>
      <c r="F2564" s="70">
        <f>F1849/'Terms and Turnovers'!$AN188</f>
        <v>0</v>
      </c>
      <c r="G2564" s="728"/>
      <c r="H2564" s="70">
        <f>H1849/'Terms and Turnovers'!$AN188</f>
        <v>0</v>
      </c>
      <c r="I2564" s="728"/>
      <c r="J2564" s="70">
        <f>J1849/'Terms and Turnovers'!$AN188</f>
        <v>0</v>
      </c>
      <c r="K2564" s="728"/>
      <c r="L2564" s="70">
        <f>L1849/'Terms and Turnovers'!$AN188</f>
        <v>0</v>
      </c>
      <c r="M2564" s="728"/>
      <c r="N2564" s="70">
        <f>N1849/'Terms and Turnovers'!$AN188</f>
        <v>0</v>
      </c>
      <c r="O2564" s="728"/>
      <c r="P2564" s="70">
        <f>P1849/'Terms and Turnovers'!$AN188</f>
        <v>0</v>
      </c>
      <c r="Q2564" s="728"/>
      <c r="R2564" s="132">
        <f>SUM(F2564,H2564,J2564,L2564,N2564,P2564)</f>
        <v>0</v>
      </c>
      <c r="S2564" s="728"/>
      <c r="T2564" s="70">
        <f>T1849/'Terms and Turnovers'!$AN188</f>
        <v>0</v>
      </c>
      <c r="U2564" s="728"/>
      <c r="V2564" s="70">
        <f>V1849/'Terms and Turnovers'!$AN188</f>
        <v>0</v>
      </c>
      <c r="W2564" s="728"/>
      <c r="X2564" s="70">
        <f>X1849/'Terms and Turnovers'!$AN188</f>
        <v>0</v>
      </c>
      <c r="Y2564" s="728"/>
      <c r="Z2564" s="70">
        <f>Z1849/'Terms and Turnovers'!$AN188</f>
        <v>0</v>
      </c>
      <c r="AA2564" s="728"/>
      <c r="AB2564" s="70">
        <f>AB1849/'Terms and Turnovers'!$AN188</f>
        <v>0</v>
      </c>
      <c r="AC2564" s="728"/>
      <c r="AD2564" s="70">
        <f>AD1849/'Terms and Turnovers'!$AN188</f>
        <v>0</v>
      </c>
      <c r="AE2564" s="728"/>
      <c r="AF2564" s="132">
        <f>SUM(T2564,V2564,X2564,Z2564,AB2564,AD2564)</f>
        <v>0</v>
      </c>
      <c r="AG2564" s="728"/>
      <c r="AH2564" s="133">
        <f>SUM(AF2564,R2564)</f>
        <v>0</v>
      </c>
      <c r="AI2564" s="728"/>
      <c r="AJ2564" s="65"/>
      <c r="AV2564" s="56"/>
    </row>
    <row r="2565" spans="2:48" ht="13.5" hidden="1" customHeight="1" outlineLevel="2" thickBot="1">
      <c r="B2565" s="82"/>
      <c r="C2565" s="1235"/>
      <c r="D2565" s="1235"/>
      <c r="E2565" s="85">
        <f>'Terms and Turnovers'!$AX$12</f>
        <v>0</v>
      </c>
      <c r="F2565" s="68">
        <f>F1850/'Terms and Turnovers'!$AX188</f>
        <v>0</v>
      </c>
      <c r="G2565" s="111"/>
      <c r="H2565" s="68">
        <f>H1850/'Terms and Turnovers'!$AX188</f>
        <v>0</v>
      </c>
      <c r="I2565" s="107"/>
      <c r="J2565" s="68">
        <f>J1850/'Terms and Turnovers'!$AX188</f>
        <v>0</v>
      </c>
      <c r="K2565" s="107"/>
      <c r="L2565" s="68">
        <f>L1850/'Terms and Turnovers'!$AX188</f>
        <v>0</v>
      </c>
      <c r="M2565" s="107"/>
      <c r="N2565" s="68">
        <f>N1850/'Terms and Turnovers'!$AX188</f>
        <v>0</v>
      </c>
      <c r="O2565" s="107"/>
      <c r="P2565" s="68">
        <f>P1850/'Terms and Turnovers'!$AX188</f>
        <v>0</v>
      </c>
      <c r="Q2565" s="107"/>
      <c r="R2565" s="135">
        <f>SUM(F2565,H2565,J2565,L2565,N2565,P2565)</f>
        <v>0</v>
      </c>
      <c r="S2565" s="107"/>
      <c r="T2565" s="68">
        <f>T1850/'Terms and Turnovers'!$AX188</f>
        <v>0</v>
      </c>
      <c r="U2565" s="111"/>
      <c r="V2565" s="68">
        <f>V1850/'Terms and Turnovers'!$AX188</f>
        <v>0</v>
      </c>
      <c r="W2565" s="107"/>
      <c r="X2565" s="68">
        <f>X1850/'Terms and Turnovers'!$AX188</f>
        <v>0</v>
      </c>
      <c r="Y2565" s="107"/>
      <c r="Z2565" s="68">
        <f>Z1850/'Terms and Turnovers'!$AX188</f>
        <v>0</v>
      </c>
      <c r="AA2565" s="107"/>
      <c r="AB2565" s="68">
        <f>AB1850/'Terms and Turnovers'!$AX188</f>
        <v>0</v>
      </c>
      <c r="AC2565" s="107"/>
      <c r="AD2565" s="68">
        <f>AD1850/'Terms and Turnovers'!$AX188</f>
        <v>0</v>
      </c>
      <c r="AE2565" s="107"/>
      <c r="AF2565" s="135">
        <f>SUM(T2565,V2565,X2565,Z2565,AB2565,AD2565)</f>
        <v>0</v>
      </c>
      <c r="AG2565" s="107"/>
      <c r="AH2565" s="136">
        <f>SUM(AF2565,R2565)</f>
        <v>0</v>
      </c>
      <c r="AI2565" s="107"/>
      <c r="AJ2565" s="65"/>
      <c r="AV2565" s="56"/>
    </row>
    <row r="2566" spans="2:48" ht="13.5" hidden="1" customHeight="1" outlineLevel="2">
      <c r="B2566" s="82"/>
      <c r="C2566" s="425"/>
      <c r="D2566" s="425"/>
      <c r="E2566" s="634"/>
      <c r="F2566" s="635"/>
      <c r="G2566" s="428"/>
      <c r="H2566" s="635"/>
      <c r="I2566" s="428"/>
      <c r="J2566" s="635"/>
      <c r="K2566" s="636"/>
      <c r="L2566" s="635"/>
      <c r="M2566" s="636"/>
      <c r="N2566" s="635"/>
      <c r="O2566" s="636"/>
      <c r="P2566" s="635"/>
      <c r="Q2566" s="636"/>
      <c r="R2566" s="637"/>
      <c r="S2566" s="698">
        <f>SUM(R1846:R1850)/1.18-(SUM(R2561:R2565)*'Mark Up Validation'!$M$175)</f>
        <v>0</v>
      </c>
      <c r="T2566" s="635"/>
      <c r="U2566" s="636"/>
      <c r="V2566" s="635"/>
      <c r="W2566" s="636"/>
      <c r="X2566" s="635"/>
      <c r="Y2566" s="636"/>
      <c r="Z2566" s="635"/>
      <c r="AA2566" s="636"/>
      <c r="AB2566" s="635"/>
      <c r="AC2566" s="636"/>
      <c r="AD2566" s="635"/>
      <c r="AE2566" s="636"/>
      <c r="AF2566" s="637"/>
      <c r="AG2566" s="698">
        <f>SUM(AF1846:AF1850)/1.18-SUM(AF2561:AF2565)*'Mark Up Validation'!$M$175</f>
        <v>0</v>
      </c>
      <c r="AH2566" s="638"/>
      <c r="AI2566" s="698">
        <f>SUM(AH1846:AH1850)/1.18-SUM(AH2561:AH2565)*'Mark Up Validation'!$M$175</f>
        <v>0</v>
      </c>
      <c r="AJ2566" s="65"/>
      <c r="AV2566" s="56"/>
    </row>
    <row r="2567" spans="2:48" ht="13.5" hidden="1" customHeight="1" outlineLevel="2" thickBot="1">
      <c r="B2567" s="82"/>
      <c r="C2567" s="1228" t="s">
        <v>538</v>
      </c>
      <c r="D2567" s="1229"/>
      <c r="E2567" s="699"/>
      <c r="F2567" s="700"/>
      <c r="G2567" s="701"/>
      <c r="H2567" s="700"/>
      <c r="I2567" s="701"/>
      <c r="J2567" s="700"/>
      <c r="K2567" s="702"/>
      <c r="L2567" s="700"/>
      <c r="M2567" s="702"/>
      <c r="N2567" s="700"/>
      <c r="O2567" s="702"/>
      <c r="P2567" s="700"/>
      <c r="Q2567" s="702"/>
      <c r="R2567" s="703"/>
      <c r="S2567" s="729">
        <f>IF(S2566&gt;0,S2566/(SUM(R1846:R1850)/1.18),0)</f>
        <v>0</v>
      </c>
      <c r="T2567" s="700"/>
      <c r="U2567" s="702"/>
      <c r="V2567" s="700"/>
      <c r="W2567" s="702"/>
      <c r="X2567" s="700"/>
      <c r="Y2567" s="702"/>
      <c r="Z2567" s="700"/>
      <c r="AA2567" s="702"/>
      <c r="AB2567" s="700"/>
      <c r="AC2567" s="702"/>
      <c r="AD2567" s="700"/>
      <c r="AE2567" s="702"/>
      <c r="AF2567" s="705"/>
      <c r="AG2567" s="729">
        <f>IF(AG2566&gt;0,AG2566/(SUM(AF1846:AF1850)/1.18),0)</f>
        <v>0</v>
      </c>
      <c r="AH2567" s="706"/>
      <c r="AI2567" s="729">
        <f>IF(AI2566&gt;0,AI2566/(SUM(AH1846:AH1850)/1.18),0)</f>
        <v>0</v>
      </c>
      <c r="AJ2567" s="65"/>
      <c r="AV2567" s="56"/>
    </row>
    <row r="2568" spans="2:48" ht="12.75" hidden="1" customHeight="1" outlineLevel="2">
      <c r="B2568" s="82">
        <f>B2561+1</f>
        <v>58</v>
      </c>
      <c r="C2568" s="1233">
        <f>C1853</f>
        <v>0</v>
      </c>
      <c r="D2568" s="1233">
        <f>D1853</f>
        <v>0</v>
      </c>
      <c r="E2568" s="83" t="str">
        <f>'Terms and Turnovers'!$J$12</f>
        <v>FLIP-FLOPS</v>
      </c>
      <c r="F2568" s="68">
        <f>F1853/'Terms and Turnovers'!$J189</f>
        <v>0</v>
      </c>
      <c r="G2568" s="106"/>
      <c r="H2568" s="68">
        <f>H1853/'Terms and Turnovers'!$J189</f>
        <v>0</v>
      </c>
      <c r="I2568" s="106"/>
      <c r="J2568" s="68">
        <f>J1853/'Terms and Turnovers'!$J189</f>
        <v>0</v>
      </c>
      <c r="K2568" s="106"/>
      <c r="L2568" s="68">
        <f>L1853/'Terms and Turnovers'!$J189</f>
        <v>0</v>
      </c>
      <c r="M2568" s="106"/>
      <c r="N2568" s="68">
        <f>N1853/'Terms and Turnovers'!$J189</f>
        <v>0</v>
      </c>
      <c r="O2568" s="106"/>
      <c r="P2568" s="68">
        <f>P1853/'Terms and Turnovers'!$J189</f>
        <v>0</v>
      </c>
      <c r="Q2568" s="106"/>
      <c r="R2568" s="129">
        <f>SUM(F2568,H2568,J2568,L2568,N2568,P2568)</f>
        <v>0</v>
      </c>
      <c r="S2568" s="106"/>
      <c r="T2568" s="68">
        <f>T1853/'Terms and Turnovers'!$J189</f>
        <v>0</v>
      </c>
      <c r="U2568" s="106"/>
      <c r="V2568" s="68">
        <f>V1853/'Terms and Turnovers'!$J189</f>
        <v>0</v>
      </c>
      <c r="W2568" s="106"/>
      <c r="X2568" s="68">
        <f>X1853/'Terms and Turnovers'!$J189</f>
        <v>0</v>
      </c>
      <c r="Y2568" s="106"/>
      <c r="Z2568" s="68">
        <f>Z1853/'Terms and Turnovers'!$J189</f>
        <v>0</v>
      </c>
      <c r="AA2568" s="106"/>
      <c r="AB2568" s="68">
        <f>AB1853/'Terms and Turnovers'!$J189</f>
        <v>0</v>
      </c>
      <c r="AC2568" s="106"/>
      <c r="AD2568" s="68">
        <f>AD1853/'Terms and Turnovers'!$J189</f>
        <v>0</v>
      </c>
      <c r="AE2568" s="106"/>
      <c r="AF2568" s="129">
        <f>SUM(T2568,V2568,X2568,Z2568,AB2568,AD2568)</f>
        <v>0</v>
      </c>
      <c r="AG2568" s="106"/>
      <c r="AH2568" s="130">
        <f>SUM(AF2568,R2568)</f>
        <v>0</v>
      </c>
      <c r="AI2568" s="106"/>
      <c r="AJ2568" s="65"/>
      <c r="AV2568" s="56"/>
    </row>
    <row r="2569" spans="2:48" ht="12.75" hidden="1" customHeight="1" outlineLevel="2" thickBot="1">
      <c r="B2569" s="82"/>
      <c r="C2569" s="1234"/>
      <c r="D2569" s="1234"/>
      <c r="E2569" s="84" t="str">
        <f>'Terms and Turnovers'!$T$12</f>
        <v>ORIGINALS</v>
      </c>
      <c r="F2569" s="70">
        <f>F1854/'Terms and Turnovers'!$T189</f>
        <v>0</v>
      </c>
      <c r="G2569" s="728"/>
      <c r="H2569" s="70">
        <f>H1854/'Terms and Turnovers'!$T189</f>
        <v>0</v>
      </c>
      <c r="I2569" s="728"/>
      <c r="J2569" s="70">
        <f>J1854/'Terms and Turnovers'!$T189</f>
        <v>0</v>
      </c>
      <c r="K2569" s="728"/>
      <c r="L2569" s="70">
        <f>L1854/'Terms and Turnovers'!$T189</f>
        <v>0</v>
      </c>
      <c r="M2569" s="728"/>
      <c r="N2569" s="70">
        <f>N1854/'Terms and Turnovers'!$T189</f>
        <v>0</v>
      </c>
      <c r="O2569" s="728"/>
      <c r="P2569" s="70">
        <f>P1854/'Terms and Turnovers'!$T189</f>
        <v>0</v>
      </c>
      <c r="Q2569" s="728"/>
      <c r="R2569" s="132">
        <f>SUM(F2569,H2569,J2569,L2569,N2569,P2569)</f>
        <v>0</v>
      </c>
      <c r="S2569" s="728"/>
      <c r="T2569" s="70">
        <f>T1854/'Terms and Turnovers'!$T189</f>
        <v>0</v>
      </c>
      <c r="U2569" s="728"/>
      <c r="V2569" s="70">
        <f>V1854/'Terms and Turnovers'!$T189</f>
        <v>0</v>
      </c>
      <c r="W2569" s="728"/>
      <c r="X2569" s="70">
        <f>X1854/'Terms and Turnovers'!$T189</f>
        <v>0</v>
      </c>
      <c r="Y2569" s="728"/>
      <c r="Z2569" s="70">
        <f>Z1854/'Terms and Turnovers'!$T189</f>
        <v>0</v>
      </c>
      <c r="AA2569" s="728"/>
      <c r="AB2569" s="70">
        <f>AB1854/'Terms and Turnovers'!$T189</f>
        <v>0</v>
      </c>
      <c r="AC2569" s="728"/>
      <c r="AD2569" s="70">
        <f>AD1854/'Terms and Turnovers'!$T189</f>
        <v>0</v>
      </c>
      <c r="AE2569" s="728"/>
      <c r="AF2569" s="132">
        <f>SUM(T2569,V2569,X2569,Z2569,AB2569,AD2569)</f>
        <v>0</v>
      </c>
      <c r="AG2569" s="728"/>
      <c r="AH2569" s="133">
        <f>SUM(AF2569,R2569)</f>
        <v>0</v>
      </c>
      <c r="AI2569" s="728"/>
      <c r="AJ2569" s="65"/>
      <c r="AV2569" s="56"/>
    </row>
    <row r="2570" spans="2:48" ht="12.75" hidden="1" customHeight="1" outlineLevel="2">
      <c r="B2570" s="82"/>
      <c r="C2570" s="1234"/>
      <c r="D2570" s="1234"/>
      <c r="E2570" s="84" t="str">
        <f>'Terms and Turnovers'!$AD$12</f>
        <v>ACCESSORIES</v>
      </c>
      <c r="F2570" s="68">
        <f>F1855/'Terms and Turnovers'!$AD189</f>
        <v>0</v>
      </c>
      <c r="G2570" s="728"/>
      <c r="H2570" s="68">
        <f>H1855/'Terms and Turnovers'!$AD189</f>
        <v>0</v>
      </c>
      <c r="I2570" s="728"/>
      <c r="J2570" s="68">
        <f>J1855/'Terms and Turnovers'!$AD189</f>
        <v>0</v>
      </c>
      <c r="K2570" s="728"/>
      <c r="L2570" s="68">
        <f>L1855/'Terms and Turnovers'!$AD189</f>
        <v>0</v>
      </c>
      <c r="M2570" s="728"/>
      <c r="N2570" s="68">
        <f>N1855/'Terms and Turnovers'!$AD189</f>
        <v>0</v>
      </c>
      <c r="O2570" s="728"/>
      <c r="P2570" s="68">
        <f>P1855/'Terms and Turnovers'!$AD189</f>
        <v>0</v>
      </c>
      <c r="Q2570" s="728"/>
      <c r="R2570" s="132">
        <f>SUM(F2570,H2570,J2570,L2570,N2570,P2570)</f>
        <v>0</v>
      </c>
      <c r="S2570" s="728"/>
      <c r="T2570" s="68">
        <f>T1855/'Terms and Turnovers'!$AD189</f>
        <v>0</v>
      </c>
      <c r="U2570" s="728"/>
      <c r="V2570" s="68">
        <f>V1855/'Terms and Turnovers'!$AD189</f>
        <v>0</v>
      </c>
      <c r="W2570" s="728"/>
      <c r="X2570" s="68">
        <f>X1855/'Terms and Turnovers'!$AD189</f>
        <v>0</v>
      </c>
      <c r="Y2570" s="728"/>
      <c r="Z2570" s="68">
        <f>Z1855/'Terms and Turnovers'!$AD189</f>
        <v>0</v>
      </c>
      <c r="AA2570" s="728"/>
      <c r="AB2570" s="68">
        <f>AB1855/'Terms and Turnovers'!$AD189</f>
        <v>0</v>
      </c>
      <c r="AC2570" s="728"/>
      <c r="AD2570" s="68">
        <f>AD1855/'Terms and Turnovers'!$AD189</f>
        <v>0</v>
      </c>
      <c r="AE2570" s="728"/>
      <c r="AF2570" s="132">
        <f>SUM(T2570,V2570,X2570,Z2570,AB2570,AD2570)</f>
        <v>0</v>
      </c>
      <c r="AG2570" s="728"/>
      <c r="AH2570" s="133">
        <f>SUM(AF2570,R2570)</f>
        <v>0</v>
      </c>
      <c r="AI2570" s="728"/>
      <c r="AJ2570" s="65"/>
      <c r="AV2570" s="56"/>
    </row>
    <row r="2571" spans="2:48" ht="12.75" hidden="1" customHeight="1" outlineLevel="2" thickBot="1">
      <c r="B2571" s="82"/>
      <c r="C2571" s="1234"/>
      <c r="D2571" s="1234"/>
      <c r="E2571" s="84">
        <f>'Terms and Turnovers'!$AN$12</f>
        <v>0</v>
      </c>
      <c r="F2571" s="70">
        <f>F1856/'Terms and Turnovers'!$AN189</f>
        <v>0</v>
      </c>
      <c r="G2571" s="728"/>
      <c r="H2571" s="70">
        <f>H1856/'Terms and Turnovers'!$AN189</f>
        <v>0</v>
      </c>
      <c r="I2571" s="728"/>
      <c r="J2571" s="70">
        <f>J1856/'Terms and Turnovers'!$AN189</f>
        <v>0</v>
      </c>
      <c r="K2571" s="728"/>
      <c r="L2571" s="70">
        <f>L1856/'Terms and Turnovers'!$AN189</f>
        <v>0</v>
      </c>
      <c r="M2571" s="728"/>
      <c r="N2571" s="70">
        <f>N1856/'Terms and Turnovers'!$AN189</f>
        <v>0</v>
      </c>
      <c r="O2571" s="728"/>
      <c r="P2571" s="70">
        <f>P1856/'Terms and Turnovers'!$AN189</f>
        <v>0</v>
      </c>
      <c r="Q2571" s="728"/>
      <c r="R2571" s="132">
        <f>SUM(F2571,H2571,J2571,L2571,N2571,P2571)</f>
        <v>0</v>
      </c>
      <c r="S2571" s="728"/>
      <c r="T2571" s="70">
        <f>T1856/'Terms and Turnovers'!$AN189</f>
        <v>0</v>
      </c>
      <c r="U2571" s="728"/>
      <c r="V2571" s="70">
        <f>V1856/'Terms and Turnovers'!$AN189</f>
        <v>0</v>
      </c>
      <c r="W2571" s="728"/>
      <c r="X2571" s="70">
        <f>X1856/'Terms and Turnovers'!$AN189</f>
        <v>0</v>
      </c>
      <c r="Y2571" s="728"/>
      <c r="Z2571" s="70">
        <f>Z1856/'Terms and Turnovers'!$AN189</f>
        <v>0</v>
      </c>
      <c r="AA2571" s="728"/>
      <c r="AB2571" s="70">
        <f>AB1856/'Terms and Turnovers'!$AN189</f>
        <v>0</v>
      </c>
      <c r="AC2571" s="728"/>
      <c r="AD2571" s="70">
        <f>AD1856/'Terms and Turnovers'!$AN189</f>
        <v>0</v>
      </c>
      <c r="AE2571" s="728"/>
      <c r="AF2571" s="132">
        <f>SUM(T2571,V2571,X2571,Z2571,AB2571,AD2571)</f>
        <v>0</v>
      </c>
      <c r="AG2571" s="728"/>
      <c r="AH2571" s="133">
        <f>SUM(AF2571,R2571)</f>
        <v>0</v>
      </c>
      <c r="AI2571" s="728"/>
      <c r="AJ2571" s="65"/>
      <c r="AV2571" s="56"/>
    </row>
    <row r="2572" spans="2:48" ht="13.5" hidden="1" customHeight="1" outlineLevel="2" thickBot="1">
      <c r="B2572" s="82"/>
      <c r="C2572" s="1235"/>
      <c r="D2572" s="1235"/>
      <c r="E2572" s="85">
        <f>'Terms and Turnovers'!$AX$12</f>
        <v>0</v>
      </c>
      <c r="F2572" s="68">
        <f>F1857/'Terms and Turnovers'!$AX189</f>
        <v>0</v>
      </c>
      <c r="G2572" s="111"/>
      <c r="H2572" s="68">
        <f>H1857/'Terms and Turnovers'!$AX189</f>
        <v>0</v>
      </c>
      <c r="I2572" s="107"/>
      <c r="J2572" s="68">
        <f>J1857/'Terms and Turnovers'!$AX189</f>
        <v>0</v>
      </c>
      <c r="K2572" s="107"/>
      <c r="L2572" s="68">
        <f>L1857/'Terms and Turnovers'!$AX189</f>
        <v>0</v>
      </c>
      <c r="M2572" s="107"/>
      <c r="N2572" s="68">
        <f>N1857/'Terms and Turnovers'!$AX189</f>
        <v>0</v>
      </c>
      <c r="O2572" s="107"/>
      <c r="P2572" s="68">
        <f>P1857/'Terms and Turnovers'!$AX189</f>
        <v>0</v>
      </c>
      <c r="Q2572" s="107"/>
      <c r="R2572" s="135">
        <f>SUM(F2572,H2572,J2572,L2572,N2572,P2572)</f>
        <v>0</v>
      </c>
      <c r="S2572" s="107"/>
      <c r="T2572" s="68">
        <f>T1857/'Terms and Turnovers'!$AX189</f>
        <v>0</v>
      </c>
      <c r="U2572" s="111"/>
      <c r="V2572" s="68">
        <f>V1857/'Terms and Turnovers'!$AX189</f>
        <v>0</v>
      </c>
      <c r="W2572" s="107"/>
      <c r="X2572" s="68">
        <f>X1857/'Terms and Turnovers'!$AX189</f>
        <v>0</v>
      </c>
      <c r="Y2572" s="107"/>
      <c r="Z2572" s="68">
        <f>Z1857/'Terms and Turnovers'!$AX189</f>
        <v>0</v>
      </c>
      <c r="AA2572" s="107"/>
      <c r="AB2572" s="68">
        <f>AB1857/'Terms and Turnovers'!$AX189</f>
        <v>0</v>
      </c>
      <c r="AC2572" s="107"/>
      <c r="AD2572" s="68">
        <f>AD1857/'Terms and Turnovers'!$AX189</f>
        <v>0</v>
      </c>
      <c r="AE2572" s="107"/>
      <c r="AF2572" s="135">
        <f>SUM(T2572,V2572,X2572,Z2572,AB2572,AD2572)</f>
        <v>0</v>
      </c>
      <c r="AG2572" s="107"/>
      <c r="AH2572" s="136">
        <f>SUM(AF2572,R2572)</f>
        <v>0</v>
      </c>
      <c r="AI2572" s="107"/>
      <c r="AJ2572" s="65"/>
      <c r="AV2572" s="56"/>
    </row>
    <row r="2573" spans="2:48" ht="13.5" hidden="1" customHeight="1" outlineLevel="2">
      <c r="B2573" s="82"/>
      <c r="C2573" s="425"/>
      <c r="D2573" s="425"/>
      <c r="E2573" s="634"/>
      <c r="F2573" s="635"/>
      <c r="G2573" s="428"/>
      <c r="H2573" s="635"/>
      <c r="I2573" s="428"/>
      <c r="J2573" s="635"/>
      <c r="K2573" s="636"/>
      <c r="L2573" s="635"/>
      <c r="M2573" s="636"/>
      <c r="N2573" s="635"/>
      <c r="O2573" s="636"/>
      <c r="P2573" s="635"/>
      <c r="Q2573" s="636"/>
      <c r="R2573" s="637"/>
      <c r="S2573" s="698">
        <f>SUM(R1853:R1857)/1.18-(SUM(R2568:R2572)*'Mark Up Validation'!$M$175)</f>
        <v>0</v>
      </c>
      <c r="T2573" s="635"/>
      <c r="U2573" s="636"/>
      <c r="V2573" s="635"/>
      <c r="W2573" s="636"/>
      <c r="X2573" s="635"/>
      <c r="Y2573" s="636"/>
      <c r="Z2573" s="635"/>
      <c r="AA2573" s="636"/>
      <c r="AB2573" s="635"/>
      <c r="AC2573" s="636"/>
      <c r="AD2573" s="635"/>
      <c r="AE2573" s="636"/>
      <c r="AF2573" s="637"/>
      <c r="AG2573" s="698">
        <f>SUM(AF1853:AF1857)/1.18-SUM(AF2568:AF2572)*'Mark Up Validation'!$M$175</f>
        <v>0</v>
      </c>
      <c r="AH2573" s="638"/>
      <c r="AI2573" s="698">
        <f>SUM(AH1853:AH1857)/1.18-SUM(AH2568:AH2572)*'Mark Up Validation'!$M$175</f>
        <v>0</v>
      </c>
      <c r="AJ2573" s="65"/>
      <c r="AV2573" s="56"/>
    </row>
    <row r="2574" spans="2:48" ht="13.5" hidden="1" customHeight="1" outlineLevel="2" thickBot="1">
      <c r="B2574" s="82"/>
      <c r="C2574" s="1228" t="s">
        <v>538</v>
      </c>
      <c r="D2574" s="1229"/>
      <c r="E2574" s="699"/>
      <c r="F2574" s="700"/>
      <c r="G2574" s="701"/>
      <c r="H2574" s="700"/>
      <c r="I2574" s="701"/>
      <c r="J2574" s="700"/>
      <c r="K2574" s="702"/>
      <c r="L2574" s="700"/>
      <c r="M2574" s="702"/>
      <c r="N2574" s="700"/>
      <c r="O2574" s="702"/>
      <c r="P2574" s="700"/>
      <c r="Q2574" s="702"/>
      <c r="R2574" s="703"/>
      <c r="S2574" s="729">
        <f>IF(S2573&gt;0,S2573/(SUM(R1853:R1857)/1.18),0)</f>
        <v>0</v>
      </c>
      <c r="T2574" s="700"/>
      <c r="U2574" s="702"/>
      <c r="V2574" s="700"/>
      <c r="W2574" s="702"/>
      <c r="X2574" s="700"/>
      <c r="Y2574" s="702"/>
      <c r="Z2574" s="700"/>
      <c r="AA2574" s="702"/>
      <c r="AB2574" s="700"/>
      <c r="AC2574" s="702"/>
      <c r="AD2574" s="700"/>
      <c r="AE2574" s="702"/>
      <c r="AF2574" s="705"/>
      <c r="AG2574" s="729">
        <f>IF(AG2573&gt;0,AG2573/(SUM(AF1853:AF1857)/1.18),0)</f>
        <v>0</v>
      </c>
      <c r="AH2574" s="706"/>
      <c r="AI2574" s="729">
        <f>IF(AI2573&gt;0,AI2573/(SUM(AH1853:AH1857)/1.18),0)</f>
        <v>0</v>
      </c>
      <c r="AJ2574" s="65"/>
      <c r="AV2574" s="56"/>
    </row>
    <row r="2575" spans="2:48" ht="12.75" hidden="1" customHeight="1" outlineLevel="2">
      <c r="B2575" s="82">
        <f>B2568+1</f>
        <v>59</v>
      </c>
      <c r="C2575" s="1233">
        <f>C1860</f>
        <v>0</v>
      </c>
      <c r="D2575" s="1233">
        <f>D1860</f>
        <v>0</v>
      </c>
      <c r="E2575" s="83" t="str">
        <f>'Terms and Turnovers'!$J$12</f>
        <v>FLIP-FLOPS</v>
      </c>
      <c r="F2575" s="68">
        <f>F1860/'Terms and Turnovers'!$J190</f>
        <v>0</v>
      </c>
      <c r="G2575" s="106"/>
      <c r="H2575" s="68">
        <f>H1860/'Terms and Turnovers'!$J190</f>
        <v>0</v>
      </c>
      <c r="I2575" s="106"/>
      <c r="J2575" s="68">
        <f>J1860/'Terms and Turnovers'!$J190</f>
        <v>0</v>
      </c>
      <c r="K2575" s="106"/>
      <c r="L2575" s="68">
        <f>L1860/'Terms and Turnovers'!$J190</f>
        <v>0</v>
      </c>
      <c r="M2575" s="106"/>
      <c r="N2575" s="68">
        <f>N1860/'Terms and Turnovers'!$J190</f>
        <v>0</v>
      </c>
      <c r="O2575" s="106"/>
      <c r="P2575" s="68">
        <f>P1860/'Terms and Turnovers'!$J190</f>
        <v>0</v>
      </c>
      <c r="Q2575" s="106"/>
      <c r="R2575" s="129">
        <f>SUM(F2575,H2575,J2575,L2575,N2575,P2575)</f>
        <v>0</v>
      </c>
      <c r="S2575" s="106"/>
      <c r="T2575" s="68">
        <f>T1860/'Terms and Turnovers'!$J190</f>
        <v>0</v>
      </c>
      <c r="U2575" s="106"/>
      <c r="V2575" s="68">
        <f>V1860/'Terms and Turnovers'!$J190</f>
        <v>0</v>
      </c>
      <c r="W2575" s="106"/>
      <c r="X2575" s="68">
        <f>X1860/'Terms and Turnovers'!$J190</f>
        <v>0</v>
      </c>
      <c r="Y2575" s="106"/>
      <c r="Z2575" s="68">
        <f>Z1860/'Terms and Turnovers'!$J190</f>
        <v>0</v>
      </c>
      <c r="AA2575" s="106"/>
      <c r="AB2575" s="68">
        <f>AB1860/'Terms and Turnovers'!$J190</f>
        <v>0</v>
      </c>
      <c r="AC2575" s="106"/>
      <c r="AD2575" s="68">
        <f>AD1860/'Terms and Turnovers'!$J190</f>
        <v>0</v>
      </c>
      <c r="AE2575" s="106"/>
      <c r="AF2575" s="129">
        <f>SUM(T2575,V2575,X2575,Z2575,AB2575,AD2575)</f>
        <v>0</v>
      </c>
      <c r="AG2575" s="106"/>
      <c r="AH2575" s="130">
        <f>SUM(AF2575,R2575)</f>
        <v>0</v>
      </c>
      <c r="AI2575" s="106"/>
      <c r="AJ2575" s="65"/>
      <c r="AV2575" s="56"/>
    </row>
    <row r="2576" spans="2:48" ht="12.75" hidden="1" customHeight="1" outlineLevel="2" thickBot="1">
      <c r="B2576" s="82"/>
      <c r="C2576" s="1234"/>
      <c r="D2576" s="1234"/>
      <c r="E2576" s="84" t="str">
        <f>'Terms and Turnovers'!$T$12</f>
        <v>ORIGINALS</v>
      </c>
      <c r="F2576" s="70">
        <f>F1861/'Terms and Turnovers'!$T190</f>
        <v>0</v>
      </c>
      <c r="G2576" s="728"/>
      <c r="H2576" s="70">
        <f>H1861/'Terms and Turnovers'!$T190</f>
        <v>0</v>
      </c>
      <c r="I2576" s="728"/>
      <c r="J2576" s="70">
        <f>J1861/'Terms and Turnovers'!$T190</f>
        <v>0</v>
      </c>
      <c r="K2576" s="728"/>
      <c r="L2576" s="70">
        <f>L1861/'Terms and Turnovers'!$T190</f>
        <v>0</v>
      </c>
      <c r="M2576" s="728"/>
      <c r="N2576" s="70">
        <f>N1861/'Terms and Turnovers'!$T190</f>
        <v>0</v>
      </c>
      <c r="O2576" s="728"/>
      <c r="P2576" s="70">
        <f>P1861/'Terms and Turnovers'!$T190</f>
        <v>0</v>
      </c>
      <c r="Q2576" s="728"/>
      <c r="R2576" s="132">
        <f>SUM(F2576,H2576,J2576,L2576,N2576,P2576)</f>
        <v>0</v>
      </c>
      <c r="S2576" s="728"/>
      <c r="T2576" s="70">
        <f>T1861/'Terms and Turnovers'!$T190</f>
        <v>0</v>
      </c>
      <c r="U2576" s="728"/>
      <c r="V2576" s="70">
        <f>V1861/'Terms and Turnovers'!$T190</f>
        <v>0</v>
      </c>
      <c r="W2576" s="728"/>
      <c r="X2576" s="70">
        <f>X1861/'Terms and Turnovers'!$T190</f>
        <v>0</v>
      </c>
      <c r="Y2576" s="728"/>
      <c r="Z2576" s="70">
        <f>Z1861/'Terms and Turnovers'!$T190</f>
        <v>0</v>
      </c>
      <c r="AA2576" s="728"/>
      <c r="AB2576" s="70">
        <f>AB1861/'Terms and Turnovers'!$T190</f>
        <v>0</v>
      </c>
      <c r="AC2576" s="728"/>
      <c r="AD2576" s="70">
        <f>AD1861/'Terms and Turnovers'!$T190</f>
        <v>0</v>
      </c>
      <c r="AE2576" s="728"/>
      <c r="AF2576" s="132">
        <f>SUM(T2576,V2576,X2576,Z2576,AB2576,AD2576)</f>
        <v>0</v>
      </c>
      <c r="AG2576" s="728"/>
      <c r="AH2576" s="133">
        <f>SUM(AF2576,R2576)</f>
        <v>0</v>
      </c>
      <c r="AI2576" s="728"/>
      <c r="AJ2576" s="65"/>
      <c r="AV2576" s="56"/>
    </row>
    <row r="2577" spans="2:48" ht="12.75" hidden="1" customHeight="1" outlineLevel="2">
      <c r="B2577" s="82"/>
      <c r="C2577" s="1234"/>
      <c r="D2577" s="1234"/>
      <c r="E2577" s="84" t="str">
        <f>'Terms and Turnovers'!$AD$12</f>
        <v>ACCESSORIES</v>
      </c>
      <c r="F2577" s="68">
        <f>F1862/'Terms and Turnovers'!$AD190</f>
        <v>0</v>
      </c>
      <c r="G2577" s="728"/>
      <c r="H2577" s="68">
        <f>H1862/'Terms and Turnovers'!$AD190</f>
        <v>0</v>
      </c>
      <c r="I2577" s="728"/>
      <c r="J2577" s="68">
        <f>J1862/'Terms and Turnovers'!$AD190</f>
        <v>0</v>
      </c>
      <c r="K2577" s="728"/>
      <c r="L2577" s="68">
        <f>L1862/'Terms and Turnovers'!$AD190</f>
        <v>0</v>
      </c>
      <c r="M2577" s="728"/>
      <c r="N2577" s="68">
        <f>N1862/'Terms and Turnovers'!$AD190</f>
        <v>0</v>
      </c>
      <c r="O2577" s="728"/>
      <c r="P2577" s="68">
        <f>P1862/'Terms and Turnovers'!$AD190</f>
        <v>0</v>
      </c>
      <c r="Q2577" s="728"/>
      <c r="R2577" s="132">
        <f>SUM(F2577,H2577,J2577,L2577,N2577,P2577)</f>
        <v>0</v>
      </c>
      <c r="S2577" s="728"/>
      <c r="T2577" s="68">
        <f>T1862/'Terms and Turnovers'!$AD190</f>
        <v>0</v>
      </c>
      <c r="U2577" s="728"/>
      <c r="V2577" s="68">
        <f>V1862/'Terms and Turnovers'!$AD190</f>
        <v>0</v>
      </c>
      <c r="W2577" s="728"/>
      <c r="X2577" s="68">
        <f>X1862/'Terms and Turnovers'!$AD190</f>
        <v>0</v>
      </c>
      <c r="Y2577" s="728"/>
      <c r="Z2577" s="68">
        <f>Z1862/'Terms and Turnovers'!$AD190</f>
        <v>0</v>
      </c>
      <c r="AA2577" s="728"/>
      <c r="AB2577" s="68">
        <f>AB1862/'Terms and Turnovers'!$AD190</f>
        <v>0</v>
      </c>
      <c r="AC2577" s="728"/>
      <c r="AD2577" s="68">
        <f>AD1862/'Terms and Turnovers'!$AD190</f>
        <v>0</v>
      </c>
      <c r="AE2577" s="728"/>
      <c r="AF2577" s="132">
        <f>SUM(T2577,V2577,X2577,Z2577,AB2577,AD2577)</f>
        <v>0</v>
      </c>
      <c r="AG2577" s="728"/>
      <c r="AH2577" s="133">
        <f>SUM(AF2577,R2577)</f>
        <v>0</v>
      </c>
      <c r="AI2577" s="728"/>
      <c r="AJ2577" s="65"/>
      <c r="AV2577" s="56"/>
    </row>
    <row r="2578" spans="2:48" ht="12.75" hidden="1" customHeight="1" outlineLevel="2" thickBot="1">
      <c r="B2578" s="82"/>
      <c r="C2578" s="1234"/>
      <c r="D2578" s="1234"/>
      <c r="E2578" s="84">
        <f>'Terms and Turnovers'!$AN$12</f>
        <v>0</v>
      </c>
      <c r="F2578" s="70">
        <f>F1863/'Terms and Turnovers'!$AN190</f>
        <v>0</v>
      </c>
      <c r="G2578" s="728"/>
      <c r="H2578" s="70">
        <f>H1863/'Terms and Turnovers'!$AN190</f>
        <v>0</v>
      </c>
      <c r="I2578" s="728"/>
      <c r="J2578" s="70">
        <f>J1863/'Terms and Turnovers'!$AN190</f>
        <v>0</v>
      </c>
      <c r="K2578" s="728"/>
      <c r="L2578" s="70">
        <f>L1863/'Terms and Turnovers'!$AN190</f>
        <v>0</v>
      </c>
      <c r="M2578" s="728"/>
      <c r="N2578" s="70">
        <f>N1863/'Terms and Turnovers'!$AN190</f>
        <v>0</v>
      </c>
      <c r="O2578" s="728"/>
      <c r="P2578" s="70">
        <f>P1863/'Terms and Turnovers'!$AN190</f>
        <v>0</v>
      </c>
      <c r="Q2578" s="728"/>
      <c r="R2578" s="132">
        <f>SUM(F2578,H2578,J2578,L2578,N2578,P2578)</f>
        <v>0</v>
      </c>
      <c r="S2578" s="728"/>
      <c r="T2578" s="70">
        <f>T1863/'Terms and Turnovers'!$AN190</f>
        <v>0</v>
      </c>
      <c r="U2578" s="728"/>
      <c r="V2578" s="70">
        <f>V1863/'Terms and Turnovers'!$AN190</f>
        <v>0</v>
      </c>
      <c r="W2578" s="728"/>
      <c r="X2578" s="70">
        <f>X1863/'Terms and Turnovers'!$AN190</f>
        <v>0</v>
      </c>
      <c r="Y2578" s="728"/>
      <c r="Z2578" s="70">
        <f>Z1863/'Terms and Turnovers'!$AN190</f>
        <v>0</v>
      </c>
      <c r="AA2578" s="728"/>
      <c r="AB2578" s="70">
        <f>AB1863/'Terms and Turnovers'!$AN190</f>
        <v>0</v>
      </c>
      <c r="AC2578" s="728"/>
      <c r="AD2578" s="70">
        <f>AD1863/'Terms and Turnovers'!$AN190</f>
        <v>0</v>
      </c>
      <c r="AE2578" s="728"/>
      <c r="AF2578" s="132">
        <f>SUM(T2578,V2578,X2578,Z2578,AB2578,AD2578)</f>
        <v>0</v>
      </c>
      <c r="AG2578" s="728"/>
      <c r="AH2578" s="133">
        <f>SUM(AF2578,R2578)</f>
        <v>0</v>
      </c>
      <c r="AI2578" s="728"/>
      <c r="AJ2578" s="65"/>
      <c r="AV2578" s="56"/>
    </row>
    <row r="2579" spans="2:48" ht="13.5" hidden="1" customHeight="1" outlineLevel="2" thickBot="1">
      <c r="B2579" s="82"/>
      <c r="C2579" s="1235"/>
      <c r="D2579" s="1235"/>
      <c r="E2579" s="85">
        <f>'Terms and Turnovers'!$AX$12</f>
        <v>0</v>
      </c>
      <c r="F2579" s="68">
        <f>F1864/'Terms and Turnovers'!$AX190</f>
        <v>0</v>
      </c>
      <c r="G2579" s="111"/>
      <c r="H2579" s="68">
        <f>H1864/'Terms and Turnovers'!$AX190</f>
        <v>0</v>
      </c>
      <c r="I2579" s="107"/>
      <c r="J2579" s="68">
        <f>J1864/'Terms and Turnovers'!$AX190</f>
        <v>0</v>
      </c>
      <c r="K2579" s="107"/>
      <c r="L2579" s="68">
        <f>L1864/'Terms and Turnovers'!$AX190</f>
        <v>0</v>
      </c>
      <c r="M2579" s="107"/>
      <c r="N2579" s="68">
        <f>N1864/'Terms and Turnovers'!$AX190</f>
        <v>0</v>
      </c>
      <c r="O2579" s="107"/>
      <c r="P2579" s="68">
        <f>P1864/'Terms and Turnovers'!$AX190</f>
        <v>0</v>
      </c>
      <c r="Q2579" s="107"/>
      <c r="R2579" s="135">
        <f>SUM(F2579,H2579,J2579,L2579,N2579,P2579)</f>
        <v>0</v>
      </c>
      <c r="S2579" s="107"/>
      <c r="T2579" s="68">
        <f>T1864/'Terms and Turnovers'!$AX190</f>
        <v>0</v>
      </c>
      <c r="U2579" s="111"/>
      <c r="V2579" s="68">
        <f>V1864/'Terms and Turnovers'!$AX190</f>
        <v>0</v>
      </c>
      <c r="W2579" s="107"/>
      <c r="X2579" s="68">
        <f>X1864/'Terms and Turnovers'!$AX190</f>
        <v>0</v>
      </c>
      <c r="Y2579" s="107"/>
      <c r="Z2579" s="68">
        <f>Z1864/'Terms and Turnovers'!$AX190</f>
        <v>0</v>
      </c>
      <c r="AA2579" s="107"/>
      <c r="AB2579" s="68">
        <f>AB1864/'Terms and Turnovers'!$AX190</f>
        <v>0</v>
      </c>
      <c r="AC2579" s="107"/>
      <c r="AD2579" s="68">
        <f>AD1864/'Terms and Turnovers'!$AX190</f>
        <v>0</v>
      </c>
      <c r="AE2579" s="107"/>
      <c r="AF2579" s="135">
        <f>SUM(T2579,V2579,X2579,Z2579,AB2579,AD2579)</f>
        <v>0</v>
      </c>
      <c r="AG2579" s="107"/>
      <c r="AH2579" s="136">
        <f>SUM(AF2579,R2579)</f>
        <v>0</v>
      </c>
      <c r="AI2579" s="107"/>
      <c r="AJ2579" s="65"/>
      <c r="AV2579" s="56"/>
    </row>
    <row r="2580" spans="2:48" ht="13.5" hidden="1" customHeight="1" outlineLevel="2">
      <c r="B2580" s="82"/>
      <c r="C2580" s="425"/>
      <c r="D2580" s="425"/>
      <c r="E2580" s="634"/>
      <c r="F2580" s="635"/>
      <c r="G2580" s="428"/>
      <c r="H2580" s="635"/>
      <c r="I2580" s="428"/>
      <c r="J2580" s="635"/>
      <c r="K2580" s="636"/>
      <c r="L2580" s="635"/>
      <c r="M2580" s="636"/>
      <c r="N2580" s="635"/>
      <c r="O2580" s="636"/>
      <c r="P2580" s="635"/>
      <c r="Q2580" s="636"/>
      <c r="R2580" s="637"/>
      <c r="S2580" s="698">
        <f>SUM(R1860:R1864)/1.18-(SUM(R2575:R2579)*'Mark Up Validation'!$M$175)</f>
        <v>0</v>
      </c>
      <c r="T2580" s="635"/>
      <c r="U2580" s="636"/>
      <c r="V2580" s="635"/>
      <c r="W2580" s="636"/>
      <c r="X2580" s="635"/>
      <c r="Y2580" s="636"/>
      <c r="Z2580" s="635"/>
      <c r="AA2580" s="636"/>
      <c r="AB2580" s="635"/>
      <c r="AC2580" s="636"/>
      <c r="AD2580" s="635"/>
      <c r="AE2580" s="636"/>
      <c r="AF2580" s="637"/>
      <c r="AG2580" s="698">
        <f>SUM(AF1860:AF1864)/1.18-SUM(AF2575:AF2579)*'Mark Up Validation'!$M$175</f>
        <v>0</v>
      </c>
      <c r="AH2580" s="638"/>
      <c r="AI2580" s="698">
        <f>SUM(AH1860:AH1864)/1.18-SUM(AH2575:AH2579)*'Mark Up Validation'!$M$175</f>
        <v>0</v>
      </c>
      <c r="AJ2580" s="65"/>
      <c r="AV2580" s="56"/>
    </row>
    <row r="2581" spans="2:48" ht="13.5" hidden="1" customHeight="1" outlineLevel="2" thickBot="1">
      <c r="B2581" s="82"/>
      <c r="C2581" s="1228" t="s">
        <v>538</v>
      </c>
      <c r="D2581" s="1229"/>
      <c r="E2581" s="699"/>
      <c r="F2581" s="700"/>
      <c r="G2581" s="701"/>
      <c r="H2581" s="700"/>
      <c r="I2581" s="701"/>
      <c r="J2581" s="700"/>
      <c r="K2581" s="702"/>
      <c r="L2581" s="700"/>
      <c r="M2581" s="702"/>
      <c r="N2581" s="700"/>
      <c r="O2581" s="702"/>
      <c r="P2581" s="700"/>
      <c r="Q2581" s="702"/>
      <c r="R2581" s="703"/>
      <c r="S2581" s="729">
        <f>IF(S2580&gt;0,S2580/(SUM(R1860:R1864)/1.18),0)</f>
        <v>0</v>
      </c>
      <c r="T2581" s="700"/>
      <c r="U2581" s="702"/>
      <c r="V2581" s="700"/>
      <c r="W2581" s="702"/>
      <c r="X2581" s="700"/>
      <c r="Y2581" s="702"/>
      <c r="Z2581" s="700"/>
      <c r="AA2581" s="702"/>
      <c r="AB2581" s="700"/>
      <c r="AC2581" s="702"/>
      <c r="AD2581" s="700"/>
      <c r="AE2581" s="702"/>
      <c r="AF2581" s="705"/>
      <c r="AG2581" s="729">
        <f>IF(AG2580&gt;0,AG2580/(SUM(AF1860:AF1864)/1.18),0)</f>
        <v>0</v>
      </c>
      <c r="AH2581" s="706"/>
      <c r="AI2581" s="729">
        <f>IF(AI2580&gt;0,AI2580/(SUM(AH1860:AH1864)/1.18),0)</f>
        <v>0</v>
      </c>
      <c r="AJ2581" s="65"/>
      <c r="AV2581" s="56"/>
    </row>
    <row r="2582" spans="2:48" ht="12.75" hidden="1" customHeight="1" outlineLevel="2">
      <c r="B2582" s="82">
        <f>B2575+1</f>
        <v>60</v>
      </c>
      <c r="C2582" s="1233">
        <f>C1867</f>
        <v>0</v>
      </c>
      <c r="D2582" s="1233">
        <f>D1867</f>
        <v>0</v>
      </c>
      <c r="E2582" s="83" t="str">
        <f>'Terms and Turnovers'!$J$12</f>
        <v>FLIP-FLOPS</v>
      </c>
      <c r="F2582" s="68">
        <f>F1867/'Terms and Turnovers'!$J191</f>
        <v>0</v>
      </c>
      <c r="G2582" s="106"/>
      <c r="H2582" s="68">
        <f>H1867/'Terms and Turnovers'!$J191</f>
        <v>0</v>
      </c>
      <c r="I2582" s="106"/>
      <c r="J2582" s="68">
        <f>J1867/'Terms and Turnovers'!$J191</f>
        <v>0</v>
      </c>
      <c r="K2582" s="106"/>
      <c r="L2582" s="68">
        <f>L1867/'Terms and Turnovers'!$J191</f>
        <v>0</v>
      </c>
      <c r="M2582" s="106"/>
      <c r="N2582" s="68">
        <f>N1867/'Terms and Turnovers'!$J191</f>
        <v>0</v>
      </c>
      <c r="O2582" s="106"/>
      <c r="P2582" s="68">
        <f>P1867/'Terms and Turnovers'!$J191</f>
        <v>0</v>
      </c>
      <c r="Q2582" s="106"/>
      <c r="R2582" s="129">
        <f>SUM(F2582,H2582,J2582,L2582,N2582,P2582)</f>
        <v>0</v>
      </c>
      <c r="S2582" s="106"/>
      <c r="T2582" s="68">
        <f>T1867/'Terms and Turnovers'!$J191</f>
        <v>0</v>
      </c>
      <c r="U2582" s="106"/>
      <c r="V2582" s="68">
        <f>V1867/'Terms and Turnovers'!$J191</f>
        <v>0</v>
      </c>
      <c r="W2582" s="106"/>
      <c r="X2582" s="68">
        <f>X1867/'Terms and Turnovers'!$J191</f>
        <v>0</v>
      </c>
      <c r="Y2582" s="106"/>
      <c r="Z2582" s="68">
        <f>Z1867/'Terms and Turnovers'!$J191</f>
        <v>0</v>
      </c>
      <c r="AA2582" s="106"/>
      <c r="AB2582" s="68">
        <f>AB1867/'Terms and Turnovers'!$J191</f>
        <v>0</v>
      </c>
      <c r="AC2582" s="106"/>
      <c r="AD2582" s="68">
        <f>AD1867/'Terms and Turnovers'!$J191</f>
        <v>0</v>
      </c>
      <c r="AE2582" s="106"/>
      <c r="AF2582" s="129">
        <f>SUM(T2582,V2582,X2582,Z2582,AB2582,AD2582)</f>
        <v>0</v>
      </c>
      <c r="AG2582" s="106"/>
      <c r="AH2582" s="130">
        <f>SUM(AF2582,R2582)</f>
        <v>0</v>
      </c>
      <c r="AI2582" s="106"/>
      <c r="AJ2582" s="65"/>
      <c r="AV2582" s="56"/>
    </row>
    <row r="2583" spans="2:48" ht="12.75" hidden="1" customHeight="1" outlineLevel="2" thickBot="1">
      <c r="B2583" s="82"/>
      <c r="C2583" s="1234"/>
      <c r="D2583" s="1234"/>
      <c r="E2583" s="84" t="str">
        <f>'Terms and Turnovers'!$T$12</f>
        <v>ORIGINALS</v>
      </c>
      <c r="F2583" s="70">
        <f>F1868/'Terms and Turnovers'!$T191</f>
        <v>0</v>
      </c>
      <c r="G2583" s="728"/>
      <c r="H2583" s="70">
        <f>H1868/'Terms and Turnovers'!$T191</f>
        <v>0</v>
      </c>
      <c r="I2583" s="728"/>
      <c r="J2583" s="70">
        <f>J1868/'Terms and Turnovers'!$T191</f>
        <v>0</v>
      </c>
      <c r="K2583" s="728"/>
      <c r="L2583" s="70">
        <f>L1868/'Terms and Turnovers'!$T191</f>
        <v>0</v>
      </c>
      <c r="M2583" s="728"/>
      <c r="N2583" s="70">
        <f>N1868/'Terms and Turnovers'!$T191</f>
        <v>0</v>
      </c>
      <c r="O2583" s="728"/>
      <c r="P2583" s="70">
        <f>P1868/'Terms and Turnovers'!$T191</f>
        <v>0</v>
      </c>
      <c r="Q2583" s="728"/>
      <c r="R2583" s="132">
        <f>SUM(F2583,H2583,J2583,L2583,N2583,P2583)</f>
        <v>0</v>
      </c>
      <c r="S2583" s="728"/>
      <c r="T2583" s="70">
        <f>T1868/'Terms and Turnovers'!$T191</f>
        <v>0</v>
      </c>
      <c r="U2583" s="728"/>
      <c r="V2583" s="70">
        <f>V1868/'Terms and Turnovers'!$T191</f>
        <v>0</v>
      </c>
      <c r="W2583" s="728"/>
      <c r="X2583" s="70">
        <f>X1868/'Terms and Turnovers'!$T191</f>
        <v>0</v>
      </c>
      <c r="Y2583" s="728"/>
      <c r="Z2583" s="70">
        <f>Z1868/'Terms and Turnovers'!$T191</f>
        <v>0</v>
      </c>
      <c r="AA2583" s="728"/>
      <c r="AB2583" s="70">
        <f>AB1868/'Terms and Turnovers'!$T191</f>
        <v>0</v>
      </c>
      <c r="AC2583" s="728"/>
      <c r="AD2583" s="70">
        <f>AD1868/'Terms and Turnovers'!$T191</f>
        <v>0</v>
      </c>
      <c r="AE2583" s="728"/>
      <c r="AF2583" s="132">
        <f>SUM(T2583,V2583,X2583,Z2583,AB2583,AD2583)</f>
        <v>0</v>
      </c>
      <c r="AG2583" s="728"/>
      <c r="AH2583" s="133">
        <f>SUM(AF2583,R2583)</f>
        <v>0</v>
      </c>
      <c r="AI2583" s="728"/>
      <c r="AJ2583" s="65"/>
      <c r="AV2583" s="56"/>
    </row>
    <row r="2584" spans="2:48" ht="12.75" hidden="1" customHeight="1" outlineLevel="2">
      <c r="B2584" s="82"/>
      <c r="C2584" s="1234"/>
      <c r="D2584" s="1234"/>
      <c r="E2584" s="84" t="str">
        <f>'Terms and Turnovers'!$AD$12</f>
        <v>ACCESSORIES</v>
      </c>
      <c r="F2584" s="68">
        <f>F1869/'Terms and Turnovers'!$AD191</f>
        <v>0</v>
      </c>
      <c r="G2584" s="728"/>
      <c r="H2584" s="68">
        <f>H1869/'Terms and Turnovers'!$AD191</f>
        <v>0</v>
      </c>
      <c r="I2584" s="728"/>
      <c r="J2584" s="68">
        <f>J1869/'Terms and Turnovers'!$AD191</f>
        <v>0</v>
      </c>
      <c r="K2584" s="728"/>
      <c r="L2584" s="68">
        <f>L1869/'Terms and Turnovers'!$AD191</f>
        <v>0</v>
      </c>
      <c r="M2584" s="728"/>
      <c r="N2584" s="68">
        <f>N1869/'Terms and Turnovers'!$AD191</f>
        <v>0</v>
      </c>
      <c r="O2584" s="728"/>
      <c r="P2584" s="68">
        <f>P1869/'Terms and Turnovers'!$AD191</f>
        <v>0</v>
      </c>
      <c r="Q2584" s="728"/>
      <c r="R2584" s="132">
        <f>SUM(F2584,H2584,J2584,L2584,N2584,P2584)</f>
        <v>0</v>
      </c>
      <c r="S2584" s="728"/>
      <c r="T2584" s="68">
        <f>T1869/'Terms and Turnovers'!$AD191</f>
        <v>0</v>
      </c>
      <c r="U2584" s="728"/>
      <c r="V2584" s="68">
        <f>V1869/'Terms and Turnovers'!$AD191</f>
        <v>0</v>
      </c>
      <c r="W2584" s="728"/>
      <c r="X2584" s="68">
        <f>X1869/'Terms and Turnovers'!$AD191</f>
        <v>0</v>
      </c>
      <c r="Y2584" s="728"/>
      <c r="Z2584" s="68">
        <f>Z1869/'Terms and Turnovers'!$AD191</f>
        <v>0</v>
      </c>
      <c r="AA2584" s="728"/>
      <c r="AB2584" s="68">
        <f>AB1869/'Terms and Turnovers'!$AD191</f>
        <v>0</v>
      </c>
      <c r="AC2584" s="728"/>
      <c r="AD2584" s="68">
        <f>AD1869/'Terms and Turnovers'!$AD191</f>
        <v>0</v>
      </c>
      <c r="AE2584" s="728"/>
      <c r="AF2584" s="132">
        <f>SUM(T2584,V2584,X2584,Z2584,AB2584,AD2584)</f>
        <v>0</v>
      </c>
      <c r="AG2584" s="728"/>
      <c r="AH2584" s="133">
        <f>SUM(AF2584,R2584)</f>
        <v>0</v>
      </c>
      <c r="AI2584" s="728"/>
      <c r="AJ2584" s="65"/>
      <c r="AV2584" s="56"/>
    </row>
    <row r="2585" spans="2:48" ht="12.75" hidden="1" customHeight="1" outlineLevel="2" thickBot="1">
      <c r="B2585" s="82"/>
      <c r="C2585" s="1234"/>
      <c r="D2585" s="1234"/>
      <c r="E2585" s="84">
        <f>'Terms and Turnovers'!$AN$12</f>
        <v>0</v>
      </c>
      <c r="F2585" s="70">
        <f>F1870/'Terms and Turnovers'!$AN191</f>
        <v>0</v>
      </c>
      <c r="G2585" s="728"/>
      <c r="H2585" s="70">
        <f>H1870/'Terms and Turnovers'!$AN191</f>
        <v>0</v>
      </c>
      <c r="I2585" s="728"/>
      <c r="J2585" s="70">
        <f>J1870/'Terms and Turnovers'!$AN191</f>
        <v>0</v>
      </c>
      <c r="K2585" s="728"/>
      <c r="L2585" s="70">
        <f>L1870/'Terms and Turnovers'!$AN191</f>
        <v>0</v>
      </c>
      <c r="M2585" s="728"/>
      <c r="N2585" s="70">
        <f>N1870/'Terms and Turnovers'!$AN191</f>
        <v>0</v>
      </c>
      <c r="O2585" s="728"/>
      <c r="P2585" s="70">
        <f>P1870/'Terms and Turnovers'!$AN191</f>
        <v>0</v>
      </c>
      <c r="Q2585" s="728"/>
      <c r="R2585" s="132">
        <f>SUM(F2585,H2585,J2585,L2585,N2585,P2585)</f>
        <v>0</v>
      </c>
      <c r="S2585" s="728"/>
      <c r="T2585" s="70">
        <f>T1870/'Terms and Turnovers'!$AN191</f>
        <v>0</v>
      </c>
      <c r="U2585" s="728"/>
      <c r="V2585" s="70">
        <f>V1870/'Terms and Turnovers'!$AN191</f>
        <v>0</v>
      </c>
      <c r="W2585" s="728"/>
      <c r="X2585" s="70">
        <f>X1870/'Terms and Turnovers'!$AN191</f>
        <v>0</v>
      </c>
      <c r="Y2585" s="728"/>
      <c r="Z2585" s="70">
        <f>Z1870/'Terms and Turnovers'!$AN191</f>
        <v>0</v>
      </c>
      <c r="AA2585" s="728"/>
      <c r="AB2585" s="70">
        <f>AB1870/'Terms and Turnovers'!$AN191</f>
        <v>0</v>
      </c>
      <c r="AC2585" s="728"/>
      <c r="AD2585" s="70">
        <f>AD1870/'Terms and Turnovers'!$AN191</f>
        <v>0</v>
      </c>
      <c r="AE2585" s="728"/>
      <c r="AF2585" s="132">
        <f>SUM(T2585,V2585,X2585,Z2585,AB2585,AD2585)</f>
        <v>0</v>
      </c>
      <c r="AG2585" s="728"/>
      <c r="AH2585" s="133">
        <f>SUM(AF2585,R2585)</f>
        <v>0</v>
      </c>
      <c r="AI2585" s="728"/>
      <c r="AJ2585" s="65"/>
      <c r="AV2585" s="56"/>
    </row>
    <row r="2586" spans="2:48" ht="13.5" hidden="1" customHeight="1" outlineLevel="2" thickBot="1">
      <c r="B2586" s="82"/>
      <c r="C2586" s="1235"/>
      <c r="D2586" s="1235"/>
      <c r="E2586" s="85">
        <f>'Terms and Turnovers'!$AX$12</f>
        <v>0</v>
      </c>
      <c r="F2586" s="68">
        <f>F1871/'Terms and Turnovers'!$AX191</f>
        <v>0</v>
      </c>
      <c r="G2586" s="111"/>
      <c r="H2586" s="68">
        <f>H1871/'Terms and Turnovers'!$AX191</f>
        <v>0</v>
      </c>
      <c r="I2586" s="107"/>
      <c r="J2586" s="68">
        <f>J1871/'Terms and Turnovers'!$AX191</f>
        <v>0</v>
      </c>
      <c r="K2586" s="107"/>
      <c r="L2586" s="68">
        <f>L1871/'Terms and Turnovers'!$AX191</f>
        <v>0</v>
      </c>
      <c r="M2586" s="107"/>
      <c r="N2586" s="68">
        <f>N1871/'Terms and Turnovers'!$AX191</f>
        <v>0</v>
      </c>
      <c r="O2586" s="107"/>
      <c r="P2586" s="68">
        <f>P1871/'Terms and Turnovers'!$AX191</f>
        <v>0</v>
      </c>
      <c r="Q2586" s="107"/>
      <c r="R2586" s="135">
        <f>SUM(F2586,H2586,J2586,L2586,N2586,P2586)</f>
        <v>0</v>
      </c>
      <c r="S2586" s="107"/>
      <c r="T2586" s="68">
        <f>T1871/'Terms and Turnovers'!$AX191</f>
        <v>0</v>
      </c>
      <c r="U2586" s="111"/>
      <c r="V2586" s="68">
        <f>V1871/'Terms and Turnovers'!$AX191</f>
        <v>0</v>
      </c>
      <c r="W2586" s="107"/>
      <c r="X2586" s="68">
        <f>X1871/'Terms and Turnovers'!$AX191</f>
        <v>0</v>
      </c>
      <c r="Y2586" s="107"/>
      <c r="Z2586" s="68">
        <f>Z1871/'Terms and Turnovers'!$AX191</f>
        <v>0</v>
      </c>
      <c r="AA2586" s="107"/>
      <c r="AB2586" s="68">
        <f>AB1871/'Terms and Turnovers'!$AX191</f>
        <v>0</v>
      </c>
      <c r="AC2586" s="107"/>
      <c r="AD2586" s="68">
        <f>AD1871/'Terms and Turnovers'!$AX191</f>
        <v>0</v>
      </c>
      <c r="AE2586" s="107"/>
      <c r="AF2586" s="135">
        <f>SUM(T2586,V2586,X2586,Z2586,AB2586,AD2586)</f>
        <v>0</v>
      </c>
      <c r="AG2586" s="107"/>
      <c r="AH2586" s="136">
        <f>SUM(AF2586,R2586)</f>
        <v>0</v>
      </c>
      <c r="AI2586" s="107"/>
      <c r="AJ2586" s="65"/>
      <c r="AV2586" s="56"/>
    </row>
    <row r="2587" spans="2:48" ht="13.5" hidden="1" customHeight="1" outlineLevel="2">
      <c r="B2587" s="82"/>
      <c r="C2587" s="425"/>
      <c r="D2587" s="425"/>
      <c r="E2587" s="634"/>
      <c r="F2587" s="635"/>
      <c r="G2587" s="428"/>
      <c r="H2587" s="635"/>
      <c r="I2587" s="428"/>
      <c r="J2587" s="635"/>
      <c r="K2587" s="636"/>
      <c r="L2587" s="635"/>
      <c r="M2587" s="636"/>
      <c r="N2587" s="635"/>
      <c r="O2587" s="636"/>
      <c r="P2587" s="635"/>
      <c r="Q2587" s="636"/>
      <c r="R2587" s="637"/>
      <c r="S2587" s="698">
        <f>SUM(R1867:R1871)/1.18-(SUM(R2582:R2586)*'Mark Up Validation'!$M$175)</f>
        <v>0</v>
      </c>
      <c r="T2587" s="635"/>
      <c r="U2587" s="636"/>
      <c r="V2587" s="635"/>
      <c r="W2587" s="636"/>
      <c r="X2587" s="635"/>
      <c r="Y2587" s="636"/>
      <c r="Z2587" s="635"/>
      <c r="AA2587" s="636"/>
      <c r="AB2587" s="635"/>
      <c r="AC2587" s="636"/>
      <c r="AD2587" s="635"/>
      <c r="AE2587" s="636"/>
      <c r="AF2587" s="637"/>
      <c r="AG2587" s="698">
        <f>SUM(AF1867:AF1871)/1.18-SUM(AF2582:AF2586)*'Mark Up Validation'!$M$175</f>
        <v>0</v>
      </c>
      <c r="AH2587" s="638"/>
      <c r="AI2587" s="698">
        <f>SUM(AH1867:AH1871)/1.18-SUM(AH2582:AH2586)*'Mark Up Validation'!$M$175</f>
        <v>0</v>
      </c>
      <c r="AJ2587" s="65"/>
      <c r="AV2587" s="56"/>
    </row>
    <row r="2588" spans="2:48" ht="13.5" hidden="1" customHeight="1" outlineLevel="2" thickBot="1">
      <c r="B2588" s="82"/>
      <c r="C2588" s="1228" t="s">
        <v>538</v>
      </c>
      <c r="D2588" s="1229"/>
      <c r="E2588" s="699"/>
      <c r="F2588" s="700"/>
      <c r="G2588" s="701"/>
      <c r="H2588" s="700"/>
      <c r="I2588" s="701"/>
      <c r="J2588" s="700"/>
      <c r="K2588" s="702"/>
      <c r="L2588" s="700"/>
      <c r="M2588" s="702"/>
      <c r="N2588" s="700"/>
      <c r="O2588" s="702"/>
      <c r="P2588" s="700"/>
      <c r="Q2588" s="702"/>
      <c r="R2588" s="703"/>
      <c r="S2588" s="729">
        <f>IF(S2587&gt;0,S2587/(SUM(R1867:R1871)/1.18),0)</f>
        <v>0</v>
      </c>
      <c r="T2588" s="700"/>
      <c r="U2588" s="702"/>
      <c r="V2588" s="700"/>
      <c r="W2588" s="702"/>
      <c r="X2588" s="700"/>
      <c r="Y2588" s="702"/>
      <c r="Z2588" s="700"/>
      <c r="AA2588" s="702"/>
      <c r="AB2588" s="700"/>
      <c r="AC2588" s="702"/>
      <c r="AD2588" s="700"/>
      <c r="AE2588" s="702"/>
      <c r="AF2588" s="705"/>
      <c r="AG2588" s="729">
        <f>IF(AG2587&gt;0,AG2587/(SUM(AF1867:AF1871)/1.18),0)</f>
        <v>0</v>
      </c>
      <c r="AH2588" s="706"/>
      <c r="AI2588" s="729">
        <f>IF(AI2587&gt;0,AI2587/(SUM(AH1867:AH1871)/1.18),0)</f>
        <v>0</v>
      </c>
      <c r="AJ2588" s="65"/>
      <c r="AV2588" s="56"/>
    </row>
    <row r="2589" spans="2:48" ht="12.75" hidden="1" customHeight="1" outlineLevel="2">
      <c r="B2589" s="82">
        <f>B2582+1</f>
        <v>61</v>
      </c>
      <c r="C2589" s="1233">
        <f>C1874</f>
        <v>0</v>
      </c>
      <c r="D2589" s="1233">
        <f>D1874</f>
        <v>0</v>
      </c>
      <c r="E2589" s="83" t="str">
        <f>'Terms and Turnovers'!$J$12</f>
        <v>FLIP-FLOPS</v>
      </c>
      <c r="F2589" s="68">
        <f>F1874/'Terms and Turnovers'!$J192</f>
        <v>0</v>
      </c>
      <c r="G2589" s="106"/>
      <c r="H2589" s="68">
        <f>H1874/'Terms and Turnovers'!$J192</f>
        <v>0</v>
      </c>
      <c r="I2589" s="106"/>
      <c r="J2589" s="68">
        <f>J1874/'Terms and Turnovers'!$J192</f>
        <v>0</v>
      </c>
      <c r="K2589" s="106"/>
      <c r="L2589" s="68">
        <f>L1874/'Terms and Turnovers'!$J192</f>
        <v>0</v>
      </c>
      <c r="M2589" s="106"/>
      <c r="N2589" s="68">
        <f>N1874/'Terms and Turnovers'!$J192</f>
        <v>0</v>
      </c>
      <c r="O2589" s="106"/>
      <c r="P2589" s="68">
        <f>P1874/'Terms and Turnovers'!$J192</f>
        <v>0</v>
      </c>
      <c r="Q2589" s="106"/>
      <c r="R2589" s="129">
        <f>SUM(F2589,H2589,J2589,L2589,N2589,P2589)</f>
        <v>0</v>
      </c>
      <c r="S2589" s="106"/>
      <c r="T2589" s="68">
        <f>T1874/'Terms and Turnovers'!$J192</f>
        <v>0</v>
      </c>
      <c r="U2589" s="106"/>
      <c r="V2589" s="68">
        <f>V1874/'Terms and Turnovers'!$J192</f>
        <v>0</v>
      </c>
      <c r="W2589" s="106"/>
      <c r="X2589" s="68">
        <f>X1874/'Terms and Turnovers'!$J192</f>
        <v>0</v>
      </c>
      <c r="Y2589" s="106"/>
      <c r="Z2589" s="68">
        <f>Z1874/'Terms and Turnovers'!$J192</f>
        <v>0</v>
      </c>
      <c r="AA2589" s="106"/>
      <c r="AB2589" s="68">
        <f>AB1874/'Terms and Turnovers'!$J192</f>
        <v>0</v>
      </c>
      <c r="AC2589" s="106"/>
      <c r="AD2589" s="68">
        <f>AD1874/'Terms and Turnovers'!$J192</f>
        <v>0</v>
      </c>
      <c r="AE2589" s="106"/>
      <c r="AF2589" s="129">
        <f>SUM(T2589,V2589,X2589,Z2589,AB2589,AD2589)</f>
        <v>0</v>
      </c>
      <c r="AG2589" s="106"/>
      <c r="AH2589" s="130">
        <f>SUM(AF2589,R2589)</f>
        <v>0</v>
      </c>
      <c r="AI2589" s="106"/>
      <c r="AJ2589" s="65"/>
      <c r="AV2589" s="56"/>
    </row>
    <row r="2590" spans="2:48" ht="12.75" hidden="1" customHeight="1" outlineLevel="2" thickBot="1">
      <c r="B2590" s="82"/>
      <c r="C2590" s="1234"/>
      <c r="D2590" s="1234"/>
      <c r="E2590" s="84" t="str">
        <f>'Terms and Turnovers'!$T$12</f>
        <v>ORIGINALS</v>
      </c>
      <c r="F2590" s="70">
        <f>F1875/'Terms and Turnovers'!$T192</f>
        <v>0</v>
      </c>
      <c r="G2590" s="728"/>
      <c r="H2590" s="70">
        <f>H1875/'Terms and Turnovers'!$T192</f>
        <v>0</v>
      </c>
      <c r="I2590" s="728"/>
      <c r="J2590" s="70">
        <f>J1875/'Terms and Turnovers'!$T192</f>
        <v>0</v>
      </c>
      <c r="K2590" s="728"/>
      <c r="L2590" s="70">
        <f>L1875/'Terms and Turnovers'!$T192</f>
        <v>0</v>
      </c>
      <c r="M2590" s="728"/>
      <c r="N2590" s="70">
        <f>N1875/'Terms and Turnovers'!$T192</f>
        <v>0</v>
      </c>
      <c r="O2590" s="728"/>
      <c r="P2590" s="70">
        <f>P1875/'Terms and Turnovers'!$T192</f>
        <v>0</v>
      </c>
      <c r="Q2590" s="728"/>
      <c r="R2590" s="132">
        <f>SUM(F2590,H2590,J2590,L2590,N2590,P2590)</f>
        <v>0</v>
      </c>
      <c r="S2590" s="730"/>
      <c r="T2590" s="70">
        <f>T1875/'Terms and Turnovers'!$T192</f>
        <v>0</v>
      </c>
      <c r="U2590" s="728"/>
      <c r="V2590" s="70">
        <f>V1875/'Terms and Turnovers'!$T192</f>
        <v>0</v>
      </c>
      <c r="W2590" s="728"/>
      <c r="X2590" s="70">
        <f>X1875/'Terms and Turnovers'!$T192</f>
        <v>0</v>
      </c>
      <c r="Y2590" s="728"/>
      <c r="Z2590" s="70">
        <f>Z1875/'Terms and Turnovers'!$T192</f>
        <v>0</v>
      </c>
      <c r="AA2590" s="728"/>
      <c r="AB2590" s="70">
        <f>AB1875/'Terms and Turnovers'!$T192</f>
        <v>0</v>
      </c>
      <c r="AC2590" s="728"/>
      <c r="AD2590" s="70">
        <f>AD1875/'Terms and Turnovers'!$T192</f>
        <v>0</v>
      </c>
      <c r="AE2590" s="728"/>
      <c r="AF2590" s="132">
        <f>SUM(T2590,V2590,X2590,Z2590,AB2590,AD2590)</f>
        <v>0</v>
      </c>
      <c r="AG2590" s="728"/>
      <c r="AH2590" s="133">
        <f>SUM(AF2590,R2590)</f>
        <v>0</v>
      </c>
      <c r="AI2590" s="728"/>
      <c r="AJ2590" s="65"/>
      <c r="AV2590" s="56"/>
    </row>
    <row r="2591" spans="2:48" ht="12.75" hidden="1" customHeight="1" outlineLevel="2">
      <c r="B2591" s="82"/>
      <c r="C2591" s="1234"/>
      <c r="D2591" s="1234"/>
      <c r="E2591" s="84" t="str">
        <f>'Terms and Turnovers'!$AD$12</f>
        <v>ACCESSORIES</v>
      </c>
      <c r="F2591" s="68">
        <f>F1876/'Terms and Turnovers'!$AD192</f>
        <v>0</v>
      </c>
      <c r="G2591" s="728"/>
      <c r="H2591" s="68">
        <f>H1876/'Terms and Turnovers'!$AD192</f>
        <v>0</v>
      </c>
      <c r="I2591" s="728"/>
      <c r="J2591" s="68">
        <f>J1876/'Terms and Turnovers'!$AD192</f>
        <v>0</v>
      </c>
      <c r="K2591" s="728"/>
      <c r="L2591" s="68">
        <f>L1876/'Terms and Turnovers'!$AD192</f>
        <v>0</v>
      </c>
      <c r="M2591" s="728"/>
      <c r="N2591" s="68">
        <f>N1876/'Terms and Turnovers'!$AD192</f>
        <v>0</v>
      </c>
      <c r="O2591" s="728"/>
      <c r="P2591" s="68">
        <f>P1876/'Terms and Turnovers'!$AD192</f>
        <v>0</v>
      </c>
      <c r="Q2591" s="728"/>
      <c r="R2591" s="132">
        <f>SUM(F2591,H2591,J2591,L2591,N2591,P2591)</f>
        <v>0</v>
      </c>
      <c r="S2591" s="728"/>
      <c r="T2591" s="68">
        <f>T1876/'Terms and Turnovers'!$AD192</f>
        <v>0</v>
      </c>
      <c r="U2591" s="728"/>
      <c r="V2591" s="68">
        <f>V1876/'Terms and Turnovers'!$AD192</f>
        <v>0</v>
      </c>
      <c r="W2591" s="728"/>
      <c r="X2591" s="68">
        <f>X1876/'Terms and Turnovers'!$AD192</f>
        <v>0</v>
      </c>
      <c r="Y2591" s="728"/>
      <c r="Z2591" s="68">
        <f>Z1876/'Terms and Turnovers'!$AD192</f>
        <v>0</v>
      </c>
      <c r="AA2591" s="728"/>
      <c r="AB2591" s="68">
        <f>AB1876/'Terms and Turnovers'!$AD192</f>
        <v>0</v>
      </c>
      <c r="AC2591" s="728"/>
      <c r="AD2591" s="68">
        <f>AD1876/'Terms and Turnovers'!$AD192</f>
        <v>0</v>
      </c>
      <c r="AE2591" s="728"/>
      <c r="AF2591" s="132">
        <f>SUM(T2591,V2591,X2591,Z2591,AB2591,AD2591)</f>
        <v>0</v>
      </c>
      <c r="AG2591" s="728"/>
      <c r="AH2591" s="133">
        <f>SUM(AF2591,R2591)</f>
        <v>0</v>
      </c>
      <c r="AI2591" s="728"/>
      <c r="AJ2591" s="65"/>
      <c r="AV2591" s="56"/>
    </row>
    <row r="2592" spans="2:48" ht="12.75" hidden="1" customHeight="1" outlineLevel="2" thickBot="1">
      <c r="B2592" s="82"/>
      <c r="C2592" s="1234"/>
      <c r="D2592" s="1234"/>
      <c r="E2592" s="84">
        <f>'Terms and Turnovers'!$AN$12</f>
        <v>0</v>
      </c>
      <c r="F2592" s="70">
        <f>F1877/'Terms and Turnovers'!$AN192</f>
        <v>0</v>
      </c>
      <c r="G2592" s="728"/>
      <c r="H2592" s="70">
        <f>H1877/'Terms and Turnovers'!$AN192</f>
        <v>0</v>
      </c>
      <c r="I2592" s="728"/>
      <c r="J2592" s="70">
        <f>J1877/'Terms and Turnovers'!$AN192</f>
        <v>0</v>
      </c>
      <c r="K2592" s="728"/>
      <c r="L2592" s="70">
        <f>L1877/'Terms and Turnovers'!$AN192</f>
        <v>0</v>
      </c>
      <c r="M2592" s="728"/>
      <c r="N2592" s="70">
        <f>N1877/'Terms and Turnovers'!$AN192</f>
        <v>0</v>
      </c>
      <c r="O2592" s="728"/>
      <c r="P2592" s="70">
        <f>P1877/'Terms and Turnovers'!$AN192</f>
        <v>0</v>
      </c>
      <c r="Q2592" s="728"/>
      <c r="R2592" s="132">
        <f>SUM(F2592,H2592,J2592,L2592,N2592,P2592)</f>
        <v>0</v>
      </c>
      <c r="S2592" s="728"/>
      <c r="T2592" s="70">
        <f>T1877/'Terms and Turnovers'!$AN192</f>
        <v>0</v>
      </c>
      <c r="U2592" s="728"/>
      <c r="V2592" s="70">
        <f>V1877/'Terms and Turnovers'!$AN192</f>
        <v>0</v>
      </c>
      <c r="W2592" s="728"/>
      <c r="X2592" s="70">
        <f>X1877/'Terms and Turnovers'!$AN192</f>
        <v>0</v>
      </c>
      <c r="Y2592" s="728"/>
      <c r="Z2592" s="70">
        <f>Z1877/'Terms and Turnovers'!$AN192</f>
        <v>0</v>
      </c>
      <c r="AA2592" s="728"/>
      <c r="AB2592" s="70">
        <f>AB1877/'Terms and Turnovers'!$AN192</f>
        <v>0</v>
      </c>
      <c r="AC2592" s="728"/>
      <c r="AD2592" s="70">
        <f>AD1877/'Terms and Turnovers'!$AN192</f>
        <v>0</v>
      </c>
      <c r="AE2592" s="728"/>
      <c r="AF2592" s="132">
        <f>SUM(T2592,V2592,X2592,Z2592,AB2592,AD2592)</f>
        <v>0</v>
      </c>
      <c r="AG2592" s="728"/>
      <c r="AH2592" s="133">
        <f>SUM(AF2592,R2592)</f>
        <v>0</v>
      </c>
      <c r="AI2592" s="728"/>
      <c r="AJ2592" s="65"/>
      <c r="AV2592" s="56"/>
    </row>
    <row r="2593" spans="2:48" ht="13.5" hidden="1" customHeight="1" outlineLevel="2" thickBot="1">
      <c r="B2593" s="82"/>
      <c r="C2593" s="1235"/>
      <c r="D2593" s="1235"/>
      <c r="E2593" s="85">
        <f>'Terms and Turnovers'!$AX$12</f>
        <v>0</v>
      </c>
      <c r="F2593" s="68">
        <f>F1878/'Terms and Turnovers'!$AX192</f>
        <v>0</v>
      </c>
      <c r="G2593" s="111"/>
      <c r="H2593" s="68">
        <f>H1878/'Terms and Turnovers'!$AX192</f>
        <v>0</v>
      </c>
      <c r="I2593" s="107"/>
      <c r="J2593" s="68">
        <f>J1878/'Terms and Turnovers'!$AX192</f>
        <v>0</v>
      </c>
      <c r="K2593" s="107"/>
      <c r="L2593" s="68">
        <f>L1878/'Terms and Turnovers'!$AX192</f>
        <v>0</v>
      </c>
      <c r="M2593" s="107"/>
      <c r="N2593" s="68">
        <f>N1878/'Terms and Turnovers'!$AX192</f>
        <v>0</v>
      </c>
      <c r="O2593" s="107"/>
      <c r="P2593" s="68">
        <f>P1878/'Terms and Turnovers'!$AX192</f>
        <v>0</v>
      </c>
      <c r="Q2593" s="107"/>
      <c r="R2593" s="135">
        <f>SUM(F2593,H2593,J2593,L2593,N2593,P2593)</f>
        <v>0</v>
      </c>
      <c r="S2593" s="107"/>
      <c r="T2593" s="68">
        <f>T1878/'Terms and Turnovers'!$AX192</f>
        <v>0</v>
      </c>
      <c r="U2593" s="111"/>
      <c r="V2593" s="68">
        <f>V1878/'Terms and Turnovers'!$AX192</f>
        <v>0</v>
      </c>
      <c r="W2593" s="107"/>
      <c r="X2593" s="68">
        <f>X1878/'Terms and Turnovers'!$AX192</f>
        <v>0</v>
      </c>
      <c r="Y2593" s="107"/>
      <c r="Z2593" s="68">
        <f>Z1878/'Terms and Turnovers'!$AX192</f>
        <v>0</v>
      </c>
      <c r="AA2593" s="107"/>
      <c r="AB2593" s="68">
        <f>AB1878/'Terms and Turnovers'!$AX192</f>
        <v>0</v>
      </c>
      <c r="AC2593" s="107"/>
      <c r="AD2593" s="68">
        <f>AD1878/'Terms and Turnovers'!$AX192</f>
        <v>0</v>
      </c>
      <c r="AE2593" s="107"/>
      <c r="AF2593" s="135">
        <f>SUM(T2593,V2593,X2593,Z2593,AB2593,AD2593)</f>
        <v>0</v>
      </c>
      <c r="AG2593" s="107"/>
      <c r="AH2593" s="136">
        <f>SUM(AF2593,R2593)</f>
        <v>0</v>
      </c>
      <c r="AI2593" s="107"/>
      <c r="AJ2593" s="65"/>
      <c r="AV2593" s="56"/>
    </row>
    <row r="2594" spans="2:48" ht="13.5" hidden="1" customHeight="1" outlineLevel="2">
      <c r="B2594" s="82"/>
      <c r="C2594" s="425"/>
      <c r="D2594" s="425"/>
      <c r="E2594" s="634"/>
      <c r="F2594" s="635"/>
      <c r="G2594" s="428"/>
      <c r="H2594" s="635"/>
      <c r="I2594" s="428"/>
      <c r="J2594" s="635"/>
      <c r="K2594" s="636"/>
      <c r="L2594" s="635"/>
      <c r="M2594" s="636"/>
      <c r="N2594" s="635"/>
      <c r="O2594" s="636"/>
      <c r="P2594" s="635"/>
      <c r="Q2594" s="636"/>
      <c r="R2594" s="637"/>
      <c r="S2594" s="698">
        <f>SUM(R1874:R1878)/1.18-(SUM(R2589:R2593)*'Mark Up Validation'!$M$175)</f>
        <v>0</v>
      </c>
      <c r="T2594" s="635"/>
      <c r="U2594" s="636"/>
      <c r="V2594" s="635"/>
      <c r="W2594" s="636"/>
      <c r="X2594" s="635"/>
      <c r="Y2594" s="636"/>
      <c r="Z2594" s="635"/>
      <c r="AA2594" s="636"/>
      <c r="AB2594" s="635"/>
      <c r="AC2594" s="636"/>
      <c r="AD2594" s="635"/>
      <c r="AE2594" s="636"/>
      <c r="AF2594" s="637"/>
      <c r="AG2594" s="698">
        <f>SUM(AF1874:AF1878)/1.18-SUM(AF2589:AF2593)*'Mark Up Validation'!$M$175</f>
        <v>0</v>
      </c>
      <c r="AH2594" s="638"/>
      <c r="AI2594" s="698">
        <f>SUM(AH1874:AH1878)/1.18-SUM(AH2589:AH2593)*'Mark Up Validation'!$M$175</f>
        <v>0</v>
      </c>
      <c r="AJ2594" s="65"/>
      <c r="AV2594" s="56"/>
    </row>
    <row r="2595" spans="2:48" ht="13.5" hidden="1" customHeight="1" outlineLevel="2" thickBot="1">
      <c r="B2595" s="82"/>
      <c r="C2595" s="1228" t="s">
        <v>538</v>
      </c>
      <c r="D2595" s="1229"/>
      <c r="E2595" s="699"/>
      <c r="F2595" s="700"/>
      <c r="G2595" s="701"/>
      <c r="H2595" s="700"/>
      <c r="I2595" s="701"/>
      <c r="J2595" s="700"/>
      <c r="K2595" s="702"/>
      <c r="L2595" s="700"/>
      <c r="M2595" s="702"/>
      <c r="N2595" s="700"/>
      <c r="O2595" s="702"/>
      <c r="P2595" s="700"/>
      <c r="Q2595" s="702"/>
      <c r="R2595" s="703"/>
      <c r="S2595" s="729">
        <f>IF(S2594&gt;0,S2594/(SUM(R1874:R1878)/1.18),0)</f>
        <v>0</v>
      </c>
      <c r="T2595" s="700"/>
      <c r="U2595" s="702"/>
      <c r="V2595" s="700"/>
      <c r="W2595" s="702"/>
      <c r="X2595" s="700"/>
      <c r="Y2595" s="702"/>
      <c r="Z2595" s="700"/>
      <c r="AA2595" s="702"/>
      <c r="AB2595" s="700"/>
      <c r="AC2595" s="702"/>
      <c r="AD2595" s="700"/>
      <c r="AE2595" s="702"/>
      <c r="AF2595" s="705"/>
      <c r="AG2595" s="729">
        <f>IF(AG2594&gt;0,AG2594/(SUM(AF1874:AF1878)/1.18),0)</f>
        <v>0</v>
      </c>
      <c r="AH2595" s="706"/>
      <c r="AI2595" s="729">
        <f>IF(AI2594&gt;0,AI2594/(SUM(AH1874:AH1878)/1.18),0)</f>
        <v>0</v>
      </c>
      <c r="AJ2595" s="65"/>
      <c r="AV2595" s="56"/>
    </row>
    <row r="2596" spans="2:48" ht="12.75" hidden="1" customHeight="1" outlineLevel="2">
      <c r="B2596" s="82">
        <f>B2589+1</f>
        <v>62</v>
      </c>
      <c r="C2596" s="1233">
        <f>C1881</f>
        <v>0</v>
      </c>
      <c r="D2596" s="1233">
        <f>D1881</f>
        <v>0</v>
      </c>
      <c r="E2596" s="83" t="str">
        <f>'Terms and Turnovers'!$J$12</f>
        <v>FLIP-FLOPS</v>
      </c>
      <c r="F2596" s="68">
        <f>F1881/'Terms and Turnovers'!$J193</f>
        <v>0</v>
      </c>
      <c r="G2596" s="106"/>
      <c r="H2596" s="68">
        <f>H1881/'Terms and Turnovers'!$J193</f>
        <v>0</v>
      </c>
      <c r="I2596" s="106"/>
      <c r="J2596" s="68">
        <f>J1881/'Terms and Turnovers'!$J193</f>
        <v>0</v>
      </c>
      <c r="K2596" s="106"/>
      <c r="L2596" s="68">
        <f>L1881/'Terms and Turnovers'!$J193</f>
        <v>0</v>
      </c>
      <c r="M2596" s="106"/>
      <c r="N2596" s="68">
        <f>N1881/'Terms and Turnovers'!$J193</f>
        <v>0</v>
      </c>
      <c r="O2596" s="106"/>
      <c r="P2596" s="68">
        <f>P1881/'Terms and Turnovers'!$J193</f>
        <v>0</v>
      </c>
      <c r="Q2596" s="106"/>
      <c r="R2596" s="129">
        <f>SUM(F2596,H2596,J2596,L2596,N2596,P2596)</f>
        <v>0</v>
      </c>
      <c r="S2596" s="106"/>
      <c r="T2596" s="68">
        <f>T1881/'Terms and Turnovers'!$J193</f>
        <v>0</v>
      </c>
      <c r="U2596" s="106"/>
      <c r="V2596" s="68">
        <f>V1881/'Terms and Turnovers'!$J193</f>
        <v>0</v>
      </c>
      <c r="W2596" s="106"/>
      <c r="X2596" s="68">
        <f>X1881/'Terms and Turnovers'!$J193</f>
        <v>0</v>
      </c>
      <c r="Y2596" s="106"/>
      <c r="Z2596" s="68">
        <f>Z1881/'Terms and Turnovers'!$J193</f>
        <v>0</v>
      </c>
      <c r="AA2596" s="106"/>
      <c r="AB2596" s="68">
        <f>AB1881/'Terms and Turnovers'!$J193</f>
        <v>0</v>
      </c>
      <c r="AC2596" s="106"/>
      <c r="AD2596" s="68">
        <f>AD1881/'Terms and Turnovers'!$J193</f>
        <v>0</v>
      </c>
      <c r="AE2596" s="106"/>
      <c r="AF2596" s="129">
        <f>SUM(T2596,V2596,X2596,Z2596,AB2596,AD2596)</f>
        <v>0</v>
      </c>
      <c r="AG2596" s="106"/>
      <c r="AH2596" s="130">
        <f>SUM(AF2596,R2596)</f>
        <v>0</v>
      </c>
      <c r="AI2596" s="106"/>
      <c r="AJ2596" s="65"/>
      <c r="AV2596" s="56"/>
    </row>
    <row r="2597" spans="2:48" ht="12.75" hidden="1" customHeight="1" outlineLevel="2" thickBot="1">
      <c r="B2597" s="82"/>
      <c r="C2597" s="1234"/>
      <c r="D2597" s="1234"/>
      <c r="E2597" s="84" t="str">
        <f>'Terms and Turnovers'!$T$12</f>
        <v>ORIGINALS</v>
      </c>
      <c r="F2597" s="70">
        <f>F1882/'Terms and Turnovers'!$T193</f>
        <v>0</v>
      </c>
      <c r="G2597" s="728"/>
      <c r="H2597" s="70">
        <f>H1882/'Terms and Turnovers'!$T193</f>
        <v>0</v>
      </c>
      <c r="I2597" s="728"/>
      <c r="J2597" s="70">
        <f>J1882/'Terms and Turnovers'!$T193</f>
        <v>0</v>
      </c>
      <c r="K2597" s="728"/>
      <c r="L2597" s="70">
        <f>L1882/'Terms and Turnovers'!$T193</f>
        <v>0</v>
      </c>
      <c r="M2597" s="728"/>
      <c r="N2597" s="70">
        <f>N1882/'Terms and Turnovers'!$T193</f>
        <v>0</v>
      </c>
      <c r="O2597" s="728"/>
      <c r="P2597" s="70">
        <f>P1882/'Terms and Turnovers'!$T193</f>
        <v>0</v>
      </c>
      <c r="Q2597" s="728"/>
      <c r="R2597" s="132">
        <f>SUM(F2597,H2597,J2597,L2597,N2597,P2597)</f>
        <v>0</v>
      </c>
      <c r="S2597" s="728"/>
      <c r="T2597" s="70">
        <f>T1882/'Terms and Turnovers'!$T193</f>
        <v>0</v>
      </c>
      <c r="U2597" s="728"/>
      <c r="V2597" s="70">
        <f>V1882/'Terms and Turnovers'!$T193</f>
        <v>0</v>
      </c>
      <c r="W2597" s="728"/>
      <c r="X2597" s="70">
        <f>X1882/'Terms and Turnovers'!$T193</f>
        <v>0</v>
      </c>
      <c r="Y2597" s="728"/>
      <c r="Z2597" s="70">
        <f>Z1882/'Terms and Turnovers'!$T193</f>
        <v>0</v>
      </c>
      <c r="AA2597" s="728"/>
      <c r="AB2597" s="70">
        <f>AB1882/'Terms and Turnovers'!$T193</f>
        <v>0</v>
      </c>
      <c r="AC2597" s="728"/>
      <c r="AD2597" s="70">
        <f>AD1882/'Terms and Turnovers'!$T193</f>
        <v>0</v>
      </c>
      <c r="AE2597" s="728"/>
      <c r="AF2597" s="132">
        <f>SUM(T2597,V2597,X2597,Z2597,AB2597,AD2597)</f>
        <v>0</v>
      </c>
      <c r="AG2597" s="728"/>
      <c r="AH2597" s="133">
        <f>SUM(AF2597,R2597)</f>
        <v>0</v>
      </c>
      <c r="AI2597" s="728"/>
      <c r="AJ2597" s="65"/>
      <c r="AV2597" s="56"/>
    </row>
    <row r="2598" spans="2:48" ht="12.75" hidden="1" customHeight="1" outlineLevel="2">
      <c r="B2598" s="82"/>
      <c r="C2598" s="1234"/>
      <c r="D2598" s="1234"/>
      <c r="E2598" s="84" t="str">
        <f>'Terms and Turnovers'!$AD$12</f>
        <v>ACCESSORIES</v>
      </c>
      <c r="F2598" s="68">
        <f>F1883/'Terms and Turnovers'!$AD193</f>
        <v>0</v>
      </c>
      <c r="G2598" s="728"/>
      <c r="H2598" s="68">
        <f>H1883/'Terms and Turnovers'!$AD193</f>
        <v>0</v>
      </c>
      <c r="I2598" s="728"/>
      <c r="J2598" s="68">
        <f>J1883/'Terms and Turnovers'!$AD193</f>
        <v>0</v>
      </c>
      <c r="K2598" s="728"/>
      <c r="L2598" s="68">
        <f>L1883/'Terms and Turnovers'!$AD193</f>
        <v>0</v>
      </c>
      <c r="M2598" s="728"/>
      <c r="N2598" s="68">
        <f>N1883/'Terms and Turnovers'!$AD193</f>
        <v>0</v>
      </c>
      <c r="O2598" s="728"/>
      <c r="P2598" s="68">
        <f>P1883/'Terms and Turnovers'!$AD193</f>
        <v>0</v>
      </c>
      <c r="Q2598" s="728"/>
      <c r="R2598" s="132">
        <f>SUM(F2598,H2598,J2598,L2598,N2598,P2598)</f>
        <v>0</v>
      </c>
      <c r="S2598" s="728"/>
      <c r="T2598" s="68">
        <f>T1883/'Terms and Turnovers'!$AD193</f>
        <v>0</v>
      </c>
      <c r="U2598" s="728"/>
      <c r="V2598" s="68">
        <f>V1883/'Terms and Turnovers'!$AD193</f>
        <v>0</v>
      </c>
      <c r="W2598" s="728"/>
      <c r="X2598" s="68">
        <f>X1883/'Terms and Turnovers'!$AD193</f>
        <v>0</v>
      </c>
      <c r="Y2598" s="728"/>
      <c r="Z2598" s="68">
        <f>Z1883/'Terms and Turnovers'!$AD193</f>
        <v>0</v>
      </c>
      <c r="AA2598" s="728"/>
      <c r="AB2598" s="68">
        <f>AB1883/'Terms and Turnovers'!$AD193</f>
        <v>0</v>
      </c>
      <c r="AC2598" s="728"/>
      <c r="AD2598" s="68">
        <f>AD1883/'Terms and Turnovers'!$AD193</f>
        <v>0</v>
      </c>
      <c r="AE2598" s="728"/>
      <c r="AF2598" s="132">
        <f>SUM(T2598,V2598,X2598,Z2598,AB2598,AD2598)</f>
        <v>0</v>
      </c>
      <c r="AG2598" s="728"/>
      <c r="AH2598" s="133">
        <f>SUM(AF2598,R2598)</f>
        <v>0</v>
      </c>
      <c r="AI2598" s="728"/>
      <c r="AJ2598" s="65"/>
      <c r="AV2598" s="56"/>
    </row>
    <row r="2599" spans="2:48" ht="12.75" hidden="1" customHeight="1" outlineLevel="2" thickBot="1">
      <c r="B2599" s="82"/>
      <c r="C2599" s="1234"/>
      <c r="D2599" s="1234"/>
      <c r="E2599" s="84">
        <f>'Terms and Turnovers'!$AN$12</f>
        <v>0</v>
      </c>
      <c r="F2599" s="70">
        <f>F1884/'Terms and Turnovers'!$AN193</f>
        <v>0</v>
      </c>
      <c r="G2599" s="728"/>
      <c r="H2599" s="70">
        <f>H1884/'Terms and Turnovers'!$AN193</f>
        <v>0</v>
      </c>
      <c r="I2599" s="728"/>
      <c r="J2599" s="70">
        <f>J1884/'Terms and Turnovers'!$AN193</f>
        <v>0</v>
      </c>
      <c r="K2599" s="728"/>
      <c r="L2599" s="70">
        <f>L1884/'Terms and Turnovers'!$AN193</f>
        <v>0</v>
      </c>
      <c r="M2599" s="728"/>
      <c r="N2599" s="70">
        <f>N1884/'Terms and Turnovers'!$AN193</f>
        <v>0</v>
      </c>
      <c r="O2599" s="728"/>
      <c r="P2599" s="70">
        <f>P1884/'Terms and Turnovers'!$AN193</f>
        <v>0</v>
      </c>
      <c r="Q2599" s="728"/>
      <c r="R2599" s="132">
        <f>SUM(F2599,H2599,J2599,L2599,N2599,P2599)</f>
        <v>0</v>
      </c>
      <c r="S2599" s="728"/>
      <c r="T2599" s="70">
        <f>T1884/'Terms and Turnovers'!$AN193</f>
        <v>0</v>
      </c>
      <c r="U2599" s="728"/>
      <c r="V2599" s="70">
        <f>V1884/'Terms and Turnovers'!$AN193</f>
        <v>0</v>
      </c>
      <c r="W2599" s="728"/>
      <c r="X2599" s="70">
        <f>X1884/'Terms and Turnovers'!$AN193</f>
        <v>0</v>
      </c>
      <c r="Y2599" s="728"/>
      <c r="Z2599" s="70">
        <f>Z1884/'Terms and Turnovers'!$AN193</f>
        <v>0</v>
      </c>
      <c r="AA2599" s="728"/>
      <c r="AB2599" s="70">
        <f>AB1884/'Terms and Turnovers'!$AN193</f>
        <v>0</v>
      </c>
      <c r="AC2599" s="728"/>
      <c r="AD2599" s="70">
        <f>AD1884/'Terms and Turnovers'!$AN193</f>
        <v>0</v>
      </c>
      <c r="AE2599" s="728"/>
      <c r="AF2599" s="132">
        <f>SUM(T2599,V2599,X2599,Z2599,AB2599,AD2599)</f>
        <v>0</v>
      </c>
      <c r="AG2599" s="728"/>
      <c r="AH2599" s="133">
        <f>SUM(AF2599,R2599)</f>
        <v>0</v>
      </c>
      <c r="AI2599" s="728"/>
      <c r="AJ2599" s="65"/>
      <c r="AV2599" s="56"/>
    </row>
    <row r="2600" spans="2:48" ht="13.5" hidden="1" customHeight="1" outlineLevel="2" thickBot="1">
      <c r="B2600" s="82"/>
      <c r="C2600" s="1235"/>
      <c r="D2600" s="1235"/>
      <c r="E2600" s="85">
        <f>'Terms and Turnovers'!$AX$12</f>
        <v>0</v>
      </c>
      <c r="F2600" s="68">
        <f>F1885/'Terms and Turnovers'!$AX193</f>
        <v>0</v>
      </c>
      <c r="G2600" s="111"/>
      <c r="H2600" s="68">
        <f>H1885/'Terms and Turnovers'!$AX193</f>
        <v>0</v>
      </c>
      <c r="I2600" s="107"/>
      <c r="J2600" s="68">
        <f>J1885/'Terms and Turnovers'!$AX193</f>
        <v>0</v>
      </c>
      <c r="K2600" s="107"/>
      <c r="L2600" s="68">
        <f>L1885/'Terms and Turnovers'!$AX193</f>
        <v>0</v>
      </c>
      <c r="M2600" s="107"/>
      <c r="N2600" s="68">
        <f>N1885/'Terms and Turnovers'!$AX193</f>
        <v>0</v>
      </c>
      <c r="O2600" s="107"/>
      <c r="P2600" s="68">
        <f>P1885/'Terms and Turnovers'!$AX193</f>
        <v>0</v>
      </c>
      <c r="Q2600" s="107"/>
      <c r="R2600" s="135">
        <f>SUM(F2600,H2600,J2600,L2600,N2600,P2600)</f>
        <v>0</v>
      </c>
      <c r="S2600" s="107"/>
      <c r="T2600" s="68">
        <f>T1885/'Terms and Turnovers'!$AX193</f>
        <v>0</v>
      </c>
      <c r="U2600" s="111"/>
      <c r="V2600" s="68">
        <f>V1885/'Terms and Turnovers'!$AX193</f>
        <v>0</v>
      </c>
      <c r="W2600" s="107"/>
      <c r="X2600" s="68">
        <f>X1885/'Terms and Turnovers'!$AX193</f>
        <v>0</v>
      </c>
      <c r="Y2600" s="107"/>
      <c r="Z2600" s="68">
        <f>Z1885/'Terms and Turnovers'!$AX193</f>
        <v>0</v>
      </c>
      <c r="AA2600" s="107"/>
      <c r="AB2600" s="68">
        <f>AB1885/'Terms and Turnovers'!$AX193</f>
        <v>0</v>
      </c>
      <c r="AC2600" s="107"/>
      <c r="AD2600" s="68">
        <f>AD1885/'Terms and Turnovers'!$AX193</f>
        <v>0</v>
      </c>
      <c r="AE2600" s="107"/>
      <c r="AF2600" s="135">
        <f>SUM(T2600,V2600,X2600,Z2600,AB2600,AD2600)</f>
        <v>0</v>
      </c>
      <c r="AG2600" s="107"/>
      <c r="AH2600" s="136">
        <f>SUM(AF2600,R2600)</f>
        <v>0</v>
      </c>
      <c r="AI2600" s="107"/>
      <c r="AJ2600" s="65"/>
      <c r="AV2600" s="56"/>
    </row>
    <row r="2601" spans="2:48" ht="13.5" hidden="1" customHeight="1" outlineLevel="2">
      <c r="B2601" s="82"/>
      <c r="C2601" s="425"/>
      <c r="D2601" s="425"/>
      <c r="E2601" s="634"/>
      <c r="F2601" s="635"/>
      <c r="G2601" s="428"/>
      <c r="H2601" s="635"/>
      <c r="I2601" s="428"/>
      <c r="J2601" s="635"/>
      <c r="K2601" s="636"/>
      <c r="L2601" s="635"/>
      <c r="M2601" s="636"/>
      <c r="N2601" s="635"/>
      <c r="O2601" s="636"/>
      <c r="P2601" s="635"/>
      <c r="Q2601" s="636"/>
      <c r="R2601" s="637"/>
      <c r="S2601" s="698">
        <f>SUM(R1881:R1885)/1.18-(SUM(R2596:R2600)*'Mark Up Validation'!$M$175)</f>
        <v>0</v>
      </c>
      <c r="T2601" s="635"/>
      <c r="U2601" s="636"/>
      <c r="V2601" s="635"/>
      <c r="W2601" s="636"/>
      <c r="X2601" s="635"/>
      <c r="Y2601" s="636"/>
      <c r="Z2601" s="635"/>
      <c r="AA2601" s="636"/>
      <c r="AB2601" s="635"/>
      <c r="AC2601" s="636"/>
      <c r="AD2601" s="635"/>
      <c r="AE2601" s="636"/>
      <c r="AF2601" s="637"/>
      <c r="AG2601" s="698">
        <f>SUM(AF1881:AF1885)/1.18-SUM(AF2596:AF2600)*'Mark Up Validation'!$M$175</f>
        <v>0</v>
      </c>
      <c r="AH2601" s="638"/>
      <c r="AI2601" s="698">
        <f>SUM(AH1881:AH1885)/1.18-SUM(AH2596:AH2600)*'Mark Up Validation'!$M$175</f>
        <v>0</v>
      </c>
      <c r="AJ2601" s="65"/>
      <c r="AV2601" s="56"/>
    </row>
    <row r="2602" spans="2:48" ht="13.5" hidden="1" customHeight="1" outlineLevel="2" thickBot="1">
      <c r="B2602" s="82"/>
      <c r="C2602" s="1228" t="s">
        <v>538</v>
      </c>
      <c r="D2602" s="1229"/>
      <c r="E2602" s="699"/>
      <c r="F2602" s="700"/>
      <c r="G2602" s="701"/>
      <c r="H2602" s="700"/>
      <c r="I2602" s="701"/>
      <c r="J2602" s="700"/>
      <c r="K2602" s="702"/>
      <c r="L2602" s="700"/>
      <c r="M2602" s="702"/>
      <c r="N2602" s="700"/>
      <c r="O2602" s="702"/>
      <c r="P2602" s="700"/>
      <c r="Q2602" s="702"/>
      <c r="R2602" s="703"/>
      <c r="S2602" s="729">
        <f>IF(S2601&gt;0,S2601/(SUM(R1881:R1885)/1.18),0)</f>
        <v>0</v>
      </c>
      <c r="T2602" s="700"/>
      <c r="U2602" s="702"/>
      <c r="V2602" s="700"/>
      <c r="W2602" s="702"/>
      <c r="X2602" s="700"/>
      <c r="Y2602" s="702"/>
      <c r="Z2602" s="700"/>
      <c r="AA2602" s="702"/>
      <c r="AB2602" s="700"/>
      <c r="AC2602" s="702"/>
      <c r="AD2602" s="700"/>
      <c r="AE2602" s="702"/>
      <c r="AF2602" s="705"/>
      <c r="AG2602" s="729">
        <f>IF(AG2601&gt;0,AG2601/(SUM(AF1881:AF1885)/1.18),0)</f>
        <v>0</v>
      </c>
      <c r="AH2602" s="706"/>
      <c r="AI2602" s="729">
        <f>IF(AI2601&gt;0,AI2601/(SUM(AH1881:AH1885)/1.18),0)</f>
        <v>0</v>
      </c>
      <c r="AJ2602" s="65"/>
      <c r="AV2602" s="56"/>
    </row>
    <row r="2603" spans="2:48" ht="12.75" hidden="1" customHeight="1" outlineLevel="2">
      <c r="B2603" s="82">
        <f>B2596+1</f>
        <v>63</v>
      </c>
      <c r="C2603" s="1233">
        <f>C1888</f>
        <v>0</v>
      </c>
      <c r="D2603" s="1233">
        <f>D1888</f>
        <v>0</v>
      </c>
      <c r="E2603" s="83" t="str">
        <f>'Terms and Turnovers'!$J$12</f>
        <v>FLIP-FLOPS</v>
      </c>
      <c r="F2603" s="68">
        <f>F1888/'Terms and Turnovers'!$J194</f>
        <v>0</v>
      </c>
      <c r="G2603" s="106"/>
      <c r="H2603" s="68">
        <f>H1888/'Terms and Turnovers'!$J194</f>
        <v>0</v>
      </c>
      <c r="I2603" s="106"/>
      <c r="J2603" s="68">
        <f>J1888/'Terms and Turnovers'!$J194</f>
        <v>0</v>
      </c>
      <c r="K2603" s="106"/>
      <c r="L2603" s="68">
        <f>L1888/'Terms and Turnovers'!$J194</f>
        <v>0</v>
      </c>
      <c r="M2603" s="106"/>
      <c r="N2603" s="68">
        <f>N1888/'Terms and Turnovers'!$J194</f>
        <v>0</v>
      </c>
      <c r="O2603" s="106"/>
      <c r="P2603" s="68">
        <f>P1888/'Terms and Turnovers'!$J194</f>
        <v>0</v>
      </c>
      <c r="Q2603" s="106"/>
      <c r="R2603" s="129">
        <f>SUM(F2603,H2603,J2603,L2603,N2603,P2603)</f>
        <v>0</v>
      </c>
      <c r="S2603" s="106"/>
      <c r="T2603" s="68">
        <f>T1888/'Terms and Turnovers'!$J194</f>
        <v>0</v>
      </c>
      <c r="U2603" s="106"/>
      <c r="V2603" s="68">
        <f>V1888/'Terms and Turnovers'!$J194</f>
        <v>0</v>
      </c>
      <c r="W2603" s="106"/>
      <c r="X2603" s="68">
        <f>X1888/'Terms and Turnovers'!$J194</f>
        <v>0</v>
      </c>
      <c r="Y2603" s="106"/>
      <c r="Z2603" s="68">
        <f>Z1888/'Terms and Turnovers'!$J194</f>
        <v>0</v>
      </c>
      <c r="AA2603" s="106"/>
      <c r="AB2603" s="68">
        <f>AB1888/'Terms and Turnovers'!$J194</f>
        <v>0</v>
      </c>
      <c r="AC2603" s="106"/>
      <c r="AD2603" s="68">
        <f>AD1888/'Terms and Turnovers'!$J194</f>
        <v>0</v>
      </c>
      <c r="AE2603" s="106"/>
      <c r="AF2603" s="129">
        <f>SUM(T2603,V2603,X2603,Z2603,AB2603,AD2603)</f>
        <v>0</v>
      </c>
      <c r="AG2603" s="106"/>
      <c r="AH2603" s="130">
        <f>SUM(AF2603,R2603)</f>
        <v>0</v>
      </c>
      <c r="AI2603" s="106"/>
      <c r="AJ2603" s="65"/>
      <c r="AV2603" s="56"/>
    </row>
    <row r="2604" spans="2:48" ht="12.75" hidden="1" customHeight="1" outlineLevel="2" thickBot="1">
      <c r="B2604" s="82"/>
      <c r="C2604" s="1234"/>
      <c r="D2604" s="1234"/>
      <c r="E2604" s="84" t="str">
        <f>'Terms and Turnovers'!$T$12</f>
        <v>ORIGINALS</v>
      </c>
      <c r="F2604" s="70">
        <f>F1889/'Terms and Turnovers'!$T194</f>
        <v>0</v>
      </c>
      <c r="G2604" s="728"/>
      <c r="H2604" s="70">
        <f>H1889/'Terms and Turnovers'!$T194</f>
        <v>0</v>
      </c>
      <c r="I2604" s="728"/>
      <c r="J2604" s="70">
        <f>J1889/'Terms and Turnovers'!$T194</f>
        <v>0</v>
      </c>
      <c r="K2604" s="728"/>
      <c r="L2604" s="70">
        <f>L1889/'Terms and Turnovers'!$T194</f>
        <v>0</v>
      </c>
      <c r="M2604" s="728"/>
      <c r="N2604" s="70">
        <f>N1889/'Terms and Turnovers'!$T194</f>
        <v>0</v>
      </c>
      <c r="O2604" s="728"/>
      <c r="P2604" s="70">
        <f>P1889/'Terms and Turnovers'!$T194</f>
        <v>0</v>
      </c>
      <c r="Q2604" s="728"/>
      <c r="R2604" s="132">
        <f>SUM(F2604,H2604,J2604,L2604,N2604,P2604)</f>
        <v>0</v>
      </c>
      <c r="S2604" s="728"/>
      <c r="T2604" s="70">
        <f>T1889/'Terms and Turnovers'!$T194</f>
        <v>0</v>
      </c>
      <c r="U2604" s="728"/>
      <c r="V2604" s="70">
        <f>V1889/'Terms and Turnovers'!$T194</f>
        <v>0</v>
      </c>
      <c r="W2604" s="728"/>
      <c r="X2604" s="70">
        <f>X1889/'Terms and Turnovers'!$T194</f>
        <v>0</v>
      </c>
      <c r="Y2604" s="728"/>
      <c r="Z2604" s="70">
        <f>Z1889/'Terms and Turnovers'!$T194</f>
        <v>0</v>
      </c>
      <c r="AA2604" s="728"/>
      <c r="AB2604" s="70">
        <f>AB1889/'Terms and Turnovers'!$T194</f>
        <v>0</v>
      </c>
      <c r="AC2604" s="728"/>
      <c r="AD2604" s="70">
        <f>AD1889/'Terms and Turnovers'!$T194</f>
        <v>0</v>
      </c>
      <c r="AE2604" s="728"/>
      <c r="AF2604" s="132">
        <f>SUM(T2604,V2604,X2604,Z2604,AB2604,AD2604)</f>
        <v>0</v>
      </c>
      <c r="AG2604" s="728"/>
      <c r="AH2604" s="133">
        <f>SUM(AF2604,R2604)</f>
        <v>0</v>
      </c>
      <c r="AI2604" s="728"/>
      <c r="AJ2604" s="65"/>
      <c r="AV2604" s="56"/>
    </row>
    <row r="2605" spans="2:48" ht="12.75" hidden="1" customHeight="1" outlineLevel="2">
      <c r="B2605" s="82"/>
      <c r="C2605" s="1234"/>
      <c r="D2605" s="1234"/>
      <c r="E2605" s="84" t="str">
        <f>'Terms and Turnovers'!$AD$12</f>
        <v>ACCESSORIES</v>
      </c>
      <c r="F2605" s="68">
        <f>F1890/'Terms and Turnovers'!$AD194</f>
        <v>0</v>
      </c>
      <c r="G2605" s="728"/>
      <c r="H2605" s="68">
        <f>H1890/'Terms and Turnovers'!$AD194</f>
        <v>0</v>
      </c>
      <c r="I2605" s="728"/>
      <c r="J2605" s="68">
        <f>J1890/'Terms and Turnovers'!$AD194</f>
        <v>0</v>
      </c>
      <c r="K2605" s="728"/>
      <c r="L2605" s="68">
        <f>L1890/'Terms and Turnovers'!$AD194</f>
        <v>0</v>
      </c>
      <c r="M2605" s="728"/>
      <c r="N2605" s="68">
        <f>N1890/'Terms and Turnovers'!$AD194</f>
        <v>0</v>
      </c>
      <c r="O2605" s="728"/>
      <c r="P2605" s="68">
        <f>P1890/'Terms and Turnovers'!$AD194</f>
        <v>0</v>
      </c>
      <c r="Q2605" s="728"/>
      <c r="R2605" s="132">
        <f>SUM(F2605,H2605,J2605,L2605,N2605,P2605)</f>
        <v>0</v>
      </c>
      <c r="S2605" s="728"/>
      <c r="T2605" s="68">
        <f>T1890/'Terms and Turnovers'!$AD194</f>
        <v>0</v>
      </c>
      <c r="U2605" s="728"/>
      <c r="V2605" s="68">
        <f>V1890/'Terms and Turnovers'!$AD194</f>
        <v>0</v>
      </c>
      <c r="W2605" s="728"/>
      <c r="X2605" s="68">
        <f>X1890/'Terms and Turnovers'!$AD194</f>
        <v>0</v>
      </c>
      <c r="Y2605" s="728"/>
      <c r="Z2605" s="68">
        <f>Z1890/'Terms and Turnovers'!$AD194</f>
        <v>0</v>
      </c>
      <c r="AA2605" s="728"/>
      <c r="AB2605" s="68">
        <f>AB1890/'Terms and Turnovers'!$AD194</f>
        <v>0</v>
      </c>
      <c r="AC2605" s="728"/>
      <c r="AD2605" s="68">
        <f>AD1890/'Terms and Turnovers'!$AD194</f>
        <v>0</v>
      </c>
      <c r="AE2605" s="728"/>
      <c r="AF2605" s="132">
        <f>SUM(T2605,V2605,X2605,Z2605,AB2605,AD2605)</f>
        <v>0</v>
      </c>
      <c r="AG2605" s="728"/>
      <c r="AH2605" s="133">
        <f>SUM(AF2605,R2605)</f>
        <v>0</v>
      </c>
      <c r="AI2605" s="728"/>
      <c r="AJ2605" s="65"/>
      <c r="AV2605" s="56"/>
    </row>
    <row r="2606" spans="2:48" ht="12.75" hidden="1" customHeight="1" outlineLevel="2" thickBot="1">
      <c r="B2606" s="82"/>
      <c r="C2606" s="1234"/>
      <c r="D2606" s="1234"/>
      <c r="E2606" s="84">
        <f>'Terms and Turnovers'!$AN$12</f>
        <v>0</v>
      </c>
      <c r="F2606" s="70">
        <f>F1891/'Terms and Turnovers'!$AN194</f>
        <v>0</v>
      </c>
      <c r="G2606" s="728"/>
      <c r="H2606" s="70">
        <f>H1891/'Terms and Turnovers'!$AN194</f>
        <v>0</v>
      </c>
      <c r="I2606" s="728"/>
      <c r="J2606" s="70">
        <f>J1891/'Terms and Turnovers'!$AN194</f>
        <v>0</v>
      </c>
      <c r="K2606" s="728"/>
      <c r="L2606" s="70">
        <f>L1891/'Terms and Turnovers'!$AN194</f>
        <v>0</v>
      </c>
      <c r="M2606" s="728"/>
      <c r="N2606" s="70">
        <f>N1891/'Terms and Turnovers'!$AN194</f>
        <v>0</v>
      </c>
      <c r="O2606" s="728"/>
      <c r="P2606" s="70">
        <f>P1891/'Terms and Turnovers'!$AN194</f>
        <v>0</v>
      </c>
      <c r="Q2606" s="728"/>
      <c r="R2606" s="132">
        <f>SUM(F2606,H2606,J2606,L2606,N2606,P2606)</f>
        <v>0</v>
      </c>
      <c r="S2606" s="728"/>
      <c r="T2606" s="70">
        <f>T1891/'Terms and Turnovers'!$AN194</f>
        <v>0</v>
      </c>
      <c r="U2606" s="728"/>
      <c r="V2606" s="70">
        <f>V1891/'Terms and Turnovers'!$AN194</f>
        <v>0</v>
      </c>
      <c r="W2606" s="728"/>
      <c r="X2606" s="70">
        <f>X1891/'Terms and Turnovers'!$AN194</f>
        <v>0</v>
      </c>
      <c r="Y2606" s="728"/>
      <c r="Z2606" s="70">
        <f>Z1891/'Terms and Turnovers'!$AN194</f>
        <v>0</v>
      </c>
      <c r="AA2606" s="728"/>
      <c r="AB2606" s="70">
        <f>AB1891/'Terms and Turnovers'!$AN194</f>
        <v>0</v>
      </c>
      <c r="AC2606" s="728"/>
      <c r="AD2606" s="70">
        <f>AD1891/'Terms and Turnovers'!$AN194</f>
        <v>0</v>
      </c>
      <c r="AE2606" s="728"/>
      <c r="AF2606" s="132">
        <f>SUM(T2606,V2606,X2606,Z2606,AB2606,AD2606)</f>
        <v>0</v>
      </c>
      <c r="AG2606" s="728"/>
      <c r="AH2606" s="133">
        <f>SUM(AF2606,R2606)</f>
        <v>0</v>
      </c>
      <c r="AI2606" s="728"/>
      <c r="AJ2606" s="65"/>
      <c r="AV2606" s="56"/>
    </row>
    <row r="2607" spans="2:48" ht="13.5" hidden="1" customHeight="1" outlineLevel="2" thickBot="1">
      <c r="B2607" s="82"/>
      <c r="C2607" s="1235"/>
      <c r="D2607" s="1235"/>
      <c r="E2607" s="85">
        <f>'Terms and Turnovers'!$AX$12</f>
        <v>0</v>
      </c>
      <c r="F2607" s="68">
        <f>F1892/'Terms and Turnovers'!$AX194</f>
        <v>0</v>
      </c>
      <c r="G2607" s="111"/>
      <c r="H2607" s="68">
        <f>H1892/'Terms and Turnovers'!$AX194</f>
        <v>0</v>
      </c>
      <c r="I2607" s="107"/>
      <c r="J2607" s="68">
        <f>J1892/'Terms and Turnovers'!$AX194</f>
        <v>0</v>
      </c>
      <c r="K2607" s="107"/>
      <c r="L2607" s="68">
        <f>L1892/'Terms and Turnovers'!$AX194</f>
        <v>0</v>
      </c>
      <c r="M2607" s="107"/>
      <c r="N2607" s="68">
        <f>N1892/'Terms and Turnovers'!$AX194</f>
        <v>0</v>
      </c>
      <c r="O2607" s="107"/>
      <c r="P2607" s="68">
        <f>P1892/'Terms and Turnovers'!$AX194</f>
        <v>0</v>
      </c>
      <c r="Q2607" s="107"/>
      <c r="R2607" s="135">
        <f>SUM(F2607,H2607,J2607,L2607,N2607,P2607)</f>
        <v>0</v>
      </c>
      <c r="S2607" s="107"/>
      <c r="T2607" s="68">
        <f>T1892/'Terms and Turnovers'!$AX194</f>
        <v>0</v>
      </c>
      <c r="U2607" s="111"/>
      <c r="V2607" s="68">
        <f>V1892/'Terms and Turnovers'!$AX194</f>
        <v>0</v>
      </c>
      <c r="W2607" s="107"/>
      <c r="X2607" s="68">
        <f>X1892/'Terms and Turnovers'!$AX194</f>
        <v>0</v>
      </c>
      <c r="Y2607" s="107"/>
      <c r="Z2607" s="68">
        <f>Z1892/'Terms and Turnovers'!$AX194</f>
        <v>0</v>
      </c>
      <c r="AA2607" s="107"/>
      <c r="AB2607" s="68">
        <f>AB1892/'Terms and Turnovers'!$AX194</f>
        <v>0</v>
      </c>
      <c r="AC2607" s="107"/>
      <c r="AD2607" s="68">
        <f>AD1892/'Terms and Turnovers'!$AX194</f>
        <v>0</v>
      </c>
      <c r="AE2607" s="107"/>
      <c r="AF2607" s="135">
        <f>SUM(T2607,V2607,X2607,Z2607,AB2607,AD2607)</f>
        <v>0</v>
      </c>
      <c r="AG2607" s="107"/>
      <c r="AH2607" s="136">
        <f>SUM(AF2607,R2607)</f>
        <v>0</v>
      </c>
      <c r="AI2607" s="107"/>
      <c r="AJ2607" s="65"/>
      <c r="AV2607" s="56"/>
    </row>
    <row r="2608" spans="2:48" ht="13.5" hidden="1" customHeight="1" outlineLevel="2">
      <c r="B2608" s="82"/>
      <c r="C2608" s="425"/>
      <c r="D2608" s="425"/>
      <c r="E2608" s="634"/>
      <c r="F2608" s="635"/>
      <c r="G2608" s="428"/>
      <c r="H2608" s="635"/>
      <c r="I2608" s="428"/>
      <c r="J2608" s="635"/>
      <c r="K2608" s="636"/>
      <c r="L2608" s="635"/>
      <c r="M2608" s="636"/>
      <c r="N2608" s="635"/>
      <c r="O2608" s="636"/>
      <c r="P2608" s="635"/>
      <c r="Q2608" s="636"/>
      <c r="R2608" s="637"/>
      <c r="S2608" s="698">
        <f>SUM(R1888:R1892)/1.18-(SUM(R2603:R2607)*'Mark Up Validation'!$M$175)</f>
        <v>0</v>
      </c>
      <c r="T2608" s="635"/>
      <c r="U2608" s="636"/>
      <c r="V2608" s="635"/>
      <c r="W2608" s="636"/>
      <c r="X2608" s="635"/>
      <c r="Y2608" s="636"/>
      <c r="Z2608" s="635"/>
      <c r="AA2608" s="636"/>
      <c r="AB2608" s="635"/>
      <c r="AC2608" s="636"/>
      <c r="AD2608" s="635"/>
      <c r="AE2608" s="636"/>
      <c r="AF2608" s="637"/>
      <c r="AG2608" s="698">
        <f>SUM(AF1888:AF1892)/1.18-SUM(AF2603:AF2607)*'Mark Up Validation'!$M$175</f>
        <v>0</v>
      </c>
      <c r="AH2608" s="638"/>
      <c r="AI2608" s="698">
        <f>SUM(AH1888:AH1892)/1.18-SUM(AH2603:AH2607)*'Mark Up Validation'!$M$175</f>
        <v>0</v>
      </c>
      <c r="AJ2608" s="65"/>
      <c r="AV2608" s="56"/>
    </row>
    <row r="2609" spans="2:48" ht="13.5" hidden="1" customHeight="1" outlineLevel="2" thickBot="1">
      <c r="B2609" s="82"/>
      <c r="C2609" s="1228" t="s">
        <v>538</v>
      </c>
      <c r="D2609" s="1229"/>
      <c r="E2609" s="699"/>
      <c r="F2609" s="700"/>
      <c r="G2609" s="701"/>
      <c r="H2609" s="700"/>
      <c r="I2609" s="701"/>
      <c r="J2609" s="700"/>
      <c r="K2609" s="702"/>
      <c r="L2609" s="700"/>
      <c r="M2609" s="702"/>
      <c r="N2609" s="700"/>
      <c r="O2609" s="702"/>
      <c r="P2609" s="700"/>
      <c r="Q2609" s="702"/>
      <c r="R2609" s="703"/>
      <c r="S2609" s="729">
        <f>IF(S2608&gt;0,S2608/(SUM(R1888:R1892)/1.18),0)</f>
        <v>0</v>
      </c>
      <c r="T2609" s="700"/>
      <c r="U2609" s="702"/>
      <c r="V2609" s="700"/>
      <c r="W2609" s="702"/>
      <c r="X2609" s="700"/>
      <c r="Y2609" s="702"/>
      <c r="Z2609" s="700"/>
      <c r="AA2609" s="702"/>
      <c r="AB2609" s="700"/>
      <c r="AC2609" s="702"/>
      <c r="AD2609" s="700"/>
      <c r="AE2609" s="702"/>
      <c r="AF2609" s="705"/>
      <c r="AG2609" s="729">
        <f>IF(AG2608&gt;0,AG2608/(SUM(AF1888:AF1892)/1.18),0)</f>
        <v>0</v>
      </c>
      <c r="AH2609" s="706"/>
      <c r="AI2609" s="729">
        <f>IF(AI2608&gt;0,AI2608/(SUM(AH1888:AH1892)/1.18),0)</f>
        <v>0</v>
      </c>
      <c r="AJ2609" s="65"/>
      <c r="AV2609" s="56"/>
    </row>
    <row r="2610" spans="2:48" ht="12.75" hidden="1" customHeight="1" outlineLevel="2">
      <c r="B2610" s="82">
        <f>B2603+1</f>
        <v>64</v>
      </c>
      <c r="C2610" s="1233">
        <f>C1895</f>
        <v>0</v>
      </c>
      <c r="D2610" s="1233">
        <f>D1895</f>
        <v>0</v>
      </c>
      <c r="E2610" s="83" t="str">
        <f>'Terms and Turnovers'!$J$12</f>
        <v>FLIP-FLOPS</v>
      </c>
      <c r="F2610" s="68">
        <f>F1895/'Terms and Turnovers'!$J195</f>
        <v>0</v>
      </c>
      <c r="G2610" s="106"/>
      <c r="H2610" s="68">
        <f>H1895/'Terms and Turnovers'!$J195</f>
        <v>0</v>
      </c>
      <c r="I2610" s="106"/>
      <c r="J2610" s="68">
        <f>J1895/'Terms and Turnovers'!$J195</f>
        <v>0</v>
      </c>
      <c r="K2610" s="106"/>
      <c r="L2610" s="68">
        <f>L1895/'Terms and Turnovers'!$J195</f>
        <v>0</v>
      </c>
      <c r="M2610" s="106"/>
      <c r="N2610" s="68">
        <f>N1895/'Terms and Turnovers'!$J195</f>
        <v>0</v>
      </c>
      <c r="O2610" s="106"/>
      <c r="P2610" s="68">
        <f>P1895/'Terms and Turnovers'!$J195</f>
        <v>0</v>
      </c>
      <c r="Q2610" s="106"/>
      <c r="R2610" s="129">
        <f>SUM(F2610,H2610,J2610,L2610,N2610,P2610)</f>
        <v>0</v>
      </c>
      <c r="S2610" s="106"/>
      <c r="T2610" s="68">
        <f>T1895/'Terms and Turnovers'!$J195</f>
        <v>0</v>
      </c>
      <c r="U2610" s="106"/>
      <c r="V2610" s="68">
        <f>V1895/'Terms and Turnovers'!$J195</f>
        <v>0</v>
      </c>
      <c r="W2610" s="106"/>
      <c r="X2610" s="68">
        <f>X1895/'Terms and Turnovers'!$J195</f>
        <v>0</v>
      </c>
      <c r="Y2610" s="106"/>
      <c r="Z2610" s="68">
        <f>Z1895/'Terms and Turnovers'!$J195</f>
        <v>0</v>
      </c>
      <c r="AA2610" s="106"/>
      <c r="AB2610" s="68">
        <f>AB1895/'Terms and Turnovers'!$J195</f>
        <v>0</v>
      </c>
      <c r="AC2610" s="106"/>
      <c r="AD2610" s="68">
        <f>AD1895/'Terms and Turnovers'!$J195</f>
        <v>0</v>
      </c>
      <c r="AE2610" s="106"/>
      <c r="AF2610" s="129">
        <f>SUM(T2610,V2610,X2610,Z2610,AB2610,AD2610)</f>
        <v>0</v>
      </c>
      <c r="AG2610" s="106"/>
      <c r="AH2610" s="130">
        <f>SUM(AF2610,R2610)</f>
        <v>0</v>
      </c>
      <c r="AI2610" s="106"/>
      <c r="AJ2610" s="65"/>
      <c r="AV2610" s="56"/>
    </row>
    <row r="2611" spans="2:48" ht="12.75" hidden="1" customHeight="1" outlineLevel="2" thickBot="1">
      <c r="B2611" s="82"/>
      <c r="C2611" s="1234"/>
      <c r="D2611" s="1234"/>
      <c r="E2611" s="84" t="str">
        <f>'Terms and Turnovers'!$T$12</f>
        <v>ORIGINALS</v>
      </c>
      <c r="F2611" s="70">
        <f>F1896/'Terms and Turnovers'!$T195</f>
        <v>0</v>
      </c>
      <c r="G2611" s="728"/>
      <c r="H2611" s="70">
        <f>H1896/'Terms and Turnovers'!$T195</f>
        <v>0</v>
      </c>
      <c r="I2611" s="728"/>
      <c r="J2611" s="70">
        <f>J1896/'Terms and Turnovers'!$T195</f>
        <v>0</v>
      </c>
      <c r="K2611" s="728"/>
      <c r="L2611" s="70">
        <f>L1896/'Terms and Turnovers'!$T195</f>
        <v>0</v>
      </c>
      <c r="M2611" s="728"/>
      <c r="N2611" s="70">
        <f>N1896/'Terms and Turnovers'!$T195</f>
        <v>0</v>
      </c>
      <c r="O2611" s="728"/>
      <c r="P2611" s="70">
        <f>P1896/'Terms and Turnovers'!$T195</f>
        <v>0</v>
      </c>
      <c r="Q2611" s="728"/>
      <c r="R2611" s="132">
        <f>SUM(F2611,H2611,J2611,L2611,N2611,P2611)</f>
        <v>0</v>
      </c>
      <c r="S2611" s="728"/>
      <c r="T2611" s="70">
        <f>T1896/'Terms and Turnovers'!$T195</f>
        <v>0</v>
      </c>
      <c r="U2611" s="728"/>
      <c r="V2611" s="70">
        <f>V1896/'Terms and Turnovers'!$T195</f>
        <v>0</v>
      </c>
      <c r="W2611" s="728"/>
      <c r="X2611" s="70">
        <f>X1896/'Terms and Turnovers'!$T195</f>
        <v>0</v>
      </c>
      <c r="Y2611" s="728"/>
      <c r="Z2611" s="70">
        <f>Z1896/'Terms and Turnovers'!$T195</f>
        <v>0</v>
      </c>
      <c r="AA2611" s="728"/>
      <c r="AB2611" s="70">
        <f>AB1896/'Terms and Turnovers'!$T195</f>
        <v>0</v>
      </c>
      <c r="AC2611" s="728"/>
      <c r="AD2611" s="70">
        <f>AD1896/'Terms and Turnovers'!$T195</f>
        <v>0</v>
      </c>
      <c r="AE2611" s="728"/>
      <c r="AF2611" s="132">
        <f>SUM(T2611,V2611,X2611,Z2611,AB2611,AD2611)</f>
        <v>0</v>
      </c>
      <c r="AG2611" s="728"/>
      <c r="AH2611" s="133">
        <f>SUM(AF2611,R2611)</f>
        <v>0</v>
      </c>
      <c r="AI2611" s="728"/>
      <c r="AJ2611" s="65"/>
      <c r="AV2611" s="56"/>
    </row>
    <row r="2612" spans="2:48" ht="12.75" hidden="1" customHeight="1" outlineLevel="2">
      <c r="B2612" s="82"/>
      <c r="C2612" s="1234"/>
      <c r="D2612" s="1234"/>
      <c r="E2612" s="84" t="str">
        <f>'Terms and Turnovers'!$AD$12</f>
        <v>ACCESSORIES</v>
      </c>
      <c r="F2612" s="68">
        <f>F1897/'Terms and Turnovers'!$AD195</f>
        <v>0</v>
      </c>
      <c r="G2612" s="728"/>
      <c r="H2612" s="68">
        <f>H1897/'Terms and Turnovers'!$AD195</f>
        <v>0</v>
      </c>
      <c r="I2612" s="728"/>
      <c r="J2612" s="68">
        <f>J1897/'Terms and Turnovers'!$AD195</f>
        <v>0</v>
      </c>
      <c r="K2612" s="728"/>
      <c r="L2612" s="68">
        <f>L1897/'Terms and Turnovers'!$AD195</f>
        <v>0</v>
      </c>
      <c r="M2612" s="728"/>
      <c r="N2612" s="68">
        <f>N1897/'Terms and Turnovers'!$AD195</f>
        <v>0</v>
      </c>
      <c r="O2612" s="728"/>
      <c r="P2612" s="68">
        <f>P1897/'Terms and Turnovers'!$AD195</f>
        <v>0</v>
      </c>
      <c r="Q2612" s="728"/>
      <c r="R2612" s="132">
        <f>SUM(F2612,H2612,J2612,L2612,N2612,P2612)</f>
        <v>0</v>
      </c>
      <c r="S2612" s="728"/>
      <c r="T2612" s="68">
        <f>T1897/'Terms and Turnovers'!$AD195</f>
        <v>0</v>
      </c>
      <c r="U2612" s="728"/>
      <c r="V2612" s="68">
        <f>V1897/'Terms and Turnovers'!$AD195</f>
        <v>0</v>
      </c>
      <c r="W2612" s="728"/>
      <c r="X2612" s="68">
        <f>X1897/'Terms and Turnovers'!$AD195</f>
        <v>0</v>
      </c>
      <c r="Y2612" s="728"/>
      <c r="Z2612" s="68">
        <f>Z1897/'Terms and Turnovers'!$AD195</f>
        <v>0</v>
      </c>
      <c r="AA2612" s="728"/>
      <c r="AB2612" s="68">
        <f>AB1897/'Terms and Turnovers'!$AD195</f>
        <v>0</v>
      </c>
      <c r="AC2612" s="728"/>
      <c r="AD2612" s="68">
        <f>AD1897/'Terms and Turnovers'!$AD195</f>
        <v>0</v>
      </c>
      <c r="AE2612" s="728"/>
      <c r="AF2612" s="132">
        <f>SUM(T2612,V2612,X2612,Z2612,AB2612,AD2612)</f>
        <v>0</v>
      </c>
      <c r="AG2612" s="728"/>
      <c r="AH2612" s="133">
        <f>SUM(AF2612,R2612)</f>
        <v>0</v>
      </c>
      <c r="AI2612" s="728"/>
      <c r="AJ2612" s="65"/>
      <c r="AV2612" s="56"/>
    </row>
    <row r="2613" spans="2:48" ht="12.75" hidden="1" customHeight="1" outlineLevel="2" thickBot="1">
      <c r="B2613" s="82"/>
      <c r="C2613" s="1234"/>
      <c r="D2613" s="1234"/>
      <c r="E2613" s="84">
        <f>'Terms and Turnovers'!$AN$12</f>
        <v>0</v>
      </c>
      <c r="F2613" s="70">
        <f>F1898/'Terms and Turnovers'!$AN195</f>
        <v>0</v>
      </c>
      <c r="G2613" s="728"/>
      <c r="H2613" s="70">
        <f>H1898/'Terms and Turnovers'!$AN195</f>
        <v>0</v>
      </c>
      <c r="I2613" s="728"/>
      <c r="J2613" s="70">
        <f>J1898/'Terms and Turnovers'!$AN195</f>
        <v>0</v>
      </c>
      <c r="K2613" s="728"/>
      <c r="L2613" s="70">
        <f>L1898/'Terms and Turnovers'!$AN195</f>
        <v>0</v>
      </c>
      <c r="M2613" s="728"/>
      <c r="N2613" s="70">
        <f>N1898/'Terms and Turnovers'!$AN195</f>
        <v>0</v>
      </c>
      <c r="O2613" s="728"/>
      <c r="P2613" s="70">
        <f>P1898/'Terms and Turnovers'!$AN195</f>
        <v>0</v>
      </c>
      <c r="Q2613" s="728"/>
      <c r="R2613" s="132">
        <f>SUM(F2613,H2613,J2613,L2613,N2613,P2613)</f>
        <v>0</v>
      </c>
      <c r="S2613" s="728"/>
      <c r="T2613" s="70">
        <f>T1898/'Terms and Turnovers'!$AN195</f>
        <v>0</v>
      </c>
      <c r="U2613" s="728"/>
      <c r="V2613" s="70">
        <f>V1898/'Terms and Turnovers'!$AN195</f>
        <v>0</v>
      </c>
      <c r="W2613" s="728"/>
      <c r="X2613" s="70">
        <f>X1898/'Terms and Turnovers'!$AN195</f>
        <v>0</v>
      </c>
      <c r="Y2613" s="728"/>
      <c r="Z2613" s="70">
        <f>Z1898/'Terms and Turnovers'!$AN195</f>
        <v>0</v>
      </c>
      <c r="AA2613" s="728"/>
      <c r="AB2613" s="70">
        <f>AB1898/'Terms and Turnovers'!$AN195</f>
        <v>0</v>
      </c>
      <c r="AC2613" s="728"/>
      <c r="AD2613" s="70">
        <f>AD1898/'Terms and Turnovers'!$AN195</f>
        <v>0</v>
      </c>
      <c r="AE2613" s="728"/>
      <c r="AF2613" s="132">
        <f>SUM(T2613,V2613,X2613,Z2613,AB2613,AD2613)</f>
        <v>0</v>
      </c>
      <c r="AG2613" s="728"/>
      <c r="AH2613" s="133">
        <f>SUM(AF2613,R2613)</f>
        <v>0</v>
      </c>
      <c r="AI2613" s="728"/>
      <c r="AJ2613" s="65"/>
      <c r="AV2613" s="56"/>
    </row>
    <row r="2614" spans="2:48" ht="13.5" hidden="1" customHeight="1" outlineLevel="2" thickBot="1">
      <c r="B2614" s="82"/>
      <c r="C2614" s="1235"/>
      <c r="D2614" s="1235"/>
      <c r="E2614" s="85">
        <f>'Terms and Turnovers'!$AX$12</f>
        <v>0</v>
      </c>
      <c r="F2614" s="68">
        <f>F1899/'Terms and Turnovers'!$AX195</f>
        <v>0</v>
      </c>
      <c r="G2614" s="111"/>
      <c r="H2614" s="68">
        <f>H1899/'Terms and Turnovers'!$AX195</f>
        <v>0</v>
      </c>
      <c r="I2614" s="107"/>
      <c r="J2614" s="68">
        <f>J1899/'Terms and Turnovers'!$AX195</f>
        <v>0</v>
      </c>
      <c r="K2614" s="107"/>
      <c r="L2614" s="68">
        <f>L1899/'Terms and Turnovers'!$AX195</f>
        <v>0</v>
      </c>
      <c r="M2614" s="107"/>
      <c r="N2614" s="68">
        <f>N1899/'Terms and Turnovers'!$AX195</f>
        <v>0</v>
      </c>
      <c r="O2614" s="107"/>
      <c r="P2614" s="68">
        <f>P1899/'Terms and Turnovers'!$AX195</f>
        <v>0</v>
      </c>
      <c r="Q2614" s="107"/>
      <c r="R2614" s="135">
        <f>SUM(F2614,H2614,J2614,L2614,N2614,P2614)</f>
        <v>0</v>
      </c>
      <c r="S2614" s="107"/>
      <c r="T2614" s="68">
        <f>T1899/'Terms and Turnovers'!$AX195</f>
        <v>0</v>
      </c>
      <c r="U2614" s="111"/>
      <c r="V2614" s="68">
        <f>V1899/'Terms and Turnovers'!$AX195</f>
        <v>0</v>
      </c>
      <c r="W2614" s="107"/>
      <c r="X2614" s="68">
        <f>X1899/'Terms and Turnovers'!$AX195</f>
        <v>0</v>
      </c>
      <c r="Y2614" s="107"/>
      <c r="Z2614" s="68">
        <f>Z1899/'Terms and Turnovers'!$AX195</f>
        <v>0</v>
      </c>
      <c r="AA2614" s="107"/>
      <c r="AB2614" s="68">
        <f>AB1899/'Terms and Turnovers'!$AX195</f>
        <v>0</v>
      </c>
      <c r="AC2614" s="107"/>
      <c r="AD2614" s="68">
        <f>AD1899/'Terms and Turnovers'!$AX195</f>
        <v>0</v>
      </c>
      <c r="AE2614" s="107"/>
      <c r="AF2614" s="135">
        <f>SUM(T2614,V2614,X2614,Z2614,AB2614,AD2614)</f>
        <v>0</v>
      </c>
      <c r="AG2614" s="107"/>
      <c r="AH2614" s="136">
        <f>SUM(AF2614,R2614)</f>
        <v>0</v>
      </c>
      <c r="AI2614" s="107"/>
      <c r="AJ2614" s="65"/>
      <c r="AV2614" s="56"/>
    </row>
    <row r="2615" spans="2:48" ht="13.5" hidden="1" customHeight="1" outlineLevel="2">
      <c r="B2615" s="82"/>
      <c r="C2615" s="425"/>
      <c r="D2615" s="425"/>
      <c r="E2615" s="634"/>
      <c r="F2615" s="635"/>
      <c r="G2615" s="428"/>
      <c r="H2615" s="635"/>
      <c r="I2615" s="428"/>
      <c r="J2615" s="635"/>
      <c r="K2615" s="636"/>
      <c r="L2615" s="635"/>
      <c r="M2615" s="636"/>
      <c r="N2615" s="635"/>
      <c r="O2615" s="636"/>
      <c r="P2615" s="635"/>
      <c r="Q2615" s="636"/>
      <c r="R2615" s="637"/>
      <c r="S2615" s="698">
        <f>SUM(R1895:R1899)/1.18-(SUM(R2610:R2614)*'Mark Up Validation'!$M$175)</f>
        <v>0</v>
      </c>
      <c r="T2615" s="635"/>
      <c r="U2615" s="636"/>
      <c r="V2615" s="635"/>
      <c r="W2615" s="636"/>
      <c r="X2615" s="635"/>
      <c r="Y2615" s="636"/>
      <c r="Z2615" s="635"/>
      <c r="AA2615" s="636"/>
      <c r="AB2615" s="635"/>
      <c r="AC2615" s="636"/>
      <c r="AD2615" s="635"/>
      <c r="AE2615" s="636"/>
      <c r="AF2615" s="637"/>
      <c r="AG2615" s="698">
        <f>SUM(AF1895:AF1899)/1.18-SUM(AF2610:AF2614)*'Mark Up Validation'!$M$175</f>
        <v>0</v>
      </c>
      <c r="AH2615" s="638"/>
      <c r="AI2615" s="698">
        <f>SUM(AH1895:AH1899)/1.18-SUM(AH2610:AH2614)*'Mark Up Validation'!$M$175</f>
        <v>0</v>
      </c>
      <c r="AJ2615" s="65"/>
      <c r="AV2615" s="56"/>
    </row>
    <row r="2616" spans="2:48" ht="13.5" hidden="1" customHeight="1" outlineLevel="2" thickBot="1">
      <c r="B2616" s="82"/>
      <c r="C2616" s="1228" t="s">
        <v>538</v>
      </c>
      <c r="D2616" s="1229"/>
      <c r="E2616" s="699"/>
      <c r="F2616" s="700"/>
      <c r="G2616" s="701"/>
      <c r="H2616" s="700"/>
      <c r="I2616" s="701"/>
      <c r="J2616" s="700"/>
      <c r="K2616" s="702"/>
      <c r="L2616" s="700"/>
      <c r="M2616" s="702"/>
      <c r="N2616" s="700"/>
      <c r="O2616" s="702"/>
      <c r="P2616" s="700"/>
      <c r="Q2616" s="702"/>
      <c r="R2616" s="703"/>
      <c r="S2616" s="729">
        <f>IF(S2615&gt;0,S2615/(SUM(R1895:R1899)/1.18),0)</f>
        <v>0</v>
      </c>
      <c r="T2616" s="700"/>
      <c r="U2616" s="702"/>
      <c r="V2616" s="700"/>
      <c r="W2616" s="702"/>
      <c r="X2616" s="700"/>
      <c r="Y2616" s="702"/>
      <c r="Z2616" s="700"/>
      <c r="AA2616" s="702"/>
      <c r="AB2616" s="700"/>
      <c r="AC2616" s="702"/>
      <c r="AD2616" s="700"/>
      <c r="AE2616" s="702"/>
      <c r="AF2616" s="705"/>
      <c r="AG2616" s="729">
        <f>IF(AG2615&gt;0,AG2615/(SUM(AF1895:AF1899)/1.18),0)</f>
        <v>0</v>
      </c>
      <c r="AH2616" s="706"/>
      <c r="AI2616" s="729">
        <f>IF(AI2615&gt;0,AI2615/(SUM(AH1895:AH1899)/1.18),0)</f>
        <v>0</v>
      </c>
      <c r="AJ2616" s="65"/>
      <c r="AV2616" s="56"/>
    </row>
    <row r="2617" spans="2:48" ht="12.75" customHeight="1" collapsed="1">
      <c r="B2617" s="82">
        <f>B2610+1</f>
        <v>65</v>
      </c>
      <c r="C2617" s="1233">
        <f>C1902</f>
        <v>0</v>
      </c>
      <c r="D2617" s="1233">
        <f>D1902</f>
        <v>0</v>
      </c>
      <c r="E2617" s="83" t="str">
        <f>'Terms and Turnovers'!$J$12</f>
        <v>FLIP-FLOPS</v>
      </c>
      <c r="F2617" s="68">
        <f>F1902/'Terms and Turnovers'!$J196</f>
        <v>0</v>
      </c>
      <c r="G2617" s="106"/>
      <c r="H2617" s="68">
        <f>H1902/'Terms and Turnovers'!$J196</f>
        <v>0</v>
      </c>
      <c r="I2617" s="106"/>
      <c r="J2617" s="68">
        <f>J1902/'Terms and Turnovers'!$J196</f>
        <v>0</v>
      </c>
      <c r="K2617" s="106"/>
      <c r="L2617" s="68">
        <f>L1902/'Terms and Turnovers'!$J196</f>
        <v>0</v>
      </c>
      <c r="M2617" s="106"/>
      <c r="N2617" s="68">
        <f>N1902/'Terms and Turnovers'!$J196</f>
        <v>0</v>
      </c>
      <c r="O2617" s="106"/>
      <c r="P2617" s="68">
        <f>P1902/'Terms and Turnovers'!$J196</f>
        <v>0</v>
      </c>
      <c r="Q2617" s="106"/>
      <c r="R2617" s="129">
        <f>SUM(F2617,H2617,J2617,L2617,N2617,P2617)</f>
        <v>0</v>
      </c>
      <c r="S2617" s="106"/>
      <c r="T2617" s="68">
        <f>T1902/'Terms and Turnovers'!$J196</f>
        <v>0</v>
      </c>
      <c r="U2617" s="106"/>
      <c r="V2617" s="68">
        <f>V1902/'Terms and Turnovers'!$J196</f>
        <v>0</v>
      </c>
      <c r="W2617" s="106"/>
      <c r="X2617" s="68">
        <f>X1902/'Terms and Turnovers'!$J196</f>
        <v>0</v>
      </c>
      <c r="Y2617" s="106"/>
      <c r="Z2617" s="68">
        <f>Z1902/'Terms and Turnovers'!$J196</f>
        <v>0</v>
      </c>
      <c r="AA2617" s="106"/>
      <c r="AB2617" s="68">
        <f>AB1902/'Terms and Turnovers'!$J196</f>
        <v>0</v>
      </c>
      <c r="AC2617" s="106"/>
      <c r="AD2617" s="68">
        <f>AD1902/'Terms and Turnovers'!$J196</f>
        <v>0</v>
      </c>
      <c r="AE2617" s="106"/>
      <c r="AF2617" s="129">
        <f>SUM(T2617,V2617,X2617,Z2617,AB2617,AD2617)</f>
        <v>0</v>
      </c>
      <c r="AG2617" s="106"/>
      <c r="AH2617" s="130">
        <f>SUM(AF2617,R2617)</f>
        <v>0</v>
      </c>
      <c r="AI2617" s="106"/>
      <c r="AJ2617" s="65"/>
    </row>
    <row r="2618" spans="2:48" ht="12.75" customHeight="1" thickBot="1">
      <c r="B2618" s="82"/>
      <c r="C2618" s="1234"/>
      <c r="D2618" s="1234"/>
      <c r="E2618" s="84" t="str">
        <f>'Terms and Turnovers'!$T$12</f>
        <v>ORIGINALS</v>
      </c>
      <c r="F2618" s="70">
        <f>F1903/'Terms and Turnovers'!$T196</f>
        <v>0</v>
      </c>
      <c r="G2618" s="728"/>
      <c r="H2618" s="70">
        <f>H1903/'Terms and Turnovers'!$T196</f>
        <v>0</v>
      </c>
      <c r="I2618" s="728"/>
      <c r="J2618" s="70">
        <f>J1903/'Terms and Turnovers'!$T196</f>
        <v>0</v>
      </c>
      <c r="K2618" s="728"/>
      <c r="L2618" s="70">
        <f>L1903/'Terms and Turnovers'!$T196</f>
        <v>0</v>
      </c>
      <c r="M2618" s="728"/>
      <c r="N2618" s="70">
        <f>N1903/'Terms and Turnovers'!$T196</f>
        <v>0</v>
      </c>
      <c r="O2618" s="728"/>
      <c r="P2618" s="70">
        <f>P1903/'Terms and Turnovers'!$T196</f>
        <v>0</v>
      </c>
      <c r="Q2618" s="728"/>
      <c r="R2618" s="132">
        <f>SUM(F2618,H2618,J2618,L2618,N2618,P2618)</f>
        <v>0</v>
      </c>
      <c r="S2618" s="728"/>
      <c r="T2618" s="70">
        <f>T1903/'Terms and Turnovers'!$T196</f>
        <v>0</v>
      </c>
      <c r="U2618" s="728"/>
      <c r="V2618" s="70">
        <f>V1903/'Terms and Turnovers'!$T196</f>
        <v>0</v>
      </c>
      <c r="W2618" s="728"/>
      <c r="X2618" s="70">
        <f>X1903/'Terms and Turnovers'!$T196</f>
        <v>0</v>
      </c>
      <c r="Y2618" s="728"/>
      <c r="Z2618" s="70">
        <f>Z1903/'Terms and Turnovers'!$T196</f>
        <v>0</v>
      </c>
      <c r="AA2618" s="728"/>
      <c r="AB2618" s="70">
        <f>AB1903/'Terms and Turnovers'!$T196</f>
        <v>0</v>
      </c>
      <c r="AC2618" s="728"/>
      <c r="AD2618" s="70">
        <f>AD1903/'Terms and Turnovers'!$T196</f>
        <v>0</v>
      </c>
      <c r="AE2618" s="728"/>
      <c r="AF2618" s="132">
        <f>SUM(T2618,V2618,X2618,Z2618,AB2618,AD2618)</f>
        <v>0</v>
      </c>
      <c r="AG2618" s="728"/>
      <c r="AH2618" s="133">
        <f>SUM(AF2618,R2618)</f>
        <v>0</v>
      </c>
      <c r="AI2618" s="728"/>
      <c r="AJ2618" s="65"/>
    </row>
    <row r="2619" spans="2:48" ht="12.75" customHeight="1">
      <c r="B2619" s="82"/>
      <c r="C2619" s="1234"/>
      <c r="D2619" s="1234"/>
      <c r="E2619" s="84" t="str">
        <f>'Terms and Turnovers'!$AD$12</f>
        <v>ACCESSORIES</v>
      </c>
      <c r="F2619" s="68">
        <f>F1904/'Terms and Turnovers'!$AD196</f>
        <v>0</v>
      </c>
      <c r="G2619" s="728"/>
      <c r="H2619" s="68">
        <f>H1904/'Terms and Turnovers'!$AD196</f>
        <v>0</v>
      </c>
      <c r="I2619" s="728"/>
      <c r="J2619" s="68">
        <f>J1904/'Terms and Turnovers'!$AD196</f>
        <v>0</v>
      </c>
      <c r="K2619" s="728"/>
      <c r="L2619" s="68">
        <f>L1904/'Terms and Turnovers'!$AD196</f>
        <v>0</v>
      </c>
      <c r="M2619" s="728"/>
      <c r="N2619" s="68">
        <f>N1904/'Terms and Turnovers'!$AD196</f>
        <v>0</v>
      </c>
      <c r="O2619" s="728"/>
      <c r="P2619" s="68">
        <f>P1904/'Terms and Turnovers'!$AD196</f>
        <v>0</v>
      </c>
      <c r="Q2619" s="728"/>
      <c r="R2619" s="132">
        <f>SUM(F2619,H2619,J2619,L2619,N2619,P2619)</f>
        <v>0</v>
      </c>
      <c r="S2619" s="728"/>
      <c r="T2619" s="68">
        <f>T1904/'Terms and Turnovers'!$AD196</f>
        <v>0</v>
      </c>
      <c r="U2619" s="728"/>
      <c r="V2619" s="68">
        <f>V1904/'Terms and Turnovers'!$AD196</f>
        <v>0</v>
      </c>
      <c r="W2619" s="728"/>
      <c r="X2619" s="68">
        <f>X1904/'Terms and Turnovers'!$AD196</f>
        <v>0</v>
      </c>
      <c r="Y2619" s="728"/>
      <c r="Z2619" s="68">
        <f>Z1904/'Terms and Turnovers'!$AD196</f>
        <v>0</v>
      </c>
      <c r="AA2619" s="728"/>
      <c r="AB2619" s="68">
        <f>AB1904/'Terms and Turnovers'!$AD196</f>
        <v>0</v>
      </c>
      <c r="AC2619" s="728"/>
      <c r="AD2619" s="68">
        <f>AD1904/'Terms and Turnovers'!$AD196</f>
        <v>0</v>
      </c>
      <c r="AE2619" s="728"/>
      <c r="AF2619" s="132">
        <f>SUM(T2619,V2619,X2619,Z2619,AB2619,AD2619)</f>
        <v>0</v>
      </c>
      <c r="AG2619" s="728"/>
      <c r="AH2619" s="133">
        <f>SUM(AF2619,R2619)</f>
        <v>0</v>
      </c>
      <c r="AI2619" s="728"/>
      <c r="AJ2619" s="65"/>
    </row>
    <row r="2620" spans="2:48" ht="12.75" customHeight="1" thickBot="1">
      <c r="B2620" s="82"/>
      <c r="C2620" s="1234"/>
      <c r="D2620" s="1234"/>
      <c r="E2620" s="84">
        <f>'Terms and Turnovers'!$AN$12</f>
        <v>0</v>
      </c>
      <c r="F2620" s="70">
        <f>F1905/'Terms and Turnovers'!$AN196</f>
        <v>0</v>
      </c>
      <c r="G2620" s="728"/>
      <c r="H2620" s="70">
        <f>H1905/'Terms and Turnovers'!$AN196</f>
        <v>0</v>
      </c>
      <c r="I2620" s="728"/>
      <c r="J2620" s="70">
        <f>J1905/'Terms and Turnovers'!$AN196</f>
        <v>0</v>
      </c>
      <c r="K2620" s="728"/>
      <c r="L2620" s="70">
        <f>L1905/'Terms and Turnovers'!$AN196</f>
        <v>0</v>
      </c>
      <c r="M2620" s="728"/>
      <c r="N2620" s="70">
        <f>N1905/'Terms and Turnovers'!$AN196</f>
        <v>0</v>
      </c>
      <c r="O2620" s="728"/>
      <c r="P2620" s="70">
        <f>P1905/'Terms and Turnovers'!$AN196</f>
        <v>0</v>
      </c>
      <c r="Q2620" s="728"/>
      <c r="R2620" s="132">
        <f>SUM(F2620,H2620,J2620,L2620,N2620,P2620)</f>
        <v>0</v>
      </c>
      <c r="S2620" s="728"/>
      <c r="T2620" s="70">
        <f>T1905/'Terms and Turnovers'!$AN196</f>
        <v>0</v>
      </c>
      <c r="U2620" s="728"/>
      <c r="V2620" s="70">
        <f>V1905/'Terms and Turnovers'!$AN196</f>
        <v>0</v>
      </c>
      <c r="W2620" s="728"/>
      <c r="X2620" s="70">
        <f>X1905/'Terms and Turnovers'!$AN196</f>
        <v>0</v>
      </c>
      <c r="Y2620" s="728"/>
      <c r="Z2620" s="70">
        <f>Z1905/'Terms and Turnovers'!$AN196</f>
        <v>0</v>
      </c>
      <c r="AA2620" s="728"/>
      <c r="AB2620" s="70">
        <f>AB1905/'Terms and Turnovers'!$AN196</f>
        <v>0</v>
      </c>
      <c r="AC2620" s="728"/>
      <c r="AD2620" s="70">
        <f>AD1905/'Terms and Turnovers'!$AN196</f>
        <v>0</v>
      </c>
      <c r="AE2620" s="728"/>
      <c r="AF2620" s="132">
        <f>SUM(T2620,V2620,X2620,Z2620,AB2620,AD2620)</f>
        <v>0</v>
      </c>
      <c r="AG2620" s="728"/>
      <c r="AH2620" s="133">
        <f>SUM(AF2620,R2620)</f>
        <v>0</v>
      </c>
      <c r="AI2620" s="728"/>
      <c r="AJ2620" s="65"/>
    </row>
    <row r="2621" spans="2:48" ht="13.5" customHeight="1" thickBot="1">
      <c r="B2621" s="82"/>
      <c r="C2621" s="1235"/>
      <c r="D2621" s="1235"/>
      <c r="E2621" s="85">
        <f>'Terms and Turnovers'!$AX$12</f>
        <v>0</v>
      </c>
      <c r="F2621" s="68">
        <f>F1906/'Terms and Turnovers'!$AX196</f>
        <v>0</v>
      </c>
      <c r="G2621" s="111"/>
      <c r="H2621" s="68">
        <f>H1906/'Terms and Turnovers'!$AX196</f>
        <v>0</v>
      </c>
      <c r="I2621" s="107"/>
      <c r="J2621" s="68">
        <f>J1906/'Terms and Turnovers'!$AX196</f>
        <v>0</v>
      </c>
      <c r="K2621" s="107"/>
      <c r="L2621" s="68">
        <f>L1906/'Terms and Turnovers'!$AX196</f>
        <v>0</v>
      </c>
      <c r="M2621" s="107"/>
      <c r="N2621" s="68">
        <f>N1906/'Terms and Turnovers'!$AX196</f>
        <v>0</v>
      </c>
      <c r="O2621" s="107"/>
      <c r="P2621" s="68">
        <f>P1906/'Terms and Turnovers'!$AX196</f>
        <v>0</v>
      </c>
      <c r="Q2621" s="107"/>
      <c r="R2621" s="135">
        <f>SUM(F2621,H2621,J2621,L2621,N2621,P2621)</f>
        <v>0</v>
      </c>
      <c r="S2621" s="107"/>
      <c r="T2621" s="68">
        <f>T1906/'Terms and Turnovers'!$AX196</f>
        <v>0</v>
      </c>
      <c r="U2621" s="111"/>
      <c r="V2621" s="68">
        <f>V1906/'Terms and Turnovers'!$AX196</f>
        <v>0</v>
      </c>
      <c r="W2621" s="107"/>
      <c r="X2621" s="68">
        <f>X1906/'Terms and Turnovers'!$AX196</f>
        <v>0</v>
      </c>
      <c r="Y2621" s="107"/>
      <c r="Z2621" s="68">
        <f>Z1906/'Terms and Turnovers'!$AX196</f>
        <v>0</v>
      </c>
      <c r="AA2621" s="107"/>
      <c r="AB2621" s="68">
        <f>AB1906/'Terms and Turnovers'!$AX196</f>
        <v>0</v>
      </c>
      <c r="AC2621" s="107"/>
      <c r="AD2621" s="68">
        <f>AD1906/'Terms and Turnovers'!$AX196</f>
        <v>0</v>
      </c>
      <c r="AE2621" s="107"/>
      <c r="AF2621" s="135">
        <f>SUM(T2621,V2621,X2621,Z2621,AB2621,AD2621)</f>
        <v>0</v>
      </c>
      <c r="AG2621" s="107"/>
      <c r="AH2621" s="136">
        <f>SUM(AF2621,R2621)</f>
        <v>0</v>
      </c>
      <c r="AI2621" s="107"/>
      <c r="AJ2621" s="65"/>
    </row>
    <row r="2622" spans="2:48" ht="13.5" customHeight="1">
      <c r="B2622" s="82"/>
      <c r="C2622" s="425"/>
      <c r="D2622" s="425"/>
      <c r="E2622" s="634"/>
      <c r="F2622" s="635"/>
      <c r="G2622" s="428"/>
      <c r="H2622" s="635"/>
      <c r="I2622" s="428"/>
      <c r="J2622" s="635"/>
      <c r="K2622" s="636"/>
      <c r="L2622" s="635"/>
      <c r="M2622" s="636"/>
      <c r="N2622" s="635"/>
      <c r="O2622" s="636"/>
      <c r="P2622" s="635"/>
      <c r="Q2622" s="636"/>
      <c r="R2622" s="637"/>
      <c r="S2622" s="698">
        <f>SUM(R1902:R1906)/1.18-(SUM(R2617:R2621)*'Mark Up Validation'!$M$175)</f>
        <v>0</v>
      </c>
      <c r="T2622" s="635"/>
      <c r="U2622" s="636"/>
      <c r="V2622" s="635"/>
      <c r="W2622" s="636"/>
      <c r="X2622" s="635"/>
      <c r="Y2622" s="636"/>
      <c r="Z2622" s="635"/>
      <c r="AA2622" s="636"/>
      <c r="AB2622" s="635"/>
      <c r="AC2622" s="636"/>
      <c r="AD2622" s="635"/>
      <c r="AE2622" s="636"/>
      <c r="AF2622" s="637"/>
      <c r="AG2622" s="698">
        <f>SUM(AF1902:AF1906)/1.18-SUM(AF2617:AF2621)*'Mark Up Validation'!$M$175</f>
        <v>0</v>
      </c>
      <c r="AH2622" s="638"/>
      <c r="AI2622" s="698">
        <f>SUM(AH1902:AH1906)/1.18-SUM(AH2617:AH2621)*'Mark Up Validation'!$M$175</f>
        <v>0</v>
      </c>
      <c r="AJ2622" s="65"/>
    </row>
    <row r="2623" spans="2:48" ht="13.5" hidden="1" customHeight="1" outlineLevel="1" thickBot="1">
      <c r="B2623" s="82"/>
      <c r="C2623" s="1228" t="s">
        <v>538</v>
      </c>
      <c r="D2623" s="1229"/>
      <c r="E2623" s="699"/>
      <c r="F2623" s="700"/>
      <c r="G2623" s="701"/>
      <c r="H2623" s="700"/>
      <c r="I2623" s="701"/>
      <c r="J2623" s="700"/>
      <c r="K2623" s="702"/>
      <c r="L2623" s="700"/>
      <c r="M2623" s="702"/>
      <c r="N2623" s="700"/>
      <c r="O2623" s="702"/>
      <c r="P2623" s="700"/>
      <c r="Q2623" s="702"/>
      <c r="R2623" s="703"/>
      <c r="S2623" s="729">
        <f>IF(S2622&gt;0,S2622/(SUM(R1902:R1906)/1.18),0)</f>
        <v>0</v>
      </c>
      <c r="T2623" s="700"/>
      <c r="U2623" s="702"/>
      <c r="V2623" s="700"/>
      <c r="W2623" s="702"/>
      <c r="X2623" s="700"/>
      <c r="Y2623" s="702"/>
      <c r="Z2623" s="700"/>
      <c r="AA2623" s="702"/>
      <c r="AB2623" s="700"/>
      <c r="AC2623" s="702"/>
      <c r="AD2623" s="700"/>
      <c r="AE2623" s="702"/>
      <c r="AF2623" s="705"/>
      <c r="AG2623" s="729">
        <f>IF(AG2622&gt;0,AG2622/(SUM(AF1902:AF1906)/1.18),0)</f>
        <v>0</v>
      </c>
      <c r="AH2623" s="706"/>
      <c r="AI2623" s="729">
        <f>IF(AI2622&gt;0,AI2622/(SUM(AH1902:AH1906)/1.18),0)</f>
        <v>0</v>
      </c>
      <c r="AJ2623" s="65"/>
    </row>
    <row r="2624" spans="2:48" ht="12" hidden="1" customHeight="1" outlineLevel="2">
      <c r="B2624" s="82">
        <f>B2617+1</f>
        <v>66</v>
      </c>
      <c r="C2624" s="1230">
        <f>C1909</f>
        <v>0</v>
      </c>
      <c r="D2624" s="1230">
        <f>D1909</f>
        <v>0</v>
      </c>
      <c r="E2624" s="83" t="str">
        <f>'Terms and Turnovers'!$J$12</f>
        <v>FLIP-FLOPS</v>
      </c>
      <c r="F2624" s="68">
        <f>F1909/'Terms and Turnovers'!$J197</f>
        <v>0</v>
      </c>
      <c r="G2624" s="106"/>
      <c r="H2624" s="68">
        <f>H1909/'Terms and Turnovers'!$J197</f>
        <v>0</v>
      </c>
      <c r="I2624" s="106"/>
      <c r="J2624" s="68">
        <f>J1909/'Terms and Turnovers'!$J197</f>
        <v>0</v>
      </c>
      <c r="K2624" s="106"/>
      <c r="L2624" s="68">
        <f>L1909/'Terms and Turnovers'!$J197</f>
        <v>0</v>
      </c>
      <c r="M2624" s="106"/>
      <c r="N2624" s="68">
        <f>N1909/'Terms and Turnovers'!$J197</f>
        <v>0</v>
      </c>
      <c r="O2624" s="106"/>
      <c r="P2624" s="68">
        <f>P1909/'Terms and Turnovers'!$J197</f>
        <v>0</v>
      </c>
      <c r="Q2624" s="106"/>
      <c r="R2624" s="129">
        <f>SUM(F2624,H2624,J2624,L2624,N2624,P2624)</f>
        <v>0</v>
      </c>
      <c r="S2624" s="106"/>
      <c r="T2624" s="68">
        <f>T1909/'Terms and Turnovers'!$J197</f>
        <v>0</v>
      </c>
      <c r="U2624" s="106"/>
      <c r="V2624" s="68">
        <f>V1909/'Terms and Turnovers'!$J197</f>
        <v>0</v>
      </c>
      <c r="W2624" s="106"/>
      <c r="X2624" s="68">
        <f>X1909/'Terms and Turnovers'!$J197</f>
        <v>0</v>
      </c>
      <c r="Y2624" s="106"/>
      <c r="Z2624" s="68">
        <f>Z1909/'Terms and Turnovers'!$J197</f>
        <v>0</v>
      </c>
      <c r="AA2624" s="106"/>
      <c r="AB2624" s="68">
        <f>AB1909/'Terms and Turnovers'!$J197</f>
        <v>0</v>
      </c>
      <c r="AC2624" s="106"/>
      <c r="AD2624" s="68">
        <f>AD1909/'Terms and Turnovers'!$J197</f>
        <v>0</v>
      </c>
      <c r="AE2624" s="106"/>
      <c r="AF2624" s="129">
        <f>SUM(T2624,V2624,X2624,Z2624,AB2624,AD2624)</f>
        <v>0</v>
      </c>
      <c r="AG2624" s="106"/>
      <c r="AH2624" s="130">
        <f>SUM(AF2624,R2624)</f>
        <v>0</v>
      </c>
      <c r="AI2624" s="106"/>
      <c r="AJ2624" s="65"/>
      <c r="AV2624" s="56"/>
    </row>
    <row r="2625" spans="2:48" ht="12.75" hidden="1" customHeight="1" outlineLevel="2" thickBot="1">
      <c r="B2625" s="82"/>
      <c r="C2625" s="1231"/>
      <c r="D2625" s="1231"/>
      <c r="E2625" s="84" t="str">
        <f>'Terms and Turnovers'!$T$12</f>
        <v>ORIGINALS</v>
      </c>
      <c r="F2625" s="70">
        <f>F1910/'Terms and Turnovers'!$T197</f>
        <v>0</v>
      </c>
      <c r="G2625" s="728"/>
      <c r="H2625" s="70">
        <f>H1910/'Terms and Turnovers'!$T197</f>
        <v>0</v>
      </c>
      <c r="I2625" s="728"/>
      <c r="J2625" s="70">
        <f>J1910/'Terms and Turnovers'!$T197</f>
        <v>0</v>
      </c>
      <c r="K2625" s="728"/>
      <c r="L2625" s="70">
        <f>L1910/'Terms and Turnovers'!$T197</f>
        <v>0</v>
      </c>
      <c r="M2625" s="728"/>
      <c r="N2625" s="70">
        <f>N1910/'Terms and Turnovers'!$T197</f>
        <v>0</v>
      </c>
      <c r="O2625" s="728"/>
      <c r="P2625" s="70">
        <f>P1910/'Terms and Turnovers'!$T197</f>
        <v>0</v>
      </c>
      <c r="Q2625" s="728"/>
      <c r="R2625" s="132">
        <f>SUM(F2625,H2625,J2625,L2625,N2625,P2625)</f>
        <v>0</v>
      </c>
      <c r="S2625" s="728"/>
      <c r="T2625" s="70">
        <f>T1910/'Terms and Turnovers'!$T197</f>
        <v>0</v>
      </c>
      <c r="U2625" s="728"/>
      <c r="V2625" s="70">
        <f>V1910/'Terms and Turnovers'!$T197</f>
        <v>0</v>
      </c>
      <c r="W2625" s="728"/>
      <c r="X2625" s="70">
        <f>X1910/'Terms and Turnovers'!$T197</f>
        <v>0</v>
      </c>
      <c r="Y2625" s="728"/>
      <c r="Z2625" s="70">
        <f>Z1910/'Terms and Turnovers'!$T197</f>
        <v>0</v>
      </c>
      <c r="AA2625" s="728"/>
      <c r="AB2625" s="70">
        <f>AB1910/'Terms and Turnovers'!$T197</f>
        <v>0</v>
      </c>
      <c r="AC2625" s="728"/>
      <c r="AD2625" s="70">
        <f>AD1910/'Terms and Turnovers'!$T197</f>
        <v>0</v>
      </c>
      <c r="AE2625" s="728"/>
      <c r="AF2625" s="132">
        <f>SUM(T2625,V2625,X2625,Z2625,AB2625,AD2625)</f>
        <v>0</v>
      </c>
      <c r="AG2625" s="728"/>
      <c r="AH2625" s="133">
        <f>SUM(AF2625,R2625)</f>
        <v>0</v>
      </c>
      <c r="AI2625" s="728"/>
      <c r="AJ2625" s="65"/>
      <c r="AV2625" s="56"/>
    </row>
    <row r="2626" spans="2:48" ht="12.75" hidden="1" customHeight="1" outlineLevel="2">
      <c r="B2626" s="82"/>
      <c r="C2626" s="1231"/>
      <c r="D2626" s="1231"/>
      <c r="E2626" s="84" t="str">
        <f>'Terms and Turnovers'!$AD$12</f>
        <v>ACCESSORIES</v>
      </c>
      <c r="F2626" s="68">
        <f>F1911/'Terms and Turnovers'!$AD197</f>
        <v>0</v>
      </c>
      <c r="G2626" s="728"/>
      <c r="H2626" s="68">
        <f>H1911/'Terms and Turnovers'!$AD197</f>
        <v>0</v>
      </c>
      <c r="I2626" s="728"/>
      <c r="J2626" s="68">
        <f>J1911/'Terms and Turnovers'!$AD197</f>
        <v>0</v>
      </c>
      <c r="K2626" s="728"/>
      <c r="L2626" s="68">
        <f>L1911/'Terms and Turnovers'!$AD197</f>
        <v>0</v>
      </c>
      <c r="M2626" s="728"/>
      <c r="N2626" s="68">
        <f>N1911/'Terms and Turnovers'!$AD197</f>
        <v>0</v>
      </c>
      <c r="O2626" s="728"/>
      <c r="P2626" s="68">
        <f>P1911/'Terms and Turnovers'!$AD197</f>
        <v>0</v>
      </c>
      <c r="Q2626" s="728"/>
      <c r="R2626" s="132">
        <f>SUM(F2626,H2626,J2626,L2626,N2626,P2626)</f>
        <v>0</v>
      </c>
      <c r="S2626" s="728"/>
      <c r="T2626" s="68">
        <f>T1911/'Terms and Turnovers'!$AD197</f>
        <v>0</v>
      </c>
      <c r="U2626" s="728"/>
      <c r="V2626" s="68">
        <f>V1911/'Terms and Turnovers'!$AD197</f>
        <v>0</v>
      </c>
      <c r="W2626" s="728"/>
      <c r="X2626" s="68">
        <f>X1911/'Terms and Turnovers'!$AD197</f>
        <v>0</v>
      </c>
      <c r="Y2626" s="728"/>
      <c r="Z2626" s="68">
        <f>Z1911/'Terms and Turnovers'!$AD197</f>
        <v>0</v>
      </c>
      <c r="AA2626" s="728"/>
      <c r="AB2626" s="68">
        <f>AB1911/'Terms and Turnovers'!$AD197</f>
        <v>0</v>
      </c>
      <c r="AC2626" s="728"/>
      <c r="AD2626" s="68">
        <f>AD1911/'Terms and Turnovers'!$AD197</f>
        <v>0</v>
      </c>
      <c r="AE2626" s="728"/>
      <c r="AF2626" s="132">
        <f>SUM(T2626,V2626,X2626,Z2626,AB2626,AD2626)</f>
        <v>0</v>
      </c>
      <c r="AG2626" s="728"/>
      <c r="AH2626" s="133">
        <f>SUM(AF2626,R2626)</f>
        <v>0</v>
      </c>
      <c r="AI2626" s="728"/>
      <c r="AJ2626" s="65"/>
      <c r="AV2626" s="56"/>
    </row>
    <row r="2627" spans="2:48" ht="12.75" hidden="1" customHeight="1" outlineLevel="2" thickBot="1">
      <c r="B2627" s="82"/>
      <c r="C2627" s="1231"/>
      <c r="D2627" s="1231"/>
      <c r="E2627" s="84">
        <f>'Terms and Turnovers'!$AN$12</f>
        <v>0</v>
      </c>
      <c r="F2627" s="70">
        <f>F1912/'Terms and Turnovers'!$AN197</f>
        <v>0</v>
      </c>
      <c r="G2627" s="728"/>
      <c r="H2627" s="70">
        <f>H1912/'Terms and Turnovers'!$AN197</f>
        <v>0</v>
      </c>
      <c r="I2627" s="728"/>
      <c r="J2627" s="70">
        <f>J1912/'Terms and Turnovers'!$AN197</f>
        <v>0</v>
      </c>
      <c r="K2627" s="728"/>
      <c r="L2627" s="70">
        <f>L1912/'Terms and Turnovers'!$AN197</f>
        <v>0</v>
      </c>
      <c r="M2627" s="728"/>
      <c r="N2627" s="70">
        <f>N1912/'Terms and Turnovers'!$AN197</f>
        <v>0</v>
      </c>
      <c r="O2627" s="728"/>
      <c r="P2627" s="70">
        <f>P1912/'Terms and Turnovers'!$AN197</f>
        <v>0</v>
      </c>
      <c r="Q2627" s="728"/>
      <c r="R2627" s="132">
        <f>SUM(F2627,H2627,J2627,L2627,N2627,P2627)</f>
        <v>0</v>
      </c>
      <c r="S2627" s="728"/>
      <c r="T2627" s="70">
        <f>T1912/'Terms and Turnovers'!$AN197</f>
        <v>0</v>
      </c>
      <c r="U2627" s="728"/>
      <c r="V2627" s="70">
        <f>V1912/'Terms and Turnovers'!$AN197</f>
        <v>0</v>
      </c>
      <c r="W2627" s="728"/>
      <c r="X2627" s="70">
        <f>X1912/'Terms and Turnovers'!$AN197</f>
        <v>0</v>
      </c>
      <c r="Y2627" s="728"/>
      <c r="Z2627" s="70">
        <f>Z1912/'Terms and Turnovers'!$AN197</f>
        <v>0</v>
      </c>
      <c r="AA2627" s="728"/>
      <c r="AB2627" s="70">
        <f>AB1912/'Terms and Turnovers'!$AN197</f>
        <v>0</v>
      </c>
      <c r="AC2627" s="728"/>
      <c r="AD2627" s="70">
        <f>AD1912/'Terms and Turnovers'!$AN197</f>
        <v>0</v>
      </c>
      <c r="AE2627" s="728"/>
      <c r="AF2627" s="132">
        <f>SUM(T2627,V2627,X2627,Z2627,AB2627,AD2627)</f>
        <v>0</v>
      </c>
      <c r="AG2627" s="728"/>
      <c r="AH2627" s="133">
        <f>SUM(AF2627,R2627)</f>
        <v>0</v>
      </c>
      <c r="AI2627" s="728"/>
      <c r="AJ2627" s="65"/>
      <c r="AV2627" s="56"/>
    </row>
    <row r="2628" spans="2:48" ht="13.5" hidden="1" customHeight="1" outlineLevel="2" thickBot="1">
      <c r="B2628" s="82"/>
      <c r="C2628" s="1232"/>
      <c r="D2628" s="1232"/>
      <c r="E2628" s="85">
        <f>'Terms and Turnovers'!$AX$12</f>
        <v>0</v>
      </c>
      <c r="F2628" s="68">
        <f>F1913/'Terms and Turnovers'!$AX197</f>
        <v>0</v>
      </c>
      <c r="G2628" s="111"/>
      <c r="H2628" s="68">
        <f>H1913/'Terms and Turnovers'!$AX197</f>
        <v>0</v>
      </c>
      <c r="I2628" s="107"/>
      <c r="J2628" s="68">
        <f>J1913/'Terms and Turnovers'!$AX197</f>
        <v>0</v>
      </c>
      <c r="K2628" s="107"/>
      <c r="L2628" s="68">
        <f>L1913/'Terms and Turnovers'!$AX197</f>
        <v>0</v>
      </c>
      <c r="M2628" s="107"/>
      <c r="N2628" s="68">
        <f>N1913/'Terms and Turnovers'!$AX197</f>
        <v>0</v>
      </c>
      <c r="O2628" s="107"/>
      <c r="P2628" s="68">
        <f>P1913/'Terms and Turnovers'!$AX197</f>
        <v>0</v>
      </c>
      <c r="Q2628" s="107"/>
      <c r="R2628" s="135">
        <f>SUM(F2628,H2628,J2628,L2628,N2628,P2628)</f>
        <v>0</v>
      </c>
      <c r="S2628" s="107"/>
      <c r="T2628" s="68">
        <f>T1913/'Terms and Turnovers'!$AX197</f>
        <v>0</v>
      </c>
      <c r="U2628" s="111"/>
      <c r="V2628" s="68">
        <f>V1913/'Terms and Turnovers'!$AX197</f>
        <v>0</v>
      </c>
      <c r="W2628" s="107"/>
      <c r="X2628" s="68">
        <f>X1913/'Terms and Turnovers'!$AX197</f>
        <v>0</v>
      </c>
      <c r="Y2628" s="107"/>
      <c r="Z2628" s="68">
        <f>Z1913/'Terms and Turnovers'!$AX197</f>
        <v>0</v>
      </c>
      <c r="AA2628" s="107"/>
      <c r="AB2628" s="68">
        <f>AB1913/'Terms and Turnovers'!$AX197</f>
        <v>0</v>
      </c>
      <c r="AC2628" s="107"/>
      <c r="AD2628" s="68">
        <f>AD1913/'Terms and Turnovers'!$AX197</f>
        <v>0</v>
      </c>
      <c r="AE2628" s="107"/>
      <c r="AF2628" s="135">
        <f>SUM(T2628,V2628,X2628,Z2628,AB2628,AD2628)</f>
        <v>0</v>
      </c>
      <c r="AG2628" s="107"/>
      <c r="AH2628" s="136">
        <f>SUM(AF2628,R2628)</f>
        <v>0</v>
      </c>
      <c r="AI2628" s="107"/>
      <c r="AJ2628" s="65"/>
      <c r="AV2628" s="56"/>
    </row>
    <row r="2629" spans="2:48" ht="13.5" hidden="1" customHeight="1" outlineLevel="2">
      <c r="B2629" s="82"/>
      <c r="C2629" s="425"/>
      <c r="D2629" s="425"/>
      <c r="E2629" s="634"/>
      <c r="F2629" s="635"/>
      <c r="G2629" s="428"/>
      <c r="H2629" s="635"/>
      <c r="I2629" s="428"/>
      <c r="J2629" s="635"/>
      <c r="K2629" s="636"/>
      <c r="L2629" s="635"/>
      <c r="M2629" s="636"/>
      <c r="N2629" s="635"/>
      <c r="O2629" s="636"/>
      <c r="P2629" s="635"/>
      <c r="Q2629" s="636"/>
      <c r="R2629" s="637"/>
      <c r="S2629" s="698">
        <f>SUM(R1909:R1913)/1.18-(SUM(R2624:R2628)*'Mark Up Validation'!$M$175)</f>
        <v>0</v>
      </c>
      <c r="T2629" s="635"/>
      <c r="U2629" s="636"/>
      <c r="V2629" s="635"/>
      <c r="W2629" s="636"/>
      <c r="X2629" s="635"/>
      <c r="Y2629" s="636"/>
      <c r="Z2629" s="635"/>
      <c r="AA2629" s="636"/>
      <c r="AB2629" s="635"/>
      <c r="AC2629" s="636"/>
      <c r="AD2629" s="635"/>
      <c r="AE2629" s="636"/>
      <c r="AF2629" s="637"/>
      <c r="AG2629" s="698">
        <f>SUM(AF1909:AF1913)/1.18-SUM(AF2624:AF2628)*'Mark Up Validation'!$M$175</f>
        <v>0</v>
      </c>
      <c r="AH2629" s="638"/>
      <c r="AI2629" s="698">
        <f>SUM(AH1909:AH1913)/1.18-SUM(AH2624:AH2628)*'Mark Up Validation'!$M$175</f>
        <v>0</v>
      </c>
      <c r="AJ2629" s="65"/>
      <c r="AV2629" s="56"/>
    </row>
    <row r="2630" spans="2:48" ht="13.5" hidden="1" customHeight="1" outlineLevel="2" thickBot="1">
      <c r="B2630" s="82"/>
      <c r="C2630" s="1228" t="s">
        <v>538</v>
      </c>
      <c r="D2630" s="1229"/>
      <c r="E2630" s="699"/>
      <c r="F2630" s="700"/>
      <c r="G2630" s="701"/>
      <c r="H2630" s="700"/>
      <c r="I2630" s="701"/>
      <c r="J2630" s="700"/>
      <c r="K2630" s="702"/>
      <c r="L2630" s="700"/>
      <c r="M2630" s="702"/>
      <c r="N2630" s="700"/>
      <c r="O2630" s="702"/>
      <c r="P2630" s="700"/>
      <c r="Q2630" s="702"/>
      <c r="R2630" s="703"/>
      <c r="S2630" s="729">
        <f>IF(S2629&gt;0,S2629/(SUM(R1909:R1913)/1.18),0)</f>
        <v>0</v>
      </c>
      <c r="T2630" s="700"/>
      <c r="U2630" s="702"/>
      <c r="V2630" s="700"/>
      <c r="W2630" s="702"/>
      <c r="X2630" s="700"/>
      <c r="Y2630" s="702"/>
      <c r="Z2630" s="700"/>
      <c r="AA2630" s="702"/>
      <c r="AB2630" s="700"/>
      <c r="AC2630" s="702"/>
      <c r="AD2630" s="700"/>
      <c r="AE2630" s="702"/>
      <c r="AF2630" s="705"/>
      <c r="AG2630" s="729">
        <f>IF(AG2629&gt;0,AG2629/(SUM(AF1909:AF1913)/1.18),0)</f>
        <v>0</v>
      </c>
      <c r="AH2630" s="706"/>
      <c r="AI2630" s="729">
        <f>IF(AI2629&gt;0,AI2629/(SUM(AH1909:AH1913)/1.18),0)</f>
        <v>0</v>
      </c>
      <c r="AJ2630" s="65"/>
      <c r="AV2630" s="56"/>
    </row>
    <row r="2631" spans="2:48" ht="12.75" hidden="1" customHeight="1" outlineLevel="2">
      <c r="B2631" s="82">
        <f>B2624+1</f>
        <v>67</v>
      </c>
      <c r="C2631" s="1233">
        <f>C1916</f>
        <v>0</v>
      </c>
      <c r="D2631" s="1233">
        <f>D1916</f>
        <v>0</v>
      </c>
      <c r="E2631" s="83" t="str">
        <f>'Terms and Turnovers'!$J$12</f>
        <v>FLIP-FLOPS</v>
      </c>
      <c r="F2631" s="68">
        <f>F1916/'Terms and Turnovers'!$J198</f>
        <v>0</v>
      </c>
      <c r="G2631" s="106"/>
      <c r="H2631" s="68">
        <f>H1916/'Terms and Turnovers'!$J198</f>
        <v>0</v>
      </c>
      <c r="I2631" s="106"/>
      <c r="J2631" s="68">
        <f>J1916/'Terms and Turnovers'!$J198</f>
        <v>0</v>
      </c>
      <c r="K2631" s="106"/>
      <c r="L2631" s="68">
        <f>L1916/'Terms and Turnovers'!$J198</f>
        <v>0</v>
      </c>
      <c r="M2631" s="106"/>
      <c r="N2631" s="68">
        <f>N1916/'Terms and Turnovers'!$J198</f>
        <v>0</v>
      </c>
      <c r="O2631" s="106"/>
      <c r="P2631" s="68">
        <f>P1916/'Terms and Turnovers'!$J198</f>
        <v>0</v>
      </c>
      <c r="Q2631" s="106"/>
      <c r="R2631" s="129">
        <f>SUM(F2631,H2631,J2631,L2631,N2631,P2631)</f>
        <v>0</v>
      </c>
      <c r="S2631" s="106"/>
      <c r="T2631" s="68">
        <f>T1916/'Terms and Turnovers'!$J198</f>
        <v>0</v>
      </c>
      <c r="U2631" s="106"/>
      <c r="V2631" s="68">
        <f>V1916/'Terms and Turnovers'!$J198</f>
        <v>0</v>
      </c>
      <c r="W2631" s="106"/>
      <c r="X2631" s="68">
        <f>X1916/'Terms and Turnovers'!$J198</f>
        <v>0</v>
      </c>
      <c r="Y2631" s="106"/>
      <c r="Z2631" s="68">
        <f>Z1916/'Terms and Turnovers'!$J198</f>
        <v>0</v>
      </c>
      <c r="AA2631" s="106"/>
      <c r="AB2631" s="68">
        <f>AB1916/'Terms and Turnovers'!$J198</f>
        <v>0</v>
      </c>
      <c r="AC2631" s="106"/>
      <c r="AD2631" s="68">
        <f>AD1916/'Terms and Turnovers'!$J198</f>
        <v>0</v>
      </c>
      <c r="AE2631" s="106"/>
      <c r="AF2631" s="129">
        <f>SUM(T2631,V2631,X2631,Z2631,AB2631,AD2631)</f>
        <v>0</v>
      </c>
      <c r="AG2631" s="106"/>
      <c r="AH2631" s="130">
        <f>SUM(AF2631,R2631)</f>
        <v>0</v>
      </c>
      <c r="AI2631" s="106"/>
      <c r="AJ2631" s="65"/>
      <c r="AV2631" s="56"/>
    </row>
    <row r="2632" spans="2:48" ht="12.75" hidden="1" customHeight="1" outlineLevel="2" thickBot="1">
      <c r="B2632" s="82"/>
      <c r="C2632" s="1234"/>
      <c r="D2632" s="1234"/>
      <c r="E2632" s="84" t="str">
        <f>'Terms and Turnovers'!$T$12</f>
        <v>ORIGINALS</v>
      </c>
      <c r="F2632" s="70">
        <f>F1917/'Terms and Turnovers'!$T198</f>
        <v>0</v>
      </c>
      <c r="G2632" s="728"/>
      <c r="H2632" s="70">
        <f>H1917/'Terms and Turnovers'!$T198</f>
        <v>0</v>
      </c>
      <c r="I2632" s="728"/>
      <c r="J2632" s="70">
        <f>J1917/'Terms and Turnovers'!$T198</f>
        <v>0</v>
      </c>
      <c r="K2632" s="728"/>
      <c r="L2632" s="70">
        <f>L1917/'Terms and Turnovers'!$T198</f>
        <v>0</v>
      </c>
      <c r="M2632" s="728"/>
      <c r="N2632" s="70">
        <f>N1917/'Terms and Turnovers'!$T198</f>
        <v>0</v>
      </c>
      <c r="O2632" s="728"/>
      <c r="P2632" s="70">
        <f>P1917/'Terms and Turnovers'!$T198</f>
        <v>0</v>
      </c>
      <c r="Q2632" s="728"/>
      <c r="R2632" s="132">
        <f>SUM(F2632,H2632,J2632,L2632,N2632,P2632)</f>
        <v>0</v>
      </c>
      <c r="S2632" s="728"/>
      <c r="T2632" s="70">
        <f>T1917/'Terms and Turnovers'!$T198</f>
        <v>0</v>
      </c>
      <c r="U2632" s="728"/>
      <c r="V2632" s="70">
        <f>V1917/'Terms and Turnovers'!$T198</f>
        <v>0</v>
      </c>
      <c r="W2632" s="728"/>
      <c r="X2632" s="70">
        <f>X1917/'Terms and Turnovers'!$T198</f>
        <v>0</v>
      </c>
      <c r="Y2632" s="728"/>
      <c r="Z2632" s="70">
        <f>Z1917/'Terms and Turnovers'!$T198</f>
        <v>0</v>
      </c>
      <c r="AA2632" s="728"/>
      <c r="AB2632" s="70">
        <f>AB1917/'Terms and Turnovers'!$T198</f>
        <v>0</v>
      </c>
      <c r="AC2632" s="728"/>
      <c r="AD2632" s="70">
        <f>AD1917/'Terms and Turnovers'!$T198</f>
        <v>0</v>
      </c>
      <c r="AE2632" s="728"/>
      <c r="AF2632" s="132">
        <f>SUM(T2632,V2632,X2632,Z2632,AB2632,AD2632)</f>
        <v>0</v>
      </c>
      <c r="AG2632" s="728"/>
      <c r="AH2632" s="133">
        <f>SUM(AF2632,R2632)</f>
        <v>0</v>
      </c>
      <c r="AI2632" s="728"/>
      <c r="AJ2632" s="65"/>
      <c r="AV2632" s="56"/>
    </row>
    <row r="2633" spans="2:48" ht="12.75" hidden="1" customHeight="1" outlineLevel="2">
      <c r="B2633" s="82"/>
      <c r="C2633" s="1234"/>
      <c r="D2633" s="1234"/>
      <c r="E2633" s="84" t="str">
        <f>'Terms and Turnovers'!$AD$12</f>
        <v>ACCESSORIES</v>
      </c>
      <c r="F2633" s="68">
        <f>F1918/'Terms and Turnovers'!$AD198</f>
        <v>0</v>
      </c>
      <c r="G2633" s="728"/>
      <c r="H2633" s="68">
        <f>H1918/'Terms and Turnovers'!$AD198</f>
        <v>0</v>
      </c>
      <c r="I2633" s="728"/>
      <c r="J2633" s="68">
        <f>J1918/'Terms and Turnovers'!$AD198</f>
        <v>0</v>
      </c>
      <c r="K2633" s="728"/>
      <c r="L2633" s="68">
        <f>L1918/'Terms and Turnovers'!$AD198</f>
        <v>0</v>
      </c>
      <c r="M2633" s="728"/>
      <c r="N2633" s="68">
        <f>N1918/'Terms and Turnovers'!$AD198</f>
        <v>0</v>
      </c>
      <c r="O2633" s="728"/>
      <c r="P2633" s="68">
        <f>P1918/'Terms and Turnovers'!$AD198</f>
        <v>0</v>
      </c>
      <c r="Q2633" s="728"/>
      <c r="R2633" s="132">
        <f>SUM(F2633,H2633,J2633,L2633,N2633,P2633)</f>
        <v>0</v>
      </c>
      <c r="S2633" s="728"/>
      <c r="T2633" s="68">
        <f>T1918/'Terms and Turnovers'!$AD198</f>
        <v>0</v>
      </c>
      <c r="U2633" s="728"/>
      <c r="V2633" s="68">
        <f>V1918/'Terms and Turnovers'!$AD198</f>
        <v>0</v>
      </c>
      <c r="W2633" s="728"/>
      <c r="X2633" s="68">
        <f>X1918/'Terms and Turnovers'!$AD198</f>
        <v>0</v>
      </c>
      <c r="Y2633" s="728"/>
      <c r="Z2633" s="68">
        <f>Z1918/'Terms and Turnovers'!$AD198</f>
        <v>0</v>
      </c>
      <c r="AA2633" s="728"/>
      <c r="AB2633" s="68">
        <f>AB1918/'Terms and Turnovers'!$AD198</f>
        <v>0</v>
      </c>
      <c r="AC2633" s="728"/>
      <c r="AD2633" s="68">
        <f>AD1918/'Terms and Turnovers'!$AD198</f>
        <v>0</v>
      </c>
      <c r="AE2633" s="728"/>
      <c r="AF2633" s="132">
        <f>SUM(T2633,V2633,X2633,Z2633,AB2633,AD2633)</f>
        <v>0</v>
      </c>
      <c r="AG2633" s="728"/>
      <c r="AH2633" s="133">
        <f>SUM(AF2633,R2633)</f>
        <v>0</v>
      </c>
      <c r="AI2633" s="728"/>
      <c r="AJ2633" s="65"/>
      <c r="AV2633" s="56"/>
    </row>
    <row r="2634" spans="2:48" ht="12.75" hidden="1" customHeight="1" outlineLevel="2" thickBot="1">
      <c r="B2634" s="82"/>
      <c r="C2634" s="1234"/>
      <c r="D2634" s="1234"/>
      <c r="E2634" s="84">
        <f>'Terms and Turnovers'!$AN$12</f>
        <v>0</v>
      </c>
      <c r="F2634" s="70">
        <f>F1919/'Terms and Turnovers'!$AN198</f>
        <v>0</v>
      </c>
      <c r="G2634" s="728"/>
      <c r="H2634" s="70">
        <f>H1919/'Terms and Turnovers'!$AN198</f>
        <v>0</v>
      </c>
      <c r="I2634" s="728"/>
      <c r="J2634" s="70">
        <f>J1919/'Terms and Turnovers'!$AN198</f>
        <v>0</v>
      </c>
      <c r="K2634" s="728"/>
      <c r="L2634" s="70">
        <f>L1919/'Terms and Turnovers'!$AN198</f>
        <v>0</v>
      </c>
      <c r="M2634" s="728"/>
      <c r="N2634" s="70">
        <f>N1919/'Terms and Turnovers'!$AN198</f>
        <v>0</v>
      </c>
      <c r="O2634" s="728"/>
      <c r="P2634" s="70">
        <f>P1919/'Terms and Turnovers'!$AN198</f>
        <v>0</v>
      </c>
      <c r="Q2634" s="728"/>
      <c r="R2634" s="132">
        <f>SUM(F2634,H2634,J2634,L2634,N2634,P2634)</f>
        <v>0</v>
      </c>
      <c r="S2634" s="728"/>
      <c r="T2634" s="70">
        <f>T1919/'Terms and Turnovers'!$AN198</f>
        <v>0</v>
      </c>
      <c r="U2634" s="728"/>
      <c r="V2634" s="70">
        <f>V1919/'Terms and Turnovers'!$AN198</f>
        <v>0</v>
      </c>
      <c r="W2634" s="728"/>
      <c r="X2634" s="70">
        <f>X1919/'Terms and Turnovers'!$AN198</f>
        <v>0</v>
      </c>
      <c r="Y2634" s="728"/>
      <c r="Z2634" s="70">
        <f>Z1919/'Terms and Turnovers'!$AN198</f>
        <v>0</v>
      </c>
      <c r="AA2634" s="728"/>
      <c r="AB2634" s="70">
        <f>AB1919/'Terms and Turnovers'!$AN198</f>
        <v>0</v>
      </c>
      <c r="AC2634" s="728"/>
      <c r="AD2634" s="70">
        <f>AD1919/'Terms and Turnovers'!$AN198</f>
        <v>0</v>
      </c>
      <c r="AE2634" s="728"/>
      <c r="AF2634" s="132">
        <f>SUM(T2634,V2634,X2634,Z2634,AB2634,AD2634)</f>
        <v>0</v>
      </c>
      <c r="AG2634" s="728"/>
      <c r="AH2634" s="133">
        <f>SUM(AF2634,R2634)</f>
        <v>0</v>
      </c>
      <c r="AI2634" s="728"/>
      <c r="AJ2634" s="65"/>
      <c r="AV2634" s="56"/>
    </row>
    <row r="2635" spans="2:48" ht="13.5" hidden="1" customHeight="1" outlineLevel="2" thickBot="1">
      <c r="B2635" s="82"/>
      <c r="C2635" s="1235"/>
      <c r="D2635" s="1235"/>
      <c r="E2635" s="85">
        <f>'Terms and Turnovers'!$AX$12</f>
        <v>0</v>
      </c>
      <c r="F2635" s="68">
        <f>F1920/'Terms and Turnovers'!$AX198</f>
        <v>0</v>
      </c>
      <c r="G2635" s="111"/>
      <c r="H2635" s="68">
        <f>H1920/'Terms and Turnovers'!$AX198</f>
        <v>0</v>
      </c>
      <c r="I2635" s="107"/>
      <c r="J2635" s="68">
        <f>J1920/'Terms and Turnovers'!$AX198</f>
        <v>0</v>
      </c>
      <c r="K2635" s="107"/>
      <c r="L2635" s="68">
        <f>L1920/'Terms and Turnovers'!$AX198</f>
        <v>0</v>
      </c>
      <c r="M2635" s="107"/>
      <c r="N2635" s="68">
        <f>N1920/'Terms and Turnovers'!$AX198</f>
        <v>0</v>
      </c>
      <c r="O2635" s="107"/>
      <c r="P2635" s="68">
        <f>P1920/'Terms and Turnovers'!$AX198</f>
        <v>0</v>
      </c>
      <c r="Q2635" s="107"/>
      <c r="R2635" s="135">
        <f>SUM(F2635,H2635,J2635,L2635,N2635,P2635)</f>
        <v>0</v>
      </c>
      <c r="S2635" s="107"/>
      <c r="T2635" s="68">
        <f>T1920/'Terms and Turnovers'!$AX198</f>
        <v>0</v>
      </c>
      <c r="U2635" s="111"/>
      <c r="V2635" s="68">
        <f>V1920/'Terms and Turnovers'!$AX198</f>
        <v>0</v>
      </c>
      <c r="W2635" s="107"/>
      <c r="X2635" s="68">
        <f>X1920/'Terms and Turnovers'!$AX198</f>
        <v>0</v>
      </c>
      <c r="Y2635" s="107"/>
      <c r="Z2635" s="68">
        <f>Z1920/'Terms and Turnovers'!$AX198</f>
        <v>0</v>
      </c>
      <c r="AA2635" s="107"/>
      <c r="AB2635" s="68">
        <f>AB1920/'Terms and Turnovers'!$AX198</f>
        <v>0</v>
      </c>
      <c r="AC2635" s="107"/>
      <c r="AD2635" s="68">
        <f>AD1920/'Terms and Turnovers'!$AX198</f>
        <v>0</v>
      </c>
      <c r="AE2635" s="107"/>
      <c r="AF2635" s="135">
        <f>SUM(T2635,V2635,X2635,Z2635,AB2635,AD2635)</f>
        <v>0</v>
      </c>
      <c r="AG2635" s="107"/>
      <c r="AH2635" s="136">
        <f>SUM(AF2635,R2635)</f>
        <v>0</v>
      </c>
      <c r="AI2635" s="107"/>
      <c r="AJ2635" s="65"/>
      <c r="AV2635" s="56"/>
    </row>
    <row r="2636" spans="2:48" ht="13.5" hidden="1" customHeight="1" outlineLevel="2">
      <c r="B2636" s="82"/>
      <c r="C2636" s="425"/>
      <c r="D2636" s="425"/>
      <c r="E2636" s="634"/>
      <c r="F2636" s="635"/>
      <c r="G2636" s="428"/>
      <c r="H2636" s="635"/>
      <c r="I2636" s="428"/>
      <c r="J2636" s="635"/>
      <c r="K2636" s="636"/>
      <c r="L2636" s="635"/>
      <c r="M2636" s="636"/>
      <c r="N2636" s="635"/>
      <c r="O2636" s="636"/>
      <c r="P2636" s="635"/>
      <c r="Q2636" s="636"/>
      <c r="R2636" s="637"/>
      <c r="S2636" s="698">
        <f>SUM(R1916:R1920)/1.18-(SUM(R2631:R2635)*'Mark Up Validation'!$M$175)</f>
        <v>0</v>
      </c>
      <c r="T2636" s="635"/>
      <c r="U2636" s="636"/>
      <c r="V2636" s="635"/>
      <c r="W2636" s="636"/>
      <c r="X2636" s="635"/>
      <c r="Y2636" s="636"/>
      <c r="Z2636" s="635"/>
      <c r="AA2636" s="636"/>
      <c r="AB2636" s="635"/>
      <c r="AC2636" s="636"/>
      <c r="AD2636" s="635"/>
      <c r="AE2636" s="636"/>
      <c r="AF2636" s="637"/>
      <c r="AG2636" s="698">
        <f>SUM(AF1916:AF1920)/1.18-SUM(AF2631:AF2635)*'Mark Up Validation'!$M$175</f>
        <v>0</v>
      </c>
      <c r="AH2636" s="638"/>
      <c r="AI2636" s="698">
        <f>SUM(AH1916:AH1920)/1.18-SUM(AH2631:AH2635)*'Mark Up Validation'!$M$175</f>
        <v>0</v>
      </c>
      <c r="AJ2636" s="65"/>
      <c r="AV2636" s="56"/>
    </row>
    <row r="2637" spans="2:48" ht="13.5" hidden="1" customHeight="1" outlineLevel="2" thickBot="1">
      <c r="B2637" s="82"/>
      <c r="C2637" s="1228" t="s">
        <v>538</v>
      </c>
      <c r="D2637" s="1229"/>
      <c r="E2637" s="699"/>
      <c r="F2637" s="700"/>
      <c r="G2637" s="701"/>
      <c r="H2637" s="700"/>
      <c r="I2637" s="701"/>
      <c r="J2637" s="700"/>
      <c r="K2637" s="702"/>
      <c r="L2637" s="700"/>
      <c r="M2637" s="702"/>
      <c r="N2637" s="700"/>
      <c r="O2637" s="702"/>
      <c r="P2637" s="700"/>
      <c r="Q2637" s="702"/>
      <c r="R2637" s="703"/>
      <c r="S2637" s="729">
        <f>IF(S2636&gt;0,S2636/(SUM(R1916:R1920)/1.18),0)</f>
        <v>0</v>
      </c>
      <c r="T2637" s="700"/>
      <c r="U2637" s="702"/>
      <c r="V2637" s="700"/>
      <c r="W2637" s="702"/>
      <c r="X2637" s="700"/>
      <c r="Y2637" s="702"/>
      <c r="Z2637" s="700"/>
      <c r="AA2637" s="702"/>
      <c r="AB2637" s="700"/>
      <c r="AC2637" s="702"/>
      <c r="AD2637" s="700"/>
      <c r="AE2637" s="702"/>
      <c r="AF2637" s="705"/>
      <c r="AG2637" s="729">
        <f>IF(AG2636&gt;0,AG2636/(SUM(AF1916:AF1920)/1.18),0)</f>
        <v>0</v>
      </c>
      <c r="AH2637" s="706"/>
      <c r="AI2637" s="729">
        <f>IF(AI2636&gt;0,AI2636/(SUM(AH1916:AH1920)/1.18),0)</f>
        <v>0</v>
      </c>
      <c r="AJ2637" s="65"/>
      <c r="AV2637" s="56"/>
    </row>
    <row r="2638" spans="2:48" ht="12.75" hidden="1" customHeight="1" outlineLevel="2">
      <c r="B2638" s="82">
        <f>B2631+1</f>
        <v>68</v>
      </c>
      <c r="C2638" s="1230">
        <f>C1923</f>
        <v>0</v>
      </c>
      <c r="D2638" s="1230">
        <f>D1923</f>
        <v>0</v>
      </c>
      <c r="E2638" s="83" t="str">
        <f>'Terms and Turnovers'!$J$12</f>
        <v>FLIP-FLOPS</v>
      </c>
      <c r="F2638" s="68">
        <f>F1923/'Terms and Turnovers'!$J199</f>
        <v>0</v>
      </c>
      <c r="G2638" s="106"/>
      <c r="H2638" s="68">
        <f>H1923/'Terms and Turnovers'!$J199</f>
        <v>0</v>
      </c>
      <c r="I2638" s="106"/>
      <c r="J2638" s="68">
        <f>J1923/'Terms and Turnovers'!$J199</f>
        <v>0</v>
      </c>
      <c r="K2638" s="106"/>
      <c r="L2638" s="68">
        <f>L1923/'Terms and Turnovers'!$J199</f>
        <v>0</v>
      </c>
      <c r="M2638" s="106"/>
      <c r="N2638" s="68">
        <f>N1923/'Terms and Turnovers'!$J199</f>
        <v>0</v>
      </c>
      <c r="O2638" s="106"/>
      <c r="P2638" s="68">
        <f>P1923/'Terms and Turnovers'!$J199</f>
        <v>0</v>
      </c>
      <c r="Q2638" s="106"/>
      <c r="R2638" s="129">
        <f>SUM(F2638,H2638,J2638,L2638,N2638,P2638)</f>
        <v>0</v>
      </c>
      <c r="S2638" s="106"/>
      <c r="T2638" s="68">
        <f>T1923/'Terms and Turnovers'!$J199</f>
        <v>0</v>
      </c>
      <c r="U2638" s="106"/>
      <c r="V2638" s="68">
        <f>V1923/'Terms and Turnovers'!$J199</f>
        <v>0</v>
      </c>
      <c r="W2638" s="106"/>
      <c r="X2638" s="68">
        <f>X1923/'Terms and Turnovers'!$J199</f>
        <v>0</v>
      </c>
      <c r="Y2638" s="106"/>
      <c r="Z2638" s="68">
        <f>Z1923/'Terms and Turnovers'!$J199</f>
        <v>0</v>
      </c>
      <c r="AA2638" s="106"/>
      <c r="AB2638" s="68">
        <f>AB1923/'Terms and Turnovers'!$J199</f>
        <v>0</v>
      </c>
      <c r="AC2638" s="106"/>
      <c r="AD2638" s="68">
        <f>AD1923/'Terms and Turnovers'!$J199</f>
        <v>0</v>
      </c>
      <c r="AE2638" s="106"/>
      <c r="AF2638" s="129">
        <f>SUM(T2638,V2638,X2638,Z2638,AB2638,AD2638)</f>
        <v>0</v>
      </c>
      <c r="AG2638" s="106"/>
      <c r="AH2638" s="130">
        <f>SUM(AF2638,R2638)</f>
        <v>0</v>
      </c>
      <c r="AI2638" s="106"/>
      <c r="AJ2638" s="65"/>
      <c r="AV2638" s="56"/>
    </row>
    <row r="2639" spans="2:48" ht="12.75" hidden="1" customHeight="1" outlineLevel="2" thickBot="1">
      <c r="B2639" s="82"/>
      <c r="C2639" s="1231"/>
      <c r="D2639" s="1231"/>
      <c r="E2639" s="84" t="str">
        <f>'Terms and Turnovers'!$T$12</f>
        <v>ORIGINALS</v>
      </c>
      <c r="F2639" s="70">
        <f>F1924/'Terms and Turnovers'!$T199</f>
        <v>0</v>
      </c>
      <c r="G2639" s="728"/>
      <c r="H2639" s="70">
        <f>H1924/'Terms and Turnovers'!$T199</f>
        <v>0</v>
      </c>
      <c r="I2639" s="728"/>
      <c r="J2639" s="70">
        <f>J1924/'Terms and Turnovers'!$T199</f>
        <v>0</v>
      </c>
      <c r="K2639" s="728"/>
      <c r="L2639" s="70">
        <f>L1924/'Terms and Turnovers'!$T199</f>
        <v>0</v>
      </c>
      <c r="M2639" s="728"/>
      <c r="N2639" s="70">
        <f>N1924/'Terms and Turnovers'!$T199</f>
        <v>0</v>
      </c>
      <c r="O2639" s="728"/>
      <c r="P2639" s="70">
        <f>P1924/'Terms and Turnovers'!$T199</f>
        <v>0</v>
      </c>
      <c r="Q2639" s="728"/>
      <c r="R2639" s="132">
        <f>SUM(F2639,H2639,J2639,L2639,N2639,P2639)</f>
        <v>0</v>
      </c>
      <c r="S2639" s="728"/>
      <c r="T2639" s="70">
        <f>T1924/'Terms and Turnovers'!$T199</f>
        <v>0</v>
      </c>
      <c r="U2639" s="728"/>
      <c r="V2639" s="70">
        <f>V1924/'Terms and Turnovers'!$T199</f>
        <v>0</v>
      </c>
      <c r="W2639" s="728"/>
      <c r="X2639" s="70">
        <f>X1924/'Terms and Turnovers'!$T199</f>
        <v>0</v>
      </c>
      <c r="Y2639" s="728"/>
      <c r="Z2639" s="70">
        <f>Z1924/'Terms and Turnovers'!$T199</f>
        <v>0</v>
      </c>
      <c r="AA2639" s="728"/>
      <c r="AB2639" s="70">
        <f>AB1924/'Terms and Turnovers'!$T199</f>
        <v>0</v>
      </c>
      <c r="AC2639" s="728"/>
      <c r="AD2639" s="70">
        <f>AD1924/'Terms and Turnovers'!$T199</f>
        <v>0</v>
      </c>
      <c r="AE2639" s="728"/>
      <c r="AF2639" s="132">
        <f>SUM(T2639,V2639,X2639,Z2639,AB2639,AD2639)</f>
        <v>0</v>
      </c>
      <c r="AG2639" s="728"/>
      <c r="AH2639" s="133">
        <f>SUM(AF2639,R2639)</f>
        <v>0</v>
      </c>
      <c r="AI2639" s="728"/>
      <c r="AJ2639" s="65"/>
      <c r="AV2639" s="56"/>
    </row>
    <row r="2640" spans="2:48" ht="12.75" hidden="1" customHeight="1" outlineLevel="2">
      <c r="B2640" s="82"/>
      <c r="C2640" s="1231"/>
      <c r="D2640" s="1231"/>
      <c r="E2640" s="84" t="str">
        <f>'Terms and Turnovers'!$AD$12</f>
        <v>ACCESSORIES</v>
      </c>
      <c r="F2640" s="68">
        <f>F1925/'Terms and Turnovers'!$AD199</f>
        <v>0</v>
      </c>
      <c r="G2640" s="728"/>
      <c r="H2640" s="68">
        <f>H1925/'Terms and Turnovers'!$AD199</f>
        <v>0</v>
      </c>
      <c r="I2640" s="728"/>
      <c r="J2640" s="68">
        <f>J1925/'Terms and Turnovers'!$AD199</f>
        <v>0</v>
      </c>
      <c r="K2640" s="728"/>
      <c r="L2640" s="68">
        <f>L1925/'Terms and Turnovers'!$AD199</f>
        <v>0</v>
      </c>
      <c r="M2640" s="728"/>
      <c r="N2640" s="68">
        <f>N1925/'Terms and Turnovers'!$AD199</f>
        <v>0</v>
      </c>
      <c r="O2640" s="728"/>
      <c r="P2640" s="68">
        <f>P1925/'Terms and Turnovers'!$AD199</f>
        <v>0</v>
      </c>
      <c r="Q2640" s="728"/>
      <c r="R2640" s="132">
        <f>SUM(F2640,H2640,J2640,L2640,N2640,P2640)</f>
        <v>0</v>
      </c>
      <c r="S2640" s="728"/>
      <c r="T2640" s="68">
        <f>T1925/'Terms and Turnovers'!$AD199</f>
        <v>0</v>
      </c>
      <c r="U2640" s="728"/>
      <c r="V2640" s="68">
        <f>V1925/'Terms and Turnovers'!$AD199</f>
        <v>0</v>
      </c>
      <c r="W2640" s="728"/>
      <c r="X2640" s="68">
        <f>X1925/'Terms and Turnovers'!$AD199</f>
        <v>0</v>
      </c>
      <c r="Y2640" s="728"/>
      <c r="Z2640" s="68">
        <f>Z1925/'Terms and Turnovers'!$AD199</f>
        <v>0</v>
      </c>
      <c r="AA2640" s="728"/>
      <c r="AB2640" s="68">
        <f>AB1925/'Terms and Turnovers'!$AD199</f>
        <v>0</v>
      </c>
      <c r="AC2640" s="728"/>
      <c r="AD2640" s="68">
        <f>AD1925/'Terms and Turnovers'!$AD199</f>
        <v>0</v>
      </c>
      <c r="AE2640" s="728"/>
      <c r="AF2640" s="132">
        <f>SUM(T2640,V2640,X2640,Z2640,AB2640,AD2640)</f>
        <v>0</v>
      </c>
      <c r="AG2640" s="728"/>
      <c r="AH2640" s="133">
        <f>SUM(AF2640,R2640)</f>
        <v>0</v>
      </c>
      <c r="AI2640" s="728"/>
      <c r="AJ2640" s="65"/>
      <c r="AV2640" s="56"/>
    </row>
    <row r="2641" spans="2:48" ht="12.75" hidden="1" customHeight="1" outlineLevel="2" thickBot="1">
      <c r="B2641" s="82"/>
      <c r="C2641" s="1231"/>
      <c r="D2641" s="1231"/>
      <c r="E2641" s="84">
        <f>'Terms and Turnovers'!$AN$12</f>
        <v>0</v>
      </c>
      <c r="F2641" s="70">
        <f>F1926/'Terms and Turnovers'!$AN199</f>
        <v>0</v>
      </c>
      <c r="G2641" s="728"/>
      <c r="H2641" s="70">
        <f>H1926/'Terms and Turnovers'!$AN199</f>
        <v>0</v>
      </c>
      <c r="I2641" s="728"/>
      <c r="J2641" s="70">
        <f>J1926/'Terms and Turnovers'!$AN199</f>
        <v>0</v>
      </c>
      <c r="K2641" s="728"/>
      <c r="L2641" s="70">
        <f>L1926/'Terms and Turnovers'!$AN199</f>
        <v>0</v>
      </c>
      <c r="M2641" s="728"/>
      <c r="N2641" s="70">
        <f>N1926/'Terms and Turnovers'!$AN199</f>
        <v>0</v>
      </c>
      <c r="O2641" s="728"/>
      <c r="P2641" s="70">
        <f>P1926/'Terms and Turnovers'!$AN199</f>
        <v>0</v>
      </c>
      <c r="Q2641" s="728"/>
      <c r="R2641" s="132">
        <f>SUM(F2641,H2641,J2641,L2641,N2641,P2641)</f>
        <v>0</v>
      </c>
      <c r="S2641" s="728"/>
      <c r="T2641" s="70">
        <f>T1926/'Terms and Turnovers'!$AN199</f>
        <v>0</v>
      </c>
      <c r="U2641" s="728"/>
      <c r="V2641" s="70">
        <f>V1926/'Terms and Turnovers'!$AN199</f>
        <v>0</v>
      </c>
      <c r="W2641" s="728"/>
      <c r="X2641" s="70">
        <f>X1926/'Terms and Turnovers'!$AN199</f>
        <v>0</v>
      </c>
      <c r="Y2641" s="728"/>
      <c r="Z2641" s="70">
        <f>Z1926/'Terms and Turnovers'!$AN199</f>
        <v>0</v>
      </c>
      <c r="AA2641" s="728"/>
      <c r="AB2641" s="70">
        <f>AB1926/'Terms and Turnovers'!$AN199</f>
        <v>0</v>
      </c>
      <c r="AC2641" s="728"/>
      <c r="AD2641" s="70">
        <f>AD1926/'Terms and Turnovers'!$AN199</f>
        <v>0</v>
      </c>
      <c r="AE2641" s="728"/>
      <c r="AF2641" s="132">
        <f>SUM(T2641,V2641,X2641,Z2641,AB2641,AD2641)</f>
        <v>0</v>
      </c>
      <c r="AG2641" s="728"/>
      <c r="AH2641" s="133">
        <f>SUM(AF2641,R2641)</f>
        <v>0</v>
      </c>
      <c r="AI2641" s="728"/>
      <c r="AJ2641" s="65"/>
      <c r="AV2641" s="56"/>
    </row>
    <row r="2642" spans="2:48" ht="13.5" hidden="1" customHeight="1" outlineLevel="2" thickBot="1">
      <c r="B2642" s="82"/>
      <c r="C2642" s="1232"/>
      <c r="D2642" s="1232"/>
      <c r="E2642" s="85">
        <f>'Terms and Turnovers'!$AX$12</f>
        <v>0</v>
      </c>
      <c r="F2642" s="68">
        <f>F1927/'Terms and Turnovers'!$AX199</f>
        <v>0</v>
      </c>
      <c r="G2642" s="111"/>
      <c r="H2642" s="68">
        <f>H1927/'Terms and Turnovers'!$AX199</f>
        <v>0</v>
      </c>
      <c r="I2642" s="107"/>
      <c r="J2642" s="68">
        <f>J1927/'Terms and Turnovers'!$AX199</f>
        <v>0</v>
      </c>
      <c r="K2642" s="107"/>
      <c r="L2642" s="68">
        <f>L1927/'Terms and Turnovers'!$AX199</f>
        <v>0</v>
      </c>
      <c r="M2642" s="107"/>
      <c r="N2642" s="68">
        <f>N1927/'Terms and Turnovers'!$AX199</f>
        <v>0</v>
      </c>
      <c r="O2642" s="107"/>
      <c r="P2642" s="68">
        <f>P1927/'Terms and Turnovers'!$AX199</f>
        <v>0</v>
      </c>
      <c r="Q2642" s="107"/>
      <c r="R2642" s="135">
        <f>SUM(F2642,H2642,J2642,L2642,N2642,P2642)</f>
        <v>0</v>
      </c>
      <c r="S2642" s="107"/>
      <c r="T2642" s="68">
        <f>T1927/'Terms and Turnovers'!$AX199</f>
        <v>0</v>
      </c>
      <c r="U2642" s="111"/>
      <c r="V2642" s="68">
        <f>V1927/'Terms and Turnovers'!$AX199</f>
        <v>0</v>
      </c>
      <c r="W2642" s="107"/>
      <c r="X2642" s="68">
        <f>X1927/'Terms and Turnovers'!$AX199</f>
        <v>0</v>
      </c>
      <c r="Y2642" s="107"/>
      <c r="Z2642" s="68">
        <f>Z1927/'Terms and Turnovers'!$AX199</f>
        <v>0</v>
      </c>
      <c r="AA2642" s="107"/>
      <c r="AB2642" s="68">
        <f>AB1927/'Terms and Turnovers'!$AX199</f>
        <v>0</v>
      </c>
      <c r="AC2642" s="107"/>
      <c r="AD2642" s="68">
        <f>AD1927/'Terms and Turnovers'!$AX199</f>
        <v>0</v>
      </c>
      <c r="AE2642" s="107"/>
      <c r="AF2642" s="135">
        <f>SUM(T2642,V2642,X2642,Z2642,AB2642,AD2642)</f>
        <v>0</v>
      </c>
      <c r="AG2642" s="107"/>
      <c r="AH2642" s="136">
        <f>SUM(AF2642,R2642)</f>
        <v>0</v>
      </c>
      <c r="AI2642" s="107"/>
      <c r="AJ2642" s="65"/>
      <c r="AV2642" s="56"/>
    </row>
    <row r="2643" spans="2:48" ht="13.5" hidden="1" customHeight="1" outlineLevel="2">
      <c r="B2643" s="82"/>
      <c r="C2643" s="425"/>
      <c r="D2643" s="425"/>
      <c r="E2643" s="634"/>
      <c r="F2643" s="635"/>
      <c r="G2643" s="428"/>
      <c r="H2643" s="635"/>
      <c r="I2643" s="428"/>
      <c r="J2643" s="635"/>
      <c r="K2643" s="636"/>
      <c r="L2643" s="635"/>
      <c r="M2643" s="636"/>
      <c r="N2643" s="635"/>
      <c r="O2643" s="636"/>
      <c r="P2643" s="635"/>
      <c r="Q2643" s="636"/>
      <c r="R2643" s="637"/>
      <c r="S2643" s="698">
        <f>SUM(R1923:R1927)/1.18-(SUM(R2638:R2642)*'Mark Up Validation'!$M$175)</f>
        <v>0</v>
      </c>
      <c r="T2643" s="635"/>
      <c r="U2643" s="636"/>
      <c r="V2643" s="635"/>
      <c r="W2643" s="636"/>
      <c r="X2643" s="635"/>
      <c r="Y2643" s="636"/>
      <c r="Z2643" s="635"/>
      <c r="AA2643" s="636"/>
      <c r="AB2643" s="635"/>
      <c r="AC2643" s="636"/>
      <c r="AD2643" s="635"/>
      <c r="AE2643" s="636"/>
      <c r="AF2643" s="637"/>
      <c r="AG2643" s="698">
        <f>SUM(AF1923:AF1927)/1.18-SUM(AF2638:AF2642)*'Mark Up Validation'!$M$175</f>
        <v>0</v>
      </c>
      <c r="AH2643" s="638"/>
      <c r="AI2643" s="698">
        <f>SUM(AH1923:AH1927)/1.18-SUM(AH2638:AH2642)*'Mark Up Validation'!$M$175</f>
        <v>0</v>
      </c>
      <c r="AJ2643" s="65"/>
      <c r="AV2643" s="56"/>
    </row>
    <row r="2644" spans="2:48" ht="13.5" hidden="1" customHeight="1" outlineLevel="2" thickBot="1">
      <c r="B2644" s="82"/>
      <c r="C2644" s="1228" t="s">
        <v>538</v>
      </c>
      <c r="D2644" s="1229"/>
      <c r="E2644" s="699"/>
      <c r="F2644" s="700"/>
      <c r="G2644" s="701"/>
      <c r="H2644" s="700"/>
      <c r="I2644" s="701"/>
      <c r="J2644" s="700"/>
      <c r="K2644" s="702"/>
      <c r="L2644" s="700"/>
      <c r="M2644" s="702"/>
      <c r="N2644" s="700"/>
      <c r="O2644" s="702"/>
      <c r="P2644" s="700"/>
      <c r="Q2644" s="702"/>
      <c r="R2644" s="703"/>
      <c r="S2644" s="729">
        <f>IF(S2643&gt;0,S2643/(SUM(R1923:R1927)/1.18),0)</f>
        <v>0</v>
      </c>
      <c r="T2644" s="700"/>
      <c r="U2644" s="702"/>
      <c r="V2644" s="700"/>
      <c r="W2644" s="702"/>
      <c r="X2644" s="700"/>
      <c r="Y2644" s="702"/>
      <c r="Z2644" s="700"/>
      <c r="AA2644" s="702"/>
      <c r="AB2644" s="700"/>
      <c r="AC2644" s="702"/>
      <c r="AD2644" s="700"/>
      <c r="AE2644" s="702"/>
      <c r="AF2644" s="705"/>
      <c r="AG2644" s="729">
        <f>IF(AG2643&gt;0,AG2643/(SUM(AF1923:AF1927)/1.18),0)</f>
        <v>0</v>
      </c>
      <c r="AH2644" s="706"/>
      <c r="AI2644" s="729">
        <f>IF(AI2643&gt;0,AI2643/(SUM(AH1923:AH1927)/1.18),0)</f>
        <v>0</v>
      </c>
      <c r="AJ2644" s="65"/>
      <c r="AV2644" s="56"/>
    </row>
    <row r="2645" spans="2:48" ht="12.75" hidden="1" customHeight="1" outlineLevel="2">
      <c r="B2645" s="82">
        <f>B2638+1</f>
        <v>69</v>
      </c>
      <c r="C2645" s="1233">
        <f>C1930</f>
        <v>0</v>
      </c>
      <c r="D2645" s="1233">
        <f>D1930</f>
        <v>0</v>
      </c>
      <c r="E2645" s="83" t="str">
        <f>'Terms and Turnovers'!$J$12</f>
        <v>FLIP-FLOPS</v>
      </c>
      <c r="F2645" s="68">
        <f>F1930/'Terms and Turnovers'!$J200</f>
        <v>0</v>
      </c>
      <c r="G2645" s="106"/>
      <c r="H2645" s="68">
        <f>H1930/'Terms and Turnovers'!$J200</f>
        <v>0</v>
      </c>
      <c r="I2645" s="106"/>
      <c r="J2645" s="68">
        <f>J1930/'Terms and Turnovers'!$J200</f>
        <v>0</v>
      </c>
      <c r="K2645" s="106"/>
      <c r="L2645" s="68">
        <f>L1930/'Terms and Turnovers'!$J200</f>
        <v>0</v>
      </c>
      <c r="M2645" s="106"/>
      <c r="N2645" s="68">
        <f>N1930/'Terms and Turnovers'!$J200</f>
        <v>0</v>
      </c>
      <c r="O2645" s="106"/>
      <c r="P2645" s="68">
        <f>P1930/'Terms and Turnovers'!$J200</f>
        <v>0</v>
      </c>
      <c r="Q2645" s="106"/>
      <c r="R2645" s="129">
        <f>SUM(F2645,H2645,J2645,L2645,N2645,P2645)</f>
        <v>0</v>
      </c>
      <c r="S2645" s="106"/>
      <c r="T2645" s="68">
        <f>T1930/'Terms and Turnovers'!$J200</f>
        <v>0</v>
      </c>
      <c r="U2645" s="106"/>
      <c r="V2645" s="68">
        <f>V1930/'Terms and Turnovers'!$J200</f>
        <v>0</v>
      </c>
      <c r="W2645" s="106"/>
      <c r="X2645" s="68">
        <f>X1930/'Terms and Turnovers'!$J200</f>
        <v>0</v>
      </c>
      <c r="Y2645" s="106"/>
      <c r="Z2645" s="68">
        <f>Z1930/'Terms and Turnovers'!$J200</f>
        <v>0</v>
      </c>
      <c r="AA2645" s="106"/>
      <c r="AB2645" s="68">
        <f>AB1930/'Terms and Turnovers'!$J200</f>
        <v>0</v>
      </c>
      <c r="AC2645" s="106"/>
      <c r="AD2645" s="68">
        <f>AD1930/'Terms and Turnovers'!$J200</f>
        <v>0</v>
      </c>
      <c r="AE2645" s="106"/>
      <c r="AF2645" s="129">
        <f>SUM(T2645,V2645,X2645,Z2645,AB2645,AD2645)</f>
        <v>0</v>
      </c>
      <c r="AG2645" s="106"/>
      <c r="AH2645" s="130">
        <f>SUM(AF2645,R2645)</f>
        <v>0</v>
      </c>
      <c r="AI2645" s="106"/>
      <c r="AJ2645" s="65"/>
      <c r="AV2645" s="56"/>
    </row>
    <row r="2646" spans="2:48" ht="12.75" hidden="1" customHeight="1" outlineLevel="2" thickBot="1">
      <c r="B2646" s="82"/>
      <c r="C2646" s="1234"/>
      <c r="D2646" s="1234"/>
      <c r="E2646" s="84" t="str">
        <f>'Terms and Turnovers'!$T$12</f>
        <v>ORIGINALS</v>
      </c>
      <c r="F2646" s="70">
        <f>F1931/'Terms and Turnovers'!$T200</f>
        <v>0</v>
      </c>
      <c r="G2646" s="728"/>
      <c r="H2646" s="70">
        <f>H1931/'Terms and Turnovers'!$T200</f>
        <v>0</v>
      </c>
      <c r="I2646" s="728"/>
      <c r="J2646" s="70">
        <f>J1931/'Terms and Turnovers'!$T200</f>
        <v>0</v>
      </c>
      <c r="K2646" s="728"/>
      <c r="L2646" s="70">
        <f>L1931/'Terms and Turnovers'!$T200</f>
        <v>0</v>
      </c>
      <c r="M2646" s="728"/>
      <c r="N2646" s="70">
        <f>N1931/'Terms and Turnovers'!$T200</f>
        <v>0</v>
      </c>
      <c r="O2646" s="728"/>
      <c r="P2646" s="70">
        <f>P1931/'Terms and Turnovers'!$T200</f>
        <v>0</v>
      </c>
      <c r="Q2646" s="728"/>
      <c r="R2646" s="132">
        <f>SUM(F2646,H2646,J2646,L2646,N2646,P2646)</f>
        <v>0</v>
      </c>
      <c r="S2646" s="728"/>
      <c r="T2646" s="70">
        <f>T1931/'Terms and Turnovers'!$T200</f>
        <v>0</v>
      </c>
      <c r="U2646" s="728"/>
      <c r="V2646" s="70">
        <f>V1931/'Terms and Turnovers'!$T200</f>
        <v>0</v>
      </c>
      <c r="W2646" s="728"/>
      <c r="X2646" s="70">
        <f>X1931/'Terms and Turnovers'!$T200</f>
        <v>0</v>
      </c>
      <c r="Y2646" s="728"/>
      <c r="Z2646" s="70">
        <f>Z1931/'Terms and Turnovers'!$T200</f>
        <v>0</v>
      </c>
      <c r="AA2646" s="728"/>
      <c r="AB2646" s="70">
        <f>AB1931/'Terms and Turnovers'!$T200</f>
        <v>0</v>
      </c>
      <c r="AC2646" s="728"/>
      <c r="AD2646" s="70">
        <f>AD1931/'Terms and Turnovers'!$T200</f>
        <v>0</v>
      </c>
      <c r="AE2646" s="728"/>
      <c r="AF2646" s="132">
        <f>SUM(T2646,V2646,X2646,Z2646,AB2646,AD2646)</f>
        <v>0</v>
      </c>
      <c r="AG2646" s="728"/>
      <c r="AH2646" s="133">
        <f>SUM(AF2646,R2646)</f>
        <v>0</v>
      </c>
      <c r="AI2646" s="728"/>
      <c r="AJ2646" s="65"/>
      <c r="AV2646" s="56"/>
    </row>
    <row r="2647" spans="2:48" ht="12.75" hidden="1" customHeight="1" outlineLevel="2">
      <c r="B2647" s="82"/>
      <c r="C2647" s="1234"/>
      <c r="D2647" s="1234"/>
      <c r="E2647" s="84" t="str">
        <f>'Terms and Turnovers'!$AD$12</f>
        <v>ACCESSORIES</v>
      </c>
      <c r="F2647" s="68">
        <f>F1932/'Terms and Turnovers'!$AD200</f>
        <v>0</v>
      </c>
      <c r="G2647" s="728"/>
      <c r="H2647" s="68">
        <f>H1932/'Terms and Turnovers'!$AD200</f>
        <v>0</v>
      </c>
      <c r="I2647" s="728"/>
      <c r="J2647" s="68">
        <f>J1932/'Terms and Turnovers'!$AD200</f>
        <v>0</v>
      </c>
      <c r="K2647" s="728"/>
      <c r="L2647" s="68">
        <f>L1932/'Terms and Turnovers'!$AD200</f>
        <v>0</v>
      </c>
      <c r="M2647" s="728"/>
      <c r="N2647" s="68">
        <f>N1932/'Terms and Turnovers'!$AD200</f>
        <v>0</v>
      </c>
      <c r="O2647" s="728"/>
      <c r="P2647" s="68">
        <f>P1932/'Terms and Turnovers'!$AD200</f>
        <v>0</v>
      </c>
      <c r="Q2647" s="728"/>
      <c r="R2647" s="132">
        <f>SUM(F2647,H2647,J2647,L2647,N2647,P2647)</f>
        <v>0</v>
      </c>
      <c r="S2647" s="728"/>
      <c r="T2647" s="68">
        <f>T1932/'Terms and Turnovers'!$AD200</f>
        <v>0</v>
      </c>
      <c r="U2647" s="728"/>
      <c r="V2647" s="68">
        <f>V1932/'Terms and Turnovers'!$AD200</f>
        <v>0</v>
      </c>
      <c r="W2647" s="728"/>
      <c r="X2647" s="68">
        <f>X1932/'Terms and Turnovers'!$AD200</f>
        <v>0</v>
      </c>
      <c r="Y2647" s="728"/>
      <c r="Z2647" s="68">
        <f>Z1932/'Terms and Turnovers'!$AD200</f>
        <v>0</v>
      </c>
      <c r="AA2647" s="728"/>
      <c r="AB2647" s="68">
        <f>AB1932/'Terms and Turnovers'!$AD200</f>
        <v>0</v>
      </c>
      <c r="AC2647" s="728"/>
      <c r="AD2647" s="68">
        <f>AD1932/'Terms and Turnovers'!$AD200</f>
        <v>0</v>
      </c>
      <c r="AE2647" s="728"/>
      <c r="AF2647" s="132">
        <f>SUM(T2647,V2647,X2647,Z2647,AB2647,AD2647)</f>
        <v>0</v>
      </c>
      <c r="AG2647" s="728"/>
      <c r="AH2647" s="133">
        <f>SUM(AF2647,R2647)</f>
        <v>0</v>
      </c>
      <c r="AI2647" s="728"/>
      <c r="AJ2647" s="65"/>
      <c r="AV2647" s="56"/>
    </row>
    <row r="2648" spans="2:48" ht="12.75" hidden="1" customHeight="1" outlineLevel="2" thickBot="1">
      <c r="B2648" s="82"/>
      <c r="C2648" s="1234"/>
      <c r="D2648" s="1234"/>
      <c r="E2648" s="84">
        <f>'Terms and Turnovers'!$AN$12</f>
        <v>0</v>
      </c>
      <c r="F2648" s="70">
        <f>F1933/'Terms and Turnovers'!$AN200</f>
        <v>0</v>
      </c>
      <c r="G2648" s="728"/>
      <c r="H2648" s="70">
        <f>H1933/'Terms and Turnovers'!$AN200</f>
        <v>0</v>
      </c>
      <c r="I2648" s="728"/>
      <c r="J2648" s="70">
        <f>J1933/'Terms and Turnovers'!$AN200</f>
        <v>0</v>
      </c>
      <c r="K2648" s="728"/>
      <c r="L2648" s="70">
        <f>L1933/'Terms and Turnovers'!$AN200</f>
        <v>0</v>
      </c>
      <c r="M2648" s="728"/>
      <c r="N2648" s="70">
        <f>N1933/'Terms and Turnovers'!$AN200</f>
        <v>0</v>
      </c>
      <c r="O2648" s="728"/>
      <c r="P2648" s="70">
        <f>P1933/'Terms and Turnovers'!$AN200</f>
        <v>0</v>
      </c>
      <c r="Q2648" s="728"/>
      <c r="R2648" s="132">
        <f>SUM(F2648,H2648,J2648,L2648,N2648,P2648)</f>
        <v>0</v>
      </c>
      <c r="S2648" s="728"/>
      <c r="T2648" s="70">
        <f>T1933/'Terms and Turnovers'!$AN200</f>
        <v>0</v>
      </c>
      <c r="U2648" s="728"/>
      <c r="V2648" s="70">
        <f>V1933/'Terms and Turnovers'!$AN200</f>
        <v>0</v>
      </c>
      <c r="W2648" s="728"/>
      <c r="X2648" s="70">
        <f>X1933/'Terms and Turnovers'!$AN200</f>
        <v>0</v>
      </c>
      <c r="Y2648" s="728"/>
      <c r="Z2648" s="70">
        <f>Z1933/'Terms and Turnovers'!$AN200</f>
        <v>0</v>
      </c>
      <c r="AA2648" s="728"/>
      <c r="AB2648" s="70">
        <f>AB1933/'Terms and Turnovers'!$AN200</f>
        <v>0</v>
      </c>
      <c r="AC2648" s="728"/>
      <c r="AD2648" s="70">
        <f>AD1933/'Terms and Turnovers'!$AN200</f>
        <v>0</v>
      </c>
      <c r="AE2648" s="728"/>
      <c r="AF2648" s="132">
        <f>SUM(T2648,V2648,X2648,Z2648,AB2648,AD2648)</f>
        <v>0</v>
      </c>
      <c r="AG2648" s="728"/>
      <c r="AH2648" s="133">
        <f>SUM(AF2648,R2648)</f>
        <v>0</v>
      </c>
      <c r="AI2648" s="728"/>
      <c r="AJ2648" s="65"/>
      <c r="AV2648" s="56"/>
    </row>
    <row r="2649" spans="2:48" ht="13.5" hidden="1" customHeight="1" outlineLevel="2" thickBot="1">
      <c r="B2649" s="82"/>
      <c r="C2649" s="1235"/>
      <c r="D2649" s="1235"/>
      <c r="E2649" s="85">
        <f>'Terms and Turnovers'!$AX$12</f>
        <v>0</v>
      </c>
      <c r="F2649" s="68">
        <f>F1934/'Terms and Turnovers'!$AX200</f>
        <v>0</v>
      </c>
      <c r="G2649" s="111"/>
      <c r="H2649" s="68">
        <f>H1934/'Terms and Turnovers'!$AX200</f>
        <v>0</v>
      </c>
      <c r="I2649" s="107"/>
      <c r="J2649" s="68">
        <f>J1934/'Terms and Turnovers'!$AX200</f>
        <v>0</v>
      </c>
      <c r="K2649" s="107"/>
      <c r="L2649" s="68">
        <f>L1934/'Terms and Turnovers'!$AX200</f>
        <v>0</v>
      </c>
      <c r="M2649" s="107"/>
      <c r="N2649" s="68">
        <f>N1934/'Terms and Turnovers'!$AX200</f>
        <v>0</v>
      </c>
      <c r="O2649" s="107"/>
      <c r="P2649" s="68">
        <f>P1934/'Terms and Turnovers'!$AX200</f>
        <v>0</v>
      </c>
      <c r="Q2649" s="107"/>
      <c r="R2649" s="135">
        <f>SUM(F2649,H2649,J2649,L2649,N2649,P2649)</f>
        <v>0</v>
      </c>
      <c r="S2649" s="107"/>
      <c r="T2649" s="68">
        <f>T1934/'Terms and Turnovers'!$AX200</f>
        <v>0</v>
      </c>
      <c r="U2649" s="111"/>
      <c r="V2649" s="68">
        <f>V1934/'Terms and Turnovers'!$AX200</f>
        <v>0</v>
      </c>
      <c r="W2649" s="107"/>
      <c r="X2649" s="68">
        <f>X1934/'Terms and Turnovers'!$AX200</f>
        <v>0</v>
      </c>
      <c r="Y2649" s="107"/>
      <c r="Z2649" s="68">
        <f>Z1934/'Terms and Turnovers'!$AX200</f>
        <v>0</v>
      </c>
      <c r="AA2649" s="107"/>
      <c r="AB2649" s="68">
        <f>AB1934/'Terms and Turnovers'!$AX200</f>
        <v>0</v>
      </c>
      <c r="AC2649" s="107"/>
      <c r="AD2649" s="68">
        <f>AD1934/'Terms and Turnovers'!$AX200</f>
        <v>0</v>
      </c>
      <c r="AE2649" s="107"/>
      <c r="AF2649" s="135">
        <f>SUM(T2649,V2649,X2649,Z2649,AB2649,AD2649)</f>
        <v>0</v>
      </c>
      <c r="AG2649" s="107"/>
      <c r="AH2649" s="136">
        <f>SUM(AF2649,R2649)</f>
        <v>0</v>
      </c>
      <c r="AI2649" s="107"/>
      <c r="AJ2649" s="65"/>
      <c r="AV2649" s="56"/>
    </row>
    <row r="2650" spans="2:48" ht="13.5" hidden="1" customHeight="1" outlineLevel="2">
      <c r="B2650" s="82"/>
      <c r="C2650" s="425"/>
      <c r="D2650" s="425"/>
      <c r="E2650" s="634"/>
      <c r="F2650" s="635"/>
      <c r="G2650" s="428"/>
      <c r="H2650" s="635"/>
      <c r="I2650" s="428"/>
      <c r="J2650" s="635"/>
      <c r="K2650" s="636"/>
      <c r="L2650" s="635"/>
      <c r="M2650" s="636"/>
      <c r="N2650" s="635"/>
      <c r="O2650" s="636"/>
      <c r="P2650" s="635"/>
      <c r="Q2650" s="636"/>
      <c r="R2650" s="637"/>
      <c r="S2650" s="698">
        <f>SUM(R1930:R1934)/1.18-(SUM(R2645:R2649)*'Mark Up Validation'!$M$175)</f>
        <v>0</v>
      </c>
      <c r="T2650" s="635"/>
      <c r="U2650" s="636"/>
      <c r="V2650" s="635"/>
      <c r="W2650" s="636"/>
      <c r="X2650" s="635"/>
      <c r="Y2650" s="636"/>
      <c r="Z2650" s="635"/>
      <c r="AA2650" s="636"/>
      <c r="AB2650" s="635"/>
      <c r="AC2650" s="636"/>
      <c r="AD2650" s="635"/>
      <c r="AE2650" s="636"/>
      <c r="AF2650" s="637"/>
      <c r="AG2650" s="698">
        <f>SUM(AF1930:AF1934)/1.18-SUM(AF2645:AF2649)*'Mark Up Validation'!$M$175</f>
        <v>0</v>
      </c>
      <c r="AH2650" s="638"/>
      <c r="AI2650" s="698">
        <f>SUM(AH1930:AH1934)/1.18-SUM(AH2645:AH2649)*'Mark Up Validation'!$M$175</f>
        <v>0</v>
      </c>
      <c r="AJ2650" s="65"/>
      <c r="AV2650" s="56"/>
    </row>
    <row r="2651" spans="2:48" ht="13.5" hidden="1" customHeight="1" outlineLevel="2" thickBot="1">
      <c r="B2651" s="82"/>
      <c r="C2651" s="1228" t="s">
        <v>538</v>
      </c>
      <c r="D2651" s="1229"/>
      <c r="E2651" s="699"/>
      <c r="F2651" s="700"/>
      <c r="G2651" s="701"/>
      <c r="H2651" s="700"/>
      <c r="I2651" s="701"/>
      <c r="J2651" s="700"/>
      <c r="K2651" s="702"/>
      <c r="L2651" s="700"/>
      <c r="M2651" s="702"/>
      <c r="N2651" s="700"/>
      <c r="O2651" s="702"/>
      <c r="P2651" s="700"/>
      <c r="Q2651" s="702"/>
      <c r="R2651" s="703"/>
      <c r="S2651" s="729">
        <f>IF(S2650&gt;0,S2650/(SUM(R1930:R1934)/1.18),0)</f>
        <v>0</v>
      </c>
      <c r="T2651" s="700"/>
      <c r="U2651" s="702"/>
      <c r="V2651" s="700"/>
      <c r="W2651" s="702"/>
      <c r="X2651" s="700"/>
      <c r="Y2651" s="702"/>
      <c r="Z2651" s="700"/>
      <c r="AA2651" s="702"/>
      <c r="AB2651" s="700"/>
      <c r="AC2651" s="702"/>
      <c r="AD2651" s="700"/>
      <c r="AE2651" s="702"/>
      <c r="AF2651" s="705"/>
      <c r="AG2651" s="729">
        <f>IF(AG2650&gt;0,AG2650/(SUM(AF1930:AF1934)/1.18),0)</f>
        <v>0</v>
      </c>
      <c r="AH2651" s="706"/>
      <c r="AI2651" s="729">
        <f>IF(AI2650&gt;0,AI2650/(SUM(AH1930:AH1934)/1.18),0)</f>
        <v>0</v>
      </c>
      <c r="AJ2651" s="65"/>
      <c r="AV2651" s="56"/>
    </row>
    <row r="2652" spans="2:48" ht="12.75" hidden="1" customHeight="1" outlineLevel="2">
      <c r="B2652" s="82">
        <f>B2645+1</f>
        <v>70</v>
      </c>
      <c r="C2652" s="1230">
        <f>C1937</f>
        <v>0</v>
      </c>
      <c r="D2652" s="1230">
        <f>D1937</f>
        <v>0</v>
      </c>
      <c r="E2652" s="83" t="str">
        <f>'Terms and Turnovers'!$J$12</f>
        <v>FLIP-FLOPS</v>
      </c>
      <c r="F2652" s="68">
        <f>F1937/'Terms and Turnovers'!$J201</f>
        <v>0</v>
      </c>
      <c r="G2652" s="106"/>
      <c r="H2652" s="68">
        <f>H1937/'Terms and Turnovers'!$J201</f>
        <v>0</v>
      </c>
      <c r="I2652" s="106"/>
      <c r="J2652" s="68">
        <f>J1937/'Terms and Turnovers'!$J201</f>
        <v>0</v>
      </c>
      <c r="K2652" s="106"/>
      <c r="L2652" s="68">
        <f>L1937/'Terms and Turnovers'!$J201</f>
        <v>0</v>
      </c>
      <c r="M2652" s="106"/>
      <c r="N2652" s="68">
        <f>N1937/'Terms and Turnovers'!$J201</f>
        <v>0</v>
      </c>
      <c r="O2652" s="106"/>
      <c r="P2652" s="68">
        <f>P1937/'Terms and Turnovers'!$J201</f>
        <v>0</v>
      </c>
      <c r="Q2652" s="106"/>
      <c r="R2652" s="129">
        <f>SUM(F2652,H2652,J2652,L2652,N2652,P2652)</f>
        <v>0</v>
      </c>
      <c r="S2652" s="106"/>
      <c r="T2652" s="68">
        <f>T1937/'Terms and Turnovers'!$J201</f>
        <v>0</v>
      </c>
      <c r="U2652" s="106"/>
      <c r="V2652" s="68">
        <f>V1937/'Terms and Turnovers'!$J201</f>
        <v>0</v>
      </c>
      <c r="W2652" s="106"/>
      <c r="X2652" s="68">
        <f>X1937/'Terms and Turnovers'!$J201</f>
        <v>0</v>
      </c>
      <c r="Y2652" s="106"/>
      <c r="Z2652" s="68">
        <f>Z1937/'Terms and Turnovers'!$J201</f>
        <v>0</v>
      </c>
      <c r="AA2652" s="106"/>
      <c r="AB2652" s="68">
        <f>AB1937/'Terms and Turnovers'!$J201</f>
        <v>0</v>
      </c>
      <c r="AC2652" s="106"/>
      <c r="AD2652" s="68">
        <f>AD1937/'Terms and Turnovers'!$J201</f>
        <v>0</v>
      </c>
      <c r="AE2652" s="106"/>
      <c r="AF2652" s="129">
        <f>SUM(T2652,V2652,X2652,Z2652,AB2652,AD2652)</f>
        <v>0</v>
      </c>
      <c r="AG2652" s="106"/>
      <c r="AH2652" s="130">
        <f>SUM(AF2652,R2652)</f>
        <v>0</v>
      </c>
      <c r="AI2652" s="106"/>
      <c r="AJ2652" s="65"/>
      <c r="AV2652" s="56"/>
    </row>
    <row r="2653" spans="2:48" ht="12.75" hidden="1" customHeight="1" outlineLevel="2" thickBot="1">
      <c r="B2653" s="82"/>
      <c r="C2653" s="1231"/>
      <c r="D2653" s="1231"/>
      <c r="E2653" s="84" t="str">
        <f>'Terms and Turnovers'!$T$12</f>
        <v>ORIGINALS</v>
      </c>
      <c r="F2653" s="70">
        <f>F1938/'Terms and Turnovers'!$T201</f>
        <v>0</v>
      </c>
      <c r="G2653" s="728"/>
      <c r="H2653" s="70">
        <f>H1938/'Terms and Turnovers'!$T201</f>
        <v>0</v>
      </c>
      <c r="I2653" s="728"/>
      <c r="J2653" s="70">
        <f>J1938/'Terms and Turnovers'!$T201</f>
        <v>0</v>
      </c>
      <c r="K2653" s="728"/>
      <c r="L2653" s="70">
        <f>L1938/'Terms and Turnovers'!$T201</f>
        <v>0</v>
      </c>
      <c r="M2653" s="728"/>
      <c r="N2653" s="70">
        <f>N1938/'Terms and Turnovers'!$T201</f>
        <v>0</v>
      </c>
      <c r="O2653" s="728"/>
      <c r="P2653" s="70">
        <f>P1938/'Terms and Turnovers'!$T201</f>
        <v>0</v>
      </c>
      <c r="Q2653" s="728"/>
      <c r="R2653" s="132">
        <f>SUM(F2653,H2653,J2653,L2653,N2653,P2653)</f>
        <v>0</v>
      </c>
      <c r="S2653" s="728"/>
      <c r="T2653" s="70">
        <f>T1938/'Terms and Turnovers'!$T201</f>
        <v>0</v>
      </c>
      <c r="U2653" s="728"/>
      <c r="V2653" s="70">
        <f>V1938/'Terms and Turnovers'!$T201</f>
        <v>0</v>
      </c>
      <c r="W2653" s="728"/>
      <c r="X2653" s="70">
        <f>X1938/'Terms and Turnovers'!$T201</f>
        <v>0</v>
      </c>
      <c r="Y2653" s="728"/>
      <c r="Z2653" s="70">
        <f>Z1938/'Terms and Turnovers'!$T201</f>
        <v>0</v>
      </c>
      <c r="AA2653" s="728"/>
      <c r="AB2653" s="70">
        <f>AB1938/'Terms and Turnovers'!$T201</f>
        <v>0</v>
      </c>
      <c r="AC2653" s="728"/>
      <c r="AD2653" s="70">
        <f>AD1938/'Terms and Turnovers'!$T201</f>
        <v>0</v>
      </c>
      <c r="AE2653" s="728"/>
      <c r="AF2653" s="132">
        <f>SUM(T2653,V2653,X2653,Z2653,AB2653,AD2653)</f>
        <v>0</v>
      </c>
      <c r="AG2653" s="728"/>
      <c r="AH2653" s="133">
        <f>SUM(AF2653,R2653)</f>
        <v>0</v>
      </c>
      <c r="AI2653" s="728"/>
      <c r="AJ2653" s="65"/>
      <c r="AV2653" s="56"/>
    </row>
    <row r="2654" spans="2:48" ht="12.75" hidden="1" customHeight="1" outlineLevel="2">
      <c r="B2654" s="82"/>
      <c r="C2654" s="1231"/>
      <c r="D2654" s="1231"/>
      <c r="E2654" s="84" t="str">
        <f>'Terms and Turnovers'!$AD$12</f>
        <v>ACCESSORIES</v>
      </c>
      <c r="F2654" s="68">
        <f>F1939/'Terms and Turnovers'!$AD201</f>
        <v>0</v>
      </c>
      <c r="G2654" s="728"/>
      <c r="H2654" s="68">
        <f>H1939/'Terms and Turnovers'!$AD201</f>
        <v>0</v>
      </c>
      <c r="I2654" s="728"/>
      <c r="J2654" s="68">
        <f>J1939/'Terms and Turnovers'!$AD201</f>
        <v>0</v>
      </c>
      <c r="K2654" s="728"/>
      <c r="L2654" s="68">
        <f>L1939/'Terms and Turnovers'!$AD201</f>
        <v>0</v>
      </c>
      <c r="M2654" s="728"/>
      <c r="N2654" s="68">
        <f>N1939/'Terms and Turnovers'!$AD201</f>
        <v>0</v>
      </c>
      <c r="O2654" s="728"/>
      <c r="P2654" s="68">
        <f>P1939/'Terms and Turnovers'!$AD201</f>
        <v>0</v>
      </c>
      <c r="Q2654" s="728"/>
      <c r="R2654" s="132">
        <f>SUM(F2654,H2654,J2654,L2654,N2654,P2654)</f>
        <v>0</v>
      </c>
      <c r="S2654" s="728"/>
      <c r="T2654" s="68">
        <f>T1939/'Terms and Turnovers'!$AD201</f>
        <v>0</v>
      </c>
      <c r="U2654" s="728"/>
      <c r="V2654" s="68">
        <f>V1939/'Terms and Turnovers'!$AD201</f>
        <v>0</v>
      </c>
      <c r="W2654" s="728"/>
      <c r="X2654" s="68">
        <f>X1939/'Terms and Turnovers'!$AD201</f>
        <v>0</v>
      </c>
      <c r="Y2654" s="728"/>
      <c r="Z2654" s="68">
        <f>Z1939/'Terms and Turnovers'!$AD201</f>
        <v>0</v>
      </c>
      <c r="AA2654" s="728"/>
      <c r="AB2654" s="68">
        <f>AB1939/'Terms and Turnovers'!$AD201</f>
        <v>0</v>
      </c>
      <c r="AC2654" s="728"/>
      <c r="AD2654" s="68">
        <f>AD1939/'Terms and Turnovers'!$AD201</f>
        <v>0</v>
      </c>
      <c r="AE2654" s="728"/>
      <c r="AF2654" s="132">
        <f>SUM(T2654,V2654,X2654,Z2654,AB2654,AD2654)</f>
        <v>0</v>
      </c>
      <c r="AG2654" s="728"/>
      <c r="AH2654" s="133">
        <f>SUM(AF2654,R2654)</f>
        <v>0</v>
      </c>
      <c r="AI2654" s="728"/>
      <c r="AJ2654" s="65"/>
      <c r="AV2654" s="56"/>
    </row>
    <row r="2655" spans="2:48" ht="12.75" hidden="1" customHeight="1" outlineLevel="2" thickBot="1">
      <c r="B2655" s="82"/>
      <c r="C2655" s="1231"/>
      <c r="D2655" s="1231"/>
      <c r="E2655" s="84">
        <f>'Terms and Turnovers'!$AN$12</f>
        <v>0</v>
      </c>
      <c r="F2655" s="70">
        <f>F1940/'Terms and Turnovers'!$AN201</f>
        <v>0</v>
      </c>
      <c r="G2655" s="728"/>
      <c r="H2655" s="70">
        <f>H1940/'Terms and Turnovers'!$AN201</f>
        <v>0</v>
      </c>
      <c r="I2655" s="728"/>
      <c r="J2655" s="70">
        <f>J1940/'Terms and Turnovers'!$AN201</f>
        <v>0</v>
      </c>
      <c r="K2655" s="728"/>
      <c r="L2655" s="70">
        <f>L1940/'Terms and Turnovers'!$AN201</f>
        <v>0</v>
      </c>
      <c r="M2655" s="728"/>
      <c r="N2655" s="70">
        <f>N1940/'Terms and Turnovers'!$AN201</f>
        <v>0</v>
      </c>
      <c r="O2655" s="728"/>
      <c r="P2655" s="70">
        <f>P1940/'Terms and Turnovers'!$AN201</f>
        <v>0</v>
      </c>
      <c r="Q2655" s="728"/>
      <c r="R2655" s="132">
        <f>SUM(F2655,H2655,J2655,L2655,N2655,P2655)</f>
        <v>0</v>
      </c>
      <c r="S2655" s="728"/>
      <c r="T2655" s="70">
        <f>T1940/'Terms and Turnovers'!$AN201</f>
        <v>0</v>
      </c>
      <c r="U2655" s="728"/>
      <c r="V2655" s="70">
        <f>V1940/'Terms and Turnovers'!$AN201</f>
        <v>0</v>
      </c>
      <c r="W2655" s="728"/>
      <c r="X2655" s="70">
        <f>X1940/'Terms and Turnovers'!$AN201</f>
        <v>0</v>
      </c>
      <c r="Y2655" s="728"/>
      <c r="Z2655" s="70">
        <f>Z1940/'Terms and Turnovers'!$AN201</f>
        <v>0</v>
      </c>
      <c r="AA2655" s="728"/>
      <c r="AB2655" s="70">
        <f>AB1940/'Terms and Turnovers'!$AN201</f>
        <v>0</v>
      </c>
      <c r="AC2655" s="728"/>
      <c r="AD2655" s="70">
        <f>AD1940/'Terms and Turnovers'!$AN201</f>
        <v>0</v>
      </c>
      <c r="AE2655" s="728"/>
      <c r="AF2655" s="132">
        <f>SUM(T2655,V2655,X2655,Z2655,AB2655,AD2655)</f>
        <v>0</v>
      </c>
      <c r="AG2655" s="728"/>
      <c r="AH2655" s="133">
        <f>SUM(AF2655,R2655)</f>
        <v>0</v>
      </c>
      <c r="AI2655" s="728"/>
      <c r="AJ2655" s="65"/>
      <c r="AV2655" s="56"/>
    </row>
    <row r="2656" spans="2:48" ht="13.5" hidden="1" customHeight="1" outlineLevel="2" thickBot="1">
      <c r="B2656" s="82"/>
      <c r="C2656" s="1232"/>
      <c r="D2656" s="1232"/>
      <c r="E2656" s="85">
        <f>'Terms and Turnovers'!$AX$12</f>
        <v>0</v>
      </c>
      <c r="F2656" s="68">
        <f>F1941/'Terms and Turnovers'!$AX201</f>
        <v>0</v>
      </c>
      <c r="G2656" s="111"/>
      <c r="H2656" s="68">
        <f>H1941/'Terms and Turnovers'!$AX201</f>
        <v>0</v>
      </c>
      <c r="I2656" s="107"/>
      <c r="J2656" s="68">
        <f>J1941/'Terms and Turnovers'!$AX201</f>
        <v>0</v>
      </c>
      <c r="K2656" s="107"/>
      <c r="L2656" s="68">
        <f>L1941/'Terms and Turnovers'!$AX201</f>
        <v>0</v>
      </c>
      <c r="M2656" s="107"/>
      <c r="N2656" s="68">
        <f>N1941/'Terms and Turnovers'!$AX201</f>
        <v>0</v>
      </c>
      <c r="O2656" s="107"/>
      <c r="P2656" s="68">
        <f>P1941/'Terms and Turnovers'!$AX201</f>
        <v>0</v>
      </c>
      <c r="Q2656" s="107"/>
      <c r="R2656" s="135">
        <f>SUM(F2656,H2656,J2656,L2656,N2656,P2656)</f>
        <v>0</v>
      </c>
      <c r="S2656" s="107"/>
      <c r="T2656" s="68">
        <f>T1941/'Terms and Turnovers'!$AX201</f>
        <v>0</v>
      </c>
      <c r="U2656" s="111"/>
      <c r="V2656" s="68">
        <f>V1941/'Terms and Turnovers'!$AX201</f>
        <v>0</v>
      </c>
      <c r="W2656" s="107"/>
      <c r="X2656" s="68">
        <f>X1941/'Terms and Turnovers'!$AX201</f>
        <v>0</v>
      </c>
      <c r="Y2656" s="107"/>
      <c r="Z2656" s="68">
        <f>Z1941/'Terms and Turnovers'!$AX201</f>
        <v>0</v>
      </c>
      <c r="AA2656" s="107"/>
      <c r="AB2656" s="68">
        <f>AB1941/'Terms and Turnovers'!$AX201</f>
        <v>0</v>
      </c>
      <c r="AC2656" s="107"/>
      <c r="AD2656" s="68">
        <f>AD1941/'Terms and Turnovers'!$AX201</f>
        <v>0</v>
      </c>
      <c r="AE2656" s="107"/>
      <c r="AF2656" s="135">
        <f>SUM(T2656,V2656,X2656,Z2656,AB2656,AD2656)</f>
        <v>0</v>
      </c>
      <c r="AG2656" s="107"/>
      <c r="AH2656" s="136">
        <f>SUM(AF2656,R2656)</f>
        <v>0</v>
      </c>
      <c r="AI2656" s="107"/>
      <c r="AJ2656" s="65"/>
      <c r="AV2656" s="56"/>
    </row>
    <row r="2657" spans="2:48" ht="13.5" hidden="1" customHeight="1" outlineLevel="2">
      <c r="B2657" s="82"/>
      <c r="C2657" s="425"/>
      <c r="D2657" s="425"/>
      <c r="E2657" s="634"/>
      <c r="F2657" s="635"/>
      <c r="G2657" s="428"/>
      <c r="H2657" s="635"/>
      <c r="I2657" s="428"/>
      <c r="J2657" s="635"/>
      <c r="K2657" s="636"/>
      <c r="L2657" s="635"/>
      <c r="M2657" s="636"/>
      <c r="N2657" s="635"/>
      <c r="O2657" s="636"/>
      <c r="P2657" s="635"/>
      <c r="Q2657" s="636"/>
      <c r="R2657" s="637"/>
      <c r="S2657" s="698">
        <f>SUM(R1937:R1941)/1.18-(SUM(R2652:R2656)*'Mark Up Validation'!$M$175)</f>
        <v>0</v>
      </c>
      <c r="T2657" s="635"/>
      <c r="U2657" s="636"/>
      <c r="V2657" s="635"/>
      <c r="W2657" s="636"/>
      <c r="X2657" s="635"/>
      <c r="Y2657" s="636"/>
      <c r="Z2657" s="635"/>
      <c r="AA2657" s="636"/>
      <c r="AB2657" s="635"/>
      <c r="AC2657" s="636"/>
      <c r="AD2657" s="635"/>
      <c r="AE2657" s="636"/>
      <c r="AF2657" s="637"/>
      <c r="AG2657" s="698">
        <f>SUM(AF1937:AF1941)/1.18-SUM(AF2652:AF2656)*'Mark Up Validation'!$M$175</f>
        <v>0</v>
      </c>
      <c r="AH2657" s="638"/>
      <c r="AI2657" s="698">
        <f>SUM(AH1937:AH1941)/1.18-SUM(AH2652:AH2656)*'Mark Up Validation'!$M$175</f>
        <v>0</v>
      </c>
      <c r="AJ2657" s="65"/>
      <c r="AV2657" s="56"/>
    </row>
    <row r="2658" spans="2:48" ht="13.5" hidden="1" customHeight="1" outlineLevel="2" thickBot="1">
      <c r="B2658" s="82"/>
      <c r="C2658" s="1228" t="s">
        <v>538</v>
      </c>
      <c r="D2658" s="1229"/>
      <c r="E2658" s="699"/>
      <c r="F2658" s="700"/>
      <c r="G2658" s="701"/>
      <c r="H2658" s="700"/>
      <c r="I2658" s="701"/>
      <c r="J2658" s="700"/>
      <c r="K2658" s="702"/>
      <c r="L2658" s="700"/>
      <c r="M2658" s="702"/>
      <c r="N2658" s="700"/>
      <c r="O2658" s="702"/>
      <c r="P2658" s="700"/>
      <c r="Q2658" s="702"/>
      <c r="R2658" s="703"/>
      <c r="S2658" s="729">
        <f>IF(S2657&gt;0,S2657/(SUM(R1937:R1941)/1.18),0)</f>
        <v>0</v>
      </c>
      <c r="T2658" s="700"/>
      <c r="U2658" s="702"/>
      <c r="V2658" s="700"/>
      <c r="W2658" s="702"/>
      <c r="X2658" s="700"/>
      <c r="Y2658" s="702"/>
      <c r="Z2658" s="700"/>
      <c r="AA2658" s="702"/>
      <c r="AB2658" s="700"/>
      <c r="AC2658" s="702"/>
      <c r="AD2658" s="700"/>
      <c r="AE2658" s="702"/>
      <c r="AF2658" s="705"/>
      <c r="AG2658" s="729">
        <f>IF(AG2657&gt;0,AG2657/(SUM(AF1937:AF1941)/1.18),0)</f>
        <v>0</v>
      </c>
      <c r="AH2658" s="706"/>
      <c r="AI2658" s="729">
        <f>IF(AI2657&gt;0,AI2657/(SUM(AH1937:AH1941)/1.18),0)</f>
        <v>0</v>
      </c>
      <c r="AJ2658" s="65"/>
      <c r="AV2658" s="56"/>
    </row>
    <row r="2659" spans="2:48" ht="12.75" hidden="1" customHeight="1" outlineLevel="2">
      <c r="B2659" s="82">
        <f>B2652+1</f>
        <v>71</v>
      </c>
      <c r="C2659" s="1233">
        <f>C1944</f>
        <v>0</v>
      </c>
      <c r="D2659" s="1233">
        <f>D1944</f>
        <v>0</v>
      </c>
      <c r="E2659" s="83" t="str">
        <f>'Terms and Turnovers'!$J$12</f>
        <v>FLIP-FLOPS</v>
      </c>
      <c r="F2659" s="68">
        <f>F1944/'Terms and Turnovers'!$J202</f>
        <v>0</v>
      </c>
      <c r="G2659" s="106"/>
      <c r="H2659" s="68">
        <f>H1944/'Terms and Turnovers'!$J202</f>
        <v>0</v>
      </c>
      <c r="I2659" s="106"/>
      <c r="J2659" s="68">
        <f>J1944/'Terms and Turnovers'!$J202</f>
        <v>0</v>
      </c>
      <c r="K2659" s="106"/>
      <c r="L2659" s="68">
        <f>L1944/'Terms and Turnovers'!$J202</f>
        <v>0</v>
      </c>
      <c r="M2659" s="106"/>
      <c r="N2659" s="68">
        <f>N1944/'Terms and Turnovers'!$J202</f>
        <v>0</v>
      </c>
      <c r="O2659" s="106"/>
      <c r="P2659" s="68">
        <f>P1944/'Terms and Turnovers'!$J202</f>
        <v>0</v>
      </c>
      <c r="Q2659" s="106"/>
      <c r="R2659" s="129">
        <f>SUM(F2659,H2659,J2659,L2659,N2659,P2659)</f>
        <v>0</v>
      </c>
      <c r="S2659" s="106"/>
      <c r="T2659" s="68">
        <f>T1944/'Terms and Turnovers'!$J202</f>
        <v>0</v>
      </c>
      <c r="U2659" s="106"/>
      <c r="V2659" s="68">
        <f>V1944/'Terms and Turnovers'!$J202</f>
        <v>0</v>
      </c>
      <c r="W2659" s="106"/>
      <c r="X2659" s="68">
        <f>X1944/'Terms and Turnovers'!$J202</f>
        <v>0</v>
      </c>
      <c r="Y2659" s="106"/>
      <c r="Z2659" s="68">
        <f>Z1944/'Terms and Turnovers'!$J202</f>
        <v>0</v>
      </c>
      <c r="AA2659" s="106"/>
      <c r="AB2659" s="68">
        <f>AB1944/'Terms and Turnovers'!$J202</f>
        <v>0</v>
      </c>
      <c r="AC2659" s="106"/>
      <c r="AD2659" s="68">
        <f>AD1944/'Terms and Turnovers'!$J202</f>
        <v>0</v>
      </c>
      <c r="AE2659" s="106"/>
      <c r="AF2659" s="129">
        <f>SUM(T2659,V2659,X2659,Z2659,AB2659,AD2659)</f>
        <v>0</v>
      </c>
      <c r="AG2659" s="106"/>
      <c r="AH2659" s="130">
        <f>SUM(AF2659,R2659)</f>
        <v>0</v>
      </c>
      <c r="AI2659" s="106"/>
      <c r="AJ2659" s="65"/>
      <c r="AV2659" s="56"/>
    </row>
    <row r="2660" spans="2:48" ht="12.75" hidden="1" customHeight="1" outlineLevel="2" thickBot="1">
      <c r="B2660" s="82"/>
      <c r="C2660" s="1234"/>
      <c r="D2660" s="1234"/>
      <c r="E2660" s="84" t="str">
        <f>'Terms and Turnovers'!$T$12</f>
        <v>ORIGINALS</v>
      </c>
      <c r="F2660" s="70">
        <f>F1945/'Terms and Turnovers'!$T202</f>
        <v>0</v>
      </c>
      <c r="G2660" s="728"/>
      <c r="H2660" s="70">
        <f>H1945/'Terms and Turnovers'!$T202</f>
        <v>0</v>
      </c>
      <c r="I2660" s="728"/>
      <c r="J2660" s="70">
        <f>J1945/'Terms and Turnovers'!$T202</f>
        <v>0</v>
      </c>
      <c r="K2660" s="728"/>
      <c r="L2660" s="70">
        <f>L1945/'Terms and Turnovers'!$T202</f>
        <v>0</v>
      </c>
      <c r="M2660" s="728"/>
      <c r="N2660" s="70">
        <f>N1945/'Terms and Turnovers'!$T202</f>
        <v>0</v>
      </c>
      <c r="O2660" s="728"/>
      <c r="P2660" s="70">
        <f>P1945/'Terms and Turnovers'!$T202</f>
        <v>0</v>
      </c>
      <c r="Q2660" s="728"/>
      <c r="R2660" s="132">
        <f>SUM(F2660,H2660,J2660,L2660,N2660,P2660)</f>
        <v>0</v>
      </c>
      <c r="S2660" s="728"/>
      <c r="T2660" s="70">
        <f>T1945/'Terms and Turnovers'!$T202</f>
        <v>0</v>
      </c>
      <c r="U2660" s="728"/>
      <c r="V2660" s="70">
        <f>V1945/'Terms and Turnovers'!$T202</f>
        <v>0</v>
      </c>
      <c r="W2660" s="728"/>
      <c r="X2660" s="70">
        <f>X1945/'Terms and Turnovers'!$T202</f>
        <v>0</v>
      </c>
      <c r="Y2660" s="728"/>
      <c r="Z2660" s="70">
        <f>Z1945/'Terms and Turnovers'!$T202</f>
        <v>0</v>
      </c>
      <c r="AA2660" s="728"/>
      <c r="AB2660" s="70">
        <f>AB1945/'Terms and Turnovers'!$T202</f>
        <v>0</v>
      </c>
      <c r="AC2660" s="728"/>
      <c r="AD2660" s="70">
        <f>AD1945/'Terms and Turnovers'!$T202</f>
        <v>0</v>
      </c>
      <c r="AE2660" s="728"/>
      <c r="AF2660" s="132">
        <f>SUM(T2660,V2660,X2660,Z2660,AB2660,AD2660)</f>
        <v>0</v>
      </c>
      <c r="AG2660" s="728"/>
      <c r="AH2660" s="133">
        <f>SUM(AF2660,R2660)</f>
        <v>0</v>
      </c>
      <c r="AI2660" s="728"/>
      <c r="AJ2660" s="65"/>
      <c r="AV2660" s="56"/>
    </row>
    <row r="2661" spans="2:48" ht="12.75" hidden="1" customHeight="1" outlineLevel="2">
      <c r="B2661" s="82"/>
      <c r="C2661" s="1234"/>
      <c r="D2661" s="1234"/>
      <c r="E2661" s="84" t="str">
        <f>'Terms and Turnovers'!$AD$12</f>
        <v>ACCESSORIES</v>
      </c>
      <c r="F2661" s="68">
        <f>F1946/'Terms and Turnovers'!$AD202</f>
        <v>0</v>
      </c>
      <c r="G2661" s="728"/>
      <c r="H2661" s="68">
        <f>H1946/'Terms and Turnovers'!$AD202</f>
        <v>0</v>
      </c>
      <c r="I2661" s="728"/>
      <c r="J2661" s="68">
        <f>J1946/'Terms and Turnovers'!$AD202</f>
        <v>0</v>
      </c>
      <c r="K2661" s="728"/>
      <c r="L2661" s="68">
        <f>L1946/'Terms and Turnovers'!$AD202</f>
        <v>0</v>
      </c>
      <c r="M2661" s="728"/>
      <c r="N2661" s="68">
        <f>N1946/'Terms and Turnovers'!$AD202</f>
        <v>0</v>
      </c>
      <c r="O2661" s="728"/>
      <c r="P2661" s="68">
        <f>P1946/'Terms and Turnovers'!$AD202</f>
        <v>0</v>
      </c>
      <c r="Q2661" s="728"/>
      <c r="R2661" s="132">
        <f>SUM(F2661,H2661,J2661,L2661,N2661,P2661)</f>
        <v>0</v>
      </c>
      <c r="S2661" s="728"/>
      <c r="T2661" s="68">
        <f>T1946/'Terms and Turnovers'!$AD202</f>
        <v>0</v>
      </c>
      <c r="U2661" s="728"/>
      <c r="V2661" s="68">
        <f>V1946/'Terms and Turnovers'!$AD202</f>
        <v>0</v>
      </c>
      <c r="W2661" s="728"/>
      <c r="X2661" s="68">
        <f>X1946/'Terms and Turnovers'!$AD202</f>
        <v>0</v>
      </c>
      <c r="Y2661" s="728"/>
      <c r="Z2661" s="68">
        <f>Z1946/'Terms and Turnovers'!$AD202</f>
        <v>0</v>
      </c>
      <c r="AA2661" s="728"/>
      <c r="AB2661" s="68">
        <f>AB1946/'Terms and Turnovers'!$AD202</f>
        <v>0</v>
      </c>
      <c r="AC2661" s="728"/>
      <c r="AD2661" s="68">
        <f>AD1946/'Terms and Turnovers'!$AD202</f>
        <v>0</v>
      </c>
      <c r="AE2661" s="728"/>
      <c r="AF2661" s="132">
        <f>SUM(T2661,V2661,X2661,Z2661,AB2661,AD2661)</f>
        <v>0</v>
      </c>
      <c r="AG2661" s="728"/>
      <c r="AH2661" s="133">
        <f>SUM(AF2661,R2661)</f>
        <v>0</v>
      </c>
      <c r="AI2661" s="728"/>
      <c r="AJ2661" s="65"/>
      <c r="AV2661" s="56"/>
    </row>
    <row r="2662" spans="2:48" ht="12.75" hidden="1" customHeight="1" outlineLevel="2" thickBot="1">
      <c r="B2662" s="82"/>
      <c r="C2662" s="1234"/>
      <c r="D2662" s="1234"/>
      <c r="E2662" s="84">
        <f>'Terms and Turnovers'!$AN$12</f>
        <v>0</v>
      </c>
      <c r="F2662" s="70">
        <f>F1947/'Terms and Turnovers'!$AN202</f>
        <v>0</v>
      </c>
      <c r="G2662" s="728"/>
      <c r="H2662" s="70">
        <f>H1947/'Terms and Turnovers'!$AN202</f>
        <v>0</v>
      </c>
      <c r="I2662" s="728"/>
      <c r="J2662" s="70">
        <f>J1947/'Terms and Turnovers'!$AN202</f>
        <v>0</v>
      </c>
      <c r="K2662" s="728"/>
      <c r="L2662" s="70">
        <f>L1947/'Terms and Turnovers'!$AN202</f>
        <v>0</v>
      </c>
      <c r="M2662" s="728"/>
      <c r="N2662" s="70">
        <f>N1947/'Terms and Turnovers'!$AN202</f>
        <v>0</v>
      </c>
      <c r="O2662" s="728"/>
      <c r="P2662" s="70">
        <f>P1947/'Terms and Turnovers'!$AN202</f>
        <v>0</v>
      </c>
      <c r="Q2662" s="728"/>
      <c r="R2662" s="132">
        <f>SUM(F2662,H2662,J2662,L2662,N2662,P2662)</f>
        <v>0</v>
      </c>
      <c r="S2662" s="728"/>
      <c r="T2662" s="70">
        <f>T1947/'Terms and Turnovers'!$AN202</f>
        <v>0</v>
      </c>
      <c r="U2662" s="728"/>
      <c r="V2662" s="70">
        <f>V1947/'Terms and Turnovers'!$AN202</f>
        <v>0</v>
      </c>
      <c r="W2662" s="728"/>
      <c r="X2662" s="70">
        <f>X1947/'Terms and Turnovers'!$AN202</f>
        <v>0</v>
      </c>
      <c r="Y2662" s="728"/>
      <c r="Z2662" s="70">
        <f>Z1947/'Terms and Turnovers'!$AN202</f>
        <v>0</v>
      </c>
      <c r="AA2662" s="728"/>
      <c r="AB2662" s="70">
        <f>AB1947/'Terms and Turnovers'!$AN202</f>
        <v>0</v>
      </c>
      <c r="AC2662" s="728"/>
      <c r="AD2662" s="70">
        <f>AD1947/'Terms and Turnovers'!$AN202</f>
        <v>0</v>
      </c>
      <c r="AE2662" s="728"/>
      <c r="AF2662" s="132">
        <f>SUM(T2662,V2662,X2662,Z2662,AB2662,AD2662)</f>
        <v>0</v>
      </c>
      <c r="AG2662" s="728"/>
      <c r="AH2662" s="133">
        <f>SUM(AF2662,R2662)</f>
        <v>0</v>
      </c>
      <c r="AI2662" s="728"/>
      <c r="AJ2662" s="65"/>
      <c r="AV2662" s="56"/>
    </row>
    <row r="2663" spans="2:48" ht="13.5" hidden="1" customHeight="1" outlineLevel="2" thickBot="1">
      <c r="B2663" s="82"/>
      <c r="C2663" s="1235"/>
      <c r="D2663" s="1235"/>
      <c r="E2663" s="85">
        <f>'Terms and Turnovers'!$AX$12</f>
        <v>0</v>
      </c>
      <c r="F2663" s="68">
        <f>F1948/'Terms and Turnovers'!$AX202</f>
        <v>0</v>
      </c>
      <c r="G2663" s="111"/>
      <c r="H2663" s="68">
        <f>H1948/'Terms and Turnovers'!$AX202</f>
        <v>0</v>
      </c>
      <c r="I2663" s="107"/>
      <c r="J2663" s="68">
        <f>J1948/'Terms and Turnovers'!$AX202</f>
        <v>0</v>
      </c>
      <c r="K2663" s="107"/>
      <c r="L2663" s="68">
        <f>L1948/'Terms and Turnovers'!$AX202</f>
        <v>0</v>
      </c>
      <c r="M2663" s="107"/>
      <c r="N2663" s="68">
        <f>N1948/'Terms and Turnovers'!$AX202</f>
        <v>0</v>
      </c>
      <c r="O2663" s="107"/>
      <c r="P2663" s="68">
        <f>P1948/'Terms and Turnovers'!$AX202</f>
        <v>0</v>
      </c>
      <c r="Q2663" s="107"/>
      <c r="R2663" s="135">
        <f>SUM(F2663,H2663,J2663,L2663,N2663,P2663)</f>
        <v>0</v>
      </c>
      <c r="S2663" s="107"/>
      <c r="T2663" s="68">
        <f>T1948/'Terms and Turnovers'!$AX202</f>
        <v>0</v>
      </c>
      <c r="U2663" s="111"/>
      <c r="V2663" s="68">
        <f>V1948/'Terms and Turnovers'!$AX202</f>
        <v>0</v>
      </c>
      <c r="W2663" s="107"/>
      <c r="X2663" s="68">
        <f>X1948/'Terms and Turnovers'!$AX202</f>
        <v>0</v>
      </c>
      <c r="Y2663" s="107"/>
      <c r="Z2663" s="68">
        <f>Z1948/'Terms and Turnovers'!$AX202</f>
        <v>0</v>
      </c>
      <c r="AA2663" s="107"/>
      <c r="AB2663" s="68">
        <f>AB1948/'Terms and Turnovers'!$AX202</f>
        <v>0</v>
      </c>
      <c r="AC2663" s="107"/>
      <c r="AD2663" s="68">
        <f>AD1948/'Terms and Turnovers'!$AX202</f>
        <v>0</v>
      </c>
      <c r="AE2663" s="107"/>
      <c r="AF2663" s="135">
        <f>SUM(T2663,V2663,X2663,Z2663,AB2663,AD2663)</f>
        <v>0</v>
      </c>
      <c r="AG2663" s="107"/>
      <c r="AH2663" s="136">
        <f>SUM(AF2663,R2663)</f>
        <v>0</v>
      </c>
      <c r="AI2663" s="107"/>
      <c r="AJ2663" s="65"/>
      <c r="AV2663" s="56"/>
    </row>
    <row r="2664" spans="2:48" ht="13.5" hidden="1" customHeight="1" outlineLevel="2">
      <c r="B2664" s="82"/>
      <c r="C2664" s="425"/>
      <c r="D2664" s="425"/>
      <c r="E2664" s="634"/>
      <c r="F2664" s="635"/>
      <c r="G2664" s="428"/>
      <c r="H2664" s="635"/>
      <c r="I2664" s="428"/>
      <c r="J2664" s="635"/>
      <c r="K2664" s="636"/>
      <c r="L2664" s="635"/>
      <c r="M2664" s="636"/>
      <c r="N2664" s="635"/>
      <c r="O2664" s="636"/>
      <c r="P2664" s="635"/>
      <c r="Q2664" s="636"/>
      <c r="R2664" s="637"/>
      <c r="S2664" s="698">
        <f>SUM(R1944:R1948)/1.18-(SUM(R2659:R2663)*'Mark Up Validation'!$M$175)</f>
        <v>0</v>
      </c>
      <c r="T2664" s="635"/>
      <c r="U2664" s="636"/>
      <c r="V2664" s="635"/>
      <c r="W2664" s="636"/>
      <c r="X2664" s="635"/>
      <c r="Y2664" s="636"/>
      <c r="Z2664" s="635"/>
      <c r="AA2664" s="636"/>
      <c r="AB2664" s="635"/>
      <c r="AC2664" s="636"/>
      <c r="AD2664" s="635"/>
      <c r="AE2664" s="636"/>
      <c r="AF2664" s="637"/>
      <c r="AG2664" s="698">
        <f>SUM(AF1944:AF1948)/1.18-SUM(AF2659:AF2663)*'Mark Up Validation'!$M$175</f>
        <v>0</v>
      </c>
      <c r="AH2664" s="638"/>
      <c r="AI2664" s="698">
        <f>SUM(AH1944:AH1948)/1.18-SUM(AH2659:AH2663)*'Mark Up Validation'!$M$175</f>
        <v>0</v>
      </c>
      <c r="AJ2664" s="65"/>
      <c r="AV2664" s="56"/>
    </row>
    <row r="2665" spans="2:48" ht="13.5" hidden="1" customHeight="1" outlineLevel="2" thickBot="1">
      <c r="B2665" s="82"/>
      <c r="C2665" s="1228" t="s">
        <v>538</v>
      </c>
      <c r="D2665" s="1229"/>
      <c r="E2665" s="699"/>
      <c r="F2665" s="700"/>
      <c r="G2665" s="701"/>
      <c r="H2665" s="700"/>
      <c r="I2665" s="701"/>
      <c r="J2665" s="700"/>
      <c r="K2665" s="702"/>
      <c r="L2665" s="700"/>
      <c r="M2665" s="702"/>
      <c r="N2665" s="700"/>
      <c r="O2665" s="702"/>
      <c r="P2665" s="700"/>
      <c r="Q2665" s="702"/>
      <c r="R2665" s="703"/>
      <c r="S2665" s="729">
        <f>IF(S2664&gt;0,S2664/(SUM(R1944:R1948)/1.18),0)</f>
        <v>0</v>
      </c>
      <c r="T2665" s="700"/>
      <c r="U2665" s="702"/>
      <c r="V2665" s="700"/>
      <c r="W2665" s="702"/>
      <c r="X2665" s="700"/>
      <c r="Y2665" s="702"/>
      <c r="Z2665" s="700"/>
      <c r="AA2665" s="702"/>
      <c r="AB2665" s="700"/>
      <c r="AC2665" s="702"/>
      <c r="AD2665" s="700"/>
      <c r="AE2665" s="702"/>
      <c r="AF2665" s="705"/>
      <c r="AG2665" s="729">
        <f>IF(AG2664&gt;0,AG2664/(SUM(AF1944:AF1948)/1.18),0)</f>
        <v>0</v>
      </c>
      <c r="AH2665" s="706"/>
      <c r="AI2665" s="729">
        <f>IF(AI2664&gt;0,AI2664/(SUM(AH1944:AH1948)/1.18),0)</f>
        <v>0</v>
      </c>
      <c r="AJ2665" s="65"/>
      <c r="AV2665" s="56"/>
    </row>
    <row r="2666" spans="2:48" ht="12.75" hidden="1" customHeight="1" outlineLevel="2">
      <c r="B2666" s="82">
        <f>B2659+1</f>
        <v>72</v>
      </c>
      <c r="C2666" s="1230">
        <f>C1951</f>
        <v>0</v>
      </c>
      <c r="D2666" s="1230">
        <f>D1951</f>
        <v>0</v>
      </c>
      <c r="E2666" s="83" t="str">
        <f>'Terms and Turnovers'!$J$12</f>
        <v>FLIP-FLOPS</v>
      </c>
      <c r="F2666" s="68">
        <f>F1951/'Terms and Turnovers'!$J203</f>
        <v>0</v>
      </c>
      <c r="G2666" s="106"/>
      <c r="H2666" s="68">
        <f>H1951/'Terms and Turnovers'!$J203</f>
        <v>0</v>
      </c>
      <c r="I2666" s="106"/>
      <c r="J2666" s="68">
        <f>J1951/'Terms and Turnovers'!$J203</f>
        <v>0</v>
      </c>
      <c r="K2666" s="106"/>
      <c r="L2666" s="68">
        <f>L1951/'Terms and Turnovers'!$J203</f>
        <v>0</v>
      </c>
      <c r="M2666" s="106"/>
      <c r="N2666" s="68">
        <f>N1951/'Terms and Turnovers'!$J203</f>
        <v>0</v>
      </c>
      <c r="O2666" s="106"/>
      <c r="P2666" s="68">
        <f>P1951/'Terms and Turnovers'!$J203</f>
        <v>0</v>
      </c>
      <c r="Q2666" s="106"/>
      <c r="R2666" s="129">
        <f>SUM(F2666,H2666,J2666,L2666,N2666,P2666)</f>
        <v>0</v>
      </c>
      <c r="S2666" s="106"/>
      <c r="T2666" s="68">
        <f>T1951/'Terms and Turnovers'!$J203</f>
        <v>0</v>
      </c>
      <c r="U2666" s="106"/>
      <c r="V2666" s="68">
        <f>V1951/'Terms and Turnovers'!$J203</f>
        <v>0</v>
      </c>
      <c r="W2666" s="106"/>
      <c r="X2666" s="68">
        <f>X1951/'Terms and Turnovers'!$J203</f>
        <v>0</v>
      </c>
      <c r="Y2666" s="106"/>
      <c r="Z2666" s="68">
        <f>Z1951/'Terms and Turnovers'!$J203</f>
        <v>0</v>
      </c>
      <c r="AA2666" s="106"/>
      <c r="AB2666" s="68">
        <f>AB1951/'Terms and Turnovers'!$J203</f>
        <v>0</v>
      </c>
      <c r="AC2666" s="106"/>
      <c r="AD2666" s="68">
        <f>AD1951/'Terms and Turnovers'!$J203</f>
        <v>0</v>
      </c>
      <c r="AE2666" s="106"/>
      <c r="AF2666" s="129">
        <f>SUM(T2666,V2666,X2666,Z2666,AB2666,AD2666)</f>
        <v>0</v>
      </c>
      <c r="AG2666" s="106"/>
      <c r="AH2666" s="130">
        <f>SUM(AF2666,R2666)</f>
        <v>0</v>
      </c>
      <c r="AI2666" s="106"/>
      <c r="AJ2666" s="65"/>
      <c r="AV2666" s="56"/>
    </row>
    <row r="2667" spans="2:48" ht="12.75" hidden="1" customHeight="1" outlineLevel="2" thickBot="1">
      <c r="B2667" s="82"/>
      <c r="C2667" s="1231"/>
      <c r="D2667" s="1231"/>
      <c r="E2667" s="84" t="str">
        <f>'Terms and Turnovers'!$T$12</f>
        <v>ORIGINALS</v>
      </c>
      <c r="F2667" s="70">
        <f>F1952/'Terms and Turnovers'!$T203</f>
        <v>0</v>
      </c>
      <c r="G2667" s="728"/>
      <c r="H2667" s="70">
        <f>H1952/'Terms and Turnovers'!$T203</f>
        <v>0</v>
      </c>
      <c r="I2667" s="728"/>
      <c r="J2667" s="70">
        <f>J1952/'Terms and Turnovers'!$T203</f>
        <v>0</v>
      </c>
      <c r="K2667" s="728"/>
      <c r="L2667" s="70">
        <f>L1952/'Terms and Turnovers'!$T203</f>
        <v>0</v>
      </c>
      <c r="M2667" s="728"/>
      <c r="N2667" s="70">
        <f>N1952/'Terms and Turnovers'!$T203</f>
        <v>0</v>
      </c>
      <c r="O2667" s="728"/>
      <c r="P2667" s="70">
        <f>P1952/'Terms and Turnovers'!$T203</f>
        <v>0</v>
      </c>
      <c r="Q2667" s="728"/>
      <c r="R2667" s="132">
        <f>SUM(F2667,H2667,J2667,L2667,N2667,P2667)</f>
        <v>0</v>
      </c>
      <c r="S2667" s="728"/>
      <c r="T2667" s="70">
        <f>T1952/'Terms and Turnovers'!$T203</f>
        <v>0</v>
      </c>
      <c r="U2667" s="728"/>
      <c r="V2667" s="70">
        <f>V1952/'Terms and Turnovers'!$T203</f>
        <v>0</v>
      </c>
      <c r="W2667" s="728"/>
      <c r="X2667" s="70">
        <f>X1952/'Terms and Turnovers'!$T203</f>
        <v>0</v>
      </c>
      <c r="Y2667" s="728"/>
      <c r="Z2667" s="70">
        <f>Z1952/'Terms and Turnovers'!$T203</f>
        <v>0</v>
      </c>
      <c r="AA2667" s="728"/>
      <c r="AB2667" s="70">
        <f>AB1952/'Terms and Turnovers'!$T203</f>
        <v>0</v>
      </c>
      <c r="AC2667" s="728"/>
      <c r="AD2667" s="70">
        <f>AD1952/'Terms and Turnovers'!$T203</f>
        <v>0</v>
      </c>
      <c r="AE2667" s="728"/>
      <c r="AF2667" s="132">
        <f>SUM(T2667,V2667,X2667,Z2667,AB2667,AD2667)</f>
        <v>0</v>
      </c>
      <c r="AG2667" s="728"/>
      <c r="AH2667" s="133">
        <f>SUM(AF2667,R2667)</f>
        <v>0</v>
      </c>
      <c r="AI2667" s="728"/>
      <c r="AJ2667" s="65"/>
      <c r="AV2667" s="56"/>
    </row>
    <row r="2668" spans="2:48" ht="12.75" hidden="1" customHeight="1" outlineLevel="2">
      <c r="B2668" s="82"/>
      <c r="C2668" s="1231"/>
      <c r="D2668" s="1231"/>
      <c r="E2668" s="84" t="str">
        <f>'Terms and Turnovers'!$AD$12</f>
        <v>ACCESSORIES</v>
      </c>
      <c r="F2668" s="68">
        <f>F1953/'Terms and Turnovers'!$AD203</f>
        <v>0</v>
      </c>
      <c r="G2668" s="728"/>
      <c r="H2668" s="68">
        <f>H1953/'Terms and Turnovers'!$AD203</f>
        <v>0</v>
      </c>
      <c r="I2668" s="728"/>
      <c r="J2668" s="68">
        <f>J1953/'Terms and Turnovers'!$AD203</f>
        <v>0</v>
      </c>
      <c r="K2668" s="728"/>
      <c r="L2668" s="68">
        <f>L1953/'Terms and Turnovers'!$AD203</f>
        <v>0</v>
      </c>
      <c r="M2668" s="728"/>
      <c r="N2668" s="68">
        <f>N1953/'Terms and Turnovers'!$AD203</f>
        <v>0</v>
      </c>
      <c r="O2668" s="728"/>
      <c r="P2668" s="68">
        <f>P1953/'Terms and Turnovers'!$AD203</f>
        <v>0</v>
      </c>
      <c r="Q2668" s="728"/>
      <c r="R2668" s="132">
        <f>SUM(F2668,H2668,J2668,L2668,N2668,P2668)</f>
        <v>0</v>
      </c>
      <c r="S2668" s="728"/>
      <c r="T2668" s="68">
        <f>T1953/'Terms and Turnovers'!$AD203</f>
        <v>0</v>
      </c>
      <c r="U2668" s="728"/>
      <c r="V2668" s="68">
        <f>V1953/'Terms and Turnovers'!$AD203</f>
        <v>0</v>
      </c>
      <c r="W2668" s="728"/>
      <c r="X2668" s="68">
        <f>X1953/'Terms and Turnovers'!$AD203</f>
        <v>0</v>
      </c>
      <c r="Y2668" s="728"/>
      <c r="Z2668" s="68">
        <f>Z1953/'Terms and Turnovers'!$AD203</f>
        <v>0</v>
      </c>
      <c r="AA2668" s="728"/>
      <c r="AB2668" s="68">
        <f>AB1953/'Terms and Turnovers'!$AD203</f>
        <v>0</v>
      </c>
      <c r="AC2668" s="728"/>
      <c r="AD2668" s="68">
        <f>AD1953/'Terms and Turnovers'!$AD203</f>
        <v>0</v>
      </c>
      <c r="AE2668" s="728"/>
      <c r="AF2668" s="132">
        <f>SUM(T2668,V2668,X2668,Z2668,AB2668,AD2668)</f>
        <v>0</v>
      </c>
      <c r="AG2668" s="728"/>
      <c r="AH2668" s="133">
        <f>SUM(AF2668,R2668)</f>
        <v>0</v>
      </c>
      <c r="AI2668" s="728"/>
      <c r="AJ2668" s="65"/>
      <c r="AV2668" s="56"/>
    </row>
    <row r="2669" spans="2:48" ht="12.75" hidden="1" customHeight="1" outlineLevel="2" thickBot="1">
      <c r="B2669" s="82"/>
      <c r="C2669" s="1231"/>
      <c r="D2669" s="1231"/>
      <c r="E2669" s="84">
        <f>'Terms and Turnovers'!$AN$12</f>
        <v>0</v>
      </c>
      <c r="F2669" s="70">
        <f>F1954/'Terms and Turnovers'!$AN203</f>
        <v>0</v>
      </c>
      <c r="G2669" s="728"/>
      <c r="H2669" s="70">
        <f>H1954/'Terms and Turnovers'!$AN203</f>
        <v>0</v>
      </c>
      <c r="I2669" s="728"/>
      <c r="J2669" s="70">
        <f>J1954/'Terms and Turnovers'!$AN203</f>
        <v>0</v>
      </c>
      <c r="K2669" s="728"/>
      <c r="L2669" s="70">
        <f>L1954/'Terms and Turnovers'!$AN203</f>
        <v>0</v>
      </c>
      <c r="M2669" s="728"/>
      <c r="N2669" s="70">
        <f>N1954/'Terms and Turnovers'!$AN203</f>
        <v>0</v>
      </c>
      <c r="O2669" s="728"/>
      <c r="P2669" s="70">
        <f>P1954/'Terms and Turnovers'!$AN203</f>
        <v>0</v>
      </c>
      <c r="Q2669" s="728"/>
      <c r="R2669" s="132">
        <f>SUM(F2669,H2669,J2669,L2669,N2669,P2669)</f>
        <v>0</v>
      </c>
      <c r="S2669" s="728"/>
      <c r="T2669" s="70">
        <f>T1954/'Terms and Turnovers'!$AN203</f>
        <v>0</v>
      </c>
      <c r="U2669" s="728"/>
      <c r="V2669" s="70">
        <f>V1954/'Terms and Turnovers'!$AN203</f>
        <v>0</v>
      </c>
      <c r="W2669" s="728"/>
      <c r="X2669" s="70">
        <f>X1954/'Terms and Turnovers'!$AN203</f>
        <v>0</v>
      </c>
      <c r="Y2669" s="728"/>
      <c r="Z2669" s="70">
        <f>Z1954/'Terms and Turnovers'!$AN203</f>
        <v>0</v>
      </c>
      <c r="AA2669" s="728"/>
      <c r="AB2669" s="70">
        <f>AB1954/'Terms and Turnovers'!$AN203</f>
        <v>0</v>
      </c>
      <c r="AC2669" s="728"/>
      <c r="AD2669" s="70">
        <f>AD1954/'Terms and Turnovers'!$AN203</f>
        <v>0</v>
      </c>
      <c r="AE2669" s="728"/>
      <c r="AF2669" s="132">
        <f>SUM(T2669,V2669,X2669,Z2669,AB2669,AD2669)</f>
        <v>0</v>
      </c>
      <c r="AG2669" s="728"/>
      <c r="AH2669" s="133">
        <f>SUM(AF2669,R2669)</f>
        <v>0</v>
      </c>
      <c r="AI2669" s="728"/>
      <c r="AJ2669" s="65"/>
      <c r="AV2669" s="56"/>
    </row>
    <row r="2670" spans="2:48" ht="13.5" hidden="1" customHeight="1" outlineLevel="2" thickBot="1">
      <c r="B2670" s="82"/>
      <c r="C2670" s="1232"/>
      <c r="D2670" s="1232"/>
      <c r="E2670" s="85">
        <f>'Terms and Turnovers'!$AX$12</f>
        <v>0</v>
      </c>
      <c r="F2670" s="68">
        <f>F1955/'Terms and Turnovers'!$AX203</f>
        <v>0</v>
      </c>
      <c r="G2670" s="111"/>
      <c r="H2670" s="68">
        <f>H1955/'Terms and Turnovers'!$AX203</f>
        <v>0</v>
      </c>
      <c r="I2670" s="107"/>
      <c r="J2670" s="68">
        <f>J1955/'Terms and Turnovers'!$AX203</f>
        <v>0</v>
      </c>
      <c r="K2670" s="107"/>
      <c r="L2670" s="68">
        <f>L1955/'Terms and Turnovers'!$AX203</f>
        <v>0</v>
      </c>
      <c r="M2670" s="107"/>
      <c r="N2670" s="68">
        <f>N1955/'Terms and Turnovers'!$AX203</f>
        <v>0</v>
      </c>
      <c r="O2670" s="107"/>
      <c r="P2670" s="68">
        <f>P1955/'Terms and Turnovers'!$AX203</f>
        <v>0</v>
      </c>
      <c r="Q2670" s="107"/>
      <c r="R2670" s="135">
        <f>SUM(F2670,H2670,J2670,L2670,N2670,P2670)</f>
        <v>0</v>
      </c>
      <c r="S2670" s="107"/>
      <c r="T2670" s="68">
        <f>T1955/'Terms and Turnovers'!$AX203</f>
        <v>0</v>
      </c>
      <c r="U2670" s="111"/>
      <c r="V2670" s="68">
        <f>V1955/'Terms and Turnovers'!$AX203</f>
        <v>0</v>
      </c>
      <c r="W2670" s="107"/>
      <c r="X2670" s="68">
        <f>X1955/'Terms and Turnovers'!$AX203</f>
        <v>0</v>
      </c>
      <c r="Y2670" s="107"/>
      <c r="Z2670" s="68">
        <f>Z1955/'Terms and Turnovers'!$AX203</f>
        <v>0</v>
      </c>
      <c r="AA2670" s="107"/>
      <c r="AB2670" s="68">
        <f>AB1955/'Terms and Turnovers'!$AX203</f>
        <v>0</v>
      </c>
      <c r="AC2670" s="107"/>
      <c r="AD2670" s="68">
        <f>AD1955/'Terms and Turnovers'!$AX203</f>
        <v>0</v>
      </c>
      <c r="AE2670" s="107"/>
      <c r="AF2670" s="135">
        <f>SUM(T2670,V2670,X2670,Z2670,AB2670,AD2670)</f>
        <v>0</v>
      </c>
      <c r="AG2670" s="107"/>
      <c r="AH2670" s="136">
        <f>SUM(AF2670,R2670)</f>
        <v>0</v>
      </c>
      <c r="AI2670" s="107"/>
      <c r="AJ2670" s="65"/>
      <c r="AV2670" s="56"/>
    </row>
    <row r="2671" spans="2:48" ht="13.5" hidden="1" customHeight="1" outlineLevel="2">
      <c r="B2671" s="82"/>
      <c r="C2671" s="425"/>
      <c r="D2671" s="425"/>
      <c r="E2671" s="634"/>
      <c r="F2671" s="635"/>
      <c r="G2671" s="428"/>
      <c r="H2671" s="635"/>
      <c r="I2671" s="428"/>
      <c r="J2671" s="635"/>
      <c r="K2671" s="636"/>
      <c r="L2671" s="635"/>
      <c r="M2671" s="636"/>
      <c r="N2671" s="635"/>
      <c r="O2671" s="636"/>
      <c r="P2671" s="635"/>
      <c r="Q2671" s="636"/>
      <c r="R2671" s="637"/>
      <c r="S2671" s="698">
        <f>SUM(R1951:R1955)/1.18-(SUM(R2666:R2670)*'Mark Up Validation'!$M$175)</f>
        <v>0</v>
      </c>
      <c r="T2671" s="635"/>
      <c r="U2671" s="636"/>
      <c r="V2671" s="635"/>
      <c r="W2671" s="636"/>
      <c r="X2671" s="635"/>
      <c r="Y2671" s="636"/>
      <c r="Z2671" s="635"/>
      <c r="AA2671" s="636"/>
      <c r="AB2671" s="635"/>
      <c r="AC2671" s="636"/>
      <c r="AD2671" s="635"/>
      <c r="AE2671" s="636"/>
      <c r="AF2671" s="637"/>
      <c r="AG2671" s="698">
        <f>SUM(AF1951:AF1955)/1.18-SUM(AF2666:AF2670)*'Mark Up Validation'!$M$175</f>
        <v>0</v>
      </c>
      <c r="AH2671" s="638"/>
      <c r="AI2671" s="698">
        <f>SUM(AH1951:AH1955)/1.18-SUM(AH2666:AH2670)*'Mark Up Validation'!$M$175</f>
        <v>0</v>
      </c>
      <c r="AJ2671" s="65"/>
      <c r="AV2671" s="56"/>
    </row>
    <row r="2672" spans="2:48" ht="13.5" hidden="1" customHeight="1" outlineLevel="2" thickBot="1">
      <c r="B2672" s="82"/>
      <c r="C2672" s="1228" t="s">
        <v>538</v>
      </c>
      <c r="D2672" s="1229"/>
      <c r="E2672" s="699"/>
      <c r="F2672" s="700"/>
      <c r="G2672" s="701"/>
      <c r="H2672" s="700"/>
      <c r="I2672" s="701"/>
      <c r="J2672" s="700"/>
      <c r="K2672" s="702"/>
      <c r="L2672" s="700"/>
      <c r="M2672" s="702"/>
      <c r="N2672" s="700"/>
      <c r="O2672" s="702"/>
      <c r="P2672" s="700"/>
      <c r="Q2672" s="702"/>
      <c r="R2672" s="703"/>
      <c r="S2672" s="729">
        <f>IF(S2671&gt;0,S2671/(SUM(R1951:R1955)/1.18),0)</f>
        <v>0</v>
      </c>
      <c r="T2672" s="700"/>
      <c r="U2672" s="702"/>
      <c r="V2672" s="700"/>
      <c r="W2672" s="702"/>
      <c r="X2672" s="700"/>
      <c r="Y2672" s="702"/>
      <c r="Z2672" s="700"/>
      <c r="AA2672" s="702"/>
      <c r="AB2672" s="700"/>
      <c r="AC2672" s="702"/>
      <c r="AD2672" s="700"/>
      <c r="AE2672" s="702"/>
      <c r="AF2672" s="705"/>
      <c r="AG2672" s="729">
        <f>IF(AG2671&gt;0,AG2671/(SUM(AF1951:AF1955)/1.18),0)</f>
        <v>0</v>
      </c>
      <c r="AH2672" s="706"/>
      <c r="AI2672" s="729">
        <f>IF(AI2671&gt;0,AI2671/(SUM(AH1951:AH1955)/1.18),0)</f>
        <v>0</v>
      </c>
      <c r="AJ2672" s="65"/>
      <c r="AV2672" s="56"/>
    </row>
    <row r="2673" spans="2:48" ht="12.75" hidden="1" customHeight="1" outlineLevel="2">
      <c r="B2673" s="82">
        <f>B2666+1</f>
        <v>73</v>
      </c>
      <c r="C2673" s="1233">
        <f>C1958</f>
        <v>0</v>
      </c>
      <c r="D2673" s="1233">
        <f>D1958</f>
        <v>0</v>
      </c>
      <c r="E2673" s="83" t="str">
        <f>'Terms and Turnovers'!$J$12</f>
        <v>FLIP-FLOPS</v>
      </c>
      <c r="F2673" s="68">
        <f>F1958/'Terms and Turnovers'!$J204</f>
        <v>0</v>
      </c>
      <c r="G2673" s="106"/>
      <c r="H2673" s="68">
        <f>H1958/'Terms and Turnovers'!$J204</f>
        <v>0</v>
      </c>
      <c r="I2673" s="106"/>
      <c r="J2673" s="68">
        <f>J1958/'Terms and Turnovers'!$J204</f>
        <v>0</v>
      </c>
      <c r="K2673" s="106"/>
      <c r="L2673" s="68">
        <f>L1958/'Terms and Turnovers'!$J204</f>
        <v>0</v>
      </c>
      <c r="M2673" s="106"/>
      <c r="N2673" s="68">
        <f>N1958/'Terms and Turnovers'!$J204</f>
        <v>0</v>
      </c>
      <c r="O2673" s="106"/>
      <c r="P2673" s="68">
        <f>P1958/'Terms and Turnovers'!$J204</f>
        <v>0</v>
      </c>
      <c r="Q2673" s="106"/>
      <c r="R2673" s="129">
        <f>SUM(F2673,H2673,J2673,L2673,N2673,P2673)</f>
        <v>0</v>
      </c>
      <c r="S2673" s="106"/>
      <c r="T2673" s="68">
        <f>T1958/'Terms and Turnovers'!$J204</f>
        <v>0</v>
      </c>
      <c r="U2673" s="106"/>
      <c r="V2673" s="68">
        <f>V1958/'Terms and Turnovers'!$J204</f>
        <v>0</v>
      </c>
      <c r="W2673" s="106"/>
      <c r="X2673" s="68">
        <f>X1958/'Terms and Turnovers'!$J204</f>
        <v>0</v>
      </c>
      <c r="Y2673" s="106"/>
      <c r="Z2673" s="68">
        <f>Z1958/'Terms and Turnovers'!$J204</f>
        <v>0</v>
      </c>
      <c r="AA2673" s="106"/>
      <c r="AB2673" s="68">
        <f>AB1958/'Terms and Turnovers'!$J204</f>
        <v>0</v>
      </c>
      <c r="AC2673" s="106"/>
      <c r="AD2673" s="68">
        <f>AD1958/'Terms and Turnovers'!$J204</f>
        <v>0</v>
      </c>
      <c r="AE2673" s="106"/>
      <c r="AF2673" s="129">
        <f>SUM(T2673,V2673,X2673,Z2673,AB2673,AD2673)</f>
        <v>0</v>
      </c>
      <c r="AG2673" s="106"/>
      <c r="AH2673" s="130">
        <f>SUM(AF2673,R2673)</f>
        <v>0</v>
      </c>
      <c r="AI2673" s="106"/>
      <c r="AJ2673" s="65"/>
      <c r="AV2673" s="56"/>
    </row>
    <row r="2674" spans="2:48" ht="12.75" hidden="1" customHeight="1" outlineLevel="2" thickBot="1">
      <c r="B2674" s="82"/>
      <c r="C2674" s="1234"/>
      <c r="D2674" s="1234"/>
      <c r="E2674" s="84" t="str">
        <f>'Terms and Turnovers'!$T$12</f>
        <v>ORIGINALS</v>
      </c>
      <c r="F2674" s="70">
        <f>F1959/'Terms and Turnovers'!$T204</f>
        <v>0</v>
      </c>
      <c r="G2674" s="728"/>
      <c r="H2674" s="70">
        <f>H1959/'Terms and Turnovers'!$T204</f>
        <v>0</v>
      </c>
      <c r="I2674" s="728"/>
      <c r="J2674" s="70">
        <f>J1959/'Terms and Turnovers'!$T204</f>
        <v>0</v>
      </c>
      <c r="K2674" s="728"/>
      <c r="L2674" s="70">
        <f>L1959/'Terms and Turnovers'!$T204</f>
        <v>0</v>
      </c>
      <c r="M2674" s="728"/>
      <c r="N2674" s="70">
        <f>N1959/'Terms and Turnovers'!$T204</f>
        <v>0</v>
      </c>
      <c r="O2674" s="728"/>
      <c r="P2674" s="70">
        <f>P1959/'Terms and Turnovers'!$T204</f>
        <v>0</v>
      </c>
      <c r="Q2674" s="728"/>
      <c r="R2674" s="132">
        <f>SUM(F2674,H2674,J2674,L2674,N2674,P2674)</f>
        <v>0</v>
      </c>
      <c r="S2674" s="728"/>
      <c r="T2674" s="70">
        <f>T1959/'Terms and Turnovers'!$T204</f>
        <v>0</v>
      </c>
      <c r="U2674" s="728"/>
      <c r="V2674" s="70">
        <f>V1959/'Terms and Turnovers'!$T204</f>
        <v>0</v>
      </c>
      <c r="W2674" s="728"/>
      <c r="X2674" s="70">
        <f>X1959/'Terms and Turnovers'!$T204</f>
        <v>0</v>
      </c>
      <c r="Y2674" s="728"/>
      <c r="Z2674" s="70">
        <f>Z1959/'Terms and Turnovers'!$T204</f>
        <v>0</v>
      </c>
      <c r="AA2674" s="728"/>
      <c r="AB2674" s="70">
        <f>AB1959/'Terms and Turnovers'!$T204</f>
        <v>0</v>
      </c>
      <c r="AC2674" s="728"/>
      <c r="AD2674" s="70">
        <f>AD1959/'Terms and Turnovers'!$T204</f>
        <v>0</v>
      </c>
      <c r="AE2674" s="728"/>
      <c r="AF2674" s="132">
        <f>SUM(T2674,V2674,X2674,Z2674,AB2674,AD2674)</f>
        <v>0</v>
      </c>
      <c r="AG2674" s="728"/>
      <c r="AH2674" s="133">
        <f>SUM(AF2674,R2674)</f>
        <v>0</v>
      </c>
      <c r="AI2674" s="728"/>
      <c r="AJ2674" s="65"/>
      <c r="AV2674" s="56"/>
    </row>
    <row r="2675" spans="2:48" ht="12.75" hidden="1" customHeight="1" outlineLevel="2">
      <c r="B2675" s="82"/>
      <c r="C2675" s="1234"/>
      <c r="D2675" s="1234"/>
      <c r="E2675" s="84" t="str">
        <f>'Terms and Turnovers'!$AD$12</f>
        <v>ACCESSORIES</v>
      </c>
      <c r="F2675" s="68">
        <f>F1960/'Terms and Turnovers'!$AD204</f>
        <v>0</v>
      </c>
      <c r="G2675" s="728"/>
      <c r="H2675" s="68">
        <f>H1960/'Terms and Turnovers'!$AD204</f>
        <v>0</v>
      </c>
      <c r="I2675" s="728"/>
      <c r="J2675" s="68">
        <f>J1960/'Terms and Turnovers'!$AD204</f>
        <v>0</v>
      </c>
      <c r="K2675" s="728"/>
      <c r="L2675" s="68">
        <f>L1960/'Terms and Turnovers'!$AD204</f>
        <v>0</v>
      </c>
      <c r="M2675" s="728"/>
      <c r="N2675" s="68">
        <f>N1960/'Terms and Turnovers'!$AD204</f>
        <v>0</v>
      </c>
      <c r="O2675" s="728"/>
      <c r="P2675" s="68">
        <f>P1960/'Terms and Turnovers'!$AD204</f>
        <v>0</v>
      </c>
      <c r="Q2675" s="728"/>
      <c r="R2675" s="132">
        <f>SUM(F2675,H2675,J2675,L2675,N2675,P2675)</f>
        <v>0</v>
      </c>
      <c r="S2675" s="728"/>
      <c r="T2675" s="68">
        <f>T1960/'Terms and Turnovers'!$AD204</f>
        <v>0</v>
      </c>
      <c r="U2675" s="728"/>
      <c r="V2675" s="68">
        <f>V1960/'Terms and Turnovers'!$AD204</f>
        <v>0</v>
      </c>
      <c r="W2675" s="728"/>
      <c r="X2675" s="68">
        <f>X1960/'Terms and Turnovers'!$AD204</f>
        <v>0</v>
      </c>
      <c r="Y2675" s="728"/>
      <c r="Z2675" s="68">
        <f>Z1960/'Terms and Turnovers'!$AD204</f>
        <v>0</v>
      </c>
      <c r="AA2675" s="728"/>
      <c r="AB2675" s="68">
        <f>AB1960/'Terms and Turnovers'!$AD204</f>
        <v>0</v>
      </c>
      <c r="AC2675" s="728"/>
      <c r="AD2675" s="68">
        <f>AD1960/'Terms and Turnovers'!$AD204</f>
        <v>0</v>
      </c>
      <c r="AE2675" s="728"/>
      <c r="AF2675" s="132">
        <f>SUM(T2675,V2675,X2675,Z2675,AB2675,AD2675)</f>
        <v>0</v>
      </c>
      <c r="AG2675" s="728"/>
      <c r="AH2675" s="133">
        <f>SUM(AF2675,R2675)</f>
        <v>0</v>
      </c>
      <c r="AI2675" s="728"/>
      <c r="AJ2675" s="65"/>
      <c r="AV2675" s="56"/>
    </row>
    <row r="2676" spans="2:48" ht="12.75" hidden="1" customHeight="1" outlineLevel="2" thickBot="1">
      <c r="B2676" s="82"/>
      <c r="C2676" s="1234"/>
      <c r="D2676" s="1234"/>
      <c r="E2676" s="84">
        <f>'Terms and Turnovers'!$AN$12</f>
        <v>0</v>
      </c>
      <c r="F2676" s="70">
        <f>F1961/'Terms and Turnovers'!$AN204</f>
        <v>0</v>
      </c>
      <c r="G2676" s="728"/>
      <c r="H2676" s="70">
        <f>H1961/'Terms and Turnovers'!$AN204</f>
        <v>0</v>
      </c>
      <c r="I2676" s="728"/>
      <c r="J2676" s="70">
        <f>J1961/'Terms and Turnovers'!$AN204</f>
        <v>0</v>
      </c>
      <c r="K2676" s="728"/>
      <c r="L2676" s="70">
        <f>L1961/'Terms and Turnovers'!$AN204</f>
        <v>0</v>
      </c>
      <c r="M2676" s="728"/>
      <c r="N2676" s="70">
        <f>N1961/'Terms and Turnovers'!$AN204</f>
        <v>0</v>
      </c>
      <c r="O2676" s="728"/>
      <c r="P2676" s="70">
        <f>P1961/'Terms and Turnovers'!$AN204</f>
        <v>0</v>
      </c>
      <c r="Q2676" s="728"/>
      <c r="R2676" s="132">
        <f>SUM(F2676,H2676,J2676,L2676,N2676,P2676)</f>
        <v>0</v>
      </c>
      <c r="S2676" s="728"/>
      <c r="T2676" s="70">
        <f>T1961/'Terms and Turnovers'!$AN204</f>
        <v>0</v>
      </c>
      <c r="U2676" s="728"/>
      <c r="V2676" s="70">
        <f>V1961/'Terms and Turnovers'!$AN204</f>
        <v>0</v>
      </c>
      <c r="W2676" s="728"/>
      <c r="X2676" s="70">
        <f>X1961/'Terms and Turnovers'!$AN204</f>
        <v>0</v>
      </c>
      <c r="Y2676" s="728"/>
      <c r="Z2676" s="70">
        <f>Z1961/'Terms and Turnovers'!$AN204</f>
        <v>0</v>
      </c>
      <c r="AA2676" s="728"/>
      <c r="AB2676" s="70">
        <f>AB1961/'Terms and Turnovers'!$AN204</f>
        <v>0</v>
      </c>
      <c r="AC2676" s="728"/>
      <c r="AD2676" s="70">
        <f>AD1961/'Terms and Turnovers'!$AN204</f>
        <v>0</v>
      </c>
      <c r="AE2676" s="728"/>
      <c r="AF2676" s="132">
        <f>SUM(T2676,V2676,X2676,Z2676,AB2676,AD2676)</f>
        <v>0</v>
      </c>
      <c r="AG2676" s="728"/>
      <c r="AH2676" s="133">
        <f>SUM(AF2676,R2676)</f>
        <v>0</v>
      </c>
      <c r="AI2676" s="728"/>
      <c r="AJ2676" s="65"/>
      <c r="AV2676" s="56"/>
    </row>
    <row r="2677" spans="2:48" ht="13.5" hidden="1" customHeight="1" outlineLevel="2" thickBot="1">
      <c r="B2677" s="82"/>
      <c r="C2677" s="1235"/>
      <c r="D2677" s="1235"/>
      <c r="E2677" s="85">
        <f>'Terms and Turnovers'!$AX$12</f>
        <v>0</v>
      </c>
      <c r="F2677" s="68">
        <f>F1962/'Terms and Turnovers'!$AX204</f>
        <v>0</v>
      </c>
      <c r="G2677" s="111"/>
      <c r="H2677" s="68">
        <f>H1962/'Terms and Turnovers'!$AX204</f>
        <v>0</v>
      </c>
      <c r="I2677" s="107"/>
      <c r="J2677" s="68">
        <f>J1962/'Terms and Turnovers'!$AX204</f>
        <v>0</v>
      </c>
      <c r="K2677" s="107"/>
      <c r="L2677" s="68">
        <f>L1962/'Terms and Turnovers'!$AX204</f>
        <v>0</v>
      </c>
      <c r="M2677" s="107"/>
      <c r="N2677" s="68">
        <f>N1962/'Terms and Turnovers'!$AX204</f>
        <v>0</v>
      </c>
      <c r="O2677" s="107"/>
      <c r="P2677" s="68">
        <f>P1962/'Terms and Turnovers'!$AX204</f>
        <v>0</v>
      </c>
      <c r="Q2677" s="107"/>
      <c r="R2677" s="135">
        <f>SUM(F2677,H2677,J2677,L2677,N2677,P2677)</f>
        <v>0</v>
      </c>
      <c r="S2677" s="107"/>
      <c r="T2677" s="68">
        <f>T1962/'Terms and Turnovers'!$AX204</f>
        <v>0</v>
      </c>
      <c r="U2677" s="111"/>
      <c r="V2677" s="68">
        <f>V1962/'Terms and Turnovers'!$AX204</f>
        <v>0</v>
      </c>
      <c r="W2677" s="107"/>
      <c r="X2677" s="68">
        <f>X1962/'Terms and Turnovers'!$AX204</f>
        <v>0</v>
      </c>
      <c r="Y2677" s="107"/>
      <c r="Z2677" s="68">
        <f>Z1962/'Terms and Turnovers'!$AX204</f>
        <v>0</v>
      </c>
      <c r="AA2677" s="107"/>
      <c r="AB2677" s="68">
        <f>AB1962/'Terms and Turnovers'!$AX204</f>
        <v>0</v>
      </c>
      <c r="AC2677" s="107"/>
      <c r="AD2677" s="68">
        <f>AD1962/'Terms and Turnovers'!$AX204</f>
        <v>0</v>
      </c>
      <c r="AE2677" s="107"/>
      <c r="AF2677" s="135">
        <f>SUM(T2677,V2677,X2677,Z2677,AB2677,AD2677)</f>
        <v>0</v>
      </c>
      <c r="AG2677" s="107"/>
      <c r="AH2677" s="136">
        <f>SUM(AF2677,R2677)</f>
        <v>0</v>
      </c>
      <c r="AI2677" s="107"/>
      <c r="AJ2677" s="65"/>
      <c r="AV2677" s="56"/>
    </row>
    <row r="2678" spans="2:48" ht="13.5" hidden="1" customHeight="1" outlineLevel="2">
      <c r="B2678" s="82"/>
      <c r="C2678" s="425"/>
      <c r="D2678" s="425"/>
      <c r="E2678" s="634"/>
      <c r="F2678" s="635"/>
      <c r="G2678" s="428"/>
      <c r="H2678" s="635"/>
      <c r="I2678" s="428"/>
      <c r="J2678" s="635"/>
      <c r="K2678" s="636"/>
      <c r="L2678" s="635"/>
      <c r="M2678" s="636"/>
      <c r="N2678" s="635"/>
      <c r="O2678" s="636"/>
      <c r="P2678" s="635"/>
      <c r="Q2678" s="636"/>
      <c r="R2678" s="637"/>
      <c r="S2678" s="698">
        <f>SUM(R1958:R1962)/1.18-(SUM(R2673:R2677)*'Mark Up Validation'!$M$175)</f>
        <v>0</v>
      </c>
      <c r="T2678" s="635"/>
      <c r="U2678" s="636"/>
      <c r="V2678" s="635"/>
      <c r="W2678" s="636"/>
      <c r="X2678" s="635"/>
      <c r="Y2678" s="636"/>
      <c r="Z2678" s="635"/>
      <c r="AA2678" s="636"/>
      <c r="AB2678" s="635"/>
      <c r="AC2678" s="636"/>
      <c r="AD2678" s="635"/>
      <c r="AE2678" s="636"/>
      <c r="AF2678" s="637"/>
      <c r="AG2678" s="698">
        <f>SUM(AF1958:AF1962)/1.18-SUM(AF2673:AF2677)*'Mark Up Validation'!$M$175</f>
        <v>0</v>
      </c>
      <c r="AH2678" s="638"/>
      <c r="AI2678" s="698">
        <f>SUM(AH1958:AH1962)/1.18-SUM(AH2673:AH2677)*'Mark Up Validation'!$M$175</f>
        <v>0</v>
      </c>
      <c r="AJ2678" s="65"/>
      <c r="AV2678" s="56"/>
    </row>
    <row r="2679" spans="2:48" ht="13.5" hidden="1" customHeight="1" outlineLevel="2" thickBot="1">
      <c r="B2679" s="82"/>
      <c r="C2679" s="1228" t="s">
        <v>538</v>
      </c>
      <c r="D2679" s="1229"/>
      <c r="E2679" s="699"/>
      <c r="F2679" s="700"/>
      <c r="G2679" s="701"/>
      <c r="H2679" s="700"/>
      <c r="I2679" s="701"/>
      <c r="J2679" s="700"/>
      <c r="K2679" s="702"/>
      <c r="L2679" s="700"/>
      <c r="M2679" s="702"/>
      <c r="N2679" s="700"/>
      <c r="O2679" s="702"/>
      <c r="P2679" s="700"/>
      <c r="Q2679" s="702"/>
      <c r="R2679" s="703"/>
      <c r="S2679" s="729">
        <f>IF(S2678&gt;0,S2678/(SUM(R1958:R1962)/1.18),0)</f>
        <v>0</v>
      </c>
      <c r="T2679" s="700"/>
      <c r="U2679" s="702"/>
      <c r="V2679" s="700"/>
      <c r="W2679" s="702"/>
      <c r="X2679" s="700"/>
      <c r="Y2679" s="702"/>
      <c r="Z2679" s="700"/>
      <c r="AA2679" s="702"/>
      <c r="AB2679" s="700"/>
      <c r="AC2679" s="702"/>
      <c r="AD2679" s="700"/>
      <c r="AE2679" s="702"/>
      <c r="AF2679" s="705"/>
      <c r="AG2679" s="729">
        <f>IF(AG2678&gt;0,AG2678/(SUM(AF1958:AF1962)/1.18),0)</f>
        <v>0</v>
      </c>
      <c r="AH2679" s="706"/>
      <c r="AI2679" s="729">
        <f>IF(AI2678&gt;0,AI2678/(SUM(AH1958:AH1962)/1.18),0)</f>
        <v>0</v>
      </c>
      <c r="AJ2679" s="65"/>
      <c r="AV2679" s="56"/>
    </row>
    <row r="2680" spans="2:48" ht="12.75" hidden="1" customHeight="1" outlineLevel="2">
      <c r="B2680" s="82">
        <f>B2673+1</f>
        <v>74</v>
      </c>
      <c r="C2680" s="1230">
        <f>C1965</f>
        <v>0</v>
      </c>
      <c r="D2680" s="1230">
        <f>D1965</f>
        <v>0</v>
      </c>
      <c r="E2680" s="83" t="str">
        <f>'Terms and Turnovers'!$J$12</f>
        <v>FLIP-FLOPS</v>
      </c>
      <c r="F2680" s="68">
        <f>F1965/'Terms and Turnovers'!$J205</f>
        <v>0</v>
      </c>
      <c r="G2680" s="106"/>
      <c r="H2680" s="68">
        <f>H1965/'Terms and Turnovers'!$J205</f>
        <v>0</v>
      </c>
      <c r="I2680" s="106"/>
      <c r="J2680" s="68">
        <f>J1965/'Terms and Turnovers'!$J205</f>
        <v>0</v>
      </c>
      <c r="K2680" s="106"/>
      <c r="L2680" s="68">
        <f>L1965/'Terms and Turnovers'!$J205</f>
        <v>0</v>
      </c>
      <c r="M2680" s="106"/>
      <c r="N2680" s="68">
        <f>N1965/'Terms and Turnovers'!$J205</f>
        <v>0</v>
      </c>
      <c r="O2680" s="106"/>
      <c r="P2680" s="68">
        <f>P1965/'Terms and Turnovers'!$J205</f>
        <v>0</v>
      </c>
      <c r="Q2680" s="106"/>
      <c r="R2680" s="129">
        <f>SUM(F2680,H2680,J2680,L2680,N2680,P2680)</f>
        <v>0</v>
      </c>
      <c r="S2680" s="106"/>
      <c r="T2680" s="68">
        <f>T1965/'Terms and Turnovers'!$J205</f>
        <v>0</v>
      </c>
      <c r="U2680" s="106"/>
      <c r="V2680" s="68">
        <f>V1965/'Terms and Turnovers'!$J205</f>
        <v>0</v>
      </c>
      <c r="W2680" s="106"/>
      <c r="X2680" s="68">
        <f>X1965/'Terms and Turnovers'!$J205</f>
        <v>0</v>
      </c>
      <c r="Y2680" s="106"/>
      <c r="Z2680" s="68">
        <f>Z1965/'Terms and Turnovers'!$J205</f>
        <v>0</v>
      </c>
      <c r="AA2680" s="106"/>
      <c r="AB2680" s="68">
        <f>AB1965/'Terms and Turnovers'!$J205</f>
        <v>0</v>
      </c>
      <c r="AC2680" s="106"/>
      <c r="AD2680" s="68">
        <f>AD1965/'Terms and Turnovers'!$J205</f>
        <v>0</v>
      </c>
      <c r="AE2680" s="106"/>
      <c r="AF2680" s="129">
        <f>SUM(T2680,V2680,X2680,Z2680,AB2680,AD2680)</f>
        <v>0</v>
      </c>
      <c r="AG2680" s="106"/>
      <c r="AH2680" s="130">
        <f>SUM(AF2680,R2680)</f>
        <v>0</v>
      </c>
      <c r="AI2680" s="106"/>
      <c r="AJ2680" s="65"/>
      <c r="AV2680" s="56"/>
    </row>
    <row r="2681" spans="2:48" ht="12.75" hidden="1" customHeight="1" outlineLevel="2" thickBot="1">
      <c r="B2681" s="82"/>
      <c r="C2681" s="1231"/>
      <c r="D2681" s="1231"/>
      <c r="E2681" s="84" t="str">
        <f>'Terms and Turnovers'!$T$12</f>
        <v>ORIGINALS</v>
      </c>
      <c r="F2681" s="70">
        <f>F1966/'Terms and Turnovers'!$T205</f>
        <v>0</v>
      </c>
      <c r="G2681" s="728"/>
      <c r="H2681" s="70">
        <f>H1966/'Terms and Turnovers'!$T205</f>
        <v>0</v>
      </c>
      <c r="I2681" s="728"/>
      <c r="J2681" s="70">
        <f>J1966/'Terms and Turnovers'!$T205</f>
        <v>0</v>
      </c>
      <c r="K2681" s="728"/>
      <c r="L2681" s="70">
        <f>L1966/'Terms and Turnovers'!$T205</f>
        <v>0</v>
      </c>
      <c r="M2681" s="728"/>
      <c r="N2681" s="70">
        <f>N1966/'Terms and Turnovers'!$T205</f>
        <v>0</v>
      </c>
      <c r="O2681" s="728"/>
      <c r="P2681" s="70">
        <f>P1966/'Terms and Turnovers'!$T205</f>
        <v>0</v>
      </c>
      <c r="Q2681" s="728"/>
      <c r="R2681" s="132">
        <f>SUM(F2681,H2681,J2681,L2681,N2681,P2681)</f>
        <v>0</v>
      </c>
      <c r="S2681" s="728"/>
      <c r="T2681" s="70">
        <f>T1966/'Terms and Turnovers'!$T205</f>
        <v>0</v>
      </c>
      <c r="U2681" s="728"/>
      <c r="V2681" s="70">
        <f>V1966/'Terms and Turnovers'!$T205</f>
        <v>0</v>
      </c>
      <c r="W2681" s="728"/>
      <c r="X2681" s="70">
        <f>X1966/'Terms and Turnovers'!$T205</f>
        <v>0</v>
      </c>
      <c r="Y2681" s="728"/>
      <c r="Z2681" s="70">
        <f>Z1966/'Terms and Turnovers'!$T205</f>
        <v>0</v>
      </c>
      <c r="AA2681" s="728"/>
      <c r="AB2681" s="70">
        <f>AB1966/'Terms and Turnovers'!$T205</f>
        <v>0</v>
      </c>
      <c r="AC2681" s="728"/>
      <c r="AD2681" s="70">
        <f>AD1966/'Terms and Turnovers'!$T205</f>
        <v>0</v>
      </c>
      <c r="AE2681" s="728"/>
      <c r="AF2681" s="132">
        <f>SUM(T2681,V2681,X2681,Z2681,AB2681,AD2681)</f>
        <v>0</v>
      </c>
      <c r="AG2681" s="728"/>
      <c r="AH2681" s="133">
        <f>SUM(AF2681,R2681)</f>
        <v>0</v>
      </c>
      <c r="AI2681" s="728"/>
      <c r="AJ2681" s="65"/>
      <c r="AV2681" s="56"/>
    </row>
    <row r="2682" spans="2:48" ht="12.75" hidden="1" customHeight="1" outlineLevel="2">
      <c r="B2682" s="82"/>
      <c r="C2682" s="1231"/>
      <c r="D2682" s="1231"/>
      <c r="E2682" s="84" t="str">
        <f>'Terms and Turnovers'!$AD$12</f>
        <v>ACCESSORIES</v>
      </c>
      <c r="F2682" s="68">
        <f>F1967/'Terms and Turnovers'!$AD205</f>
        <v>0</v>
      </c>
      <c r="G2682" s="728"/>
      <c r="H2682" s="68">
        <f>H1967/'Terms and Turnovers'!$AD205</f>
        <v>0</v>
      </c>
      <c r="I2682" s="728"/>
      <c r="J2682" s="68">
        <f>J1967/'Terms and Turnovers'!$AD205</f>
        <v>0</v>
      </c>
      <c r="K2682" s="728"/>
      <c r="L2682" s="68">
        <f>L1967/'Terms and Turnovers'!$AD205</f>
        <v>0</v>
      </c>
      <c r="M2682" s="728"/>
      <c r="N2682" s="68">
        <f>N1967/'Terms and Turnovers'!$AD205</f>
        <v>0</v>
      </c>
      <c r="O2682" s="728"/>
      <c r="P2682" s="68">
        <f>P1967/'Terms and Turnovers'!$AD205</f>
        <v>0</v>
      </c>
      <c r="Q2682" s="728"/>
      <c r="R2682" s="132">
        <f>SUM(F2682,H2682,J2682,L2682,N2682,P2682)</f>
        <v>0</v>
      </c>
      <c r="S2682" s="728"/>
      <c r="T2682" s="68">
        <f>T1967/'Terms and Turnovers'!$AD205</f>
        <v>0</v>
      </c>
      <c r="U2682" s="728"/>
      <c r="V2682" s="68">
        <f>V1967/'Terms and Turnovers'!$AD205</f>
        <v>0</v>
      </c>
      <c r="W2682" s="728"/>
      <c r="X2682" s="68">
        <f>X1967/'Terms and Turnovers'!$AD205</f>
        <v>0</v>
      </c>
      <c r="Y2682" s="728"/>
      <c r="Z2682" s="68">
        <f>Z1967/'Terms and Turnovers'!$AD205</f>
        <v>0</v>
      </c>
      <c r="AA2682" s="728"/>
      <c r="AB2682" s="68">
        <f>AB1967/'Terms and Turnovers'!$AD205</f>
        <v>0</v>
      </c>
      <c r="AC2682" s="728"/>
      <c r="AD2682" s="68">
        <f>AD1967/'Terms and Turnovers'!$AD205</f>
        <v>0</v>
      </c>
      <c r="AE2682" s="728"/>
      <c r="AF2682" s="132">
        <f>SUM(T2682,V2682,X2682,Z2682,AB2682,AD2682)</f>
        <v>0</v>
      </c>
      <c r="AG2682" s="728"/>
      <c r="AH2682" s="133">
        <f>SUM(AF2682,R2682)</f>
        <v>0</v>
      </c>
      <c r="AI2682" s="728"/>
      <c r="AJ2682" s="65"/>
      <c r="AV2682" s="56"/>
    </row>
    <row r="2683" spans="2:48" ht="12.75" hidden="1" customHeight="1" outlineLevel="2" thickBot="1">
      <c r="B2683" s="82"/>
      <c r="C2683" s="1231"/>
      <c r="D2683" s="1231"/>
      <c r="E2683" s="84">
        <f>'Terms and Turnovers'!$AN$12</f>
        <v>0</v>
      </c>
      <c r="F2683" s="70">
        <f>F1968/'Terms and Turnovers'!$AN205</f>
        <v>0</v>
      </c>
      <c r="G2683" s="728"/>
      <c r="H2683" s="70">
        <f>H1968/'Terms and Turnovers'!$AN205</f>
        <v>0</v>
      </c>
      <c r="I2683" s="728"/>
      <c r="J2683" s="70">
        <f>J1968/'Terms and Turnovers'!$AN205</f>
        <v>0</v>
      </c>
      <c r="K2683" s="728"/>
      <c r="L2683" s="70">
        <f>L1968/'Terms and Turnovers'!$AN205</f>
        <v>0</v>
      </c>
      <c r="M2683" s="728"/>
      <c r="N2683" s="70">
        <f>N1968/'Terms and Turnovers'!$AN205</f>
        <v>0</v>
      </c>
      <c r="O2683" s="728"/>
      <c r="P2683" s="70">
        <f>P1968/'Terms and Turnovers'!$AN205</f>
        <v>0</v>
      </c>
      <c r="Q2683" s="728"/>
      <c r="R2683" s="132">
        <f>SUM(F2683,H2683,J2683,L2683,N2683,P2683)</f>
        <v>0</v>
      </c>
      <c r="S2683" s="728"/>
      <c r="T2683" s="70">
        <f>T1968/'Terms and Turnovers'!$AN205</f>
        <v>0</v>
      </c>
      <c r="U2683" s="728"/>
      <c r="V2683" s="70">
        <f>V1968/'Terms and Turnovers'!$AN205</f>
        <v>0</v>
      </c>
      <c r="W2683" s="728"/>
      <c r="X2683" s="70">
        <f>X1968/'Terms and Turnovers'!$AN205</f>
        <v>0</v>
      </c>
      <c r="Y2683" s="728"/>
      <c r="Z2683" s="70">
        <f>Z1968/'Terms and Turnovers'!$AN205</f>
        <v>0</v>
      </c>
      <c r="AA2683" s="728"/>
      <c r="AB2683" s="70">
        <f>AB1968/'Terms and Turnovers'!$AN205</f>
        <v>0</v>
      </c>
      <c r="AC2683" s="728"/>
      <c r="AD2683" s="70">
        <f>AD1968/'Terms and Turnovers'!$AN205</f>
        <v>0</v>
      </c>
      <c r="AE2683" s="728"/>
      <c r="AF2683" s="132">
        <f>SUM(T2683,V2683,X2683,Z2683,AB2683,AD2683)</f>
        <v>0</v>
      </c>
      <c r="AG2683" s="728"/>
      <c r="AH2683" s="133">
        <f>SUM(AF2683,R2683)</f>
        <v>0</v>
      </c>
      <c r="AI2683" s="728"/>
      <c r="AJ2683" s="65"/>
      <c r="AV2683" s="56"/>
    </row>
    <row r="2684" spans="2:48" ht="13.5" hidden="1" customHeight="1" outlineLevel="2" thickBot="1">
      <c r="B2684" s="82"/>
      <c r="C2684" s="1232"/>
      <c r="D2684" s="1232"/>
      <c r="E2684" s="85">
        <f>'Terms and Turnovers'!$AX$12</f>
        <v>0</v>
      </c>
      <c r="F2684" s="68">
        <f>F1969/'Terms and Turnovers'!$AX205</f>
        <v>0</v>
      </c>
      <c r="G2684" s="111"/>
      <c r="H2684" s="68">
        <f>H1969/'Terms and Turnovers'!$AX205</f>
        <v>0</v>
      </c>
      <c r="I2684" s="107"/>
      <c r="J2684" s="68">
        <f>J1969/'Terms and Turnovers'!$AX205</f>
        <v>0</v>
      </c>
      <c r="K2684" s="107"/>
      <c r="L2684" s="68">
        <f>L1969/'Terms and Turnovers'!$AX205</f>
        <v>0</v>
      </c>
      <c r="M2684" s="107"/>
      <c r="N2684" s="68">
        <f>N1969/'Terms and Turnovers'!$AX205</f>
        <v>0</v>
      </c>
      <c r="O2684" s="107"/>
      <c r="P2684" s="68">
        <f>P1969/'Terms and Turnovers'!$AX205</f>
        <v>0</v>
      </c>
      <c r="Q2684" s="107"/>
      <c r="R2684" s="135">
        <f>SUM(F2684,H2684,J2684,L2684,N2684,P2684)</f>
        <v>0</v>
      </c>
      <c r="S2684" s="107"/>
      <c r="T2684" s="68">
        <f>T1969/'Terms and Turnovers'!$AX205</f>
        <v>0</v>
      </c>
      <c r="U2684" s="111"/>
      <c r="V2684" s="68">
        <f>V1969/'Terms and Turnovers'!$AX205</f>
        <v>0</v>
      </c>
      <c r="W2684" s="107"/>
      <c r="X2684" s="68">
        <f>X1969/'Terms and Turnovers'!$AX205</f>
        <v>0</v>
      </c>
      <c r="Y2684" s="107"/>
      <c r="Z2684" s="68">
        <f>Z1969/'Terms and Turnovers'!$AX205</f>
        <v>0</v>
      </c>
      <c r="AA2684" s="107"/>
      <c r="AB2684" s="68">
        <f>AB1969/'Terms and Turnovers'!$AX205</f>
        <v>0</v>
      </c>
      <c r="AC2684" s="107"/>
      <c r="AD2684" s="68">
        <f>AD1969/'Terms and Turnovers'!$AX205</f>
        <v>0</v>
      </c>
      <c r="AE2684" s="107"/>
      <c r="AF2684" s="135">
        <f>SUM(T2684,V2684,X2684,Z2684,AB2684,AD2684)</f>
        <v>0</v>
      </c>
      <c r="AG2684" s="107"/>
      <c r="AH2684" s="136">
        <f>SUM(AF2684,R2684)</f>
        <v>0</v>
      </c>
      <c r="AI2684" s="107"/>
      <c r="AJ2684" s="65"/>
      <c r="AV2684" s="56"/>
    </row>
    <row r="2685" spans="2:48" ht="13.5" hidden="1" customHeight="1" outlineLevel="2">
      <c r="B2685" s="82"/>
      <c r="C2685" s="425"/>
      <c r="D2685" s="425"/>
      <c r="E2685" s="634"/>
      <c r="F2685" s="635"/>
      <c r="G2685" s="428"/>
      <c r="H2685" s="635"/>
      <c r="I2685" s="428"/>
      <c r="J2685" s="635"/>
      <c r="K2685" s="636"/>
      <c r="L2685" s="635"/>
      <c r="M2685" s="636"/>
      <c r="N2685" s="635"/>
      <c r="O2685" s="636"/>
      <c r="P2685" s="635"/>
      <c r="Q2685" s="636"/>
      <c r="R2685" s="637"/>
      <c r="S2685" s="698">
        <f>SUM(R1965:R1969)/1.18-(SUM(R2680:R2684)*'Mark Up Validation'!$M$175)</f>
        <v>0</v>
      </c>
      <c r="T2685" s="635"/>
      <c r="U2685" s="636"/>
      <c r="V2685" s="635"/>
      <c r="W2685" s="636"/>
      <c r="X2685" s="635"/>
      <c r="Y2685" s="636"/>
      <c r="Z2685" s="635"/>
      <c r="AA2685" s="636"/>
      <c r="AB2685" s="635"/>
      <c r="AC2685" s="636"/>
      <c r="AD2685" s="635"/>
      <c r="AE2685" s="636"/>
      <c r="AF2685" s="637"/>
      <c r="AG2685" s="698">
        <f>SUM(AF1965:AF1969)/1.18-SUM(AF2680:AF2684)*'Mark Up Validation'!$M$175</f>
        <v>0</v>
      </c>
      <c r="AH2685" s="638"/>
      <c r="AI2685" s="698">
        <f>SUM(AH1965:AH1969)/1.18-SUM(AH2680:AH2684)*'Mark Up Validation'!$M$175</f>
        <v>0</v>
      </c>
      <c r="AJ2685" s="65"/>
      <c r="AV2685" s="56"/>
    </row>
    <row r="2686" spans="2:48" ht="13.5" hidden="1" customHeight="1" outlineLevel="2" thickBot="1">
      <c r="B2686" s="82"/>
      <c r="C2686" s="1228" t="s">
        <v>538</v>
      </c>
      <c r="D2686" s="1229"/>
      <c r="E2686" s="699"/>
      <c r="F2686" s="700"/>
      <c r="G2686" s="701"/>
      <c r="H2686" s="700"/>
      <c r="I2686" s="701"/>
      <c r="J2686" s="700"/>
      <c r="K2686" s="702"/>
      <c r="L2686" s="700"/>
      <c r="M2686" s="702"/>
      <c r="N2686" s="700"/>
      <c r="O2686" s="702"/>
      <c r="P2686" s="700"/>
      <c r="Q2686" s="702"/>
      <c r="R2686" s="703"/>
      <c r="S2686" s="729">
        <f>IF(S2685&gt;0,S2685/(SUM(R1965:R1969)/1.18),0)</f>
        <v>0</v>
      </c>
      <c r="T2686" s="700"/>
      <c r="U2686" s="702"/>
      <c r="V2686" s="700"/>
      <c r="W2686" s="702"/>
      <c r="X2686" s="700"/>
      <c r="Y2686" s="702"/>
      <c r="Z2686" s="700"/>
      <c r="AA2686" s="702"/>
      <c r="AB2686" s="700"/>
      <c r="AC2686" s="702"/>
      <c r="AD2686" s="700"/>
      <c r="AE2686" s="702"/>
      <c r="AF2686" s="705"/>
      <c r="AG2686" s="729">
        <f>IF(AG2685&gt;0,AG2685/(SUM(AF1965:AF1969)/1.18),0)</f>
        <v>0</v>
      </c>
      <c r="AH2686" s="706"/>
      <c r="AI2686" s="729">
        <f>IF(AI2685&gt;0,AI2685/(SUM(AH1965:AH1969)/1.18),0)</f>
        <v>0</v>
      </c>
      <c r="AJ2686" s="65"/>
      <c r="AV2686" s="56"/>
    </row>
    <row r="2687" spans="2:48" ht="12.75" hidden="1" customHeight="1" outlineLevel="2">
      <c r="B2687" s="82">
        <f>B2680+1</f>
        <v>75</v>
      </c>
      <c r="C2687" s="1233">
        <f>C1972</f>
        <v>0</v>
      </c>
      <c r="D2687" s="1233">
        <f>D1972</f>
        <v>0</v>
      </c>
      <c r="E2687" s="83" t="str">
        <f>'Terms and Turnovers'!$J$12</f>
        <v>FLIP-FLOPS</v>
      </c>
      <c r="F2687" s="68">
        <f>F1972/'Terms and Turnovers'!$J206</f>
        <v>0</v>
      </c>
      <c r="G2687" s="106"/>
      <c r="H2687" s="68">
        <f>H1972/'Terms and Turnovers'!$J206</f>
        <v>0</v>
      </c>
      <c r="I2687" s="106"/>
      <c r="J2687" s="68">
        <f>J1972/'Terms and Turnovers'!$J206</f>
        <v>0</v>
      </c>
      <c r="K2687" s="106"/>
      <c r="L2687" s="68">
        <f>L1972/'Terms and Turnovers'!$J206</f>
        <v>0</v>
      </c>
      <c r="M2687" s="106"/>
      <c r="N2687" s="68">
        <f>N1972/'Terms and Turnovers'!$J206</f>
        <v>0</v>
      </c>
      <c r="O2687" s="106"/>
      <c r="P2687" s="68">
        <f>P1972/'Terms and Turnovers'!$J206</f>
        <v>0</v>
      </c>
      <c r="Q2687" s="106"/>
      <c r="R2687" s="129">
        <f>SUM(F2687,H2687,J2687,L2687,N2687,P2687)</f>
        <v>0</v>
      </c>
      <c r="S2687" s="106"/>
      <c r="T2687" s="68">
        <f>T1972/'Terms and Turnovers'!$J206</f>
        <v>0</v>
      </c>
      <c r="U2687" s="106"/>
      <c r="V2687" s="68">
        <f>V1972/'Terms and Turnovers'!$J206</f>
        <v>0</v>
      </c>
      <c r="W2687" s="106"/>
      <c r="X2687" s="68">
        <f>X1972/'Terms and Turnovers'!$J206</f>
        <v>0</v>
      </c>
      <c r="Y2687" s="106"/>
      <c r="Z2687" s="68">
        <f>Z1972/'Terms and Turnovers'!$J206</f>
        <v>0</v>
      </c>
      <c r="AA2687" s="106"/>
      <c r="AB2687" s="68">
        <f>AB1972/'Terms and Turnovers'!$J206</f>
        <v>0</v>
      </c>
      <c r="AC2687" s="106"/>
      <c r="AD2687" s="68">
        <f>AD1972/'Terms and Turnovers'!$J206</f>
        <v>0</v>
      </c>
      <c r="AE2687" s="106"/>
      <c r="AF2687" s="129">
        <f>SUM(T2687,V2687,X2687,Z2687,AB2687,AD2687)</f>
        <v>0</v>
      </c>
      <c r="AG2687" s="106"/>
      <c r="AH2687" s="130">
        <f>SUM(AF2687,R2687)</f>
        <v>0</v>
      </c>
      <c r="AI2687" s="106"/>
      <c r="AJ2687" s="65"/>
      <c r="AV2687" s="56"/>
    </row>
    <row r="2688" spans="2:48" ht="12.75" hidden="1" customHeight="1" outlineLevel="2" thickBot="1">
      <c r="B2688" s="82"/>
      <c r="C2688" s="1234"/>
      <c r="D2688" s="1234"/>
      <c r="E2688" s="84" t="str">
        <f>'Terms and Turnovers'!$T$12</f>
        <v>ORIGINALS</v>
      </c>
      <c r="F2688" s="70">
        <f>F1973/'Terms and Turnovers'!$T206</f>
        <v>0</v>
      </c>
      <c r="G2688" s="728"/>
      <c r="H2688" s="70">
        <f>H1973/'Terms and Turnovers'!$T206</f>
        <v>0</v>
      </c>
      <c r="I2688" s="728"/>
      <c r="J2688" s="70">
        <f>J1973/'Terms and Turnovers'!$T206</f>
        <v>0</v>
      </c>
      <c r="K2688" s="728"/>
      <c r="L2688" s="70">
        <f>L1973/'Terms and Turnovers'!$T206</f>
        <v>0</v>
      </c>
      <c r="M2688" s="728"/>
      <c r="N2688" s="70">
        <f>N1973/'Terms and Turnovers'!$T206</f>
        <v>0</v>
      </c>
      <c r="O2688" s="728"/>
      <c r="P2688" s="70">
        <f>P1973/'Terms and Turnovers'!$T206</f>
        <v>0</v>
      </c>
      <c r="Q2688" s="728"/>
      <c r="R2688" s="132">
        <f>SUM(F2688,H2688,J2688,L2688,N2688,P2688)</f>
        <v>0</v>
      </c>
      <c r="S2688" s="728"/>
      <c r="T2688" s="70">
        <f>T1973/'Terms and Turnovers'!$T206</f>
        <v>0</v>
      </c>
      <c r="U2688" s="728"/>
      <c r="V2688" s="70">
        <f>V1973/'Terms and Turnovers'!$T206</f>
        <v>0</v>
      </c>
      <c r="W2688" s="728"/>
      <c r="X2688" s="70">
        <f>X1973/'Terms and Turnovers'!$T206</f>
        <v>0</v>
      </c>
      <c r="Y2688" s="728"/>
      <c r="Z2688" s="70">
        <f>Z1973/'Terms and Turnovers'!$T206</f>
        <v>0</v>
      </c>
      <c r="AA2688" s="728"/>
      <c r="AB2688" s="70">
        <f>AB1973/'Terms and Turnovers'!$T206</f>
        <v>0</v>
      </c>
      <c r="AC2688" s="728"/>
      <c r="AD2688" s="70">
        <f>AD1973/'Terms and Turnovers'!$T206</f>
        <v>0</v>
      </c>
      <c r="AE2688" s="728"/>
      <c r="AF2688" s="132">
        <f>SUM(T2688,V2688,X2688,Z2688,AB2688,AD2688)</f>
        <v>0</v>
      </c>
      <c r="AG2688" s="728"/>
      <c r="AH2688" s="133">
        <f>SUM(AF2688,R2688)</f>
        <v>0</v>
      </c>
      <c r="AI2688" s="728"/>
      <c r="AJ2688" s="65"/>
      <c r="AV2688" s="56"/>
    </row>
    <row r="2689" spans="2:48" ht="12.75" hidden="1" customHeight="1" outlineLevel="2">
      <c r="B2689" s="82"/>
      <c r="C2689" s="1234"/>
      <c r="D2689" s="1234"/>
      <c r="E2689" s="84" t="str">
        <f>'Terms and Turnovers'!$AD$12</f>
        <v>ACCESSORIES</v>
      </c>
      <c r="F2689" s="68">
        <f>F1974/'Terms and Turnovers'!$AD206</f>
        <v>0</v>
      </c>
      <c r="G2689" s="728"/>
      <c r="H2689" s="68">
        <f>H1974/'Terms and Turnovers'!$AD206</f>
        <v>0</v>
      </c>
      <c r="I2689" s="728"/>
      <c r="J2689" s="68">
        <f>J1974/'Terms and Turnovers'!$AD206</f>
        <v>0</v>
      </c>
      <c r="K2689" s="728"/>
      <c r="L2689" s="68">
        <f>L1974/'Terms and Turnovers'!$AD206</f>
        <v>0</v>
      </c>
      <c r="M2689" s="728"/>
      <c r="N2689" s="68">
        <f>N1974/'Terms and Turnovers'!$AD206</f>
        <v>0</v>
      </c>
      <c r="O2689" s="728"/>
      <c r="P2689" s="68">
        <f>P1974/'Terms and Turnovers'!$AD206</f>
        <v>0</v>
      </c>
      <c r="Q2689" s="728"/>
      <c r="R2689" s="132">
        <f>SUM(F2689,H2689,J2689,L2689,N2689,P2689)</f>
        <v>0</v>
      </c>
      <c r="S2689" s="728"/>
      <c r="T2689" s="68">
        <f>T1974/'Terms and Turnovers'!$AD206</f>
        <v>0</v>
      </c>
      <c r="U2689" s="728"/>
      <c r="V2689" s="68">
        <f>V1974/'Terms and Turnovers'!$AD206</f>
        <v>0</v>
      </c>
      <c r="W2689" s="728"/>
      <c r="X2689" s="68">
        <f>X1974/'Terms and Turnovers'!$AD206</f>
        <v>0</v>
      </c>
      <c r="Y2689" s="728"/>
      <c r="Z2689" s="68">
        <f>Z1974/'Terms and Turnovers'!$AD206</f>
        <v>0</v>
      </c>
      <c r="AA2689" s="728"/>
      <c r="AB2689" s="68">
        <f>AB1974/'Terms and Turnovers'!$AD206</f>
        <v>0</v>
      </c>
      <c r="AC2689" s="728"/>
      <c r="AD2689" s="68">
        <f>AD1974/'Terms and Turnovers'!$AD206</f>
        <v>0</v>
      </c>
      <c r="AE2689" s="728"/>
      <c r="AF2689" s="132">
        <f>SUM(T2689,V2689,X2689,Z2689,AB2689,AD2689)</f>
        <v>0</v>
      </c>
      <c r="AG2689" s="728"/>
      <c r="AH2689" s="133">
        <f>SUM(AF2689,R2689)</f>
        <v>0</v>
      </c>
      <c r="AI2689" s="728"/>
      <c r="AJ2689" s="65"/>
      <c r="AV2689" s="56"/>
    </row>
    <row r="2690" spans="2:48" ht="12.75" hidden="1" customHeight="1" outlineLevel="2" thickBot="1">
      <c r="B2690" s="82"/>
      <c r="C2690" s="1234"/>
      <c r="D2690" s="1234"/>
      <c r="E2690" s="84">
        <f>'Terms and Turnovers'!$AN$12</f>
        <v>0</v>
      </c>
      <c r="F2690" s="70">
        <f>F1975/'Terms and Turnovers'!$AN206</f>
        <v>0</v>
      </c>
      <c r="G2690" s="728"/>
      <c r="H2690" s="70">
        <f>H1975/'Terms and Turnovers'!$AN206</f>
        <v>0</v>
      </c>
      <c r="I2690" s="728"/>
      <c r="J2690" s="70">
        <f>J1975/'Terms and Turnovers'!$AN206</f>
        <v>0</v>
      </c>
      <c r="K2690" s="728"/>
      <c r="L2690" s="70">
        <f>L1975/'Terms and Turnovers'!$AN206</f>
        <v>0</v>
      </c>
      <c r="M2690" s="728"/>
      <c r="N2690" s="70">
        <f>N1975/'Terms and Turnovers'!$AN206</f>
        <v>0</v>
      </c>
      <c r="O2690" s="728"/>
      <c r="P2690" s="70">
        <f>P1975/'Terms and Turnovers'!$AN206</f>
        <v>0</v>
      </c>
      <c r="Q2690" s="728"/>
      <c r="R2690" s="132">
        <f>SUM(F2690,H2690,J2690,L2690,N2690,P2690)</f>
        <v>0</v>
      </c>
      <c r="S2690" s="728"/>
      <c r="T2690" s="70">
        <f>T1975/'Terms and Turnovers'!$AN206</f>
        <v>0</v>
      </c>
      <c r="U2690" s="728"/>
      <c r="V2690" s="70">
        <f>V1975/'Terms and Turnovers'!$AN206</f>
        <v>0</v>
      </c>
      <c r="W2690" s="728"/>
      <c r="X2690" s="70">
        <f>X1975/'Terms and Turnovers'!$AN206</f>
        <v>0</v>
      </c>
      <c r="Y2690" s="728"/>
      <c r="Z2690" s="70">
        <f>Z1975/'Terms and Turnovers'!$AN206</f>
        <v>0</v>
      </c>
      <c r="AA2690" s="728"/>
      <c r="AB2690" s="70">
        <f>AB1975/'Terms and Turnovers'!$AN206</f>
        <v>0</v>
      </c>
      <c r="AC2690" s="728"/>
      <c r="AD2690" s="70">
        <f>AD1975/'Terms and Turnovers'!$AN206</f>
        <v>0</v>
      </c>
      <c r="AE2690" s="728"/>
      <c r="AF2690" s="132">
        <f>SUM(T2690,V2690,X2690,Z2690,AB2690,AD2690)</f>
        <v>0</v>
      </c>
      <c r="AG2690" s="728"/>
      <c r="AH2690" s="133">
        <f>SUM(AF2690,R2690)</f>
        <v>0</v>
      </c>
      <c r="AI2690" s="728"/>
      <c r="AJ2690" s="65"/>
      <c r="AV2690" s="56"/>
    </row>
    <row r="2691" spans="2:48" ht="13.5" hidden="1" customHeight="1" outlineLevel="2" thickBot="1">
      <c r="B2691" s="82"/>
      <c r="C2691" s="1235"/>
      <c r="D2691" s="1235"/>
      <c r="E2691" s="85">
        <f>'Terms and Turnovers'!$AX$12</f>
        <v>0</v>
      </c>
      <c r="F2691" s="68">
        <f>F1976/'Terms and Turnovers'!$AX206</f>
        <v>0</v>
      </c>
      <c r="G2691" s="111"/>
      <c r="H2691" s="68">
        <f>H1976/'Terms and Turnovers'!$AX206</f>
        <v>0</v>
      </c>
      <c r="I2691" s="107"/>
      <c r="J2691" s="68">
        <f>J1976/'Terms and Turnovers'!$AX206</f>
        <v>0</v>
      </c>
      <c r="K2691" s="107"/>
      <c r="L2691" s="68">
        <f>L1976/'Terms and Turnovers'!$AX206</f>
        <v>0</v>
      </c>
      <c r="M2691" s="107"/>
      <c r="N2691" s="68">
        <f>N1976/'Terms and Turnovers'!$AX206</f>
        <v>0</v>
      </c>
      <c r="O2691" s="107"/>
      <c r="P2691" s="68">
        <f>P1976/'Terms and Turnovers'!$AX206</f>
        <v>0</v>
      </c>
      <c r="Q2691" s="107"/>
      <c r="R2691" s="135">
        <f>SUM(F2691,H2691,J2691,L2691,N2691,P2691)</f>
        <v>0</v>
      </c>
      <c r="S2691" s="107"/>
      <c r="T2691" s="68">
        <f>T1976/'Terms and Turnovers'!$AX206</f>
        <v>0</v>
      </c>
      <c r="U2691" s="111"/>
      <c r="V2691" s="68">
        <f>V1976/'Terms and Turnovers'!$AX206</f>
        <v>0</v>
      </c>
      <c r="W2691" s="107"/>
      <c r="X2691" s="68">
        <f>X1976/'Terms and Turnovers'!$AX206</f>
        <v>0</v>
      </c>
      <c r="Y2691" s="107"/>
      <c r="Z2691" s="68">
        <f>Z1976/'Terms and Turnovers'!$AX206</f>
        <v>0</v>
      </c>
      <c r="AA2691" s="107"/>
      <c r="AB2691" s="68">
        <f>AB1976/'Terms and Turnovers'!$AX206</f>
        <v>0</v>
      </c>
      <c r="AC2691" s="107"/>
      <c r="AD2691" s="68">
        <f>AD1976/'Terms and Turnovers'!$AX206</f>
        <v>0</v>
      </c>
      <c r="AE2691" s="107"/>
      <c r="AF2691" s="135">
        <f>SUM(T2691,V2691,X2691,Z2691,AB2691,AD2691)</f>
        <v>0</v>
      </c>
      <c r="AG2691" s="107"/>
      <c r="AH2691" s="136">
        <f>SUM(AF2691,R2691)</f>
        <v>0</v>
      </c>
      <c r="AI2691" s="107"/>
      <c r="AJ2691" s="65"/>
      <c r="AV2691" s="56"/>
    </row>
    <row r="2692" spans="2:48" ht="13.5" hidden="1" customHeight="1" outlineLevel="2">
      <c r="B2692" s="82"/>
      <c r="C2692" s="425"/>
      <c r="D2692" s="425"/>
      <c r="E2692" s="634"/>
      <c r="F2692" s="635"/>
      <c r="G2692" s="428"/>
      <c r="H2692" s="635"/>
      <c r="I2692" s="428"/>
      <c r="J2692" s="635"/>
      <c r="K2692" s="636"/>
      <c r="L2692" s="635"/>
      <c r="M2692" s="636"/>
      <c r="N2692" s="635"/>
      <c r="O2692" s="636"/>
      <c r="P2692" s="635"/>
      <c r="Q2692" s="636"/>
      <c r="R2692" s="637"/>
      <c r="S2692" s="698">
        <f>SUM(R1972:R1976)/1.18-(SUM(R2687:R2691)*'Mark Up Validation'!$M$175)</f>
        <v>0</v>
      </c>
      <c r="T2692" s="635"/>
      <c r="U2692" s="636"/>
      <c r="V2692" s="635"/>
      <c r="W2692" s="636"/>
      <c r="X2692" s="635"/>
      <c r="Y2692" s="636"/>
      <c r="Z2692" s="635"/>
      <c r="AA2692" s="636"/>
      <c r="AB2692" s="635"/>
      <c r="AC2692" s="636"/>
      <c r="AD2692" s="635"/>
      <c r="AE2692" s="636"/>
      <c r="AF2692" s="637"/>
      <c r="AG2692" s="698">
        <f>SUM(AF1972:AF1976)/1.18-SUM(AF2687:AF2691)*'Mark Up Validation'!$M$175</f>
        <v>0</v>
      </c>
      <c r="AH2692" s="638"/>
      <c r="AI2692" s="698">
        <f>SUM(AH1972:AH1976)/1.18-SUM(AH2687:AH2691)*'Mark Up Validation'!$M$175</f>
        <v>0</v>
      </c>
      <c r="AJ2692" s="65"/>
      <c r="AV2692" s="56"/>
    </row>
    <row r="2693" spans="2:48" ht="13.5" hidden="1" customHeight="1" outlineLevel="2" thickBot="1">
      <c r="B2693" s="82"/>
      <c r="C2693" s="1228" t="s">
        <v>538</v>
      </c>
      <c r="D2693" s="1229"/>
      <c r="E2693" s="699"/>
      <c r="F2693" s="700"/>
      <c r="G2693" s="701"/>
      <c r="H2693" s="700"/>
      <c r="I2693" s="701"/>
      <c r="J2693" s="700"/>
      <c r="K2693" s="702"/>
      <c r="L2693" s="700"/>
      <c r="M2693" s="702"/>
      <c r="N2693" s="700"/>
      <c r="O2693" s="702"/>
      <c r="P2693" s="700"/>
      <c r="Q2693" s="702"/>
      <c r="R2693" s="703"/>
      <c r="S2693" s="729">
        <f>IF(S2692&gt;0,S2692/(SUM(R1972:R1976)/1.18),0)</f>
        <v>0</v>
      </c>
      <c r="T2693" s="700"/>
      <c r="U2693" s="702"/>
      <c r="V2693" s="700"/>
      <c r="W2693" s="702"/>
      <c r="X2693" s="700"/>
      <c r="Y2693" s="702"/>
      <c r="Z2693" s="700"/>
      <c r="AA2693" s="702"/>
      <c r="AB2693" s="700"/>
      <c r="AC2693" s="702"/>
      <c r="AD2693" s="700"/>
      <c r="AE2693" s="702"/>
      <c r="AF2693" s="705"/>
      <c r="AG2693" s="729">
        <f>IF(AG2692&gt;0,AG2692/(SUM(AF1972:AF1976)/1.18),0)</f>
        <v>0</v>
      </c>
      <c r="AH2693" s="706"/>
      <c r="AI2693" s="729">
        <f>IF(AI2692&gt;0,AI2692/(SUM(AH1972:AH1976)/1.18),0)</f>
        <v>0</v>
      </c>
      <c r="AJ2693" s="65"/>
      <c r="AV2693" s="56"/>
    </row>
    <row r="2694" spans="2:48" ht="12.75" hidden="1" customHeight="1" outlineLevel="2">
      <c r="B2694" s="82">
        <f>B2687+1</f>
        <v>76</v>
      </c>
      <c r="C2694" s="1230">
        <f>C1979</f>
        <v>0</v>
      </c>
      <c r="D2694" s="1230">
        <f>D1979</f>
        <v>0</v>
      </c>
      <c r="E2694" s="83" t="str">
        <f>'Terms and Turnovers'!$J$12</f>
        <v>FLIP-FLOPS</v>
      </c>
      <c r="F2694" s="68">
        <f>F1979/'Terms and Turnovers'!$J207</f>
        <v>0</v>
      </c>
      <c r="G2694" s="106"/>
      <c r="H2694" s="68">
        <f>H1979/'Terms and Turnovers'!$J207</f>
        <v>0</v>
      </c>
      <c r="I2694" s="106"/>
      <c r="J2694" s="68">
        <f>J1979/'Terms and Turnovers'!$J207</f>
        <v>0</v>
      </c>
      <c r="K2694" s="106"/>
      <c r="L2694" s="68">
        <f>L1979/'Terms and Turnovers'!$J207</f>
        <v>0</v>
      </c>
      <c r="M2694" s="106"/>
      <c r="N2694" s="68">
        <f>N1979/'Terms and Turnovers'!$J207</f>
        <v>0</v>
      </c>
      <c r="O2694" s="106"/>
      <c r="P2694" s="68">
        <f>P1979/'Terms and Turnovers'!$J207</f>
        <v>0</v>
      </c>
      <c r="Q2694" s="106"/>
      <c r="R2694" s="129">
        <f>SUM(F2694,H2694,J2694,L2694,N2694,P2694)</f>
        <v>0</v>
      </c>
      <c r="S2694" s="106"/>
      <c r="T2694" s="68">
        <f>T1979/'Terms and Turnovers'!$J207</f>
        <v>0</v>
      </c>
      <c r="U2694" s="106"/>
      <c r="V2694" s="68">
        <f>V1979/'Terms and Turnovers'!$J207</f>
        <v>0</v>
      </c>
      <c r="W2694" s="106"/>
      <c r="X2694" s="68">
        <f>X1979/'Terms and Turnovers'!$J207</f>
        <v>0</v>
      </c>
      <c r="Y2694" s="106"/>
      <c r="Z2694" s="68">
        <f>Z1979/'Terms and Turnovers'!$J207</f>
        <v>0</v>
      </c>
      <c r="AA2694" s="106"/>
      <c r="AB2694" s="68">
        <f>AB1979/'Terms and Turnovers'!$J207</f>
        <v>0</v>
      </c>
      <c r="AC2694" s="106"/>
      <c r="AD2694" s="68">
        <f>AD1979/'Terms and Turnovers'!$J207</f>
        <v>0</v>
      </c>
      <c r="AE2694" s="106"/>
      <c r="AF2694" s="129">
        <f>SUM(T2694,V2694,X2694,Z2694,AB2694,AD2694)</f>
        <v>0</v>
      </c>
      <c r="AG2694" s="106"/>
      <c r="AH2694" s="130">
        <f>SUM(AF2694,R2694)</f>
        <v>0</v>
      </c>
      <c r="AI2694" s="106"/>
      <c r="AJ2694" s="65"/>
      <c r="AV2694" s="56"/>
    </row>
    <row r="2695" spans="2:48" ht="12.75" hidden="1" customHeight="1" outlineLevel="2" thickBot="1">
      <c r="B2695" s="82"/>
      <c r="C2695" s="1231"/>
      <c r="D2695" s="1231"/>
      <c r="E2695" s="84" t="str">
        <f>'Terms and Turnovers'!$T$12</f>
        <v>ORIGINALS</v>
      </c>
      <c r="F2695" s="70">
        <f>F1980/'Terms and Turnovers'!$T207</f>
        <v>0</v>
      </c>
      <c r="G2695" s="728"/>
      <c r="H2695" s="70">
        <f>H1980/'Terms and Turnovers'!$T207</f>
        <v>0</v>
      </c>
      <c r="I2695" s="728"/>
      <c r="J2695" s="70">
        <f>J1980/'Terms and Turnovers'!$T207</f>
        <v>0</v>
      </c>
      <c r="K2695" s="728"/>
      <c r="L2695" s="70">
        <f>L1980/'Terms and Turnovers'!$T207</f>
        <v>0</v>
      </c>
      <c r="M2695" s="728"/>
      <c r="N2695" s="70">
        <f>N1980/'Terms and Turnovers'!$T207</f>
        <v>0</v>
      </c>
      <c r="O2695" s="728"/>
      <c r="P2695" s="70">
        <f>P1980/'Terms and Turnovers'!$T207</f>
        <v>0</v>
      </c>
      <c r="Q2695" s="728"/>
      <c r="R2695" s="132">
        <f>SUM(F2695,H2695,J2695,L2695,N2695,P2695)</f>
        <v>0</v>
      </c>
      <c r="S2695" s="728"/>
      <c r="T2695" s="70">
        <f>T1980/'Terms and Turnovers'!$T207</f>
        <v>0</v>
      </c>
      <c r="U2695" s="728"/>
      <c r="V2695" s="70">
        <f>V1980/'Terms and Turnovers'!$T207</f>
        <v>0</v>
      </c>
      <c r="W2695" s="728"/>
      <c r="X2695" s="70">
        <f>X1980/'Terms and Turnovers'!$T207</f>
        <v>0</v>
      </c>
      <c r="Y2695" s="728"/>
      <c r="Z2695" s="70">
        <f>Z1980/'Terms and Turnovers'!$T207</f>
        <v>0</v>
      </c>
      <c r="AA2695" s="728"/>
      <c r="AB2695" s="70">
        <f>AB1980/'Terms and Turnovers'!$T207</f>
        <v>0</v>
      </c>
      <c r="AC2695" s="728"/>
      <c r="AD2695" s="70">
        <f>AD1980/'Terms and Turnovers'!$T207</f>
        <v>0</v>
      </c>
      <c r="AE2695" s="728"/>
      <c r="AF2695" s="132">
        <f>SUM(T2695,V2695,X2695,Z2695,AB2695,AD2695)</f>
        <v>0</v>
      </c>
      <c r="AG2695" s="728"/>
      <c r="AH2695" s="133">
        <f>SUM(AF2695,R2695)</f>
        <v>0</v>
      </c>
      <c r="AI2695" s="728"/>
      <c r="AJ2695" s="65"/>
      <c r="AV2695" s="56"/>
    </row>
    <row r="2696" spans="2:48" ht="12.75" hidden="1" customHeight="1" outlineLevel="2">
      <c r="B2696" s="82"/>
      <c r="C2696" s="1231"/>
      <c r="D2696" s="1231"/>
      <c r="E2696" s="84" t="str">
        <f>'Terms and Turnovers'!$AD$12</f>
        <v>ACCESSORIES</v>
      </c>
      <c r="F2696" s="68">
        <f>F1981/'Terms and Turnovers'!$AD207</f>
        <v>0</v>
      </c>
      <c r="G2696" s="728"/>
      <c r="H2696" s="68">
        <f>H1981/'Terms and Turnovers'!$AD207</f>
        <v>0</v>
      </c>
      <c r="I2696" s="728"/>
      <c r="J2696" s="68">
        <f>J1981/'Terms and Turnovers'!$AD207</f>
        <v>0</v>
      </c>
      <c r="K2696" s="728"/>
      <c r="L2696" s="68">
        <f>L1981/'Terms and Turnovers'!$AD207</f>
        <v>0</v>
      </c>
      <c r="M2696" s="728"/>
      <c r="N2696" s="68">
        <f>N1981/'Terms and Turnovers'!$AD207</f>
        <v>0</v>
      </c>
      <c r="O2696" s="728"/>
      <c r="P2696" s="68">
        <f>P1981/'Terms and Turnovers'!$AD207</f>
        <v>0</v>
      </c>
      <c r="Q2696" s="728"/>
      <c r="R2696" s="132">
        <f>SUM(F2696,H2696,J2696,L2696,N2696,P2696)</f>
        <v>0</v>
      </c>
      <c r="S2696" s="728"/>
      <c r="T2696" s="68">
        <f>T1981/'Terms and Turnovers'!$AD207</f>
        <v>0</v>
      </c>
      <c r="U2696" s="728"/>
      <c r="V2696" s="68">
        <f>V1981/'Terms and Turnovers'!$AD207</f>
        <v>0</v>
      </c>
      <c r="W2696" s="728"/>
      <c r="X2696" s="68">
        <f>X1981/'Terms and Turnovers'!$AD207</f>
        <v>0</v>
      </c>
      <c r="Y2696" s="728"/>
      <c r="Z2696" s="68">
        <f>Z1981/'Terms and Turnovers'!$AD207</f>
        <v>0</v>
      </c>
      <c r="AA2696" s="728"/>
      <c r="AB2696" s="68">
        <f>AB1981/'Terms and Turnovers'!$AD207</f>
        <v>0</v>
      </c>
      <c r="AC2696" s="728"/>
      <c r="AD2696" s="68">
        <f>AD1981/'Terms and Turnovers'!$AD207</f>
        <v>0</v>
      </c>
      <c r="AE2696" s="728"/>
      <c r="AF2696" s="132">
        <f>SUM(T2696,V2696,X2696,Z2696,AB2696,AD2696)</f>
        <v>0</v>
      </c>
      <c r="AG2696" s="728"/>
      <c r="AH2696" s="133">
        <f>SUM(AF2696,R2696)</f>
        <v>0</v>
      </c>
      <c r="AI2696" s="728"/>
      <c r="AJ2696" s="65"/>
      <c r="AV2696" s="56"/>
    </row>
    <row r="2697" spans="2:48" ht="12.75" hidden="1" customHeight="1" outlineLevel="2" thickBot="1">
      <c r="B2697" s="82"/>
      <c r="C2697" s="1231"/>
      <c r="D2697" s="1231"/>
      <c r="E2697" s="84">
        <f>'Terms and Turnovers'!$AN$12</f>
        <v>0</v>
      </c>
      <c r="F2697" s="70">
        <f>F1982/'Terms and Turnovers'!$AN207</f>
        <v>0</v>
      </c>
      <c r="G2697" s="728"/>
      <c r="H2697" s="70">
        <f>H1982/'Terms and Turnovers'!$AN207</f>
        <v>0</v>
      </c>
      <c r="I2697" s="728"/>
      <c r="J2697" s="70">
        <f>J1982/'Terms and Turnovers'!$AN207</f>
        <v>0</v>
      </c>
      <c r="K2697" s="728"/>
      <c r="L2697" s="70">
        <f>L1982/'Terms and Turnovers'!$AN207</f>
        <v>0</v>
      </c>
      <c r="M2697" s="728"/>
      <c r="N2697" s="70">
        <f>N1982/'Terms and Turnovers'!$AN207</f>
        <v>0</v>
      </c>
      <c r="O2697" s="728"/>
      <c r="P2697" s="70">
        <f>P1982/'Terms and Turnovers'!$AN207</f>
        <v>0</v>
      </c>
      <c r="Q2697" s="728"/>
      <c r="R2697" s="132">
        <f>SUM(F2697,H2697,J2697,L2697,N2697,P2697)</f>
        <v>0</v>
      </c>
      <c r="S2697" s="728"/>
      <c r="T2697" s="70">
        <f>T1982/'Terms and Turnovers'!$AN207</f>
        <v>0</v>
      </c>
      <c r="U2697" s="728"/>
      <c r="V2697" s="70">
        <f>V1982/'Terms and Turnovers'!$AN207</f>
        <v>0</v>
      </c>
      <c r="W2697" s="728"/>
      <c r="X2697" s="70">
        <f>X1982/'Terms and Turnovers'!$AN207</f>
        <v>0</v>
      </c>
      <c r="Y2697" s="728"/>
      <c r="Z2697" s="70">
        <f>Z1982/'Terms and Turnovers'!$AN207</f>
        <v>0</v>
      </c>
      <c r="AA2697" s="728"/>
      <c r="AB2697" s="70">
        <f>AB1982/'Terms and Turnovers'!$AN207</f>
        <v>0</v>
      </c>
      <c r="AC2697" s="728"/>
      <c r="AD2697" s="70">
        <f>AD1982/'Terms and Turnovers'!$AN207</f>
        <v>0</v>
      </c>
      <c r="AE2697" s="728"/>
      <c r="AF2697" s="132">
        <f>SUM(T2697,V2697,X2697,Z2697,AB2697,AD2697)</f>
        <v>0</v>
      </c>
      <c r="AG2697" s="728"/>
      <c r="AH2697" s="133">
        <f>SUM(AF2697,R2697)</f>
        <v>0</v>
      </c>
      <c r="AI2697" s="728"/>
      <c r="AJ2697" s="65"/>
      <c r="AV2697" s="56"/>
    </row>
    <row r="2698" spans="2:48" ht="13.5" hidden="1" customHeight="1" outlineLevel="2" thickBot="1">
      <c r="B2698" s="82"/>
      <c r="C2698" s="1232"/>
      <c r="D2698" s="1232"/>
      <c r="E2698" s="85">
        <f>'Terms and Turnovers'!$AX$12</f>
        <v>0</v>
      </c>
      <c r="F2698" s="68">
        <f>F1983/'Terms and Turnovers'!$AX207</f>
        <v>0</v>
      </c>
      <c r="G2698" s="111"/>
      <c r="H2698" s="68">
        <f>H1983/'Terms and Turnovers'!$AX207</f>
        <v>0</v>
      </c>
      <c r="I2698" s="107"/>
      <c r="J2698" s="68">
        <f>J1983/'Terms and Turnovers'!$AX207</f>
        <v>0</v>
      </c>
      <c r="K2698" s="107"/>
      <c r="L2698" s="68">
        <f>L1983/'Terms and Turnovers'!$AX207</f>
        <v>0</v>
      </c>
      <c r="M2698" s="107"/>
      <c r="N2698" s="68">
        <f>N1983/'Terms and Turnovers'!$AX207</f>
        <v>0</v>
      </c>
      <c r="O2698" s="107"/>
      <c r="P2698" s="68">
        <f>P1983/'Terms and Turnovers'!$AX207</f>
        <v>0</v>
      </c>
      <c r="Q2698" s="107"/>
      <c r="R2698" s="135">
        <f>SUM(F2698,H2698,J2698,L2698,N2698,P2698)</f>
        <v>0</v>
      </c>
      <c r="S2698" s="107"/>
      <c r="T2698" s="68">
        <f>T1983/'Terms and Turnovers'!$AX207</f>
        <v>0</v>
      </c>
      <c r="U2698" s="111"/>
      <c r="V2698" s="68">
        <f>V1983/'Terms and Turnovers'!$AX207</f>
        <v>0</v>
      </c>
      <c r="W2698" s="107"/>
      <c r="X2698" s="68">
        <f>X1983/'Terms and Turnovers'!$AX207</f>
        <v>0</v>
      </c>
      <c r="Y2698" s="107"/>
      <c r="Z2698" s="68">
        <f>Z1983/'Terms and Turnovers'!$AX207</f>
        <v>0</v>
      </c>
      <c r="AA2698" s="107"/>
      <c r="AB2698" s="68">
        <f>AB1983/'Terms and Turnovers'!$AX207</f>
        <v>0</v>
      </c>
      <c r="AC2698" s="107"/>
      <c r="AD2698" s="68">
        <f>AD1983/'Terms and Turnovers'!$AX207</f>
        <v>0</v>
      </c>
      <c r="AE2698" s="107"/>
      <c r="AF2698" s="135">
        <f>SUM(T2698,V2698,X2698,Z2698,AB2698,AD2698)</f>
        <v>0</v>
      </c>
      <c r="AG2698" s="107"/>
      <c r="AH2698" s="136">
        <f>SUM(AF2698,R2698)</f>
        <v>0</v>
      </c>
      <c r="AI2698" s="107"/>
      <c r="AJ2698" s="65"/>
      <c r="AV2698" s="56"/>
    </row>
    <row r="2699" spans="2:48" ht="13.5" hidden="1" customHeight="1" outlineLevel="2">
      <c r="B2699" s="82"/>
      <c r="C2699" s="425"/>
      <c r="D2699" s="425"/>
      <c r="E2699" s="634"/>
      <c r="F2699" s="635"/>
      <c r="G2699" s="428"/>
      <c r="H2699" s="635"/>
      <c r="I2699" s="428"/>
      <c r="J2699" s="635"/>
      <c r="K2699" s="636"/>
      <c r="L2699" s="635"/>
      <c r="M2699" s="636"/>
      <c r="N2699" s="635"/>
      <c r="O2699" s="636"/>
      <c r="P2699" s="635"/>
      <c r="Q2699" s="636"/>
      <c r="R2699" s="637"/>
      <c r="S2699" s="698">
        <f>SUM(R1979:R1983)/1.18-(SUM(R2694:R2698)*'Mark Up Validation'!$M$175)</f>
        <v>0</v>
      </c>
      <c r="T2699" s="635"/>
      <c r="U2699" s="636"/>
      <c r="V2699" s="635"/>
      <c r="W2699" s="636"/>
      <c r="X2699" s="635"/>
      <c r="Y2699" s="636"/>
      <c r="Z2699" s="635"/>
      <c r="AA2699" s="636"/>
      <c r="AB2699" s="635"/>
      <c r="AC2699" s="636"/>
      <c r="AD2699" s="635"/>
      <c r="AE2699" s="636"/>
      <c r="AF2699" s="637"/>
      <c r="AG2699" s="698">
        <f>SUM(AF1979:AF1983)/1.18-SUM(AF2694:AF2698)*'Mark Up Validation'!$M$175</f>
        <v>0</v>
      </c>
      <c r="AH2699" s="638"/>
      <c r="AI2699" s="698">
        <f>SUM(AH1979:AH1983)/1.18-SUM(AH2694:AH2698)*'Mark Up Validation'!$M$175</f>
        <v>0</v>
      </c>
      <c r="AJ2699" s="65"/>
      <c r="AV2699" s="56"/>
    </row>
    <row r="2700" spans="2:48" ht="13.5" hidden="1" customHeight="1" outlineLevel="2" thickBot="1">
      <c r="B2700" s="82"/>
      <c r="C2700" s="1228" t="s">
        <v>538</v>
      </c>
      <c r="D2700" s="1229"/>
      <c r="E2700" s="699"/>
      <c r="F2700" s="700"/>
      <c r="G2700" s="701"/>
      <c r="H2700" s="700"/>
      <c r="I2700" s="701"/>
      <c r="J2700" s="700"/>
      <c r="K2700" s="702"/>
      <c r="L2700" s="700"/>
      <c r="M2700" s="702"/>
      <c r="N2700" s="700"/>
      <c r="O2700" s="702"/>
      <c r="P2700" s="700"/>
      <c r="Q2700" s="702"/>
      <c r="R2700" s="703"/>
      <c r="S2700" s="729">
        <f>IF(S2699&gt;0,S2699/(SUM(R1979:R1983)/1.18),0)</f>
        <v>0</v>
      </c>
      <c r="T2700" s="700"/>
      <c r="U2700" s="702"/>
      <c r="V2700" s="700"/>
      <c r="W2700" s="702"/>
      <c r="X2700" s="700"/>
      <c r="Y2700" s="702"/>
      <c r="Z2700" s="700"/>
      <c r="AA2700" s="702"/>
      <c r="AB2700" s="700"/>
      <c r="AC2700" s="702"/>
      <c r="AD2700" s="700"/>
      <c r="AE2700" s="702"/>
      <c r="AF2700" s="705"/>
      <c r="AG2700" s="729">
        <f>IF(AG2699&gt;0,AG2699/(SUM(AF1979:AF1983)/1.18),0)</f>
        <v>0</v>
      </c>
      <c r="AH2700" s="706"/>
      <c r="AI2700" s="729">
        <f>IF(AI2699&gt;0,AI2699/(SUM(AH1979:AH1983)/1.18),0)</f>
        <v>0</v>
      </c>
      <c r="AJ2700" s="65"/>
      <c r="AV2700" s="56"/>
    </row>
    <row r="2701" spans="2:48" ht="12.75" hidden="1" customHeight="1" outlineLevel="2">
      <c r="B2701" s="82">
        <f>B2694+1</f>
        <v>77</v>
      </c>
      <c r="C2701" s="1233">
        <f>C1986</f>
        <v>0</v>
      </c>
      <c r="D2701" s="1233">
        <f>D1986</f>
        <v>0</v>
      </c>
      <c r="E2701" s="83" t="str">
        <f>'Terms and Turnovers'!$J$12</f>
        <v>FLIP-FLOPS</v>
      </c>
      <c r="F2701" s="68">
        <f>F1986/'Terms and Turnovers'!$J208</f>
        <v>0</v>
      </c>
      <c r="G2701" s="106"/>
      <c r="H2701" s="68">
        <f>H1986/'Terms and Turnovers'!$J208</f>
        <v>0</v>
      </c>
      <c r="I2701" s="106"/>
      <c r="J2701" s="68">
        <f>J1986/'Terms and Turnovers'!$J208</f>
        <v>0</v>
      </c>
      <c r="K2701" s="106"/>
      <c r="L2701" s="68">
        <f>L1986/'Terms and Turnovers'!$J208</f>
        <v>0</v>
      </c>
      <c r="M2701" s="106"/>
      <c r="N2701" s="68">
        <f>N1986/'Terms and Turnovers'!$J208</f>
        <v>0</v>
      </c>
      <c r="O2701" s="106"/>
      <c r="P2701" s="68">
        <f>P1986/'Terms and Turnovers'!$J208</f>
        <v>0</v>
      </c>
      <c r="Q2701" s="106"/>
      <c r="R2701" s="129">
        <f>SUM(F2701,H2701,J2701,L2701,N2701,P2701)</f>
        <v>0</v>
      </c>
      <c r="S2701" s="106"/>
      <c r="T2701" s="68">
        <f>T1986/'Terms and Turnovers'!$J208</f>
        <v>0</v>
      </c>
      <c r="U2701" s="106"/>
      <c r="V2701" s="68">
        <f>V1986/'Terms and Turnovers'!$J208</f>
        <v>0</v>
      </c>
      <c r="W2701" s="106"/>
      <c r="X2701" s="68">
        <f>X1986/'Terms and Turnovers'!$J208</f>
        <v>0</v>
      </c>
      <c r="Y2701" s="106"/>
      <c r="Z2701" s="68">
        <f>Z1986/'Terms and Turnovers'!$J208</f>
        <v>0</v>
      </c>
      <c r="AA2701" s="106"/>
      <c r="AB2701" s="68">
        <f>AB1986/'Terms and Turnovers'!$J208</f>
        <v>0</v>
      </c>
      <c r="AC2701" s="106"/>
      <c r="AD2701" s="68">
        <f>AD1986/'Terms and Turnovers'!$J208</f>
        <v>0</v>
      </c>
      <c r="AE2701" s="106"/>
      <c r="AF2701" s="129">
        <f>SUM(T2701,V2701,X2701,Z2701,AB2701,AD2701)</f>
        <v>0</v>
      </c>
      <c r="AG2701" s="106"/>
      <c r="AH2701" s="130">
        <f>SUM(AF2701,R2701)</f>
        <v>0</v>
      </c>
      <c r="AI2701" s="106"/>
      <c r="AJ2701" s="65"/>
      <c r="AV2701" s="56"/>
    </row>
    <row r="2702" spans="2:48" ht="12.75" hidden="1" customHeight="1" outlineLevel="2" thickBot="1">
      <c r="B2702" s="82"/>
      <c r="C2702" s="1234"/>
      <c r="D2702" s="1234"/>
      <c r="E2702" s="84" t="str">
        <f>'Terms and Turnovers'!$T$12</f>
        <v>ORIGINALS</v>
      </c>
      <c r="F2702" s="70">
        <f>F1987/'Terms and Turnovers'!$T208</f>
        <v>0</v>
      </c>
      <c r="G2702" s="728"/>
      <c r="H2702" s="70">
        <f>H1987/'Terms and Turnovers'!$T208</f>
        <v>0</v>
      </c>
      <c r="I2702" s="728"/>
      <c r="J2702" s="70">
        <f>J1987/'Terms and Turnovers'!$T208</f>
        <v>0</v>
      </c>
      <c r="K2702" s="728"/>
      <c r="L2702" s="70">
        <f>L1987/'Terms and Turnovers'!$T208</f>
        <v>0</v>
      </c>
      <c r="M2702" s="728"/>
      <c r="N2702" s="70">
        <f>N1987/'Terms and Turnovers'!$T208</f>
        <v>0</v>
      </c>
      <c r="O2702" s="728"/>
      <c r="P2702" s="70">
        <f>P1987/'Terms and Turnovers'!$T208</f>
        <v>0</v>
      </c>
      <c r="Q2702" s="728"/>
      <c r="R2702" s="132">
        <f>SUM(F2702,H2702,J2702,L2702,N2702,P2702)</f>
        <v>0</v>
      </c>
      <c r="S2702" s="728"/>
      <c r="T2702" s="70">
        <f>T1987/'Terms and Turnovers'!$T208</f>
        <v>0</v>
      </c>
      <c r="U2702" s="728"/>
      <c r="V2702" s="70">
        <f>V1987/'Terms and Turnovers'!$T208</f>
        <v>0</v>
      </c>
      <c r="W2702" s="728"/>
      <c r="X2702" s="70">
        <f>X1987/'Terms and Turnovers'!$T208</f>
        <v>0</v>
      </c>
      <c r="Y2702" s="728"/>
      <c r="Z2702" s="70">
        <f>Z1987/'Terms and Turnovers'!$T208</f>
        <v>0</v>
      </c>
      <c r="AA2702" s="728"/>
      <c r="AB2702" s="70">
        <f>AB1987/'Terms and Turnovers'!$T208</f>
        <v>0</v>
      </c>
      <c r="AC2702" s="728"/>
      <c r="AD2702" s="70">
        <f>AD1987/'Terms and Turnovers'!$T208</f>
        <v>0</v>
      </c>
      <c r="AE2702" s="728"/>
      <c r="AF2702" s="132">
        <f>SUM(T2702,V2702,X2702,Z2702,AB2702,AD2702)</f>
        <v>0</v>
      </c>
      <c r="AG2702" s="728"/>
      <c r="AH2702" s="133">
        <f>SUM(AF2702,R2702)</f>
        <v>0</v>
      </c>
      <c r="AI2702" s="728"/>
      <c r="AJ2702" s="65"/>
      <c r="AV2702" s="56"/>
    </row>
    <row r="2703" spans="2:48" ht="12.75" hidden="1" customHeight="1" outlineLevel="2">
      <c r="B2703" s="82"/>
      <c r="C2703" s="1234"/>
      <c r="D2703" s="1234"/>
      <c r="E2703" s="84" t="str">
        <f>'Terms and Turnovers'!$AD$12</f>
        <v>ACCESSORIES</v>
      </c>
      <c r="F2703" s="68">
        <f>F1988/'Terms and Turnovers'!$AD208</f>
        <v>0</v>
      </c>
      <c r="G2703" s="728"/>
      <c r="H2703" s="68">
        <f>H1988/'Terms and Turnovers'!$AD208</f>
        <v>0</v>
      </c>
      <c r="I2703" s="728"/>
      <c r="J2703" s="68">
        <f>J1988/'Terms and Turnovers'!$AD208</f>
        <v>0</v>
      </c>
      <c r="K2703" s="728"/>
      <c r="L2703" s="68">
        <f>L1988/'Terms and Turnovers'!$AD208</f>
        <v>0</v>
      </c>
      <c r="M2703" s="728"/>
      <c r="N2703" s="68">
        <f>N1988/'Terms and Turnovers'!$AD208</f>
        <v>0</v>
      </c>
      <c r="O2703" s="728"/>
      <c r="P2703" s="68">
        <f>P1988/'Terms and Turnovers'!$AD208</f>
        <v>0</v>
      </c>
      <c r="Q2703" s="728"/>
      <c r="R2703" s="132">
        <f>SUM(F2703,H2703,J2703,L2703,N2703,P2703)</f>
        <v>0</v>
      </c>
      <c r="S2703" s="728"/>
      <c r="T2703" s="68">
        <f>T1988/'Terms and Turnovers'!$AD208</f>
        <v>0</v>
      </c>
      <c r="U2703" s="728"/>
      <c r="V2703" s="68">
        <f>V1988/'Terms and Turnovers'!$AD208</f>
        <v>0</v>
      </c>
      <c r="W2703" s="728"/>
      <c r="X2703" s="68">
        <f>X1988/'Terms and Turnovers'!$AD208</f>
        <v>0</v>
      </c>
      <c r="Y2703" s="728"/>
      <c r="Z2703" s="68">
        <f>Z1988/'Terms and Turnovers'!$AD208</f>
        <v>0</v>
      </c>
      <c r="AA2703" s="728"/>
      <c r="AB2703" s="68">
        <f>AB1988/'Terms and Turnovers'!$AD208</f>
        <v>0</v>
      </c>
      <c r="AC2703" s="728"/>
      <c r="AD2703" s="68">
        <f>AD1988/'Terms and Turnovers'!$AD208</f>
        <v>0</v>
      </c>
      <c r="AE2703" s="728"/>
      <c r="AF2703" s="132">
        <f>SUM(T2703,V2703,X2703,Z2703,AB2703,AD2703)</f>
        <v>0</v>
      </c>
      <c r="AG2703" s="728"/>
      <c r="AH2703" s="133">
        <f>SUM(AF2703,R2703)</f>
        <v>0</v>
      </c>
      <c r="AI2703" s="728"/>
      <c r="AJ2703" s="65"/>
      <c r="AV2703" s="56"/>
    </row>
    <row r="2704" spans="2:48" ht="12.75" hidden="1" customHeight="1" outlineLevel="2" thickBot="1">
      <c r="B2704" s="82"/>
      <c r="C2704" s="1234"/>
      <c r="D2704" s="1234"/>
      <c r="E2704" s="84">
        <f>'Terms and Turnovers'!$AN$12</f>
        <v>0</v>
      </c>
      <c r="F2704" s="70">
        <f>F1989/'Terms and Turnovers'!$AN208</f>
        <v>0</v>
      </c>
      <c r="G2704" s="728"/>
      <c r="H2704" s="70">
        <f>H1989/'Terms and Turnovers'!$AN208</f>
        <v>0</v>
      </c>
      <c r="I2704" s="728"/>
      <c r="J2704" s="70">
        <f>J1989/'Terms and Turnovers'!$AN208</f>
        <v>0</v>
      </c>
      <c r="K2704" s="728"/>
      <c r="L2704" s="70">
        <f>L1989/'Terms and Turnovers'!$AN208</f>
        <v>0</v>
      </c>
      <c r="M2704" s="728"/>
      <c r="N2704" s="70">
        <f>N1989/'Terms and Turnovers'!$AN208</f>
        <v>0</v>
      </c>
      <c r="O2704" s="728"/>
      <c r="P2704" s="70">
        <f>P1989/'Terms and Turnovers'!$AN208</f>
        <v>0</v>
      </c>
      <c r="Q2704" s="728"/>
      <c r="R2704" s="132">
        <f>SUM(F2704,H2704,J2704,L2704,N2704,P2704)</f>
        <v>0</v>
      </c>
      <c r="S2704" s="728"/>
      <c r="T2704" s="70">
        <f>T1989/'Terms and Turnovers'!$AN208</f>
        <v>0</v>
      </c>
      <c r="U2704" s="728"/>
      <c r="V2704" s="70">
        <f>V1989/'Terms and Turnovers'!$AN208</f>
        <v>0</v>
      </c>
      <c r="W2704" s="728"/>
      <c r="X2704" s="70">
        <f>X1989/'Terms and Turnovers'!$AN208</f>
        <v>0</v>
      </c>
      <c r="Y2704" s="728"/>
      <c r="Z2704" s="70">
        <f>Z1989/'Terms and Turnovers'!$AN208</f>
        <v>0</v>
      </c>
      <c r="AA2704" s="728"/>
      <c r="AB2704" s="70">
        <f>AB1989/'Terms and Turnovers'!$AN208</f>
        <v>0</v>
      </c>
      <c r="AC2704" s="728"/>
      <c r="AD2704" s="70">
        <f>AD1989/'Terms and Turnovers'!$AN208</f>
        <v>0</v>
      </c>
      <c r="AE2704" s="728"/>
      <c r="AF2704" s="132">
        <f>SUM(T2704,V2704,X2704,Z2704,AB2704,AD2704)</f>
        <v>0</v>
      </c>
      <c r="AG2704" s="728"/>
      <c r="AH2704" s="133">
        <f>SUM(AF2704,R2704)</f>
        <v>0</v>
      </c>
      <c r="AI2704" s="728"/>
      <c r="AJ2704" s="65"/>
      <c r="AV2704" s="56"/>
    </row>
    <row r="2705" spans="2:48" ht="13.5" hidden="1" customHeight="1" outlineLevel="2" thickBot="1">
      <c r="B2705" s="82"/>
      <c r="C2705" s="1235"/>
      <c r="D2705" s="1235"/>
      <c r="E2705" s="85">
        <f>'Terms and Turnovers'!$AX$12</f>
        <v>0</v>
      </c>
      <c r="F2705" s="68">
        <f>F1990/'Terms and Turnovers'!$AX208</f>
        <v>0</v>
      </c>
      <c r="G2705" s="111"/>
      <c r="H2705" s="68">
        <f>H1990/'Terms and Turnovers'!$AX208</f>
        <v>0</v>
      </c>
      <c r="I2705" s="107"/>
      <c r="J2705" s="68">
        <f>J1990/'Terms and Turnovers'!$AX208</f>
        <v>0</v>
      </c>
      <c r="K2705" s="107"/>
      <c r="L2705" s="68">
        <f>L1990/'Terms and Turnovers'!$AX208</f>
        <v>0</v>
      </c>
      <c r="M2705" s="107"/>
      <c r="N2705" s="68">
        <f>N1990/'Terms and Turnovers'!$AX208</f>
        <v>0</v>
      </c>
      <c r="O2705" s="107"/>
      <c r="P2705" s="68">
        <f>P1990/'Terms and Turnovers'!$AX208</f>
        <v>0</v>
      </c>
      <c r="Q2705" s="107"/>
      <c r="R2705" s="135">
        <f>SUM(F2705,H2705,J2705,L2705,N2705,P2705)</f>
        <v>0</v>
      </c>
      <c r="S2705" s="107"/>
      <c r="T2705" s="68">
        <f>T1990/'Terms and Turnovers'!$AX208</f>
        <v>0</v>
      </c>
      <c r="U2705" s="111"/>
      <c r="V2705" s="68">
        <f>V1990/'Terms and Turnovers'!$AX208</f>
        <v>0</v>
      </c>
      <c r="W2705" s="107"/>
      <c r="X2705" s="68">
        <f>X1990/'Terms and Turnovers'!$AX208</f>
        <v>0</v>
      </c>
      <c r="Y2705" s="107"/>
      <c r="Z2705" s="68">
        <f>Z1990/'Terms and Turnovers'!$AX208</f>
        <v>0</v>
      </c>
      <c r="AA2705" s="107"/>
      <c r="AB2705" s="68">
        <f>AB1990/'Terms and Turnovers'!$AX208</f>
        <v>0</v>
      </c>
      <c r="AC2705" s="107"/>
      <c r="AD2705" s="68">
        <f>AD1990/'Terms and Turnovers'!$AX208</f>
        <v>0</v>
      </c>
      <c r="AE2705" s="107"/>
      <c r="AF2705" s="135">
        <f>SUM(T2705,V2705,X2705,Z2705,AB2705,AD2705)</f>
        <v>0</v>
      </c>
      <c r="AG2705" s="107"/>
      <c r="AH2705" s="136">
        <f>SUM(AF2705,R2705)</f>
        <v>0</v>
      </c>
      <c r="AI2705" s="107"/>
      <c r="AJ2705" s="65"/>
      <c r="AV2705" s="56"/>
    </row>
    <row r="2706" spans="2:48" ht="13.5" hidden="1" customHeight="1" outlineLevel="2">
      <c r="B2706" s="82"/>
      <c r="C2706" s="425"/>
      <c r="D2706" s="425"/>
      <c r="E2706" s="634"/>
      <c r="F2706" s="635"/>
      <c r="G2706" s="428"/>
      <c r="H2706" s="635"/>
      <c r="I2706" s="428"/>
      <c r="J2706" s="635"/>
      <c r="K2706" s="636"/>
      <c r="L2706" s="635"/>
      <c r="M2706" s="636"/>
      <c r="N2706" s="635"/>
      <c r="O2706" s="636"/>
      <c r="P2706" s="635"/>
      <c r="Q2706" s="636"/>
      <c r="R2706" s="637"/>
      <c r="S2706" s="698">
        <f>SUM(R1986:R1990)/1.18-(SUM(R2701:R2705)*'Mark Up Validation'!$M$175)</f>
        <v>0</v>
      </c>
      <c r="T2706" s="635"/>
      <c r="U2706" s="636"/>
      <c r="V2706" s="635"/>
      <c r="W2706" s="636"/>
      <c r="X2706" s="635"/>
      <c r="Y2706" s="636"/>
      <c r="Z2706" s="635"/>
      <c r="AA2706" s="636"/>
      <c r="AB2706" s="635"/>
      <c r="AC2706" s="636"/>
      <c r="AD2706" s="635"/>
      <c r="AE2706" s="636"/>
      <c r="AF2706" s="637"/>
      <c r="AG2706" s="698">
        <f>SUM(AF1986:AF1990)/1.18-SUM(AF2701:AF2705)*'Mark Up Validation'!$M$175</f>
        <v>0</v>
      </c>
      <c r="AH2706" s="638"/>
      <c r="AI2706" s="698">
        <f>SUM(AH1986:AH1990)/1.18-SUM(AH2701:AH2705)*'Mark Up Validation'!$M$175</f>
        <v>0</v>
      </c>
      <c r="AJ2706" s="65"/>
      <c r="AV2706" s="56"/>
    </row>
    <row r="2707" spans="2:48" ht="13.5" hidden="1" customHeight="1" outlineLevel="2" thickBot="1">
      <c r="B2707" s="82"/>
      <c r="C2707" s="1228" t="s">
        <v>538</v>
      </c>
      <c r="D2707" s="1229"/>
      <c r="E2707" s="699"/>
      <c r="F2707" s="700"/>
      <c r="G2707" s="701"/>
      <c r="H2707" s="700"/>
      <c r="I2707" s="701"/>
      <c r="J2707" s="700"/>
      <c r="K2707" s="702"/>
      <c r="L2707" s="700"/>
      <c r="M2707" s="702"/>
      <c r="N2707" s="700"/>
      <c r="O2707" s="702"/>
      <c r="P2707" s="700"/>
      <c r="Q2707" s="702"/>
      <c r="R2707" s="703"/>
      <c r="S2707" s="729">
        <f>IF(S2706&gt;0,S2706/(SUM(R1986:R1990)/1.18),0)</f>
        <v>0</v>
      </c>
      <c r="T2707" s="700"/>
      <c r="U2707" s="702"/>
      <c r="V2707" s="700"/>
      <c r="W2707" s="702"/>
      <c r="X2707" s="700"/>
      <c r="Y2707" s="702"/>
      <c r="Z2707" s="700"/>
      <c r="AA2707" s="702"/>
      <c r="AB2707" s="700"/>
      <c r="AC2707" s="702"/>
      <c r="AD2707" s="700"/>
      <c r="AE2707" s="702"/>
      <c r="AF2707" s="705"/>
      <c r="AG2707" s="729">
        <f>IF(AG2706&gt;0,AG2706/(SUM(AF1986:AF1990)/1.18),0)</f>
        <v>0</v>
      </c>
      <c r="AH2707" s="706"/>
      <c r="AI2707" s="729">
        <f>IF(AI2706&gt;0,AI2706/(SUM(AH1986:AH1990)/1.18),0)</f>
        <v>0</v>
      </c>
      <c r="AJ2707" s="65"/>
      <c r="AV2707" s="56"/>
    </row>
    <row r="2708" spans="2:48" ht="12.75" hidden="1" customHeight="1" outlineLevel="2">
      <c r="B2708" s="82">
        <f>B2701+1</f>
        <v>78</v>
      </c>
      <c r="C2708" s="1230">
        <f>C1993</f>
        <v>0</v>
      </c>
      <c r="D2708" s="1230">
        <f>D1993</f>
        <v>0</v>
      </c>
      <c r="E2708" s="83" t="str">
        <f>'Terms and Turnovers'!$J$12</f>
        <v>FLIP-FLOPS</v>
      </c>
      <c r="F2708" s="68">
        <f>F1993/'Terms and Turnovers'!$J209</f>
        <v>0</v>
      </c>
      <c r="G2708" s="106"/>
      <c r="H2708" s="68">
        <f>H1993/'Terms and Turnovers'!$J209</f>
        <v>0</v>
      </c>
      <c r="I2708" s="106"/>
      <c r="J2708" s="68">
        <f>J1993/'Terms and Turnovers'!$J209</f>
        <v>0</v>
      </c>
      <c r="K2708" s="106"/>
      <c r="L2708" s="68">
        <f>L1993/'Terms and Turnovers'!$J209</f>
        <v>0</v>
      </c>
      <c r="M2708" s="106"/>
      <c r="N2708" s="68">
        <f>N1993/'Terms and Turnovers'!$J209</f>
        <v>0</v>
      </c>
      <c r="O2708" s="106"/>
      <c r="P2708" s="68">
        <f>P1993/'Terms and Turnovers'!$J209</f>
        <v>0</v>
      </c>
      <c r="Q2708" s="106"/>
      <c r="R2708" s="129">
        <f>SUM(F2708,H2708,J2708,L2708,N2708,P2708)</f>
        <v>0</v>
      </c>
      <c r="S2708" s="106"/>
      <c r="T2708" s="68">
        <f>T1993/'Terms and Turnovers'!$J209</f>
        <v>0</v>
      </c>
      <c r="U2708" s="106"/>
      <c r="V2708" s="68">
        <f>V1993/'Terms and Turnovers'!$J209</f>
        <v>0</v>
      </c>
      <c r="W2708" s="106"/>
      <c r="X2708" s="68">
        <f>X1993/'Terms and Turnovers'!$J209</f>
        <v>0</v>
      </c>
      <c r="Y2708" s="106"/>
      <c r="Z2708" s="68">
        <f>Z1993/'Terms and Turnovers'!$J209</f>
        <v>0</v>
      </c>
      <c r="AA2708" s="106"/>
      <c r="AB2708" s="68">
        <f>AB1993/'Terms and Turnovers'!$J209</f>
        <v>0</v>
      </c>
      <c r="AC2708" s="106"/>
      <c r="AD2708" s="68">
        <f>AD1993/'Terms and Turnovers'!$J209</f>
        <v>0</v>
      </c>
      <c r="AE2708" s="106"/>
      <c r="AF2708" s="129">
        <f>SUM(T2708,V2708,X2708,Z2708,AB2708,AD2708)</f>
        <v>0</v>
      </c>
      <c r="AG2708" s="106"/>
      <c r="AH2708" s="130">
        <f>SUM(AF2708,R2708)</f>
        <v>0</v>
      </c>
      <c r="AI2708" s="106"/>
      <c r="AJ2708" s="65"/>
      <c r="AV2708" s="56"/>
    </row>
    <row r="2709" spans="2:48" ht="12.75" hidden="1" customHeight="1" outlineLevel="2" thickBot="1">
      <c r="B2709" s="82"/>
      <c r="C2709" s="1231"/>
      <c r="D2709" s="1231"/>
      <c r="E2709" s="84" t="str">
        <f>'Terms and Turnovers'!$T$12</f>
        <v>ORIGINALS</v>
      </c>
      <c r="F2709" s="70">
        <f>F1994/'Terms and Turnovers'!$T209</f>
        <v>0</v>
      </c>
      <c r="G2709" s="728"/>
      <c r="H2709" s="70">
        <f>H1994/'Terms and Turnovers'!$T209</f>
        <v>0</v>
      </c>
      <c r="I2709" s="728"/>
      <c r="J2709" s="70">
        <f>J1994/'Terms and Turnovers'!$T209</f>
        <v>0</v>
      </c>
      <c r="K2709" s="728"/>
      <c r="L2709" s="70">
        <f>L1994/'Terms and Turnovers'!$T209</f>
        <v>0</v>
      </c>
      <c r="M2709" s="728"/>
      <c r="N2709" s="70">
        <f>N1994/'Terms and Turnovers'!$T209</f>
        <v>0</v>
      </c>
      <c r="O2709" s="728"/>
      <c r="P2709" s="70">
        <f>P1994/'Terms and Turnovers'!$T209</f>
        <v>0</v>
      </c>
      <c r="Q2709" s="728"/>
      <c r="R2709" s="132">
        <f>SUM(F2709,H2709,J2709,L2709,N2709,P2709)</f>
        <v>0</v>
      </c>
      <c r="S2709" s="728"/>
      <c r="T2709" s="70">
        <f>T1994/'Terms and Turnovers'!$T209</f>
        <v>0</v>
      </c>
      <c r="U2709" s="728"/>
      <c r="V2709" s="70">
        <f>V1994/'Terms and Turnovers'!$T209</f>
        <v>0</v>
      </c>
      <c r="W2709" s="728"/>
      <c r="X2709" s="70">
        <f>X1994/'Terms and Turnovers'!$T209</f>
        <v>0</v>
      </c>
      <c r="Y2709" s="728"/>
      <c r="Z2709" s="70">
        <f>Z1994/'Terms and Turnovers'!$T209</f>
        <v>0</v>
      </c>
      <c r="AA2709" s="728"/>
      <c r="AB2709" s="70">
        <f>AB1994/'Terms and Turnovers'!$T209</f>
        <v>0</v>
      </c>
      <c r="AC2709" s="728"/>
      <c r="AD2709" s="70">
        <f>AD1994/'Terms and Turnovers'!$T209</f>
        <v>0</v>
      </c>
      <c r="AE2709" s="728"/>
      <c r="AF2709" s="132">
        <f>SUM(T2709,V2709,X2709,Z2709,AB2709,AD2709)</f>
        <v>0</v>
      </c>
      <c r="AG2709" s="728"/>
      <c r="AH2709" s="133">
        <f>SUM(AF2709,R2709)</f>
        <v>0</v>
      </c>
      <c r="AI2709" s="728"/>
      <c r="AJ2709" s="65"/>
      <c r="AV2709" s="56"/>
    </row>
    <row r="2710" spans="2:48" ht="12.75" hidden="1" customHeight="1" outlineLevel="2">
      <c r="B2710" s="82"/>
      <c r="C2710" s="1231"/>
      <c r="D2710" s="1231"/>
      <c r="E2710" s="84" t="str">
        <f>'Terms and Turnovers'!$AD$12</f>
        <v>ACCESSORIES</v>
      </c>
      <c r="F2710" s="68">
        <f>F1995/'Terms and Turnovers'!$AD209</f>
        <v>0</v>
      </c>
      <c r="G2710" s="728"/>
      <c r="H2710" s="68">
        <f>H1995/'Terms and Turnovers'!$AD209</f>
        <v>0</v>
      </c>
      <c r="I2710" s="728"/>
      <c r="J2710" s="68">
        <f>J1995/'Terms and Turnovers'!$AD209</f>
        <v>0</v>
      </c>
      <c r="K2710" s="728"/>
      <c r="L2710" s="68">
        <f>L1995/'Terms and Turnovers'!$AD209</f>
        <v>0</v>
      </c>
      <c r="M2710" s="728"/>
      <c r="N2710" s="68">
        <f>N1995/'Terms and Turnovers'!$AD209</f>
        <v>0</v>
      </c>
      <c r="O2710" s="728"/>
      <c r="P2710" s="68">
        <f>P1995/'Terms and Turnovers'!$AD209</f>
        <v>0</v>
      </c>
      <c r="Q2710" s="728"/>
      <c r="R2710" s="132">
        <f>SUM(F2710,H2710,J2710,L2710,N2710,P2710)</f>
        <v>0</v>
      </c>
      <c r="S2710" s="728"/>
      <c r="T2710" s="68">
        <f>T1995/'Terms and Turnovers'!$AD209</f>
        <v>0</v>
      </c>
      <c r="U2710" s="728"/>
      <c r="V2710" s="68">
        <f>V1995/'Terms and Turnovers'!$AD209</f>
        <v>0</v>
      </c>
      <c r="W2710" s="728"/>
      <c r="X2710" s="68">
        <f>X1995/'Terms and Turnovers'!$AD209</f>
        <v>0</v>
      </c>
      <c r="Y2710" s="728"/>
      <c r="Z2710" s="68">
        <f>Z1995/'Terms and Turnovers'!$AD209</f>
        <v>0</v>
      </c>
      <c r="AA2710" s="728"/>
      <c r="AB2710" s="68">
        <f>AB1995/'Terms and Turnovers'!$AD209</f>
        <v>0</v>
      </c>
      <c r="AC2710" s="728"/>
      <c r="AD2710" s="68">
        <f>AD1995/'Terms and Turnovers'!$AD209</f>
        <v>0</v>
      </c>
      <c r="AE2710" s="728"/>
      <c r="AF2710" s="132">
        <f>SUM(T2710,V2710,X2710,Z2710,AB2710,AD2710)</f>
        <v>0</v>
      </c>
      <c r="AG2710" s="728"/>
      <c r="AH2710" s="133">
        <f>SUM(AF2710,R2710)</f>
        <v>0</v>
      </c>
      <c r="AI2710" s="728"/>
      <c r="AJ2710" s="65"/>
      <c r="AV2710" s="56"/>
    </row>
    <row r="2711" spans="2:48" ht="12.75" hidden="1" customHeight="1" outlineLevel="2" thickBot="1">
      <c r="B2711" s="82"/>
      <c r="C2711" s="1231"/>
      <c r="D2711" s="1231"/>
      <c r="E2711" s="84">
        <f>'Terms and Turnovers'!$AN$12</f>
        <v>0</v>
      </c>
      <c r="F2711" s="70">
        <f>F1996/'Terms and Turnovers'!$AN209</f>
        <v>0</v>
      </c>
      <c r="G2711" s="728"/>
      <c r="H2711" s="70">
        <f>H1996/'Terms and Turnovers'!$AN209</f>
        <v>0</v>
      </c>
      <c r="I2711" s="728"/>
      <c r="J2711" s="70">
        <f>J1996/'Terms and Turnovers'!$AN209</f>
        <v>0</v>
      </c>
      <c r="K2711" s="728"/>
      <c r="L2711" s="70">
        <f>L1996/'Terms and Turnovers'!$AN209</f>
        <v>0</v>
      </c>
      <c r="M2711" s="728"/>
      <c r="N2711" s="70">
        <f>N1996/'Terms and Turnovers'!$AN209</f>
        <v>0</v>
      </c>
      <c r="O2711" s="728"/>
      <c r="P2711" s="70">
        <f>P1996/'Terms and Turnovers'!$AN209</f>
        <v>0</v>
      </c>
      <c r="Q2711" s="728"/>
      <c r="R2711" s="132">
        <f>SUM(F2711,H2711,J2711,L2711,N2711,P2711)</f>
        <v>0</v>
      </c>
      <c r="S2711" s="728"/>
      <c r="T2711" s="70">
        <f>T1996/'Terms and Turnovers'!$AN209</f>
        <v>0</v>
      </c>
      <c r="U2711" s="728"/>
      <c r="V2711" s="70">
        <f>V1996/'Terms and Turnovers'!$AN209</f>
        <v>0</v>
      </c>
      <c r="W2711" s="728"/>
      <c r="X2711" s="70">
        <f>X1996/'Terms and Turnovers'!$AN209</f>
        <v>0</v>
      </c>
      <c r="Y2711" s="728"/>
      <c r="Z2711" s="70">
        <f>Z1996/'Terms and Turnovers'!$AN209</f>
        <v>0</v>
      </c>
      <c r="AA2711" s="728"/>
      <c r="AB2711" s="70">
        <f>AB1996/'Terms and Turnovers'!$AN209</f>
        <v>0</v>
      </c>
      <c r="AC2711" s="728"/>
      <c r="AD2711" s="70">
        <f>AD1996/'Terms and Turnovers'!$AN209</f>
        <v>0</v>
      </c>
      <c r="AE2711" s="728"/>
      <c r="AF2711" s="132">
        <f>SUM(T2711,V2711,X2711,Z2711,AB2711,AD2711)</f>
        <v>0</v>
      </c>
      <c r="AG2711" s="728"/>
      <c r="AH2711" s="133">
        <f>SUM(AF2711,R2711)</f>
        <v>0</v>
      </c>
      <c r="AI2711" s="728"/>
      <c r="AJ2711" s="65"/>
      <c r="AV2711" s="56"/>
    </row>
    <row r="2712" spans="2:48" ht="13.5" hidden="1" customHeight="1" outlineLevel="2" thickBot="1">
      <c r="B2712" s="82"/>
      <c r="C2712" s="1232"/>
      <c r="D2712" s="1232"/>
      <c r="E2712" s="85">
        <f>'Terms and Turnovers'!$AX$12</f>
        <v>0</v>
      </c>
      <c r="F2712" s="68">
        <f>F1997/'Terms and Turnovers'!$AX209</f>
        <v>0</v>
      </c>
      <c r="G2712" s="111"/>
      <c r="H2712" s="68">
        <f>H1997/'Terms and Turnovers'!$AX209</f>
        <v>0</v>
      </c>
      <c r="I2712" s="107"/>
      <c r="J2712" s="68">
        <f>J1997/'Terms and Turnovers'!$AX209</f>
        <v>0</v>
      </c>
      <c r="K2712" s="107"/>
      <c r="L2712" s="68">
        <f>L1997/'Terms and Turnovers'!$AX209</f>
        <v>0</v>
      </c>
      <c r="M2712" s="107"/>
      <c r="N2712" s="68">
        <f>N1997/'Terms and Turnovers'!$AX209</f>
        <v>0</v>
      </c>
      <c r="O2712" s="107"/>
      <c r="P2712" s="68">
        <f>P1997/'Terms and Turnovers'!$AX209</f>
        <v>0</v>
      </c>
      <c r="Q2712" s="107"/>
      <c r="R2712" s="135">
        <f>SUM(F2712,H2712,J2712,L2712,N2712,P2712)</f>
        <v>0</v>
      </c>
      <c r="S2712" s="107"/>
      <c r="T2712" s="68">
        <f>T1997/'Terms and Turnovers'!$AX209</f>
        <v>0</v>
      </c>
      <c r="U2712" s="111"/>
      <c r="V2712" s="68">
        <f>V1997/'Terms and Turnovers'!$AX209</f>
        <v>0</v>
      </c>
      <c r="W2712" s="107"/>
      <c r="X2712" s="68">
        <f>X1997/'Terms and Turnovers'!$AX209</f>
        <v>0</v>
      </c>
      <c r="Y2712" s="107"/>
      <c r="Z2712" s="68">
        <f>Z1997/'Terms and Turnovers'!$AX209</f>
        <v>0</v>
      </c>
      <c r="AA2712" s="107"/>
      <c r="AB2712" s="68">
        <f>AB1997/'Terms and Turnovers'!$AX209</f>
        <v>0</v>
      </c>
      <c r="AC2712" s="107"/>
      <c r="AD2712" s="68">
        <f>AD1997/'Terms and Turnovers'!$AX209</f>
        <v>0</v>
      </c>
      <c r="AE2712" s="107"/>
      <c r="AF2712" s="135">
        <f>SUM(T2712,V2712,X2712,Z2712,AB2712,AD2712)</f>
        <v>0</v>
      </c>
      <c r="AG2712" s="107"/>
      <c r="AH2712" s="136">
        <f>SUM(AF2712,R2712)</f>
        <v>0</v>
      </c>
      <c r="AI2712" s="107"/>
      <c r="AJ2712" s="65"/>
      <c r="AV2712" s="56"/>
    </row>
    <row r="2713" spans="2:48" ht="13.5" hidden="1" customHeight="1" outlineLevel="2">
      <c r="B2713" s="82"/>
      <c r="C2713" s="425"/>
      <c r="D2713" s="425"/>
      <c r="E2713" s="634"/>
      <c r="F2713" s="635"/>
      <c r="G2713" s="428"/>
      <c r="H2713" s="635"/>
      <c r="I2713" s="428"/>
      <c r="J2713" s="635"/>
      <c r="K2713" s="636"/>
      <c r="L2713" s="635"/>
      <c r="M2713" s="636"/>
      <c r="N2713" s="635"/>
      <c r="O2713" s="636"/>
      <c r="P2713" s="635"/>
      <c r="Q2713" s="636"/>
      <c r="R2713" s="637"/>
      <c r="S2713" s="698">
        <f>SUM(R1993:R1997)/1.18-(SUM(R2708:R2712)*'Mark Up Validation'!$M$175)</f>
        <v>0</v>
      </c>
      <c r="T2713" s="635"/>
      <c r="U2713" s="636"/>
      <c r="V2713" s="635"/>
      <c r="W2713" s="636"/>
      <c r="X2713" s="635"/>
      <c r="Y2713" s="636"/>
      <c r="Z2713" s="635"/>
      <c r="AA2713" s="636"/>
      <c r="AB2713" s="635"/>
      <c r="AC2713" s="636"/>
      <c r="AD2713" s="635"/>
      <c r="AE2713" s="636"/>
      <c r="AF2713" s="637"/>
      <c r="AG2713" s="698">
        <f>SUM(AF1993:AF1997)/1.18-SUM(AF2708:AF2712)*'Mark Up Validation'!$M$175</f>
        <v>0</v>
      </c>
      <c r="AH2713" s="638"/>
      <c r="AI2713" s="698">
        <f>SUM(AH1993:AH1997)/1.18-SUM(AH2708:AH2712)*'Mark Up Validation'!$M$175</f>
        <v>0</v>
      </c>
      <c r="AJ2713" s="65"/>
      <c r="AV2713" s="56"/>
    </row>
    <row r="2714" spans="2:48" ht="13.5" hidden="1" customHeight="1" outlineLevel="2" thickBot="1">
      <c r="B2714" s="82"/>
      <c r="C2714" s="1228" t="s">
        <v>538</v>
      </c>
      <c r="D2714" s="1229"/>
      <c r="E2714" s="699"/>
      <c r="F2714" s="700"/>
      <c r="G2714" s="701"/>
      <c r="H2714" s="700"/>
      <c r="I2714" s="701"/>
      <c r="J2714" s="700"/>
      <c r="K2714" s="702"/>
      <c r="L2714" s="700"/>
      <c r="M2714" s="702"/>
      <c r="N2714" s="700"/>
      <c r="O2714" s="702"/>
      <c r="P2714" s="700"/>
      <c r="Q2714" s="702"/>
      <c r="R2714" s="703"/>
      <c r="S2714" s="729">
        <f>IF(S2713&gt;0,S2713/(SUM(R1993:R1997)/1.18),0)</f>
        <v>0</v>
      </c>
      <c r="T2714" s="700"/>
      <c r="U2714" s="702"/>
      <c r="V2714" s="700"/>
      <c r="W2714" s="702"/>
      <c r="X2714" s="700"/>
      <c r="Y2714" s="702"/>
      <c r="Z2714" s="700"/>
      <c r="AA2714" s="702"/>
      <c r="AB2714" s="700"/>
      <c r="AC2714" s="702"/>
      <c r="AD2714" s="700"/>
      <c r="AE2714" s="702"/>
      <c r="AF2714" s="705"/>
      <c r="AG2714" s="729">
        <f>IF(AG2713&gt;0,AG2713/(SUM(AF1993:AF1997)/1.18),0)</f>
        <v>0</v>
      </c>
      <c r="AH2714" s="706"/>
      <c r="AI2714" s="729">
        <f>IF(AI2713&gt;0,AI2713/(SUM(AH1993:AH1997)/1.18),0)</f>
        <v>0</v>
      </c>
      <c r="AJ2714" s="65"/>
      <c r="AV2714" s="56"/>
    </row>
    <row r="2715" spans="2:48" ht="12.75" hidden="1" customHeight="1" outlineLevel="2">
      <c r="B2715" s="82">
        <f>B2708+1</f>
        <v>79</v>
      </c>
      <c r="C2715" s="1233">
        <f>C2000</f>
        <v>0</v>
      </c>
      <c r="D2715" s="1233">
        <f>D2000</f>
        <v>0</v>
      </c>
      <c r="E2715" s="83" t="str">
        <f>'Terms and Turnovers'!$J$12</f>
        <v>FLIP-FLOPS</v>
      </c>
      <c r="F2715" s="68">
        <f>F2000/'Terms and Turnovers'!$J210</f>
        <v>0</v>
      </c>
      <c r="G2715" s="106"/>
      <c r="H2715" s="68">
        <f>H2000/'Terms and Turnovers'!$J210</f>
        <v>0</v>
      </c>
      <c r="I2715" s="106"/>
      <c r="J2715" s="68">
        <f>J2000/'Terms and Turnovers'!$J210</f>
        <v>0</v>
      </c>
      <c r="K2715" s="106"/>
      <c r="L2715" s="68">
        <f>L2000/'Terms and Turnovers'!$J210</f>
        <v>0</v>
      </c>
      <c r="M2715" s="106"/>
      <c r="N2715" s="68">
        <f>N2000/'Terms and Turnovers'!$J210</f>
        <v>0</v>
      </c>
      <c r="O2715" s="106"/>
      <c r="P2715" s="68">
        <f>P2000/'Terms and Turnovers'!$J210</f>
        <v>0</v>
      </c>
      <c r="Q2715" s="106"/>
      <c r="R2715" s="129">
        <f>SUM(F2715,H2715,J2715,L2715,N2715,P2715)</f>
        <v>0</v>
      </c>
      <c r="S2715" s="106"/>
      <c r="T2715" s="68">
        <f>T2000/'Terms and Turnovers'!$J210</f>
        <v>0</v>
      </c>
      <c r="U2715" s="106"/>
      <c r="V2715" s="68">
        <f>V2000/'Terms and Turnovers'!$J210</f>
        <v>0</v>
      </c>
      <c r="W2715" s="106"/>
      <c r="X2715" s="68">
        <f>X2000/'Terms and Turnovers'!$J210</f>
        <v>0</v>
      </c>
      <c r="Y2715" s="106"/>
      <c r="Z2715" s="68">
        <f>Z2000/'Terms and Turnovers'!$J210</f>
        <v>0</v>
      </c>
      <c r="AA2715" s="106"/>
      <c r="AB2715" s="68">
        <f>AB2000/'Terms and Turnovers'!$J210</f>
        <v>0</v>
      </c>
      <c r="AC2715" s="106"/>
      <c r="AD2715" s="68">
        <f>AD2000/'Terms and Turnovers'!$J210</f>
        <v>0</v>
      </c>
      <c r="AE2715" s="106"/>
      <c r="AF2715" s="129">
        <f>SUM(T2715,V2715,X2715,Z2715,AB2715,AD2715)</f>
        <v>0</v>
      </c>
      <c r="AG2715" s="106"/>
      <c r="AH2715" s="130">
        <f>SUM(AF2715,R2715)</f>
        <v>0</v>
      </c>
      <c r="AI2715" s="106"/>
      <c r="AJ2715" s="65"/>
      <c r="AV2715" s="56"/>
    </row>
    <row r="2716" spans="2:48" ht="12.75" hidden="1" customHeight="1" outlineLevel="2" thickBot="1">
      <c r="B2716" s="82"/>
      <c r="C2716" s="1234"/>
      <c r="D2716" s="1234"/>
      <c r="E2716" s="84" t="str">
        <f>'Terms and Turnovers'!$T$12</f>
        <v>ORIGINALS</v>
      </c>
      <c r="F2716" s="70">
        <f>F2001/'Terms and Turnovers'!$T210</f>
        <v>0</v>
      </c>
      <c r="G2716" s="728"/>
      <c r="H2716" s="70">
        <f>H2001/'Terms and Turnovers'!$T210</f>
        <v>0</v>
      </c>
      <c r="I2716" s="728"/>
      <c r="J2716" s="70">
        <f>J2001/'Terms and Turnovers'!$T210</f>
        <v>0</v>
      </c>
      <c r="K2716" s="728"/>
      <c r="L2716" s="70">
        <f>L2001/'Terms and Turnovers'!$T210</f>
        <v>0</v>
      </c>
      <c r="M2716" s="728"/>
      <c r="N2716" s="70">
        <f>N2001/'Terms and Turnovers'!$T210</f>
        <v>0</v>
      </c>
      <c r="O2716" s="728"/>
      <c r="P2716" s="70">
        <f>P2001/'Terms and Turnovers'!$T210</f>
        <v>0</v>
      </c>
      <c r="Q2716" s="728"/>
      <c r="R2716" s="132">
        <f>SUM(F2716,H2716,J2716,L2716,N2716,P2716)</f>
        <v>0</v>
      </c>
      <c r="S2716" s="728"/>
      <c r="T2716" s="70">
        <f>T2001/'Terms and Turnovers'!$T210</f>
        <v>0</v>
      </c>
      <c r="U2716" s="728"/>
      <c r="V2716" s="70">
        <f>V2001/'Terms and Turnovers'!$T210</f>
        <v>0</v>
      </c>
      <c r="W2716" s="728"/>
      <c r="X2716" s="70">
        <f>X2001/'Terms and Turnovers'!$T210</f>
        <v>0</v>
      </c>
      <c r="Y2716" s="728"/>
      <c r="Z2716" s="70">
        <f>Z2001/'Terms and Turnovers'!$T210</f>
        <v>0</v>
      </c>
      <c r="AA2716" s="728"/>
      <c r="AB2716" s="70">
        <f>AB2001/'Terms and Turnovers'!$T210</f>
        <v>0</v>
      </c>
      <c r="AC2716" s="728"/>
      <c r="AD2716" s="70">
        <f>AD2001/'Terms and Turnovers'!$T210</f>
        <v>0</v>
      </c>
      <c r="AE2716" s="728"/>
      <c r="AF2716" s="132">
        <f>SUM(T2716,V2716,X2716,Z2716,AB2716,AD2716)</f>
        <v>0</v>
      </c>
      <c r="AG2716" s="728"/>
      <c r="AH2716" s="133">
        <f>SUM(AF2716,R2716)</f>
        <v>0</v>
      </c>
      <c r="AI2716" s="728"/>
      <c r="AJ2716" s="65"/>
      <c r="AV2716" s="56"/>
    </row>
    <row r="2717" spans="2:48" ht="12.75" hidden="1" customHeight="1" outlineLevel="2">
      <c r="B2717" s="82"/>
      <c r="C2717" s="1234"/>
      <c r="D2717" s="1234"/>
      <c r="E2717" s="84" t="str">
        <f>'Terms and Turnovers'!$AD$12</f>
        <v>ACCESSORIES</v>
      </c>
      <c r="F2717" s="68">
        <f>F2002/'Terms and Turnovers'!$AD210</f>
        <v>0</v>
      </c>
      <c r="G2717" s="728"/>
      <c r="H2717" s="68">
        <f>H2002/'Terms and Turnovers'!$AD210</f>
        <v>0</v>
      </c>
      <c r="I2717" s="728"/>
      <c r="J2717" s="68">
        <f>J2002/'Terms and Turnovers'!$AD210</f>
        <v>0</v>
      </c>
      <c r="K2717" s="728"/>
      <c r="L2717" s="68">
        <f>L2002/'Terms and Turnovers'!$AD210</f>
        <v>0</v>
      </c>
      <c r="M2717" s="728"/>
      <c r="N2717" s="68">
        <f>N2002/'Terms and Turnovers'!$AD210</f>
        <v>0</v>
      </c>
      <c r="O2717" s="728"/>
      <c r="P2717" s="68">
        <f>P2002/'Terms and Turnovers'!$AD210</f>
        <v>0</v>
      </c>
      <c r="Q2717" s="728"/>
      <c r="R2717" s="132">
        <f>SUM(F2717,H2717,J2717,L2717,N2717,P2717)</f>
        <v>0</v>
      </c>
      <c r="S2717" s="728"/>
      <c r="T2717" s="68">
        <f>T2002/'Terms and Turnovers'!$AD210</f>
        <v>0</v>
      </c>
      <c r="U2717" s="728"/>
      <c r="V2717" s="68">
        <f>V2002/'Terms and Turnovers'!$AD210</f>
        <v>0</v>
      </c>
      <c r="W2717" s="728"/>
      <c r="X2717" s="68">
        <f>X2002/'Terms and Turnovers'!$AD210</f>
        <v>0</v>
      </c>
      <c r="Y2717" s="728"/>
      <c r="Z2717" s="68">
        <f>Z2002/'Terms and Turnovers'!$AD210</f>
        <v>0</v>
      </c>
      <c r="AA2717" s="728"/>
      <c r="AB2717" s="68">
        <f>AB2002/'Terms and Turnovers'!$AD210</f>
        <v>0</v>
      </c>
      <c r="AC2717" s="728"/>
      <c r="AD2717" s="68">
        <f>AD2002/'Terms and Turnovers'!$AD210</f>
        <v>0</v>
      </c>
      <c r="AE2717" s="728"/>
      <c r="AF2717" s="132">
        <f>SUM(T2717,V2717,X2717,Z2717,AB2717,AD2717)</f>
        <v>0</v>
      </c>
      <c r="AG2717" s="728"/>
      <c r="AH2717" s="133">
        <f>SUM(AF2717,R2717)</f>
        <v>0</v>
      </c>
      <c r="AI2717" s="728"/>
      <c r="AJ2717" s="65"/>
      <c r="AV2717" s="56"/>
    </row>
    <row r="2718" spans="2:48" ht="12.75" hidden="1" customHeight="1" outlineLevel="2" thickBot="1">
      <c r="B2718" s="82"/>
      <c r="C2718" s="1234"/>
      <c r="D2718" s="1234"/>
      <c r="E2718" s="84">
        <f>'Terms and Turnovers'!$AN$12</f>
        <v>0</v>
      </c>
      <c r="F2718" s="70">
        <f>F2003/'Terms and Turnovers'!$AN210</f>
        <v>0</v>
      </c>
      <c r="G2718" s="728"/>
      <c r="H2718" s="70">
        <f>H2003/'Terms and Turnovers'!$AN210</f>
        <v>0</v>
      </c>
      <c r="I2718" s="728"/>
      <c r="J2718" s="70">
        <f>J2003/'Terms and Turnovers'!$AN210</f>
        <v>0</v>
      </c>
      <c r="K2718" s="728"/>
      <c r="L2718" s="70">
        <f>L2003/'Terms and Turnovers'!$AN210</f>
        <v>0</v>
      </c>
      <c r="M2718" s="728"/>
      <c r="N2718" s="70">
        <f>N2003/'Terms and Turnovers'!$AN210</f>
        <v>0</v>
      </c>
      <c r="O2718" s="728"/>
      <c r="P2718" s="70">
        <f>P2003/'Terms and Turnovers'!$AN210</f>
        <v>0</v>
      </c>
      <c r="Q2718" s="728"/>
      <c r="R2718" s="132">
        <f>SUM(F2718,H2718,J2718,L2718,N2718,P2718)</f>
        <v>0</v>
      </c>
      <c r="S2718" s="728"/>
      <c r="T2718" s="70">
        <f>T2003/'Terms and Turnovers'!$AN210</f>
        <v>0</v>
      </c>
      <c r="U2718" s="728"/>
      <c r="V2718" s="70">
        <f>V2003/'Terms and Turnovers'!$AN210</f>
        <v>0</v>
      </c>
      <c r="W2718" s="728"/>
      <c r="X2718" s="70">
        <f>X2003/'Terms and Turnovers'!$AN210</f>
        <v>0</v>
      </c>
      <c r="Y2718" s="728"/>
      <c r="Z2718" s="70">
        <f>Z2003/'Terms and Turnovers'!$AN210</f>
        <v>0</v>
      </c>
      <c r="AA2718" s="728"/>
      <c r="AB2718" s="70">
        <f>AB2003/'Terms and Turnovers'!$AN210</f>
        <v>0</v>
      </c>
      <c r="AC2718" s="728"/>
      <c r="AD2718" s="70">
        <f>AD2003/'Terms and Turnovers'!$AN210</f>
        <v>0</v>
      </c>
      <c r="AE2718" s="728"/>
      <c r="AF2718" s="132">
        <f>SUM(T2718,V2718,X2718,Z2718,AB2718,AD2718)</f>
        <v>0</v>
      </c>
      <c r="AG2718" s="728"/>
      <c r="AH2718" s="133">
        <f>SUM(AF2718,R2718)</f>
        <v>0</v>
      </c>
      <c r="AI2718" s="728"/>
      <c r="AJ2718" s="65"/>
      <c r="AV2718" s="56"/>
    </row>
    <row r="2719" spans="2:48" ht="13.5" hidden="1" customHeight="1" outlineLevel="2" thickBot="1">
      <c r="B2719" s="82"/>
      <c r="C2719" s="1235"/>
      <c r="D2719" s="1235"/>
      <c r="E2719" s="85">
        <f>'Terms and Turnovers'!$AX$12</f>
        <v>0</v>
      </c>
      <c r="F2719" s="68">
        <f>F2004/'Terms and Turnovers'!$AX210</f>
        <v>0</v>
      </c>
      <c r="G2719" s="111"/>
      <c r="H2719" s="68">
        <f>H2004/'Terms and Turnovers'!$AX210</f>
        <v>0</v>
      </c>
      <c r="I2719" s="107"/>
      <c r="J2719" s="68">
        <f>J2004/'Terms and Turnovers'!$AX210</f>
        <v>0</v>
      </c>
      <c r="K2719" s="107"/>
      <c r="L2719" s="68">
        <f>L2004/'Terms and Turnovers'!$AX210</f>
        <v>0</v>
      </c>
      <c r="M2719" s="107"/>
      <c r="N2719" s="68">
        <f>N2004/'Terms and Turnovers'!$AX210</f>
        <v>0</v>
      </c>
      <c r="O2719" s="107"/>
      <c r="P2719" s="68">
        <f>P2004/'Terms and Turnovers'!$AX210</f>
        <v>0</v>
      </c>
      <c r="Q2719" s="107"/>
      <c r="R2719" s="135">
        <f>SUM(F2719,H2719,J2719,L2719,N2719,P2719)</f>
        <v>0</v>
      </c>
      <c r="S2719" s="107"/>
      <c r="T2719" s="68">
        <f>T2004/'Terms and Turnovers'!$AX210</f>
        <v>0</v>
      </c>
      <c r="U2719" s="111"/>
      <c r="V2719" s="68">
        <f>V2004/'Terms and Turnovers'!$AX210</f>
        <v>0</v>
      </c>
      <c r="W2719" s="107"/>
      <c r="X2719" s="68">
        <f>X2004/'Terms and Turnovers'!$AX210</f>
        <v>0</v>
      </c>
      <c r="Y2719" s="107"/>
      <c r="Z2719" s="68">
        <f>Z2004/'Terms and Turnovers'!$AX210</f>
        <v>0</v>
      </c>
      <c r="AA2719" s="107"/>
      <c r="AB2719" s="68">
        <f>AB2004/'Terms and Turnovers'!$AX210</f>
        <v>0</v>
      </c>
      <c r="AC2719" s="107"/>
      <c r="AD2719" s="68">
        <f>AD2004/'Terms and Turnovers'!$AX210</f>
        <v>0</v>
      </c>
      <c r="AE2719" s="107"/>
      <c r="AF2719" s="135">
        <f>SUM(T2719,V2719,X2719,Z2719,AB2719,AD2719)</f>
        <v>0</v>
      </c>
      <c r="AG2719" s="107"/>
      <c r="AH2719" s="136">
        <f>SUM(AF2719,R2719)</f>
        <v>0</v>
      </c>
      <c r="AI2719" s="107"/>
      <c r="AJ2719" s="65"/>
      <c r="AV2719" s="56"/>
    </row>
    <row r="2720" spans="2:48" ht="13.5" hidden="1" customHeight="1" outlineLevel="2">
      <c r="B2720" s="82"/>
      <c r="C2720" s="425"/>
      <c r="D2720" s="425"/>
      <c r="E2720" s="634"/>
      <c r="F2720" s="635"/>
      <c r="G2720" s="428"/>
      <c r="H2720" s="635"/>
      <c r="I2720" s="428"/>
      <c r="J2720" s="635"/>
      <c r="K2720" s="636"/>
      <c r="L2720" s="635"/>
      <c r="M2720" s="636"/>
      <c r="N2720" s="635"/>
      <c r="O2720" s="636"/>
      <c r="P2720" s="635"/>
      <c r="Q2720" s="636"/>
      <c r="R2720" s="637"/>
      <c r="S2720" s="698">
        <f>SUM(R2000:R2004)/1.18-(SUM(R2715:R2719)*'Mark Up Validation'!$M$175)</f>
        <v>0</v>
      </c>
      <c r="T2720" s="635"/>
      <c r="U2720" s="636"/>
      <c r="V2720" s="635"/>
      <c r="W2720" s="636"/>
      <c r="X2720" s="635"/>
      <c r="Y2720" s="636"/>
      <c r="Z2720" s="635"/>
      <c r="AA2720" s="636"/>
      <c r="AB2720" s="635"/>
      <c r="AC2720" s="636"/>
      <c r="AD2720" s="635"/>
      <c r="AE2720" s="636"/>
      <c r="AF2720" s="637"/>
      <c r="AG2720" s="698">
        <f>SUM(AF2000:AF2004)/1.18-SUM(AF2715:AF2719)*'Mark Up Validation'!$M$175</f>
        <v>0</v>
      </c>
      <c r="AH2720" s="638"/>
      <c r="AI2720" s="698">
        <f>SUM(AH2000:AH2004)/1.18-SUM(AH2715:AH2719)*'Mark Up Validation'!$M$175</f>
        <v>0</v>
      </c>
      <c r="AJ2720" s="65"/>
      <c r="AV2720" s="56"/>
    </row>
    <row r="2721" spans="2:48" ht="13.5" hidden="1" customHeight="1" outlineLevel="2" thickBot="1">
      <c r="B2721" s="82"/>
      <c r="C2721" s="1228" t="s">
        <v>538</v>
      </c>
      <c r="D2721" s="1229"/>
      <c r="E2721" s="699"/>
      <c r="F2721" s="700"/>
      <c r="G2721" s="701"/>
      <c r="H2721" s="700"/>
      <c r="I2721" s="701"/>
      <c r="J2721" s="700"/>
      <c r="K2721" s="702"/>
      <c r="L2721" s="700"/>
      <c r="M2721" s="702"/>
      <c r="N2721" s="700"/>
      <c r="O2721" s="702"/>
      <c r="P2721" s="700"/>
      <c r="Q2721" s="702"/>
      <c r="R2721" s="703"/>
      <c r="S2721" s="729">
        <f>IF(S2720&gt;0,S2720/(SUM(R2000:R2004)/1.18),0)</f>
        <v>0</v>
      </c>
      <c r="T2721" s="700"/>
      <c r="U2721" s="702"/>
      <c r="V2721" s="700"/>
      <c r="W2721" s="702"/>
      <c r="X2721" s="700"/>
      <c r="Y2721" s="702"/>
      <c r="Z2721" s="700"/>
      <c r="AA2721" s="702"/>
      <c r="AB2721" s="700"/>
      <c r="AC2721" s="702"/>
      <c r="AD2721" s="700"/>
      <c r="AE2721" s="702"/>
      <c r="AF2721" s="705"/>
      <c r="AG2721" s="729">
        <f>IF(AG2720&gt;0,AG2720/(SUM(AF2000:AF2004)/1.18),0)</f>
        <v>0</v>
      </c>
      <c r="AH2721" s="706"/>
      <c r="AI2721" s="729">
        <f>IF(AI2720&gt;0,AI2720/(SUM(AH2000:AH2004)/1.18),0)</f>
        <v>0</v>
      </c>
      <c r="AJ2721" s="65"/>
      <c r="AV2721" s="56"/>
    </row>
    <row r="2722" spans="2:48" ht="12.75" hidden="1" customHeight="1" outlineLevel="2">
      <c r="B2722" s="82">
        <f>B2715+1</f>
        <v>80</v>
      </c>
      <c r="C2722" s="1230">
        <f>C2007</f>
        <v>0</v>
      </c>
      <c r="D2722" s="1230">
        <f>D2007</f>
        <v>0</v>
      </c>
      <c r="E2722" s="83" t="str">
        <f>'Terms and Turnovers'!$J$12</f>
        <v>FLIP-FLOPS</v>
      </c>
      <c r="F2722" s="68">
        <f>F2007/'Terms and Turnovers'!$J211</f>
        <v>0</v>
      </c>
      <c r="G2722" s="106"/>
      <c r="H2722" s="68">
        <f>H2007/'Terms and Turnovers'!$J211</f>
        <v>0</v>
      </c>
      <c r="I2722" s="106"/>
      <c r="J2722" s="68">
        <f>J2007/'Terms and Turnovers'!$J211</f>
        <v>0</v>
      </c>
      <c r="K2722" s="106"/>
      <c r="L2722" s="68">
        <f>L2007/'Terms and Turnovers'!$J211</f>
        <v>0</v>
      </c>
      <c r="M2722" s="106"/>
      <c r="N2722" s="68">
        <f>N2007/'Terms and Turnovers'!$J211</f>
        <v>0</v>
      </c>
      <c r="O2722" s="106"/>
      <c r="P2722" s="68">
        <f>P2007/'Terms and Turnovers'!$J211</f>
        <v>0</v>
      </c>
      <c r="Q2722" s="106"/>
      <c r="R2722" s="129">
        <f>SUM(F2722,H2722,J2722,L2722,N2722,P2722)</f>
        <v>0</v>
      </c>
      <c r="S2722" s="106"/>
      <c r="T2722" s="68">
        <f>T2007/'Terms and Turnovers'!$J211</f>
        <v>0</v>
      </c>
      <c r="U2722" s="106"/>
      <c r="V2722" s="68">
        <f>V2007/'Terms and Turnovers'!$J211</f>
        <v>0</v>
      </c>
      <c r="W2722" s="106"/>
      <c r="X2722" s="68">
        <f>X2007/'Terms and Turnovers'!$J211</f>
        <v>0</v>
      </c>
      <c r="Y2722" s="106"/>
      <c r="Z2722" s="68">
        <f>Z2007/'Terms and Turnovers'!$J211</f>
        <v>0</v>
      </c>
      <c r="AA2722" s="106"/>
      <c r="AB2722" s="68">
        <f>AB2007/'Terms and Turnovers'!$J211</f>
        <v>0</v>
      </c>
      <c r="AC2722" s="106"/>
      <c r="AD2722" s="68">
        <f>AD2007/'Terms and Turnovers'!$J211</f>
        <v>0</v>
      </c>
      <c r="AE2722" s="106"/>
      <c r="AF2722" s="129">
        <f>SUM(T2722,V2722,X2722,Z2722,AB2722,AD2722)</f>
        <v>0</v>
      </c>
      <c r="AG2722" s="106"/>
      <c r="AH2722" s="130">
        <f>SUM(AF2722,R2722)</f>
        <v>0</v>
      </c>
      <c r="AI2722" s="106"/>
      <c r="AJ2722" s="65"/>
      <c r="AV2722" s="56"/>
    </row>
    <row r="2723" spans="2:48" ht="12.75" hidden="1" customHeight="1" outlineLevel="2" thickBot="1">
      <c r="B2723" s="82"/>
      <c r="C2723" s="1231"/>
      <c r="D2723" s="1231"/>
      <c r="E2723" s="84" t="str">
        <f>'Terms and Turnovers'!$T$12</f>
        <v>ORIGINALS</v>
      </c>
      <c r="F2723" s="70">
        <f>F2008/'Terms and Turnovers'!$T211</f>
        <v>0</v>
      </c>
      <c r="G2723" s="728"/>
      <c r="H2723" s="70">
        <f>H2008/'Terms and Turnovers'!$T211</f>
        <v>0</v>
      </c>
      <c r="I2723" s="728"/>
      <c r="J2723" s="70">
        <f>J2008/'Terms and Turnovers'!$T211</f>
        <v>0</v>
      </c>
      <c r="K2723" s="728"/>
      <c r="L2723" s="70">
        <f>L2008/'Terms and Turnovers'!$T211</f>
        <v>0</v>
      </c>
      <c r="M2723" s="728"/>
      <c r="N2723" s="70">
        <f>N2008/'Terms and Turnovers'!$T211</f>
        <v>0</v>
      </c>
      <c r="O2723" s="728"/>
      <c r="P2723" s="70">
        <f>P2008/'Terms and Turnovers'!$T211</f>
        <v>0</v>
      </c>
      <c r="Q2723" s="728"/>
      <c r="R2723" s="132">
        <f>SUM(F2723,H2723,J2723,L2723,N2723,P2723)</f>
        <v>0</v>
      </c>
      <c r="S2723" s="728"/>
      <c r="T2723" s="70">
        <f>T2008/'Terms and Turnovers'!$T211</f>
        <v>0</v>
      </c>
      <c r="U2723" s="728"/>
      <c r="V2723" s="70">
        <f>V2008/'Terms and Turnovers'!$T211</f>
        <v>0</v>
      </c>
      <c r="W2723" s="728"/>
      <c r="X2723" s="70">
        <f>X2008/'Terms and Turnovers'!$T211</f>
        <v>0</v>
      </c>
      <c r="Y2723" s="728"/>
      <c r="Z2723" s="70">
        <f>Z2008/'Terms and Turnovers'!$T211</f>
        <v>0</v>
      </c>
      <c r="AA2723" s="728"/>
      <c r="AB2723" s="70">
        <f>AB2008/'Terms and Turnovers'!$T211</f>
        <v>0</v>
      </c>
      <c r="AC2723" s="728"/>
      <c r="AD2723" s="70">
        <f>AD2008/'Terms and Turnovers'!$T211</f>
        <v>0</v>
      </c>
      <c r="AE2723" s="728"/>
      <c r="AF2723" s="132">
        <f>SUM(T2723,V2723,X2723,Z2723,AB2723,AD2723)</f>
        <v>0</v>
      </c>
      <c r="AG2723" s="728"/>
      <c r="AH2723" s="133">
        <f>SUM(AF2723,R2723)</f>
        <v>0</v>
      </c>
      <c r="AI2723" s="728"/>
      <c r="AJ2723" s="65"/>
      <c r="AV2723" s="56"/>
    </row>
    <row r="2724" spans="2:48" ht="12.75" hidden="1" customHeight="1" outlineLevel="2">
      <c r="B2724" s="82"/>
      <c r="C2724" s="1231"/>
      <c r="D2724" s="1231"/>
      <c r="E2724" s="84" t="str">
        <f>'Terms and Turnovers'!$AD$12</f>
        <v>ACCESSORIES</v>
      </c>
      <c r="F2724" s="68">
        <f>F2009/'Terms and Turnovers'!$AD211</f>
        <v>0</v>
      </c>
      <c r="G2724" s="728"/>
      <c r="H2724" s="68">
        <f>H2009/'Terms and Turnovers'!$AD211</f>
        <v>0</v>
      </c>
      <c r="I2724" s="728"/>
      <c r="J2724" s="68">
        <f>J2009/'Terms and Turnovers'!$AD211</f>
        <v>0</v>
      </c>
      <c r="K2724" s="728"/>
      <c r="L2724" s="68">
        <f>L2009/'Terms and Turnovers'!$AD211</f>
        <v>0</v>
      </c>
      <c r="M2724" s="728"/>
      <c r="N2724" s="68">
        <f>N2009/'Terms and Turnovers'!$AD211</f>
        <v>0</v>
      </c>
      <c r="O2724" s="728"/>
      <c r="P2724" s="68">
        <f>P2009/'Terms and Turnovers'!$AD211</f>
        <v>0</v>
      </c>
      <c r="Q2724" s="728"/>
      <c r="R2724" s="132">
        <f>SUM(F2724,H2724,J2724,L2724,N2724,P2724)</f>
        <v>0</v>
      </c>
      <c r="S2724" s="728"/>
      <c r="T2724" s="68">
        <f>T2009/'Terms and Turnovers'!$AD211</f>
        <v>0</v>
      </c>
      <c r="U2724" s="728"/>
      <c r="V2724" s="68">
        <f>V2009/'Terms and Turnovers'!$AD211</f>
        <v>0</v>
      </c>
      <c r="W2724" s="728"/>
      <c r="X2724" s="68">
        <f>X2009/'Terms and Turnovers'!$AD211</f>
        <v>0</v>
      </c>
      <c r="Y2724" s="728"/>
      <c r="Z2724" s="68">
        <f>Z2009/'Terms and Turnovers'!$AD211</f>
        <v>0</v>
      </c>
      <c r="AA2724" s="728"/>
      <c r="AB2724" s="68">
        <f>AB2009/'Terms and Turnovers'!$AD211</f>
        <v>0</v>
      </c>
      <c r="AC2724" s="728"/>
      <c r="AD2724" s="68">
        <f>AD2009/'Terms and Turnovers'!$AD211</f>
        <v>0</v>
      </c>
      <c r="AE2724" s="728"/>
      <c r="AF2724" s="132">
        <f>SUM(T2724,V2724,X2724,Z2724,AB2724,AD2724)</f>
        <v>0</v>
      </c>
      <c r="AG2724" s="728"/>
      <c r="AH2724" s="133">
        <f>SUM(AF2724,R2724)</f>
        <v>0</v>
      </c>
      <c r="AI2724" s="728"/>
      <c r="AJ2724" s="65"/>
      <c r="AV2724" s="56"/>
    </row>
    <row r="2725" spans="2:48" ht="12.75" hidden="1" customHeight="1" outlineLevel="2" thickBot="1">
      <c r="B2725" s="82"/>
      <c r="C2725" s="1231"/>
      <c r="D2725" s="1231"/>
      <c r="E2725" s="84">
        <f>'Terms and Turnovers'!$AN$12</f>
        <v>0</v>
      </c>
      <c r="F2725" s="70">
        <f>F2010/'Terms and Turnovers'!$AN211</f>
        <v>0</v>
      </c>
      <c r="G2725" s="728"/>
      <c r="H2725" s="70">
        <f>H2010/'Terms and Turnovers'!$AN211</f>
        <v>0</v>
      </c>
      <c r="I2725" s="728"/>
      <c r="J2725" s="70">
        <f>J2010/'Terms and Turnovers'!$AN211</f>
        <v>0</v>
      </c>
      <c r="K2725" s="728"/>
      <c r="L2725" s="70">
        <f>L2010/'Terms and Turnovers'!$AN211</f>
        <v>0</v>
      </c>
      <c r="M2725" s="728"/>
      <c r="N2725" s="70">
        <f>N2010/'Terms and Turnovers'!$AN211</f>
        <v>0</v>
      </c>
      <c r="O2725" s="728"/>
      <c r="P2725" s="70">
        <f>P2010/'Terms and Turnovers'!$AN211</f>
        <v>0</v>
      </c>
      <c r="Q2725" s="728"/>
      <c r="R2725" s="132">
        <f>SUM(F2725,H2725,J2725,L2725,N2725,P2725)</f>
        <v>0</v>
      </c>
      <c r="S2725" s="728"/>
      <c r="T2725" s="70">
        <f>T2010/'Terms and Turnovers'!$AN211</f>
        <v>0</v>
      </c>
      <c r="U2725" s="728"/>
      <c r="V2725" s="70">
        <f>V2010/'Terms and Turnovers'!$AN211</f>
        <v>0</v>
      </c>
      <c r="W2725" s="728"/>
      <c r="X2725" s="70">
        <f>X2010/'Terms and Turnovers'!$AN211</f>
        <v>0</v>
      </c>
      <c r="Y2725" s="728"/>
      <c r="Z2725" s="70">
        <f>Z2010/'Terms and Turnovers'!$AN211</f>
        <v>0</v>
      </c>
      <c r="AA2725" s="728"/>
      <c r="AB2725" s="70">
        <f>AB2010/'Terms and Turnovers'!$AN211</f>
        <v>0</v>
      </c>
      <c r="AC2725" s="728"/>
      <c r="AD2725" s="70">
        <f>AD2010/'Terms and Turnovers'!$AN211</f>
        <v>0</v>
      </c>
      <c r="AE2725" s="728"/>
      <c r="AF2725" s="132">
        <f>SUM(T2725,V2725,X2725,Z2725,AB2725,AD2725)</f>
        <v>0</v>
      </c>
      <c r="AG2725" s="728"/>
      <c r="AH2725" s="133">
        <f>SUM(AF2725,R2725)</f>
        <v>0</v>
      </c>
      <c r="AI2725" s="728"/>
      <c r="AJ2725" s="65"/>
      <c r="AV2725" s="56"/>
    </row>
    <row r="2726" spans="2:48" ht="13.5" hidden="1" customHeight="1" outlineLevel="2" thickBot="1">
      <c r="B2726" s="82"/>
      <c r="C2726" s="1232"/>
      <c r="D2726" s="1232"/>
      <c r="E2726" s="85">
        <f>'Terms and Turnovers'!$AX$12</f>
        <v>0</v>
      </c>
      <c r="F2726" s="68">
        <f>F2011/'Terms and Turnovers'!$AX211</f>
        <v>0</v>
      </c>
      <c r="G2726" s="111"/>
      <c r="H2726" s="68">
        <f>H2011/'Terms and Turnovers'!$AX211</f>
        <v>0</v>
      </c>
      <c r="I2726" s="107"/>
      <c r="J2726" s="68">
        <f>J2011/'Terms and Turnovers'!$AX211</f>
        <v>0</v>
      </c>
      <c r="K2726" s="107"/>
      <c r="L2726" s="68">
        <f>L2011/'Terms and Turnovers'!$AX211</f>
        <v>0</v>
      </c>
      <c r="M2726" s="107"/>
      <c r="N2726" s="68">
        <f>N2011/'Terms and Turnovers'!$AX211</f>
        <v>0</v>
      </c>
      <c r="O2726" s="107"/>
      <c r="P2726" s="68">
        <f>P2011/'Terms and Turnovers'!$AX211</f>
        <v>0</v>
      </c>
      <c r="Q2726" s="107"/>
      <c r="R2726" s="135">
        <f>SUM(F2726,H2726,J2726,L2726,N2726,P2726)</f>
        <v>0</v>
      </c>
      <c r="S2726" s="107"/>
      <c r="T2726" s="68">
        <f>T2011/'Terms and Turnovers'!$AX211</f>
        <v>0</v>
      </c>
      <c r="U2726" s="111"/>
      <c r="V2726" s="68">
        <f>V2011/'Terms and Turnovers'!$AX211</f>
        <v>0</v>
      </c>
      <c r="W2726" s="107"/>
      <c r="X2726" s="68">
        <f>X2011/'Terms and Turnovers'!$AX211</f>
        <v>0</v>
      </c>
      <c r="Y2726" s="107"/>
      <c r="Z2726" s="68">
        <f>Z2011/'Terms and Turnovers'!$AX211</f>
        <v>0</v>
      </c>
      <c r="AA2726" s="107"/>
      <c r="AB2726" s="68">
        <f>AB2011/'Terms and Turnovers'!$AX211</f>
        <v>0</v>
      </c>
      <c r="AC2726" s="107"/>
      <c r="AD2726" s="68">
        <f>AD2011/'Terms and Turnovers'!$AX211</f>
        <v>0</v>
      </c>
      <c r="AE2726" s="107"/>
      <c r="AF2726" s="135">
        <f>SUM(T2726,V2726,X2726,Z2726,AB2726,AD2726)</f>
        <v>0</v>
      </c>
      <c r="AG2726" s="107"/>
      <c r="AH2726" s="136">
        <f>SUM(AF2726,R2726)</f>
        <v>0</v>
      </c>
      <c r="AI2726" s="107"/>
      <c r="AJ2726" s="65"/>
      <c r="AV2726" s="56"/>
    </row>
    <row r="2727" spans="2:48" ht="13.5" hidden="1" customHeight="1" outlineLevel="2">
      <c r="B2727" s="82"/>
      <c r="C2727" s="425"/>
      <c r="D2727" s="425"/>
      <c r="E2727" s="634"/>
      <c r="F2727" s="635"/>
      <c r="G2727" s="428"/>
      <c r="H2727" s="635"/>
      <c r="I2727" s="428"/>
      <c r="J2727" s="635"/>
      <c r="K2727" s="636"/>
      <c r="L2727" s="635"/>
      <c r="M2727" s="636"/>
      <c r="N2727" s="635"/>
      <c r="O2727" s="636"/>
      <c r="P2727" s="635"/>
      <c r="Q2727" s="636"/>
      <c r="R2727" s="637"/>
      <c r="S2727" s="698">
        <f>SUM(R2007:R2011)/1.18-(SUM(R2722:R2726)*'Mark Up Validation'!$M$175)</f>
        <v>0</v>
      </c>
      <c r="T2727" s="635"/>
      <c r="U2727" s="636"/>
      <c r="V2727" s="635"/>
      <c r="W2727" s="636"/>
      <c r="X2727" s="635"/>
      <c r="Y2727" s="636"/>
      <c r="Z2727" s="635"/>
      <c r="AA2727" s="636"/>
      <c r="AB2727" s="635"/>
      <c r="AC2727" s="636"/>
      <c r="AD2727" s="635"/>
      <c r="AE2727" s="636"/>
      <c r="AF2727" s="637"/>
      <c r="AG2727" s="698">
        <f>SUM(AF2007:AF2011)/1.18-SUM(AF2722:AF2726)*'Mark Up Validation'!$M$175</f>
        <v>0</v>
      </c>
      <c r="AH2727" s="638"/>
      <c r="AI2727" s="698">
        <f>SUM(AH2007:AH2011)/1.18-SUM(AH2722:AH2726)*'Mark Up Validation'!$M$175</f>
        <v>0</v>
      </c>
      <c r="AJ2727" s="65"/>
      <c r="AV2727" s="56"/>
    </row>
    <row r="2728" spans="2:48" ht="13.5" hidden="1" customHeight="1" outlineLevel="2" thickBot="1">
      <c r="B2728" s="82"/>
      <c r="C2728" s="1228" t="s">
        <v>538</v>
      </c>
      <c r="D2728" s="1229"/>
      <c r="E2728" s="699"/>
      <c r="F2728" s="700"/>
      <c r="G2728" s="701"/>
      <c r="H2728" s="700"/>
      <c r="I2728" s="701"/>
      <c r="J2728" s="700"/>
      <c r="K2728" s="702"/>
      <c r="L2728" s="700"/>
      <c r="M2728" s="702"/>
      <c r="N2728" s="700"/>
      <c r="O2728" s="702"/>
      <c r="P2728" s="700"/>
      <c r="Q2728" s="702"/>
      <c r="R2728" s="703"/>
      <c r="S2728" s="729">
        <f>IF(S2727&gt;0,S2727/(SUM(R2007:R2011)/1.18),0)</f>
        <v>0</v>
      </c>
      <c r="T2728" s="700"/>
      <c r="U2728" s="702"/>
      <c r="V2728" s="700"/>
      <c r="W2728" s="702"/>
      <c r="X2728" s="700"/>
      <c r="Y2728" s="702"/>
      <c r="Z2728" s="700"/>
      <c r="AA2728" s="702"/>
      <c r="AB2728" s="700"/>
      <c r="AC2728" s="702"/>
      <c r="AD2728" s="700"/>
      <c r="AE2728" s="702"/>
      <c r="AF2728" s="705"/>
      <c r="AG2728" s="729">
        <f>IF(AG2727&gt;0,AG2727/(SUM(AF2007:AF2011)/1.18),0)</f>
        <v>0</v>
      </c>
      <c r="AH2728" s="706"/>
      <c r="AI2728" s="729">
        <f>IF(AI2727&gt;0,AI2727/(SUM(AH2007:AH2011)/1.18),0)</f>
        <v>0</v>
      </c>
      <c r="AJ2728" s="65"/>
      <c r="AV2728" s="56"/>
    </row>
    <row r="2729" spans="2:48" ht="12.75" hidden="1" customHeight="1" outlineLevel="2">
      <c r="B2729" s="82">
        <f>B2722+1</f>
        <v>81</v>
      </c>
      <c r="C2729" s="1233">
        <f>C2014</f>
        <v>0</v>
      </c>
      <c r="D2729" s="1233">
        <f>D2014</f>
        <v>0</v>
      </c>
      <c r="E2729" s="83" t="str">
        <f>'Terms and Turnovers'!$J$12</f>
        <v>FLIP-FLOPS</v>
      </c>
      <c r="F2729" s="68">
        <f>F2014/'Terms and Turnovers'!$J212</f>
        <v>0</v>
      </c>
      <c r="G2729" s="106"/>
      <c r="H2729" s="68">
        <f>H2014/'Terms and Turnovers'!$J212</f>
        <v>0</v>
      </c>
      <c r="I2729" s="106"/>
      <c r="J2729" s="68">
        <f>J2014/'Terms and Turnovers'!$J212</f>
        <v>0</v>
      </c>
      <c r="K2729" s="106"/>
      <c r="L2729" s="68">
        <f>L2014/'Terms and Turnovers'!$J212</f>
        <v>0</v>
      </c>
      <c r="M2729" s="106"/>
      <c r="N2729" s="68">
        <f>N2014/'Terms and Turnovers'!$J212</f>
        <v>0</v>
      </c>
      <c r="O2729" s="106"/>
      <c r="P2729" s="68">
        <f>P2014/'Terms and Turnovers'!$J212</f>
        <v>0</v>
      </c>
      <c r="Q2729" s="106"/>
      <c r="R2729" s="129">
        <f>SUM(F2729,H2729,J2729,L2729,N2729,P2729)</f>
        <v>0</v>
      </c>
      <c r="S2729" s="106"/>
      <c r="T2729" s="68">
        <f>T2014/'Terms and Turnovers'!$J212</f>
        <v>0</v>
      </c>
      <c r="U2729" s="106"/>
      <c r="V2729" s="68">
        <f>V2014/'Terms and Turnovers'!$J212</f>
        <v>0</v>
      </c>
      <c r="W2729" s="106"/>
      <c r="X2729" s="68">
        <f>X2014/'Terms and Turnovers'!$J212</f>
        <v>0</v>
      </c>
      <c r="Y2729" s="106"/>
      <c r="Z2729" s="68">
        <f>Z2014/'Terms and Turnovers'!$J212</f>
        <v>0</v>
      </c>
      <c r="AA2729" s="106"/>
      <c r="AB2729" s="68">
        <f>AB2014/'Terms and Turnovers'!$J212</f>
        <v>0</v>
      </c>
      <c r="AC2729" s="106"/>
      <c r="AD2729" s="68">
        <f>AD2014/'Terms and Turnovers'!$J212</f>
        <v>0</v>
      </c>
      <c r="AE2729" s="106"/>
      <c r="AF2729" s="129">
        <f>SUM(T2729,V2729,X2729,Z2729,AB2729,AD2729)</f>
        <v>0</v>
      </c>
      <c r="AG2729" s="106"/>
      <c r="AH2729" s="130">
        <f>SUM(AF2729,R2729)</f>
        <v>0</v>
      </c>
      <c r="AI2729" s="106"/>
      <c r="AJ2729" s="65"/>
      <c r="AV2729" s="56"/>
    </row>
    <row r="2730" spans="2:48" ht="12.75" hidden="1" customHeight="1" outlineLevel="2" thickBot="1">
      <c r="B2730" s="82"/>
      <c r="C2730" s="1234"/>
      <c r="D2730" s="1234"/>
      <c r="E2730" s="84" t="str">
        <f>'Terms and Turnovers'!$T$12</f>
        <v>ORIGINALS</v>
      </c>
      <c r="F2730" s="70">
        <f>F2015/'Terms and Turnovers'!$T212</f>
        <v>0</v>
      </c>
      <c r="G2730" s="728"/>
      <c r="H2730" s="70">
        <f>H2015/'Terms and Turnovers'!$T212</f>
        <v>0</v>
      </c>
      <c r="I2730" s="728"/>
      <c r="J2730" s="70">
        <f>J2015/'Terms and Turnovers'!$T212</f>
        <v>0</v>
      </c>
      <c r="K2730" s="728"/>
      <c r="L2730" s="70">
        <f>L2015/'Terms and Turnovers'!$T212</f>
        <v>0</v>
      </c>
      <c r="M2730" s="728"/>
      <c r="N2730" s="70">
        <f>N2015/'Terms and Turnovers'!$T212</f>
        <v>0</v>
      </c>
      <c r="O2730" s="728"/>
      <c r="P2730" s="70">
        <f>P2015/'Terms and Turnovers'!$T212</f>
        <v>0</v>
      </c>
      <c r="Q2730" s="728"/>
      <c r="R2730" s="132">
        <f>SUM(F2730,H2730,J2730,L2730,N2730,P2730)</f>
        <v>0</v>
      </c>
      <c r="S2730" s="728"/>
      <c r="T2730" s="70">
        <f>T2015/'Terms and Turnovers'!$T212</f>
        <v>0</v>
      </c>
      <c r="U2730" s="728"/>
      <c r="V2730" s="70">
        <f>V2015/'Terms and Turnovers'!$T212</f>
        <v>0</v>
      </c>
      <c r="W2730" s="728"/>
      <c r="X2730" s="70">
        <f>X2015/'Terms and Turnovers'!$T212</f>
        <v>0</v>
      </c>
      <c r="Y2730" s="728"/>
      <c r="Z2730" s="70">
        <f>Z2015/'Terms and Turnovers'!$T212</f>
        <v>0</v>
      </c>
      <c r="AA2730" s="728"/>
      <c r="AB2730" s="70">
        <f>AB2015/'Terms and Turnovers'!$T212</f>
        <v>0</v>
      </c>
      <c r="AC2730" s="728"/>
      <c r="AD2730" s="70">
        <f>AD2015/'Terms and Turnovers'!$T212</f>
        <v>0</v>
      </c>
      <c r="AE2730" s="728"/>
      <c r="AF2730" s="132">
        <f>SUM(T2730,V2730,X2730,Z2730,AB2730,AD2730)</f>
        <v>0</v>
      </c>
      <c r="AG2730" s="728"/>
      <c r="AH2730" s="133">
        <f>SUM(AF2730,R2730)</f>
        <v>0</v>
      </c>
      <c r="AI2730" s="728"/>
      <c r="AJ2730" s="65"/>
      <c r="AV2730" s="56"/>
    </row>
    <row r="2731" spans="2:48" ht="12.75" hidden="1" customHeight="1" outlineLevel="2">
      <c r="B2731" s="82"/>
      <c r="C2731" s="1234"/>
      <c r="D2731" s="1234"/>
      <c r="E2731" s="84" t="str">
        <f>'Terms and Turnovers'!$AD$12</f>
        <v>ACCESSORIES</v>
      </c>
      <c r="F2731" s="68">
        <f>F2016/'Terms and Turnovers'!$AD212</f>
        <v>0</v>
      </c>
      <c r="G2731" s="728"/>
      <c r="H2731" s="68">
        <f>H2016/'Terms and Turnovers'!$AD212</f>
        <v>0</v>
      </c>
      <c r="I2731" s="728"/>
      <c r="J2731" s="68">
        <f>J2016/'Terms and Turnovers'!$AD212</f>
        <v>0</v>
      </c>
      <c r="K2731" s="728"/>
      <c r="L2731" s="68">
        <f>L2016/'Terms and Turnovers'!$AD212</f>
        <v>0</v>
      </c>
      <c r="M2731" s="728"/>
      <c r="N2731" s="68">
        <f>N2016/'Terms and Turnovers'!$AD212</f>
        <v>0</v>
      </c>
      <c r="O2731" s="728"/>
      <c r="P2731" s="68">
        <f>P2016/'Terms and Turnovers'!$AD212</f>
        <v>0</v>
      </c>
      <c r="Q2731" s="728"/>
      <c r="R2731" s="132">
        <f>SUM(F2731,H2731,J2731,L2731,N2731,P2731)</f>
        <v>0</v>
      </c>
      <c r="S2731" s="728"/>
      <c r="T2731" s="68">
        <f>T2016/'Terms and Turnovers'!$AD212</f>
        <v>0</v>
      </c>
      <c r="U2731" s="728"/>
      <c r="V2731" s="68">
        <f>V2016/'Terms and Turnovers'!$AD212</f>
        <v>0</v>
      </c>
      <c r="W2731" s="728"/>
      <c r="X2731" s="68">
        <f>X2016/'Terms and Turnovers'!$AD212</f>
        <v>0</v>
      </c>
      <c r="Y2731" s="728"/>
      <c r="Z2731" s="68">
        <f>Z2016/'Terms and Turnovers'!$AD212</f>
        <v>0</v>
      </c>
      <c r="AA2731" s="728"/>
      <c r="AB2731" s="68">
        <f>AB2016/'Terms and Turnovers'!$AD212</f>
        <v>0</v>
      </c>
      <c r="AC2731" s="728"/>
      <c r="AD2731" s="68">
        <f>AD2016/'Terms and Turnovers'!$AD212</f>
        <v>0</v>
      </c>
      <c r="AE2731" s="728"/>
      <c r="AF2731" s="132">
        <f>SUM(T2731,V2731,X2731,Z2731,AB2731,AD2731)</f>
        <v>0</v>
      </c>
      <c r="AG2731" s="728"/>
      <c r="AH2731" s="133">
        <f>SUM(AF2731,R2731)</f>
        <v>0</v>
      </c>
      <c r="AI2731" s="728"/>
      <c r="AJ2731" s="65"/>
      <c r="AV2731" s="56"/>
    </row>
    <row r="2732" spans="2:48" ht="12.75" hidden="1" customHeight="1" outlineLevel="2" thickBot="1">
      <c r="B2732" s="82"/>
      <c r="C2732" s="1234"/>
      <c r="D2732" s="1234"/>
      <c r="E2732" s="84">
        <f>'Terms and Turnovers'!$AN$12</f>
        <v>0</v>
      </c>
      <c r="F2732" s="70">
        <f>F2017/'Terms and Turnovers'!$AN212</f>
        <v>0</v>
      </c>
      <c r="G2732" s="728"/>
      <c r="H2732" s="70">
        <f>H2017/'Terms and Turnovers'!$AN212</f>
        <v>0</v>
      </c>
      <c r="I2732" s="728"/>
      <c r="J2732" s="70">
        <f>J2017/'Terms and Turnovers'!$AN212</f>
        <v>0</v>
      </c>
      <c r="K2732" s="728"/>
      <c r="L2732" s="70">
        <f>L2017/'Terms and Turnovers'!$AN212</f>
        <v>0</v>
      </c>
      <c r="M2732" s="728"/>
      <c r="N2732" s="70">
        <f>N2017/'Terms and Turnovers'!$AN212</f>
        <v>0</v>
      </c>
      <c r="O2732" s="728"/>
      <c r="P2732" s="70">
        <f>P2017/'Terms and Turnovers'!$AN212</f>
        <v>0</v>
      </c>
      <c r="Q2732" s="728"/>
      <c r="R2732" s="132">
        <f>SUM(F2732,H2732,J2732,L2732,N2732,P2732)</f>
        <v>0</v>
      </c>
      <c r="S2732" s="728"/>
      <c r="T2732" s="70">
        <f>T2017/'Terms and Turnovers'!$AN212</f>
        <v>0</v>
      </c>
      <c r="U2732" s="728"/>
      <c r="V2732" s="70">
        <f>V2017/'Terms and Turnovers'!$AN212</f>
        <v>0</v>
      </c>
      <c r="W2732" s="728"/>
      <c r="X2732" s="70">
        <f>X2017/'Terms and Turnovers'!$AN212</f>
        <v>0</v>
      </c>
      <c r="Y2732" s="728"/>
      <c r="Z2732" s="70">
        <f>Z2017/'Terms and Turnovers'!$AN212</f>
        <v>0</v>
      </c>
      <c r="AA2732" s="728"/>
      <c r="AB2732" s="70">
        <f>AB2017/'Terms and Turnovers'!$AN212</f>
        <v>0</v>
      </c>
      <c r="AC2732" s="728"/>
      <c r="AD2732" s="70">
        <f>AD2017/'Terms and Turnovers'!$AN212</f>
        <v>0</v>
      </c>
      <c r="AE2732" s="728"/>
      <c r="AF2732" s="132">
        <f>SUM(T2732,V2732,X2732,Z2732,AB2732,AD2732)</f>
        <v>0</v>
      </c>
      <c r="AG2732" s="728"/>
      <c r="AH2732" s="133">
        <f>SUM(AF2732,R2732)</f>
        <v>0</v>
      </c>
      <c r="AI2732" s="728"/>
      <c r="AJ2732" s="65"/>
      <c r="AV2732" s="56"/>
    </row>
    <row r="2733" spans="2:48" ht="13.5" hidden="1" customHeight="1" outlineLevel="2" thickBot="1">
      <c r="B2733" s="82"/>
      <c r="C2733" s="1235"/>
      <c r="D2733" s="1235"/>
      <c r="E2733" s="85">
        <f>'Terms and Turnovers'!$AX$12</f>
        <v>0</v>
      </c>
      <c r="F2733" s="68">
        <f>F2018/'Terms and Turnovers'!$AX212</f>
        <v>0</v>
      </c>
      <c r="G2733" s="111"/>
      <c r="H2733" s="68">
        <f>H2018/'Terms and Turnovers'!$AX212</f>
        <v>0</v>
      </c>
      <c r="I2733" s="107"/>
      <c r="J2733" s="68">
        <f>J2018/'Terms and Turnovers'!$AX212</f>
        <v>0</v>
      </c>
      <c r="K2733" s="107"/>
      <c r="L2733" s="68">
        <f>L2018/'Terms and Turnovers'!$AX212</f>
        <v>0</v>
      </c>
      <c r="M2733" s="107"/>
      <c r="N2733" s="68">
        <f>N2018/'Terms and Turnovers'!$AX212</f>
        <v>0</v>
      </c>
      <c r="O2733" s="107"/>
      <c r="P2733" s="68">
        <f>P2018/'Terms and Turnovers'!$AX212</f>
        <v>0</v>
      </c>
      <c r="Q2733" s="107"/>
      <c r="R2733" s="135">
        <f>SUM(F2733,H2733,J2733,L2733,N2733,P2733)</f>
        <v>0</v>
      </c>
      <c r="S2733" s="107"/>
      <c r="T2733" s="68">
        <f>T2018/'Terms and Turnovers'!$AX212</f>
        <v>0</v>
      </c>
      <c r="U2733" s="111"/>
      <c r="V2733" s="68">
        <f>V2018/'Terms and Turnovers'!$AX212</f>
        <v>0</v>
      </c>
      <c r="W2733" s="107"/>
      <c r="X2733" s="68">
        <f>X2018/'Terms and Turnovers'!$AX212</f>
        <v>0</v>
      </c>
      <c r="Y2733" s="107"/>
      <c r="Z2733" s="68">
        <f>Z2018/'Terms and Turnovers'!$AX212</f>
        <v>0</v>
      </c>
      <c r="AA2733" s="107"/>
      <c r="AB2733" s="68">
        <f>AB2018/'Terms and Turnovers'!$AX212</f>
        <v>0</v>
      </c>
      <c r="AC2733" s="107"/>
      <c r="AD2733" s="68">
        <f>AD2018/'Terms and Turnovers'!$AX212</f>
        <v>0</v>
      </c>
      <c r="AE2733" s="107"/>
      <c r="AF2733" s="135">
        <f>SUM(T2733,V2733,X2733,Z2733,AB2733,AD2733)</f>
        <v>0</v>
      </c>
      <c r="AG2733" s="107"/>
      <c r="AH2733" s="136">
        <f>SUM(AF2733,R2733)</f>
        <v>0</v>
      </c>
      <c r="AI2733" s="107"/>
      <c r="AJ2733" s="65"/>
      <c r="AV2733" s="56"/>
    </row>
    <row r="2734" spans="2:48" ht="13.5" hidden="1" customHeight="1" outlineLevel="2">
      <c r="B2734" s="82"/>
      <c r="C2734" s="425"/>
      <c r="D2734" s="425"/>
      <c r="E2734" s="634"/>
      <c r="F2734" s="635"/>
      <c r="G2734" s="428"/>
      <c r="H2734" s="635"/>
      <c r="I2734" s="428"/>
      <c r="J2734" s="635"/>
      <c r="K2734" s="636"/>
      <c r="L2734" s="635"/>
      <c r="M2734" s="636"/>
      <c r="N2734" s="635"/>
      <c r="O2734" s="636"/>
      <c r="P2734" s="635"/>
      <c r="Q2734" s="636"/>
      <c r="R2734" s="637"/>
      <c r="S2734" s="698">
        <f>SUM(R2014:R2018)/1.18-(SUM(R2729:R2733)*'Mark Up Validation'!$M$175)</f>
        <v>0</v>
      </c>
      <c r="T2734" s="635"/>
      <c r="U2734" s="636"/>
      <c r="V2734" s="635"/>
      <c r="W2734" s="636"/>
      <c r="X2734" s="635"/>
      <c r="Y2734" s="636"/>
      <c r="Z2734" s="635"/>
      <c r="AA2734" s="636"/>
      <c r="AB2734" s="635"/>
      <c r="AC2734" s="636"/>
      <c r="AD2734" s="635"/>
      <c r="AE2734" s="636"/>
      <c r="AF2734" s="637"/>
      <c r="AG2734" s="698">
        <f>SUM(AF2014:AF2018)/1.18-SUM(AF2729:AF2733)*'Mark Up Validation'!$M$175</f>
        <v>0</v>
      </c>
      <c r="AH2734" s="638"/>
      <c r="AI2734" s="698">
        <f>SUM(AH2014:AH2018)/1.18-SUM(AH2729:AH2733)*'Mark Up Validation'!$M$175</f>
        <v>0</v>
      </c>
      <c r="AJ2734" s="65"/>
      <c r="AV2734" s="56"/>
    </row>
    <row r="2735" spans="2:48" ht="13.5" hidden="1" customHeight="1" outlineLevel="2" thickBot="1">
      <c r="B2735" s="82"/>
      <c r="C2735" s="1228" t="s">
        <v>538</v>
      </c>
      <c r="D2735" s="1229"/>
      <c r="E2735" s="699"/>
      <c r="F2735" s="700"/>
      <c r="G2735" s="701"/>
      <c r="H2735" s="700"/>
      <c r="I2735" s="701"/>
      <c r="J2735" s="700"/>
      <c r="K2735" s="702"/>
      <c r="L2735" s="700"/>
      <c r="M2735" s="702"/>
      <c r="N2735" s="700"/>
      <c r="O2735" s="702"/>
      <c r="P2735" s="700"/>
      <c r="Q2735" s="702"/>
      <c r="R2735" s="703"/>
      <c r="S2735" s="729">
        <f>IF(S2734&gt;0,S2734/(SUM(R2014:R2018)/1.18),0)</f>
        <v>0</v>
      </c>
      <c r="T2735" s="700"/>
      <c r="U2735" s="702"/>
      <c r="V2735" s="700"/>
      <c r="W2735" s="702"/>
      <c r="X2735" s="700"/>
      <c r="Y2735" s="702"/>
      <c r="Z2735" s="700"/>
      <c r="AA2735" s="702"/>
      <c r="AB2735" s="700"/>
      <c r="AC2735" s="702"/>
      <c r="AD2735" s="700"/>
      <c r="AE2735" s="702"/>
      <c r="AF2735" s="705"/>
      <c r="AG2735" s="729">
        <f>IF(AG2734&gt;0,AG2734/(SUM(AF2014:AF2018)/1.18),0)</f>
        <v>0</v>
      </c>
      <c r="AH2735" s="706"/>
      <c r="AI2735" s="729">
        <f>IF(AI2734&gt;0,AI2734/(SUM(AH2014:AH2018)/1.18),0)</f>
        <v>0</v>
      </c>
      <c r="AJ2735" s="65"/>
      <c r="AV2735" s="56"/>
    </row>
    <row r="2736" spans="2:48" ht="12.75" hidden="1" customHeight="1" outlineLevel="2">
      <c r="B2736" s="82">
        <f>B2729+1</f>
        <v>82</v>
      </c>
      <c r="C2736" s="1230">
        <f>C2021</f>
        <v>0</v>
      </c>
      <c r="D2736" s="1230">
        <f>D2021</f>
        <v>0</v>
      </c>
      <c r="E2736" s="83" t="str">
        <f>'Terms and Turnovers'!$J$12</f>
        <v>FLIP-FLOPS</v>
      </c>
      <c r="F2736" s="68">
        <f>F2021/'Terms and Turnovers'!$J213</f>
        <v>0</v>
      </c>
      <c r="G2736" s="106"/>
      <c r="H2736" s="68">
        <f>H2021/'Terms and Turnovers'!$J213</f>
        <v>0</v>
      </c>
      <c r="I2736" s="106"/>
      <c r="J2736" s="68">
        <f>J2021/'Terms and Turnovers'!$J213</f>
        <v>0</v>
      </c>
      <c r="K2736" s="106"/>
      <c r="L2736" s="68">
        <f>L2021/'Terms and Turnovers'!$J213</f>
        <v>0</v>
      </c>
      <c r="M2736" s="106"/>
      <c r="N2736" s="68">
        <f>N2021/'Terms and Turnovers'!$J213</f>
        <v>0</v>
      </c>
      <c r="O2736" s="106"/>
      <c r="P2736" s="68">
        <f>P2021/'Terms and Turnovers'!$J213</f>
        <v>0</v>
      </c>
      <c r="Q2736" s="106"/>
      <c r="R2736" s="129">
        <f>SUM(F2736,H2736,J2736,L2736,N2736,P2736)</f>
        <v>0</v>
      </c>
      <c r="S2736" s="106"/>
      <c r="T2736" s="68">
        <f>T2021/'Terms and Turnovers'!$J213</f>
        <v>0</v>
      </c>
      <c r="U2736" s="106"/>
      <c r="V2736" s="68">
        <f>V2021/'Terms and Turnovers'!$J213</f>
        <v>0</v>
      </c>
      <c r="W2736" s="106"/>
      <c r="X2736" s="68">
        <f>X2021/'Terms and Turnovers'!$J213</f>
        <v>0</v>
      </c>
      <c r="Y2736" s="106"/>
      <c r="Z2736" s="68">
        <f>Z2021/'Terms and Turnovers'!$J213</f>
        <v>0</v>
      </c>
      <c r="AA2736" s="106"/>
      <c r="AB2736" s="68">
        <f>AB2021/'Terms and Turnovers'!$J213</f>
        <v>0</v>
      </c>
      <c r="AC2736" s="106"/>
      <c r="AD2736" s="68">
        <f>AD2021/'Terms and Turnovers'!$J213</f>
        <v>0</v>
      </c>
      <c r="AE2736" s="106"/>
      <c r="AF2736" s="129">
        <f>SUM(T2736,V2736,X2736,Z2736,AB2736,AD2736)</f>
        <v>0</v>
      </c>
      <c r="AG2736" s="106"/>
      <c r="AH2736" s="130">
        <f>SUM(AF2736,R2736)</f>
        <v>0</v>
      </c>
      <c r="AI2736" s="106"/>
      <c r="AJ2736" s="65"/>
      <c r="AV2736" s="56"/>
    </row>
    <row r="2737" spans="2:48" ht="12.75" hidden="1" customHeight="1" outlineLevel="2" thickBot="1">
      <c r="B2737" s="82"/>
      <c r="C2737" s="1231"/>
      <c r="D2737" s="1231"/>
      <c r="E2737" s="84" t="str">
        <f>'Terms and Turnovers'!$T$12</f>
        <v>ORIGINALS</v>
      </c>
      <c r="F2737" s="70">
        <f>F2022/'Terms and Turnovers'!$T213</f>
        <v>0</v>
      </c>
      <c r="G2737" s="728"/>
      <c r="H2737" s="70">
        <f>H2022/'Terms and Turnovers'!$T213</f>
        <v>0</v>
      </c>
      <c r="I2737" s="728"/>
      <c r="J2737" s="70">
        <f>J2022/'Terms and Turnovers'!$T213</f>
        <v>0</v>
      </c>
      <c r="K2737" s="728"/>
      <c r="L2737" s="70">
        <f>L2022/'Terms and Turnovers'!$T213</f>
        <v>0</v>
      </c>
      <c r="M2737" s="728"/>
      <c r="N2737" s="70">
        <f>N2022/'Terms and Turnovers'!$T213</f>
        <v>0</v>
      </c>
      <c r="O2737" s="728"/>
      <c r="P2737" s="70">
        <f>P2022/'Terms and Turnovers'!$T213</f>
        <v>0</v>
      </c>
      <c r="Q2737" s="728"/>
      <c r="R2737" s="132">
        <f>SUM(F2737,H2737,J2737,L2737,N2737,P2737)</f>
        <v>0</v>
      </c>
      <c r="S2737" s="728"/>
      <c r="T2737" s="70">
        <f>T2022/'Terms and Turnovers'!$T213</f>
        <v>0</v>
      </c>
      <c r="U2737" s="728"/>
      <c r="V2737" s="70">
        <f>V2022/'Terms and Turnovers'!$T213</f>
        <v>0</v>
      </c>
      <c r="W2737" s="728"/>
      <c r="X2737" s="70">
        <f>X2022/'Terms and Turnovers'!$T213</f>
        <v>0</v>
      </c>
      <c r="Y2737" s="728"/>
      <c r="Z2737" s="70">
        <f>Z2022/'Terms and Turnovers'!$T213</f>
        <v>0</v>
      </c>
      <c r="AA2737" s="728"/>
      <c r="AB2737" s="70">
        <f>AB2022/'Terms and Turnovers'!$T213</f>
        <v>0</v>
      </c>
      <c r="AC2737" s="728"/>
      <c r="AD2737" s="70">
        <f>AD2022/'Terms and Turnovers'!$T213</f>
        <v>0</v>
      </c>
      <c r="AE2737" s="728"/>
      <c r="AF2737" s="132">
        <f>SUM(T2737,V2737,X2737,Z2737,AB2737,AD2737)</f>
        <v>0</v>
      </c>
      <c r="AG2737" s="728"/>
      <c r="AH2737" s="133">
        <f>SUM(AF2737,R2737)</f>
        <v>0</v>
      </c>
      <c r="AI2737" s="728"/>
      <c r="AJ2737" s="65"/>
      <c r="AV2737" s="56"/>
    </row>
    <row r="2738" spans="2:48" ht="12.75" hidden="1" customHeight="1" outlineLevel="2">
      <c r="B2738" s="82"/>
      <c r="C2738" s="1231"/>
      <c r="D2738" s="1231"/>
      <c r="E2738" s="84" t="str">
        <f>'Terms and Turnovers'!$AD$12</f>
        <v>ACCESSORIES</v>
      </c>
      <c r="F2738" s="68">
        <f>F2023/'Terms and Turnovers'!$AD213</f>
        <v>0</v>
      </c>
      <c r="G2738" s="728"/>
      <c r="H2738" s="68">
        <f>H2023/'Terms and Turnovers'!$AD213</f>
        <v>0</v>
      </c>
      <c r="I2738" s="728"/>
      <c r="J2738" s="68">
        <f>J2023/'Terms and Turnovers'!$AD213</f>
        <v>0</v>
      </c>
      <c r="K2738" s="728"/>
      <c r="L2738" s="68">
        <f>L2023/'Terms and Turnovers'!$AD213</f>
        <v>0</v>
      </c>
      <c r="M2738" s="728"/>
      <c r="N2738" s="68">
        <f>N2023/'Terms and Turnovers'!$AD213</f>
        <v>0</v>
      </c>
      <c r="O2738" s="728"/>
      <c r="P2738" s="68">
        <f>P2023/'Terms and Turnovers'!$AD213</f>
        <v>0</v>
      </c>
      <c r="Q2738" s="728"/>
      <c r="R2738" s="132">
        <f>SUM(F2738,H2738,J2738,L2738,N2738,P2738)</f>
        <v>0</v>
      </c>
      <c r="S2738" s="728"/>
      <c r="T2738" s="68">
        <f>T2023/'Terms and Turnovers'!$AD213</f>
        <v>0</v>
      </c>
      <c r="U2738" s="728"/>
      <c r="V2738" s="68">
        <f>V2023/'Terms and Turnovers'!$AD213</f>
        <v>0</v>
      </c>
      <c r="W2738" s="728"/>
      <c r="X2738" s="68">
        <f>X2023/'Terms and Turnovers'!$AD213</f>
        <v>0</v>
      </c>
      <c r="Y2738" s="728"/>
      <c r="Z2738" s="68">
        <f>Z2023/'Terms and Turnovers'!$AD213</f>
        <v>0</v>
      </c>
      <c r="AA2738" s="728"/>
      <c r="AB2738" s="68">
        <f>AB2023/'Terms and Turnovers'!$AD213</f>
        <v>0</v>
      </c>
      <c r="AC2738" s="728"/>
      <c r="AD2738" s="68">
        <f>AD2023/'Terms and Turnovers'!$AD213</f>
        <v>0</v>
      </c>
      <c r="AE2738" s="728"/>
      <c r="AF2738" s="132">
        <f>SUM(T2738,V2738,X2738,Z2738,AB2738,AD2738)</f>
        <v>0</v>
      </c>
      <c r="AG2738" s="728"/>
      <c r="AH2738" s="133">
        <f>SUM(AF2738,R2738)</f>
        <v>0</v>
      </c>
      <c r="AI2738" s="728"/>
      <c r="AJ2738" s="65"/>
      <c r="AV2738" s="56"/>
    </row>
    <row r="2739" spans="2:48" ht="12.75" hidden="1" customHeight="1" outlineLevel="2" thickBot="1">
      <c r="B2739" s="82"/>
      <c r="C2739" s="1231"/>
      <c r="D2739" s="1231"/>
      <c r="E2739" s="84">
        <f>'Terms and Turnovers'!$AN$12</f>
        <v>0</v>
      </c>
      <c r="F2739" s="70">
        <f>F2025/'Terms and Turnovers'!$AN213</f>
        <v>0</v>
      </c>
      <c r="G2739" s="728"/>
      <c r="H2739" s="70">
        <f>H2025/'Terms and Turnovers'!$AN213</f>
        <v>0</v>
      </c>
      <c r="I2739" s="728"/>
      <c r="J2739" s="70">
        <f>J2025/'Terms and Turnovers'!$AN213</f>
        <v>0</v>
      </c>
      <c r="K2739" s="728"/>
      <c r="L2739" s="70">
        <f>L2025/'Terms and Turnovers'!$AN213</f>
        <v>0</v>
      </c>
      <c r="M2739" s="728"/>
      <c r="N2739" s="70">
        <f>N2025/'Terms and Turnovers'!$AN213</f>
        <v>0</v>
      </c>
      <c r="O2739" s="728"/>
      <c r="P2739" s="70">
        <f>P2025/'Terms and Turnovers'!$AN213</f>
        <v>0</v>
      </c>
      <c r="Q2739" s="728"/>
      <c r="R2739" s="132">
        <f>SUM(F2739,H2739,J2739,L2739,N2739,P2739)</f>
        <v>0</v>
      </c>
      <c r="S2739" s="728"/>
      <c r="T2739" s="70">
        <f>T2025/'Terms and Turnovers'!$AN213</f>
        <v>0</v>
      </c>
      <c r="U2739" s="728"/>
      <c r="V2739" s="70">
        <f>V2025/'Terms and Turnovers'!$AN213</f>
        <v>0</v>
      </c>
      <c r="W2739" s="728"/>
      <c r="X2739" s="70">
        <f>X2025/'Terms and Turnovers'!$AN213</f>
        <v>0</v>
      </c>
      <c r="Y2739" s="728"/>
      <c r="Z2739" s="70">
        <f>Z2025/'Terms and Turnovers'!$AN213</f>
        <v>0</v>
      </c>
      <c r="AA2739" s="728"/>
      <c r="AB2739" s="70">
        <f>AB2025/'Terms and Turnovers'!$AN213</f>
        <v>0</v>
      </c>
      <c r="AC2739" s="728"/>
      <c r="AD2739" s="70">
        <f>AD2025/'Terms and Turnovers'!$AN213</f>
        <v>0</v>
      </c>
      <c r="AE2739" s="728"/>
      <c r="AF2739" s="132">
        <f>SUM(T2739,V2739,X2739,Z2739,AB2739,AD2739)</f>
        <v>0</v>
      </c>
      <c r="AG2739" s="728"/>
      <c r="AH2739" s="133">
        <f>SUM(AF2739,R2739)</f>
        <v>0</v>
      </c>
      <c r="AI2739" s="728"/>
      <c r="AJ2739" s="65"/>
      <c r="AV2739" s="56"/>
    </row>
    <row r="2740" spans="2:48" ht="13.5" hidden="1" customHeight="1" outlineLevel="2" thickBot="1">
      <c r="B2740" s="82"/>
      <c r="C2740" s="1232"/>
      <c r="D2740" s="1232"/>
      <c r="E2740" s="85">
        <f>'Terms and Turnovers'!$AX$12</f>
        <v>0</v>
      </c>
      <c r="F2740" s="68">
        <f>F2025/'Terms and Turnovers'!$AX213</f>
        <v>0</v>
      </c>
      <c r="G2740" s="111"/>
      <c r="H2740" s="68">
        <f>H2025/'Terms and Turnovers'!$AX213</f>
        <v>0</v>
      </c>
      <c r="I2740" s="107"/>
      <c r="J2740" s="68">
        <f>J2025/'Terms and Turnovers'!$AX213</f>
        <v>0</v>
      </c>
      <c r="K2740" s="107"/>
      <c r="L2740" s="68">
        <f>L2025/'Terms and Turnovers'!$AX213</f>
        <v>0</v>
      </c>
      <c r="M2740" s="107"/>
      <c r="N2740" s="68">
        <f>N2025/'Terms and Turnovers'!$AX213</f>
        <v>0</v>
      </c>
      <c r="O2740" s="107"/>
      <c r="P2740" s="68">
        <f>P2025/'Terms and Turnovers'!$AX213</f>
        <v>0</v>
      </c>
      <c r="Q2740" s="107"/>
      <c r="R2740" s="135">
        <f>SUM(F2740,H2740,J2740,L2740,N2740,P2740)</f>
        <v>0</v>
      </c>
      <c r="S2740" s="107"/>
      <c r="T2740" s="68">
        <f>T2025/'Terms and Turnovers'!$AX213</f>
        <v>0</v>
      </c>
      <c r="U2740" s="111"/>
      <c r="V2740" s="68">
        <f>V2025/'Terms and Turnovers'!$AX213</f>
        <v>0</v>
      </c>
      <c r="W2740" s="107"/>
      <c r="X2740" s="68">
        <f>X2025/'Terms and Turnovers'!$AX213</f>
        <v>0</v>
      </c>
      <c r="Y2740" s="107"/>
      <c r="Z2740" s="68">
        <f>Z2025/'Terms and Turnovers'!$AX213</f>
        <v>0</v>
      </c>
      <c r="AA2740" s="107"/>
      <c r="AB2740" s="68">
        <f>AB2025/'Terms and Turnovers'!$AX213</f>
        <v>0</v>
      </c>
      <c r="AC2740" s="107"/>
      <c r="AD2740" s="68">
        <f>AD2025/'Terms and Turnovers'!$AX213</f>
        <v>0</v>
      </c>
      <c r="AE2740" s="107"/>
      <c r="AF2740" s="135">
        <f>SUM(T2740,V2740,X2740,Z2740,AB2740,AD2740)</f>
        <v>0</v>
      </c>
      <c r="AG2740" s="107"/>
      <c r="AH2740" s="136">
        <f>SUM(AF2740,R2740)</f>
        <v>0</v>
      </c>
      <c r="AI2740" s="107"/>
      <c r="AJ2740" s="65"/>
      <c r="AV2740" s="56"/>
    </row>
    <row r="2741" spans="2:48" ht="13.5" hidden="1" customHeight="1" outlineLevel="2">
      <c r="B2741" s="82"/>
      <c r="C2741" s="425"/>
      <c r="D2741" s="425"/>
      <c r="E2741" s="634"/>
      <c r="F2741" s="635"/>
      <c r="G2741" s="428"/>
      <c r="H2741" s="635"/>
      <c r="I2741" s="428"/>
      <c r="J2741" s="635"/>
      <c r="K2741" s="636"/>
      <c r="L2741" s="635"/>
      <c r="M2741" s="636"/>
      <c r="N2741" s="635"/>
      <c r="O2741" s="636"/>
      <c r="P2741" s="635"/>
      <c r="Q2741" s="636"/>
      <c r="R2741" s="637"/>
      <c r="S2741" s="698">
        <f>SUM(R2021:R2025)/1.18-(SUM(R2736:R2740)*'Mark Up Validation'!$M$175)</f>
        <v>0</v>
      </c>
      <c r="T2741" s="635"/>
      <c r="U2741" s="636"/>
      <c r="V2741" s="635"/>
      <c r="W2741" s="636"/>
      <c r="X2741" s="635"/>
      <c r="Y2741" s="636"/>
      <c r="Z2741" s="635"/>
      <c r="AA2741" s="636"/>
      <c r="AB2741" s="635"/>
      <c r="AC2741" s="636"/>
      <c r="AD2741" s="635"/>
      <c r="AE2741" s="636"/>
      <c r="AF2741" s="637"/>
      <c r="AG2741" s="698">
        <f>SUM(AF2021:AF2025)/1.18-SUM(AF2736:AF2740)*'Mark Up Validation'!$M$175</f>
        <v>0</v>
      </c>
      <c r="AH2741" s="638"/>
      <c r="AI2741" s="698">
        <f>SUM(AH2021:AH2025)/1.18-SUM(AH2736:AH2740)*'Mark Up Validation'!$M$175</f>
        <v>0</v>
      </c>
      <c r="AJ2741" s="65"/>
      <c r="AV2741" s="56"/>
    </row>
    <row r="2742" spans="2:48" ht="13.5" hidden="1" customHeight="1" outlineLevel="2" thickBot="1">
      <c r="B2742" s="82"/>
      <c r="C2742" s="1228" t="s">
        <v>538</v>
      </c>
      <c r="D2742" s="1229"/>
      <c r="E2742" s="699"/>
      <c r="F2742" s="700"/>
      <c r="G2742" s="701"/>
      <c r="H2742" s="700"/>
      <c r="I2742" s="701"/>
      <c r="J2742" s="700"/>
      <c r="K2742" s="702"/>
      <c r="L2742" s="700"/>
      <c r="M2742" s="702"/>
      <c r="N2742" s="700"/>
      <c r="O2742" s="702"/>
      <c r="P2742" s="700"/>
      <c r="Q2742" s="702"/>
      <c r="R2742" s="703"/>
      <c r="S2742" s="729">
        <f>IF(S2741&gt;0,S2741/(SUM(R2021:R2025)/1.18),0)</f>
        <v>0</v>
      </c>
      <c r="T2742" s="700"/>
      <c r="U2742" s="702"/>
      <c r="V2742" s="700"/>
      <c r="W2742" s="702"/>
      <c r="X2742" s="700"/>
      <c r="Y2742" s="702"/>
      <c r="Z2742" s="700"/>
      <c r="AA2742" s="702"/>
      <c r="AB2742" s="700"/>
      <c r="AC2742" s="702"/>
      <c r="AD2742" s="700"/>
      <c r="AE2742" s="702"/>
      <c r="AF2742" s="705"/>
      <c r="AG2742" s="729">
        <f>IF(AG2741&gt;0,AG2741/(SUM(AF2021:AF2025)/1.18),0)</f>
        <v>0</v>
      </c>
      <c r="AH2742" s="706"/>
      <c r="AI2742" s="729">
        <f>IF(AI2741&gt;0,AI2741/(SUM(AH2021:AH2025)/1.18),0)</f>
        <v>0</v>
      </c>
      <c r="AJ2742" s="65"/>
      <c r="AV2742" s="56"/>
    </row>
    <row r="2743" spans="2:48" ht="12.75" hidden="1" customHeight="1" outlineLevel="2">
      <c r="B2743" s="82">
        <f>B2736+1</f>
        <v>83</v>
      </c>
      <c r="C2743" s="1233">
        <f>C2028</f>
        <v>0</v>
      </c>
      <c r="D2743" s="1233">
        <f>D2028</f>
        <v>0</v>
      </c>
      <c r="E2743" s="83" t="str">
        <f>'Terms and Turnovers'!$J$12</f>
        <v>FLIP-FLOPS</v>
      </c>
      <c r="F2743" s="68">
        <f>F2028/'Terms and Turnovers'!$J214</f>
        <v>0</v>
      </c>
      <c r="G2743" s="106"/>
      <c r="H2743" s="68">
        <f>H2028/'Terms and Turnovers'!$J214</f>
        <v>0</v>
      </c>
      <c r="I2743" s="106"/>
      <c r="J2743" s="68">
        <f>J2028/'Terms and Turnovers'!$J214</f>
        <v>0</v>
      </c>
      <c r="K2743" s="106"/>
      <c r="L2743" s="68">
        <f>L2028/'Terms and Turnovers'!$J214</f>
        <v>0</v>
      </c>
      <c r="M2743" s="106"/>
      <c r="N2743" s="68">
        <f>N2028/'Terms and Turnovers'!$J214</f>
        <v>0</v>
      </c>
      <c r="O2743" s="106"/>
      <c r="P2743" s="68">
        <f>P2028/'Terms and Turnovers'!$J214</f>
        <v>0</v>
      </c>
      <c r="Q2743" s="106"/>
      <c r="R2743" s="129">
        <f>SUM(F2743,H2743,J2743,L2743,N2743,P2743)</f>
        <v>0</v>
      </c>
      <c r="S2743" s="106"/>
      <c r="T2743" s="68">
        <f>T2028/'Terms and Turnovers'!$J214</f>
        <v>0</v>
      </c>
      <c r="U2743" s="106"/>
      <c r="V2743" s="68">
        <f>V2028/'Terms and Turnovers'!$J214</f>
        <v>0</v>
      </c>
      <c r="W2743" s="106"/>
      <c r="X2743" s="68">
        <f>X2028/'Terms and Turnovers'!$J214</f>
        <v>0</v>
      </c>
      <c r="Y2743" s="106"/>
      <c r="Z2743" s="68">
        <f>Z2028/'Terms and Turnovers'!$J214</f>
        <v>0</v>
      </c>
      <c r="AA2743" s="106"/>
      <c r="AB2743" s="68">
        <f>AB2028/'Terms and Turnovers'!$J214</f>
        <v>0</v>
      </c>
      <c r="AC2743" s="106"/>
      <c r="AD2743" s="68">
        <f>AD2028/'Terms and Turnovers'!$J214</f>
        <v>0</v>
      </c>
      <c r="AE2743" s="106"/>
      <c r="AF2743" s="129">
        <f>SUM(T2743,V2743,X2743,Z2743,AB2743,AD2743)</f>
        <v>0</v>
      </c>
      <c r="AG2743" s="106"/>
      <c r="AH2743" s="130">
        <f>SUM(AF2743,R2743)</f>
        <v>0</v>
      </c>
      <c r="AI2743" s="106"/>
      <c r="AJ2743" s="65"/>
      <c r="AV2743" s="56"/>
    </row>
    <row r="2744" spans="2:48" ht="12.75" hidden="1" customHeight="1" outlineLevel="2" thickBot="1">
      <c r="B2744" s="82"/>
      <c r="C2744" s="1234"/>
      <c r="D2744" s="1234"/>
      <c r="E2744" s="84" t="str">
        <f>'Terms and Turnovers'!$T$12</f>
        <v>ORIGINALS</v>
      </c>
      <c r="F2744" s="70">
        <f>F2029/'Terms and Turnovers'!$T214</f>
        <v>0</v>
      </c>
      <c r="G2744" s="728"/>
      <c r="H2744" s="70">
        <f>H2029/'Terms and Turnovers'!$T214</f>
        <v>0</v>
      </c>
      <c r="I2744" s="728"/>
      <c r="J2744" s="70">
        <f>J2029/'Terms and Turnovers'!$T214</f>
        <v>0</v>
      </c>
      <c r="K2744" s="728"/>
      <c r="L2744" s="70">
        <f>L2029/'Terms and Turnovers'!$T214</f>
        <v>0</v>
      </c>
      <c r="M2744" s="728"/>
      <c r="N2744" s="70">
        <f>N2029/'Terms and Turnovers'!$T214</f>
        <v>0</v>
      </c>
      <c r="O2744" s="728"/>
      <c r="P2744" s="70">
        <f>P2029/'Terms and Turnovers'!$T214</f>
        <v>0</v>
      </c>
      <c r="Q2744" s="728"/>
      <c r="R2744" s="132">
        <f>SUM(F2744,H2744,J2744,L2744,N2744,P2744)</f>
        <v>0</v>
      </c>
      <c r="S2744" s="728"/>
      <c r="T2744" s="70">
        <f>T2029/'Terms and Turnovers'!$T214</f>
        <v>0</v>
      </c>
      <c r="U2744" s="728"/>
      <c r="V2744" s="70">
        <f>V2029/'Terms and Turnovers'!$T214</f>
        <v>0</v>
      </c>
      <c r="W2744" s="728"/>
      <c r="X2744" s="70">
        <f>X2029/'Terms and Turnovers'!$T214</f>
        <v>0</v>
      </c>
      <c r="Y2744" s="728"/>
      <c r="Z2744" s="70">
        <f>Z2029/'Terms and Turnovers'!$T214</f>
        <v>0</v>
      </c>
      <c r="AA2744" s="728"/>
      <c r="AB2744" s="70">
        <f>AB2029/'Terms and Turnovers'!$T214</f>
        <v>0</v>
      </c>
      <c r="AC2744" s="728"/>
      <c r="AD2744" s="70">
        <f>AD2029/'Terms and Turnovers'!$T214</f>
        <v>0</v>
      </c>
      <c r="AE2744" s="728"/>
      <c r="AF2744" s="132">
        <f>SUM(T2744,V2744,X2744,Z2744,AB2744,AD2744)</f>
        <v>0</v>
      </c>
      <c r="AG2744" s="728"/>
      <c r="AH2744" s="133">
        <f>SUM(AF2744,R2744)</f>
        <v>0</v>
      </c>
      <c r="AI2744" s="728"/>
      <c r="AJ2744" s="65"/>
      <c r="AV2744" s="56"/>
    </row>
    <row r="2745" spans="2:48" ht="12.75" hidden="1" customHeight="1" outlineLevel="2">
      <c r="B2745" s="82"/>
      <c r="C2745" s="1234"/>
      <c r="D2745" s="1234"/>
      <c r="E2745" s="84" t="str">
        <f>'Terms and Turnovers'!$AD$12</f>
        <v>ACCESSORIES</v>
      </c>
      <c r="F2745" s="68">
        <f>F2030/'Terms and Turnovers'!$AD214</f>
        <v>0</v>
      </c>
      <c r="G2745" s="728"/>
      <c r="H2745" s="68">
        <f>H2030/'Terms and Turnovers'!$AD214</f>
        <v>0</v>
      </c>
      <c r="I2745" s="728"/>
      <c r="J2745" s="68">
        <f>J2030/'Terms and Turnovers'!$AD214</f>
        <v>0</v>
      </c>
      <c r="K2745" s="728"/>
      <c r="L2745" s="68">
        <f>L2030/'Terms and Turnovers'!$AD214</f>
        <v>0</v>
      </c>
      <c r="M2745" s="728"/>
      <c r="N2745" s="68">
        <f>N2030/'Terms and Turnovers'!$AD214</f>
        <v>0</v>
      </c>
      <c r="O2745" s="728"/>
      <c r="P2745" s="68">
        <f>P2030/'Terms and Turnovers'!$AD214</f>
        <v>0</v>
      </c>
      <c r="Q2745" s="728"/>
      <c r="R2745" s="132">
        <f>SUM(F2745,H2745,J2745,L2745,N2745,P2745)</f>
        <v>0</v>
      </c>
      <c r="S2745" s="728"/>
      <c r="T2745" s="68">
        <f>T2030/'Terms and Turnovers'!$AD214</f>
        <v>0</v>
      </c>
      <c r="U2745" s="728"/>
      <c r="V2745" s="68">
        <f>V2030/'Terms and Turnovers'!$AD214</f>
        <v>0</v>
      </c>
      <c r="W2745" s="728"/>
      <c r="X2745" s="68">
        <f>X2030/'Terms and Turnovers'!$AD214</f>
        <v>0</v>
      </c>
      <c r="Y2745" s="728"/>
      <c r="Z2745" s="68">
        <f>Z2030/'Terms and Turnovers'!$AD214</f>
        <v>0</v>
      </c>
      <c r="AA2745" s="728"/>
      <c r="AB2745" s="68">
        <f>AB2030/'Terms and Turnovers'!$AD214</f>
        <v>0</v>
      </c>
      <c r="AC2745" s="728"/>
      <c r="AD2745" s="68">
        <f>AD2030/'Terms and Turnovers'!$AD214</f>
        <v>0</v>
      </c>
      <c r="AE2745" s="728"/>
      <c r="AF2745" s="132">
        <f>SUM(T2745,V2745,X2745,Z2745,AB2745,AD2745)</f>
        <v>0</v>
      </c>
      <c r="AG2745" s="728"/>
      <c r="AH2745" s="133">
        <f>SUM(AF2745,R2745)</f>
        <v>0</v>
      </c>
      <c r="AI2745" s="728"/>
      <c r="AJ2745" s="65"/>
      <c r="AV2745" s="56"/>
    </row>
    <row r="2746" spans="2:48" ht="12.75" hidden="1" customHeight="1" outlineLevel="2" thickBot="1">
      <c r="B2746" s="82"/>
      <c r="C2746" s="1234"/>
      <c r="D2746" s="1234"/>
      <c r="E2746" s="84">
        <f>'Terms and Turnovers'!$AN$12</f>
        <v>0</v>
      </c>
      <c r="F2746" s="70">
        <f>F2031/'Terms and Turnovers'!$AN214</f>
        <v>0</v>
      </c>
      <c r="G2746" s="728"/>
      <c r="H2746" s="70">
        <f>H2031/'Terms and Turnovers'!$AN214</f>
        <v>0</v>
      </c>
      <c r="I2746" s="728"/>
      <c r="J2746" s="70">
        <f>J2031/'Terms and Turnovers'!$AN214</f>
        <v>0</v>
      </c>
      <c r="K2746" s="728"/>
      <c r="L2746" s="70">
        <f>L2031/'Terms and Turnovers'!$AN214</f>
        <v>0</v>
      </c>
      <c r="M2746" s="728"/>
      <c r="N2746" s="70">
        <f>N2031/'Terms and Turnovers'!$AN214</f>
        <v>0</v>
      </c>
      <c r="O2746" s="728"/>
      <c r="P2746" s="70">
        <f>P2031/'Terms and Turnovers'!$AN214</f>
        <v>0</v>
      </c>
      <c r="Q2746" s="728"/>
      <c r="R2746" s="132">
        <f>SUM(F2746,H2746,J2746,L2746,N2746,P2746)</f>
        <v>0</v>
      </c>
      <c r="S2746" s="728"/>
      <c r="T2746" s="70">
        <f>T2031/'Terms and Turnovers'!$AN214</f>
        <v>0</v>
      </c>
      <c r="U2746" s="728"/>
      <c r="V2746" s="70">
        <f>V2031/'Terms and Turnovers'!$AN214</f>
        <v>0</v>
      </c>
      <c r="W2746" s="728"/>
      <c r="X2746" s="70">
        <f>X2031/'Terms and Turnovers'!$AN214</f>
        <v>0</v>
      </c>
      <c r="Y2746" s="728"/>
      <c r="Z2746" s="70">
        <f>Z2031/'Terms and Turnovers'!$AN214</f>
        <v>0</v>
      </c>
      <c r="AA2746" s="728"/>
      <c r="AB2746" s="70">
        <f>AB2031/'Terms and Turnovers'!$AN214</f>
        <v>0</v>
      </c>
      <c r="AC2746" s="728"/>
      <c r="AD2746" s="70">
        <f>AD2031/'Terms and Turnovers'!$AN214</f>
        <v>0</v>
      </c>
      <c r="AE2746" s="728"/>
      <c r="AF2746" s="132">
        <f>SUM(T2746,V2746,X2746,Z2746,AB2746,AD2746)</f>
        <v>0</v>
      </c>
      <c r="AG2746" s="728"/>
      <c r="AH2746" s="133">
        <f>SUM(AF2746,R2746)</f>
        <v>0</v>
      </c>
      <c r="AI2746" s="728"/>
      <c r="AJ2746" s="65"/>
      <c r="AV2746" s="56"/>
    </row>
    <row r="2747" spans="2:48" ht="13.5" hidden="1" customHeight="1" outlineLevel="2" thickBot="1">
      <c r="B2747" s="82"/>
      <c r="C2747" s="1235"/>
      <c r="D2747" s="1235"/>
      <c r="E2747" s="85">
        <f>'Terms and Turnovers'!$AX$12</f>
        <v>0</v>
      </c>
      <c r="F2747" s="68">
        <f>F2032/'Terms and Turnovers'!$AX214</f>
        <v>0</v>
      </c>
      <c r="G2747" s="111"/>
      <c r="H2747" s="68">
        <f>H2032/'Terms and Turnovers'!$AX214</f>
        <v>0</v>
      </c>
      <c r="I2747" s="107"/>
      <c r="J2747" s="68">
        <f>J2032/'Terms and Turnovers'!$AX214</f>
        <v>0</v>
      </c>
      <c r="K2747" s="107"/>
      <c r="L2747" s="68">
        <f>L2032/'Terms and Turnovers'!$AX214</f>
        <v>0</v>
      </c>
      <c r="M2747" s="107"/>
      <c r="N2747" s="68">
        <f>N2032/'Terms and Turnovers'!$AX214</f>
        <v>0</v>
      </c>
      <c r="O2747" s="107"/>
      <c r="P2747" s="68">
        <f>P2032/'Terms and Turnovers'!$AX214</f>
        <v>0</v>
      </c>
      <c r="Q2747" s="107"/>
      <c r="R2747" s="135">
        <f>SUM(F2747,H2747,J2747,L2747,N2747,P2747)</f>
        <v>0</v>
      </c>
      <c r="S2747" s="107"/>
      <c r="T2747" s="68">
        <f>T2032/'Terms and Turnovers'!$AX214</f>
        <v>0</v>
      </c>
      <c r="U2747" s="111"/>
      <c r="V2747" s="68">
        <f>V2032/'Terms and Turnovers'!$AX214</f>
        <v>0</v>
      </c>
      <c r="W2747" s="107"/>
      <c r="X2747" s="68">
        <f>X2032/'Terms and Turnovers'!$AX214</f>
        <v>0</v>
      </c>
      <c r="Y2747" s="107"/>
      <c r="Z2747" s="68">
        <f>Z2032/'Terms and Turnovers'!$AX214</f>
        <v>0</v>
      </c>
      <c r="AA2747" s="107"/>
      <c r="AB2747" s="68">
        <f>AB2032/'Terms and Turnovers'!$AX214</f>
        <v>0</v>
      </c>
      <c r="AC2747" s="107"/>
      <c r="AD2747" s="68">
        <f>AD2032/'Terms and Turnovers'!$AX214</f>
        <v>0</v>
      </c>
      <c r="AE2747" s="107"/>
      <c r="AF2747" s="135">
        <f>SUM(T2747,V2747,X2747,Z2747,AB2747,AD2747)</f>
        <v>0</v>
      </c>
      <c r="AG2747" s="107"/>
      <c r="AH2747" s="136">
        <f>SUM(AF2747,R2747)</f>
        <v>0</v>
      </c>
      <c r="AI2747" s="107"/>
      <c r="AJ2747" s="65"/>
      <c r="AV2747" s="56"/>
    </row>
    <row r="2748" spans="2:48" ht="13.5" hidden="1" customHeight="1" outlineLevel="2">
      <c r="B2748" s="82"/>
      <c r="C2748" s="425"/>
      <c r="D2748" s="425"/>
      <c r="E2748" s="634"/>
      <c r="F2748" s="635"/>
      <c r="G2748" s="428"/>
      <c r="H2748" s="635"/>
      <c r="I2748" s="428"/>
      <c r="J2748" s="635"/>
      <c r="K2748" s="636"/>
      <c r="L2748" s="635"/>
      <c r="M2748" s="636"/>
      <c r="N2748" s="635"/>
      <c r="O2748" s="636"/>
      <c r="P2748" s="635"/>
      <c r="Q2748" s="636"/>
      <c r="R2748" s="637"/>
      <c r="S2748" s="698">
        <f>SUM(R2028:R2032)/1.18-(SUM(R2743:R2747)*'Mark Up Validation'!$M$175)</f>
        <v>0</v>
      </c>
      <c r="T2748" s="635"/>
      <c r="U2748" s="636"/>
      <c r="V2748" s="635"/>
      <c r="W2748" s="636"/>
      <c r="X2748" s="635"/>
      <c r="Y2748" s="636"/>
      <c r="Z2748" s="635"/>
      <c r="AA2748" s="636"/>
      <c r="AB2748" s="635"/>
      <c r="AC2748" s="636"/>
      <c r="AD2748" s="635"/>
      <c r="AE2748" s="636"/>
      <c r="AF2748" s="637"/>
      <c r="AG2748" s="698">
        <f>SUM(AF2028:AF2032)/1.18-SUM(AF2743:AF2747)*'Mark Up Validation'!$M$175</f>
        <v>0</v>
      </c>
      <c r="AH2748" s="638"/>
      <c r="AI2748" s="698">
        <f>SUM(AH2028:AH2032)/1.18-SUM(AH2743:AH2747)*'Mark Up Validation'!$M$175</f>
        <v>0</v>
      </c>
      <c r="AJ2748" s="65"/>
      <c r="AV2748" s="56"/>
    </row>
    <row r="2749" spans="2:48" ht="13.5" hidden="1" customHeight="1" outlineLevel="2" thickBot="1">
      <c r="B2749" s="82"/>
      <c r="C2749" s="1228" t="s">
        <v>538</v>
      </c>
      <c r="D2749" s="1229"/>
      <c r="E2749" s="699"/>
      <c r="F2749" s="700"/>
      <c r="G2749" s="701"/>
      <c r="H2749" s="700"/>
      <c r="I2749" s="701"/>
      <c r="J2749" s="700"/>
      <c r="K2749" s="702"/>
      <c r="L2749" s="700"/>
      <c r="M2749" s="702"/>
      <c r="N2749" s="700"/>
      <c r="O2749" s="702"/>
      <c r="P2749" s="700"/>
      <c r="Q2749" s="702"/>
      <c r="R2749" s="703"/>
      <c r="S2749" s="729">
        <f>IF(S2748&gt;0,S2748/(SUM(R2028:R2032)/1.18),0)</f>
        <v>0</v>
      </c>
      <c r="T2749" s="700"/>
      <c r="U2749" s="702"/>
      <c r="V2749" s="700"/>
      <c r="W2749" s="702"/>
      <c r="X2749" s="700"/>
      <c r="Y2749" s="702"/>
      <c r="Z2749" s="700"/>
      <c r="AA2749" s="702"/>
      <c r="AB2749" s="700"/>
      <c r="AC2749" s="702"/>
      <c r="AD2749" s="700"/>
      <c r="AE2749" s="702"/>
      <c r="AF2749" s="705"/>
      <c r="AG2749" s="729">
        <f>IF(AG2748&gt;0,AG2748/(SUM(AF2028:AF2032)/1.18),0)</f>
        <v>0</v>
      </c>
      <c r="AH2749" s="706"/>
      <c r="AI2749" s="729">
        <f>IF(AI2748&gt;0,AI2748/(SUM(AH2028:AH2032)/1.18),0)</f>
        <v>0</v>
      </c>
      <c r="AJ2749" s="65"/>
      <c r="AV2749" s="56"/>
    </row>
    <row r="2750" spans="2:48" ht="12.75" hidden="1" customHeight="1" outlineLevel="2">
      <c r="B2750" s="82">
        <f>B2743+1</f>
        <v>84</v>
      </c>
      <c r="C2750" s="1230">
        <f>C2035</f>
        <v>0</v>
      </c>
      <c r="D2750" s="1230">
        <f>D2035</f>
        <v>0</v>
      </c>
      <c r="E2750" s="83" t="str">
        <f>'Terms and Turnovers'!$J$12</f>
        <v>FLIP-FLOPS</v>
      </c>
      <c r="F2750" s="68">
        <f>F2035/'Terms and Turnovers'!$J215</f>
        <v>0</v>
      </c>
      <c r="G2750" s="106"/>
      <c r="H2750" s="68">
        <f>H2035/'Terms and Turnovers'!$J215</f>
        <v>0</v>
      </c>
      <c r="I2750" s="106"/>
      <c r="J2750" s="68">
        <f>J2035/'Terms and Turnovers'!$J215</f>
        <v>0</v>
      </c>
      <c r="K2750" s="106"/>
      <c r="L2750" s="68">
        <f>L2035/'Terms and Turnovers'!$J215</f>
        <v>0</v>
      </c>
      <c r="M2750" s="106"/>
      <c r="N2750" s="68">
        <f>N2035/'Terms and Turnovers'!$J215</f>
        <v>0</v>
      </c>
      <c r="O2750" s="106"/>
      <c r="P2750" s="68">
        <f>P2035/'Terms and Turnovers'!$J215</f>
        <v>0</v>
      </c>
      <c r="Q2750" s="106"/>
      <c r="R2750" s="129">
        <f>SUM(F2750,H2750,J2750,L2750,N2750,P2750)</f>
        <v>0</v>
      </c>
      <c r="S2750" s="106"/>
      <c r="T2750" s="68">
        <f>T2035/'Terms and Turnovers'!$J215</f>
        <v>0</v>
      </c>
      <c r="U2750" s="106"/>
      <c r="V2750" s="68">
        <f>V2035/'Terms and Turnovers'!$J215</f>
        <v>0</v>
      </c>
      <c r="W2750" s="106"/>
      <c r="X2750" s="68">
        <f>X2035/'Terms and Turnovers'!$J215</f>
        <v>0</v>
      </c>
      <c r="Y2750" s="106"/>
      <c r="Z2750" s="68">
        <f>Z2035/'Terms and Turnovers'!$J215</f>
        <v>0</v>
      </c>
      <c r="AA2750" s="106"/>
      <c r="AB2750" s="68">
        <f>AB2035/'Terms and Turnovers'!$J215</f>
        <v>0</v>
      </c>
      <c r="AC2750" s="106"/>
      <c r="AD2750" s="68">
        <f>AD2035/'Terms and Turnovers'!$J215</f>
        <v>0</v>
      </c>
      <c r="AE2750" s="106"/>
      <c r="AF2750" s="129">
        <f>SUM(T2750,V2750,X2750,Z2750,AB2750,AD2750)</f>
        <v>0</v>
      </c>
      <c r="AG2750" s="106"/>
      <c r="AH2750" s="130">
        <f>SUM(AF2750,R2750)</f>
        <v>0</v>
      </c>
      <c r="AI2750" s="106"/>
      <c r="AJ2750" s="65"/>
      <c r="AV2750" s="56"/>
    </row>
    <row r="2751" spans="2:48" ht="12.75" hidden="1" customHeight="1" outlineLevel="2" thickBot="1">
      <c r="B2751" s="82"/>
      <c r="C2751" s="1231"/>
      <c r="D2751" s="1231"/>
      <c r="E2751" s="84" t="str">
        <f>'Terms and Turnovers'!$T$12</f>
        <v>ORIGINALS</v>
      </c>
      <c r="F2751" s="70">
        <f>F2036/'Terms and Turnovers'!$T215</f>
        <v>0</v>
      </c>
      <c r="G2751" s="728"/>
      <c r="H2751" s="70">
        <f>H2036/'Terms and Turnovers'!$T215</f>
        <v>0</v>
      </c>
      <c r="I2751" s="728"/>
      <c r="J2751" s="70">
        <f>J2036/'Terms and Turnovers'!$T215</f>
        <v>0</v>
      </c>
      <c r="K2751" s="728"/>
      <c r="L2751" s="70">
        <f>L2036/'Terms and Turnovers'!$T215</f>
        <v>0</v>
      </c>
      <c r="M2751" s="728"/>
      <c r="N2751" s="70">
        <f>N2036/'Terms and Turnovers'!$T215</f>
        <v>0</v>
      </c>
      <c r="O2751" s="728"/>
      <c r="P2751" s="70">
        <f>P2036/'Terms and Turnovers'!$T215</f>
        <v>0</v>
      </c>
      <c r="Q2751" s="728"/>
      <c r="R2751" s="132">
        <f>SUM(F2751,H2751,J2751,L2751,N2751,P2751)</f>
        <v>0</v>
      </c>
      <c r="S2751" s="728"/>
      <c r="T2751" s="70">
        <f>T2036/'Terms and Turnovers'!$T215</f>
        <v>0</v>
      </c>
      <c r="U2751" s="728"/>
      <c r="V2751" s="70">
        <f>V2036/'Terms and Turnovers'!$T215</f>
        <v>0</v>
      </c>
      <c r="W2751" s="728"/>
      <c r="X2751" s="70">
        <f>X2036/'Terms and Turnovers'!$T215</f>
        <v>0</v>
      </c>
      <c r="Y2751" s="728"/>
      <c r="Z2751" s="70">
        <f>Z2036/'Terms and Turnovers'!$T215</f>
        <v>0</v>
      </c>
      <c r="AA2751" s="728"/>
      <c r="AB2751" s="70">
        <f>AB2036/'Terms and Turnovers'!$T215</f>
        <v>0</v>
      </c>
      <c r="AC2751" s="728"/>
      <c r="AD2751" s="70">
        <f>AD2036/'Terms and Turnovers'!$T215</f>
        <v>0</v>
      </c>
      <c r="AE2751" s="728"/>
      <c r="AF2751" s="132">
        <f>SUM(T2751,V2751,X2751,Z2751,AB2751,AD2751)</f>
        <v>0</v>
      </c>
      <c r="AG2751" s="728"/>
      <c r="AH2751" s="133">
        <f>SUM(AF2751,R2751)</f>
        <v>0</v>
      </c>
      <c r="AI2751" s="728"/>
      <c r="AJ2751" s="65"/>
      <c r="AV2751" s="56"/>
    </row>
    <row r="2752" spans="2:48" ht="12.75" hidden="1" customHeight="1" outlineLevel="2">
      <c r="B2752" s="82"/>
      <c r="C2752" s="1231"/>
      <c r="D2752" s="1231"/>
      <c r="E2752" s="84" t="str">
        <f>'Terms and Turnovers'!$AD$12</f>
        <v>ACCESSORIES</v>
      </c>
      <c r="F2752" s="68">
        <f>F2037/'Terms and Turnovers'!$AD215</f>
        <v>0</v>
      </c>
      <c r="G2752" s="728"/>
      <c r="H2752" s="68">
        <f>H2037/'Terms and Turnovers'!$AD215</f>
        <v>0</v>
      </c>
      <c r="I2752" s="728"/>
      <c r="J2752" s="68">
        <f>J2037/'Terms and Turnovers'!$AD215</f>
        <v>0</v>
      </c>
      <c r="K2752" s="728"/>
      <c r="L2752" s="68">
        <f>L2037/'Terms and Turnovers'!$AD215</f>
        <v>0</v>
      </c>
      <c r="M2752" s="728"/>
      <c r="N2752" s="68">
        <f>N2037/'Terms and Turnovers'!$AD215</f>
        <v>0</v>
      </c>
      <c r="O2752" s="728"/>
      <c r="P2752" s="68">
        <f>P2037/'Terms and Turnovers'!$AD215</f>
        <v>0</v>
      </c>
      <c r="Q2752" s="728"/>
      <c r="R2752" s="132">
        <f>SUM(F2752,H2752,J2752,L2752,N2752,P2752)</f>
        <v>0</v>
      </c>
      <c r="S2752" s="728"/>
      <c r="T2752" s="68">
        <f>T2037/'Terms and Turnovers'!$AD215</f>
        <v>0</v>
      </c>
      <c r="U2752" s="728"/>
      <c r="V2752" s="68">
        <f>V2037/'Terms and Turnovers'!$AD215</f>
        <v>0</v>
      </c>
      <c r="W2752" s="728"/>
      <c r="X2752" s="68">
        <f>X2037/'Terms and Turnovers'!$AD215</f>
        <v>0</v>
      </c>
      <c r="Y2752" s="728"/>
      <c r="Z2752" s="68">
        <f>Z2037/'Terms and Turnovers'!$AD215</f>
        <v>0</v>
      </c>
      <c r="AA2752" s="728"/>
      <c r="AB2752" s="68">
        <f>AB2037/'Terms and Turnovers'!$AD215</f>
        <v>0</v>
      </c>
      <c r="AC2752" s="728"/>
      <c r="AD2752" s="68">
        <f>AD2037/'Terms and Turnovers'!$AD215</f>
        <v>0</v>
      </c>
      <c r="AE2752" s="728"/>
      <c r="AF2752" s="132">
        <f>SUM(T2752,V2752,X2752,Z2752,AB2752,AD2752)</f>
        <v>0</v>
      </c>
      <c r="AG2752" s="728"/>
      <c r="AH2752" s="133">
        <f>SUM(AF2752,R2752)</f>
        <v>0</v>
      </c>
      <c r="AI2752" s="728"/>
      <c r="AJ2752" s="65"/>
      <c r="AV2752" s="56"/>
    </row>
    <row r="2753" spans="2:48" ht="12.75" hidden="1" customHeight="1" outlineLevel="2" thickBot="1">
      <c r="B2753" s="82"/>
      <c r="C2753" s="1231"/>
      <c r="D2753" s="1231"/>
      <c r="E2753" s="84">
        <f>'Terms and Turnovers'!$AN$12</f>
        <v>0</v>
      </c>
      <c r="F2753" s="70">
        <f>F2038/'Terms and Turnovers'!$AN215</f>
        <v>0</v>
      </c>
      <c r="G2753" s="728"/>
      <c r="H2753" s="70">
        <f>H2038/'Terms and Turnovers'!$AN215</f>
        <v>0</v>
      </c>
      <c r="I2753" s="728"/>
      <c r="J2753" s="70">
        <f>J2038/'Terms and Turnovers'!$AN215</f>
        <v>0</v>
      </c>
      <c r="K2753" s="728"/>
      <c r="L2753" s="70">
        <f>L2038/'Terms and Turnovers'!$AN215</f>
        <v>0</v>
      </c>
      <c r="M2753" s="728"/>
      <c r="N2753" s="70">
        <f>N2038/'Terms and Turnovers'!$AN215</f>
        <v>0</v>
      </c>
      <c r="O2753" s="728"/>
      <c r="P2753" s="70">
        <f>P2038/'Terms and Turnovers'!$AN215</f>
        <v>0</v>
      </c>
      <c r="Q2753" s="728"/>
      <c r="R2753" s="132">
        <f>SUM(F2753,H2753,J2753,L2753,N2753,P2753)</f>
        <v>0</v>
      </c>
      <c r="S2753" s="728"/>
      <c r="T2753" s="70">
        <f>T2038/'Terms and Turnovers'!$AN215</f>
        <v>0</v>
      </c>
      <c r="U2753" s="728"/>
      <c r="V2753" s="70">
        <f>V2038/'Terms and Turnovers'!$AN215</f>
        <v>0</v>
      </c>
      <c r="W2753" s="728"/>
      <c r="X2753" s="70">
        <f>X2038/'Terms and Turnovers'!$AN215</f>
        <v>0</v>
      </c>
      <c r="Y2753" s="728"/>
      <c r="Z2753" s="70">
        <f>Z2038/'Terms and Turnovers'!$AN215</f>
        <v>0</v>
      </c>
      <c r="AA2753" s="728"/>
      <c r="AB2753" s="70">
        <f>AB2038/'Terms and Turnovers'!$AN215</f>
        <v>0</v>
      </c>
      <c r="AC2753" s="728"/>
      <c r="AD2753" s="70">
        <f>AD2038/'Terms and Turnovers'!$AN215</f>
        <v>0</v>
      </c>
      <c r="AE2753" s="728"/>
      <c r="AF2753" s="132">
        <f>SUM(T2753,V2753,X2753,Z2753,AB2753,AD2753)</f>
        <v>0</v>
      </c>
      <c r="AG2753" s="728"/>
      <c r="AH2753" s="133">
        <f>SUM(AF2753,R2753)</f>
        <v>0</v>
      </c>
      <c r="AI2753" s="728"/>
      <c r="AJ2753" s="65"/>
      <c r="AV2753" s="56"/>
    </row>
    <row r="2754" spans="2:48" ht="13.5" hidden="1" customHeight="1" outlineLevel="2" thickBot="1">
      <c r="B2754" s="82"/>
      <c r="C2754" s="1232"/>
      <c r="D2754" s="1232"/>
      <c r="E2754" s="85">
        <f>'Terms and Turnovers'!$AX$12</f>
        <v>0</v>
      </c>
      <c r="F2754" s="68">
        <f>F2039/'Terms and Turnovers'!$AX215</f>
        <v>0</v>
      </c>
      <c r="G2754" s="111"/>
      <c r="H2754" s="68">
        <f>H2039/'Terms and Turnovers'!$AX215</f>
        <v>0</v>
      </c>
      <c r="I2754" s="107"/>
      <c r="J2754" s="68">
        <f>J2039/'Terms and Turnovers'!$AX215</f>
        <v>0</v>
      </c>
      <c r="K2754" s="107"/>
      <c r="L2754" s="68">
        <f>L2039/'Terms and Turnovers'!$AX215</f>
        <v>0</v>
      </c>
      <c r="M2754" s="107"/>
      <c r="N2754" s="68">
        <f>N2039/'Terms and Turnovers'!$AX215</f>
        <v>0</v>
      </c>
      <c r="O2754" s="107"/>
      <c r="P2754" s="68">
        <f>P2039/'Terms and Turnovers'!$AX215</f>
        <v>0</v>
      </c>
      <c r="Q2754" s="107"/>
      <c r="R2754" s="135">
        <f>SUM(F2754,H2754,J2754,L2754,N2754,P2754)</f>
        <v>0</v>
      </c>
      <c r="S2754" s="107"/>
      <c r="T2754" s="68">
        <f>T2039/'Terms and Turnovers'!$AX215</f>
        <v>0</v>
      </c>
      <c r="U2754" s="111"/>
      <c r="V2754" s="68">
        <f>V2039/'Terms and Turnovers'!$AX215</f>
        <v>0</v>
      </c>
      <c r="W2754" s="107"/>
      <c r="X2754" s="68">
        <f>X2039/'Terms and Turnovers'!$AX215</f>
        <v>0</v>
      </c>
      <c r="Y2754" s="107"/>
      <c r="Z2754" s="68">
        <f>Z2039/'Terms and Turnovers'!$AX215</f>
        <v>0</v>
      </c>
      <c r="AA2754" s="107"/>
      <c r="AB2754" s="68">
        <f>AB2039/'Terms and Turnovers'!$AX215</f>
        <v>0</v>
      </c>
      <c r="AC2754" s="107"/>
      <c r="AD2754" s="68">
        <f>AD2039/'Terms and Turnovers'!$AX215</f>
        <v>0</v>
      </c>
      <c r="AE2754" s="107"/>
      <c r="AF2754" s="135">
        <f>SUM(T2754,V2754,X2754,Z2754,AB2754,AD2754)</f>
        <v>0</v>
      </c>
      <c r="AG2754" s="107"/>
      <c r="AH2754" s="136">
        <f>SUM(AF2754,R2754)</f>
        <v>0</v>
      </c>
      <c r="AI2754" s="107"/>
      <c r="AJ2754" s="65"/>
      <c r="AV2754" s="56"/>
    </row>
    <row r="2755" spans="2:48" ht="13.5" hidden="1" customHeight="1" outlineLevel="2">
      <c r="B2755" s="82"/>
      <c r="C2755" s="425"/>
      <c r="D2755" s="425"/>
      <c r="E2755" s="634"/>
      <c r="F2755" s="635"/>
      <c r="G2755" s="428"/>
      <c r="H2755" s="635"/>
      <c r="I2755" s="428"/>
      <c r="J2755" s="635"/>
      <c r="K2755" s="636"/>
      <c r="L2755" s="635"/>
      <c r="M2755" s="636"/>
      <c r="N2755" s="635"/>
      <c r="O2755" s="636"/>
      <c r="P2755" s="635"/>
      <c r="Q2755" s="636"/>
      <c r="R2755" s="637"/>
      <c r="S2755" s="698">
        <f>SUM(R2035:R2039)/1.18-(SUM(R2750:R2754)*'Mark Up Validation'!$M$175)</f>
        <v>0</v>
      </c>
      <c r="T2755" s="635"/>
      <c r="U2755" s="636"/>
      <c r="V2755" s="635"/>
      <c r="W2755" s="636"/>
      <c r="X2755" s="635"/>
      <c r="Y2755" s="636"/>
      <c r="Z2755" s="635"/>
      <c r="AA2755" s="636"/>
      <c r="AB2755" s="635"/>
      <c r="AC2755" s="636"/>
      <c r="AD2755" s="635"/>
      <c r="AE2755" s="636"/>
      <c r="AF2755" s="637"/>
      <c r="AG2755" s="698">
        <f>SUM(AF2035:AF2039)/1.18-SUM(AF2750:AF2754)*'Mark Up Validation'!$M$175</f>
        <v>0</v>
      </c>
      <c r="AH2755" s="638"/>
      <c r="AI2755" s="698">
        <f>SUM(AH2035:AH2039)/1.18-SUM(AH2750:AH2754)*'Mark Up Validation'!$M$175</f>
        <v>0</v>
      </c>
      <c r="AJ2755" s="65"/>
      <c r="AV2755" s="56"/>
    </row>
    <row r="2756" spans="2:48" ht="13.5" hidden="1" customHeight="1" outlineLevel="2" thickBot="1">
      <c r="B2756" s="82"/>
      <c r="C2756" s="1228" t="s">
        <v>538</v>
      </c>
      <c r="D2756" s="1229"/>
      <c r="E2756" s="699"/>
      <c r="F2756" s="700"/>
      <c r="G2756" s="701"/>
      <c r="H2756" s="700"/>
      <c r="I2756" s="701"/>
      <c r="J2756" s="700"/>
      <c r="K2756" s="702"/>
      <c r="L2756" s="700"/>
      <c r="M2756" s="702"/>
      <c r="N2756" s="700"/>
      <c r="O2756" s="702"/>
      <c r="P2756" s="700"/>
      <c r="Q2756" s="702"/>
      <c r="R2756" s="703"/>
      <c r="S2756" s="729">
        <f>IF(S2755&gt;0,S2755/(SUM(R2035:R2039)/1.18),0)</f>
        <v>0</v>
      </c>
      <c r="T2756" s="700"/>
      <c r="U2756" s="702"/>
      <c r="V2756" s="700"/>
      <c r="W2756" s="702"/>
      <c r="X2756" s="700"/>
      <c r="Y2756" s="702"/>
      <c r="Z2756" s="700"/>
      <c r="AA2756" s="702"/>
      <c r="AB2756" s="700"/>
      <c r="AC2756" s="702"/>
      <c r="AD2756" s="700"/>
      <c r="AE2756" s="702"/>
      <c r="AF2756" s="705"/>
      <c r="AG2756" s="729">
        <f>IF(AG2755&gt;0,AG2755/(SUM(AF2035:AF2039)/1.18),0)</f>
        <v>0</v>
      </c>
      <c r="AH2756" s="706"/>
      <c r="AI2756" s="729">
        <f>IF(AI2755&gt;0,AI2755/(SUM(AH2035:AH2039)/1.18),0)</f>
        <v>0</v>
      </c>
      <c r="AJ2756" s="65"/>
      <c r="AV2756" s="56"/>
    </row>
    <row r="2757" spans="2:48" ht="12.75" hidden="1" customHeight="1" outlineLevel="2">
      <c r="B2757" s="82">
        <f>B2750+1</f>
        <v>85</v>
      </c>
      <c r="C2757" s="1233">
        <f>C2042</f>
        <v>0</v>
      </c>
      <c r="D2757" s="1233">
        <f>D2042</f>
        <v>0</v>
      </c>
      <c r="E2757" s="83" t="str">
        <f>'Terms and Turnovers'!$J$12</f>
        <v>FLIP-FLOPS</v>
      </c>
      <c r="F2757" s="68">
        <f>F2042/'Terms and Turnovers'!$J216</f>
        <v>0</v>
      </c>
      <c r="G2757" s="106"/>
      <c r="H2757" s="68">
        <f>H2042/'Terms and Turnovers'!$J216</f>
        <v>0</v>
      </c>
      <c r="I2757" s="106"/>
      <c r="J2757" s="68">
        <f>J2042/'Terms and Turnovers'!$J216</f>
        <v>0</v>
      </c>
      <c r="K2757" s="106"/>
      <c r="L2757" s="68">
        <f>L2042/'Terms and Turnovers'!$J216</f>
        <v>0</v>
      </c>
      <c r="M2757" s="106"/>
      <c r="N2757" s="68">
        <f>N2042/'Terms and Turnovers'!$J216</f>
        <v>0</v>
      </c>
      <c r="O2757" s="106"/>
      <c r="P2757" s="68">
        <f>P2042/'Terms and Turnovers'!$J216</f>
        <v>0</v>
      </c>
      <c r="Q2757" s="106"/>
      <c r="R2757" s="129">
        <f>SUM(F2757,H2757,J2757,L2757,N2757,P2757)</f>
        <v>0</v>
      </c>
      <c r="S2757" s="106"/>
      <c r="T2757" s="68">
        <f>T2042/'Terms and Turnovers'!$J216</f>
        <v>0</v>
      </c>
      <c r="U2757" s="106"/>
      <c r="V2757" s="68">
        <f>V2042/'Terms and Turnovers'!$J216</f>
        <v>0</v>
      </c>
      <c r="W2757" s="106"/>
      <c r="X2757" s="68">
        <f>X2042/'Terms and Turnovers'!$J216</f>
        <v>0</v>
      </c>
      <c r="Y2757" s="106"/>
      <c r="Z2757" s="68">
        <f>Z2042/'Terms and Turnovers'!$J216</f>
        <v>0</v>
      </c>
      <c r="AA2757" s="106"/>
      <c r="AB2757" s="68">
        <f>AB2042/'Terms and Turnovers'!$J216</f>
        <v>0</v>
      </c>
      <c r="AC2757" s="106"/>
      <c r="AD2757" s="68">
        <f>AD2042/'Terms and Turnovers'!$J216</f>
        <v>0</v>
      </c>
      <c r="AE2757" s="106"/>
      <c r="AF2757" s="129">
        <f>SUM(T2757,V2757,X2757,Z2757,AB2757,AD2757)</f>
        <v>0</v>
      </c>
      <c r="AG2757" s="106"/>
      <c r="AH2757" s="130">
        <f>SUM(AF2757,R2757)</f>
        <v>0</v>
      </c>
      <c r="AI2757" s="106"/>
      <c r="AJ2757" s="65"/>
      <c r="AV2757" s="56"/>
    </row>
    <row r="2758" spans="2:48" ht="12.75" hidden="1" customHeight="1" outlineLevel="2" thickBot="1">
      <c r="B2758" s="82"/>
      <c r="C2758" s="1234"/>
      <c r="D2758" s="1234"/>
      <c r="E2758" s="84" t="str">
        <f>'Terms and Turnovers'!$T$12</f>
        <v>ORIGINALS</v>
      </c>
      <c r="F2758" s="70">
        <f>F2043/'Terms and Turnovers'!$T216</f>
        <v>0</v>
      </c>
      <c r="G2758" s="728"/>
      <c r="H2758" s="70">
        <f>H2043/'Terms and Turnovers'!$T216</f>
        <v>0</v>
      </c>
      <c r="I2758" s="728"/>
      <c r="J2758" s="70">
        <f>J2043/'Terms and Turnovers'!$T216</f>
        <v>0</v>
      </c>
      <c r="K2758" s="728"/>
      <c r="L2758" s="70">
        <f>L2043/'Terms and Turnovers'!$T216</f>
        <v>0</v>
      </c>
      <c r="M2758" s="728"/>
      <c r="N2758" s="70">
        <f>N2043/'Terms and Turnovers'!$T216</f>
        <v>0</v>
      </c>
      <c r="O2758" s="728"/>
      <c r="P2758" s="70">
        <f>P2043/'Terms and Turnovers'!$T216</f>
        <v>0</v>
      </c>
      <c r="Q2758" s="728"/>
      <c r="R2758" s="132">
        <f>SUM(F2758,H2758,J2758,L2758,N2758,P2758)</f>
        <v>0</v>
      </c>
      <c r="S2758" s="728"/>
      <c r="T2758" s="70">
        <f>T2043/'Terms and Turnovers'!$T216</f>
        <v>0</v>
      </c>
      <c r="U2758" s="728"/>
      <c r="V2758" s="70">
        <f>V2043/'Terms and Turnovers'!$T216</f>
        <v>0</v>
      </c>
      <c r="W2758" s="728"/>
      <c r="X2758" s="70">
        <f>X2043/'Terms and Turnovers'!$T216</f>
        <v>0</v>
      </c>
      <c r="Y2758" s="728"/>
      <c r="Z2758" s="70">
        <f>Z2043/'Terms and Turnovers'!$T216</f>
        <v>0</v>
      </c>
      <c r="AA2758" s="728"/>
      <c r="AB2758" s="70">
        <f>AB2043/'Terms and Turnovers'!$T216</f>
        <v>0</v>
      </c>
      <c r="AC2758" s="728"/>
      <c r="AD2758" s="70">
        <f>AD2043/'Terms and Turnovers'!$T216</f>
        <v>0</v>
      </c>
      <c r="AE2758" s="728"/>
      <c r="AF2758" s="132">
        <f>SUM(T2758,V2758,X2758,Z2758,AB2758,AD2758)</f>
        <v>0</v>
      </c>
      <c r="AG2758" s="728"/>
      <c r="AH2758" s="133">
        <f>SUM(AF2758,R2758)</f>
        <v>0</v>
      </c>
      <c r="AI2758" s="728"/>
      <c r="AJ2758" s="65"/>
      <c r="AV2758" s="56"/>
    </row>
    <row r="2759" spans="2:48" ht="12.75" hidden="1" customHeight="1" outlineLevel="2">
      <c r="B2759" s="82"/>
      <c r="C2759" s="1234"/>
      <c r="D2759" s="1234"/>
      <c r="E2759" s="84" t="str">
        <f>'Terms and Turnovers'!$AD$12</f>
        <v>ACCESSORIES</v>
      </c>
      <c r="F2759" s="68">
        <f>F2044/'Terms and Turnovers'!$AD216</f>
        <v>0</v>
      </c>
      <c r="G2759" s="728"/>
      <c r="H2759" s="68">
        <f>H2044/'Terms and Turnovers'!$AD216</f>
        <v>0</v>
      </c>
      <c r="I2759" s="728"/>
      <c r="J2759" s="68">
        <f>J2044/'Terms and Turnovers'!$AD216</f>
        <v>0</v>
      </c>
      <c r="K2759" s="728"/>
      <c r="L2759" s="68">
        <f>L2044/'Terms and Turnovers'!$AD216</f>
        <v>0</v>
      </c>
      <c r="M2759" s="728"/>
      <c r="N2759" s="68">
        <f>N2044/'Terms and Turnovers'!$AD216</f>
        <v>0</v>
      </c>
      <c r="O2759" s="728"/>
      <c r="P2759" s="68">
        <f>P2044/'Terms and Turnovers'!$AD216</f>
        <v>0</v>
      </c>
      <c r="Q2759" s="728"/>
      <c r="R2759" s="132">
        <f>SUM(F2759,H2759,J2759,L2759,N2759,P2759)</f>
        <v>0</v>
      </c>
      <c r="S2759" s="728"/>
      <c r="T2759" s="68">
        <f>T2044/'Terms and Turnovers'!$AD216</f>
        <v>0</v>
      </c>
      <c r="U2759" s="728"/>
      <c r="V2759" s="68">
        <f>V2044/'Terms and Turnovers'!$AD216</f>
        <v>0</v>
      </c>
      <c r="W2759" s="728"/>
      <c r="X2759" s="68">
        <f>X2044/'Terms and Turnovers'!$AD216</f>
        <v>0</v>
      </c>
      <c r="Y2759" s="728"/>
      <c r="Z2759" s="68">
        <f>Z2044/'Terms and Turnovers'!$AD216</f>
        <v>0</v>
      </c>
      <c r="AA2759" s="728"/>
      <c r="AB2759" s="68">
        <f>AB2044/'Terms and Turnovers'!$AD216</f>
        <v>0</v>
      </c>
      <c r="AC2759" s="728"/>
      <c r="AD2759" s="68">
        <f>AD2044/'Terms and Turnovers'!$AD216</f>
        <v>0</v>
      </c>
      <c r="AE2759" s="728"/>
      <c r="AF2759" s="132">
        <f>SUM(T2759,V2759,X2759,Z2759,AB2759,AD2759)</f>
        <v>0</v>
      </c>
      <c r="AG2759" s="728"/>
      <c r="AH2759" s="133">
        <f>SUM(AF2759,R2759)</f>
        <v>0</v>
      </c>
      <c r="AI2759" s="728"/>
      <c r="AJ2759" s="65"/>
      <c r="AV2759" s="56"/>
    </row>
    <row r="2760" spans="2:48" ht="12.75" hidden="1" customHeight="1" outlineLevel="2" thickBot="1">
      <c r="B2760" s="82"/>
      <c r="C2760" s="1234"/>
      <c r="D2760" s="1234"/>
      <c r="E2760" s="84">
        <f>'Terms and Turnovers'!$AN$12</f>
        <v>0</v>
      </c>
      <c r="F2760" s="70">
        <f>F2045/'Terms and Turnovers'!$AN216</f>
        <v>0</v>
      </c>
      <c r="G2760" s="728"/>
      <c r="H2760" s="70">
        <f>H2045/'Terms and Turnovers'!$AN216</f>
        <v>0</v>
      </c>
      <c r="I2760" s="728"/>
      <c r="J2760" s="70">
        <f>J2045/'Terms and Turnovers'!$AN216</f>
        <v>0</v>
      </c>
      <c r="K2760" s="728"/>
      <c r="L2760" s="70">
        <f>L2045/'Terms and Turnovers'!$AN216</f>
        <v>0</v>
      </c>
      <c r="M2760" s="728"/>
      <c r="N2760" s="70">
        <f>N2045/'Terms and Turnovers'!$AN216</f>
        <v>0</v>
      </c>
      <c r="O2760" s="728"/>
      <c r="P2760" s="70">
        <f>P2045/'Terms and Turnovers'!$AN216</f>
        <v>0</v>
      </c>
      <c r="Q2760" s="728"/>
      <c r="R2760" s="132">
        <f>SUM(F2760,H2760,J2760,L2760,N2760,P2760)</f>
        <v>0</v>
      </c>
      <c r="S2760" s="728"/>
      <c r="T2760" s="70">
        <f>T2045/'Terms and Turnovers'!$AN216</f>
        <v>0</v>
      </c>
      <c r="U2760" s="728"/>
      <c r="V2760" s="70">
        <f>V2045/'Terms and Turnovers'!$AN216</f>
        <v>0</v>
      </c>
      <c r="W2760" s="728"/>
      <c r="X2760" s="70">
        <f>X2045/'Terms and Turnovers'!$AN216</f>
        <v>0</v>
      </c>
      <c r="Y2760" s="728"/>
      <c r="Z2760" s="70">
        <f>Z2045/'Terms and Turnovers'!$AN216</f>
        <v>0</v>
      </c>
      <c r="AA2760" s="728"/>
      <c r="AB2760" s="70">
        <f>AB2045/'Terms and Turnovers'!$AN216</f>
        <v>0</v>
      </c>
      <c r="AC2760" s="728"/>
      <c r="AD2760" s="70">
        <f>AD2045/'Terms and Turnovers'!$AN216</f>
        <v>0</v>
      </c>
      <c r="AE2760" s="728"/>
      <c r="AF2760" s="132">
        <f>SUM(T2760,V2760,X2760,Z2760,AB2760,AD2760)</f>
        <v>0</v>
      </c>
      <c r="AG2760" s="728"/>
      <c r="AH2760" s="133">
        <f>SUM(AF2760,R2760)</f>
        <v>0</v>
      </c>
      <c r="AI2760" s="728"/>
      <c r="AJ2760" s="65"/>
      <c r="AV2760" s="56"/>
    </row>
    <row r="2761" spans="2:48" ht="13.5" hidden="1" customHeight="1" outlineLevel="2" thickBot="1">
      <c r="B2761" s="82"/>
      <c r="C2761" s="1235"/>
      <c r="D2761" s="1235"/>
      <c r="E2761" s="85">
        <f>'Terms and Turnovers'!$AX$12</f>
        <v>0</v>
      </c>
      <c r="F2761" s="68">
        <f>F2046/'Terms and Turnovers'!$AX216</f>
        <v>0</v>
      </c>
      <c r="G2761" s="111"/>
      <c r="H2761" s="68">
        <f>H2046/'Terms and Turnovers'!$AX216</f>
        <v>0</v>
      </c>
      <c r="I2761" s="107"/>
      <c r="J2761" s="68">
        <f>J2046/'Terms and Turnovers'!$AX216</f>
        <v>0</v>
      </c>
      <c r="K2761" s="107"/>
      <c r="L2761" s="68">
        <f>L2046/'Terms and Turnovers'!$AX216</f>
        <v>0</v>
      </c>
      <c r="M2761" s="107"/>
      <c r="N2761" s="68">
        <f>N2046/'Terms and Turnovers'!$AX216</f>
        <v>0</v>
      </c>
      <c r="O2761" s="107"/>
      <c r="P2761" s="68">
        <f>P2046/'Terms and Turnovers'!$AX216</f>
        <v>0</v>
      </c>
      <c r="Q2761" s="107"/>
      <c r="R2761" s="135">
        <f>SUM(F2761,H2761,J2761,L2761,N2761,P2761)</f>
        <v>0</v>
      </c>
      <c r="S2761" s="107"/>
      <c r="T2761" s="68">
        <f>T2046/'Terms and Turnovers'!$AX216</f>
        <v>0</v>
      </c>
      <c r="U2761" s="111"/>
      <c r="V2761" s="68">
        <f>V2046/'Terms and Turnovers'!$AX216</f>
        <v>0</v>
      </c>
      <c r="W2761" s="107"/>
      <c r="X2761" s="68">
        <f>X2046/'Terms and Turnovers'!$AX216</f>
        <v>0</v>
      </c>
      <c r="Y2761" s="107"/>
      <c r="Z2761" s="68">
        <f>Z2046/'Terms and Turnovers'!$AX216</f>
        <v>0</v>
      </c>
      <c r="AA2761" s="107"/>
      <c r="AB2761" s="68">
        <f>AB2046/'Terms and Turnovers'!$AX216</f>
        <v>0</v>
      </c>
      <c r="AC2761" s="107"/>
      <c r="AD2761" s="68">
        <f>AD2046/'Terms and Turnovers'!$AX216</f>
        <v>0</v>
      </c>
      <c r="AE2761" s="107"/>
      <c r="AF2761" s="135">
        <f>SUM(T2761,V2761,X2761,Z2761,AB2761,AD2761)</f>
        <v>0</v>
      </c>
      <c r="AG2761" s="107"/>
      <c r="AH2761" s="136">
        <f>SUM(AF2761,R2761)</f>
        <v>0</v>
      </c>
      <c r="AI2761" s="107"/>
      <c r="AJ2761" s="65"/>
      <c r="AV2761" s="56"/>
    </row>
    <row r="2762" spans="2:48" ht="13.5" hidden="1" customHeight="1" outlineLevel="2">
      <c r="B2762" s="82"/>
      <c r="C2762" s="425"/>
      <c r="D2762" s="425"/>
      <c r="E2762" s="634"/>
      <c r="F2762" s="635"/>
      <c r="G2762" s="428"/>
      <c r="H2762" s="635"/>
      <c r="I2762" s="428"/>
      <c r="J2762" s="635"/>
      <c r="K2762" s="636"/>
      <c r="L2762" s="635"/>
      <c r="M2762" s="636"/>
      <c r="N2762" s="635"/>
      <c r="O2762" s="636"/>
      <c r="P2762" s="635"/>
      <c r="Q2762" s="636"/>
      <c r="R2762" s="637"/>
      <c r="S2762" s="698">
        <f>SUM(R2042:R2046)/1.18-(SUM(R2757:R2761)*'Mark Up Validation'!$M$175)</f>
        <v>0</v>
      </c>
      <c r="T2762" s="635"/>
      <c r="U2762" s="636"/>
      <c r="V2762" s="635"/>
      <c r="W2762" s="636"/>
      <c r="X2762" s="635"/>
      <c r="Y2762" s="636"/>
      <c r="Z2762" s="635"/>
      <c r="AA2762" s="636"/>
      <c r="AB2762" s="635"/>
      <c r="AC2762" s="636"/>
      <c r="AD2762" s="635"/>
      <c r="AE2762" s="636"/>
      <c r="AF2762" s="637"/>
      <c r="AG2762" s="698">
        <f>SUM(AF2042:AF2046)/1.18-SUM(AF2757:AF2761)*'Mark Up Validation'!$M$175</f>
        <v>0</v>
      </c>
      <c r="AH2762" s="638"/>
      <c r="AI2762" s="698">
        <f>SUM(AH2042:AH2046)/1.18-SUM(AH2757:AH2761)*'Mark Up Validation'!$M$175</f>
        <v>0</v>
      </c>
      <c r="AJ2762" s="65"/>
      <c r="AV2762" s="56"/>
    </row>
    <row r="2763" spans="2:48" ht="13.5" hidden="1" customHeight="1" outlineLevel="2" thickBot="1">
      <c r="B2763" s="82"/>
      <c r="C2763" s="1228" t="s">
        <v>538</v>
      </c>
      <c r="D2763" s="1229"/>
      <c r="E2763" s="699"/>
      <c r="F2763" s="700"/>
      <c r="G2763" s="701"/>
      <c r="H2763" s="700"/>
      <c r="I2763" s="701"/>
      <c r="J2763" s="700"/>
      <c r="K2763" s="702"/>
      <c r="L2763" s="700"/>
      <c r="M2763" s="702"/>
      <c r="N2763" s="700"/>
      <c r="O2763" s="702"/>
      <c r="P2763" s="700"/>
      <c r="Q2763" s="702"/>
      <c r="R2763" s="703"/>
      <c r="S2763" s="729">
        <f>IF(S2762&gt;0,S2762/(SUM(R2042:R2046)/1.18),0)</f>
        <v>0</v>
      </c>
      <c r="T2763" s="700"/>
      <c r="U2763" s="702"/>
      <c r="V2763" s="700"/>
      <c r="W2763" s="702"/>
      <c r="X2763" s="700"/>
      <c r="Y2763" s="702"/>
      <c r="Z2763" s="700"/>
      <c r="AA2763" s="702"/>
      <c r="AB2763" s="700"/>
      <c r="AC2763" s="702"/>
      <c r="AD2763" s="700"/>
      <c r="AE2763" s="702"/>
      <c r="AF2763" s="705"/>
      <c r="AG2763" s="729">
        <f>IF(AG2762&gt;0,AG2762/(SUM(AF2042:AF2046)/1.18),0)</f>
        <v>0</v>
      </c>
      <c r="AH2763" s="706"/>
      <c r="AI2763" s="729">
        <f>IF(AI2762&gt;0,AI2762/(SUM(AH2042:AH2046)/1.18),0)</f>
        <v>0</v>
      </c>
      <c r="AJ2763" s="65"/>
      <c r="AV2763" s="56"/>
    </row>
    <row r="2764" spans="2:48" ht="12.75" hidden="1" customHeight="1" outlineLevel="2">
      <c r="B2764" s="82">
        <f>B2757+1</f>
        <v>86</v>
      </c>
      <c r="C2764" s="1230">
        <f>C2049</f>
        <v>0</v>
      </c>
      <c r="D2764" s="1230">
        <f>D2049</f>
        <v>0</v>
      </c>
      <c r="E2764" s="83" t="str">
        <f>'Terms and Turnovers'!$J$12</f>
        <v>FLIP-FLOPS</v>
      </c>
      <c r="F2764" s="68">
        <f>F2049/'Terms and Turnovers'!$J217</f>
        <v>0</v>
      </c>
      <c r="G2764" s="106"/>
      <c r="H2764" s="68">
        <f>H2049/'Terms and Turnovers'!$J217</f>
        <v>0</v>
      </c>
      <c r="I2764" s="106"/>
      <c r="J2764" s="68">
        <f>J2049/'Terms and Turnovers'!$J217</f>
        <v>0</v>
      </c>
      <c r="K2764" s="106"/>
      <c r="L2764" s="68">
        <f>L2049/'Terms and Turnovers'!$J217</f>
        <v>0</v>
      </c>
      <c r="M2764" s="106"/>
      <c r="N2764" s="68">
        <f>N2049/'Terms and Turnovers'!$J217</f>
        <v>0</v>
      </c>
      <c r="O2764" s="106"/>
      <c r="P2764" s="68">
        <f>P2049/'Terms and Turnovers'!$J217</f>
        <v>0</v>
      </c>
      <c r="Q2764" s="106"/>
      <c r="R2764" s="129">
        <f>SUM(F2764,H2764,J2764,L2764,N2764,P2764)</f>
        <v>0</v>
      </c>
      <c r="S2764" s="106"/>
      <c r="T2764" s="68">
        <f>T2049/'Terms and Turnovers'!$J217</f>
        <v>0</v>
      </c>
      <c r="U2764" s="106"/>
      <c r="V2764" s="68">
        <f>V2049/'Terms and Turnovers'!$J217</f>
        <v>0</v>
      </c>
      <c r="W2764" s="106"/>
      <c r="X2764" s="68">
        <f>X2049/'Terms and Turnovers'!$J217</f>
        <v>0</v>
      </c>
      <c r="Y2764" s="106"/>
      <c r="Z2764" s="68">
        <f>Z2049/'Terms and Turnovers'!$J217</f>
        <v>0</v>
      </c>
      <c r="AA2764" s="106"/>
      <c r="AB2764" s="68">
        <f>AB2049/'Terms and Turnovers'!$J217</f>
        <v>0</v>
      </c>
      <c r="AC2764" s="106"/>
      <c r="AD2764" s="68">
        <f>AD2049/'Terms and Turnovers'!$J217</f>
        <v>0</v>
      </c>
      <c r="AE2764" s="106"/>
      <c r="AF2764" s="129">
        <f>SUM(T2764,V2764,X2764,Z2764,AB2764,AD2764)</f>
        <v>0</v>
      </c>
      <c r="AG2764" s="106"/>
      <c r="AH2764" s="130">
        <f>SUM(AF2764,R2764)</f>
        <v>0</v>
      </c>
      <c r="AI2764" s="106"/>
      <c r="AJ2764" s="65"/>
      <c r="AV2764" s="56"/>
    </row>
    <row r="2765" spans="2:48" ht="12.75" hidden="1" customHeight="1" outlineLevel="2" thickBot="1">
      <c r="B2765" s="82"/>
      <c r="C2765" s="1231"/>
      <c r="D2765" s="1231"/>
      <c r="E2765" s="84" t="str">
        <f>'Terms and Turnovers'!$T$12</f>
        <v>ORIGINALS</v>
      </c>
      <c r="F2765" s="70">
        <f>F2050/'Terms and Turnovers'!$T217</f>
        <v>0</v>
      </c>
      <c r="G2765" s="728"/>
      <c r="H2765" s="70">
        <f>H2050/'Terms and Turnovers'!$T217</f>
        <v>0</v>
      </c>
      <c r="I2765" s="728"/>
      <c r="J2765" s="70">
        <f>J2050/'Terms and Turnovers'!$T217</f>
        <v>0</v>
      </c>
      <c r="K2765" s="728"/>
      <c r="L2765" s="70">
        <f>L2050/'Terms and Turnovers'!$T217</f>
        <v>0</v>
      </c>
      <c r="M2765" s="728"/>
      <c r="N2765" s="70">
        <f>N2050/'Terms and Turnovers'!$T217</f>
        <v>0</v>
      </c>
      <c r="O2765" s="728"/>
      <c r="P2765" s="70">
        <f>P2050/'Terms and Turnovers'!$T217</f>
        <v>0</v>
      </c>
      <c r="Q2765" s="728"/>
      <c r="R2765" s="132">
        <f>SUM(F2765,H2765,J2765,L2765,N2765,P2765)</f>
        <v>0</v>
      </c>
      <c r="S2765" s="728"/>
      <c r="T2765" s="70">
        <f>T2050/'Terms and Turnovers'!$T217</f>
        <v>0</v>
      </c>
      <c r="U2765" s="728"/>
      <c r="V2765" s="70">
        <f>V2050/'Terms and Turnovers'!$T217</f>
        <v>0</v>
      </c>
      <c r="W2765" s="728"/>
      <c r="X2765" s="70">
        <f>X2050/'Terms and Turnovers'!$T217</f>
        <v>0</v>
      </c>
      <c r="Y2765" s="728"/>
      <c r="Z2765" s="70">
        <f>Z2050/'Terms and Turnovers'!$T217</f>
        <v>0</v>
      </c>
      <c r="AA2765" s="728"/>
      <c r="AB2765" s="70">
        <f>AB2050/'Terms and Turnovers'!$T217</f>
        <v>0</v>
      </c>
      <c r="AC2765" s="728"/>
      <c r="AD2765" s="70">
        <f>AD2050/'Terms and Turnovers'!$T217</f>
        <v>0</v>
      </c>
      <c r="AE2765" s="728"/>
      <c r="AF2765" s="132">
        <f>SUM(T2765,V2765,X2765,Z2765,AB2765,AD2765)</f>
        <v>0</v>
      </c>
      <c r="AG2765" s="728"/>
      <c r="AH2765" s="133">
        <f>SUM(AF2765,R2765)</f>
        <v>0</v>
      </c>
      <c r="AI2765" s="728"/>
      <c r="AJ2765" s="65"/>
      <c r="AV2765" s="56"/>
    </row>
    <row r="2766" spans="2:48" ht="12.75" hidden="1" customHeight="1" outlineLevel="2">
      <c r="B2766" s="82"/>
      <c r="C2766" s="1231"/>
      <c r="D2766" s="1231"/>
      <c r="E2766" s="84" t="str">
        <f>'Terms and Turnovers'!$AD$12</f>
        <v>ACCESSORIES</v>
      </c>
      <c r="F2766" s="68">
        <f>F2051/'Terms and Turnovers'!$AD217</f>
        <v>0</v>
      </c>
      <c r="G2766" s="728"/>
      <c r="H2766" s="68">
        <f>H2051/'Terms and Turnovers'!$AD217</f>
        <v>0</v>
      </c>
      <c r="I2766" s="728"/>
      <c r="J2766" s="68">
        <f>J2051/'Terms and Turnovers'!$AD217</f>
        <v>0</v>
      </c>
      <c r="K2766" s="728"/>
      <c r="L2766" s="68">
        <f>L2051/'Terms and Turnovers'!$AD217</f>
        <v>0</v>
      </c>
      <c r="M2766" s="728"/>
      <c r="N2766" s="68">
        <f>N2051/'Terms and Turnovers'!$AD217</f>
        <v>0</v>
      </c>
      <c r="O2766" s="728"/>
      <c r="P2766" s="68">
        <f>P2051/'Terms and Turnovers'!$AD217</f>
        <v>0</v>
      </c>
      <c r="Q2766" s="728"/>
      <c r="R2766" s="132">
        <f>SUM(F2766,H2766,J2766,L2766,N2766,P2766)</f>
        <v>0</v>
      </c>
      <c r="S2766" s="728"/>
      <c r="T2766" s="68">
        <f>T2051/'Terms and Turnovers'!$AD217</f>
        <v>0</v>
      </c>
      <c r="U2766" s="728"/>
      <c r="V2766" s="68">
        <f>V2051/'Terms and Turnovers'!$AD217</f>
        <v>0</v>
      </c>
      <c r="W2766" s="728"/>
      <c r="X2766" s="68">
        <f>X2051/'Terms and Turnovers'!$AD217</f>
        <v>0</v>
      </c>
      <c r="Y2766" s="728"/>
      <c r="Z2766" s="68">
        <f>Z2051/'Terms and Turnovers'!$AD217</f>
        <v>0</v>
      </c>
      <c r="AA2766" s="728"/>
      <c r="AB2766" s="68">
        <f>AB2051/'Terms and Turnovers'!$AD217</f>
        <v>0</v>
      </c>
      <c r="AC2766" s="728"/>
      <c r="AD2766" s="68">
        <f>AD2051/'Terms and Turnovers'!$AD217</f>
        <v>0</v>
      </c>
      <c r="AE2766" s="728"/>
      <c r="AF2766" s="132">
        <f>SUM(T2766,V2766,X2766,Z2766,AB2766,AD2766)</f>
        <v>0</v>
      </c>
      <c r="AG2766" s="728"/>
      <c r="AH2766" s="133">
        <f>SUM(AF2766,R2766)</f>
        <v>0</v>
      </c>
      <c r="AI2766" s="728"/>
      <c r="AJ2766" s="65"/>
      <c r="AV2766" s="56"/>
    </row>
    <row r="2767" spans="2:48" ht="12.75" hidden="1" customHeight="1" outlineLevel="2" thickBot="1">
      <c r="B2767" s="82"/>
      <c r="C2767" s="1231"/>
      <c r="D2767" s="1231"/>
      <c r="E2767" s="84">
        <f>'Terms and Turnovers'!$AN$12</f>
        <v>0</v>
      </c>
      <c r="F2767" s="70">
        <f>F2052/'Terms and Turnovers'!$AN217</f>
        <v>0</v>
      </c>
      <c r="G2767" s="728"/>
      <c r="H2767" s="70">
        <f>H2052/'Terms and Turnovers'!$AN217</f>
        <v>0</v>
      </c>
      <c r="I2767" s="728"/>
      <c r="J2767" s="70">
        <f>J2052/'Terms and Turnovers'!$AN217</f>
        <v>0</v>
      </c>
      <c r="K2767" s="728"/>
      <c r="L2767" s="70">
        <f>L2052/'Terms and Turnovers'!$AN217</f>
        <v>0</v>
      </c>
      <c r="M2767" s="728"/>
      <c r="N2767" s="70">
        <f>N2052/'Terms and Turnovers'!$AN217</f>
        <v>0</v>
      </c>
      <c r="O2767" s="728"/>
      <c r="P2767" s="70">
        <f>P2052/'Terms and Turnovers'!$AN217</f>
        <v>0</v>
      </c>
      <c r="Q2767" s="728"/>
      <c r="R2767" s="132">
        <f>SUM(F2767,H2767,J2767,L2767,N2767,P2767)</f>
        <v>0</v>
      </c>
      <c r="S2767" s="728"/>
      <c r="T2767" s="70">
        <f>T2052/'Terms and Turnovers'!$AN217</f>
        <v>0</v>
      </c>
      <c r="U2767" s="728"/>
      <c r="V2767" s="70">
        <f>V2052/'Terms and Turnovers'!$AN217</f>
        <v>0</v>
      </c>
      <c r="W2767" s="728"/>
      <c r="X2767" s="70">
        <f>X2052/'Terms and Turnovers'!$AN217</f>
        <v>0</v>
      </c>
      <c r="Y2767" s="728"/>
      <c r="Z2767" s="70">
        <f>Z2052/'Terms and Turnovers'!$AN217</f>
        <v>0</v>
      </c>
      <c r="AA2767" s="728"/>
      <c r="AB2767" s="70">
        <f>AB2052/'Terms and Turnovers'!$AN217</f>
        <v>0</v>
      </c>
      <c r="AC2767" s="728"/>
      <c r="AD2767" s="70">
        <f>AD2052/'Terms and Turnovers'!$AN217</f>
        <v>0</v>
      </c>
      <c r="AE2767" s="728"/>
      <c r="AF2767" s="132">
        <f>SUM(T2767,V2767,X2767,Z2767,AB2767,AD2767)</f>
        <v>0</v>
      </c>
      <c r="AG2767" s="728"/>
      <c r="AH2767" s="133">
        <f>SUM(AF2767,R2767)</f>
        <v>0</v>
      </c>
      <c r="AI2767" s="728"/>
      <c r="AJ2767" s="65"/>
      <c r="AV2767" s="56"/>
    </row>
    <row r="2768" spans="2:48" ht="13.5" hidden="1" customHeight="1" outlineLevel="2" thickBot="1">
      <c r="B2768" s="82"/>
      <c r="C2768" s="1232"/>
      <c r="D2768" s="1232"/>
      <c r="E2768" s="85">
        <f>'Terms and Turnovers'!$AX$12</f>
        <v>0</v>
      </c>
      <c r="F2768" s="68">
        <f>F2053/'Terms and Turnovers'!$AX217</f>
        <v>0</v>
      </c>
      <c r="G2768" s="111"/>
      <c r="H2768" s="68">
        <f>H2053/'Terms and Turnovers'!$AX217</f>
        <v>0</v>
      </c>
      <c r="I2768" s="107"/>
      <c r="J2768" s="68">
        <f>J2053/'Terms and Turnovers'!$AX217</f>
        <v>0</v>
      </c>
      <c r="K2768" s="107"/>
      <c r="L2768" s="68">
        <f>L2053/'Terms and Turnovers'!$AX217</f>
        <v>0</v>
      </c>
      <c r="M2768" s="107"/>
      <c r="N2768" s="68">
        <f>N2053/'Terms and Turnovers'!$AX217</f>
        <v>0</v>
      </c>
      <c r="O2768" s="107"/>
      <c r="P2768" s="68">
        <f>P2053/'Terms and Turnovers'!$AX217</f>
        <v>0</v>
      </c>
      <c r="Q2768" s="107"/>
      <c r="R2768" s="135">
        <f>SUM(F2768,H2768,J2768,L2768,N2768,P2768)</f>
        <v>0</v>
      </c>
      <c r="S2768" s="107"/>
      <c r="T2768" s="68">
        <f>T2053/'Terms and Turnovers'!$AX217</f>
        <v>0</v>
      </c>
      <c r="U2768" s="111"/>
      <c r="V2768" s="68">
        <f>V2053/'Terms and Turnovers'!$AX217</f>
        <v>0</v>
      </c>
      <c r="W2768" s="107"/>
      <c r="X2768" s="68">
        <f>X2053/'Terms and Turnovers'!$AX217</f>
        <v>0</v>
      </c>
      <c r="Y2768" s="107"/>
      <c r="Z2768" s="68">
        <f>Z2053/'Terms and Turnovers'!$AX217</f>
        <v>0</v>
      </c>
      <c r="AA2768" s="107"/>
      <c r="AB2768" s="68">
        <f>AB2053/'Terms and Turnovers'!$AX217</f>
        <v>0</v>
      </c>
      <c r="AC2768" s="107"/>
      <c r="AD2768" s="68">
        <f>AD2053/'Terms and Turnovers'!$AX217</f>
        <v>0</v>
      </c>
      <c r="AE2768" s="107"/>
      <c r="AF2768" s="135">
        <f>SUM(T2768,V2768,X2768,Z2768,AB2768,AD2768)</f>
        <v>0</v>
      </c>
      <c r="AG2768" s="107"/>
      <c r="AH2768" s="136">
        <f>SUM(AF2768,R2768)</f>
        <v>0</v>
      </c>
      <c r="AI2768" s="107"/>
      <c r="AJ2768" s="65"/>
      <c r="AV2768" s="56"/>
    </row>
    <row r="2769" spans="2:48" ht="13.5" hidden="1" customHeight="1" outlineLevel="2">
      <c r="B2769" s="82"/>
      <c r="C2769" s="425"/>
      <c r="D2769" s="425"/>
      <c r="E2769" s="634"/>
      <c r="F2769" s="635"/>
      <c r="G2769" s="428"/>
      <c r="H2769" s="635"/>
      <c r="I2769" s="428"/>
      <c r="J2769" s="635"/>
      <c r="K2769" s="636"/>
      <c r="L2769" s="635"/>
      <c r="M2769" s="636"/>
      <c r="N2769" s="635"/>
      <c r="O2769" s="636"/>
      <c r="P2769" s="635"/>
      <c r="Q2769" s="636"/>
      <c r="R2769" s="637"/>
      <c r="S2769" s="698">
        <f>SUM(R2049:R2053)/1.18-(SUM(R2764:R2768)*'Mark Up Validation'!$M$175)</f>
        <v>0</v>
      </c>
      <c r="T2769" s="635"/>
      <c r="U2769" s="636"/>
      <c r="V2769" s="635"/>
      <c r="W2769" s="636"/>
      <c r="X2769" s="635"/>
      <c r="Y2769" s="636"/>
      <c r="Z2769" s="635"/>
      <c r="AA2769" s="636"/>
      <c r="AB2769" s="635"/>
      <c r="AC2769" s="636"/>
      <c r="AD2769" s="635"/>
      <c r="AE2769" s="636"/>
      <c r="AF2769" s="637"/>
      <c r="AG2769" s="698">
        <f>SUM(AF2049:AF2053)/1.18-SUM(AF2764:AF2768)*'Mark Up Validation'!$M$175</f>
        <v>0</v>
      </c>
      <c r="AH2769" s="638"/>
      <c r="AI2769" s="698">
        <f>SUM(AH2049:AH2053)/1.18-SUM(AH2764:AH2768)*'Mark Up Validation'!$M$175</f>
        <v>0</v>
      </c>
      <c r="AJ2769" s="65"/>
      <c r="AV2769" s="56"/>
    </row>
    <row r="2770" spans="2:48" ht="13.5" hidden="1" customHeight="1" outlineLevel="2" thickBot="1">
      <c r="B2770" s="82"/>
      <c r="C2770" s="1228" t="s">
        <v>538</v>
      </c>
      <c r="D2770" s="1229"/>
      <c r="E2770" s="699"/>
      <c r="F2770" s="700"/>
      <c r="G2770" s="701"/>
      <c r="H2770" s="700"/>
      <c r="I2770" s="701"/>
      <c r="J2770" s="700"/>
      <c r="K2770" s="702"/>
      <c r="L2770" s="700"/>
      <c r="M2770" s="702"/>
      <c r="N2770" s="700"/>
      <c r="O2770" s="702"/>
      <c r="P2770" s="700"/>
      <c r="Q2770" s="702"/>
      <c r="R2770" s="703"/>
      <c r="S2770" s="729">
        <f>IF(S2769&gt;0,S2769/(SUM(R2049:R2053)/1.18),0)</f>
        <v>0</v>
      </c>
      <c r="T2770" s="700"/>
      <c r="U2770" s="702"/>
      <c r="V2770" s="700"/>
      <c r="W2770" s="702"/>
      <c r="X2770" s="700"/>
      <c r="Y2770" s="702"/>
      <c r="Z2770" s="700"/>
      <c r="AA2770" s="702"/>
      <c r="AB2770" s="700"/>
      <c r="AC2770" s="702"/>
      <c r="AD2770" s="700"/>
      <c r="AE2770" s="702"/>
      <c r="AF2770" s="705"/>
      <c r="AG2770" s="729">
        <f>IF(AG2769&gt;0,AG2769/(SUM(AF2049:AF2053)/1.18),0)</f>
        <v>0</v>
      </c>
      <c r="AH2770" s="706"/>
      <c r="AI2770" s="729">
        <f>IF(AI2769&gt;0,AI2769/(SUM(AH2049:AH2053)/1.18),0)</f>
        <v>0</v>
      </c>
      <c r="AJ2770" s="65"/>
      <c r="AV2770" s="56"/>
    </row>
    <row r="2771" spans="2:48" ht="12.75" hidden="1" customHeight="1" outlineLevel="2">
      <c r="B2771" s="82">
        <f>B2764+1</f>
        <v>87</v>
      </c>
      <c r="C2771" s="1233">
        <f>C2056</f>
        <v>0</v>
      </c>
      <c r="D2771" s="1233">
        <f>D2056</f>
        <v>0</v>
      </c>
      <c r="E2771" s="83" t="str">
        <f>'Terms and Turnovers'!$J$12</f>
        <v>FLIP-FLOPS</v>
      </c>
      <c r="F2771" s="68">
        <f>F2056/'Terms and Turnovers'!$J218</f>
        <v>0</v>
      </c>
      <c r="G2771" s="106"/>
      <c r="H2771" s="68">
        <f>H2056/'Terms and Turnovers'!$J218</f>
        <v>0</v>
      </c>
      <c r="I2771" s="106"/>
      <c r="J2771" s="68">
        <f>J2056/'Terms and Turnovers'!$J218</f>
        <v>0</v>
      </c>
      <c r="K2771" s="106"/>
      <c r="L2771" s="68">
        <f>L2056/'Terms and Turnovers'!$J218</f>
        <v>0</v>
      </c>
      <c r="M2771" s="106"/>
      <c r="N2771" s="68">
        <f>N2056/'Terms and Turnovers'!$J218</f>
        <v>0</v>
      </c>
      <c r="O2771" s="106"/>
      <c r="P2771" s="68">
        <f>P2056/'Terms and Turnovers'!$J218</f>
        <v>0</v>
      </c>
      <c r="Q2771" s="106"/>
      <c r="R2771" s="129">
        <f>SUM(F2771,H2771,J2771,L2771,N2771,P2771)</f>
        <v>0</v>
      </c>
      <c r="S2771" s="106"/>
      <c r="T2771" s="68">
        <f>T2056/'Terms and Turnovers'!$J218</f>
        <v>0</v>
      </c>
      <c r="U2771" s="106"/>
      <c r="V2771" s="68">
        <f>V2056/'Terms and Turnovers'!$J218</f>
        <v>0</v>
      </c>
      <c r="W2771" s="106"/>
      <c r="X2771" s="68">
        <f>X2056/'Terms and Turnovers'!$J218</f>
        <v>0</v>
      </c>
      <c r="Y2771" s="106"/>
      <c r="Z2771" s="68">
        <f>Z2056/'Terms and Turnovers'!$J218</f>
        <v>0</v>
      </c>
      <c r="AA2771" s="106"/>
      <c r="AB2771" s="68">
        <f>AB2056/'Terms and Turnovers'!$J218</f>
        <v>0</v>
      </c>
      <c r="AC2771" s="106"/>
      <c r="AD2771" s="68">
        <f>AD2056/'Terms and Turnovers'!$J218</f>
        <v>0</v>
      </c>
      <c r="AE2771" s="106"/>
      <c r="AF2771" s="129">
        <f>SUM(T2771,V2771,X2771,Z2771,AB2771,AD2771)</f>
        <v>0</v>
      </c>
      <c r="AG2771" s="106"/>
      <c r="AH2771" s="130">
        <f>SUM(AF2771,R2771)</f>
        <v>0</v>
      </c>
      <c r="AI2771" s="106"/>
      <c r="AJ2771" s="65"/>
      <c r="AV2771" s="56"/>
    </row>
    <row r="2772" spans="2:48" ht="12.75" hidden="1" customHeight="1" outlineLevel="2" thickBot="1">
      <c r="B2772" s="82"/>
      <c r="C2772" s="1234"/>
      <c r="D2772" s="1234"/>
      <c r="E2772" s="84" t="str">
        <f>'Terms and Turnovers'!$T$12</f>
        <v>ORIGINALS</v>
      </c>
      <c r="F2772" s="70">
        <f>F2057/'Terms and Turnovers'!$T218</f>
        <v>0</v>
      </c>
      <c r="G2772" s="728"/>
      <c r="H2772" s="70">
        <f>H2057/'Terms and Turnovers'!$T218</f>
        <v>0</v>
      </c>
      <c r="I2772" s="728"/>
      <c r="J2772" s="70">
        <f>J2057/'Terms and Turnovers'!$T218</f>
        <v>0</v>
      </c>
      <c r="K2772" s="728"/>
      <c r="L2772" s="70">
        <f>L2057/'Terms and Turnovers'!$T218</f>
        <v>0</v>
      </c>
      <c r="M2772" s="728"/>
      <c r="N2772" s="70">
        <f>N2057/'Terms and Turnovers'!$T218</f>
        <v>0</v>
      </c>
      <c r="O2772" s="728"/>
      <c r="P2772" s="70">
        <f>P2057/'Terms and Turnovers'!$T218</f>
        <v>0</v>
      </c>
      <c r="Q2772" s="728"/>
      <c r="R2772" s="132">
        <f>SUM(F2772,H2772,J2772,L2772,N2772,P2772)</f>
        <v>0</v>
      </c>
      <c r="S2772" s="728"/>
      <c r="T2772" s="70">
        <f>T2057/'Terms and Turnovers'!$T218</f>
        <v>0</v>
      </c>
      <c r="U2772" s="728"/>
      <c r="V2772" s="70">
        <f>V2057/'Terms and Turnovers'!$T218</f>
        <v>0</v>
      </c>
      <c r="W2772" s="728"/>
      <c r="X2772" s="70">
        <f>X2057/'Terms and Turnovers'!$T218</f>
        <v>0</v>
      </c>
      <c r="Y2772" s="728"/>
      <c r="Z2772" s="70">
        <f>Z2057/'Terms and Turnovers'!$T218</f>
        <v>0</v>
      </c>
      <c r="AA2772" s="728"/>
      <c r="AB2772" s="70">
        <f>AB2057/'Terms and Turnovers'!$T218</f>
        <v>0</v>
      </c>
      <c r="AC2772" s="728"/>
      <c r="AD2772" s="70">
        <f>AD2057/'Terms and Turnovers'!$T218</f>
        <v>0</v>
      </c>
      <c r="AE2772" s="728"/>
      <c r="AF2772" s="132">
        <f>SUM(T2772,V2772,X2772,Z2772,AB2772,AD2772)</f>
        <v>0</v>
      </c>
      <c r="AG2772" s="728"/>
      <c r="AH2772" s="133">
        <f>SUM(AF2772,R2772)</f>
        <v>0</v>
      </c>
      <c r="AI2772" s="728"/>
      <c r="AJ2772" s="65"/>
      <c r="AV2772" s="56"/>
    </row>
    <row r="2773" spans="2:48" ht="12.75" hidden="1" customHeight="1" outlineLevel="2">
      <c r="B2773" s="82"/>
      <c r="C2773" s="1234"/>
      <c r="D2773" s="1234"/>
      <c r="E2773" s="84" t="str">
        <f>'Terms and Turnovers'!$AD$12</f>
        <v>ACCESSORIES</v>
      </c>
      <c r="F2773" s="68">
        <f>F2058/'Terms and Turnovers'!$AD218</f>
        <v>0</v>
      </c>
      <c r="G2773" s="728"/>
      <c r="H2773" s="68">
        <f>H2058/'Terms and Turnovers'!$AD218</f>
        <v>0</v>
      </c>
      <c r="I2773" s="728"/>
      <c r="J2773" s="68">
        <f>J2058/'Terms and Turnovers'!$AD218</f>
        <v>0</v>
      </c>
      <c r="K2773" s="728"/>
      <c r="L2773" s="68">
        <f>L2058/'Terms and Turnovers'!$AD218</f>
        <v>0</v>
      </c>
      <c r="M2773" s="728"/>
      <c r="N2773" s="68">
        <f>N2058/'Terms and Turnovers'!$AD218</f>
        <v>0</v>
      </c>
      <c r="O2773" s="728"/>
      <c r="P2773" s="68">
        <f>P2058/'Terms and Turnovers'!$AD218</f>
        <v>0</v>
      </c>
      <c r="Q2773" s="728"/>
      <c r="R2773" s="132">
        <f>SUM(F2773,H2773,J2773,L2773,N2773,P2773)</f>
        <v>0</v>
      </c>
      <c r="S2773" s="728"/>
      <c r="T2773" s="68">
        <f>T2058/'Terms and Turnovers'!$AD218</f>
        <v>0</v>
      </c>
      <c r="U2773" s="728"/>
      <c r="V2773" s="68">
        <f>V2058/'Terms and Turnovers'!$AD218</f>
        <v>0</v>
      </c>
      <c r="W2773" s="728"/>
      <c r="X2773" s="68">
        <f>X2058/'Terms and Turnovers'!$AD218</f>
        <v>0</v>
      </c>
      <c r="Y2773" s="728"/>
      <c r="Z2773" s="68">
        <f>Z2058/'Terms and Turnovers'!$AD218</f>
        <v>0</v>
      </c>
      <c r="AA2773" s="728"/>
      <c r="AB2773" s="68">
        <f>AB2058/'Terms and Turnovers'!$AD218</f>
        <v>0</v>
      </c>
      <c r="AC2773" s="728"/>
      <c r="AD2773" s="68">
        <f>AD2058/'Terms and Turnovers'!$AD218</f>
        <v>0</v>
      </c>
      <c r="AE2773" s="728"/>
      <c r="AF2773" s="132">
        <f>SUM(T2773,V2773,X2773,Z2773,AB2773,AD2773)</f>
        <v>0</v>
      </c>
      <c r="AG2773" s="728"/>
      <c r="AH2773" s="133">
        <f>SUM(AF2773,R2773)</f>
        <v>0</v>
      </c>
      <c r="AI2773" s="728"/>
      <c r="AJ2773" s="65"/>
      <c r="AV2773" s="56"/>
    </row>
    <row r="2774" spans="2:48" ht="12.75" hidden="1" customHeight="1" outlineLevel="2" thickBot="1">
      <c r="B2774" s="82"/>
      <c r="C2774" s="1234"/>
      <c r="D2774" s="1234"/>
      <c r="E2774" s="84">
        <f>'Terms and Turnovers'!$AN$12</f>
        <v>0</v>
      </c>
      <c r="F2774" s="70">
        <f>F2059/'Terms and Turnovers'!$AN218</f>
        <v>0</v>
      </c>
      <c r="G2774" s="728"/>
      <c r="H2774" s="70">
        <f>H2059/'Terms and Turnovers'!$AN218</f>
        <v>0</v>
      </c>
      <c r="I2774" s="728"/>
      <c r="J2774" s="70">
        <f>J2059/'Terms and Turnovers'!$AN218</f>
        <v>0</v>
      </c>
      <c r="K2774" s="728"/>
      <c r="L2774" s="70">
        <f>L2059/'Terms and Turnovers'!$AN218</f>
        <v>0</v>
      </c>
      <c r="M2774" s="728"/>
      <c r="N2774" s="70">
        <f>N2059/'Terms and Turnovers'!$AN218</f>
        <v>0</v>
      </c>
      <c r="O2774" s="728"/>
      <c r="P2774" s="70">
        <f>P2059/'Terms and Turnovers'!$AN218</f>
        <v>0</v>
      </c>
      <c r="Q2774" s="728"/>
      <c r="R2774" s="132">
        <f>SUM(F2774,H2774,J2774,L2774,N2774,P2774)</f>
        <v>0</v>
      </c>
      <c r="S2774" s="728"/>
      <c r="T2774" s="70">
        <f>T2059/'Terms and Turnovers'!$AN218</f>
        <v>0</v>
      </c>
      <c r="U2774" s="728"/>
      <c r="V2774" s="70">
        <f>V2059/'Terms and Turnovers'!$AN218</f>
        <v>0</v>
      </c>
      <c r="W2774" s="728"/>
      <c r="X2774" s="70">
        <f>X2059/'Terms and Turnovers'!$AN218</f>
        <v>0</v>
      </c>
      <c r="Y2774" s="728"/>
      <c r="Z2774" s="70">
        <f>Z2059/'Terms and Turnovers'!$AN218</f>
        <v>0</v>
      </c>
      <c r="AA2774" s="728"/>
      <c r="AB2774" s="70">
        <f>AB2059/'Terms and Turnovers'!$AN218</f>
        <v>0</v>
      </c>
      <c r="AC2774" s="728"/>
      <c r="AD2774" s="70">
        <f>AD2059/'Terms and Turnovers'!$AN218</f>
        <v>0</v>
      </c>
      <c r="AE2774" s="728"/>
      <c r="AF2774" s="132">
        <f>SUM(T2774,V2774,X2774,Z2774,AB2774,AD2774)</f>
        <v>0</v>
      </c>
      <c r="AG2774" s="728"/>
      <c r="AH2774" s="133">
        <f>SUM(AF2774,R2774)</f>
        <v>0</v>
      </c>
      <c r="AI2774" s="728"/>
      <c r="AJ2774" s="65"/>
      <c r="AV2774" s="56"/>
    </row>
    <row r="2775" spans="2:48" ht="13.5" hidden="1" customHeight="1" outlineLevel="2" thickBot="1">
      <c r="B2775" s="82"/>
      <c r="C2775" s="1235"/>
      <c r="D2775" s="1235"/>
      <c r="E2775" s="85">
        <f>'Terms and Turnovers'!$AX$12</f>
        <v>0</v>
      </c>
      <c r="F2775" s="68">
        <f>F2060/'Terms and Turnovers'!$AX218</f>
        <v>0</v>
      </c>
      <c r="G2775" s="111"/>
      <c r="H2775" s="68">
        <f>H2060/'Terms and Turnovers'!$AX218</f>
        <v>0</v>
      </c>
      <c r="I2775" s="107"/>
      <c r="J2775" s="68">
        <f>J2060/'Terms and Turnovers'!$AX218</f>
        <v>0</v>
      </c>
      <c r="K2775" s="107"/>
      <c r="L2775" s="68">
        <f>L2060/'Terms and Turnovers'!$AX218</f>
        <v>0</v>
      </c>
      <c r="M2775" s="107"/>
      <c r="N2775" s="68">
        <f>N2060/'Terms and Turnovers'!$AX218</f>
        <v>0</v>
      </c>
      <c r="O2775" s="107"/>
      <c r="P2775" s="68">
        <f>P2060/'Terms and Turnovers'!$AX218</f>
        <v>0</v>
      </c>
      <c r="Q2775" s="107"/>
      <c r="R2775" s="135">
        <f>SUM(F2775,H2775,J2775,L2775,N2775,P2775)</f>
        <v>0</v>
      </c>
      <c r="S2775" s="107"/>
      <c r="T2775" s="68">
        <f>T2060/'Terms and Turnovers'!$AX218</f>
        <v>0</v>
      </c>
      <c r="U2775" s="111"/>
      <c r="V2775" s="68">
        <f>V2060/'Terms and Turnovers'!$AX218</f>
        <v>0</v>
      </c>
      <c r="W2775" s="107"/>
      <c r="X2775" s="68">
        <f>X2060/'Terms and Turnovers'!$AX218</f>
        <v>0</v>
      </c>
      <c r="Y2775" s="107"/>
      <c r="Z2775" s="68">
        <f>Z2060/'Terms and Turnovers'!$AX218</f>
        <v>0</v>
      </c>
      <c r="AA2775" s="107"/>
      <c r="AB2775" s="68">
        <f>AB2060/'Terms and Turnovers'!$AX218</f>
        <v>0</v>
      </c>
      <c r="AC2775" s="107"/>
      <c r="AD2775" s="68">
        <f>AD2060/'Terms and Turnovers'!$AX218</f>
        <v>0</v>
      </c>
      <c r="AE2775" s="107"/>
      <c r="AF2775" s="135">
        <f>SUM(T2775,V2775,X2775,Z2775,AB2775,AD2775)</f>
        <v>0</v>
      </c>
      <c r="AG2775" s="107"/>
      <c r="AH2775" s="136">
        <f>SUM(AF2775,R2775)</f>
        <v>0</v>
      </c>
      <c r="AI2775" s="107"/>
      <c r="AJ2775" s="65"/>
      <c r="AV2775" s="56"/>
    </row>
    <row r="2776" spans="2:48" ht="13.5" hidden="1" customHeight="1" outlineLevel="2">
      <c r="B2776" s="82"/>
      <c r="C2776" s="425"/>
      <c r="D2776" s="425"/>
      <c r="E2776" s="634"/>
      <c r="F2776" s="635"/>
      <c r="G2776" s="428"/>
      <c r="H2776" s="635"/>
      <c r="I2776" s="428"/>
      <c r="J2776" s="635"/>
      <c r="K2776" s="636"/>
      <c r="L2776" s="635"/>
      <c r="M2776" s="636"/>
      <c r="N2776" s="635"/>
      <c r="O2776" s="636"/>
      <c r="P2776" s="635"/>
      <c r="Q2776" s="636"/>
      <c r="R2776" s="637"/>
      <c r="S2776" s="698">
        <f>SUM(R2056:R2060)/1.18-(SUM(R2771:R2775)*'Mark Up Validation'!$M$175)</f>
        <v>0</v>
      </c>
      <c r="T2776" s="635"/>
      <c r="U2776" s="636"/>
      <c r="V2776" s="635"/>
      <c r="W2776" s="636"/>
      <c r="X2776" s="635"/>
      <c r="Y2776" s="636"/>
      <c r="Z2776" s="635"/>
      <c r="AA2776" s="636"/>
      <c r="AB2776" s="635"/>
      <c r="AC2776" s="636"/>
      <c r="AD2776" s="635"/>
      <c r="AE2776" s="636"/>
      <c r="AF2776" s="637"/>
      <c r="AG2776" s="698">
        <f>SUM(AF2056:AF2060)/1.18-SUM(AF2771:AF2775)*'Mark Up Validation'!$M$175</f>
        <v>0</v>
      </c>
      <c r="AH2776" s="638"/>
      <c r="AI2776" s="698">
        <f>SUM(AH2056:AH2060)/1.18-SUM(AH2771:AH2775)*'Mark Up Validation'!$M$175</f>
        <v>0</v>
      </c>
      <c r="AJ2776" s="65"/>
      <c r="AV2776" s="56"/>
    </row>
    <row r="2777" spans="2:48" ht="13.5" hidden="1" customHeight="1" outlineLevel="2" thickBot="1">
      <c r="B2777" s="82"/>
      <c r="C2777" s="1228" t="s">
        <v>538</v>
      </c>
      <c r="D2777" s="1229"/>
      <c r="E2777" s="699"/>
      <c r="F2777" s="700"/>
      <c r="G2777" s="701"/>
      <c r="H2777" s="700"/>
      <c r="I2777" s="701"/>
      <c r="J2777" s="700"/>
      <c r="K2777" s="702"/>
      <c r="L2777" s="700"/>
      <c r="M2777" s="702"/>
      <c r="N2777" s="700"/>
      <c r="O2777" s="702"/>
      <c r="P2777" s="700"/>
      <c r="Q2777" s="702"/>
      <c r="R2777" s="703"/>
      <c r="S2777" s="729">
        <f>IF(S2776&gt;0,S2776/(SUM(R2056:R2060)/1.18),0)</f>
        <v>0</v>
      </c>
      <c r="T2777" s="700"/>
      <c r="U2777" s="702"/>
      <c r="V2777" s="700"/>
      <c r="W2777" s="702"/>
      <c r="X2777" s="700"/>
      <c r="Y2777" s="702"/>
      <c r="Z2777" s="700"/>
      <c r="AA2777" s="702"/>
      <c r="AB2777" s="700"/>
      <c r="AC2777" s="702"/>
      <c r="AD2777" s="700"/>
      <c r="AE2777" s="702"/>
      <c r="AF2777" s="705"/>
      <c r="AG2777" s="729">
        <f>IF(AG2776&gt;0,AG2776/(SUM(AF2056:AF2060)/1.18),0)</f>
        <v>0</v>
      </c>
      <c r="AH2777" s="706"/>
      <c r="AI2777" s="729">
        <f>IF(AI2776&gt;0,AI2776/(SUM(AH2056:AH2060)/1.18),0)</f>
        <v>0</v>
      </c>
      <c r="AJ2777" s="65"/>
      <c r="AV2777" s="56"/>
    </row>
    <row r="2778" spans="2:48" ht="12.75" hidden="1" customHeight="1" outlineLevel="2">
      <c r="B2778" s="82">
        <f>B2771+1</f>
        <v>88</v>
      </c>
      <c r="C2778" s="1230">
        <f>C2063</f>
        <v>0</v>
      </c>
      <c r="D2778" s="1230">
        <f>D2063</f>
        <v>0</v>
      </c>
      <c r="E2778" s="83" t="str">
        <f>'Terms and Turnovers'!$J$12</f>
        <v>FLIP-FLOPS</v>
      </c>
      <c r="F2778" s="68">
        <f>F2063/'Terms and Turnovers'!$J219</f>
        <v>0</v>
      </c>
      <c r="G2778" s="106"/>
      <c r="H2778" s="68">
        <f>H2063/'Terms and Turnovers'!$J219</f>
        <v>0</v>
      </c>
      <c r="I2778" s="106"/>
      <c r="J2778" s="68">
        <f>J2063/'Terms and Turnovers'!$J219</f>
        <v>0</v>
      </c>
      <c r="K2778" s="106"/>
      <c r="L2778" s="68">
        <f>L2063/'Terms and Turnovers'!$J219</f>
        <v>0</v>
      </c>
      <c r="M2778" s="106"/>
      <c r="N2778" s="68">
        <f>N2063/'Terms and Turnovers'!$J219</f>
        <v>0</v>
      </c>
      <c r="O2778" s="106"/>
      <c r="P2778" s="68">
        <f>P2063/'Terms and Turnovers'!$J219</f>
        <v>0</v>
      </c>
      <c r="Q2778" s="106"/>
      <c r="R2778" s="129">
        <f>SUM(F2778,H2778,J2778,L2778,N2778,P2778)</f>
        <v>0</v>
      </c>
      <c r="S2778" s="106"/>
      <c r="T2778" s="68">
        <f>T2063/'Terms and Turnovers'!$J219</f>
        <v>0</v>
      </c>
      <c r="U2778" s="106"/>
      <c r="V2778" s="68">
        <f>V2063/'Terms and Turnovers'!$J219</f>
        <v>0</v>
      </c>
      <c r="W2778" s="106"/>
      <c r="X2778" s="68">
        <f>X2063/'Terms and Turnovers'!$J219</f>
        <v>0</v>
      </c>
      <c r="Y2778" s="106"/>
      <c r="Z2778" s="68">
        <f>Z2063/'Terms and Turnovers'!$J219</f>
        <v>0</v>
      </c>
      <c r="AA2778" s="106"/>
      <c r="AB2778" s="68">
        <f>AB2063/'Terms and Turnovers'!$J219</f>
        <v>0</v>
      </c>
      <c r="AC2778" s="106"/>
      <c r="AD2778" s="68">
        <f>AD2063/'Terms and Turnovers'!$J219</f>
        <v>0</v>
      </c>
      <c r="AE2778" s="106"/>
      <c r="AF2778" s="129">
        <f>SUM(T2778,V2778,X2778,Z2778,AB2778,AD2778)</f>
        <v>0</v>
      </c>
      <c r="AG2778" s="106"/>
      <c r="AH2778" s="130">
        <f>SUM(AF2778,R2778)</f>
        <v>0</v>
      </c>
      <c r="AI2778" s="106"/>
      <c r="AJ2778" s="65"/>
      <c r="AV2778" s="56"/>
    </row>
    <row r="2779" spans="2:48" ht="12.75" hidden="1" customHeight="1" outlineLevel="2" thickBot="1">
      <c r="B2779" s="82"/>
      <c r="C2779" s="1231"/>
      <c r="D2779" s="1231"/>
      <c r="E2779" s="84" t="str">
        <f>'Terms and Turnovers'!$T$12</f>
        <v>ORIGINALS</v>
      </c>
      <c r="F2779" s="70">
        <f>F2064/'Terms and Turnovers'!$T219</f>
        <v>0</v>
      </c>
      <c r="G2779" s="728"/>
      <c r="H2779" s="70">
        <f>H2064/'Terms and Turnovers'!$T219</f>
        <v>0</v>
      </c>
      <c r="I2779" s="728"/>
      <c r="J2779" s="70">
        <f>J2064/'Terms and Turnovers'!$T219</f>
        <v>0</v>
      </c>
      <c r="K2779" s="728"/>
      <c r="L2779" s="70">
        <f>L2064/'Terms and Turnovers'!$T219</f>
        <v>0</v>
      </c>
      <c r="M2779" s="728"/>
      <c r="N2779" s="70">
        <f>N2064/'Terms and Turnovers'!$T219</f>
        <v>0</v>
      </c>
      <c r="O2779" s="728"/>
      <c r="P2779" s="70">
        <f>P2064/'Terms and Turnovers'!$T219</f>
        <v>0</v>
      </c>
      <c r="Q2779" s="728"/>
      <c r="R2779" s="132">
        <f>SUM(F2779,H2779,J2779,L2779,N2779,P2779)</f>
        <v>0</v>
      </c>
      <c r="S2779" s="728"/>
      <c r="T2779" s="70">
        <f>T2064/'Terms and Turnovers'!$T219</f>
        <v>0</v>
      </c>
      <c r="U2779" s="728"/>
      <c r="V2779" s="70">
        <f>V2064/'Terms and Turnovers'!$T219</f>
        <v>0</v>
      </c>
      <c r="W2779" s="728"/>
      <c r="X2779" s="70">
        <f>X2064/'Terms and Turnovers'!$T219</f>
        <v>0</v>
      </c>
      <c r="Y2779" s="728"/>
      <c r="Z2779" s="70">
        <f>Z2064/'Terms and Turnovers'!$T219</f>
        <v>0</v>
      </c>
      <c r="AA2779" s="728"/>
      <c r="AB2779" s="70">
        <f>AB2064/'Terms and Turnovers'!$T219</f>
        <v>0</v>
      </c>
      <c r="AC2779" s="728"/>
      <c r="AD2779" s="70">
        <f>AD2064/'Terms and Turnovers'!$T219</f>
        <v>0</v>
      </c>
      <c r="AE2779" s="728"/>
      <c r="AF2779" s="132">
        <f>SUM(T2779,V2779,X2779,Z2779,AB2779,AD2779)</f>
        <v>0</v>
      </c>
      <c r="AG2779" s="728"/>
      <c r="AH2779" s="133">
        <f>SUM(AF2779,R2779)</f>
        <v>0</v>
      </c>
      <c r="AI2779" s="728"/>
      <c r="AJ2779" s="65"/>
      <c r="AV2779" s="56"/>
    </row>
    <row r="2780" spans="2:48" ht="12.75" hidden="1" customHeight="1" outlineLevel="2">
      <c r="B2780" s="82"/>
      <c r="C2780" s="1231"/>
      <c r="D2780" s="1231"/>
      <c r="E2780" s="84" t="str">
        <f>'Terms and Turnovers'!$AD$12</f>
        <v>ACCESSORIES</v>
      </c>
      <c r="F2780" s="68">
        <f>F2065/'Terms and Turnovers'!$AD219</f>
        <v>0</v>
      </c>
      <c r="G2780" s="728"/>
      <c r="H2780" s="68">
        <f>H2065/'Terms and Turnovers'!$AD219</f>
        <v>0</v>
      </c>
      <c r="I2780" s="728"/>
      <c r="J2780" s="68">
        <f>J2065/'Terms and Turnovers'!$AD219</f>
        <v>0</v>
      </c>
      <c r="K2780" s="728"/>
      <c r="L2780" s="68">
        <f>L2065/'Terms and Turnovers'!$AD219</f>
        <v>0</v>
      </c>
      <c r="M2780" s="728"/>
      <c r="N2780" s="68">
        <f>N2065/'Terms and Turnovers'!$AD219</f>
        <v>0</v>
      </c>
      <c r="O2780" s="728"/>
      <c r="P2780" s="68">
        <f>P2065/'Terms and Turnovers'!$AD219</f>
        <v>0</v>
      </c>
      <c r="Q2780" s="728"/>
      <c r="R2780" s="132">
        <f>SUM(F2780,H2780,J2780,L2780,N2780,P2780)</f>
        <v>0</v>
      </c>
      <c r="S2780" s="728"/>
      <c r="T2780" s="68">
        <f>T2065/'Terms and Turnovers'!$AD219</f>
        <v>0</v>
      </c>
      <c r="U2780" s="728"/>
      <c r="V2780" s="68">
        <f>V2065/'Terms and Turnovers'!$AD219</f>
        <v>0</v>
      </c>
      <c r="W2780" s="728"/>
      <c r="X2780" s="68">
        <f>X2065/'Terms and Turnovers'!$AD219</f>
        <v>0</v>
      </c>
      <c r="Y2780" s="728"/>
      <c r="Z2780" s="68">
        <f>Z2065/'Terms and Turnovers'!$AD219</f>
        <v>0</v>
      </c>
      <c r="AA2780" s="728"/>
      <c r="AB2780" s="68">
        <f>AB2065/'Terms and Turnovers'!$AD219</f>
        <v>0</v>
      </c>
      <c r="AC2780" s="728"/>
      <c r="AD2780" s="68">
        <f>AD2065/'Terms and Turnovers'!$AD219</f>
        <v>0</v>
      </c>
      <c r="AE2780" s="728"/>
      <c r="AF2780" s="132">
        <f>SUM(T2780,V2780,X2780,Z2780,AB2780,AD2780)</f>
        <v>0</v>
      </c>
      <c r="AG2780" s="728"/>
      <c r="AH2780" s="133">
        <f>SUM(AF2780,R2780)</f>
        <v>0</v>
      </c>
      <c r="AI2780" s="728"/>
      <c r="AJ2780" s="65"/>
      <c r="AV2780" s="56"/>
    </row>
    <row r="2781" spans="2:48" ht="12.75" hidden="1" customHeight="1" outlineLevel="2" thickBot="1">
      <c r="B2781" s="82"/>
      <c r="C2781" s="1231"/>
      <c r="D2781" s="1231"/>
      <c r="E2781" s="84">
        <f>'Terms and Turnovers'!$AN$12</f>
        <v>0</v>
      </c>
      <c r="F2781" s="70">
        <f>F2066/'Terms and Turnovers'!$AN219</f>
        <v>0</v>
      </c>
      <c r="G2781" s="728"/>
      <c r="H2781" s="70">
        <f>H2066/'Terms and Turnovers'!$AN219</f>
        <v>0</v>
      </c>
      <c r="I2781" s="728"/>
      <c r="J2781" s="70">
        <f>J2066/'Terms and Turnovers'!$AN219</f>
        <v>0</v>
      </c>
      <c r="K2781" s="728"/>
      <c r="L2781" s="70">
        <f>L2066/'Terms and Turnovers'!$AN219</f>
        <v>0</v>
      </c>
      <c r="M2781" s="728"/>
      <c r="N2781" s="70">
        <f>N2066/'Terms and Turnovers'!$AN219</f>
        <v>0</v>
      </c>
      <c r="O2781" s="728"/>
      <c r="P2781" s="70">
        <f>P2066/'Terms and Turnovers'!$AN219</f>
        <v>0</v>
      </c>
      <c r="Q2781" s="728"/>
      <c r="R2781" s="132">
        <f>SUM(F2781,H2781,J2781,L2781,N2781,P2781)</f>
        <v>0</v>
      </c>
      <c r="S2781" s="728"/>
      <c r="T2781" s="70">
        <f>T2066/'Terms and Turnovers'!$AN219</f>
        <v>0</v>
      </c>
      <c r="U2781" s="728"/>
      <c r="V2781" s="70">
        <f>V2066/'Terms and Turnovers'!$AN219</f>
        <v>0</v>
      </c>
      <c r="W2781" s="728"/>
      <c r="X2781" s="70">
        <f>X2066/'Terms and Turnovers'!$AN219</f>
        <v>0</v>
      </c>
      <c r="Y2781" s="728"/>
      <c r="Z2781" s="70">
        <f>Z2066/'Terms and Turnovers'!$AN219</f>
        <v>0</v>
      </c>
      <c r="AA2781" s="728"/>
      <c r="AB2781" s="70">
        <f>AB2066/'Terms and Turnovers'!$AN219</f>
        <v>0</v>
      </c>
      <c r="AC2781" s="728"/>
      <c r="AD2781" s="70">
        <f>AD2066/'Terms and Turnovers'!$AN219</f>
        <v>0</v>
      </c>
      <c r="AE2781" s="728"/>
      <c r="AF2781" s="132">
        <f>SUM(T2781,V2781,X2781,Z2781,AB2781,AD2781)</f>
        <v>0</v>
      </c>
      <c r="AG2781" s="728"/>
      <c r="AH2781" s="133">
        <f>SUM(AF2781,R2781)</f>
        <v>0</v>
      </c>
      <c r="AI2781" s="728"/>
      <c r="AJ2781" s="65"/>
      <c r="AV2781" s="56"/>
    </row>
    <row r="2782" spans="2:48" ht="13.5" hidden="1" customHeight="1" outlineLevel="2" thickBot="1">
      <c r="B2782" s="82"/>
      <c r="C2782" s="1232"/>
      <c r="D2782" s="1232"/>
      <c r="E2782" s="85">
        <f>'Terms and Turnovers'!$AX$12</f>
        <v>0</v>
      </c>
      <c r="F2782" s="68">
        <f>F2067/'Terms and Turnovers'!$AX219</f>
        <v>0</v>
      </c>
      <c r="G2782" s="111"/>
      <c r="H2782" s="68">
        <f>H2067/'Terms and Turnovers'!$AX219</f>
        <v>0</v>
      </c>
      <c r="I2782" s="107"/>
      <c r="J2782" s="68">
        <f>J2067/'Terms and Turnovers'!$AX219</f>
        <v>0</v>
      </c>
      <c r="K2782" s="107"/>
      <c r="L2782" s="68">
        <f>L2067/'Terms and Turnovers'!$AX219</f>
        <v>0</v>
      </c>
      <c r="M2782" s="107"/>
      <c r="N2782" s="68">
        <f>N2067/'Terms and Turnovers'!$AX219</f>
        <v>0</v>
      </c>
      <c r="O2782" s="107"/>
      <c r="P2782" s="68">
        <f>P2067/'Terms and Turnovers'!$AX219</f>
        <v>0</v>
      </c>
      <c r="Q2782" s="107"/>
      <c r="R2782" s="135">
        <f>SUM(F2782,H2782,J2782,L2782,N2782,P2782)</f>
        <v>0</v>
      </c>
      <c r="S2782" s="107"/>
      <c r="T2782" s="68">
        <f>T2067/'Terms and Turnovers'!$AX219</f>
        <v>0</v>
      </c>
      <c r="U2782" s="111"/>
      <c r="V2782" s="68">
        <f>V2067/'Terms and Turnovers'!$AX219</f>
        <v>0</v>
      </c>
      <c r="W2782" s="107"/>
      <c r="X2782" s="68">
        <f>X2067/'Terms and Turnovers'!$AX219</f>
        <v>0</v>
      </c>
      <c r="Y2782" s="107"/>
      <c r="Z2782" s="68">
        <f>Z2067/'Terms and Turnovers'!$AX219</f>
        <v>0</v>
      </c>
      <c r="AA2782" s="107"/>
      <c r="AB2782" s="68">
        <f>AB2067/'Terms and Turnovers'!$AX219</f>
        <v>0</v>
      </c>
      <c r="AC2782" s="107"/>
      <c r="AD2782" s="68">
        <f>AD2067/'Terms and Turnovers'!$AX219</f>
        <v>0</v>
      </c>
      <c r="AE2782" s="107"/>
      <c r="AF2782" s="135">
        <f>SUM(T2782,V2782,X2782,Z2782,AB2782,AD2782)</f>
        <v>0</v>
      </c>
      <c r="AG2782" s="107"/>
      <c r="AH2782" s="136">
        <f>SUM(AF2782,R2782)</f>
        <v>0</v>
      </c>
      <c r="AI2782" s="107"/>
      <c r="AJ2782" s="65"/>
      <c r="AV2782" s="56"/>
    </row>
    <row r="2783" spans="2:48" ht="13.5" hidden="1" customHeight="1" outlineLevel="2">
      <c r="B2783" s="82"/>
      <c r="C2783" s="425"/>
      <c r="D2783" s="425"/>
      <c r="E2783" s="634"/>
      <c r="F2783" s="635"/>
      <c r="G2783" s="428"/>
      <c r="H2783" s="635"/>
      <c r="I2783" s="428"/>
      <c r="J2783" s="635"/>
      <c r="K2783" s="636"/>
      <c r="L2783" s="635"/>
      <c r="M2783" s="636"/>
      <c r="N2783" s="635"/>
      <c r="O2783" s="636"/>
      <c r="P2783" s="635"/>
      <c r="Q2783" s="636"/>
      <c r="R2783" s="637"/>
      <c r="S2783" s="698">
        <f>SUM(R2063:R2067)/1.18-(SUM(R2778:R2782)*'Mark Up Validation'!$M$175)</f>
        <v>0</v>
      </c>
      <c r="T2783" s="635"/>
      <c r="U2783" s="636"/>
      <c r="V2783" s="635"/>
      <c r="W2783" s="636"/>
      <c r="X2783" s="635"/>
      <c r="Y2783" s="636"/>
      <c r="Z2783" s="635"/>
      <c r="AA2783" s="636"/>
      <c r="AB2783" s="635"/>
      <c r="AC2783" s="636"/>
      <c r="AD2783" s="635"/>
      <c r="AE2783" s="636"/>
      <c r="AF2783" s="637"/>
      <c r="AG2783" s="698">
        <f>SUM(AF2063:AF2067)/1.18-SUM(AF2778:AF2782)*'Mark Up Validation'!$M$175</f>
        <v>0</v>
      </c>
      <c r="AH2783" s="638"/>
      <c r="AI2783" s="698">
        <f>SUM(AH2063:AH2067)/1.18-SUM(AH2778:AH2782)*'Mark Up Validation'!$M$175</f>
        <v>0</v>
      </c>
      <c r="AJ2783" s="65"/>
      <c r="AV2783" s="56"/>
    </row>
    <row r="2784" spans="2:48" ht="13.5" hidden="1" customHeight="1" outlineLevel="2" thickBot="1">
      <c r="B2784" s="82"/>
      <c r="C2784" s="1228" t="s">
        <v>538</v>
      </c>
      <c r="D2784" s="1229"/>
      <c r="E2784" s="699"/>
      <c r="F2784" s="700"/>
      <c r="G2784" s="701"/>
      <c r="H2784" s="700"/>
      <c r="I2784" s="701"/>
      <c r="J2784" s="700"/>
      <c r="K2784" s="702"/>
      <c r="L2784" s="700"/>
      <c r="M2784" s="702"/>
      <c r="N2784" s="700"/>
      <c r="O2784" s="702"/>
      <c r="P2784" s="700"/>
      <c r="Q2784" s="702"/>
      <c r="R2784" s="703"/>
      <c r="S2784" s="729">
        <f>IF(S2783&gt;0,S2783/(SUM(R2063:R2067)/1.18),0)</f>
        <v>0</v>
      </c>
      <c r="T2784" s="700"/>
      <c r="U2784" s="702"/>
      <c r="V2784" s="700"/>
      <c r="W2784" s="702"/>
      <c r="X2784" s="700"/>
      <c r="Y2784" s="702"/>
      <c r="Z2784" s="700"/>
      <c r="AA2784" s="702"/>
      <c r="AB2784" s="700"/>
      <c r="AC2784" s="702"/>
      <c r="AD2784" s="700"/>
      <c r="AE2784" s="702"/>
      <c r="AF2784" s="705"/>
      <c r="AG2784" s="729">
        <f>IF(AG2783&gt;0,AG2783/(SUM(AF2063:AF2067)/1.18),0)</f>
        <v>0</v>
      </c>
      <c r="AH2784" s="706"/>
      <c r="AI2784" s="729">
        <f>IF(AI2783&gt;0,AI2783/(SUM(AH2063:AH2067)/1.18),0)</f>
        <v>0</v>
      </c>
      <c r="AJ2784" s="65"/>
      <c r="AV2784" s="56"/>
    </row>
    <row r="2785" spans="2:48" ht="12.75" hidden="1" customHeight="1" outlineLevel="2">
      <c r="B2785" s="82">
        <f>B2778+1</f>
        <v>89</v>
      </c>
      <c r="C2785" s="1233">
        <f>C2070</f>
        <v>0</v>
      </c>
      <c r="D2785" s="1233">
        <f>D2070</f>
        <v>0</v>
      </c>
      <c r="E2785" s="83" t="str">
        <f>'Terms and Turnovers'!$J$12</f>
        <v>FLIP-FLOPS</v>
      </c>
      <c r="F2785" s="68">
        <f>F2070/'Terms and Turnovers'!$J220</f>
        <v>0</v>
      </c>
      <c r="G2785" s="106"/>
      <c r="H2785" s="68">
        <f>H2070/'Terms and Turnovers'!$J220</f>
        <v>0</v>
      </c>
      <c r="I2785" s="106"/>
      <c r="J2785" s="68">
        <f>J2070/'Terms and Turnovers'!$J220</f>
        <v>0</v>
      </c>
      <c r="K2785" s="106"/>
      <c r="L2785" s="68">
        <f>L2070/'Terms and Turnovers'!$J220</f>
        <v>0</v>
      </c>
      <c r="M2785" s="106"/>
      <c r="N2785" s="68">
        <f>N2070/'Terms and Turnovers'!$J220</f>
        <v>0</v>
      </c>
      <c r="O2785" s="106"/>
      <c r="P2785" s="68">
        <f>P2070/'Terms and Turnovers'!$J220</f>
        <v>0</v>
      </c>
      <c r="Q2785" s="106"/>
      <c r="R2785" s="129">
        <f>SUM(F2785,H2785,J2785,L2785,N2785,P2785)</f>
        <v>0</v>
      </c>
      <c r="S2785" s="106"/>
      <c r="T2785" s="68">
        <f>T2070/'Terms and Turnovers'!$J220</f>
        <v>0</v>
      </c>
      <c r="U2785" s="106"/>
      <c r="V2785" s="68">
        <f>V2070/'Terms and Turnovers'!$J220</f>
        <v>0</v>
      </c>
      <c r="W2785" s="106"/>
      <c r="X2785" s="68">
        <f>X2070/'Terms and Turnovers'!$J220</f>
        <v>0</v>
      </c>
      <c r="Y2785" s="106"/>
      <c r="Z2785" s="68">
        <f>Z2070/'Terms and Turnovers'!$J220</f>
        <v>0</v>
      </c>
      <c r="AA2785" s="106"/>
      <c r="AB2785" s="68">
        <f>AB2070/'Terms and Turnovers'!$J220</f>
        <v>0</v>
      </c>
      <c r="AC2785" s="106"/>
      <c r="AD2785" s="68">
        <f>AD2070/'Terms and Turnovers'!$J220</f>
        <v>0</v>
      </c>
      <c r="AE2785" s="106"/>
      <c r="AF2785" s="129">
        <f>SUM(T2785,V2785,X2785,Z2785,AB2785,AD2785)</f>
        <v>0</v>
      </c>
      <c r="AG2785" s="106"/>
      <c r="AH2785" s="130">
        <f>SUM(AF2785,R2785)</f>
        <v>0</v>
      </c>
      <c r="AI2785" s="106"/>
      <c r="AJ2785" s="65"/>
      <c r="AV2785" s="56"/>
    </row>
    <row r="2786" spans="2:48" ht="12.75" hidden="1" customHeight="1" outlineLevel="2" thickBot="1">
      <c r="B2786" s="82"/>
      <c r="C2786" s="1234"/>
      <c r="D2786" s="1234"/>
      <c r="E2786" s="84" t="str">
        <f>'Terms and Turnovers'!$T$12</f>
        <v>ORIGINALS</v>
      </c>
      <c r="F2786" s="70">
        <f>F2071/'Terms and Turnovers'!$T220</f>
        <v>0</v>
      </c>
      <c r="G2786" s="728"/>
      <c r="H2786" s="70">
        <f>H2071/'Terms and Turnovers'!$T220</f>
        <v>0</v>
      </c>
      <c r="I2786" s="728"/>
      <c r="J2786" s="70">
        <f>J2071/'Terms and Turnovers'!$T220</f>
        <v>0</v>
      </c>
      <c r="K2786" s="728"/>
      <c r="L2786" s="70">
        <f>L2071/'Terms and Turnovers'!$T220</f>
        <v>0</v>
      </c>
      <c r="M2786" s="728"/>
      <c r="N2786" s="70">
        <f>N2071/'Terms and Turnovers'!$T220</f>
        <v>0</v>
      </c>
      <c r="O2786" s="728"/>
      <c r="P2786" s="70">
        <f>P2071/'Terms and Turnovers'!$T220</f>
        <v>0</v>
      </c>
      <c r="Q2786" s="728"/>
      <c r="R2786" s="132">
        <f>SUM(F2786,H2786,J2786,L2786,N2786,P2786)</f>
        <v>0</v>
      </c>
      <c r="S2786" s="728"/>
      <c r="T2786" s="70">
        <f>T2071/'Terms and Turnovers'!$T220</f>
        <v>0</v>
      </c>
      <c r="U2786" s="728"/>
      <c r="V2786" s="70">
        <f>V2071/'Terms and Turnovers'!$T220</f>
        <v>0</v>
      </c>
      <c r="W2786" s="728"/>
      <c r="X2786" s="70">
        <f>X2071/'Terms and Turnovers'!$T220</f>
        <v>0</v>
      </c>
      <c r="Y2786" s="728"/>
      <c r="Z2786" s="70">
        <f>Z2071/'Terms and Turnovers'!$T220</f>
        <v>0</v>
      </c>
      <c r="AA2786" s="728"/>
      <c r="AB2786" s="70">
        <f>AB2071/'Terms and Turnovers'!$T220</f>
        <v>0</v>
      </c>
      <c r="AC2786" s="728"/>
      <c r="AD2786" s="70">
        <f>AD2071/'Terms and Turnovers'!$T220</f>
        <v>0</v>
      </c>
      <c r="AE2786" s="728"/>
      <c r="AF2786" s="132">
        <f>SUM(T2786,V2786,X2786,Z2786,AB2786,AD2786)</f>
        <v>0</v>
      </c>
      <c r="AG2786" s="728"/>
      <c r="AH2786" s="133">
        <f>SUM(AF2786,R2786)</f>
        <v>0</v>
      </c>
      <c r="AI2786" s="728"/>
      <c r="AJ2786" s="65"/>
      <c r="AV2786" s="56"/>
    </row>
    <row r="2787" spans="2:48" ht="12.75" hidden="1" customHeight="1" outlineLevel="2">
      <c r="B2787" s="82"/>
      <c r="C2787" s="1234"/>
      <c r="D2787" s="1234"/>
      <c r="E2787" s="84" t="str">
        <f>'Terms and Turnovers'!$AD$12</f>
        <v>ACCESSORIES</v>
      </c>
      <c r="F2787" s="68">
        <f>F2072/'Terms and Turnovers'!$AD220</f>
        <v>0</v>
      </c>
      <c r="G2787" s="728"/>
      <c r="H2787" s="68">
        <f>H2072/'Terms and Turnovers'!$AD220</f>
        <v>0</v>
      </c>
      <c r="I2787" s="728"/>
      <c r="J2787" s="68">
        <f>J2072/'Terms and Turnovers'!$AD220</f>
        <v>0</v>
      </c>
      <c r="K2787" s="728"/>
      <c r="L2787" s="68">
        <f>L2072/'Terms and Turnovers'!$AD220</f>
        <v>0</v>
      </c>
      <c r="M2787" s="728"/>
      <c r="N2787" s="68">
        <f>N2072/'Terms and Turnovers'!$AD220</f>
        <v>0</v>
      </c>
      <c r="O2787" s="728"/>
      <c r="P2787" s="68">
        <f>P2072/'Terms and Turnovers'!$AD220</f>
        <v>0</v>
      </c>
      <c r="Q2787" s="728"/>
      <c r="R2787" s="132">
        <f>SUM(F2787,H2787,J2787,L2787,N2787,P2787)</f>
        <v>0</v>
      </c>
      <c r="S2787" s="728"/>
      <c r="T2787" s="68">
        <f>T2072/'Terms and Turnovers'!$AD220</f>
        <v>0</v>
      </c>
      <c r="U2787" s="728"/>
      <c r="V2787" s="68">
        <f>V2072/'Terms and Turnovers'!$AD220</f>
        <v>0</v>
      </c>
      <c r="W2787" s="728"/>
      <c r="X2787" s="68">
        <f>X2072/'Terms and Turnovers'!$AD220</f>
        <v>0</v>
      </c>
      <c r="Y2787" s="728"/>
      <c r="Z2787" s="68">
        <f>Z2072/'Terms and Turnovers'!$AD220</f>
        <v>0</v>
      </c>
      <c r="AA2787" s="728"/>
      <c r="AB2787" s="68">
        <f>AB2072/'Terms and Turnovers'!$AD220</f>
        <v>0</v>
      </c>
      <c r="AC2787" s="728"/>
      <c r="AD2787" s="68">
        <f>AD2072/'Terms and Turnovers'!$AD220</f>
        <v>0</v>
      </c>
      <c r="AE2787" s="728"/>
      <c r="AF2787" s="132">
        <f>SUM(T2787,V2787,X2787,Z2787,AB2787,AD2787)</f>
        <v>0</v>
      </c>
      <c r="AG2787" s="728"/>
      <c r="AH2787" s="133">
        <f>SUM(AF2787,R2787)</f>
        <v>0</v>
      </c>
      <c r="AI2787" s="728"/>
      <c r="AJ2787" s="65"/>
      <c r="AV2787" s="56"/>
    </row>
    <row r="2788" spans="2:48" ht="12.75" hidden="1" customHeight="1" outlineLevel="2" thickBot="1">
      <c r="B2788" s="82"/>
      <c r="C2788" s="1234"/>
      <c r="D2788" s="1234"/>
      <c r="E2788" s="84">
        <f>'Terms and Turnovers'!$AN$12</f>
        <v>0</v>
      </c>
      <c r="F2788" s="70">
        <f>F2073/'Terms and Turnovers'!$AN220</f>
        <v>0</v>
      </c>
      <c r="G2788" s="728"/>
      <c r="H2788" s="70">
        <f>H2073/'Terms and Turnovers'!$AN220</f>
        <v>0</v>
      </c>
      <c r="I2788" s="728"/>
      <c r="J2788" s="70">
        <f>J2073/'Terms and Turnovers'!$AN220</f>
        <v>0</v>
      </c>
      <c r="K2788" s="728"/>
      <c r="L2788" s="70">
        <f>L2073/'Terms and Turnovers'!$AN220</f>
        <v>0</v>
      </c>
      <c r="M2788" s="728"/>
      <c r="N2788" s="70">
        <f>N2073/'Terms and Turnovers'!$AN220</f>
        <v>0</v>
      </c>
      <c r="O2788" s="728"/>
      <c r="P2788" s="70">
        <f>P2073/'Terms and Turnovers'!$AN220</f>
        <v>0</v>
      </c>
      <c r="Q2788" s="728"/>
      <c r="R2788" s="132">
        <f>SUM(F2788,H2788,J2788,L2788,N2788,P2788)</f>
        <v>0</v>
      </c>
      <c r="S2788" s="728"/>
      <c r="T2788" s="70">
        <f>T2073/'Terms and Turnovers'!$AN220</f>
        <v>0</v>
      </c>
      <c r="U2788" s="728"/>
      <c r="V2788" s="70">
        <f>V2073/'Terms and Turnovers'!$AN220</f>
        <v>0</v>
      </c>
      <c r="W2788" s="728"/>
      <c r="X2788" s="70">
        <f>X2073/'Terms and Turnovers'!$AN220</f>
        <v>0</v>
      </c>
      <c r="Y2788" s="728"/>
      <c r="Z2788" s="70">
        <f>Z2073/'Terms and Turnovers'!$AN220</f>
        <v>0</v>
      </c>
      <c r="AA2788" s="728"/>
      <c r="AB2788" s="70">
        <f>AB2073/'Terms and Turnovers'!$AN220</f>
        <v>0</v>
      </c>
      <c r="AC2788" s="728"/>
      <c r="AD2788" s="70">
        <f>AD2073/'Terms and Turnovers'!$AN220</f>
        <v>0</v>
      </c>
      <c r="AE2788" s="728"/>
      <c r="AF2788" s="132">
        <f>SUM(T2788,V2788,X2788,Z2788,AB2788,AD2788)</f>
        <v>0</v>
      </c>
      <c r="AG2788" s="728"/>
      <c r="AH2788" s="133">
        <f>SUM(AF2788,R2788)</f>
        <v>0</v>
      </c>
      <c r="AI2788" s="728"/>
      <c r="AJ2788" s="65"/>
      <c r="AV2788" s="56"/>
    </row>
    <row r="2789" spans="2:48" ht="13.5" hidden="1" customHeight="1" outlineLevel="2" thickBot="1">
      <c r="B2789" s="82"/>
      <c r="C2789" s="1235"/>
      <c r="D2789" s="1235"/>
      <c r="E2789" s="85">
        <f>'Terms and Turnovers'!$AX$12</f>
        <v>0</v>
      </c>
      <c r="F2789" s="68">
        <f>F2074/'Terms and Turnovers'!$AX220</f>
        <v>0</v>
      </c>
      <c r="G2789" s="111"/>
      <c r="H2789" s="68">
        <f>H2074/'Terms and Turnovers'!$AX220</f>
        <v>0</v>
      </c>
      <c r="I2789" s="107"/>
      <c r="J2789" s="68">
        <f>J2074/'Terms and Turnovers'!$AX220</f>
        <v>0</v>
      </c>
      <c r="K2789" s="107"/>
      <c r="L2789" s="68">
        <f>L2074/'Terms and Turnovers'!$AX220</f>
        <v>0</v>
      </c>
      <c r="M2789" s="107"/>
      <c r="N2789" s="68">
        <f>N2074/'Terms and Turnovers'!$AX220</f>
        <v>0</v>
      </c>
      <c r="O2789" s="107"/>
      <c r="P2789" s="68">
        <f>P2074/'Terms and Turnovers'!$AX220</f>
        <v>0</v>
      </c>
      <c r="Q2789" s="107"/>
      <c r="R2789" s="135">
        <f>SUM(F2789,H2789,J2789,L2789,N2789,P2789)</f>
        <v>0</v>
      </c>
      <c r="S2789" s="107"/>
      <c r="T2789" s="68">
        <f>T2074/'Terms and Turnovers'!$AX220</f>
        <v>0</v>
      </c>
      <c r="U2789" s="111"/>
      <c r="V2789" s="68">
        <f>V2074/'Terms and Turnovers'!$AX220</f>
        <v>0</v>
      </c>
      <c r="W2789" s="107"/>
      <c r="X2789" s="68">
        <f>X2074/'Terms and Turnovers'!$AX220</f>
        <v>0</v>
      </c>
      <c r="Y2789" s="107"/>
      <c r="Z2789" s="68">
        <f>Z2074/'Terms and Turnovers'!$AX220</f>
        <v>0</v>
      </c>
      <c r="AA2789" s="107"/>
      <c r="AB2789" s="68">
        <f>AB2074/'Terms and Turnovers'!$AX220</f>
        <v>0</v>
      </c>
      <c r="AC2789" s="107"/>
      <c r="AD2789" s="68">
        <f>AD2074/'Terms and Turnovers'!$AX220</f>
        <v>0</v>
      </c>
      <c r="AE2789" s="107"/>
      <c r="AF2789" s="135">
        <f>SUM(T2789,V2789,X2789,Z2789,AB2789,AD2789)</f>
        <v>0</v>
      </c>
      <c r="AG2789" s="107"/>
      <c r="AH2789" s="136">
        <f>SUM(AF2789,R2789)</f>
        <v>0</v>
      </c>
      <c r="AI2789" s="107"/>
      <c r="AJ2789" s="65"/>
      <c r="AV2789" s="56"/>
    </row>
    <row r="2790" spans="2:48" ht="13.5" hidden="1" customHeight="1" outlineLevel="2">
      <c r="B2790" s="82"/>
      <c r="C2790" s="425"/>
      <c r="D2790" s="425"/>
      <c r="E2790" s="634"/>
      <c r="F2790" s="635"/>
      <c r="G2790" s="428"/>
      <c r="H2790" s="635"/>
      <c r="I2790" s="428"/>
      <c r="J2790" s="635"/>
      <c r="K2790" s="636"/>
      <c r="L2790" s="635"/>
      <c r="M2790" s="636"/>
      <c r="N2790" s="635"/>
      <c r="O2790" s="636"/>
      <c r="P2790" s="635"/>
      <c r="Q2790" s="636"/>
      <c r="R2790" s="637"/>
      <c r="S2790" s="698">
        <f>SUM(R2070:R2074)/1.18-(SUM(R2785:R2789)*'Mark Up Validation'!$M$175)</f>
        <v>0</v>
      </c>
      <c r="T2790" s="635"/>
      <c r="U2790" s="636"/>
      <c r="V2790" s="635"/>
      <c r="W2790" s="636"/>
      <c r="X2790" s="635"/>
      <c r="Y2790" s="636"/>
      <c r="Z2790" s="635"/>
      <c r="AA2790" s="636"/>
      <c r="AB2790" s="635"/>
      <c r="AC2790" s="636"/>
      <c r="AD2790" s="635"/>
      <c r="AE2790" s="636"/>
      <c r="AF2790" s="637"/>
      <c r="AG2790" s="698">
        <f>SUM(AF2070:AF2074)/1.18-SUM(AF2785:AF2789)*'Mark Up Validation'!$M$175</f>
        <v>0</v>
      </c>
      <c r="AH2790" s="638"/>
      <c r="AI2790" s="698">
        <f>SUM(AH2070:AH2074)/1.18-SUM(AH2785:AH2789)*'Mark Up Validation'!$M$175</f>
        <v>0</v>
      </c>
      <c r="AJ2790" s="65"/>
      <c r="AV2790" s="56"/>
    </row>
    <row r="2791" spans="2:48" ht="13.5" hidden="1" customHeight="1" outlineLevel="2" thickBot="1">
      <c r="B2791" s="82"/>
      <c r="C2791" s="1228" t="s">
        <v>538</v>
      </c>
      <c r="D2791" s="1229"/>
      <c r="E2791" s="699"/>
      <c r="F2791" s="700"/>
      <c r="G2791" s="701"/>
      <c r="H2791" s="700"/>
      <c r="I2791" s="701"/>
      <c r="J2791" s="700"/>
      <c r="K2791" s="702"/>
      <c r="L2791" s="700"/>
      <c r="M2791" s="702"/>
      <c r="N2791" s="700"/>
      <c r="O2791" s="702"/>
      <c r="P2791" s="700"/>
      <c r="Q2791" s="702"/>
      <c r="R2791" s="703"/>
      <c r="S2791" s="729">
        <f>IF(S2790&gt;0,S2790/(SUM(R2070:R2074)/1.18),0)</f>
        <v>0</v>
      </c>
      <c r="T2791" s="700"/>
      <c r="U2791" s="702"/>
      <c r="V2791" s="700"/>
      <c r="W2791" s="702"/>
      <c r="X2791" s="700"/>
      <c r="Y2791" s="702"/>
      <c r="Z2791" s="700"/>
      <c r="AA2791" s="702"/>
      <c r="AB2791" s="700"/>
      <c r="AC2791" s="702"/>
      <c r="AD2791" s="700"/>
      <c r="AE2791" s="702"/>
      <c r="AF2791" s="705"/>
      <c r="AG2791" s="729">
        <f>IF(AG2790&gt;0,AG2790/(SUM(AF2070:AF2074)/1.18),0)</f>
        <v>0</v>
      </c>
      <c r="AH2791" s="706"/>
      <c r="AI2791" s="729">
        <f>IF(AI2790&gt;0,AI2790/(SUM(AH2070:AH2074)/1.18),0)</f>
        <v>0</v>
      </c>
      <c r="AJ2791" s="65"/>
      <c r="AV2791" s="56"/>
    </row>
    <row r="2792" spans="2:48" ht="12.75" hidden="1" customHeight="1" outlineLevel="2">
      <c r="B2792" s="82">
        <f>B2785+1</f>
        <v>90</v>
      </c>
      <c r="C2792" s="1230">
        <f>C2077</f>
        <v>0</v>
      </c>
      <c r="D2792" s="1230">
        <f>D2077</f>
        <v>0</v>
      </c>
      <c r="E2792" s="83" t="str">
        <f>'Terms and Turnovers'!$J$12</f>
        <v>FLIP-FLOPS</v>
      </c>
      <c r="F2792" s="68">
        <f>F2077/'Terms and Turnovers'!$J221</f>
        <v>0</v>
      </c>
      <c r="G2792" s="106"/>
      <c r="H2792" s="68">
        <f>H2077/'Terms and Turnovers'!$J221</f>
        <v>0</v>
      </c>
      <c r="I2792" s="106"/>
      <c r="J2792" s="68">
        <f>J2077/'Terms and Turnovers'!$J221</f>
        <v>0</v>
      </c>
      <c r="K2792" s="106"/>
      <c r="L2792" s="68">
        <f>L2077/'Terms and Turnovers'!$J221</f>
        <v>0</v>
      </c>
      <c r="M2792" s="106"/>
      <c r="N2792" s="68">
        <f>N2077/'Terms and Turnovers'!$J221</f>
        <v>0</v>
      </c>
      <c r="O2792" s="106"/>
      <c r="P2792" s="68">
        <f>P2077/'Terms and Turnovers'!$J221</f>
        <v>0</v>
      </c>
      <c r="Q2792" s="106"/>
      <c r="R2792" s="129">
        <f>SUM(F2792,H2792,J2792,L2792,N2792,P2792)</f>
        <v>0</v>
      </c>
      <c r="S2792" s="106"/>
      <c r="T2792" s="68">
        <f>T2077/'Terms and Turnovers'!$J221</f>
        <v>0</v>
      </c>
      <c r="U2792" s="106"/>
      <c r="V2792" s="68">
        <f>V2077/'Terms and Turnovers'!$J221</f>
        <v>0</v>
      </c>
      <c r="W2792" s="106"/>
      <c r="X2792" s="68">
        <f>X2077/'Terms and Turnovers'!$J221</f>
        <v>0</v>
      </c>
      <c r="Y2792" s="106"/>
      <c r="Z2792" s="68">
        <f>Z2077/'Terms and Turnovers'!$J221</f>
        <v>0</v>
      </c>
      <c r="AA2792" s="106"/>
      <c r="AB2792" s="68">
        <f>AB2077/'Terms and Turnovers'!$J221</f>
        <v>0</v>
      </c>
      <c r="AC2792" s="106"/>
      <c r="AD2792" s="68">
        <f>AD2077/'Terms and Turnovers'!$J221</f>
        <v>0</v>
      </c>
      <c r="AE2792" s="106"/>
      <c r="AF2792" s="129">
        <f>SUM(T2792,V2792,X2792,Z2792,AB2792,AD2792)</f>
        <v>0</v>
      </c>
      <c r="AG2792" s="106"/>
      <c r="AH2792" s="130">
        <f>SUM(AF2792,R2792)</f>
        <v>0</v>
      </c>
      <c r="AI2792" s="106"/>
      <c r="AJ2792" s="65"/>
      <c r="AV2792" s="56"/>
    </row>
    <row r="2793" spans="2:48" ht="12.75" hidden="1" customHeight="1" outlineLevel="2" thickBot="1">
      <c r="B2793" s="82"/>
      <c r="C2793" s="1231"/>
      <c r="D2793" s="1231"/>
      <c r="E2793" s="84" t="str">
        <f>'Terms and Turnovers'!$T$12</f>
        <v>ORIGINALS</v>
      </c>
      <c r="F2793" s="70">
        <f>F2078/'Terms and Turnovers'!$T221</f>
        <v>0</v>
      </c>
      <c r="G2793" s="728"/>
      <c r="H2793" s="70">
        <f>H2078/'Terms and Turnovers'!$T221</f>
        <v>0</v>
      </c>
      <c r="I2793" s="728"/>
      <c r="J2793" s="70">
        <f>J2078/'Terms and Turnovers'!$T221</f>
        <v>0</v>
      </c>
      <c r="K2793" s="728"/>
      <c r="L2793" s="70">
        <f>L2078/'Terms and Turnovers'!$T221</f>
        <v>0</v>
      </c>
      <c r="M2793" s="728"/>
      <c r="N2793" s="70">
        <f>N2078/'Terms and Turnovers'!$T221</f>
        <v>0</v>
      </c>
      <c r="O2793" s="728"/>
      <c r="P2793" s="70">
        <f>P2078/'Terms and Turnovers'!$T221</f>
        <v>0</v>
      </c>
      <c r="Q2793" s="728"/>
      <c r="R2793" s="132">
        <f>SUM(F2793,H2793,J2793,L2793,N2793,P2793)</f>
        <v>0</v>
      </c>
      <c r="S2793" s="728"/>
      <c r="T2793" s="70">
        <f>T2078/'Terms and Turnovers'!$T221</f>
        <v>0</v>
      </c>
      <c r="U2793" s="728"/>
      <c r="V2793" s="70">
        <f>V2078/'Terms and Turnovers'!$T221</f>
        <v>0</v>
      </c>
      <c r="W2793" s="728"/>
      <c r="X2793" s="70">
        <f>X2078/'Terms and Turnovers'!$T221</f>
        <v>0</v>
      </c>
      <c r="Y2793" s="728"/>
      <c r="Z2793" s="70">
        <f>Z2078/'Terms and Turnovers'!$T221</f>
        <v>0</v>
      </c>
      <c r="AA2793" s="728"/>
      <c r="AB2793" s="70">
        <f>AB2078/'Terms and Turnovers'!$T221</f>
        <v>0</v>
      </c>
      <c r="AC2793" s="728"/>
      <c r="AD2793" s="70">
        <f>AD2078/'Terms and Turnovers'!$T221</f>
        <v>0</v>
      </c>
      <c r="AE2793" s="728"/>
      <c r="AF2793" s="132">
        <f>SUM(T2793,V2793,X2793,Z2793,AB2793,AD2793)</f>
        <v>0</v>
      </c>
      <c r="AG2793" s="728"/>
      <c r="AH2793" s="133">
        <f>SUM(AF2793,R2793)</f>
        <v>0</v>
      </c>
      <c r="AI2793" s="728"/>
      <c r="AJ2793" s="65"/>
      <c r="AV2793" s="56"/>
    </row>
    <row r="2794" spans="2:48" ht="12.75" hidden="1" customHeight="1" outlineLevel="2">
      <c r="B2794" s="82"/>
      <c r="C2794" s="1231"/>
      <c r="D2794" s="1231"/>
      <c r="E2794" s="84" t="str">
        <f>'Terms and Turnovers'!$AD$12</f>
        <v>ACCESSORIES</v>
      </c>
      <c r="F2794" s="68">
        <f>F2079/'Terms and Turnovers'!$AD221</f>
        <v>0</v>
      </c>
      <c r="G2794" s="728"/>
      <c r="H2794" s="68">
        <f>H2079/'Terms and Turnovers'!$AD221</f>
        <v>0</v>
      </c>
      <c r="I2794" s="728"/>
      <c r="J2794" s="68">
        <f>J2079/'Terms and Turnovers'!$AD221</f>
        <v>0</v>
      </c>
      <c r="K2794" s="728"/>
      <c r="L2794" s="68">
        <f>L2079/'Terms and Turnovers'!$AD221</f>
        <v>0</v>
      </c>
      <c r="M2794" s="728"/>
      <c r="N2794" s="68">
        <f>N2079/'Terms and Turnovers'!$AD221</f>
        <v>0</v>
      </c>
      <c r="O2794" s="728"/>
      <c r="P2794" s="68">
        <f>P2079/'Terms and Turnovers'!$AD221</f>
        <v>0</v>
      </c>
      <c r="Q2794" s="728"/>
      <c r="R2794" s="132">
        <f>SUM(F2794,H2794,J2794,L2794,N2794,P2794)</f>
        <v>0</v>
      </c>
      <c r="S2794" s="728"/>
      <c r="T2794" s="68">
        <f>T2079/'Terms and Turnovers'!$AD221</f>
        <v>0</v>
      </c>
      <c r="U2794" s="728"/>
      <c r="V2794" s="68">
        <f>V2079/'Terms and Turnovers'!$AD221</f>
        <v>0</v>
      </c>
      <c r="W2794" s="728"/>
      <c r="X2794" s="68">
        <f>X2079/'Terms and Turnovers'!$AD221</f>
        <v>0</v>
      </c>
      <c r="Y2794" s="728"/>
      <c r="Z2794" s="68">
        <f>Z2079/'Terms and Turnovers'!$AD221</f>
        <v>0</v>
      </c>
      <c r="AA2794" s="728"/>
      <c r="AB2794" s="68">
        <f>AB2079/'Terms and Turnovers'!$AD221</f>
        <v>0</v>
      </c>
      <c r="AC2794" s="728"/>
      <c r="AD2794" s="68">
        <f>AD2079/'Terms and Turnovers'!$AD221</f>
        <v>0</v>
      </c>
      <c r="AE2794" s="728"/>
      <c r="AF2794" s="132">
        <f>SUM(T2794,V2794,X2794,Z2794,AB2794,AD2794)</f>
        <v>0</v>
      </c>
      <c r="AG2794" s="728"/>
      <c r="AH2794" s="133">
        <f>SUM(AF2794,R2794)</f>
        <v>0</v>
      </c>
      <c r="AI2794" s="728"/>
      <c r="AJ2794" s="65"/>
      <c r="AV2794" s="56"/>
    </row>
    <row r="2795" spans="2:48" ht="12.75" hidden="1" customHeight="1" outlineLevel="2" thickBot="1">
      <c r="B2795" s="82"/>
      <c r="C2795" s="1231"/>
      <c r="D2795" s="1231"/>
      <c r="E2795" s="84">
        <f>'Terms and Turnovers'!$AN$12</f>
        <v>0</v>
      </c>
      <c r="F2795" s="70">
        <f>F2080/'Terms and Turnovers'!$AN221</f>
        <v>0</v>
      </c>
      <c r="G2795" s="728"/>
      <c r="H2795" s="70">
        <f>H2080/'Terms and Turnovers'!$AN221</f>
        <v>0</v>
      </c>
      <c r="I2795" s="728"/>
      <c r="J2795" s="70">
        <f>J2080/'Terms and Turnovers'!$AN221</f>
        <v>0</v>
      </c>
      <c r="K2795" s="728"/>
      <c r="L2795" s="70">
        <f>L2080/'Terms and Turnovers'!$AN221</f>
        <v>0</v>
      </c>
      <c r="M2795" s="728"/>
      <c r="N2795" s="70">
        <f>N2080/'Terms and Turnovers'!$AN221</f>
        <v>0</v>
      </c>
      <c r="O2795" s="728"/>
      <c r="P2795" s="70">
        <f>P2080/'Terms and Turnovers'!$AN221</f>
        <v>0</v>
      </c>
      <c r="Q2795" s="728"/>
      <c r="R2795" s="132">
        <f>SUM(F2795,H2795,J2795,L2795,N2795,P2795)</f>
        <v>0</v>
      </c>
      <c r="S2795" s="728"/>
      <c r="T2795" s="70">
        <f>T2080/'Terms and Turnovers'!$AN221</f>
        <v>0</v>
      </c>
      <c r="U2795" s="728"/>
      <c r="V2795" s="70">
        <f>V2080/'Terms and Turnovers'!$AN221</f>
        <v>0</v>
      </c>
      <c r="W2795" s="728"/>
      <c r="X2795" s="70">
        <f>X2080/'Terms and Turnovers'!$AN221</f>
        <v>0</v>
      </c>
      <c r="Y2795" s="728"/>
      <c r="Z2795" s="70">
        <f>Z2080/'Terms and Turnovers'!$AN221</f>
        <v>0</v>
      </c>
      <c r="AA2795" s="728"/>
      <c r="AB2795" s="70">
        <f>AB2080/'Terms and Turnovers'!$AN221</f>
        <v>0</v>
      </c>
      <c r="AC2795" s="728"/>
      <c r="AD2795" s="70">
        <f>AD2080/'Terms and Turnovers'!$AN221</f>
        <v>0</v>
      </c>
      <c r="AE2795" s="728"/>
      <c r="AF2795" s="132">
        <f>SUM(T2795,V2795,X2795,Z2795,AB2795,AD2795)</f>
        <v>0</v>
      </c>
      <c r="AG2795" s="728"/>
      <c r="AH2795" s="133">
        <f>SUM(AF2795,R2795)</f>
        <v>0</v>
      </c>
      <c r="AI2795" s="728"/>
      <c r="AJ2795" s="65"/>
      <c r="AV2795" s="56"/>
    </row>
    <row r="2796" spans="2:48" ht="13.5" hidden="1" customHeight="1" outlineLevel="2" thickBot="1">
      <c r="B2796" s="82"/>
      <c r="C2796" s="1232"/>
      <c r="D2796" s="1232"/>
      <c r="E2796" s="85">
        <f>'Terms and Turnovers'!$AX$12</f>
        <v>0</v>
      </c>
      <c r="F2796" s="68">
        <f>F2081/'Terms and Turnovers'!$AX221</f>
        <v>0</v>
      </c>
      <c r="G2796" s="111"/>
      <c r="H2796" s="68">
        <f>H2081/'Terms and Turnovers'!$AX221</f>
        <v>0</v>
      </c>
      <c r="I2796" s="107"/>
      <c r="J2796" s="68">
        <f>J2081/'Terms and Turnovers'!$AX221</f>
        <v>0</v>
      </c>
      <c r="K2796" s="107"/>
      <c r="L2796" s="68">
        <f>L2081/'Terms and Turnovers'!$AX221</f>
        <v>0</v>
      </c>
      <c r="M2796" s="107"/>
      <c r="N2796" s="68">
        <f>N2081/'Terms and Turnovers'!$AX221</f>
        <v>0</v>
      </c>
      <c r="O2796" s="107"/>
      <c r="P2796" s="68">
        <f>P2081/'Terms and Turnovers'!$AX221</f>
        <v>0</v>
      </c>
      <c r="Q2796" s="107"/>
      <c r="R2796" s="135">
        <f>SUM(F2796,H2796,J2796,L2796,N2796,P2796)</f>
        <v>0</v>
      </c>
      <c r="S2796" s="107"/>
      <c r="T2796" s="68">
        <f>T2081/'Terms and Turnovers'!$AX221</f>
        <v>0</v>
      </c>
      <c r="U2796" s="111"/>
      <c r="V2796" s="68">
        <f>V2081/'Terms and Turnovers'!$AX221</f>
        <v>0</v>
      </c>
      <c r="W2796" s="107"/>
      <c r="X2796" s="68">
        <f>X2081/'Terms and Turnovers'!$AX221</f>
        <v>0</v>
      </c>
      <c r="Y2796" s="107"/>
      <c r="Z2796" s="68">
        <f>Z2081/'Terms and Turnovers'!$AX221</f>
        <v>0</v>
      </c>
      <c r="AA2796" s="107"/>
      <c r="AB2796" s="68">
        <f>AB2081/'Terms and Turnovers'!$AX221</f>
        <v>0</v>
      </c>
      <c r="AC2796" s="107"/>
      <c r="AD2796" s="68">
        <f>AD2081/'Terms and Turnovers'!$AX221</f>
        <v>0</v>
      </c>
      <c r="AE2796" s="107"/>
      <c r="AF2796" s="135">
        <f>SUM(T2796,V2796,X2796,Z2796,AB2796,AD2796)</f>
        <v>0</v>
      </c>
      <c r="AG2796" s="107"/>
      <c r="AH2796" s="136">
        <f>SUM(AF2796,R2796)</f>
        <v>0</v>
      </c>
      <c r="AI2796" s="107"/>
      <c r="AJ2796" s="65"/>
      <c r="AV2796" s="56"/>
    </row>
    <row r="2797" spans="2:48" ht="13.5" hidden="1" customHeight="1" outlineLevel="2">
      <c r="B2797" s="82"/>
      <c r="C2797" s="425"/>
      <c r="D2797" s="425"/>
      <c r="E2797" s="634"/>
      <c r="F2797" s="635"/>
      <c r="G2797" s="428"/>
      <c r="H2797" s="635"/>
      <c r="I2797" s="428"/>
      <c r="J2797" s="635"/>
      <c r="K2797" s="636"/>
      <c r="L2797" s="635"/>
      <c r="M2797" s="636"/>
      <c r="N2797" s="635"/>
      <c r="O2797" s="636"/>
      <c r="P2797" s="635"/>
      <c r="Q2797" s="636"/>
      <c r="R2797" s="637"/>
      <c r="S2797" s="698">
        <f>SUM(R2077:R2081)/1.18-(SUM(R2792:R2796)*'Mark Up Validation'!$M$175)</f>
        <v>0</v>
      </c>
      <c r="T2797" s="635"/>
      <c r="U2797" s="636"/>
      <c r="V2797" s="635"/>
      <c r="W2797" s="636"/>
      <c r="X2797" s="635"/>
      <c r="Y2797" s="636"/>
      <c r="Z2797" s="635"/>
      <c r="AA2797" s="636"/>
      <c r="AB2797" s="635"/>
      <c r="AC2797" s="636"/>
      <c r="AD2797" s="635"/>
      <c r="AE2797" s="636"/>
      <c r="AF2797" s="637"/>
      <c r="AG2797" s="698">
        <f>SUM(AF2077:AF2081)/1.18-SUM(AF2792:AF2796)*'Mark Up Validation'!$M$175</f>
        <v>0</v>
      </c>
      <c r="AH2797" s="638"/>
      <c r="AI2797" s="698">
        <f>SUM(AH2077:AH2081)/1.18-SUM(AH2792:AH2796)*'Mark Up Validation'!$M$175</f>
        <v>0</v>
      </c>
      <c r="AJ2797" s="65"/>
      <c r="AV2797" s="56"/>
    </row>
    <row r="2798" spans="2:48" ht="13.5" hidden="1" customHeight="1" outlineLevel="2" thickBot="1">
      <c r="B2798" s="82"/>
      <c r="C2798" s="1228" t="s">
        <v>538</v>
      </c>
      <c r="D2798" s="1229"/>
      <c r="E2798" s="699"/>
      <c r="F2798" s="700"/>
      <c r="G2798" s="701"/>
      <c r="H2798" s="700"/>
      <c r="I2798" s="701"/>
      <c r="J2798" s="700"/>
      <c r="K2798" s="702"/>
      <c r="L2798" s="700"/>
      <c r="M2798" s="702"/>
      <c r="N2798" s="700"/>
      <c r="O2798" s="702"/>
      <c r="P2798" s="700"/>
      <c r="Q2798" s="702"/>
      <c r="R2798" s="703"/>
      <c r="S2798" s="729">
        <f>IF(S2797&gt;0,S2797/(SUM(R2077:R2081)/1.18),0)</f>
        <v>0</v>
      </c>
      <c r="T2798" s="700"/>
      <c r="U2798" s="702"/>
      <c r="V2798" s="700"/>
      <c r="W2798" s="702"/>
      <c r="X2798" s="700"/>
      <c r="Y2798" s="702"/>
      <c r="Z2798" s="700"/>
      <c r="AA2798" s="702"/>
      <c r="AB2798" s="700"/>
      <c r="AC2798" s="702"/>
      <c r="AD2798" s="700"/>
      <c r="AE2798" s="702"/>
      <c r="AF2798" s="705"/>
      <c r="AG2798" s="729">
        <f>IF(AG2797&gt;0,AG2797/(SUM(AF2077:AF2081)/1.18),0)</f>
        <v>0</v>
      </c>
      <c r="AH2798" s="706"/>
      <c r="AI2798" s="729">
        <f>IF(AI2797&gt;0,AI2797/(SUM(AH2077:AH2081)/1.18),0)</f>
        <v>0</v>
      </c>
      <c r="AJ2798" s="65"/>
      <c r="AV2798" s="56"/>
    </row>
    <row r="2799" spans="2:48" ht="12.75" hidden="1" customHeight="1" outlineLevel="2">
      <c r="B2799" s="82">
        <f>B2792+1</f>
        <v>91</v>
      </c>
      <c r="C2799" s="1233">
        <f>C2084</f>
        <v>0</v>
      </c>
      <c r="D2799" s="1233">
        <f>D2084</f>
        <v>0</v>
      </c>
      <c r="E2799" s="83" t="str">
        <f>'Terms and Turnovers'!$J$12</f>
        <v>FLIP-FLOPS</v>
      </c>
      <c r="F2799" s="68">
        <f>F2084/'Terms and Turnovers'!$J222</f>
        <v>0</v>
      </c>
      <c r="G2799" s="106"/>
      <c r="H2799" s="68">
        <f>H2084/'Terms and Turnovers'!$J222</f>
        <v>0</v>
      </c>
      <c r="I2799" s="106"/>
      <c r="J2799" s="68">
        <f>J2084/'Terms and Turnovers'!$J222</f>
        <v>0</v>
      </c>
      <c r="K2799" s="106"/>
      <c r="L2799" s="68">
        <f>L2084/'Terms and Turnovers'!$J222</f>
        <v>0</v>
      </c>
      <c r="M2799" s="106"/>
      <c r="N2799" s="68">
        <f>N2084/'Terms and Turnovers'!$J222</f>
        <v>0</v>
      </c>
      <c r="O2799" s="106"/>
      <c r="P2799" s="68">
        <f>P2084/'Terms and Turnovers'!$J222</f>
        <v>0</v>
      </c>
      <c r="Q2799" s="106"/>
      <c r="R2799" s="129">
        <f>SUM(F2799,H2799,J2799,L2799,N2799,P2799)</f>
        <v>0</v>
      </c>
      <c r="S2799" s="106"/>
      <c r="T2799" s="68">
        <f>T2084/'Terms and Turnovers'!$J222</f>
        <v>0</v>
      </c>
      <c r="U2799" s="106"/>
      <c r="V2799" s="68">
        <f>V2084/'Terms and Turnovers'!$J222</f>
        <v>0</v>
      </c>
      <c r="W2799" s="106"/>
      <c r="X2799" s="68">
        <f>X2084/'Terms and Turnovers'!$J222</f>
        <v>0</v>
      </c>
      <c r="Y2799" s="106"/>
      <c r="Z2799" s="68">
        <f>Z2084/'Terms and Turnovers'!$J222</f>
        <v>0</v>
      </c>
      <c r="AA2799" s="106"/>
      <c r="AB2799" s="68">
        <f>AB2084/'Terms and Turnovers'!$J222</f>
        <v>0</v>
      </c>
      <c r="AC2799" s="106"/>
      <c r="AD2799" s="68">
        <f>AD2084/'Terms and Turnovers'!$J222</f>
        <v>0</v>
      </c>
      <c r="AE2799" s="106"/>
      <c r="AF2799" s="129">
        <f>SUM(T2799,V2799,X2799,Z2799,AB2799,AD2799)</f>
        <v>0</v>
      </c>
      <c r="AG2799" s="106"/>
      <c r="AH2799" s="130">
        <f>SUM(AF2799,R2799)</f>
        <v>0</v>
      </c>
      <c r="AI2799" s="106"/>
      <c r="AJ2799" s="65"/>
      <c r="AV2799" s="56"/>
    </row>
    <row r="2800" spans="2:48" ht="12.75" hidden="1" customHeight="1" outlineLevel="2" thickBot="1">
      <c r="B2800" s="82"/>
      <c r="C2800" s="1234"/>
      <c r="D2800" s="1234"/>
      <c r="E2800" s="84" t="str">
        <f>'Terms and Turnovers'!$T$12</f>
        <v>ORIGINALS</v>
      </c>
      <c r="F2800" s="70">
        <f>F2085/'Terms and Turnovers'!$T222</f>
        <v>0</v>
      </c>
      <c r="G2800" s="728"/>
      <c r="H2800" s="70">
        <f>H2085/'Terms and Turnovers'!$T222</f>
        <v>0</v>
      </c>
      <c r="I2800" s="728"/>
      <c r="J2800" s="70">
        <f>J2085/'Terms and Turnovers'!$T222</f>
        <v>0</v>
      </c>
      <c r="K2800" s="728"/>
      <c r="L2800" s="70">
        <f>L2085/'Terms and Turnovers'!$T222</f>
        <v>0</v>
      </c>
      <c r="M2800" s="728"/>
      <c r="N2800" s="70">
        <f>N2085/'Terms and Turnovers'!$T222</f>
        <v>0</v>
      </c>
      <c r="O2800" s="728"/>
      <c r="P2800" s="70">
        <f>P2085/'Terms and Turnovers'!$T222</f>
        <v>0</v>
      </c>
      <c r="Q2800" s="728"/>
      <c r="R2800" s="132">
        <f>SUM(F2800,H2800,J2800,L2800,N2800,P2800)</f>
        <v>0</v>
      </c>
      <c r="S2800" s="728"/>
      <c r="T2800" s="70">
        <f>T2085/'Terms and Turnovers'!$T222</f>
        <v>0</v>
      </c>
      <c r="U2800" s="728"/>
      <c r="V2800" s="70">
        <f>V2085/'Terms and Turnovers'!$T222</f>
        <v>0</v>
      </c>
      <c r="W2800" s="728"/>
      <c r="X2800" s="70">
        <f>X2085/'Terms and Turnovers'!$T222</f>
        <v>0</v>
      </c>
      <c r="Y2800" s="728"/>
      <c r="Z2800" s="70">
        <f>Z2085/'Terms and Turnovers'!$T222</f>
        <v>0</v>
      </c>
      <c r="AA2800" s="728"/>
      <c r="AB2800" s="70">
        <f>AB2085/'Terms and Turnovers'!$T222</f>
        <v>0</v>
      </c>
      <c r="AC2800" s="728"/>
      <c r="AD2800" s="70">
        <f>AD2085/'Terms and Turnovers'!$T222</f>
        <v>0</v>
      </c>
      <c r="AE2800" s="728"/>
      <c r="AF2800" s="132">
        <f>SUM(T2800,V2800,X2800,Z2800,AB2800,AD2800)</f>
        <v>0</v>
      </c>
      <c r="AG2800" s="728"/>
      <c r="AH2800" s="133">
        <f>SUM(AF2800,R2800)</f>
        <v>0</v>
      </c>
      <c r="AI2800" s="728"/>
      <c r="AJ2800" s="65"/>
      <c r="AV2800" s="56"/>
    </row>
    <row r="2801" spans="2:48" ht="12.75" hidden="1" customHeight="1" outlineLevel="2">
      <c r="B2801" s="82"/>
      <c r="C2801" s="1234"/>
      <c r="D2801" s="1234"/>
      <c r="E2801" s="84" t="str">
        <f>'Terms and Turnovers'!$AD$12</f>
        <v>ACCESSORIES</v>
      </c>
      <c r="F2801" s="68">
        <f>F2086/'Terms and Turnovers'!$AD222</f>
        <v>0</v>
      </c>
      <c r="G2801" s="728"/>
      <c r="H2801" s="68">
        <f>H2086/'Terms and Turnovers'!$AD222</f>
        <v>0</v>
      </c>
      <c r="I2801" s="728"/>
      <c r="J2801" s="68">
        <f>J2086/'Terms and Turnovers'!$AD222</f>
        <v>0</v>
      </c>
      <c r="K2801" s="728"/>
      <c r="L2801" s="68">
        <f>L2086/'Terms and Turnovers'!$AD222</f>
        <v>0</v>
      </c>
      <c r="M2801" s="728"/>
      <c r="N2801" s="68">
        <f>N2086/'Terms and Turnovers'!$AD222</f>
        <v>0</v>
      </c>
      <c r="O2801" s="728"/>
      <c r="P2801" s="68">
        <f>P2086/'Terms and Turnovers'!$AD222</f>
        <v>0</v>
      </c>
      <c r="Q2801" s="728"/>
      <c r="R2801" s="132">
        <f>SUM(F2801,H2801,J2801,L2801,N2801,P2801)</f>
        <v>0</v>
      </c>
      <c r="S2801" s="728"/>
      <c r="T2801" s="68">
        <f>T2086/'Terms and Turnovers'!$AD222</f>
        <v>0</v>
      </c>
      <c r="U2801" s="728"/>
      <c r="V2801" s="68">
        <f>V2086/'Terms and Turnovers'!$AD222</f>
        <v>0</v>
      </c>
      <c r="W2801" s="728"/>
      <c r="X2801" s="68">
        <f>X2086/'Terms and Turnovers'!$AD222</f>
        <v>0</v>
      </c>
      <c r="Y2801" s="728"/>
      <c r="Z2801" s="68">
        <f>Z2086/'Terms and Turnovers'!$AD222</f>
        <v>0</v>
      </c>
      <c r="AA2801" s="728"/>
      <c r="AB2801" s="68">
        <f>AB2086/'Terms and Turnovers'!$AD222</f>
        <v>0</v>
      </c>
      <c r="AC2801" s="728"/>
      <c r="AD2801" s="68">
        <f>AD2086/'Terms and Turnovers'!$AD222</f>
        <v>0</v>
      </c>
      <c r="AE2801" s="728"/>
      <c r="AF2801" s="132">
        <f>SUM(T2801,V2801,X2801,Z2801,AB2801,AD2801)</f>
        <v>0</v>
      </c>
      <c r="AG2801" s="728"/>
      <c r="AH2801" s="133">
        <f>SUM(AF2801,R2801)</f>
        <v>0</v>
      </c>
      <c r="AI2801" s="728"/>
      <c r="AJ2801" s="65"/>
      <c r="AV2801" s="56"/>
    </row>
    <row r="2802" spans="2:48" ht="12.75" hidden="1" customHeight="1" outlineLevel="2" thickBot="1">
      <c r="B2802" s="82"/>
      <c r="C2802" s="1234"/>
      <c r="D2802" s="1234"/>
      <c r="E2802" s="84">
        <f>'Terms and Turnovers'!$AN$12</f>
        <v>0</v>
      </c>
      <c r="F2802" s="70">
        <f>F2087/'Terms and Turnovers'!$AN222</f>
        <v>0</v>
      </c>
      <c r="G2802" s="728"/>
      <c r="H2802" s="70">
        <f>H2087/'Terms and Turnovers'!$AN222</f>
        <v>0</v>
      </c>
      <c r="I2802" s="728"/>
      <c r="J2802" s="70">
        <f>J2087/'Terms and Turnovers'!$AN222</f>
        <v>0</v>
      </c>
      <c r="K2802" s="728"/>
      <c r="L2802" s="70">
        <f>L2087/'Terms and Turnovers'!$AN222</f>
        <v>0</v>
      </c>
      <c r="M2802" s="728"/>
      <c r="N2802" s="70">
        <f>N2087/'Terms and Turnovers'!$AN222</f>
        <v>0</v>
      </c>
      <c r="O2802" s="728"/>
      <c r="P2802" s="70">
        <f>P2087/'Terms and Turnovers'!$AN222</f>
        <v>0</v>
      </c>
      <c r="Q2802" s="728"/>
      <c r="R2802" s="132">
        <f>SUM(F2802,H2802,J2802,L2802,N2802,P2802)</f>
        <v>0</v>
      </c>
      <c r="S2802" s="728"/>
      <c r="T2802" s="70">
        <f>T2087/'Terms and Turnovers'!$AN222</f>
        <v>0</v>
      </c>
      <c r="U2802" s="728"/>
      <c r="V2802" s="70">
        <f>V2087/'Terms and Turnovers'!$AN222</f>
        <v>0</v>
      </c>
      <c r="W2802" s="728"/>
      <c r="X2802" s="70">
        <f>X2087/'Terms and Turnovers'!$AN222</f>
        <v>0</v>
      </c>
      <c r="Y2802" s="728"/>
      <c r="Z2802" s="70">
        <f>Z2087/'Terms and Turnovers'!$AN222</f>
        <v>0</v>
      </c>
      <c r="AA2802" s="728"/>
      <c r="AB2802" s="70">
        <f>AB2087/'Terms and Turnovers'!$AN222</f>
        <v>0</v>
      </c>
      <c r="AC2802" s="728"/>
      <c r="AD2802" s="70">
        <f>AD2087/'Terms and Turnovers'!$AN222</f>
        <v>0</v>
      </c>
      <c r="AE2802" s="728"/>
      <c r="AF2802" s="132">
        <f>SUM(T2802,V2802,X2802,Z2802,AB2802,AD2802)</f>
        <v>0</v>
      </c>
      <c r="AG2802" s="728"/>
      <c r="AH2802" s="133">
        <f>SUM(AF2802,R2802)</f>
        <v>0</v>
      </c>
      <c r="AI2802" s="728"/>
      <c r="AJ2802" s="65"/>
      <c r="AV2802" s="56"/>
    </row>
    <row r="2803" spans="2:48" ht="13.5" hidden="1" customHeight="1" outlineLevel="2" thickBot="1">
      <c r="B2803" s="82"/>
      <c r="C2803" s="1235"/>
      <c r="D2803" s="1235"/>
      <c r="E2803" s="85">
        <f>'Terms and Turnovers'!$AX$12</f>
        <v>0</v>
      </c>
      <c r="F2803" s="68">
        <f>F2088/'Terms and Turnovers'!$AX222</f>
        <v>0</v>
      </c>
      <c r="G2803" s="111"/>
      <c r="H2803" s="68">
        <f>H2088/'Terms and Turnovers'!$AX222</f>
        <v>0</v>
      </c>
      <c r="I2803" s="107"/>
      <c r="J2803" s="68">
        <f>J2088/'Terms and Turnovers'!$AX222</f>
        <v>0</v>
      </c>
      <c r="K2803" s="107"/>
      <c r="L2803" s="68">
        <f>L2088/'Terms and Turnovers'!$AX222</f>
        <v>0</v>
      </c>
      <c r="M2803" s="107"/>
      <c r="N2803" s="68">
        <f>N2088/'Terms and Turnovers'!$AX222</f>
        <v>0</v>
      </c>
      <c r="O2803" s="107"/>
      <c r="P2803" s="68">
        <f>P2088/'Terms and Turnovers'!$AX222</f>
        <v>0</v>
      </c>
      <c r="Q2803" s="107"/>
      <c r="R2803" s="135">
        <f>SUM(F2803,H2803,J2803,L2803,N2803,P2803)</f>
        <v>0</v>
      </c>
      <c r="S2803" s="107"/>
      <c r="T2803" s="68">
        <f>T2088/'Terms and Turnovers'!$AX222</f>
        <v>0</v>
      </c>
      <c r="U2803" s="111"/>
      <c r="V2803" s="68">
        <f>V2088/'Terms and Turnovers'!$AX222</f>
        <v>0</v>
      </c>
      <c r="W2803" s="107"/>
      <c r="X2803" s="68">
        <f>X2088/'Terms and Turnovers'!$AX222</f>
        <v>0</v>
      </c>
      <c r="Y2803" s="107"/>
      <c r="Z2803" s="68">
        <f>Z2088/'Terms and Turnovers'!$AX222</f>
        <v>0</v>
      </c>
      <c r="AA2803" s="107"/>
      <c r="AB2803" s="68">
        <f>AB2088/'Terms and Turnovers'!$AX222</f>
        <v>0</v>
      </c>
      <c r="AC2803" s="107"/>
      <c r="AD2803" s="68">
        <f>AD2088/'Terms and Turnovers'!$AX222</f>
        <v>0</v>
      </c>
      <c r="AE2803" s="107"/>
      <c r="AF2803" s="135">
        <f>SUM(T2803,V2803,X2803,Z2803,AB2803,AD2803)</f>
        <v>0</v>
      </c>
      <c r="AG2803" s="107"/>
      <c r="AH2803" s="136">
        <f>SUM(AF2803,R2803)</f>
        <v>0</v>
      </c>
      <c r="AI2803" s="107"/>
      <c r="AJ2803" s="65"/>
      <c r="AV2803" s="56"/>
    </row>
    <row r="2804" spans="2:48" ht="13.5" hidden="1" customHeight="1" outlineLevel="2">
      <c r="B2804" s="82"/>
      <c r="C2804" s="425"/>
      <c r="D2804" s="425"/>
      <c r="E2804" s="634"/>
      <c r="F2804" s="635"/>
      <c r="G2804" s="428"/>
      <c r="H2804" s="635"/>
      <c r="I2804" s="428"/>
      <c r="J2804" s="635"/>
      <c r="K2804" s="636"/>
      <c r="L2804" s="635"/>
      <c r="M2804" s="636"/>
      <c r="N2804" s="635"/>
      <c r="O2804" s="636"/>
      <c r="P2804" s="635"/>
      <c r="Q2804" s="636"/>
      <c r="R2804" s="637"/>
      <c r="S2804" s="698">
        <f>SUM(R2084:R2088)/1.18-(SUM(R2799:R2803)*'Mark Up Validation'!$M$175)</f>
        <v>0</v>
      </c>
      <c r="T2804" s="635"/>
      <c r="U2804" s="636"/>
      <c r="V2804" s="635"/>
      <c r="W2804" s="636"/>
      <c r="X2804" s="635"/>
      <c r="Y2804" s="636"/>
      <c r="Z2804" s="635"/>
      <c r="AA2804" s="636"/>
      <c r="AB2804" s="635"/>
      <c r="AC2804" s="636"/>
      <c r="AD2804" s="635"/>
      <c r="AE2804" s="636"/>
      <c r="AF2804" s="637"/>
      <c r="AG2804" s="698">
        <f>SUM(AF2084:AF2088)/1.18-SUM(AF2799:AF2803)*'Mark Up Validation'!$M$175</f>
        <v>0</v>
      </c>
      <c r="AH2804" s="638"/>
      <c r="AI2804" s="698">
        <f>SUM(AH2084:AH2088)/1.18-SUM(AH2799:AH2803)*'Mark Up Validation'!$M$175</f>
        <v>0</v>
      </c>
      <c r="AJ2804" s="65"/>
      <c r="AV2804" s="56"/>
    </row>
    <row r="2805" spans="2:48" ht="13.5" hidden="1" customHeight="1" outlineLevel="2" thickBot="1">
      <c r="B2805" s="82"/>
      <c r="C2805" s="1228" t="s">
        <v>538</v>
      </c>
      <c r="D2805" s="1229"/>
      <c r="E2805" s="699"/>
      <c r="F2805" s="700"/>
      <c r="G2805" s="701"/>
      <c r="H2805" s="700"/>
      <c r="I2805" s="701"/>
      <c r="J2805" s="700"/>
      <c r="K2805" s="702"/>
      <c r="L2805" s="700"/>
      <c r="M2805" s="702"/>
      <c r="N2805" s="700"/>
      <c r="O2805" s="702"/>
      <c r="P2805" s="700"/>
      <c r="Q2805" s="702"/>
      <c r="R2805" s="703"/>
      <c r="S2805" s="729">
        <f>IF(S2804&gt;0,S2804/(SUM(R2084:R2088)/1.18),0)</f>
        <v>0</v>
      </c>
      <c r="T2805" s="700"/>
      <c r="U2805" s="702"/>
      <c r="V2805" s="700"/>
      <c r="W2805" s="702"/>
      <c r="X2805" s="700"/>
      <c r="Y2805" s="702"/>
      <c r="Z2805" s="700"/>
      <c r="AA2805" s="702"/>
      <c r="AB2805" s="700"/>
      <c r="AC2805" s="702"/>
      <c r="AD2805" s="700"/>
      <c r="AE2805" s="702"/>
      <c r="AF2805" s="705"/>
      <c r="AG2805" s="729">
        <f>IF(AG2804&gt;0,AG2804/(SUM(AF2084:AF2088)/1.18),0)</f>
        <v>0</v>
      </c>
      <c r="AH2805" s="706"/>
      <c r="AI2805" s="729">
        <f>IF(AI2804&gt;0,AI2804/(SUM(AH2084:AH2088)/1.18),0)</f>
        <v>0</v>
      </c>
      <c r="AJ2805" s="65"/>
      <c r="AV2805" s="56"/>
    </row>
    <row r="2806" spans="2:48" ht="12.75" hidden="1" customHeight="1" outlineLevel="2">
      <c r="B2806" s="82">
        <f>B2799+1</f>
        <v>92</v>
      </c>
      <c r="C2806" s="1230">
        <f>C2091</f>
        <v>0</v>
      </c>
      <c r="D2806" s="1230">
        <f>D2091</f>
        <v>0</v>
      </c>
      <c r="E2806" s="83" t="str">
        <f>'Terms and Turnovers'!$J$12</f>
        <v>FLIP-FLOPS</v>
      </c>
      <c r="F2806" s="68">
        <f>F2091/'Terms and Turnovers'!$J223</f>
        <v>0</v>
      </c>
      <c r="G2806" s="106"/>
      <c r="H2806" s="68">
        <f>H2091/'Terms and Turnovers'!$J223</f>
        <v>0</v>
      </c>
      <c r="I2806" s="106"/>
      <c r="J2806" s="68">
        <f>J2091/'Terms and Turnovers'!$J223</f>
        <v>0</v>
      </c>
      <c r="K2806" s="106"/>
      <c r="L2806" s="68">
        <f>L2091/'Terms and Turnovers'!$J223</f>
        <v>0</v>
      </c>
      <c r="M2806" s="106"/>
      <c r="N2806" s="68">
        <f>N2091/'Terms and Turnovers'!$J223</f>
        <v>0</v>
      </c>
      <c r="O2806" s="106"/>
      <c r="P2806" s="68">
        <f>P2091/'Terms and Turnovers'!$J223</f>
        <v>0</v>
      </c>
      <c r="Q2806" s="106"/>
      <c r="R2806" s="129">
        <f>SUM(F2806,H2806,J2806,L2806,N2806,P2806)</f>
        <v>0</v>
      </c>
      <c r="S2806" s="106"/>
      <c r="T2806" s="68">
        <f>T2091/'Terms and Turnovers'!$J223</f>
        <v>0</v>
      </c>
      <c r="U2806" s="106"/>
      <c r="V2806" s="68">
        <f>V2091/'Terms and Turnovers'!$J223</f>
        <v>0</v>
      </c>
      <c r="W2806" s="106"/>
      <c r="X2806" s="68">
        <f>X2091/'Terms and Turnovers'!$J223</f>
        <v>0</v>
      </c>
      <c r="Y2806" s="106"/>
      <c r="Z2806" s="68">
        <f>Z2091/'Terms and Turnovers'!$J223</f>
        <v>0</v>
      </c>
      <c r="AA2806" s="106"/>
      <c r="AB2806" s="68">
        <f>AB2091/'Terms and Turnovers'!$J223</f>
        <v>0</v>
      </c>
      <c r="AC2806" s="106"/>
      <c r="AD2806" s="68">
        <f>AD2091/'Terms and Turnovers'!$J223</f>
        <v>0</v>
      </c>
      <c r="AE2806" s="106"/>
      <c r="AF2806" s="129">
        <f>SUM(T2806,V2806,X2806,Z2806,AB2806,AD2806)</f>
        <v>0</v>
      </c>
      <c r="AG2806" s="106"/>
      <c r="AH2806" s="130">
        <f>SUM(AF2806,R2806)</f>
        <v>0</v>
      </c>
      <c r="AI2806" s="106"/>
      <c r="AJ2806" s="65"/>
      <c r="AV2806" s="56"/>
    </row>
    <row r="2807" spans="2:48" ht="12.75" hidden="1" customHeight="1" outlineLevel="2" thickBot="1">
      <c r="B2807" s="82"/>
      <c r="C2807" s="1231"/>
      <c r="D2807" s="1231"/>
      <c r="E2807" s="84" t="str">
        <f>'Terms and Turnovers'!$T$12</f>
        <v>ORIGINALS</v>
      </c>
      <c r="F2807" s="70">
        <f>F2092/'Terms and Turnovers'!$T223</f>
        <v>0</v>
      </c>
      <c r="G2807" s="728"/>
      <c r="H2807" s="70">
        <f>H2092/'Terms and Turnovers'!$T223</f>
        <v>0</v>
      </c>
      <c r="I2807" s="728"/>
      <c r="J2807" s="70">
        <f>J2092/'Terms and Turnovers'!$T223</f>
        <v>0</v>
      </c>
      <c r="K2807" s="728"/>
      <c r="L2807" s="70">
        <f>L2092/'Terms and Turnovers'!$T223</f>
        <v>0</v>
      </c>
      <c r="M2807" s="728"/>
      <c r="N2807" s="70">
        <f>N2092/'Terms and Turnovers'!$T223</f>
        <v>0</v>
      </c>
      <c r="O2807" s="728"/>
      <c r="P2807" s="70">
        <f>P2092/'Terms and Turnovers'!$T223</f>
        <v>0</v>
      </c>
      <c r="Q2807" s="728"/>
      <c r="R2807" s="132">
        <f>SUM(F2807,H2807,J2807,L2807,N2807,P2807)</f>
        <v>0</v>
      </c>
      <c r="S2807" s="728"/>
      <c r="T2807" s="70">
        <f>T2092/'Terms and Turnovers'!$T223</f>
        <v>0</v>
      </c>
      <c r="U2807" s="728"/>
      <c r="V2807" s="70">
        <f>V2092/'Terms and Turnovers'!$T223</f>
        <v>0</v>
      </c>
      <c r="W2807" s="728"/>
      <c r="X2807" s="70">
        <f>X2092/'Terms and Turnovers'!$T223</f>
        <v>0</v>
      </c>
      <c r="Y2807" s="728"/>
      <c r="Z2807" s="70">
        <f>Z2092/'Terms and Turnovers'!$T223</f>
        <v>0</v>
      </c>
      <c r="AA2807" s="728"/>
      <c r="AB2807" s="70">
        <f>AB2092/'Terms and Turnovers'!$T223</f>
        <v>0</v>
      </c>
      <c r="AC2807" s="728"/>
      <c r="AD2807" s="70">
        <f>AD2092/'Terms and Turnovers'!$T223</f>
        <v>0</v>
      </c>
      <c r="AE2807" s="728"/>
      <c r="AF2807" s="132">
        <f>SUM(T2807,V2807,X2807,Z2807,AB2807,AD2807)</f>
        <v>0</v>
      </c>
      <c r="AG2807" s="728"/>
      <c r="AH2807" s="133">
        <f>SUM(AF2807,R2807)</f>
        <v>0</v>
      </c>
      <c r="AI2807" s="728"/>
      <c r="AJ2807" s="65"/>
      <c r="AV2807" s="56"/>
    </row>
    <row r="2808" spans="2:48" ht="12.75" hidden="1" customHeight="1" outlineLevel="2">
      <c r="B2808" s="82"/>
      <c r="C2808" s="1231"/>
      <c r="D2808" s="1231"/>
      <c r="E2808" s="84" t="str">
        <f>'Terms and Turnovers'!$AD$12</f>
        <v>ACCESSORIES</v>
      </c>
      <c r="F2808" s="68">
        <f>F2093/'Terms and Turnovers'!$AD223</f>
        <v>0</v>
      </c>
      <c r="G2808" s="728"/>
      <c r="H2808" s="68">
        <f>H2093/'Terms and Turnovers'!$AD223</f>
        <v>0</v>
      </c>
      <c r="I2808" s="728"/>
      <c r="J2808" s="68">
        <f>J2093/'Terms and Turnovers'!$AD223</f>
        <v>0</v>
      </c>
      <c r="K2808" s="728"/>
      <c r="L2808" s="68">
        <f>L2093/'Terms and Turnovers'!$AD223</f>
        <v>0</v>
      </c>
      <c r="M2808" s="728"/>
      <c r="N2808" s="68">
        <f>N2093/'Terms and Turnovers'!$AD223</f>
        <v>0</v>
      </c>
      <c r="O2808" s="728"/>
      <c r="P2808" s="68">
        <f>P2093/'Terms and Turnovers'!$AD223</f>
        <v>0</v>
      </c>
      <c r="Q2808" s="728"/>
      <c r="R2808" s="132">
        <f>SUM(F2808,H2808,J2808,L2808,N2808,P2808)</f>
        <v>0</v>
      </c>
      <c r="S2808" s="728"/>
      <c r="T2808" s="68">
        <f>T2093/'Terms and Turnovers'!$AD223</f>
        <v>0</v>
      </c>
      <c r="U2808" s="728"/>
      <c r="V2808" s="68">
        <f>V2093/'Terms and Turnovers'!$AD223</f>
        <v>0</v>
      </c>
      <c r="W2808" s="728"/>
      <c r="X2808" s="68">
        <f>X2093/'Terms and Turnovers'!$AD223</f>
        <v>0</v>
      </c>
      <c r="Y2808" s="728"/>
      <c r="Z2808" s="68">
        <f>Z2093/'Terms and Turnovers'!$AD223</f>
        <v>0</v>
      </c>
      <c r="AA2808" s="728"/>
      <c r="AB2808" s="68">
        <f>AB2093/'Terms and Turnovers'!$AD223</f>
        <v>0</v>
      </c>
      <c r="AC2808" s="728"/>
      <c r="AD2808" s="68">
        <f>AD2093/'Terms and Turnovers'!$AD223</f>
        <v>0</v>
      </c>
      <c r="AE2808" s="728"/>
      <c r="AF2808" s="132">
        <f>SUM(T2808,V2808,X2808,Z2808,AB2808,AD2808)</f>
        <v>0</v>
      </c>
      <c r="AG2808" s="728"/>
      <c r="AH2808" s="133">
        <f>SUM(AF2808,R2808)</f>
        <v>0</v>
      </c>
      <c r="AI2808" s="728"/>
      <c r="AJ2808" s="65"/>
      <c r="AV2808" s="56"/>
    </row>
    <row r="2809" spans="2:48" ht="12.75" hidden="1" customHeight="1" outlineLevel="2" thickBot="1">
      <c r="B2809" s="82"/>
      <c r="C2809" s="1231"/>
      <c r="D2809" s="1231"/>
      <c r="E2809" s="84">
        <f>'Terms and Turnovers'!$AN$12</f>
        <v>0</v>
      </c>
      <c r="F2809" s="70">
        <f>F2094/'Terms and Turnovers'!$AN223</f>
        <v>0</v>
      </c>
      <c r="G2809" s="728"/>
      <c r="H2809" s="70">
        <f>H2094/'Terms and Turnovers'!$AN223</f>
        <v>0</v>
      </c>
      <c r="I2809" s="728"/>
      <c r="J2809" s="70">
        <f>J2094/'Terms and Turnovers'!$AN223</f>
        <v>0</v>
      </c>
      <c r="K2809" s="728"/>
      <c r="L2809" s="70">
        <f>L2094/'Terms and Turnovers'!$AN223</f>
        <v>0</v>
      </c>
      <c r="M2809" s="728"/>
      <c r="N2809" s="70">
        <f>N2094/'Terms and Turnovers'!$AN223</f>
        <v>0</v>
      </c>
      <c r="O2809" s="728"/>
      <c r="P2809" s="70">
        <f>P2094/'Terms and Turnovers'!$AN223</f>
        <v>0</v>
      </c>
      <c r="Q2809" s="728"/>
      <c r="R2809" s="132">
        <f>SUM(F2809,H2809,J2809,L2809,N2809,P2809)</f>
        <v>0</v>
      </c>
      <c r="S2809" s="728"/>
      <c r="T2809" s="70">
        <f>T2094/'Terms and Turnovers'!$AN223</f>
        <v>0</v>
      </c>
      <c r="U2809" s="728"/>
      <c r="V2809" s="70">
        <f>V2094/'Terms and Turnovers'!$AN223</f>
        <v>0</v>
      </c>
      <c r="W2809" s="728"/>
      <c r="X2809" s="70">
        <f>X2094/'Terms and Turnovers'!$AN223</f>
        <v>0</v>
      </c>
      <c r="Y2809" s="728"/>
      <c r="Z2809" s="70">
        <f>Z2094/'Terms and Turnovers'!$AN223</f>
        <v>0</v>
      </c>
      <c r="AA2809" s="728"/>
      <c r="AB2809" s="70">
        <f>AB2094/'Terms and Turnovers'!$AN223</f>
        <v>0</v>
      </c>
      <c r="AC2809" s="728"/>
      <c r="AD2809" s="70">
        <f>AD2094/'Terms and Turnovers'!$AN223</f>
        <v>0</v>
      </c>
      <c r="AE2809" s="728"/>
      <c r="AF2809" s="132">
        <f>SUM(T2809,V2809,X2809,Z2809,AB2809,AD2809)</f>
        <v>0</v>
      </c>
      <c r="AG2809" s="728"/>
      <c r="AH2809" s="133">
        <f>SUM(AF2809,R2809)</f>
        <v>0</v>
      </c>
      <c r="AI2809" s="728"/>
      <c r="AJ2809" s="65"/>
      <c r="AV2809" s="56"/>
    </row>
    <row r="2810" spans="2:48" ht="13.5" hidden="1" customHeight="1" outlineLevel="2" thickBot="1">
      <c r="B2810" s="82"/>
      <c r="C2810" s="1232"/>
      <c r="D2810" s="1232"/>
      <c r="E2810" s="85">
        <f>'Terms and Turnovers'!$AX$12</f>
        <v>0</v>
      </c>
      <c r="F2810" s="68">
        <f>F2095/'Terms and Turnovers'!$AX223</f>
        <v>0</v>
      </c>
      <c r="G2810" s="111"/>
      <c r="H2810" s="68">
        <f>H2095/'Terms and Turnovers'!$AX223</f>
        <v>0</v>
      </c>
      <c r="I2810" s="107"/>
      <c r="J2810" s="68">
        <f>J2095/'Terms and Turnovers'!$AX223</f>
        <v>0</v>
      </c>
      <c r="K2810" s="107"/>
      <c r="L2810" s="68">
        <f>L2095/'Terms and Turnovers'!$AX223</f>
        <v>0</v>
      </c>
      <c r="M2810" s="107"/>
      <c r="N2810" s="68">
        <f>N2095/'Terms and Turnovers'!$AX223</f>
        <v>0</v>
      </c>
      <c r="O2810" s="107"/>
      <c r="P2810" s="68">
        <f>P2095/'Terms and Turnovers'!$AX223</f>
        <v>0</v>
      </c>
      <c r="Q2810" s="107"/>
      <c r="R2810" s="135">
        <f>SUM(F2810,H2810,J2810,L2810,N2810,P2810)</f>
        <v>0</v>
      </c>
      <c r="S2810" s="107"/>
      <c r="T2810" s="68">
        <f>T2095/'Terms and Turnovers'!$AX223</f>
        <v>0</v>
      </c>
      <c r="U2810" s="111"/>
      <c r="V2810" s="68">
        <f>V2095/'Terms and Turnovers'!$AX223</f>
        <v>0</v>
      </c>
      <c r="W2810" s="107"/>
      <c r="X2810" s="68">
        <f>X2095/'Terms and Turnovers'!$AX223</f>
        <v>0</v>
      </c>
      <c r="Y2810" s="107"/>
      <c r="Z2810" s="68">
        <f>Z2095/'Terms and Turnovers'!$AX223</f>
        <v>0</v>
      </c>
      <c r="AA2810" s="107"/>
      <c r="AB2810" s="68">
        <f>AB2095/'Terms and Turnovers'!$AX223</f>
        <v>0</v>
      </c>
      <c r="AC2810" s="107"/>
      <c r="AD2810" s="68">
        <f>AD2095/'Terms and Turnovers'!$AX223</f>
        <v>0</v>
      </c>
      <c r="AE2810" s="107"/>
      <c r="AF2810" s="135">
        <f>SUM(T2810,V2810,X2810,Z2810,AB2810,AD2810)</f>
        <v>0</v>
      </c>
      <c r="AG2810" s="107"/>
      <c r="AH2810" s="136">
        <f>SUM(AF2810,R2810)</f>
        <v>0</v>
      </c>
      <c r="AI2810" s="107"/>
      <c r="AJ2810" s="65"/>
      <c r="AV2810" s="56"/>
    </row>
    <row r="2811" spans="2:48" ht="13.5" hidden="1" customHeight="1" outlineLevel="2">
      <c r="B2811" s="82"/>
      <c r="C2811" s="425"/>
      <c r="D2811" s="425"/>
      <c r="E2811" s="634"/>
      <c r="F2811" s="635"/>
      <c r="G2811" s="428"/>
      <c r="H2811" s="635"/>
      <c r="I2811" s="428"/>
      <c r="J2811" s="635"/>
      <c r="K2811" s="636"/>
      <c r="L2811" s="635"/>
      <c r="M2811" s="636"/>
      <c r="N2811" s="635"/>
      <c r="O2811" s="636"/>
      <c r="P2811" s="635"/>
      <c r="Q2811" s="636"/>
      <c r="R2811" s="637"/>
      <c r="S2811" s="698">
        <f>SUM(R2091:R2095)/1.18-(SUM(R2806:R2810)*'Mark Up Validation'!$M$175)</f>
        <v>0</v>
      </c>
      <c r="T2811" s="635"/>
      <c r="U2811" s="636"/>
      <c r="V2811" s="635"/>
      <c r="W2811" s="636"/>
      <c r="X2811" s="635"/>
      <c r="Y2811" s="636"/>
      <c r="Z2811" s="635"/>
      <c r="AA2811" s="636"/>
      <c r="AB2811" s="635"/>
      <c r="AC2811" s="636"/>
      <c r="AD2811" s="635"/>
      <c r="AE2811" s="636"/>
      <c r="AF2811" s="637"/>
      <c r="AG2811" s="698">
        <f>SUM(AF2091:AF2095)/1.18-SUM(AF2806:AF2810)*'Mark Up Validation'!$M$175</f>
        <v>0</v>
      </c>
      <c r="AH2811" s="638"/>
      <c r="AI2811" s="698">
        <f>SUM(AH2091:AH2095)/1.18-SUM(AH2806:AH2810)*'Mark Up Validation'!$M$175</f>
        <v>0</v>
      </c>
      <c r="AJ2811" s="65"/>
      <c r="AV2811" s="56"/>
    </row>
    <row r="2812" spans="2:48" ht="13.5" hidden="1" customHeight="1" outlineLevel="2" thickBot="1">
      <c r="B2812" s="82"/>
      <c r="C2812" s="1228" t="s">
        <v>538</v>
      </c>
      <c r="D2812" s="1229"/>
      <c r="E2812" s="699"/>
      <c r="F2812" s="700"/>
      <c r="G2812" s="701"/>
      <c r="H2812" s="700"/>
      <c r="I2812" s="701"/>
      <c r="J2812" s="700"/>
      <c r="K2812" s="702"/>
      <c r="L2812" s="700"/>
      <c r="M2812" s="702"/>
      <c r="N2812" s="700"/>
      <c r="O2812" s="702"/>
      <c r="P2812" s="700"/>
      <c r="Q2812" s="702"/>
      <c r="R2812" s="703"/>
      <c r="S2812" s="729">
        <f>IF(S2811&gt;0,S2811/(SUM(R2091:R2095)/1.18),0)</f>
        <v>0</v>
      </c>
      <c r="T2812" s="700"/>
      <c r="U2812" s="702"/>
      <c r="V2812" s="700"/>
      <c r="W2812" s="702"/>
      <c r="X2812" s="700"/>
      <c r="Y2812" s="702"/>
      <c r="Z2812" s="700"/>
      <c r="AA2812" s="702"/>
      <c r="AB2812" s="700"/>
      <c r="AC2812" s="702"/>
      <c r="AD2812" s="700"/>
      <c r="AE2812" s="702"/>
      <c r="AF2812" s="705"/>
      <c r="AG2812" s="729">
        <f>IF(AG2811&gt;0,AG2811/(SUM(AF2091:AF2095)/1.18),0)</f>
        <v>0</v>
      </c>
      <c r="AH2812" s="706"/>
      <c r="AI2812" s="729">
        <f>IF(AI2811&gt;0,AI2811/(SUM(AH2091:AH2095)/1.18),0)</f>
        <v>0</v>
      </c>
      <c r="AJ2812" s="65"/>
      <c r="AV2812" s="56"/>
    </row>
    <row r="2813" spans="2:48" ht="12.75" hidden="1" customHeight="1" outlineLevel="2">
      <c r="B2813" s="82">
        <f>B2806+1</f>
        <v>93</v>
      </c>
      <c r="C2813" s="1233">
        <f>C2098</f>
        <v>0</v>
      </c>
      <c r="D2813" s="1233">
        <f>D2098</f>
        <v>0</v>
      </c>
      <c r="E2813" s="83" t="str">
        <f>'Terms and Turnovers'!$J$12</f>
        <v>FLIP-FLOPS</v>
      </c>
      <c r="F2813" s="68">
        <f>F2098/'Terms and Turnovers'!$J224</f>
        <v>0</v>
      </c>
      <c r="G2813" s="106"/>
      <c r="H2813" s="68">
        <f>H2098/'Terms and Turnovers'!$J224</f>
        <v>0</v>
      </c>
      <c r="I2813" s="106"/>
      <c r="J2813" s="68">
        <f>J2098/'Terms and Turnovers'!$J224</f>
        <v>0</v>
      </c>
      <c r="K2813" s="106"/>
      <c r="L2813" s="68">
        <f>L2098/'Terms and Turnovers'!$J224</f>
        <v>0</v>
      </c>
      <c r="M2813" s="106"/>
      <c r="N2813" s="68">
        <f>N2098/'Terms and Turnovers'!$J224</f>
        <v>0</v>
      </c>
      <c r="O2813" s="106"/>
      <c r="P2813" s="68">
        <f>P2098/'Terms and Turnovers'!$J224</f>
        <v>0</v>
      </c>
      <c r="Q2813" s="106"/>
      <c r="R2813" s="129">
        <f>SUM(F2813,H2813,J2813,L2813,N2813,P2813)</f>
        <v>0</v>
      </c>
      <c r="S2813" s="106"/>
      <c r="T2813" s="68">
        <f>T2098/'Terms and Turnovers'!$J224</f>
        <v>0</v>
      </c>
      <c r="U2813" s="106"/>
      <c r="V2813" s="68">
        <f>V2098/'Terms and Turnovers'!$J224</f>
        <v>0</v>
      </c>
      <c r="W2813" s="106"/>
      <c r="X2813" s="68">
        <f>X2098/'Terms and Turnovers'!$J224</f>
        <v>0</v>
      </c>
      <c r="Y2813" s="106"/>
      <c r="Z2813" s="68">
        <f>Z2098/'Terms and Turnovers'!$J224</f>
        <v>0</v>
      </c>
      <c r="AA2813" s="106"/>
      <c r="AB2813" s="68">
        <f>AB2098/'Terms and Turnovers'!$J224</f>
        <v>0</v>
      </c>
      <c r="AC2813" s="106"/>
      <c r="AD2813" s="68">
        <f>AD2098/'Terms and Turnovers'!$J224</f>
        <v>0</v>
      </c>
      <c r="AE2813" s="106"/>
      <c r="AF2813" s="129">
        <f>SUM(T2813,V2813,X2813,Z2813,AB2813,AD2813)</f>
        <v>0</v>
      </c>
      <c r="AG2813" s="106"/>
      <c r="AH2813" s="130">
        <f>SUM(AF2813,R2813)</f>
        <v>0</v>
      </c>
      <c r="AI2813" s="106"/>
      <c r="AJ2813" s="65"/>
      <c r="AV2813" s="56"/>
    </row>
    <row r="2814" spans="2:48" ht="12.75" hidden="1" customHeight="1" outlineLevel="2" thickBot="1">
      <c r="B2814" s="82"/>
      <c r="C2814" s="1234"/>
      <c r="D2814" s="1234"/>
      <c r="E2814" s="84" t="str">
        <f>'Terms and Turnovers'!$T$12</f>
        <v>ORIGINALS</v>
      </c>
      <c r="F2814" s="70">
        <f>F2099/'Terms and Turnovers'!$T224</f>
        <v>0</v>
      </c>
      <c r="G2814" s="728"/>
      <c r="H2814" s="70">
        <f>H2099/'Terms and Turnovers'!$T224</f>
        <v>0</v>
      </c>
      <c r="I2814" s="728"/>
      <c r="J2814" s="70">
        <f>J2099/'Terms and Turnovers'!$T224</f>
        <v>0</v>
      </c>
      <c r="K2814" s="728"/>
      <c r="L2814" s="70">
        <f>L2099/'Terms and Turnovers'!$T224</f>
        <v>0</v>
      </c>
      <c r="M2814" s="728"/>
      <c r="N2814" s="70">
        <f>N2099/'Terms and Turnovers'!$T224</f>
        <v>0</v>
      </c>
      <c r="O2814" s="728"/>
      <c r="P2814" s="70">
        <f>P2099/'Terms and Turnovers'!$T224</f>
        <v>0</v>
      </c>
      <c r="Q2814" s="728"/>
      <c r="R2814" s="132">
        <f>SUM(F2814,H2814,J2814,L2814,N2814,P2814)</f>
        <v>0</v>
      </c>
      <c r="S2814" s="728"/>
      <c r="T2814" s="70">
        <f>T2099/'Terms and Turnovers'!$T224</f>
        <v>0</v>
      </c>
      <c r="U2814" s="728"/>
      <c r="V2814" s="70">
        <f>V2099/'Terms and Turnovers'!$T224</f>
        <v>0</v>
      </c>
      <c r="W2814" s="728"/>
      <c r="X2814" s="70">
        <f>X2099/'Terms and Turnovers'!$T224</f>
        <v>0</v>
      </c>
      <c r="Y2814" s="728"/>
      <c r="Z2814" s="70">
        <f>Z2099/'Terms and Turnovers'!$T224</f>
        <v>0</v>
      </c>
      <c r="AA2814" s="728"/>
      <c r="AB2814" s="70">
        <f>AB2099/'Terms and Turnovers'!$T224</f>
        <v>0</v>
      </c>
      <c r="AC2814" s="728"/>
      <c r="AD2814" s="70">
        <f>AD2099/'Terms and Turnovers'!$T224</f>
        <v>0</v>
      </c>
      <c r="AE2814" s="728"/>
      <c r="AF2814" s="132">
        <f>SUM(T2814,V2814,X2814,Z2814,AB2814,AD2814)</f>
        <v>0</v>
      </c>
      <c r="AG2814" s="728"/>
      <c r="AH2814" s="133">
        <f>SUM(AF2814,R2814)</f>
        <v>0</v>
      </c>
      <c r="AI2814" s="728"/>
      <c r="AJ2814" s="65"/>
      <c r="AV2814" s="56"/>
    </row>
    <row r="2815" spans="2:48" ht="12.75" hidden="1" customHeight="1" outlineLevel="2">
      <c r="B2815" s="82"/>
      <c r="C2815" s="1234"/>
      <c r="D2815" s="1234"/>
      <c r="E2815" s="84" t="str">
        <f>'Terms and Turnovers'!$AD$12</f>
        <v>ACCESSORIES</v>
      </c>
      <c r="F2815" s="68">
        <f>F2100/'Terms and Turnovers'!$AD224</f>
        <v>0</v>
      </c>
      <c r="G2815" s="728"/>
      <c r="H2815" s="68">
        <f>H2100/'Terms and Turnovers'!$AD224</f>
        <v>0</v>
      </c>
      <c r="I2815" s="728"/>
      <c r="J2815" s="68">
        <f>J2100/'Terms and Turnovers'!$AD224</f>
        <v>0</v>
      </c>
      <c r="K2815" s="728"/>
      <c r="L2815" s="68">
        <f>L2100/'Terms and Turnovers'!$AD224</f>
        <v>0</v>
      </c>
      <c r="M2815" s="728"/>
      <c r="N2815" s="68">
        <f>N2100/'Terms and Turnovers'!$AD224</f>
        <v>0</v>
      </c>
      <c r="O2815" s="728"/>
      <c r="P2815" s="68">
        <f>P2100/'Terms and Turnovers'!$AD224</f>
        <v>0</v>
      </c>
      <c r="Q2815" s="728"/>
      <c r="R2815" s="132">
        <f>SUM(F2815,H2815,J2815,L2815,N2815,P2815)</f>
        <v>0</v>
      </c>
      <c r="S2815" s="728"/>
      <c r="T2815" s="68">
        <f>T2100/'Terms and Turnovers'!$AD224</f>
        <v>0</v>
      </c>
      <c r="U2815" s="728"/>
      <c r="V2815" s="68">
        <f>V2100/'Terms and Turnovers'!$AD224</f>
        <v>0</v>
      </c>
      <c r="W2815" s="728"/>
      <c r="X2815" s="68">
        <f>X2100/'Terms and Turnovers'!$AD224</f>
        <v>0</v>
      </c>
      <c r="Y2815" s="728"/>
      <c r="Z2815" s="68">
        <f>Z2100/'Terms and Turnovers'!$AD224</f>
        <v>0</v>
      </c>
      <c r="AA2815" s="728"/>
      <c r="AB2815" s="68">
        <f>AB2100/'Terms and Turnovers'!$AD224</f>
        <v>0</v>
      </c>
      <c r="AC2815" s="728"/>
      <c r="AD2815" s="68">
        <f>AD2100/'Terms and Turnovers'!$AD224</f>
        <v>0</v>
      </c>
      <c r="AE2815" s="728"/>
      <c r="AF2815" s="132">
        <f>SUM(T2815,V2815,X2815,Z2815,AB2815,AD2815)</f>
        <v>0</v>
      </c>
      <c r="AG2815" s="728"/>
      <c r="AH2815" s="133">
        <f>SUM(AF2815,R2815)</f>
        <v>0</v>
      </c>
      <c r="AI2815" s="728"/>
      <c r="AJ2815" s="65"/>
      <c r="AV2815" s="56"/>
    </row>
    <row r="2816" spans="2:48" ht="12.75" hidden="1" customHeight="1" outlineLevel="2" thickBot="1">
      <c r="B2816" s="82"/>
      <c r="C2816" s="1234"/>
      <c r="D2816" s="1234"/>
      <c r="E2816" s="84">
        <f>'Terms and Turnovers'!$AN$12</f>
        <v>0</v>
      </c>
      <c r="F2816" s="70">
        <f>F2101/'Terms and Turnovers'!$AN224</f>
        <v>0</v>
      </c>
      <c r="G2816" s="728"/>
      <c r="H2816" s="70">
        <f>H2101/'Terms and Turnovers'!$AN224</f>
        <v>0</v>
      </c>
      <c r="I2816" s="728"/>
      <c r="J2816" s="70">
        <f>J2101/'Terms and Turnovers'!$AN224</f>
        <v>0</v>
      </c>
      <c r="K2816" s="728"/>
      <c r="L2816" s="70">
        <f>L2101/'Terms and Turnovers'!$AN224</f>
        <v>0</v>
      </c>
      <c r="M2816" s="728"/>
      <c r="N2816" s="70">
        <f>N2101/'Terms and Turnovers'!$AN224</f>
        <v>0</v>
      </c>
      <c r="O2816" s="728"/>
      <c r="P2816" s="70">
        <f>P2101/'Terms and Turnovers'!$AN224</f>
        <v>0</v>
      </c>
      <c r="Q2816" s="728"/>
      <c r="R2816" s="132">
        <f>SUM(F2816,H2816,J2816,L2816,N2816,P2816)</f>
        <v>0</v>
      </c>
      <c r="S2816" s="728"/>
      <c r="T2816" s="70">
        <f>T2101/'Terms and Turnovers'!$AN224</f>
        <v>0</v>
      </c>
      <c r="U2816" s="728"/>
      <c r="V2816" s="70">
        <f>V2101/'Terms and Turnovers'!$AN224</f>
        <v>0</v>
      </c>
      <c r="W2816" s="728"/>
      <c r="X2816" s="70">
        <f>X2101/'Terms and Turnovers'!$AN224</f>
        <v>0</v>
      </c>
      <c r="Y2816" s="728"/>
      <c r="Z2816" s="70">
        <f>Z2101/'Terms and Turnovers'!$AN224</f>
        <v>0</v>
      </c>
      <c r="AA2816" s="728"/>
      <c r="AB2816" s="70">
        <f>AB2101/'Terms and Turnovers'!$AN224</f>
        <v>0</v>
      </c>
      <c r="AC2816" s="728"/>
      <c r="AD2816" s="70">
        <f>AD2101/'Terms and Turnovers'!$AN224</f>
        <v>0</v>
      </c>
      <c r="AE2816" s="728"/>
      <c r="AF2816" s="132">
        <f>SUM(T2816,V2816,X2816,Z2816,AB2816,AD2816)</f>
        <v>0</v>
      </c>
      <c r="AG2816" s="728"/>
      <c r="AH2816" s="133">
        <f>SUM(AF2816,R2816)</f>
        <v>0</v>
      </c>
      <c r="AI2816" s="728"/>
      <c r="AJ2816" s="65"/>
      <c r="AV2816" s="56"/>
    </row>
    <row r="2817" spans="2:48" ht="13.5" hidden="1" customHeight="1" outlineLevel="2" thickBot="1">
      <c r="B2817" s="82"/>
      <c r="C2817" s="1235"/>
      <c r="D2817" s="1235"/>
      <c r="E2817" s="85">
        <f>'Terms and Turnovers'!$AX$12</f>
        <v>0</v>
      </c>
      <c r="F2817" s="68">
        <f>F2102/'Terms and Turnovers'!$AX224</f>
        <v>0</v>
      </c>
      <c r="G2817" s="111"/>
      <c r="H2817" s="68">
        <f>H2102/'Terms and Turnovers'!$AX224</f>
        <v>0</v>
      </c>
      <c r="I2817" s="107"/>
      <c r="J2817" s="68">
        <f>J2102/'Terms and Turnovers'!$AX224</f>
        <v>0</v>
      </c>
      <c r="K2817" s="107"/>
      <c r="L2817" s="68">
        <f>L2102/'Terms and Turnovers'!$AX224</f>
        <v>0</v>
      </c>
      <c r="M2817" s="107"/>
      <c r="N2817" s="68">
        <f>N2102/'Terms and Turnovers'!$AX224</f>
        <v>0</v>
      </c>
      <c r="O2817" s="107"/>
      <c r="P2817" s="68">
        <f>P2102/'Terms and Turnovers'!$AX224</f>
        <v>0</v>
      </c>
      <c r="Q2817" s="107"/>
      <c r="R2817" s="135">
        <f>SUM(F2817,H2817,J2817,L2817,N2817,P2817)</f>
        <v>0</v>
      </c>
      <c r="S2817" s="107"/>
      <c r="T2817" s="68">
        <f>T2102/'Terms and Turnovers'!$AX224</f>
        <v>0</v>
      </c>
      <c r="U2817" s="111"/>
      <c r="V2817" s="68">
        <f>V2102/'Terms and Turnovers'!$AX224</f>
        <v>0</v>
      </c>
      <c r="W2817" s="107"/>
      <c r="X2817" s="68">
        <f>X2102/'Terms and Turnovers'!$AX224</f>
        <v>0</v>
      </c>
      <c r="Y2817" s="107"/>
      <c r="Z2817" s="68">
        <f>Z2102/'Terms and Turnovers'!$AX224</f>
        <v>0</v>
      </c>
      <c r="AA2817" s="107"/>
      <c r="AB2817" s="68">
        <f>AB2102/'Terms and Turnovers'!$AX224</f>
        <v>0</v>
      </c>
      <c r="AC2817" s="107"/>
      <c r="AD2817" s="68">
        <f>AD2102/'Terms and Turnovers'!$AX224</f>
        <v>0</v>
      </c>
      <c r="AE2817" s="107"/>
      <c r="AF2817" s="135">
        <f>SUM(T2817,V2817,X2817,Z2817,AB2817,AD2817)</f>
        <v>0</v>
      </c>
      <c r="AG2817" s="107"/>
      <c r="AH2817" s="136">
        <f>SUM(AF2817,R2817)</f>
        <v>0</v>
      </c>
      <c r="AI2817" s="107"/>
      <c r="AJ2817" s="65"/>
      <c r="AV2817" s="56"/>
    </row>
    <row r="2818" spans="2:48" ht="13.5" hidden="1" customHeight="1" outlineLevel="2">
      <c r="B2818" s="82"/>
      <c r="C2818" s="425"/>
      <c r="D2818" s="425"/>
      <c r="E2818" s="634"/>
      <c r="F2818" s="635"/>
      <c r="G2818" s="428"/>
      <c r="H2818" s="635"/>
      <c r="I2818" s="428"/>
      <c r="J2818" s="635"/>
      <c r="K2818" s="636"/>
      <c r="L2818" s="635"/>
      <c r="M2818" s="636"/>
      <c r="N2818" s="635"/>
      <c r="O2818" s="636"/>
      <c r="P2818" s="635"/>
      <c r="Q2818" s="636"/>
      <c r="R2818" s="637"/>
      <c r="S2818" s="698">
        <f>SUM(R2098:R2102)/1.18-(SUM(R2813:R2817)*'Mark Up Validation'!$M$175)</f>
        <v>0</v>
      </c>
      <c r="T2818" s="635"/>
      <c r="U2818" s="636"/>
      <c r="V2818" s="635"/>
      <c r="W2818" s="636"/>
      <c r="X2818" s="635"/>
      <c r="Y2818" s="636"/>
      <c r="Z2818" s="635"/>
      <c r="AA2818" s="636"/>
      <c r="AB2818" s="635"/>
      <c r="AC2818" s="636"/>
      <c r="AD2818" s="635"/>
      <c r="AE2818" s="636"/>
      <c r="AF2818" s="637"/>
      <c r="AG2818" s="698">
        <f>SUM(AF2098:AF2102)/1.18-SUM(AF2813:AF2817)*'Mark Up Validation'!$M$175</f>
        <v>0</v>
      </c>
      <c r="AH2818" s="638"/>
      <c r="AI2818" s="698">
        <f>SUM(AH2098:AH2102)/1.18-SUM(AH2813:AH2817)*'Mark Up Validation'!$M$175</f>
        <v>0</v>
      </c>
      <c r="AJ2818" s="65"/>
      <c r="AV2818" s="56"/>
    </row>
    <row r="2819" spans="2:48" ht="13.5" hidden="1" customHeight="1" outlineLevel="2" thickBot="1">
      <c r="B2819" s="82"/>
      <c r="C2819" s="1228" t="s">
        <v>538</v>
      </c>
      <c r="D2819" s="1229"/>
      <c r="E2819" s="699"/>
      <c r="F2819" s="700"/>
      <c r="G2819" s="701"/>
      <c r="H2819" s="700"/>
      <c r="I2819" s="701"/>
      <c r="J2819" s="700"/>
      <c r="K2819" s="702"/>
      <c r="L2819" s="700"/>
      <c r="M2819" s="702"/>
      <c r="N2819" s="700"/>
      <c r="O2819" s="702"/>
      <c r="P2819" s="700"/>
      <c r="Q2819" s="702"/>
      <c r="R2819" s="703"/>
      <c r="S2819" s="729">
        <f>IF(S2818&gt;0,S2818/(SUM(R2098:R2102)/1.18),0)</f>
        <v>0</v>
      </c>
      <c r="T2819" s="700"/>
      <c r="U2819" s="702"/>
      <c r="V2819" s="700"/>
      <c r="W2819" s="702"/>
      <c r="X2819" s="700"/>
      <c r="Y2819" s="702"/>
      <c r="Z2819" s="700"/>
      <c r="AA2819" s="702"/>
      <c r="AB2819" s="700"/>
      <c r="AC2819" s="702"/>
      <c r="AD2819" s="700"/>
      <c r="AE2819" s="702"/>
      <c r="AF2819" s="705"/>
      <c r="AG2819" s="729">
        <f>IF(AG2818&gt;0,AG2818/(SUM(AF2098:AF2102)/1.18),0)</f>
        <v>0</v>
      </c>
      <c r="AH2819" s="706"/>
      <c r="AI2819" s="729">
        <f>IF(AI2818&gt;0,AI2818/(SUM(AH2098:AH2102)/1.18),0)</f>
        <v>0</v>
      </c>
      <c r="AJ2819" s="65"/>
      <c r="AV2819" s="56"/>
    </row>
    <row r="2820" spans="2:48" ht="12.75" hidden="1" customHeight="1" outlineLevel="2">
      <c r="B2820" s="82">
        <f>B2813+1</f>
        <v>94</v>
      </c>
      <c r="C2820" s="1230">
        <f>C2105</f>
        <v>0</v>
      </c>
      <c r="D2820" s="1230">
        <f>D2105</f>
        <v>0</v>
      </c>
      <c r="E2820" s="83" t="str">
        <f>'Terms and Turnovers'!$J$12</f>
        <v>FLIP-FLOPS</v>
      </c>
      <c r="F2820" s="68">
        <f>F2105/'Terms and Turnovers'!$J225</f>
        <v>0</v>
      </c>
      <c r="G2820" s="106"/>
      <c r="H2820" s="68">
        <f>H2105/'Terms and Turnovers'!$J225</f>
        <v>0</v>
      </c>
      <c r="I2820" s="106"/>
      <c r="J2820" s="68">
        <f>J2105/'Terms and Turnovers'!$J225</f>
        <v>0</v>
      </c>
      <c r="K2820" s="106"/>
      <c r="L2820" s="68">
        <f>L2105/'Terms and Turnovers'!$J225</f>
        <v>0</v>
      </c>
      <c r="M2820" s="106"/>
      <c r="N2820" s="68">
        <f>N2105/'Terms and Turnovers'!$J225</f>
        <v>0</v>
      </c>
      <c r="O2820" s="106"/>
      <c r="P2820" s="68">
        <f>P2105/'Terms and Turnovers'!$J225</f>
        <v>0</v>
      </c>
      <c r="Q2820" s="106"/>
      <c r="R2820" s="129">
        <f>SUM(F2820,H2820,J2820,L2820,N2820,P2820)</f>
        <v>0</v>
      </c>
      <c r="S2820" s="106"/>
      <c r="T2820" s="68">
        <f>T2105/'Terms and Turnovers'!$J225</f>
        <v>0</v>
      </c>
      <c r="U2820" s="106"/>
      <c r="V2820" s="68">
        <f>V2105/'Terms and Turnovers'!$J225</f>
        <v>0</v>
      </c>
      <c r="W2820" s="106"/>
      <c r="X2820" s="68">
        <f>X2105/'Terms and Turnovers'!$J225</f>
        <v>0</v>
      </c>
      <c r="Y2820" s="106"/>
      <c r="Z2820" s="68">
        <f>Z2105/'Terms and Turnovers'!$J225</f>
        <v>0</v>
      </c>
      <c r="AA2820" s="106"/>
      <c r="AB2820" s="68">
        <f>AB2105/'Terms and Turnovers'!$J225</f>
        <v>0</v>
      </c>
      <c r="AC2820" s="106"/>
      <c r="AD2820" s="68">
        <f>AD2105/'Terms and Turnovers'!$J225</f>
        <v>0</v>
      </c>
      <c r="AE2820" s="106"/>
      <c r="AF2820" s="129">
        <f>SUM(T2820,V2820,X2820,Z2820,AB2820,AD2820)</f>
        <v>0</v>
      </c>
      <c r="AG2820" s="106"/>
      <c r="AH2820" s="130">
        <f>SUM(AF2820,R2820)</f>
        <v>0</v>
      </c>
      <c r="AI2820" s="106"/>
      <c r="AJ2820" s="65"/>
      <c r="AV2820" s="56"/>
    </row>
    <row r="2821" spans="2:48" ht="12.75" hidden="1" customHeight="1" outlineLevel="2" thickBot="1">
      <c r="B2821" s="82"/>
      <c r="C2821" s="1231"/>
      <c r="D2821" s="1231"/>
      <c r="E2821" s="84" t="str">
        <f>'Terms and Turnovers'!$T$12</f>
        <v>ORIGINALS</v>
      </c>
      <c r="F2821" s="70">
        <f>F2106/'Terms and Turnovers'!$T225</f>
        <v>0</v>
      </c>
      <c r="G2821" s="728"/>
      <c r="H2821" s="70">
        <f>H2106/'Terms and Turnovers'!$T225</f>
        <v>0</v>
      </c>
      <c r="I2821" s="728"/>
      <c r="J2821" s="70">
        <f>J2106/'Terms and Turnovers'!$T225</f>
        <v>0</v>
      </c>
      <c r="K2821" s="728"/>
      <c r="L2821" s="70">
        <f>L2106/'Terms and Turnovers'!$T225</f>
        <v>0</v>
      </c>
      <c r="M2821" s="728"/>
      <c r="N2821" s="70">
        <f>N2106/'Terms and Turnovers'!$T225</f>
        <v>0</v>
      </c>
      <c r="O2821" s="728"/>
      <c r="P2821" s="70">
        <f>P2106/'Terms and Turnovers'!$T225</f>
        <v>0</v>
      </c>
      <c r="Q2821" s="728"/>
      <c r="R2821" s="132">
        <f>SUM(F2821,H2821,J2821,L2821,N2821,P2821)</f>
        <v>0</v>
      </c>
      <c r="S2821" s="728"/>
      <c r="T2821" s="70">
        <f>T2106/'Terms and Turnovers'!$T225</f>
        <v>0</v>
      </c>
      <c r="U2821" s="728"/>
      <c r="V2821" s="70">
        <f>V2106/'Terms and Turnovers'!$T225</f>
        <v>0</v>
      </c>
      <c r="W2821" s="728"/>
      <c r="X2821" s="70">
        <f>X2106/'Terms and Turnovers'!$T225</f>
        <v>0</v>
      </c>
      <c r="Y2821" s="728"/>
      <c r="Z2821" s="70">
        <f>Z2106/'Terms and Turnovers'!$T225</f>
        <v>0</v>
      </c>
      <c r="AA2821" s="728"/>
      <c r="AB2821" s="70">
        <f>AB2106/'Terms and Turnovers'!$T225</f>
        <v>0</v>
      </c>
      <c r="AC2821" s="728"/>
      <c r="AD2821" s="70">
        <f>AD2106/'Terms and Turnovers'!$T225</f>
        <v>0</v>
      </c>
      <c r="AE2821" s="728"/>
      <c r="AF2821" s="132">
        <f>SUM(T2821,V2821,X2821,Z2821,AB2821,AD2821)</f>
        <v>0</v>
      </c>
      <c r="AG2821" s="728"/>
      <c r="AH2821" s="133">
        <f>SUM(AF2821,R2821)</f>
        <v>0</v>
      </c>
      <c r="AI2821" s="728"/>
      <c r="AJ2821" s="65"/>
      <c r="AV2821" s="56"/>
    </row>
    <row r="2822" spans="2:48" ht="12.75" hidden="1" customHeight="1" outlineLevel="2">
      <c r="B2822" s="82"/>
      <c r="C2822" s="1231"/>
      <c r="D2822" s="1231"/>
      <c r="E2822" s="84" t="str">
        <f>'Terms and Turnovers'!$AD$12</f>
        <v>ACCESSORIES</v>
      </c>
      <c r="F2822" s="68">
        <f>F2107/'Terms and Turnovers'!$AD225</f>
        <v>0</v>
      </c>
      <c r="G2822" s="728"/>
      <c r="H2822" s="68">
        <f>H2107/'Terms and Turnovers'!$AD225</f>
        <v>0</v>
      </c>
      <c r="I2822" s="728"/>
      <c r="J2822" s="68">
        <f>J2107/'Terms and Turnovers'!$AD225</f>
        <v>0</v>
      </c>
      <c r="K2822" s="728"/>
      <c r="L2822" s="68">
        <f>L2107/'Terms and Turnovers'!$AD225</f>
        <v>0</v>
      </c>
      <c r="M2822" s="728"/>
      <c r="N2822" s="68">
        <f>N2107/'Terms and Turnovers'!$AD225</f>
        <v>0</v>
      </c>
      <c r="O2822" s="728"/>
      <c r="P2822" s="68">
        <f>P2107/'Terms and Turnovers'!$AD225</f>
        <v>0</v>
      </c>
      <c r="Q2822" s="728"/>
      <c r="R2822" s="132">
        <f>SUM(F2822,H2822,J2822,L2822,N2822,P2822)</f>
        <v>0</v>
      </c>
      <c r="S2822" s="728"/>
      <c r="T2822" s="68">
        <f>T2107/'Terms and Turnovers'!$AD225</f>
        <v>0</v>
      </c>
      <c r="U2822" s="728"/>
      <c r="V2822" s="68">
        <f>V2107/'Terms and Turnovers'!$AD225</f>
        <v>0</v>
      </c>
      <c r="W2822" s="728"/>
      <c r="X2822" s="68">
        <f>X2107/'Terms and Turnovers'!$AD225</f>
        <v>0</v>
      </c>
      <c r="Y2822" s="728"/>
      <c r="Z2822" s="68">
        <f>Z2107/'Terms and Turnovers'!$AD225</f>
        <v>0</v>
      </c>
      <c r="AA2822" s="728"/>
      <c r="AB2822" s="68">
        <f>AB2107/'Terms and Turnovers'!$AD225</f>
        <v>0</v>
      </c>
      <c r="AC2822" s="728"/>
      <c r="AD2822" s="68">
        <f>AD2107/'Terms and Turnovers'!$AD225</f>
        <v>0</v>
      </c>
      <c r="AE2822" s="728"/>
      <c r="AF2822" s="132">
        <f>SUM(T2822,V2822,X2822,Z2822,AB2822,AD2822)</f>
        <v>0</v>
      </c>
      <c r="AG2822" s="728"/>
      <c r="AH2822" s="133">
        <f>SUM(AF2822,R2822)</f>
        <v>0</v>
      </c>
      <c r="AI2822" s="728"/>
      <c r="AJ2822" s="65"/>
      <c r="AV2822" s="56"/>
    </row>
    <row r="2823" spans="2:48" ht="12.75" hidden="1" customHeight="1" outlineLevel="2" thickBot="1">
      <c r="B2823" s="82"/>
      <c r="C2823" s="1231"/>
      <c r="D2823" s="1231"/>
      <c r="E2823" s="84">
        <f>'Terms and Turnovers'!$AN$12</f>
        <v>0</v>
      </c>
      <c r="F2823" s="70">
        <f>F2108/'Terms and Turnovers'!$AN225</f>
        <v>0</v>
      </c>
      <c r="G2823" s="728"/>
      <c r="H2823" s="70">
        <f>H2108/'Terms and Turnovers'!$AN225</f>
        <v>0</v>
      </c>
      <c r="I2823" s="728"/>
      <c r="J2823" s="70">
        <f>J2108/'Terms and Turnovers'!$AN225</f>
        <v>0</v>
      </c>
      <c r="K2823" s="728"/>
      <c r="L2823" s="70">
        <f>L2108/'Terms and Turnovers'!$AN225</f>
        <v>0</v>
      </c>
      <c r="M2823" s="728"/>
      <c r="N2823" s="70">
        <f>N2108/'Terms and Turnovers'!$AN225</f>
        <v>0</v>
      </c>
      <c r="O2823" s="728"/>
      <c r="P2823" s="70">
        <f>P2108/'Terms and Turnovers'!$AN225</f>
        <v>0</v>
      </c>
      <c r="Q2823" s="728"/>
      <c r="R2823" s="132">
        <f>SUM(F2823,H2823,J2823,L2823,N2823,P2823)</f>
        <v>0</v>
      </c>
      <c r="S2823" s="728"/>
      <c r="T2823" s="70">
        <f>T2108/'Terms and Turnovers'!$AN225</f>
        <v>0</v>
      </c>
      <c r="U2823" s="728"/>
      <c r="V2823" s="70">
        <f>V2108/'Terms and Turnovers'!$AN225</f>
        <v>0</v>
      </c>
      <c r="W2823" s="728"/>
      <c r="X2823" s="70">
        <f>X2108/'Terms and Turnovers'!$AN225</f>
        <v>0</v>
      </c>
      <c r="Y2823" s="728"/>
      <c r="Z2823" s="70">
        <f>Z2108/'Terms and Turnovers'!$AN225</f>
        <v>0</v>
      </c>
      <c r="AA2823" s="728"/>
      <c r="AB2823" s="70">
        <f>AB2108/'Terms and Turnovers'!$AN225</f>
        <v>0</v>
      </c>
      <c r="AC2823" s="728"/>
      <c r="AD2823" s="70">
        <f>AD2108/'Terms and Turnovers'!$AN225</f>
        <v>0</v>
      </c>
      <c r="AE2823" s="728"/>
      <c r="AF2823" s="132">
        <f>SUM(T2823,V2823,X2823,Z2823,AB2823,AD2823)</f>
        <v>0</v>
      </c>
      <c r="AG2823" s="728"/>
      <c r="AH2823" s="133">
        <f>SUM(AF2823,R2823)</f>
        <v>0</v>
      </c>
      <c r="AI2823" s="728"/>
      <c r="AJ2823" s="65"/>
      <c r="AV2823" s="56"/>
    </row>
    <row r="2824" spans="2:48" ht="13.5" hidden="1" customHeight="1" outlineLevel="2" thickBot="1">
      <c r="B2824" s="82"/>
      <c r="C2824" s="1232"/>
      <c r="D2824" s="1232"/>
      <c r="E2824" s="85">
        <f>'Terms and Turnovers'!$AX$12</f>
        <v>0</v>
      </c>
      <c r="F2824" s="68">
        <f>F2109/'Terms and Turnovers'!$AX225</f>
        <v>0</v>
      </c>
      <c r="G2824" s="111"/>
      <c r="H2824" s="68">
        <f>H2109/'Terms and Turnovers'!$AX225</f>
        <v>0</v>
      </c>
      <c r="I2824" s="107"/>
      <c r="J2824" s="68">
        <f>J2109/'Terms and Turnovers'!$AX225</f>
        <v>0</v>
      </c>
      <c r="K2824" s="107"/>
      <c r="L2824" s="68">
        <f>L2109/'Terms and Turnovers'!$AX225</f>
        <v>0</v>
      </c>
      <c r="M2824" s="107"/>
      <c r="N2824" s="68">
        <f>N2109/'Terms and Turnovers'!$AX225</f>
        <v>0</v>
      </c>
      <c r="O2824" s="107"/>
      <c r="P2824" s="68">
        <f>P2109/'Terms and Turnovers'!$AX225</f>
        <v>0</v>
      </c>
      <c r="Q2824" s="107"/>
      <c r="R2824" s="135">
        <f>SUM(F2824,H2824,J2824,L2824,N2824,P2824)</f>
        <v>0</v>
      </c>
      <c r="S2824" s="107"/>
      <c r="T2824" s="68">
        <f>T2109/'Terms and Turnovers'!$AX225</f>
        <v>0</v>
      </c>
      <c r="U2824" s="111"/>
      <c r="V2824" s="68">
        <f>V2109/'Terms and Turnovers'!$AX225</f>
        <v>0</v>
      </c>
      <c r="W2824" s="107"/>
      <c r="X2824" s="68">
        <f>X2109/'Terms and Turnovers'!$AX225</f>
        <v>0</v>
      </c>
      <c r="Y2824" s="107"/>
      <c r="Z2824" s="68">
        <f>Z2109/'Terms and Turnovers'!$AX225</f>
        <v>0</v>
      </c>
      <c r="AA2824" s="107"/>
      <c r="AB2824" s="68">
        <f>AB2109/'Terms and Turnovers'!$AX225</f>
        <v>0</v>
      </c>
      <c r="AC2824" s="107"/>
      <c r="AD2824" s="68">
        <f>AD2109/'Terms and Turnovers'!$AX225</f>
        <v>0</v>
      </c>
      <c r="AE2824" s="107"/>
      <c r="AF2824" s="135">
        <f>SUM(T2824,V2824,X2824,Z2824,AB2824,AD2824)</f>
        <v>0</v>
      </c>
      <c r="AG2824" s="107"/>
      <c r="AH2824" s="136">
        <f>SUM(AF2824,R2824)</f>
        <v>0</v>
      </c>
      <c r="AI2824" s="107"/>
      <c r="AJ2824" s="65"/>
      <c r="AV2824" s="56"/>
    </row>
    <row r="2825" spans="2:48" ht="13.5" hidden="1" customHeight="1" outlineLevel="2">
      <c r="B2825" s="82"/>
      <c r="C2825" s="425"/>
      <c r="D2825" s="425"/>
      <c r="E2825" s="634"/>
      <c r="F2825" s="635"/>
      <c r="G2825" s="428"/>
      <c r="H2825" s="635"/>
      <c r="I2825" s="428"/>
      <c r="J2825" s="635"/>
      <c r="K2825" s="636"/>
      <c r="L2825" s="635"/>
      <c r="M2825" s="636"/>
      <c r="N2825" s="635"/>
      <c r="O2825" s="636"/>
      <c r="P2825" s="635"/>
      <c r="Q2825" s="636"/>
      <c r="R2825" s="637"/>
      <c r="S2825" s="698">
        <f>SUM(R2105:R2109)/1.18-(SUM(R2820:R2824)*'Mark Up Validation'!$M$175)</f>
        <v>0</v>
      </c>
      <c r="T2825" s="635"/>
      <c r="U2825" s="636"/>
      <c r="V2825" s="635"/>
      <c r="W2825" s="636"/>
      <c r="X2825" s="635"/>
      <c r="Y2825" s="636"/>
      <c r="Z2825" s="635"/>
      <c r="AA2825" s="636"/>
      <c r="AB2825" s="635"/>
      <c r="AC2825" s="636"/>
      <c r="AD2825" s="635"/>
      <c r="AE2825" s="636"/>
      <c r="AF2825" s="637"/>
      <c r="AG2825" s="698">
        <f>SUM(AF2105:AF2109)/1.18-SUM(AF2820:AF2824)*'Mark Up Validation'!$M$175</f>
        <v>0</v>
      </c>
      <c r="AH2825" s="638"/>
      <c r="AI2825" s="698">
        <f>SUM(AH2105:AH2109)/1.18-SUM(AH2820:AH2824)*'Mark Up Validation'!$M$175</f>
        <v>0</v>
      </c>
      <c r="AJ2825" s="65"/>
      <c r="AV2825" s="56"/>
    </row>
    <row r="2826" spans="2:48" ht="13.5" hidden="1" customHeight="1" outlineLevel="2" thickBot="1">
      <c r="B2826" s="82"/>
      <c r="C2826" s="1228" t="s">
        <v>538</v>
      </c>
      <c r="D2826" s="1229"/>
      <c r="E2826" s="699"/>
      <c r="F2826" s="700"/>
      <c r="G2826" s="701"/>
      <c r="H2826" s="700"/>
      <c r="I2826" s="701"/>
      <c r="J2826" s="700"/>
      <c r="K2826" s="702"/>
      <c r="L2826" s="700"/>
      <c r="M2826" s="702"/>
      <c r="N2826" s="700"/>
      <c r="O2826" s="702"/>
      <c r="P2826" s="700"/>
      <c r="Q2826" s="702"/>
      <c r="R2826" s="703"/>
      <c r="S2826" s="729">
        <f>IF(S2825&gt;0,S2825/(SUM(R2105:R2109)/1.18),0)</f>
        <v>0</v>
      </c>
      <c r="T2826" s="700"/>
      <c r="U2826" s="702"/>
      <c r="V2826" s="700"/>
      <c r="W2826" s="702"/>
      <c r="X2826" s="700"/>
      <c r="Y2826" s="702"/>
      <c r="Z2826" s="700"/>
      <c r="AA2826" s="702"/>
      <c r="AB2826" s="700"/>
      <c r="AC2826" s="702"/>
      <c r="AD2826" s="700"/>
      <c r="AE2826" s="702"/>
      <c r="AF2826" s="705"/>
      <c r="AG2826" s="729">
        <f>IF(AG2825&gt;0,AG2825/(SUM(AF2105:AF2109)/1.18),0)</f>
        <v>0</v>
      </c>
      <c r="AH2826" s="706"/>
      <c r="AI2826" s="729">
        <f>IF(AI2825&gt;0,AI2825/(SUM(AH2105:AH2109)/1.18),0)</f>
        <v>0</v>
      </c>
      <c r="AJ2826" s="65"/>
      <c r="AV2826" s="56"/>
    </row>
    <row r="2827" spans="2:48" ht="12.75" hidden="1" customHeight="1" outlineLevel="2">
      <c r="B2827" s="82">
        <f>B2820+1</f>
        <v>95</v>
      </c>
      <c r="C2827" s="1233">
        <f>C2112</f>
        <v>0</v>
      </c>
      <c r="D2827" s="1233">
        <f>D2112</f>
        <v>0</v>
      </c>
      <c r="E2827" s="83" t="str">
        <f>'Terms and Turnovers'!$J$12</f>
        <v>FLIP-FLOPS</v>
      </c>
      <c r="F2827" s="68">
        <f>F2112/'Terms and Turnovers'!$J226</f>
        <v>0</v>
      </c>
      <c r="G2827" s="106"/>
      <c r="H2827" s="68">
        <f>H2112/'Terms and Turnovers'!$J226</f>
        <v>0</v>
      </c>
      <c r="I2827" s="106"/>
      <c r="J2827" s="68">
        <f>J2112/'Terms and Turnovers'!$J226</f>
        <v>0</v>
      </c>
      <c r="K2827" s="106"/>
      <c r="L2827" s="68">
        <f>L2112/'Terms and Turnovers'!$J226</f>
        <v>0</v>
      </c>
      <c r="M2827" s="106"/>
      <c r="N2827" s="68">
        <f>N2112/'Terms and Turnovers'!$J226</f>
        <v>0</v>
      </c>
      <c r="O2827" s="106"/>
      <c r="P2827" s="68">
        <f>P2112/'Terms and Turnovers'!$J226</f>
        <v>0</v>
      </c>
      <c r="Q2827" s="106"/>
      <c r="R2827" s="129">
        <f>SUM(F2827,H2827,J2827,L2827,N2827,P2827)</f>
        <v>0</v>
      </c>
      <c r="S2827" s="106"/>
      <c r="T2827" s="68">
        <f>T2112/'Terms and Turnovers'!$J226</f>
        <v>0</v>
      </c>
      <c r="U2827" s="106"/>
      <c r="V2827" s="68">
        <f>V2112/'Terms and Turnovers'!$J226</f>
        <v>0</v>
      </c>
      <c r="W2827" s="106"/>
      <c r="X2827" s="68">
        <f>X2112/'Terms and Turnovers'!$J226</f>
        <v>0</v>
      </c>
      <c r="Y2827" s="106"/>
      <c r="Z2827" s="68">
        <f>Z2112/'Terms and Turnovers'!$J226</f>
        <v>0</v>
      </c>
      <c r="AA2827" s="106"/>
      <c r="AB2827" s="68">
        <f>AB2112/'Terms and Turnovers'!$J226</f>
        <v>0</v>
      </c>
      <c r="AC2827" s="106"/>
      <c r="AD2827" s="68">
        <f>AD2112/'Terms and Turnovers'!$J226</f>
        <v>0</v>
      </c>
      <c r="AE2827" s="106"/>
      <c r="AF2827" s="129">
        <f>SUM(T2827,V2827,X2827,Z2827,AB2827,AD2827)</f>
        <v>0</v>
      </c>
      <c r="AG2827" s="106"/>
      <c r="AH2827" s="130">
        <f>SUM(AF2827,R2827)</f>
        <v>0</v>
      </c>
      <c r="AI2827" s="106"/>
      <c r="AJ2827" s="65"/>
      <c r="AV2827" s="56"/>
    </row>
    <row r="2828" spans="2:48" ht="12.75" hidden="1" customHeight="1" outlineLevel="2" thickBot="1">
      <c r="B2828" s="82"/>
      <c r="C2828" s="1234"/>
      <c r="D2828" s="1234"/>
      <c r="E2828" s="84" t="str">
        <f>'Terms and Turnovers'!$T$12</f>
        <v>ORIGINALS</v>
      </c>
      <c r="F2828" s="70">
        <f>F2113/'Terms and Turnovers'!$T226</f>
        <v>0</v>
      </c>
      <c r="G2828" s="728"/>
      <c r="H2828" s="70">
        <f>H2113/'Terms and Turnovers'!$T226</f>
        <v>0</v>
      </c>
      <c r="I2828" s="728"/>
      <c r="J2828" s="70">
        <f>J2113/'Terms and Turnovers'!$T226</f>
        <v>0</v>
      </c>
      <c r="K2828" s="728"/>
      <c r="L2828" s="70">
        <f>L2113/'Terms and Turnovers'!$T226</f>
        <v>0</v>
      </c>
      <c r="M2828" s="728"/>
      <c r="N2828" s="70">
        <f>N2113/'Terms and Turnovers'!$T226</f>
        <v>0</v>
      </c>
      <c r="O2828" s="728"/>
      <c r="P2828" s="70">
        <f>P2113/'Terms and Turnovers'!$T226</f>
        <v>0</v>
      </c>
      <c r="Q2828" s="728"/>
      <c r="R2828" s="132">
        <f>SUM(F2828,H2828,J2828,L2828,N2828,P2828)</f>
        <v>0</v>
      </c>
      <c r="S2828" s="728"/>
      <c r="T2828" s="70">
        <f>T2113/'Terms and Turnovers'!$T226</f>
        <v>0</v>
      </c>
      <c r="U2828" s="728"/>
      <c r="V2828" s="70">
        <f>V2113/'Terms and Turnovers'!$T226</f>
        <v>0</v>
      </c>
      <c r="W2828" s="728"/>
      <c r="X2828" s="70">
        <f>X2113/'Terms and Turnovers'!$T226</f>
        <v>0</v>
      </c>
      <c r="Y2828" s="728"/>
      <c r="Z2828" s="70">
        <f>Z2113/'Terms and Turnovers'!$T226</f>
        <v>0</v>
      </c>
      <c r="AA2828" s="728"/>
      <c r="AB2828" s="70">
        <f>AB2113/'Terms and Turnovers'!$T226</f>
        <v>0</v>
      </c>
      <c r="AC2828" s="728"/>
      <c r="AD2828" s="70">
        <f>AD2113/'Terms and Turnovers'!$T226</f>
        <v>0</v>
      </c>
      <c r="AE2828" s="728"/>
      <c r="AF2828" s="132">
        <f>SUM(T2828,V2828,X2828,Z2828,AB2828,AD2828)</f>
        <v>0</v>
      </c>
      <c r="AG2828" s="728"/>
      <c r="AH2828" s="133">
        <f>SUM(AF2828,R2828)</f>
        <v>0</v>
      </c>
      <c r="AI2828" s="728"/>
      <c r="AJ2828" s="65"/>
      <c r="AV2828" s="56"/>
    </row>
    <row r="2829" spans="2:48" ht="12.75" hidden="1" customHeight="1" outlineLevel="2">
      <c r="B2829" s="82"/>
      <c r="C2829" s="1234"/>
      <c r="D2829" s="1234"/>
      <c r="E2829" s="84" t="str">
        <f>'Terms and Turnovers'!$AD$12</f>
        <v>ACCESSORIES</v>
      </c>
      <c r="F2829" s="68">
        <f>F2114/'Terms and Turnovers'!$AD226</f>
        <v>0</v>
      </c>
      <c r="G2829" s="728"/>
      <c r="H2829" s="68">
        <f>H2114/'Terms and Turnovers'!$AD226</f>
        <v>0</v>
      </c>
      <c r="I2829" s="728"/>
      <c r="J2829" s="68">
        <f>J2114/'Terms and Turnovers'!$AD226</f>
        <v>0</v>
      </c>
      <c r="K2829" s="728"/>
      <c r="L2829" s="68">
        <f>L2114/'Terms and Turnovers'!$AD226</f>
        <v>0</v>
      </c>
      <c r="M2829" s="728"/>
      <c r="N2829" s="68">
        <f>N2114/'Terms and Turnovers'!$AD226</f>
        <v>0</v>
      </c>
      <c r="O2829" s="728"/>
      <c r="P2829" s="68">
        <f>P2114/'Terms and Turnovers'!$AD226</f>
        <v>0</v>
      </c>
      <c r="Q2829" s="728"/>
      <c r="R2829" s="132">
        <f>SUM(F2829,H2829,J2829,L2829,N2829,P2829)</f>
        <v>0</v>
      </c>
      <c r="S2829" s="728"/>
      <c r="T2829" s="68">
        <f>T2114/'Terms and Turnovers'!$AD226</f>
        <v>0</v>
      </c>
      <c r="U2829" s="728"/>
      <c r="V2829" s="68">
        <f>V2114/'Terms and Turnovers'!$AD226</f>
        <v>0</v>
      </c>
      <c r="W2829" s="728"/>
      <c r="X2829" s="68">
        <f>X2114/'Terms and Turnovers'!$AD226</f>
        <v>0</v>
      </c>
      <c r="Y2829" s="728"/>
      <c r="Z2829" s="68">
        <f>Z2114/'Terms and Turnovers'!$AD226</f>
        <v>0</v>
      </c>
      <c r="AA2829" s="728"/>
      <c r="AB2829" s="68">
        <f>AB2114/'Terms and Turnovers'!$AD226</f>
        <v>0</v>
      </c>
      <c r="AC2829" s="728"/>
      <c r="AD2829" s="68">
        <f>AD2114/'Terms and Turnovers'!$AD226</f>
        <v>0</v>
      </c>
      <c r="AE2829" s="728"/>
      <c r="AF2829" s="132">
        <f>SUM(T2829,V2829,X2829,Z2829,AB2829,AD2829)</f>
        <v>0</v>
      </c>
      <c r="AG2829" s="728"/>
      <c r="AH2829" s="133">
        <f>SUM(AF2829,R2829)</f>
        <v>0</v>
      </c>
      <c r="AI2829" s="728"/>
      <c r="AJ2829" s="65"/>
      <c r="AV2829" s="56"/>
    </row>
    <row r="2830" spans="2:48" ht="12.75" hidden="1" customHeight="1" outlineLevel="2" thickBot="1">
      <c r="B2830" s="82"/>
      <c r="C2830" s="1234"/>
      <c r="D2830" s="1234"/>
      <c r="E2830" s="84">
        <f>'Terms and Turnovers'!$AN$12</f>
        <v>0</v>
      </c>
      <c r="F2830" s="70">
        <f>F2115/'Terms and Turnovers'!$AN226</f>
        <v>0</v>
      </c>
      <c r="G2830" s="728"/>
      <c r="H2830" s="70">
        <f>H2115/'Terms and Turnovers'!$AN226</f>
        <v>0</v>
      </c>
      <c r="I2830" s="728"/>
      <c r="J2830" s="70">
        <f>J2115/'Terms and Turnovers'!$AN226</f>
        <v>0</v>
      </c>
      <c r="K2830" s="728"/>
      <c r="L2830" s="70">
        <f>L2115/'Terms and Turnovers'!$AN226</f>
        <v>0</v>
      </c>
      <c r="M2830" s="728"/>
      <c r="N2830" s="70">
        <f>N2115/'Terms and Turnovers'!$AN226</f>
        <v>0</v>
      </c>
      <c r="O2830" s="728"/>
      <c r="P2830" s="70">
        <f>P2115/'Terms and Turnovers'!$AN226</f>
        <v>0</v>
      </c>
      <c r="Q2830" s="728"/>
      <c r="R2830" s="132">
        <f>SUM(F2830,H2830,J2830,L2830,N2830,P2830)</f>
        <v>0</v>
      </c>
      <c r="S2830" s="728"/>
      <c r="T2830" s="70">
        <f>T2115/'Terms and Turnovers'!$AN226</f>
        <v>0</v>
      </c>
      <c r="U2830" s="728"/>
      <c r="V2830" s="70">
        <f>V2115/'Terms and Turnovers'!$AN226</f>
        <v>0</v>
      </c>
      <c r="W2830" s="728"/>
      <c r="X2830" s="70">
        <f>X2115/'Terms and Turnovers'!$AN226</f>
        <v>0</v>
      </c>
      <c r="Y2830" s="728"/>
      <c r="Z2830" s="70">
        <f>Z2115/'Terms and Turnovers'!$AN226</f>
        <v>0</v>
      </c>
      <c r="AA2830" s="728"/>
      <c r="AB2830" s="70">
        <f>AB2115/'Terms and Turnovers'!$AN226</f>
        <v>0</v>
      </c>
      <c r="AC2830" s="728"/>
      <c r="AD2830" s="70">
        <f>AD2115/'Terms and Turnovers'!$AN226</f>
        <v>0</v>
      </c>
      <c r="AE2830" s="728"/>
      <c r="AF2830" s="132">
        <f>SUM(T2830,V2830,X2830,Z2830,AB2830,AD2830)</f>
        <v>0</v>
      </c>
      <c r="AG2830" s="728"/>
      <c r="AH2830" s="133">
        <f>SUM(AF2830,R2830)</f>
        <v>0</v>
      </c>
      <c r="AI2830" s="728"/>
      <c r="AJ2830" s="65"/>
      <c r="AV2830" s="56"/>
    </row>
    <row r="2831" spans="2:48" ht="13.5" hidden="1" customHeight="1" outlineLevel="2" thickBot="1">
      <c r="B2831" s="82"/>
      <c r="C2831" s="1235"/>
      <c r="D2831" s="1235"/>
      <c r="E2831" s="85">
        <f>'Terms and Turnovers'!$AX$12</f>
        <v>0</v>
      </c>
      <c r="F2831" s="68">
        <f>F2116/'Terms and Turnovers'!$AX226</f>
        <v>0</v>
      </c>
      <c r="G2831" s="111"/>
      <c r="H2831" s="68">
        <f>H2116/'Terms and Turnovers'!$AX226</f>
        <v>0</v>
      </c>
      <c r="I2831" s="107"/>
      <c r="J2831" s="68">
        <f>J2116/'Terms and Turnovers'!$AX226</f>
        <v>0</v>
      </c>
      <c r="K2831" s="107"/>
      <c r="L2831" s="68">
        <f>L2116/'Terms and Turnovers'!$AX226</f>
        <v>0</v>
      </c>
      <c r="M2831" s="107"/>
      <c r="N2831" s="68">
        <f>N2116/'Terms and Turnovers'!$AX226</f>
        <v>0</v>
      </c>
      <c r="O2831" s="107"/>
      <c r="P2831" s="68">
        <f>P2116/'Terms and Turnovers'!$AX226</f>
        <v>0</v>
      </c>
      <c r="Q2831" s="107"/>
      <c r="R2831" s="135">
        <f>SUM(F2831,H2831,J2831,L2831,N2831,P2831)</f>
        <v>0</v>
      </c>
      <c r="S2831" s="107"/>
      <c r="T2831" s="68">
        <f>T2116/'Terms and Turnovers'!$AX226</f>
        <v>0</v>
      </c>
      <c r="U2831" s="111"/>
      <c r="V2831" s="68">
        <f>V2116/'Terms and Turnovers'!$AX226</f>
        <v>0</v>
      </c>
      <c r="W2831" s="107"/>
      <c r="X2831" s="68">
        <f>X2116/'Terms and Turnovers'!$AX226</f>
        <v>0</v>
      </c>
      <c r="Y2831" s="107"/>
      <c r="Z2831" s="68">
        <f>Z2116/'Terms and Turnovers'!$AX226</f>
        <v>0</v>
      </c>
      <c r="AA2831" s="107"/>
      <c r="AB2831" s="68">
        <f>AB2116/'Terms and Turnovers'!$AX226</f>
        <v>0</v>
      </c>
      <c r="AC2831" s="107"/>
      <c r="AD2831" s="68">
        <f>AD2116/'Terms and Turnovers'!$AX226</f>
        <v>0</v>
      </c>
      <c r="AE2831" s="107"/>
      <c r="AF2831" s="135">
        <f>SUM(T2831,V2831,X2831,Z2831,AB2831,AD2831)</f>
        <v>0</v>
      </c>
      <c r="AG2831" s="107"/>
      <c r="AH2831" s="136">
        <f>SUM(AF2831,R2831)</f>
        <v>0</v>
      </c>
      <c r="AI2831" s="107"/>
      <c r="AJ2831" s="65"/>
      <c r="AV2831" s="56"/>
    </row>
    <row r="2832" spans="2:48" ht="13.5" hidden="1" customHeight="1" outlineLevel="2">
      <c r="B2832" s="82"/>
      <c r="C2832" s="425"/>
      <c r="D2832" s="425"/>
      <c r="E2832" s="634"/>
      <c r="F2832" s="635"/>
      <c r="G2832" s="428"/>
      <c r="H2832" s="635"/>
      <c r="I2832" s="428"/>
      <c r="J2832" s="635"/>
      <c r="K2832" s="636"/>
      <c r="L2832" s="635"/>
      <c r="M2832" s="636"/>
      <c r="N2832" s="635"/>
      <c r="O2832" s="636"/>
      <c r="P2832" s="635"/>
      <c r="Q2832" s="636"/>
      <c r="R2832" s="637"/>
      <c r="S2832" s="698">
        <f>SUM(R2112:R2116)/1.18-(SUM(R2827:R2831)*'Mark Up Validation'!$M$175)</f>
        <v>0</v>
      </c>
      <c r="T2832" s="635"/>
      <c r="U2832" s="636"/>
      <c r="V2832" s="635"/>
      <c r="W2832" s="636"/>
      <c r="X2832" s="635"/>
      <c r="Y2832" s="636"/>
      <c r="Z2832" s="635"/>
      <c r="AA2832" s="636"/>
      <c r="AB2832" s="635"/>
      <c r="AC2832" s="636"/>
      <c r="AD2832" s="635"/>
      <c r="AE2832" s="636"/>
      <c r="AF2832" s="637"/>
      <c r="AG2832" s="698">
        <f>SUM(AF2112:AF2116)/1.18-SUM(AF2827:AF2831)*'Mark Up Validation'!$M$175</f>
        <v>0</v>
      </c>
      <c r="AH2832" s="638"/>
      <c r="AI2832" s="698">
        <f>SUM(AH2112:AH2116)/1.18-SUM(AH2827:AH2831)*'Mark Up Validation'!$M$175</f>
        <v>0</v>
      </c>
      <c r="AJ2832" s="65"/>
      <c r="AV2832" s="56"/>
    </row>
    <row r="2833" spans="2:48" ht="13.5" hidden="1" customHeight="1" outlineLevel="2" thickBot="1">
      <c r="B2833" s="82"/>
      <c r="C2833" s="1228" t="s">
        <v>538</v>
      </c>
      <c r="D2833" s="1229"/>
      <c r="E2833" s="699"/>
      <c r="F2833" s="700"/>
      <c r="G2833" s="701"/>
      <c r="H2833" s="700"/>
      <c r="I2833" s="701"/>
      <c r="J2833" s="700"/>
      <c r="K2833" s="702"/>
      <c r="L2833" s="700"/>
      <c r="M2833" s="702"/>
      <c r="N2833" s="700"/>
      <c r="O2833" s="702"/>
      <c r="P2833" s="700"/>
      <c r="Q2833" s="702"/>
      <c r="R2833" s="703"/>
      <c r="S2833" s="729">
        <f>IF(S2832&gt;0,S2832/(SUM(R2112:R2116)/1.18),0)</f>
        <v>0</v>
      </c>
      <c r="T2833" s="700"/>
      <c r="U2833" s="702"/>
      <c r="V2833" s="700"/>
      <c r="W2833" s="702"/>
      <c r="X2833" s="700"/>
      <c r="Y2833" s="702"/>
      <c r="Z2833" s="700"/>
      <c r="AA2833" s="702"/>
      <c r="AB2833" s="700"/>
      <c r="AC2833" s="702"/>
      <c r="AD2833" s="700"/>
      <c r="AE2833" s="702"/>
      <c r="AF2833" s="705"/>
      <c r="AG2833" s="729">
        <f>IF(AG2832&gt;0,AG2832/(SUM(AF2112:AF2116)/1.18),0)</f>
        <v>0</v>
      </c>
      <c r="AH2833" s="706"/>
      <c r="AI2833" s="729">
        <f>IF(AI2832&gt;0,AI2832/(SUM(AH2112:AH2116)/1.18),0)</f>
        <v>0</v>
      </c>
      <c r="AJ2833" s="65"/>
      <c r="AV2833" s="56"/>
    </row>
    <row r="2834" spans="2:48" ht="12.75" hidden="1" customHeight="1" outlineLevel="2">
      <c r="B2834" s="82">
        <f>B2827+1</f>
        <v>96</v>
      </c>
      <c r="C2834" s="1230">
        <f>C2119</f>
        <v>0</v>
      </c>
      <c r="D2834" s="1230">
        <f>D2119</f>
        <v>0</v>
      </c>
      <c r="E2834" s="83" t="str">
        <f>'Terms and Turnovers'!$J$12</f>
        <v>FLIP-FLOPS</v>
      </c>
      <c r="F2834" s="68">
        <f>F2119/'Terms and Turnovers'!$J227</f>
        <v>0</v>
      </c>
      <c r="G2834" s="106"/>
      <c r="H2834" s="68">
        <f>H2119/'Terms and Turnovers'!$J227</f>
        <v>0</v>
      </c>
      <c r="I2834" s="106"/>
      <c r="J2834" s="68">
        <f>J2119/'Terms and Turnovers'!$J227</f>
        <v>0</v>
      </c>
      <c r="K2834" s="106"/>
      <c r="L2834" s="68">
        <f>L2119/'Terms and Turnovers'!$J227</f>
        <v>0</v>
      </c>
      <c r="M2834" s="106"/>
      <c r="N2834" s="68">
        <f>N2119/'Terms and Turnovers'!$J227</f>
        <v>0</v>
      </c>
      <c r="O2834" s="106"/>
      <c r="P2834" s="68">
        <f>P2119/'Terms and Turnovers'!$J227</f>
        <v>0</v>
      </c>
      <c r="Q2834" s="106"/>
      <c r="R2834" s="129">
        <f>SUM(F2834,H2834,J2834,L2834,N2834,P2834)</f>
        <v>0</v>
      </c>
      <c r="S2834" s="106"/>
      <c r="T2834" s="68">
        <f>T2119/'Terms and Turnovers'!$J227</f>
        <v>0</v>
      </c>
      <c r="U2834" s="106"/>
      <c r="V2834" s="68">
        <f>V2119/'Terms and Turnovers'!$J227</f>
        <v>0</v>
      </c>
      <c r="W2834" s="106"/>
      <c r="X2834" s="68">
        <f>X2119/'Terms and Turnovers'!$J227</f>
        <v>0</v>
      </c>
      <c r="Y2834" s="106"/>
      <c r="Z2834" s="68">
        <f>Z2119/'Terms and Turnovers'!$J227</f>
        <v>0</v>
      </c>
      <c r="AA2834" s="106"/>
      <c r="AB2834" s="68">
        <f>AB2119/'Terms and Turnovers'!$J227</f>
        <v>0</v>
      </c>
      <c r="AC2834" s="106"/>
      <c r="AD2834" s="68">
        <f>AD2119/'Terms and Turnovers'!$J227</f>
        <v>0</v>
      </c>
      <c r="AE2834" s="106"/>
      <c r="AF2834" s="129">
        <f>SUM(T2834,V2834,X2834,Z2834,AB2834,AD2834)</f>
        <v>0</v>
      </c>
      <c r="AG2834" s="106"/>
      <c r="AH2834" s="130">
        <f>SUM(AF2834,R2834)</f>
        <v>0</v>
      </c>
      <c r="AI2834" s="106"/>
      <c r="AJ2834" s="65"/>
      <c r="AV2834" s="56"/>
    </row>
    <row r="2835" spans="2:48" ht="12.75" hidden="1" customHeight="1" outlineLevel="2" thickBot="1">
      <c r="B2835" s="82"/>
      <c r="C2835" s="1231"/>
      <c r="D2835" s="1231"/>
      <c r="E2835" s="84" t="str">
        <f>'Terms and Turnovers'!$T$12</f>
        <v>ORIGINALS</v>
      </c>
      <c r="F2835" s="70">
        <f>F2120/'Terms and Turnovers'!$T227</f>
        <v>0</v>
      </c>
      <c r="G2835" s="728"/>
      <c r="H2835" s="70">
        <f>H2120/'Terms and Turnovers'!$T227</f>
        <v>0</v>
      </c>
      <c r="I2835" s="728"/>
      <c r="J2835" s="70">
        <f>J2120/'Terms and Turnovers'!$T227</f>
        <v>0</v>
      </c>
      <c r="K2835" s="728"/>
      <c r="L2835" s="70">
        <f>L2120/'Terms and Turnovers'!$T227</f>
        <v>0</v>
      </c>
      <c r="M2835" s="728"/>
      <c r="N2835" s="70">
        <f>N2120/'Terms and Turnovers'!$T227</f>
        <v>0</v>
      </c>
      <c r="O2835" s="728"/>
      <c r="P2835" s="70">
        <f>P2120/'Terms and Turnovers'!$T227</f>
        <v>0</v>
      </c>
      <c r="Q2835" s="728"/>
      <c r="R2835" s="132">
        <f>SUM(F2835,H2835,J2835,L2835,N2835,P2835)</f>
        <v>0</v>
      </c>
      <c r="S2835" s="728"/>
      <c r="T2835" s="70">
        <f>T2120/'Terms and Turnovers'!$T227</f>
        <v>0</v>
      </c>
      <c r="U2835" s="728"/>
      <c r="V2835" s="70">
        <f>V2120/'Terms and Turnovers'!$T227</f>
        <v>0</v>
      </c>
      <c r="W2835" s="728"/>
      <c r="X2835" s="70">
        <f>X2120/'Terms and Turnovers'!$T227</f>
        <v>0</v>
      </c>
      <c r="Y2835" s="728"/>
      <c r="Z2835" s="70">
        <f>Z2120/'Terms and Turnovers'!$T227</f>
        <v>0</v>
      </c>
      <c r="AA2835" s="728"/>
      <c r="AB2835" s="70">
        <f>AB2120/'Terms and Turnovers'!$T227</f>
        <v>0</v>
      </c>
      <c r="AC2835" s="728"/>
      <c r="AD2835" s="70">
        <f>AD2120/'Terms and Turnovers'!$T227</f>
        <v>0</v>
      </c>
      <c r="AE2835" s="728"/>
      <c r="AF2835" s="132">
        <f>SUM(T2835,V2835,X2835,Z2835,AB2835,AD2835)</f>
        <v>0</v>
      </c>
      <c r="AG2835" s="728"/>
      <c r="AH2835" s="133">
        <f>SUM(AF2835,R2835)</f>
        <v>0</v>
      </c>
      <c r="AI2835" s="728"/>
      <c r="AJ2835" s="65"/>
      <c r="AV2835" s="56"/>
    </row>
    <row r="2836" spans="2:48" ht="12.75" hidden="1" customHeight="1" outlineLevel="2">
      <c r="B2836" s="82"/>
      <c r="C2836" s="1231"/>
      <c r="D2836" s="1231"/>
      <c r="E2836" s="84" t="str">
        <f>'Terms and Turnovers'!$AD$12</f>
        <v>ACCESSORIES</v>
      </c>
      <c r="F2836" s="68">
        <f>F2121/'Terms and Turnovers'!$AD227</f>
        <v>0</v>
      </c>
      <c r="G2836" s="728"/>
      <c r="H2836" s="68">
        <f>H2121/'Terms and Turnovers'!$AD227</f>
        <v>0</v>
      </c>
      <c r="I2836" s="728"/>
      <c r="J2836" s="68">
        <f>J2121/'Terms and Turnovers'!$AD227</f>
        <v>0</v>
      </c>
      <c r="K2836" s="728"/>
      <c r="L2836" s="68">
        <f>L2121/'Terms and Turnovers'!$AD227</f>
        <v>0</v>
      </c>
      <c r="M2836" s="728"/>
      <c r="N2836" s="68">
        <f>N2121/'Terms and Turnovers'!$AD227</f>
        <v>0</v>
      </c>
      <c r="O2836" s="728"/>
      <c r="P2836" s="68">
        <f>P2121/'Terms and Turnovers'!$AD227</f>
        <v>0</v>
      </c>
      <c r="Q2836" s="728"/>
      <c r="R2836" s="132">
        <f>SUM(F2836,H2836,J2836,L2836,N2836,P2836)</f>
        <v>0</v>
      </c>
      <c r="S2836" s="728"/>
      <c r="T2836" s="68">
        <f>T2121/'Terms and Turnovers'!$AD227</f>
        <v>0</v>
      </c>
      <c r="U2836" s="728"/>
      <c r="V2836" s="68">
        <f>V2121/'Terms and Turnovers'!$AD227</f>
        <v>0</v>
      </c>
      <c r="W2836" s="728"/>
      <c r="X2836" s="68">
        <f>X2121/'Terms and Turnovers'!$AD227</f>
        <v>0</v>
      </c>
      <c r="Y2836" s="728"/>
      <c r="Z2836" s="68">
        <f>Z2121/'Terms and Turnovers'!$AD227</f>
        <v>0</v>
      </c>
      <c r="AA2836" s="728"/>
      <c r="AB2836" s="68">
        <f>AB2121/'Terms and Turnovers'!$AD227</f>
        <v>0</v>
      </c>
      <c r="AC2836" s="728"/>
      <c r="AD2836" s="68">
        <f>AD2121/'Terms and Turnovers'!$AD227</f>
        <v>0</v>
      </c>
      <c r="AE2836" s="728"/>
      <c r="AF2836" s="132">
        <f>SUM(T2836,V2836,X2836,Z2836,AB2836,AD2836)</f>
        <v>0</v>
      </c>
      <c r="AG2836" s="728"/>
      <c r="AH2836" s="133">
        <f>SUM(AF2836,R2836)</f>
        <v>0</v>
      </c>
      <c r="AI2836" s="728"/>
      <c r="AJ2836" s="65"/>
      <c r="AV2836" s="56"/>
    </row>
    <row r="2837" spans="2:48" ht="12.75" hidden="1" customHeight="1" outlineLevel="2" thickBot="1">
      <c r="B2837" s="82"/>
      <c r="C2837" s="1231"/>
      <c r="D2837" s="1231"/>
      <c r="E2837" s="84">
        <f>'Terms and Turnovers'!$AN$12</f>
        <v>0</v>
      </c>
      <c r="F2837" s="70">
        <f>F2122/'Terms and Turnovers'!$AN227</f>
        <v>0</v>
      </c>
      <c r="G2837" s="728"/>
      <c r="H2837" s="70">
        <f>H2122/'Terms and Turnovers'!$AN227</f>
        <v>0</v>
      </c>
      <c r="I2837" s="728"/>
      <c r="J2837" s="70">
        <f>J2122/'Terms and Turnovers'!$AN227</f>
        <v>0</v>
      </c>
      <c r="K2837" s="728"/>
      <c r="L2837" s="70">
        <f>L2122/'Terms and Turnovers'!$AN227</f>
        <v>0</v>
      </c>
      <c r="M2837" s="728"/>
      <c r="N2837" s="70">
        <f>N2122/'Terms and Turnovers'!$AN227</f>
        <v>0</v>
      </c>
      <c r="O2837" s="728"/>
      <c r="P2837" s="70">
        <f>P2122/'Terms and Turnovers'!$AN227</f>
        <v>0</v>
      </c>
      <c r="Q2837" s="728"/>
      <c r="R2837" s="132">
        <f>SUM(F2837,H2837,J2837,L2837,N2837,P2837)</f>
        <v>0</v>
      </c>
      <c r="S2837" s="728"/>
      <c r="T2837" s="70">
        <f>T2122/'Terms and Turnovers'!$AN227</f>
        <v>0</v>
      </c>
      <c r="U2837" s="728"/>
      <c r="V2837" s="70">
        <f>V2122/'Terms and Turnovers'!$AN227</f>
        <v>0</v>
      </c>
      <c r="W2837" s="728"/>
      <c r="X2837" s="70">
        <f>X2122/'Terms and Turnovers'!$AN227</f>
        <v>0</v>
      </c>
      <c r="Y2837" s="728"/>
      <c r="Z2837" s="70">
        <f>Z2122/'Terms and Turnovers'!$AN227</f>
        <v>0</v>
      </c>
      <c r="AA2837" s="728"/>
      <c r="AB2837" s="70">
        <f>AB2122/'Terms and Turnovers'!$AN227</f>
        <v>0</v>
      </c>
      <c r="AC2837" s="728"/>
      <c r="AD2837" s="70">
        <f>AD2122/'Terms and Turnovers'!$AN227</f>
        <v>0</v>
      </c>
      <c r="AE2837" s="728"/>
      <c r="AF2837" s="132">
        <f>SUM(T2837,V2837,X2837,Z2837,AB2837,AD2837)</f>
        <v>0</v>
      </c>
      <c r="AG2837" s="728"/>
      <c r="AH2837" s="133">
        <f>SUM(AF2837,R2837)</f>
        <v>0</v>
      </c>
      <c r="AI2837" s="728"/>
      <c r="AJ2837" s="65"/>
      <c r="AV2837" s="56"/>
    </row>
    <row r="2838" spans="2:48" ht="13.5" hidden="1" customHeight="1" outlineLevel="2" thickBot="1">
      <c r="B2838" s="82"/>
      <c r="C2838" s="1232"/>
      <c r="D2838" s="1232"/>
      <c r="E2838" s="85">
        <f>'Terms and Turnovers'!$AX$12</f>
        <v>0</v>
      </c>
      <c r="F2838" s="68">
        <f>F2123/'Terms and Turnovers'!$AX227</f>
        <v>0</v>
      </c>
      <c r="G2838" s="111"/>
      <c r="H2838" s="68">
        <f>H2123/'Terms and Turnovers'!$AX227</f>
        <v>0</v>
      </c>
      <c r="I2838" s="107"/>
      <c r="J2838" s="68">
        <f>J2123/'Terms and Turnovers'!$AX227</f>
        <v>0</v>
      </c>
      <c r="K2838" s="107"/>
      <c r="L2838" s="68">
        <f>L2123/'Terms and Turnovers'!$AX227</f>
        <v>0</v>
      </c>
      <c r="M2838" s="107"/>
      <c r="N2838" s="68">
        <f>N2123/'Terms and Turnovers'!$AX227</f>
        <v>0</v>
      </c>
      <c r="O2838" s="107"/>
      <c r="P2838" s="68">
        <f>P2123/'Terms and Turnovers'!$AX227</f>
        <v>0</v>
      </c>
      <c r="Q2838" s="107"/>
      <c r="R2838" s="135">
        <f>SUM(F2838,H2838,J2838,L2838,N2838,P2838)</f>
        <v>0</v>
      </c>
      <c r="S2838" s="107"/>
      <c r="T2838" s="68">
        <f>T2123/'Terms and Turnovers'!$AX227</f>
        <v>0</v>
      </c>
      <c r="U2838" s="111"/>
      <c r="V2838" s="68">
        <f>V2123/'Terms and Turnovers'!$AX227</f>
        <v>0</v>
      </c>
      <c r="W2838" s="107"/>
      <c r="X2838" s="68">
        <f>X2123/'Terms and Turnovers'!$AX227</f>
        <v>0</v>
      </c>
      <c r="Y2838" s="107"/>
      <c r="Z2838" s="68">
        <f>Z2123/'Terms and Turnovers'!$AX227</f>
        <v>0</v>
      </c>
      <c r="AA2838" s="107"/>
      <c r="AB2838" s="68">
        <f>AB2123/'Terms and Turnovers'!$AX227</f>
        <v>0</v>
      </c>
      <c r="AC2838" s="107"/>
      <c r="AD2838" s="68">
        <f>AD2123/'Terms and Turnovers'!$AX227</f>
        <v>0</v>
      </c>
      <c r="AE2838" s="107"/>
      <c r="AF2838" s="135">
        <f>SUM(T2838,V2838,X2838,Z2838,AB2838,AD2838)</f>
        <v>0</v>
      </c>
      <c r="AG2838" s="107"/>
      <c r="AH2838" s="136">
        <f>SUM(AF2838,R2838)</f>
        <v>0</v>
      </c>
      <c r="AI2838" s="107"/>
      <c r="AJ2838" s="65"/>
      <c r="AV2838" s="56"/>
    </row>
    <row r="2839" spans="2:48" ht="13.5" hidden="1" customHeight="1" outlineLevel="2">
      <c r="B2839" s="82"/>
      <c r="C2839" s="425"/>
      <c r="D2839" s="425"/>
      <c r="E2839" s="634"/>
      <c r="F2839" s="635"/>
      <c r="G2839" s="428"/>
      <c r="H2839" s="635"/>
      <c r="I2839" s="428"/>
      <c r="J2839" s="635"/>
      <c r="K2839" s="636"/>
      <c r="L2839" s="635"/>
      <c r="M2839" s="636"/>
      <c r="N2839" s="635"/>
      <c r="O2839" s="636"/>
      <c r="P2839" s="635"/>
      <c r="Q2839" s="636"/>
      <c r="R2839" s="637"/>
      <c r="S2839" s="698">
        <f>SUM(R2119:R2123)/1.18-(SUM(R2834:R2838)*'Mark Up Validation'!$M$175)</f>
        <v>0</v>
      </c>
      <c r="T2839" s="635"/>
      <c r="U2839" s="636"/>
      <c r="V2839" s="635"/>
      <c r="W2839" s="636"/>
      <c r="X2839" s="635"/>
      <c r="Y2839" s="636"/>
      <c r="Z2839" s="635"/>
      <c r="AA2839" s="636"/>
      <c r="AB2839" s="635"/>
      <c r="AC2839" s="636"/>
      <c r="AD2839" s="635"/>
      <c r="AE2839" s="636"/>
      <c r="AF2839" s="637"/>
      <c r="AG2839" s="698">
        <f>SUM(AF2119:AF2123)/1.18-SUM(AF2834:AF2838)*'Mark Up Validation'!$M$175</f>
        <v>0</v>
      </c>
      <c r="AH2839" s="638"/>
      <c r="AI2839" s="698">
        <f>SUM(AH2119:AH2123)/1.18-SUM(AH2834:AH2838)*'Mark Up Validation'!$M$175</f>
        <v>0</v>
      </c>
      <c r="AJ2839" s="65"/>
      <c r="AV2839" s="56"/>
    </row>
    <row r="2840" spans="2:48" ht="13.5" hidden="1" customHeight="1" outlineLevel="2" thickBot="1">
      <c r="B2840" s="82"/>
      <c r="C2840" s="1228" t="s">
        <v>538</v>
      </c>
      <c r="D2840" s="1229"/>
      <c r="E2840" s="699"/>
      <c r="F2840" s="700"/>
      <c r="G2840" s="701"/>
      <c r="H2840" s="700"/>
      <c r="I2840" s="701"/>
      <c r="J2840" s="700"/>
      <c r="K2840" s="702"/>
      <c r="L2840" s="700"/>
      <c r="M2840" s="702"/>
      <c r="N2840" s="700"/>
      <c r="O2840" s="702"/>
      <c r="P2840" s="700"/>
      <c r="Q2840" s="702"/>
      <c r="R2840" s="703"/>
      <c r="S2840" s="729">
        <f>IF(S2839&gt;0,S2839/(SUM(R2119:R2123)/1.18),0)</f>
        <v>0</v>
      </c>
      <c r="T2840" s="700"/>
      <c r="U2840" s="702"/>
      <c r="V2840" s="700"/>
      <c r="W2840" s="702"/>
      <c r="X2840" s="700"/>
      <c r="Y2840" s="702"/>
      <c r="Z2840" s="700"/>
      <c r="AA2840" s="702"/>
      <c r="AB2840" s="700"/>
      <c r="AC2840" s="702"/>
      <c r="AD2840" s="700"/>
      <c r="AE2840" s="702"/>
      <c r="AF2840" s="705"/>
      <c r="AG2840" s="729">
        <f>IF(AG2839&gt;0,AG2839/(SUM(AF2119:AF2123)/1.18),0)</f>
        <v>0</v>
      </c>
      <c r="AH2840" s="706"/>
      <c r="AI2840" s="729">
        <f>IF(AI2839&gt;0,AI2839/(SUM(AH2119:AH2123)/1.18),0)</f>
        <v>0</v>
      </c>
      <c r="AJ2840" s="65"/>
      <c r="AV2840" s="56"/>
    </row>
    <row r="2841" spans="2:48" ht="12.75" hidden="1" customHeight="1" outlineLevel="2">
      <c r="B2841" s="82">
        <f>B2834+1</f>
        <v>97</v>
      </c>
      <c r="C2841" s="1233">
        <f>C2126</f>
        <v>0</v>
      </c>
      <c r="D2841" s="1233">
        <f>D2126</f>
        <v>0</v>
      </c>
      <c r="E2841" s="83" t="str">
        <f>'Terms and Turnovers'!$J$12</f>
        <v>FLIP-FLOPS</v>
      </c>
      <c r="F2841" s="68">
        <f>F2126/'Terms and Turnovers'!$J228</f>
        <v>0</v>
      </c>
      <c r="G2841" s="106"/>
      <c r="H2841" s="68">
        <f>H2126/'Terms and Turnovers'!$J228</f>
        <v>0</v>
      </c>
      <c r="I2841" s="106"/>
      <c r="J2841" s="68">
        <f>J2126/'Terms and Turnovers'!$J228</f>
        <v>0</v>
      </c>
      <c r="K2841" s="106"/>
      <c r="L2841" s="68">
        <f>L2126/'Terms and Turnovers'!$J228</f>
        <v>0</v>
      </c>
      <c r="M2841" s="106"/>
      <c r="N2841" s="68">
        <f>N2126/'Terms and Turnovers'!$J228</f>
        <v>0</v>
      </c>
      <c r="O2841" s="106"/>
      <c r="P2841" s="68">
        <f>P2126/'Terms and Turnovers'!$J228</f>
        <v>0</v>
      </c>
      <c r="Q2841" s="106"/>
      <c r="R2841" s="129">
        <f>SUM(F2841,H2841,J2841,L2841,N2841,P2841)</f>
        <v>0</v>
      </c>
      <c r="S2841" s="106"/>
      <c r="T2841" s="68">
        <f>T2126/'Terms and Turnovers'!$J228</f>
        <v>0</v>
      </c>
      <c r="U2841" s="106"/>
      <c r="V2841" s="68">
        <f>V2126/'Terms and Turnovers'!$J228</f>
        <v>0</v>
      </c>
      <c r="W2841" s="106"/>
      <c r="X2841" s="68">
        <f>X2126/'Terms and Turnovers'!$J228</f>
        <v>0</v>
      </c>
      <c r="Y2841" s="106"/>
      <c r="Z2841" s="68">
        <f>Z2126/'Terms and Turnovers'!$J228</f>
        <v>0</v>
      </c>
      <c r="AA2841" s="106"/>
      <c r="AB2841" s="68">
        <f>AB2126/'Terms and Turnovers'!$J228</f>
        <v>0</v>
      </c>
      <c r="AC2841" s="106"/>
      <c r="AD2841" s="68">
        <f>AD2126/'Terms and Turnovers'!$J228</f>
        <v>0</v>
      </c>
      <c r="AE2841" s="106"/>
      <c r="AF2841" s="129">
        <f>SUM(T2841,V2841,X2841,Z2841,AB2841,AD2841)</f>
        <v>0</v>
      </c>
      <c r="AG2841" s="106"/>
      <c r="AH2841" s="130">
        <f>SUM(AF2841,R2841)</f>
        <v>0</v>
      </c>
      <c r="AI2841" s="106"/>
      <c r="AJ2841" s="65"/>
      <c r="AV2841" s="56"/>
    </row>
    <row r="2842" spans="2:48" ht="12.75" hidden="1" customHeight="1" outlineLevel="2" thickBot="1">
      <c r="B2842" s="82"/>
      <c r="C2842" s="1234"/>
      <c r="D2842" s="1234"/>
      <c r="E2842" s="84" t="str">
        <f>'Terms and Turnovers'!$T$12</f>
        <v>ORIGINALS</v>
      </c>
      <c r="F2842" s="70">
        <f>F2127/'Terms and Turnovers'!$T228</f>
        <v>0</v>
      </c>
      <c r="G2842" s="728"/>
      <c r="H2842" s="70">
        <f>H2127/'Terms and Turnovers'!$T228</f>
        <v>0</v>
      </c>
      <c r="I2842" s="728"/>
      <c r="J2842" s="70">
        <f>J2127/'Terms and Turnovers'!$T228</f>
        <v>0</v>
      </c>
      <c r="K2842" s="728"/>
      <c r="L2842" s="70">
        <f>L2127/'Terms and Turnovers'!$T228</f>
        <v>0</v>
      </c>
      <c r="M2842" s="728"/>
      <c r="N2842" s="70">
        <f>N2127/'Terms and Turnovers'!$T228</f>
        <v>0</v>
      </c>
      <c r="O2842" s="728"/>
      <c r="P2842" s="70">
        <f>P2127/'Terms and Turnovers'!$T228</f>
        <v>0</v>
      </c>
      <c r="Q2842" s="728"/>
      <c r="R2842" s="132">
        <f>SUM(F2842,H2842,J2842,L2842,N2842,P2842)</f>
        <v>0</v>
      </c>
      <c r="S2842" s="728"/>
      <c r="T2842" s="70">
        <f>T2127/'Terms and Turnovers'!$T228</f>
        <v>0</v>
      </c>
      <c r="U2842" s="728"/>
      <c r="V2842" s="70">
        <f>V2127/'Terms and Turnovers'!$T228</f>
        <v>0</v>
      </c>
      <c r="W2842" s="728"/>
      <c r="X2842" s="70">
        <f>X2127/'Terms and Turnovers'!$T228</f>
        <v>0</v>
      </c>
      <c r="Y2842" s="728"/>
      <c r="Z2842" s="70">
        <f>Z2127/'Terms and Turnovers'!$T228</f>
        <v>0</v>
      </c>
      <c r="AA2842" s="728"/>
      <c r="AB2842" s="70">
        <f>AB2127/'Terms and Turnovers'!$T228</f>
        <v>0</v>
      </c>
      <c r="AC2842" s="728"/>
      <c r="AD2842" s="70">
        <f>AD2127/'Terms and Turnovers'!$T228</f>
        <v>0</v>
      </c>
      <c r="AE2842" s="728"/>
      <c r="AF2842" s="132">
        <f>SUM(T2842,V2842,X2842,Z2842,AB2842,AD2842)</f>
        <v>0</v>
      </c>
      <c r="AG2842" s="728"/>
      <c r="AH2842" s="133">
        <f>SUM(AF2842,R2842)</f>
        <v>0</v>
      </c>
      <c r="AI2842" s="728"/>
      <c r="AJ2842" s="65"/>
      <c r="AV2842" s="56"/>
    </row>
    <row r="2843" spans="2:48" ht="12.75" hidden="1" customHeight="1" outlineLevel="2">
      <c r="B2843" s="82"/>
      <c r="C2843" s="1234"/>
      <c r="D2843" s="1234"/>
      <c r="E2843" s="84" t="str">
        <f>'Terms and Turnovers'!$AD$12</f>
        <v>ACCESSORIES</v>
      </c>
      <c r="F2843" s="68">
        <f>F2128/'Terms and Turnovers'!$AD228</f>
        <v>0</v>
      </c>
      <c r="G2843" s="728"/>
      <c r="H2843" s="68">
        <f>H2128/'Terms and Turnovers'!$AD228</f>
        <v>0</v>
      </c>
      <c r="I2843" s="728"/>
      <c r="J2843" s="68">
        <f>J2128/'Terms and Turnovers'!$AD228</f>
        <v>0</v>
      </c>
      <c r="K2843" s="728"/>
      <c r="L2843" s="68">
        <f>L2128/'Terms and Turnovers'!$AD228</f>
        <v>0</v>
      </c>
      <c r="M2843" s="728"/>
      <c r="N2843" s="68">
        <f>N2128/'Terms and Turnovers'!$AD228</f>
        <v>0</v>
      </c>
      <c r="O2843" s="728"/>
      <c r="P2843" s="68">
        <f>P2128/'Terms and Turnovers'!$AD228</f>
        <v>0</v>
      </c>
      <c r="Q2843" s="728"/>
      <c r="R2843" s="132">
        <f>SUM(F2843,H2843,J2843,L2843,N2843,P2843)</f>
        <v>0</v>
      </c>
      <c r="S2843" s="728"/>
      <c r="T2843" s="68">
        <f>T2128/'Terms and Turnovers'!$AD228</f>
        <v>0</v>
      </c>
      <c r="U2843" s="728"/>
      <c r="V2843" s="68">
        <f>V2128/'Terms and Turnovers'!$AD228</f>
        <v>0</v>
      </c>
      <c r="W2843" s="728"/>
      <c r="X2843" s="68">
        <f>X2128/'Terms and Turnovers'!$AD228</f>
        <v>0</v>
      </c>
      <c r="Y2843" s="728"/>
      <c r="Z2843" s="68">
        <f>Z2128/'Terms and Turnovers'!$AD228</f>
        <v>0</v>
      </c>
      <c r="AA2843" s="728"/>
      <c r="AB2843" s="68">
        <f>AB2128/'Terms and Turnovers'!$AD228</f>
        <v>0</v>
      </c>
      <c r="AC2843" s="728"/>
      <c r="AD2843" s="68">
        <f>AD2128/'Terms and Turnovers'!$AD228</f>
        <v>0</v>
      </c>
      <c r="AE2843" s="728"/>
      <c r="AF2843" s="132">
        <f>SUM(T2843,V2843,X2843,Z2843,AB2843,AD2843)</f>
        <v>0</v>
      </c>
      <c r="AG2843" s="728"/>
      <c r="AH2843" s="133">
        <f>SUM(AF2843,R2843)</f>
        <v>0</v>
      </c>
      <c r="AI2843" s="728"/>
      <c r="AJ2843" s="65"/>
      <c r="AV2843" s="56"/>
    </row>
    <row r="2844" spans="2:48" ht="12.75" hidden="1" customHeight="1" outlineLevel="2" thickBot="1">
      <c r="B2844" s="82"/>
      <c r="C2844" s="1234"/>
      <c r="D2844" s="1234"/>
      <c r="E2844" s="84">
        <f>'Terms and Turnovers'!$AN$12</f>
        <v>0</v>
      </c>
      <c r="F2844" s="70">
        <f>F2129/'Terms and Turnovers'!$AN228</f>
        <v>0</v>
      </c>
      <c r="G2844" s="728"/>
      <c r="H2844" s="70">
        <f>H2129/'Terms and Turnovers'!$AN228</f>
        <v>0</v>
      </c>
      <c r="I2844" s="728"/>
      <c r="J2844" s="70">
        <f>J2129/'Terms and Turnovers'!$AN228</f>
        <v>0</v>
      </c>
      <c r="K2844" s="728"/>
      <c r="L2844" s="70">
        <f>L2129/'Terms and Turnovers'!$AN228</f>
        <v>0</v>
      </c>
      <c r="M2844" s="728"/>
      <c r="N2844" s="70">
        <f>N2129/'Terms and Turnovers'!$AN228</f>
        <v>0</v>
      </c>
      <c r="O2844" s="728"/>
      <c r="P2844" s="70">
        <f>P2129/'Terms and Turnovers'!$AN228</f>
        <v>0</v>
      </c>
      <c r="Q2844" s="728"/>
      <c r="R2844" s="132">
        <f>SUM(F2844,H2844,J2844,L2844,N2844,P2844)</f>
        <v>0</v>
      </c>
      <c r="S2844" s="728"/>
      <c r="T2844" s="70">
        <f>T2129/'Terms and Turnovers'!$AN228</f>
        <v>0</v>
      </c>
      <c r="U2844" s="728"/>
      <c r="V2844" s="70">
        <f>V2129/'Terms and Turnovers'!$AN228</f>
        <v>0</v>
      </c>
      <c r="W2844" s="728"/>
      <c r="X2844" s="70">
        <f>X2129/'Terms and Turnovers'!$AN228</f>
        <v>0</v>
      </c>
      <c r="Y2844" s="728"/>
      <c r="Z2844" s="70">
        <f>Z2129/'Terms and Turnovers'!$AN228</f>
        <v>0</v>
      </c>
      <c r="AA2844" s="728"/>
      <c r="AB2844" s="70">
        <f>AB2129/'Terms and Turnovers'!$AN228</f>
        <v>0</v>
      </c>
      <c r="AC2844" s="728"/>
      <c r="AD2844" s="70">
        <f>AD2129/'Terms and Turnovers'!$AN228</f>
        <v>0</v>
      </c>
      <c r="AE2844" s="728"/>
      <c r="AF2844" s="132">
        <f>SUM(T2844,V2844,X2844,Z2844,AB2844,AD2844)</f>
        <v>0</v>
      </c>
      <c r="AG2844" s="728"/>
      <c r="AH2844" s="133">
        <f>SUM(AF2844,R2844)</f>
        <v>0</v>
      </c>
      <c r="AI2844" s="728"/>
      <c r="AJ2844" s="65"/>
      <c r="AV2844" s="56"/>
    </row>
    <row r="2845" spans="2:48" ht="13.5" hidden="1" customHeight="1" outlineLevel="2" thickBot="1">
      <c r="B2845" s="82"/>
      <c r="C2845" s="1235"/>
      <c r="D2845" s="1235"/>
      <c r="E2845" s="85">
        <f>'Terms and Turnovers'!$AX$12</f>
        <v>0</v>
      </c>
      <c r="F2845" s="68">
        <f>F2130/'Terms and Turnovers'!$AX228</f>
        <v>0</v>
      </c>
      <c r="G2845" s="111"/>
      <c r="H2845" s="68">
        <f>H2130/'Terms and Turnovers'!$AX228</f>
        <v>0</v>
      </c>
      <c r="I2845" s="107"/>
      <c r="J2845" s="68">
        <f>J2130/'Terms and Turnovers'!$AX228</f>
        <v>0</v>
      </c>
      <c r="K2845" s="107"/>
      <c r="L2845" s="68">
        <f>L2130/'Terms and Turnovers'!$AX228</f>
        <v>0</v>
      </c>
      <c r="M2845" s="107"/>
      <c r="N2845" s="68">
        <f>N2130/'Terms and Turnovers'!$AX228</f>
        <v>0</v>
      </c>
      <c r="O2845" s="107"/>
      <c r="P2845" s="68">
        <f>P2130/'Terms and Turnovers'!$AX228</f>
        <v>0</v>
      </c>
      <c r="Q2845" s="107"/>
      <c r="R2845" s="135">
        <f>SUM(F2845,H2845,J2845,L2845,N2845,P2845)</f>
        <v>0</v>
      </c>
      <c r="S2845" s="107"/>
      <c r="T2845" s="68">
        <f>T2130/'Terms and Turnovers'!$AX228</f>
        <v>0</v>
      </c>
      <c r="U2845" s="111"/>
      <c r="V2845" s="68">
        <f>V2130/'Terms and Turnovers'!$AX228</f>
        <v>0</v>
      </c>
      <c r="W2845" s="107"/>
      <c r="X2845" s="68">
        <f>X2130/'Terms and Turnovers'!$AX228</f>
        <v>0</v>
      </c>
      <c r="Y2845" s="107"/>
      <c r="Z2845" s="68">
        <f>Z2130/'Terms and Turnovers'!$AX228</f>
        <v>0</v>
      </c>
      <c r="AA2845" s="107"/>
      <c r="AB2845" s="68">
        <f>AB2130/'Terms and Turnovers'!$AX228</f>
        <v>0</v>
      </c>
      <c r="AC2845" s="107"/>
      <c r="AD2845" s="68">
        <f>AD2130/'Terms and Turnovers'!$AX228</f>
        <v>0</v>
      </c>
      <c r="AE2845" s="107"/>
      <c r="AF2845" s="135">
        <f>SUM(T2845,V2845,X2845,Z2845,AB2845,AD2845)</f>
        <v>0</v>
      </c>
      <c r="AG2845" s="107"/>
      <c r="AH2845" s="136">
        <f>SUM(AF2845,R2845)</f>
        <v>0</v>
      </c>
      <c r="AI2845" s="107"/>
      <c r="AJ2845" s="65"/>
      <c r="AV2845" s="56"/>
    </row>
    <row r="2846" spans="2:48" ht="13.5" hidden="1" customHeight="1" outlineLevel="2">
      <c r="B2846" s="82"/>
      <c r="C2846" s="425"/>
      <c r="D2846" s="425"/>
      <c r="E2846" s="634"/>
      <c r="F2846" s="635"/>
      <c r="G2846" s="428"/>
      <c r="H2846" s="635"/>
      <c r="I2846" s="428"/>
      <c r="J2846" s="635"/>
      <c r="K2846" s="636"/>
      <c r="L2846" s="635"/>
      <c r="M2846" s="636"/>
      <c r="N2846" s="635"/>
      <c r="O2846" s="636"/>
      <c r="P2846" s="635"/>
      <c r="Q2846" s="636"/>
      <c r="R2846" s="637"/>
      <c r="S2846" s="698">
        <f>SUM(R2126:R2130)/1.18-(SUM(R2841:R2845)*'Mark Up Validation'!$M$175)</f>
        <v>0</v>
      </c>
      <c r="T2846" s="635"/>
      <c r="U2846" s="636"/>
      <c r="V2846" s="635"/>
      <c r="W2846" s="636"/>
      <c r="X2846" s="635"/>
      <c r="Y2846" s="636"/>
      <c r="Z2846" s="635"/>
      <c r="AA2846" s="636"/>
      <c r="AB2846" s="635"/>
      <c r="AC2846" s="636"/>
      <c r="AD2846" s="635"/>
      <c r="AE2846" s="636"/>
      <c r="AF2846" s="637"/>
      <c r="AG2846" s="698">
        <f>SUM(AF2126:AF2130)/1.18-SUM(AF2841:AF2845)*'Mark Up Validation'!$M$175</f>
        <v>0</v>
      </c>
      <c r="AH2846" s="638"/>
      <c r="AI2846" s="698">
        <f>SUM(AH2126:AH2130)/1.18-SUM(AH2841:AH2845)*'Mark Up Validation'!$M$175</f>
        <v>0</v>
      </c>
      <c r="AJ2846" s="65"/>
      <c r="AV2846" s="56"/>
    </row>
    <row r="2847" spans="2:48" ht="13.5" hidden="1" customHeight="1" outlineLevel="2" thickBot="1">
      <c r="B2847" s="82"/>
      <c r="C2847" s="1228" t="s">
        <v>538</v>
      </c>
      <c r="D2847" s="1229"/>
      <c r="E2847" s="699"/>
      <c r="F2847" s="700"/>
      <c r="G2847" s="701"/>
      <c r="H2847" s="700"/>
      <c r="I2847" s="701"/>
      <c r="J2847" s="700"/>
      <c r="K2847" s="702"/>
      <c r="L2847" s="700"/>
      <c r="M2847" s="702"/>
      <c r="N2847" s="700"/>
      <c r="O2847" s="702"/>
      <c r="P2847" s="700"/>
      <c r="Q2847" s="702"/>
      <c r="R2847" s="703"/>
      <c r="S2847" s="729">
        <f>IF(S2846&gt;0,S2846/(SUM(R2126:R2130)/1.18),0)</f>
        <v>0</v>
      </c>
      <c r="T2847" s="700"/>
      <c r="U2847" s="702"/>
      <c r="V2847" s="700"/>
      <c r="W2847" s="702"/>
      <c r="X2847" s="700"/>
      <c r="Y2847" s="702"/>
      <c r="Z2847" s="700"/>
      <c r="AA2847" s="702"/>
      <c r="AB2847" s="700"/>
      <c r="AC2847" s="702"/>
      <c r="AD2847" s="700"/>
      <c r="AE2847" s="702"/>
      <c r="AF2847" s="705"/>
      <c r="AG2847" s="729">
        <f>IF(AG2846&gt;0,AG2846/(SUM(AF2126:AF2130)/1.18),0)</f>
        <v>0</v>
      </c>
      <c r="AH2847" s="706"/>
      <c r="AI2847" s="729">
        <f>IF(AI2846&gt;0,AI2846/(SUM(AH2126:AH2130)/1.18),0)</f>
        <v>0</v>
      </c>
      <c r="AJ2847" s="65"/>
      <c r="AV2847" s="56"/>
    </row>
    <row r="2848" spans="2:48" ht="12.75" hidden="1" customHeight="1" outlineLevel="2">
      <c r="B2848" s="82">
        <f>B2841+1</f>
        <v>98</v>
      </c>
      <c r="C2848" s="1230">
        <f>C2133</f>
        <v>0</v>
      </c>
      <c r="D2848" s="1230">
        <f>D2133</f>
        <v>0</v>
      </c>
      <c r="E2848" s="83" t="str">
        <f>'Terms and Turnovers'!$J$12</f>
        <v>FLIP-FLOPS</v>
      </c>
      <c r="F2848" s="68">
        <f>F2133/'Terms and Turnovers'!$J229</f>
        <v>0</v>
      </c>
      <c r="G2848" s="106"/>
      <c r="H2848" s="68">
        <f>H2133/'Terms and Turnovers'!$J229</f>
        <v>0</v>
      </c>
      <c r="I2848" s="106"/>
      <c r="J2848" s="68">
        <f>J2133/'Terms and Turnovers'!$J229</f>
        <v>0</v>
      </c>
      <c r="K2848" s="106"/>
      <c r="L2848" s="68">
        <f>L2133/'Terms and Turnovers'!$J229</f>
        <v>0</v>
      </c>
      <c r="M2848" s="106"/>
      <c r="N2848" s="68">
        <f>N2133/'Terms and Turnovers'!$J229</f>
        <v>0</v>
      </c>
      <c r="O2848" s="106"/>
      <c r="P2848" s="68">
        <f>P2133/'Terms and Turnovers'!$J229</f>
        <v>0</v>
      </c>
      <c r="Q2848" s="106"/>
      <c r="R2848" s="129">
        <f>SUM(F2848,H2848,J2848,L2848,N2848,P2848)</f>
        <v>0</v>
      </c>
      <c r="S2848" s="106"/>
      <c r="T2848" s="68">
        <f>T2133/'Terms and Turnovers'!$J229</f>
        <v>0</v>
      </c>
      <c r="U2848" s="106"/>
      <c r="V2848" s="68">
        <f>V2133/'Terms and Turnovers'!$J229</f>
        <v>0</v>
      </c>
      <c r="W2848" s="106"/>
      <c r="X2848" s="68">
        <f>X2133/'Terms and Turnovers'!$J229</f>
        <v>0</v>
      </c>
      <c r="Y2848" s="106"/>
      <c r="Z2848" s="68">
        <f>Z2133/'Terms and Turnovers'!$J229</f>
        <v>0</v>
      </c>
      <c r="AA2848" s="106"/>
      <c r="AB2848" s="68">
        <f>AB2133/'Terms and Turnovers'!$J229</f>
        <v>0</v>
      </c>
      <c r="AC2848" s="106"/>
      <c r="AD2848" s="68">
        <f>AD2133/'Terms and Turnovers'!$J229</f>
        <v>0</v>
      </c>
      <c r="AE2848" s="106"/>
      <c r="AF2848" s="129">
        <f>SUM(T2848,V2848,X2848,Z2848,AB2848,AD2848)</f>
        <v>0</v>
      </c>
      <c r="AG2848" s="106"/>
      <c r="AH2848" s="130">
        <f>SUM(AF2848,R2848)</f>
        <v>0</v>
      </c>
      <c r="AI2848" s="106"/>
      <c r="AJ2848" s="65"/>
      <c r="AV2848" s="56"/>
    </row>
    <row r="2849" spans="2:48" ht="12.75" hidden="1" customHeight="1" outlineLevel="2" thickBot="1">
      <c r="B2849" s="82"/>
      <c r="C2849" s="1231"/>
      <c r="D2849" s="1231"/>
      <c r="E2849" s="84" t="str">
        <f>'Terms and Turnovers'!$T$12</f>
        <v>ORIGINALS</v>
      </c>
      <c r="F2849" s="70">
        <f>F2134/'Terms and Turnovers'!$T229</f>
        <v>0</v>
      </c>
      <c r="G2849" s="728"/>
      <c r="H2849" s="70">
        <f>H2134/'Terms and Turnovers'!$T229</f>
        <v>0</v>
      </c>
      <c r="I2849" s="728"/>
      <c r="J2849" s="70">
        <f>J2134/'Terms and Turnovers'!$T229</f>
        <v>0</v>
      </c>
      <c r="K2849" s="728"/>
      <c r="L2849" s="70">
        <f>L2134/'Terms and Turnovers'!$T229</f>
        <v>0</v>
      </c>
      <c r="M2849" s="728"/>
      <c r="N2849" s="70">
        <f>N2134/'Terms and Turnovers'!$T229</f>
        <v>0</v>
      </c>
      <c r="O2849" s="728"/>
      <c r="P2849" s="70">
        <f>P2134/'Terms and Turnovers'!$T229</f>
        <v>0</v>
      </c>
      <c r="Q2849" s="728"/>
      <c r="R2849" s="132">
        <f>SUM(F2849,H2849,J2849,L2849,N2849,P2849)</f>
        <v>0</v>
      </c>
      <c r="S2849" s="728"/>
      <c r="T2849" s="70">
        <f>T2134/'Terms and Turnovers'!$T229</f>
        <v>0</v>
      </c>
      <c r="U2849" s="728"/>
      <c r="V2849" s="70">
        <f>V2134/'Terms and Turnovers'!$T229</f>
        <v>0</v>
      </c>
      <c r="W2849" s="728"/>
      <c r="X2849" s="70">
        <f>X2134/'Terms and Turnovers'!$T229</f>
        <v>0</v>
      </c>
      <c r="Y2849" s="728"/>
      <c r="Z2849" s="70">
        <f>Z2134/'Terms and Turnovers'!$T229</f>
        <v>0</v>
      </c>
      <c r="AA2849" s="728"/>
      <c r="AB2849" s="70">
        <f>AB2134/'Terms and Turnovers'!$T229</f>
        <v>0</v>
      </c>
      <c r="AC2849" s="728"/>
      <c r="AD2849" s="70">
        <f>AD2134/'Terms and Turnovers'!$T229</f>
        <v>0</v>
      </c>
      <c r="AE2849" s="728"/>
      <c r="AF2849" s="132">
        <f>SUM(T2849,V2849,X2849,Z2849,AB2849,AD2849)</f>
        <v>0</v>
      </c>
      <c r="AG2849" s="728"/>
      <c r="AH2849" s="133">
        <f>SUM(AF2849,R2849)</f>
        <v>0</v>
      </c>
      <c r="AI2849" s="728"/>
      <c r="AJ2849" s="65"/>
      <c r="AV2849" s="56"/>
    </row>
    <row r="2850" spans="2:48" ht="12.75" hidden="1" customHeight="1" outlineLevel="2">
      <c r="B2850" s="82"/>
      <c r="C2850" s="1231"/>
      <c r="D2850" s="1231"/>
      <c r="E2850" s="84" t="str">
        <f>'Terms and Turnovers'!$AD$12</f>
        <v>ACCESSORIES</v>
      </c>
      <c r="F2850" s="68">
        <f>F2135/'Terms and Turnovers'!$AD229</f>
        <v>0</v>
      </c>
      <c r="G2850" s="728"/>
      <c r="H2850" s="68">
        <f>H2135/'Terms and Turnovers'!$AD229</f>
        <v>0</v>
      </c>
      <c r="I2850" s="728"/>
      <c r="J2850" s="68">
        <f>J2135/'Terms and Turnovers'!$AD229</f>
        <v>0</v>
      </c>
      <c r="K2850" s="728"/>
      <c r="L2850" s="68">
        <f>L2135/'Terms and Turnovers'!$AD229</f>
        <v>0</v>
      </c>
      <c r="M2850" s="728"/>
      <c r="N2850" s="68">
        <f>N2135/'Terms and Turnovers'!$AD229</f>
        <v>0</v>
      </c>
      <c r="O2850" s="728"/>
      <c r="P2850" s="68">
        <f>P2135/'Terms and Turnovers'!$AD229</f>
        <v>0</v>
      </c>
      <c r="Q2850" s="728"/>
      <c r="R2850" s="132">
        <f>SUM(F2850,H2850,J2850,L2850,N2850,P2850)</f>
        <v>0</v>
      </c>
      <c r="S2850" s="728"/>
      <c r="T2850" s="68">
        <f>T2135/'Terms and Turnovers'!$AD229</f>
        <v>0</v>
      </c>
      <c r="U2850" s="728"/>
      <c r="V2850" s="68">
        <f>V2135/'Terms and Turnovers'!$AD229</f>
        <v>0</v>
      </c>
      <c r="W2850" s="728"/>
      <c r="X2850" s="68">
        <f>X2135/'Terms and Turnovers'!$AD229</f>
        <v>0</v>
      </c>
      <c r="Y2850" s="728"/>
      <c r="Z2850" s="68">
        <f>Z2135/'Terms and Turnovers'!$AD229</f>
        <v>0</v>
      </c>
      <c r="AA2850" s="728"/>
      <c r="AB2850" s="68">
        <f>AB2135/'Terms and Turnovers'!$AD229</f>
        <v>0</v>
      </c>
      <c r="AC2850" s="728"/>
      <c r="AD2850" s="68">
        <f>AD2135/'Terms and Turnovers'!$AD229</f>
        <v>0</v>
      </c>
      <c r="AE2850" s="728"/>
      <c r="AF2850" s="132">
        <f>SUM(T2850,V2850,X2850,Z2850,AB2850,AD2850)</f>
        <v>0</v>
      </c>
      <c r="AG2850" s="728"/>
      <c r="AH2850" s="133">
        <f>SUM(AF2850,R2850)</f>
        <v>0</v>
      </c>
      <c r="AI2850" s="728"/>
      <c r="AJ2850" s="65"/>
      <c r="AV2850" s="56"/>
    </row>
    <row r="2851" spans="2:48" ht="12.75" hidden="1" customHeight="1" outlineLevel="2" thickBot="1">
      <c r="B2851" s="82"/>
      <c r="C2851" s="1231"/>
      <c r="D2851" s="1231"/>
      <c r="E2851" s="84">
        <f>'Terms and Turnovers'!$AN$12</f>
        <v>0</v>
      </c>
      <c r="F2851" s="70">
        <f>F2136/'Terms and Turnovers'!$AN229</f>
        <v>0</v>
      </c>
      <c r="G2851" s="728"/>
      <c r="H2851" s="70">
        <f>H2136/'Terms and Turnovers'!$AN229</f>
        <v>0</v>
      </c>
      <c r="I2851" s="728"/>
      <c r="J2851" s="70">
        <f>J2136/'Terms and Turnovers'!$AN229</f>
        <v>0</v>
      </c>
      <c r="K2851" s="728"/>
      <c r="L2851" s="70">
        <f>L2136/'Terms and Turnovers'!$AN229</f>
        <v>0</v>
      </c>
      <c r="M2851" s="728"/>
      <c r="N2851" s="70">
        <f>N2136/'Terms and Turnovers'!$AN229</f>
        <v>0</v>
      </c>
      <c r="O2851" s="728"/>
      <c r="P2851" s="70">
        <f>P2136/'Terms and Turnovers'!$AN229</f>
        <v>0</v>
      </c>
      <c r="Q2851" s="728"/>
      <c r="R2851" s="132">
        <f>SUM(F2851,H2851,J2851,L2851,N2851,P2851)</f>
        <v>0</v>
      </c>
      <c r="S2851" s="728"/>
      <c r="T2851" s="70">
        <f>T2136/'Terms and Turnovers'!$AN229</f>
        <v>0</v>
      </c>
      <c r="U2851" s="728"/>
      <c r="V2851" s="70">
        <f>V2136/'Terms and Turnovers'!$AN229</f>
        <v>0</v>
      </c>
      <c r="W2851" s="728"/>
      <c r="X2851" s="70">
        <f>X2136/'Terms and Turnovers'!$AN229</f>
        <v>0</v>
      </c>
      <c r="Y2851" s="728"/>
      <c r="Z2851" s="70">
        <f>Z2136/'Terms and Turnovers'!$AN229</f>
        <v>0</v>
      </c>
      <c r="AA2851" s="728"/>
      <c r="AB2851" s="70">
        <f>AB2136/'Terms and Turnovers'!$AN229</f>
        <v>0</v>
      </c>
      <c r="AC2851" s="728"/>
      <c r="AD2851" s="70">
        <f>AD2136/'Terms and Turnovers'!$AN229</f>
        <v>0</v>
      </c>
      <c r="AE2851" s="728"/>
      <c r="AF2851" s="132">
        <f>SUM(T2851,V2851,X2851,Z2851,AB2851,AD2851)</f>
        <v>0</v>
      </c>
      <c r="AG2851" s="728"/>
      <c r="AH2851" s="133">
        <f>SUM(AF2851,R2851)</f>
        <v>0</v>
      </c>
      <c r="AI2851" s="728"/>
      <c r="AJ2851" s="65"/>
      <c r="AV2851" s="56"/>
    </row>
    <row r="2852" spans="2:48" ht="13.5" hidden="1" customHeight="1" outlineLevel="2" thickBot="1">
      <c r="B2852" s="82"/>
      <c r="C2852" s="1232"/>
      <c r="D2852" s="1232"/>
      <c r="E2852" s="85">
        <f>'Terms and Turnovers'!$AX$12</f>
        <v>0</v>
      </c>
      <c r="F2852" s="68">
        <f>F2137/'Terms and Turnovers'!$AX229</f>
        <v>0</v>
      </c>
      <c r="G2852" s="111"/>
      <c r="H2852" s="68">
        <f>H2137/'Terms and Turnovers'!$AX229</f>
        <v>0</v>
      </c>
      <c r="I2852" s="107"/>
      <c r="J2852" s="68">
        <f>J2137/'Terms and Turnovers'!$AX229</f>
        <v>0</v>
      </c>
      <c r="K2852" s="107"/>
      <c r="L2852" s="68">
        <f>L2137/'Terms and Turnovers'!$AX229</f>
        <v>0</v>
      </c>
      <c r="M2852" s="107"/>
      <c r="N2852" s="68">
        <f>N2137/'Terms and Turnovers'!$AX229</f>
        <v>0</v>
      </c>
      <c r="O2852" s="107"/>
      <c r="P2852" s="68">
        <f>P2137/'Terms and Turnovers'!$AX229</f>
        <v>0</v>
      </c>
      <c r="Q2852" s="107"/>
      <c r="R2852" s="135">
        <f>SUM(F2852,H2852,J2852,L2852,N2852,P2852)</f>
        <v>0</v>
      </c>
      <c r="S2852" s="107"/>
      <c r="T2852" s="68">
        <f>T2137/'Terms and Turnovers'!$AX229</f>
        <v>0</v>
      </c>
      <c r="U2852" s="111"/>
      <c r="V2852" s="68">
        <f>V2137/'Terms and Turnovers'!$AX229</f>
        <v>0</v>
      </c>
      <c r="W2852" s="107"/>
      <c r="X2852" s="68">
        <f>X2137/'Terms and Turnovers'!$AX229</f>
        <v>0</v>
      </c>
      <c r="Y2852" s="107"/>
      <c r="Z2852" s="68">
        <f>Z2137/'Terms and Turnovers'!$AX229</f>
        <v>0</v>
      </c>
      <c r="AA2852" s="107"/>
      <c r="AB2852" s="68">
        <f>AB2137/'Terms and Turnovers'!$AX229</f>
        <v>0</v>
      </c>
      <c r="AC2852" s="107"/>
      <c r="AD2852" s="68">
        <f>AD2137/'Terms and Turnovers'!$AX229</f>
        <v>0</v>
      </c>
      <c r="AE2852" s="107"/>
      <c r="AF2852" s="135">
        <f>SUM(T2852,V2852,X2852,Z2852,AB2852,AD2852)</f>
        <v>0</v>
      </c>
      <c r="AG2852" s="107"/>
      <c r="AH2852" s="136">
        <f>SUM(AF2852,R2852)</f>
        <v>0</v>
      </c>
      <c r="AI2852" s="107"/>
      <c r="AJ2852" s="65"/>
      <c r="AV2852" s="56"/>
    </row>
    <row r="2853" spans="2:48" ht="13.5" hidden="1" customHeight="1" outlineLevel="2">
      <c r="B2853" s="82"/>
      <c r="C2853" s="425"/>
      <c r="D2853" s="425"/>
      <c r="E2853" s="634"/>
      <c r="F2853" s="635"/>
      <c r="G2853" s="428"/>
      <c r="H2853" s="635"/>
      <c r="I2853" s="428"/>
      <c r="J2853" s="635"/>
      <c r="K2853" s="636"/>
      <c r="L2853" s="635"/>
      <c r="M2853" s="636"/>
      <c r="N2853" s="635"/>
      <c r="O2853" s="636"/>
      <c r="P2853" s="635"/>
      <c r="Q2853" s="636"/>
      <c r="R2853" s="637"/>
      <c r="S2853" s="698">
        <f>SUM(R2133:R2137)/1.18-(SUM(R2848:R2852)*'Mark Up Validation'!$M$175)</f>
        <v>0</v>
      </c>
      <c r="T2853" s="635"/>
      <c r="U2853" s="636"/>
      <c r="V2853" s="635"/>
      <c r="W2853" s="636"/>
      <c r="X2853" s="635"/>
      <c r="Y2853" s="636"/>
      <c r="Z2853" s="635"/>
      <c r="AA2853" s="636"/>
      <c r="AB2853" s="635"/>
      <c r="AC2853" s="636"/>
      <c r="AD2853" s="635"/>
      <c r="AE2853" s="636"/>
      <c r="AF2853" s="637"/>
      <c r="AG2853" s="698">
        <f>SUM(AF2133:AF2137)/1.18-SUM(AF2848:AF2852)*'Mark Up Validation'!$M$175</f>
        <v>0</v>
      </c>
      <c r="AH2853" s="638"/>
      <c r="AI2853" s="698">
        <f>SUM(AH2133:AH2137)/1.18-SUM(AH2848:AH2852)*'Mark Up Validation'!$M$175</f>
        <v>0</v>
      </c>
      <c r="AJ2853" s="65"/>
      <c r="AV2853" s="56"/>
    </row>
    <row r="2854" spans="2:48" ht="13.5" hidden="1" customHeight="1" outlineLevel="2" thickBot="1">
      <c r="B2854" s="82"/>
      <c r="C2854" s="1228" t="s">
        <v>538</v>
      </c>
      <c r="D2854" s="1229"/>
      <c r="E2854" s="699"/>
      <c r="F2854" s="700"/>
      <c r="G2854" s="701"/>
      <c r="H2854" s="700"/>
      <c r="I2854" s="701"/>
      <c r="J2854" s="700"/>
      <c r="K2854" s="702"/>
      <c r="L2854" s="700"/>
      <c r="M2854" s="702"/>
      <c r="N2854" s="700"/>
      <c r="O2854" s="702"/>
      <c r="P2854" s="700"/>
      <c r="Q2854" s="702"/>
      <c r="R2854" s="703"/>
      <c r="S2854" s="729">
        <f>IF(S2853&gt;0,S2853/(SUM(R2133:R2137)/1.18),0)</f>
        <v>0</v>
      </c>
      <c r="T2854" s="700"/>
      <c r="U2854" s="702"/>
      <c r="V2854" s="700"/>
      <c r="W2854" s="702"/>
      <c r="X2854" s="700"/>
      <c r="Y2854" s="702"/>
      <c r="Z2854" s="700"/>
      <c r="AA2854" s="702"/>
      <c r="AB2854" s="700"/>
      <c r="AC2854" s="702"/>
      <c r="AD2854" s="700"/>
      <c r="AE2854" s="702"/>
      <c r="AF2854" s="705"/>
      <c r="AG2854" s="729">
        <f>IF(AG2853&gt;0,AG2853/(SUM(AF2133:AF2137)/1.18),0)</f>
        <v>0</v>
      </c>
      <c r="AH2854" s="706"/>
      <c r="AI2854" s="729">
        <f>IF(AI2853&gt;0,AI2853/(SUM(AH2133:AH2137)/1.18),0)</f>
        <v>0</v>
      </c>
      <c r="AJ2854" s="65"/>
      <c r="AV2854" s="56"/>
    </row>
    <row r="2855" spans="2:48" ht="12.75" hidden="1" customHeight="1" outlineLevel="2">
      <c r="B2855" s="82">
        <f>B2848+1</f>
        <v>99</v>
      </c>
      <c r="C2855" s="1233">
        <f>C2140</f>
        <v>0</v>
      </c>
      <c r="D2855" s="1233">
        <f>D2140</f>
        <v>0</v>
      </c>
      <c r="E2855" s="83" t="str">
        <f>'Terms and Turnovers'!$J$12</f>
        <v>FLIP-FLOPS</v>
      </c>
      <c r="F2855" s="68">
        <f>F2140/'Terms and Turnovers'!$J230</f>
        <v>0</v>
      </c>
      <c r="G2855" s="106"/>
      <c r="H2855" s="68">
        <f>H2140/'Terms and Turnovers'!$J230</f>
        <v>0</v>
      </c>
      <c r="I2855" s="106"/>
      <c r="J2855" s="68">
        <f>J2140/'Terms and Turnovers'!$J230</f>
        <v>0</v>
      </c>
      <c r="K2855" s="106"/>
      <c r="L2855" s="68">
        <f>L2140/'Terms and Turnovers'!$J230</f>
        <v>0</v>
      </c>
      <c r="M2855" s="106"/>
      <c r="N2855" s="68">
        <f>N2140/'Terms and Turnovers'!$J230</f>
        <v>0</v>
      </c>
      <c r="O2855" s="106"/>
      <c r="P2855" s="68">
        <f>P2140/'Terms and Turnovers'!$J230</f>
        <v>0</v>
      </c>
      <c r="Q2855" s="106"/>
      <c r="R2855" s="129">
        <f>SUM(F2855,H2855,J2855,L2855,N2855,P2855)</f>
        <v>0</v>
      </c>
      <c r="S2855" s="106"/>
      <c r="T2855" s="68">
        <f>T2140/'Terms and Turnovers'!$J230</f>
        <v>0</v>
      </c>
      <c r="U2855" s="106"/>
      <c r="V2855" s="68">
        <f>V2140/'Terms and Turnovers'!$J230</f>
        <v>0</v>
      </c>
      <c r="W2855" s="106"/>
      <c r="X2855" s="68">
        <f>X2140/'Terms and Turnovers'!$J230</f>
        <v>0</v>
      </c>
      <c r="Y2855" s="106"/>
      <c r="Z2855" s="68">
        <f>Z2140/'Terms and Turnovers'!$J230</f>
        <v>0</v>
      </c>
      <c r="AA2855" s="106"/>
      <c r="AB2855" s="68">
        <f>AB2140/'Terms and Turnovers'!$J230</f>
        <v>0</v>
      </c>
      <c r="AC2855" s="106"/>
      <c r="AD2855" s="68">
        <f>AD2140/'Terms and Turnovers'!$J230</f>
        <v>0</v>
      </c>
      <c r="AE2855" s="106"/>
      <c r="AF2855" s="129">
        <f>SUM(T2855,V2855,X2855,Z2855,AB2855,AD2855)</f>
        <v>0</v>
      </c>
      <c r="AG2855" s="106"/>
      <c r="AH2855" s="130">
        <f>SUM(AF2855,R2855)</f>
        <v>0</v>
      </c>
      <c r="AI2855" s="106"/>
      <c r="AJ2855" s="65"/>
      <c r="AV2855" s="56"/>
    </row>
    <row r="2856" spans="2:48" ht="12.75" hidden="1" customHeight="1" outlineLevel="2" thickBot="1">
      <c r="B2856" s="82"/>
      <c r="C2856" s="1234"/>
      <c r="D2856" s="1234"/>
      <c r="E2856" s="84" t="str">
        <f>'Terms and Turnovers'!$T$12</f>
        <v>ORIGINALS</v>
      </c>
      <c r="F2856" s="70">
        <f>F2141/'Terms and Turnovers'!$T230</f>
        <v>0</v>
      </c>
      <c r="G2856" s="728"/>
      <c r="H2856" s="70">
        <f>H2141/'Terms and Turnovers'!$T230</f>
        <v>0</v>
      </c>
      <c r="I2856" s="728"/>
      <c r="J2856" s="70">
        <f>J2141/'Terms and Turnovers'!$T230</f>
        <v>0</v>
      </c>
      <c r="K2856" s="728"/>
      <c r="L2856" s="70">
        <f>L2141/'Terms and Turnovers'!$T230</f>
        <v>0</v>
      </c>
      <c r="M2856" s="728"/>
      <c r="N2856" s="70">
        <f>N2141/'Terms and Turnovers'!$T230</f>
        <v>0</v>
      </c>
      <c r="O2856" s="728"/>
      <c r="P2856" s="70">
        <f>P2141/'Terms and Turnovers'!$T230</f>
        <v>0</v>
      </c>
      <c r="Q2856" s="728"/>
      <c r="R2856" s="132">
        <f>SUM(F2856,H2856,J2856,L2856,N2856,P2856)</f>
        <v>0</v>
      </c>
      <c r="S2856" s="728"/>
      <c r="T2856" s="70">
        <f>T2141/'Terms and Turnovers'!$T230</f>
        <v>0</v>
      </c>
      <c r="U2856" s="728"/>
      <c r="V2856" s="70">
        <f>V2141/'Terms and Turnovers'!$T230</f>
        <v>0</v>
      </c>
      <c r="W2856" s="728"/>
      <c r="X2856" s="70">
        <f>X2141/'Terms and Turnovers'!$T230</f>
        <v>0</v>
      </c>
      <c r="Y2856" s="728"/>
      <c r="Z2856" s="70">
        <f>Z2141/'Terms and Turnovers'!$T230</f>
        <v>0</v>
      </c>
      <c r="AA2856" s="728"/>
      <c r="AB2856" s="70">
        <f>AB2141/'Terms and Turnovers'!$T230</f>
        <v>0</v>
      </c>
      <c r="AC2856" s="728"/>
      <c r="AD2856" s="70">
        <f>AD2141/'Terms and Turnovers'!$T230</f>
        <v>0</v>
      </c>
      <c r="AE2856" s="728"/>
      <c r="AF2856" s="132">
        <f>SUM(T2856,V2856,X2856,Z2856,AB2856,AD2856)</f>
        <v>0</v>
      </c>
      <c r="AG2856" s="728"/>
      <c r="AH2856" s="133">
        <f>SUM(AF2856,R2856)</f>
        <v>0</v>
      </c>
      <c r="AI2856" s="728"/>
      <c r="AJ2856" s="65"/>
      <c r="AV2856" s="56"/>
    </row>
    <row r="2857" spans="2:48" ht="12.75" hidden="1" customHeight="1" outlineLevel="2">
      <c r="B2857" s="82"/>
      <c r="C2857" s="1234"/>
      <c r="D2857" s="1234"/>
      <c r="E2857" s="84" t="str">
        <f>'Terms and Turnovers'!$AD$12</f>
        <v>ACCESSORIES</v>
      </c>
      <c r="F2857" s="68">
        <f>F2142/'Terms and Turnovers'!$AD230</f>
        <v>0</v>
      </c>
      <c r="G2857" s="728"/>
      <c r="H2857" s="68">
        <f>H2142/'Terms and Turnovers'!$AD230</f>
        <v>0</v>
      </c>
      <c r="I2857" s="728"/>
      <c r="J2857" s="68">
        <f>J2142/'Terms and Turnovers'!$AD230</f>
        <v>0</v>
      </c>
      <c r="K2857" s="728"/>
      <c r="L2857" s="68">
        <f>L2142/'Terms and Turnovers'!$AD230</f>
        <v>0</v>
      </c>
      <c r="M2857" s="728"/>
      <c r="N2857" s="68">
        <f>N2142/'Terms and Turnovers'!$AD230</f>
        <v>0</v>
      </c>
      <c r="O2857" s="728"/>
      <c r="P2857" s="68">
        <f>P2142/'Terms and Turnovers'!$AD230</f>
        <v>0</v>
      </c>
      <c r="Q2857" s="728"/>
      <c r="R2857" s="132">
        <f>SUM(F2857,H2857,J2857,L2857,N2857,P2857)</f>
        <v>0</v>
      </c>
      <c r="S2857" s="728"/>
      <c r="T2857" s="68">
        <f>T2142/'Terms and Turnovers'!$AD230</f>
        <v>0</v>
      </c>
      <c r="U2857" s="728"/>
      <c r="V2857" s="68">
        <f>V2142/'Terms and Turnovers'!$AD230</f>
        <v>0</v>
      </c>
      <c r="W2857" s="728"/>
      <c r="X2857" s="68">
        <f>X2142/'Terms and Turnovers'!$AD230</f>
        <v>0</v>
      </c>
      <c r="Y2857" s="728"/>
      <c r="Z2857" s="68">
        <f>Z2142/'Terms and Turnovers'!$AD230</f>
        <v>0</v>
      </c>
      <c r="AA2857" s="728"/>
      <c r="AB2857" s="68">
        <f>AB2142/'Terms and Turnovers'!$AD230</f>
        <v>0</v>
      </c>
      <c r="AC2857" s="728"/>
      <c r="AD2857" s="68">
        <f>AD2142/'Terms and Turnovers'!$AD230</f>
        <v>0</v>
      </c>
      <c r="AE2857" s="728"/>
      <c r="AF2857" s="132">
        <f>SUM(T2857,V2857,X2857,Z2857,AB2857,AD2857)</f>
        <v>0</v>
      </c>
      <c r="AG2857" s="728"/>
      <c r="AH2857" s="133">
        <f>SUM(AF2857,R2857)</f>
        <v>0</v>
      </c>
      <c r="AI2857" s="728"/>
      <c r="AJ2857" s="65"/>
      <c r="AV2857" s="56"/>
    </row>
    <row r="2858" spans="2:48" ht="12.75" hidden="1" customHeight="1" outlineLevel="2" thickBot="1">
      <c r="B2858" s="82"/>
      <c r="C2858" s="1234"/>
      <c r="D2858" s="1234"/>
      <c r="E2858" s="84">
        <f>'Terms and Turnovers'!$AN$12</f>
        <v>0</v>
      </c>
      <c r="F2858" s="70">
        <f>F2143/'Terms and Turnovers'!$AN230</f>
        <v>0</v>
      </c>
      <c r="G2858" s="728"/>
      <c r="H2858" s="70">
        <f>H2143/'Terms and Turnovers'!$AN230</f>
        <v>0</v>
      </c>
      <c r="I2858" s="728"/>
      <c r="J2858" s="70">
        <f>J2143/'Terms and Turnovers'!$AN230</f>
        <v>0</v>
      </c>
      <c r="K2858" s="728"/>
      <c r="L2858" s="70">
        <f>L2143/'Terms and Turnovers'!$AN230</f>
        <v>0</v>
      </c>
      <c r="M2858" s="728"/>
      <c r="N2858" s="70">
        <f>N2143/'Terms and Turnovers'!$AN230</f>
        <v>0</v>
      </c>
      <c r="O2858" s="728"/>
      <c r="P2858" s="70">
        <f>P2143/'Terms and Turnovers'!$AN230</f>
        <v>0</v>
      </c>
      <c r="Q2858" s="728"/>
      <c r="R2858" s="132">
        <f>SUM(F2858,H2858,J2858,L2858,N2858,P2858)</f>
        <v>0</v>
      </c>
      <c r="S2858" s="728"/>
      <c r="T2858" s="70">
        <f>T2143/'Terms and Turnovers'!$AN230</f>
        <v>0</v>
      </c>
      <c r="U2858" s="728"/>
      <c r="V2858" s="70">
        <f>V2143/'Terms and Turnovers'!$AN230</f>
        <v>0</v>
      </c>
      <c r="W2858" s="728"/>
      <c r="X2858" s="70">
        <f>X2143/'Terms and Turnovers'!$AN230</f>
        <v>0</v>
      </c>
      <c r="Y2858" s="728"/>
      <c r="Z2858" s="70">
        <f>Z2143/'Terms and Turnovers'!$AN230</f>
        <v>0</v>
      </c>
      <c r="AA2858" s="728"/>
      <c r="AB2858" s="70">
        <f>AB2143/'Terms and Turnovers'!$AN230</f>
        <v>0</v>
      </c>
      <c r="AC2858" s="728"/>
      <c r="AD2858" s="70">
        <f>AD2143/'Terms and Turnovers'!$AN230</f>
        <v>0</v>
      </c>
      <c r="AE2858" s="728"/>
      <c r="AF2858" s="132">
        <f>SUM(T2858,V2858,X2858,Z2858,AB2858,AD2858)</f>
        <v>0</v>
      </c>
      <c r="AG2858" s="728"/>
      <c r="AH2858" s="133">
        <f>SUM(AF2858,R2858)</f>
        <v>0</v>
      </c>
      <c r="AI2858" s="728"/>
      <c r="AJ2858" s="65"/>
      <c r="AV2858" s="56"/>
    </row>
    <row r="2859" spans="2:48" ht="13.5" hidden="1" customHeight="1" outlineLevel="2" thickBot="1">
      <c r="B2859" s="82"/>
      <c r="C2859" s="1235"/>
      <c r="D2859" s="1235"/>
      <c r="E2859" s="85">
        <f>'Terms and Turnovers'!$AX$12</f>
        <v>0</v>
      </c>
      <c r="F2859" s="68">
        <f>F2144/'Terms and Turnovers'!$AX230</f>
        <v>0</v>
      </c>
      <c r="G2859" s="111"/>
      <c r="H2859" s="68">
        <f>H2144/'Terms and Turnovers'!$AX230</f>
        <v>0</v>
      </c>
      <c r="I2859" s="107"/>
      <c r="J2859" s="68">
        <f>J2144/'Terms and Turnovers'!$AX230</f>
        <v>0</v>
      </c>
      <c r="K2859" s="107"/>
      <c r="L2859" s="68">
        <f>L2144/'Terms and Turnovers'!$AX230</f>
        <v>0</v>
      </c>
      <c r="M2859" s="107"/>
      <c r="N2859" s="68">
        <f>N2144/'Terms and Turnovers'!$AX230</f>
        <v>0</v>
      </c>
      <c r="O2859" s="107"/>
      <c r="P2859" s="68">
        <f>P2144/'Terms and Turnovers'!$AX230</f>
        <v>0</v>
      </c>
      <c r="Q2859" s="107"/>
      <c r="R2859" s="135">
        <f>SUM(F2859,H2859,J2859,L2859,N2859,P2859)</f>
        <v>0</v>
      </c>
      <c r="S2859" s="107"/>
      <c r="T2859" s="68">
        <f>T2144/'Terms and Turnovers'!$AX230</f>
        <v>0</v>
      </c>
      <c r="U2859" s="111"/>
      <c r="V2859" s="68">
        <f>V2144/'Terms and Turnovers'!$AX230</f>
        <v>0</v>
      </c>
      <c r="W2859" s="107"/>
      <c r="X2859" s="68">
        <f>X2144/'Terms and Turnovers'!$AX230</f>
        <v>0</v>
      </c>
      <c r="Y2859" s="107"/>
      <c r="Z2859" s="68">
        <f>Z2144/'Terms and Turnovers'!$AX230</f>
        <v>0</v>
      </c>
      <c r="AA2859" s="107"/>
      <c r="AB2859" s="68">
        <f>AB2144/'Terms and Turnovers'!$AX230</f>
        <v>0</v>
      </c>
      <c r="AC2859" s="107"/>
      <c r="AD2859" s="68">
        <f>AD2144/'Terms and Turnovers'!$AX230</f>
        <v>0</v>
      </c>
      <c r="AE2859" s="107"/>
      <c r="AF2859" s="135">
        <f>SUM(T2859,V2859,X2859,Z2859,AB2859,AD2859)</f>
        <v>0</v>
      </c>
      <c r="AG2859" s="107"/>
      <c r="AH2859" s="136">
        <f>SUM(AF2859,R2859)</f>
        <v>0</v>
      </c>
      <c r="AI2859" s="107"/>
      <c r="AJ2859" s="65"/>
      <c r="AV2859" s="56"/>
    </row>
    <row r="2860" spans="2:48" ht="13.5" hidden="1" customHeight="1" outlineLevel="2">
      <c r="B2860" s="82"/>
      <c r="C2860" s="425"/>
      <c r="D2860" s="425"/>
      <c r="E2860" s="634"/>
      <c r="F2860" s="635"/>
      <c r="G2860" s="428"/>
      <c r="H2860" s="635"/>
      <c r="I2860" s="428"/>
      <c r="J2860" s="635"/>
      <c r="K2860" s="636"/>
      <c r="L2860" s="635"/>
      <c r="M2860" s="636"/>
      <c r="N2860" s="635"/>
      <c r="O2860" s="636"/>
      <c r="P2860" s="635"/>
      <c r="Q2860" s="636"/>
      <c r="R2860" s="637"/>
      <c r="S2860" s="698">
        <f>SUM(R2140:R2144)/1.18-(SUM(R2855:R2859)*'Mark Up Validation'!$M$175)</f>
        <v>0</v>
      </c>
      <c r="T2860" s="635"/>
      <c r="U2860" s="636"/>
      <c r="V2860" s="635"/>
      <c r="W2860" s="636"/>
      <c r="X2860" s="635"/>
      <c r="Y2860" s="636"/>
      <c r="Z2860" s="635"/>
      <c r="AA2860" s="636"/>
      <c r="AB2860" s="635"/>
      <c r="AC2860" s="636"/>
      <c r="AD2860" s="635"/>
      <c r="AE2860" s="636"/>
      <c r="AF2860" s="637"/>
      <c r="AG2860" s="698">
        <f>SUM(AF2140:AF2144)/1.18-SUM(AF2855:AF2859)*'Mark Up Validation'!$M$175</f>
        <v>0</v>
      </c>
      <c r="AH2860" s="638"/>
      <c r="AI2860" s="698">
        <f>SUM(AH2140:AH2144)/1.18-SUM(AH2855:AH2859)*'Mark Up Validation'!$M$175</f>
        <v>0</v>
      </c>
      <c r="AJ2860" s="65"/>
      <c r="AV2860" s="56"/>
    </row>
    <row r="2861" spans="2:48" ht="13.5" hidden="1" customHeight="1" outlineLevel="2" thickBot="1">
      <c r="B2861" s="82"/>
      <c r="C2861" s="1228" t="s">
        <v>538</v>
      </c>
      <c r="D2861" s="1229"/>
      <c r="E2861" s="699"/>
      <c r="F2861" s="700"/>
      <c r="G2861" s="701"/>
      <c r="H2861" s="700"/>
      <c r="I2861" s="701"/>
      <c r="J2861" s="700"/>
      <c r="K2861" s="702"/>
      <c r="L2861" s="700"/>
      <c r="M2861" s="702"/>
      <c r="N2861" s="700"/>
      <c r="O2861" s="702"/>
      <c r="P2861" s="700"/>
      <c r="Q2861" s="702"/>
      <c r="R2861" s="703"/>
      <c r="S2861" s="729">
        <f>IF(S2860&gt;0,S2860/(SUM(R2140:R2144)/1.18),0)</f>
        <v>0</v>
      </c>
      <c r="T2861" s="704"/>
      <c r="U2861" s="702"/>
      <c r="V2861" s="700"/>
      <c r="W2861" s="702"/>
      <c r="X2861" s="700"/>
      <c r="Y2861" s="702"/>
      <c r="Z2861" s="700"/>
      <c r="AA2861" s="702"/>
      <c r="AB2861" s="700"/>
      <c r="AC2861" s="702"/>
      <c r="AD2861" s="700"/>
      <c r="AE2861" s="702"/>
      <c r="AF2861" s="705"/>
      <c r="AG2861" s="729">
        <f>IF(AG2860&gt;0,AG2860/(SUM(AF2140:AF2144)/1.18),0)</f>
        <v>0</v>
      </c>
      <c r="AH2861" s="706"/>
      <c r="AI2861" s="729">
        <f>IF(AI2860&gt;0,AI2860/(SUM(AH2140:AH2144)/1.18),0)</f>
        <v>0</v>
      </c>
      <c r="AJ2861" s="65"/>
      <c r="AV2861" s="56"/>
    </row>
    <row r="2862" spans="2:48" ht="12.75" hidden="1" customHeight="1" outlineLevel="1">
      <c r="B2862" s="82"/>
      <c r="C2862" s="1230" t="s">
        <v>46</v>
      </c>
      <c r="D2862" s="1230" t="s">
        <v>171</v>
      </c>
      <c r="E2862" s="83" t="str">
        <f>'Terms and Turnovers'!$J$12</f>
        <v>FLIP-FLOPS</v>
      </c>
      <c r="F2862" s="108">
        <f>SUM(F2162,F2169,F2176,F2183,F2190,F2197,F2204,F2211,F2218,F2225,F2232,F2239,F2246,F2253,F2260,F2267,F2274,F2281,F2288,F2295,F2302,F2309,F2316,F2323,F2330,F2337,F2344,F2351,F2358)+SUM(F2365,F2372,F2379,F2386,F2393,F2400,F2407,F2414,F2421,F2428,F2435,F2442,F2449,F2456,F2463,F2470,F2477,F2484,F2491,F2498,F2505,F2512,F2519,F2526,F2533,F2540,F2547,F2554,F2561)+SUM(F2568,F2575,F2582,F2589,F2596,F2603,F2610,F2617,F2624,F2631,F2638,F2645,F2652,F2659,F2666,F2673,F2680,F2687,F2694,F2701,F2708,F2715,F2722,F2729,F2736,F2743,F2750,F2757,F2764,F2771)+SUM(F2778,F2785,F2792,F2799,F2806,F2813,F2820,F2827,F2834,F2841,F2848,F2855)</f>
        <v>0</v>
      </c>
      <c r="G2862" s="112" t="e">
        <f>F2147/F2862</f>
        <v>#DIV/0!</v>
      </c>
      <c r="H2862" s="108">
        <f>SUM(H2162,H2169,H2176,H2183,H2190,H2197,H2204,H2211,H2218,H2225,H2232,H2239,H2246,H2253,H2260,H2267,H2274,H2281,H2288,H2295,H2302,H2309,H2316,H2323,H2330,H2337,H2344,H2351,H2358)+SUM(H2365,H2372,H2379,H2386,H2393,H2400,H2407,H2414,H2421,H2428,H2435,H2442,H2449,H2456,H2463,H2470,H2477,H2484,H2491,H2498,H2505,H2512,H2519,H2526,H2533,H2540,H2547,H2554,H2561)+SUM(H2568,H2575,H2582,H2589,H2596,H2603,H2610,H2617,H2624,H2631,H2638,H2645,H2652,H2659,H2666,H2673,H2680,H2687,H2694,H2701,H2708,H2715,H2722,H2729,H2736,H2743,H2750,H2757,H2764,H2771)+SUM(H2778,H2785,H2792,H2799,H2806,H2813,H2820,H2827,H2834,H2841,H2848,H2855)</f>
        <v>0</v>
      </c>
      <c r="I2862" s="112" t="e">
        <f>H2147/H2862</f>
        <v>#DIV/0!</v>
      </c>
      <c r="J2862" s="108">
        <f>SUM(J2162,J2169,J2176,J2183,J2190,J2197,J2204,J2211,J2218,J2225,J2232,J2239,J2246,J2253,J2260,J2267,J2274,J2281,J2288,J2295,J2302,J2309,J2316,J2323,J2330,J2337,J2344,J2351,J2358)+SUM(J2365,J2372,J2379,J2386,J2393,J2400,J2407,J2414,J2421,J2428,J2435,J2442,J2449,J2456,J2463,J2470,J2477,J2484,J2491,J2498,J2505,J2512,J2519,J2526,J2533,J2540,J2547,J2554,J2561)+SUM(J2568,J2575,J2582,J2589,J2596,J2603,J2610,J2617,J2624,J2631,J2638,J2645,J2652,J2659,J2666,J2673,J2680,J2687,J2694,J2701,J2708,J2715,J2722,J2729,J2736,J2743,J2750,J2757,J2764,J2771)+SUM(J2778,J2785,J2792,J2799,J2806,J2813,J2820,J2827,J2834,J2841,J2848,J2855)</f>
        <v>0</v>
      </c>
      <c r="K2862" s="112" t="e">
        <f>J2147/J2862</f>
        <v>#DIV/0!</v>
      </c>
      <c r="L2862" s="108">
        <f>SUM(L2162,L2169,L2176,L2183,L2190,L2197,L2204,L2211,L2218,L2225,L2232,L2239,L2246,L2253,L2260,L2267,L2274,L2281,L2288,L2295,L2302,L2309,L2316,L2323,L2330,L2337,L2344,L2351,L2358)+SUM(L2365,L2372,L2379,L2386,L2393,L2400,L2407,L2414,L2421,L2428,L2435,L2442,L2449,L2456,L2463,L2470,L2477,L2484,L2491,L2498,L2505,L2512,L2519,L2526,L2533,L2540,L2547,L2554,L2561)+SUM(L2568,L2575,L2582,L2589,L2596,L2603,L2610,L2617,L2624,L2631,L2638,L2645,L2652,L2659,L2666,L2673,L2680,L2687,L2694,L2701,L2708,L2715,L2722,L2729,L2736,L2743,L2750,L2757,L2764,L2771)+SUM(L2778,L2785,L2792,L2799,L2806,L2813,L2820,L2827,L2834,L2841,L2848,L2855)</f>
        <v>0</v>
      </c>
      <c r="M2862" s="112" t="e">
        <f>L2147/L2862</f>
        <v>#DIV/0!</v>
      </c>
      <c r="N2862" s="108">
        <f>SUM(N2162,N2169,N2176,N2183,N2190,N2197,N2204,N2211,N2218,N2225,N2232,N2239,N2246,N2253,N2260,N2267,N2274,N2281,N2288,N2295,N2302,N2309,N2316,N2323,N2330,N2337,N2344,N2351,N2358)+SUM(N2365,N2372,N2379,N2386,N2393,N2400,N2407,N2414,N2421,N2428,N2435,N2442,N2449,N2456,N2463,N2470,N2477,N2484,N2491,N2498,N2505,N2512,N2519,N2526,N2533,N2540,N2547,N2554,N2561)+SUM(N2568,N2575,N2582,N2589,N2596,N2603,N2610,N2617,N2624,N2631,N2638,N2645,N2652,N2659,N2666,N2673,N2680,N2687,N2694,N2701,N2708,N2715,N2722,N2729,N2736,N2743,N2750,N2757,N2764,N2771)+SUM(N2778,N2785,N2792,N2799,N2806,N2813,N2820,N2827,N2834,N2841,N2848,N2855)</f>
        <v>0</v>
      </c>
      <c r="O2862" s="112" t="e">
        <f>N2147/N2862</f>
        <v>#DIV/0!</v>
      </c>
      <c r="P2862" s="108">
        <f>SUM(P2162,P2169,P2176,P2183,P2190,P2197,P2204,P2211,P2218,P2225,P2232,P2239,P2246,P2253,P2260,P2267,P2274,P2281,P2288,P2295,P2302,P2309,P2316,P2323,P2330,P2337,P2344,P2351,P2358)+SUM(P2365,P2372,P2379,P2386,P2393,P2400,P2407,P2414,P2421,P2428,P2435,P2442,P2449,P2456,P2463,P2470,P2477,P2484,P2491,P2498,P2505,P2512,P2519,P2526,P2533,P2540,P2547,P2554,P2561)+SUM(P2568,P2575,P2582,P2589,P2596,P2603,P2610,P2617,P2624,P2631,P2638,P2645,P2652,P2659,P2666,P2673,P2680,P2687,P2694,P2701,P2708,P2715,P2722,P2729,P2736,P2743,P2750,P2757,P2764,P2771)+SUM(P2778,P2785,P2792,P2799,P2806,P2813,P2820,P2827,P2834,P2841,P2848,P2855)</f>
        <v>0</v>
      </c>
      <c r="Q2862" s="112" t="e">
        <f>P2147/P2862</f>
        <v>#DIV/0!</v>
      </c>
      <c r="R2862" s="129">
        <f>SUM(F2862,H2862,J2862,L2862,N2862,P2862)</f>
        <v>0</v>
      </c>
      <c r="S2862" s="106"/>
      <c r="T2862" s="108">
        <f>SUM(T2162,T2169,T2176,T2183,T2190,T2197,T2204,T2211,T2218,T2225,T2232,T2239,T2246,T2253,T2260,T2267,T2274,T2281,T2288,T2295,T2302,T2309,T2316,T2323,T2330,T2337,T2344,T2351,T2358)+SUM(T2365,T2372,T2379,T2386,T2393,T2400,T2407,T2414,T2421,T2428,T2435,T2442,T2449,T2456,T2463,T2470,T2477,T2484,T2491,T2498,T2505,T2512,T2519,T2526,T2533,T2540,T2547,T2554,T2561)+SUM(T2568,T2575,T2582,T2589,T2596,T2603,T2610,T2617,T2624,T2631,T2638,T2645,T2652,T2659,T2666,T2673,T2680,T2687,T2694,T2701,T2708,T2715,T2722,T2729,T2736,T2743,T2750,T2757,T2764,T2771)+SUM(T2778,T2785,T2792,T2799,T2806,T2813,T2820,T2827,T2834,T2841,T2848,T2855)</f>
        <v>0</v>
      </c>
      <c r="U2862" s="112" t="e">
        <f>T2147/T2862</f>
        <v>#DIV/0!</v>
      </c>
      <c r="V2862" s="108">
        <f>SUM(V2162,V2169,V2176,V2183,V2190,V2197,V2204,V2211,V2218,V2225,V2232,V2239,V2246,V2253,V2260,V2267,V2274,V2281,V2288,V2295,V2302,V2309,V2316,V2323,V2330,V2337,V2344,V2351,V2358)+SUM(V2365,V2372,V2379,V2386,V2393,V2400,V2407,V2414,V2421,V2428,V2435,V2442,V2449,V2456,V2463,V2470,V2477,V2484,V2491,V2498,V2505,V2512,V2519,V2526,V2533,V2540,V2547,V2554,V2561)+SUM(V2568,V2575,V2582,V2589,V2596,V2603,V2610,V2617,V2624,V2631,V2638,V2645,V2652,V2659,V2666,V2673,V2680,V2687,V2694,V2701,V2708,V2715,V2722,V2729,V2736,V2743,V2750,V2757,V2764,V2771)+SUM(V2778,V2785,V2792,V2799,V2806,V2813,V2820,V2827,V2834,V2841,V2848,V2855)</f>
        <v>0</v>
      </c>
      <c r="W2862" s="112" t="e">
        <f>V2147/V2862</f>
        <v>#DIV/0!</v>
      </c>
      <c r="X2862" s="108">
        <f>SUM(X2162,X2169,X2176,X2183,X2190,X2197,X2204,X2211,X2218,X2225,X2232,X2239,X2246,X2253,X2260,X2267,X2274,X2281,X2288,X2295,X2302,X2309,X2316,X2323,X2330,X2337,X2344,X2351,X2358)+SUM(X2365,X2372,X2379,X2386,X2393,X2400,X2407,X2414,X2421,X2428,X2435,X2442,X2449,X2456,X2463,X2470,X2477,X2484,X2491,X2498,X2505,X2512,X2519,X2526,X2533,X2540,X2547,X2554,X2561)+SUM(X2568,X2575,X2582,X2589,X2596,X2603,X2610,X2617,X2624,X2631,X2638,X2645,X2652,X2659,X2666,X2673,X2680,X2687,X2694,X2701,X2708,X2715,X2722,X2729,X2736,X2743,X2750,X2757,X2764,X2771)+SUM(X2778,X2785,X2792,X2799,X2806,X2813,X2820,X2827,X2834,X2841,X2848,X2855)</f>
        <v>27437.999999999996</v>
      </c>
      <c r="Y2862" s="112">
        <f>X2147/X2862</f>
        <v>1</v>
      </c>
      <c r="Z2862" s="108">
        <f>SUM(Z2162,Z2169,Z2176,Z2183,Z2190,Z2197,Z2204,Z2211,Z2218,Z2225,Z2232,Z2239,Z2246,Z2253,Z2260,Z2267,Z2274,Z2281,Z2288,Z2295,Z2302,Z2309,Z2316,Z2323,Z2330,Z2337,Z2344,Z2351,Z2358)+SUM(Z2365,Z2372,Z2379,Z2386,Z2393,Z2400,Z2407,Z2414,Z2421,Z2428,Z2435,Z2442,Z2449,Z2456,Z2463,Z2470,Z2477,Z2484,Z2491,Z2498,Z2505,Z2512,Z2519,Z2526,Z2533,Z2540,Z2547,Z2554,Z2561)+SUM(Z2568,Z2575,Z2582,Z2589,Z2596,Z2603,Z2610,Z2617,Z2624,Z2631,Z2638,Z2645,Z2652,Z2659,Z2666,Z2673,Z2680,Z2687,Z2694,Z2701,Z2708,Z2715,Z2722,Z2729,Z2736,Z2743,Z2750,Z2757,Z2764,Z2771)+SUM(Z2778,Z2785,Z2792,Z2799,Z2806,Z2813,Z2820,Z2827,Z2834,Z2841,Z2848,Z2855)</f>
        <v>0</v>
      </c>
      <c r="AA2862" s="112" t="e">
        <f>Z2147/Z2862</f>
        <v>#DIV/0!</v>
      </c>
      <c r="AB2862" s="108">
        <f>SUM(AB2162,AB2169,AB2176,AB2183,AB2190,AB2197,AB2204,AB2211,AB2218,AB2225,AB2232,AB2239,AB2246,AB2253,AB2260,AB2267,AB2274,AB2281,AB2288,AB2295,AB2302,AB2309,AB2316,AB2323,AB2330,AB2337,AB2344,AB2351,AB2358)+SUM(AB2365,AB2372,AB2379,AB2386,AB2393,AB2400,AB2407,AB2414,AB2421,AB2428,AB2435,AB2442,AB2449,AB2456,AB2463,AB2470,AB2477,AB2484,AB2491,AB2498,AB2505,AB2512,AB2519,AB2526,AB2533,AB2540,AB2547,AB2554,AB2561)+SUM(AB2568,AB2575,AB2582,AB2589,AB2596,AB2603,AB2610,AB2617,AB2624,AB2631,AB2638,AB2645,AB2652,AB2659,AB2666,AB2673,AB2680,AB2687,AB2694,AB2701,AB2708,AB2715,AB2722,AB2729,AB2736,AB2743,AB2750,AB2757,AB2764,AB2771)+SUM(AB2778,AB2785,AB2792,AB2799,AB2806,AB2813,AB2820,AB2827,AB2834,AB2841,AB2848,AB2855)</f>
        <v>0</v>
      </c>
      <c r="AC2862" s="112" t="e">
        <f>AB2147/AB2862</f>
        <v>#DIV/0!</v>
      </c>
      <c r="AD2862" s="108">
        <f>SUM(AD2162,AD2169,AD2176,AD2183,AD2190,AD2197,AD2204,AD2211,AD2218,AD2225,AD2232,AD2239,AD2246,AD2253,AD2260,AD2267,AD2274,AD2281,AD2288,AD2295,AD2302,AD2309,AD2316,AD2323,AD2330,AD2337,AD2344,AD2351,AD2358)+SUM(AD2365,AD2372,AD2379,AD2386,AD2393,AD2400,AD2407,AD2414,AD2421,AD2428,AD2435,AD2442,AD2449,AD2456,AD2463,AD2470,AD2477,AD2484,AD2491,AD2498,AD2505,AD2512,AD2519,AD2526,AD2533,AD2540,AD2547,AD2554,AD2561)+SUM(AD2568,AD2575,AD2582,AD2589,AD2596,AD2603,AD2610,AD2617,AD2624,AD2631,AD2638,AD2645,AD2652,AD2659,AD2666,AD2673,AD2680,AD2687,AD2694,AD2701,AD2708,AD2715,AD2722,AD2729,AD2736,AD2743,AD2750,AD2757,AD2764,AD2771)+SUM(AD2778,AD2785,AD2792,AD2799,AD2806,AD2813,AD2820,AD2827,AD2834,AD2841,AD2848,AD2855)</f>
        <v>0</v>
      </c>
      <c r="AE2862" s="112" t="e">
        <f>AD2147/AD2862</f>
        <v>#DIV/0!</v>
      </c>
      <c r="AF2862" s="129">
        <f>SUM(T2862,V2862,X2862,Z2862,AB2862,AD2862)</f>
        <v>27437.999999999996</v>
      </c>
      <c r="AG2862" s="106"/>
      <c r="AH2862" s="130">
        <f>SUM(AF2862,R2862)</f>
        <v>27437.999999999996</v>
      </c>
      <c r="AI2862" s="106"/>
      <c r="AJ2862" s="65"/>
      <c r="AL2862" s="445"/>
    </row>
    <row r="2863" spans="2:48" ht="12.75" hidden="1" customHeight="1" outlineLevel="1">
      <c r="B2863" s="82"/>
      <c r="C2863" s="1231"/>
      <c r="D2863" s="1231"/>
      <c r="E2863" s="84" t="str">
        <f>'Terms and Turnovers'!$T$12</f>
        <v>ORIGINALS</v>
      </c>
      <c r="F2863" s="108">
        <f>SUM(F2163,F2170,F2177,F2184,F2191,F2198,F2205,F2212,F2219,F2226,F2233,F2240,F2247,F2254,F2261,F2268,F2275,F2282,F2289,F2296,F2303,F2310,F2317,F2324,F2331,F2338,F2345,F2352,F2359)+SUM(F2366,F2373,F2380,F2387,F2394,F2401,F2408,F2415,F2422,F2429,F2436,F2443,F2450,F2457,F2464,F2471,F2478,F2485,F2492,F2499,F2506,F2513,F2520,F2527,F2534,F2541,F2548,F2555,F2562)+SUM(F2569,F2576,F2583,F2590,F2597,F2604,F2611,F2618,F2625,F2632,F2639,F2646,F2653,F2660,F2667,F2674,F2681,F2688,F2695,F2702,F2709,F2716,F2723,F2730,F2737,F2744,F2751,F2758,F2765,F2772)+SUM(F2779,F2786,F2793,F2800,F2807,F2814,F2821,F2828,F2835,F2842,F2849,F2856)</f>
        <v>0</v>
      </c>
      <c r="G2863" s="113" t="e">
        <f>F2148/F2863</f>
        <v>#DIV/0!</v>
      </c>
      <c r="H2863" s="108">
        <f>SUM(H2163,H2170,H2177,H2184,H2191,H2198,H2205,H2212,H2219,H2226,H2233,H2240,H2247,H2254,H2261,H2268,H2275,H2282,H2289,H2296,H2303,H2310,H2317,H2324,H2331,H2338,H2345,H2352,H2359)+SUM(H2366,H2373,H2380,H2387,H2394,H2401,H2408,H2415,H2422,H2429,H2436,H2443,H2450,H2457,H2464,H2471,H2478,H2485,H2492,H2499,H2506,H2513,H2520,H2527,H2534,H2541,H2548,H2555,H2562)+SUM(H2569,H2576,H2583,H2590,H2597,H2604,H2611,H2618,H2625,H2632,H2639,H2646,H2653,H2660,H2667,H2674,H2681,H2688,H2695,H2702,H2709,H2716,H2723,H2730,H2737,H2744,H2751,H2758,H2765,H2772)+SUM(H2779,H2786,H2793,H2800,H2807,H2814,H2821,H2828,H2835,H2842,H2849,H2856)</f>
        <v>0</v>
      </c>
      <c r="I2863" s="113" t="e">
        <f>H2148/H2863</f>
        <v>#DIV/0!</v>
      </c>
      <c r="J2863" s="108">
        <f>SUM(J2163,J2170,J2177,J2184,J2191,J2198,J2205,J2212,J2219,J2226,J2233,J2240,J2247,J2254,J2261,J2268,J2275,J2282,J2289,J2296,J2303,J2310,J2317,J2324,J2331,J2338,J2345,J2352,J2359)+SUM(J2366,J2373,J2380,J2387,J2394,J2401,J2408,J2415,J2422,J2429,J2436,J2443,J2450,J2457,J2464,J2471,J2478,J2485,J2492,J2499,J2506,J2513,J2520,J2527,J2534,J2541,J2548,J2555,J2562)+SUM(J2569,J2576,J2583,J2590,J2597,J2604,J2611,J2618,J2625,J2632,J2639,J2646,J2653,J2660,J2667,J2674,J2681,J2688,J2695,J2702,J2709,J2716,J2723,J2730,J2737,J2744,J2751,J2758,J2765,J2772)+SUM(J2779,J2786,J2793,J2800,J2807,J2814,J2821,J2828,J2835,J2842,J2849,J2856)</f>
        <v>0</v>
      </c>
      <c r="K2863" s="113" t="e">
        <f>J2148/J2863</f>
        <v>#DIV/0!</v>
      </c>
      <c r="L2863" s="108">
        <f>SUM(L2163,L2170,L2177,L2184,L2191,L2198,L2205,L2212,L2219,L2226,L2233,L2240,L2247,L2254,L2261,L2268,L2275,L2282,L2289,L2296,L2303,L2310,L2317,L2324,L2331,L2338,L2345,L2352,L2359)+SUM(L2366,L2373,L2380,L2387,L2394,L2401,L2408,L2415,L2422,L2429,L2436,L2443,L2450,L2457,L2464,L2471,L2478,L2485,L2492,L2499,L2506,L2513,L2520,L2527,L2534,L2541,L2548,L2555,L2562)+SUM(L2569,L2576,L2583,L2590,L2597,L2604,L2611,L2618,L2625,L2632,L2639,L2646,L2653,L2660,L2667,L2674,L2681,L2688,L2695,L2702,L2709,L2716,L2723,L2730,L2737,L2744,L2751,L2758,L2765,L2772)+SUM(L2779,L2786,L2793,L2800,L2807,L2814,L2821,L2828,L2835,L2842,L2849,L2856)</f>
        <v>0</v>
      </c>
      <c r="M2863" s="113" t="e">
        <f>L2148/L2863</f>
        <v>#DIV/0!</v>
      </c>
      <c r="N2863" s="108">
        <f>SUM(N2163,N2170,N2177,N2184,N2191,N2198,N2205,N2212,N2219,N2226,N2233,N2240,N2247,N2254,N2261,N2268,N2275,N2282,N2289,N2296,N2303,N2310,N2317,N2324,N2331,N2338,N2345,N2352,N2359)+SUM(N2366,N2373,N2380,N2387,N2394,N2401,N2408,N2415,N2422,N2429,N2436,N2443,N2450,N2457,N2464,N2471,N2478,N2485,N2492,N2499,N2506,N2513,N2520,N2527,N2534,N2541,N2548,N2555,N2562)+SUM(N2569,N2576,N2583,N2590,N2597,N2604,N2611,N2618,N2625,N2632,N2639,N2646,N2653,N2660,N2667,N2674,N2681,N2688,N2695,N2702,N2709,N2716,N2723,N2730,N2737,N2744,N2751,N2758,N2765,N2772)+SUM(N2779,N2786,N2793,N2800,N2807,N2814,N2821,N2828,N2835,N2842,N2849,N2856)</f>
        <v>0</v>
      </c>
      <c r="O2863" s="113" t="e">
        <f>N2148/N2863</f>
        <v>#DIV/0!</v>
      </c>
      <c r="P2863" s="108">
        <f>SUM(P2163,P2170,P2177,P2184,P2191,P2198,P2205,P2212,P2219,P2226,P2233,P2240,P2247,P2254,P2261,P2268,P2275,P2282,P2289,P2296,P2303,P2310,P2317,P2324,P2331,P2338,P2345,P2352,P2359)+SUM(P2366,P2373,P2380,P2387,P2394,P2401,P2408,P2415,P2422,P2429,P2436,P2443,P2450,P2457,P2464,P2471,P2478,P2485,P2492,P2499,P2506,P2513,P2520,P2527,P2534,P2541,P2548,P2555,P2562)+SUM(P2569,P2576,P2583,P2590,P2597,P2604,P2611,P2618,P2625,P2632,P2639,P2646,P2653,P2660,P2667,P2674,P2681,P2688,P2695,P2702,P2709,P2716,P2723,P2730,P2737,P2744,P2751,P2758,P2765,P2772)+SUM(P2779,P2786,P2793,P2800,P2807,P2814,P2821,P2828,P2835,P2842,P2849,P2856)</f>
        <v>0</v>
      </c>
      <c r="Q2863" s="113" t="e">
        <f>P2148/P2863</f>
        <v>#DIV/0!</v>
      </c>
      <c r="R2863" s="132">
        <f>SUM(F2863,H2863,J2863,L2863,N2863,P2863)</f>
        <v>0</v>
      </c>
      <c r="S2863" s="728"/>
      <c r="T2863" s="108">
        <f>SUM(T2163,T2170,T2177,T2184,T2191,T2198,T2205,T2212,T2219,T2226,T2233,T2240,T2247,T2254,T2261,T2268,T2275,T2282,T2289,T2296,T2303,T2310,T2317,T2324,T2331,T2338,T2345,T2352,T2359)+SUM(T2366,T2373,T2380,T2387,T2394,T2401,T2408,T2415,T2422,T2429,T2436,T2443,T2450,T2457,T2464,T2471,T2478,T2485,T2492,T2499,T2506,T2513,T2520,T2527,T2534,T2541,T2548,T2555,T2562)+SUM(T2569,T2576,T2583,T2590,T2597,T2604,T2611,T2618,T2625,T2632,T2639,T2646,T2653,T2660,T2667,T2674,T2681,T2688,T2695,T2702,T2709,T2716,T2723,T2730,T2737,T2744,T2751,T2758,T2765,T2772)+SUM(T2779,T2786,T2793,T2800,T2807,T2814,T2821,T2828,T2835,T2842,T2849,T2856)</f>
        <v>0</v>
      </c>
      <c r="U2863" s="113" t="e">
        <f>T2148/T2863</f>
        <v>#DIV/0!</v>
      </c>
      <c r="V2863" s="108">
        <f>SUM(V2163,V2170,V2177,V2184,V2191,V2198,V2205,V2212,V2219,V2226,V2233,V2240,V2247,V2254,V2261,V2268,V2275,V2282,V2289,V2296,V2303,V2310,V2317,V2324,V2331,V2338,V2345,V2352,V2359)+SUM(V2366,V2373,V2380,V2387,V2394,V2401,V2408,V2415,V2422,V2429,V2436,V2443,V2450,V2457,V2464,V2471,V2478,V2485,V2492,V2499,V2506,V2513,V2520,V2527,V2534,V2541,V2548,V2555,V2562)+SUM(V2569,V2576,V2583,V2590,V2597,V2604,V2611,V2618,V2625,V2632,V2639,V2646,V2653,V2660,V2667,V2674,V2681,V2688,V2695,V2702,V2709,V2716,V2723,V2730,V2737,V2744,V2751,V2758,V2765,V2772)+SUM(V2779,V2786,V2793,V2800,V2807,V2814,V2821,V2828,V2835,V2842,V2849,V2856)</f>
        <v>0</v>
      </c>
      <c r="W2863" s="113" t="e">
        <f>V2148/V2863</f>
        <v>#DIV/0!</v>
      </c>
      <c r="X2863" s="108">
        <f>SUM(X2163,X2170,X2177,X2184,X2191,X2198,X2205,X2212,X2219,X2226,X2233,X2240,X2247,X2254,X2261,X2268,X2275,X2282,X2289,X2296,X2303,X2310,X2317,X2324,X2331,X2338,X2345,X2352,X2359)+SUM(X2366,X2373,X2380,X2387,X2394,X2401,X2408,X2415,X2422,X2429,X2436,X2443,X2450,X2457,X2464,X2471,X2478,X2485,X2492,X2499,X2506,X2513,X2520,X2527,X2534,X2541,X2548,X2555,X2562)+SUM(X2569,X2576,X2583,X2590,X2597,X2604,X2611,X2618,X2625,X2632,X2639,X2646,X2653,X2660,X2667,X2674,X2681,X2688,X2695,X2702,X2709,X2716,X2723,X2730,X2737,X2744,X2751,X2758,X2765,X2772)+SUM(X2779,X2786,X2793,X2800,X2807,X2814,X2821,X2828,X2835,X2842,X2849,X2856)</f>
        <v>0</v>
      </c>
      <c r="Y2863" s="113" t="e">
        <f>X2148/X2863</f>
        <v>#DIV/0!</v>
      </c>
      <c r="Z2863" s="108">
        <f>SUM(Z2163,Z2170,Z2177,Z2184,Z2191,Z2198,Z2205,Z2212,Z2219,Z2226,Z2233,Z2240,Z2247,Z2254,Z2261,Z2268,Z2275,Z2282,Z2289,Z2296,Z2303,Z2310,Z2317,Z2324,Z2331,Z2338,Z2345,Z2352,Z2359)+SUM(Z2366,Z2373,Z2380,Z2387,Z2394,Z2401,Z2408,Z2415,Z2422,Z2429,Z2436,Z2443,Z2450,Z2457,Z2464,Z2471,Z2478,Z2485,Z2492,Z2499,Z2506,Z2513,Z2520,Z2527,Z2534,Z2541,Z2548,Z2555,Z2562)+SUM(Z2569,Z2576,Z2583,Z2590,Z2597,Z2604,Z2611,Z2618,Z2625,Z2632,Z2639,Z2646,Z2653,Z2660,Z2667,Z2674,Z2681,Z2688,Z2695,Z2702,Z2709,Z2716,Z2723,Z2730,Z2737,Z2744,Z2751,Z2758,Z2765,Z2772)+SUM(Z2779,Z2786,Z2793,Z2800,Z2807,Z2814,Z2821,Z2828,Z2835,Z2842,Z2849,Z2856)</f>
        <v>0</v>
      </c>
      <c r="AA2863" s="113" t="e">
        <f>Z2148/Z2863</f>
        <v>#DIV/0!</v>
      </c>
      <c r="AB2863" s="108">
        <f>SUM(AB2163,AB2170,AB2177,AB2184,AB2191,AB2198,AB2205,AB2212,AB2219,AB2226,AB2233,AB2240,AB2247,AB2254,AB2261,AB2268,AB2275,AB2282,AB2289,AB2296,AB2303,AB2310,AB2317,AB2324,AB2331,AB2338,AB2345,AB2352,AB2359)+SUM(AB2366,AB2373,AB2380,AB2387,AB2394,AB2401,AB2408,AB2415,AB2422,AB2429,AB2436,AB2443,AB2450,AB2457,AB2464,AB2471,AB2478,AB2485,AB2492,AB2499,AB2506,AB2513,AB2520,AB2527,AB2534,AB2541,AB2548,AB2555,AB2562)+SUM(AB2569,AB2576,AB2583,AB2590,AB2597,AB2604,AB2611,AB2618,AB2625,AB2632,AB2639,AB2646,AB2653,AB2660,AB2667,AB2674,AB2681,AB2688,AB2695,AB2702,AB2709,AB2716,AB2723,AB2730,AB2737,AB2744,AB2751,AB2758,AB2765,AB2772)+SUM(AB2779,AB2786,AB2793,AB2800,AB2807,AB2814,AB2821,AB2828,AB2835,AB2842,AB2849,AB2856)</f>
        <v>0</v>
      </c>
      <c r="AC2863" s="113" t="e">
        <f>AB2148/AB2863</f>
        <v>#DIV/0!</v>
      </c>
      <c r="AD2863" s="108">
        <f>SUM(AD2163,AD2170,AD2177,AD2184,AD2191,AD2198,AD2205,AD2212,AD2219,AD2226,AD2233,AD2240,AD2247,AD2254,AD2261,AD2268,AD2275,AD2282,AD2289,AD2296,AD2303,AD2310,AD2317,AD2324,AD2331,AD2338,AD2345,AD2352,AD2359)+SUM(AD2366,AD2373,AD2380,AD2387,AD2394,AD2401,AD2408,AD2415,AD2422,AD2429,AD2436,AD2443,AD2450,AD2457,AD2464,AD2471,AD2478,AD2485,AD2492,AD2499,AD2506,AD2513,AD2520,AD2527,AD2534,AD2541,AD2548,AD2555,AD2562)+SUM(AD2569,AD2576,AD2583,AD2590,AD2597,AD2604,AD2611,AD2618,AD2625,AD2632,AD2639,AD2646,AD2653,AD2660,AD2667,AD2674,AD2681,AD2688,AD2695,AD2702,AD2709,AD2716,AD2723,AD2730,AD2737,AD2744,AD2751,AD2758,AD2765,AD2772)+SUM(AD2779,AD2786,AD2793,AD2800,AD2807,AD2814,AD2821,AD2828,AD2835,AD2842,AD2849,AD2856)</f>
        <v>0</v>
      </c>
      <c r="AE2863" s="113" t="e">
        <f>AD2148/AD2863</f>
        <v>#DIV/0!</v>
      </c>
      <c r="AF2863" s="132">
        <f>SUM(T2863,V2863,X2863,Z2863,AB2863,AD2863)</f>
        <v>0</v>
      </c>
      <c r="AG2863" s="728"/>
      <c r="AH2863" s="133">
        <f>SUM(AF2863,R2863)</f>
        <v>0</v>
      </c>
      <c r="AI2863" s="728"/>
      <c r="AJ2863" s="65"/>
    </row>
    <row r="2864" spans="2:48" ht="12.75" hidden="1" customHeight="1" outlineLevel="1">
      <c r="B2864" s="82"/>
      <c r="C2864" s="1231"/>
      <c r="D2864" s="1231"/>
      <c r="E2864" s="84" t="str">
        <f>'Terms and Turnovers'!$AD$12</f>
        <v>ACCESSORIES</v>
      </c>
      <c r="F2864" s="108">
        <f>SUM(F2164,F2171,F2178,F2185,F2192,F2199,F2206,F2213,F2220,F2227,F2234,F2241,F2248,F2255,F2262,F2269,F2276,F2283,F2290,F2297,F2304,F2311,F2318,F2325,F2332,F2339,F2346,F2353,F2360)+SUM(F2367,F2374,F2381,F2388,F2395,F2402,F2409,F2416,F2423,F2430,F2437,F2444,F2451,F2458,F2465,F2472,F2479,F2486,F2493,F2500,F2507,F2514,F2521,F2528,F2535,F2542,F2549,F2556,F2563)+SUM(F2570,F2577,F2584,F2591,F2598,F2605,F2612,F2619,F2626,F2633,F2640,F2647,F2654,F2661,F2668,F2675,F2682,F2689,F2696,F2703,F2710,F2717,F2724,F2731,F2738,F2745,F2752,F2759,F2766,F2773)+SUM(F2780,F2787,F2794,F2801,F2808,F2815,F2822,F2829,F2836,F2843,F2850,F2857)</f>
        <v>0</v>
      </c>
      <c r="G2864" s="113" t="e">
        <f>F2149/F2864</f>
        <v>#DIV/0!</v>
      </c>
      <c r="H2864" s="108">
        <f>SUM(H2164,H2171,H2178,H2185,H2192,H2199,H2206,H2213,H2220,H2227,H2234,H2241,H2248,H2255,H2262,H2269,H2276,H2283,H2290,H2297,H2304,H2311,H2318,H2325,H2332,H2339,H2346,H2353,H2360)+SUM(H2367,H2374,H2381,H2388,H2395,H2402,H2409,H2416,H2423,H2430,H2437,H2444,H2451,H2458,H2465,H2472,H2479,H2486,H2493,H2500,H2507,H2514,H2521,H2528,H2535,H2542,H2549,H2556,H2563)+SUM(H2570,H2577,H2584,H2591,H2598,H2605,H2612,H2619,H2626,H2633,H2640,H2647,H2654,H2661,H2668,H2675,H2682,H2689,H2696,H2703,H2710,H2717,H2724,H2731,H2738,H2745,H2752,H2759,H2766,H2773)+SUM(H2780,H2787,H2794,H2801,H2808,H2815,H2822,H2829,H2836,H2843,H2850,H2857)</f>
        <v>0</v>
      </c>
      <c r="I2864" s="113" t="e">
        <f>H2149/H2864</f>
        <v>#DIV/0!</v>
      </c>
      <c r="J2864" s="108">
        <f>SUM(J2164,J2171,J2178,J2185,J2192,J2199,J2206,J2213,J2220,J2227,J2234,J2241,J2248,J2255,J2262,J2269,J2276,J2283,J2290,J2297,J2304,J2311,J2318,J2325,J2332,J2339,J2346,J2353,J2360)+SUM(J2367,J2374,J2381,J2388,J2395,J2402,J2409,J2416,J2423,J2430,J2437,J2444,J2451,J2458,J2465,J2472,J2479,J2486,J2493,J2500,J2507,J2514,J2521,J2528,J2535,J2542,J2549,J2556,J2563)+SUM(J2570,J2577,J2584,J2591,J2598,J2605,J2612,J2619,J2626,J2633,J2640,J2647,J2654,J2661,J2668,J2675,J2682,J2689,J2696,J2703,J2710,J2717,J2724,J2731,J2738,J2745,J2752,J2759,J2766,J2773)+SUM(J2780,J2787,J2794,J2801,J2808,J2815,J2822,J2829,J2836,J2843,J2850,J2857)</f>
        <v>0</v>
      </c>
      <c r="K2864" s="113" t="e">
        <f>J2149/J2864</f>
        <v>#DIV/0!</v>
      </c>
      <c r="L2864" s="108">
        <f>SUM(L2164,L2171,L2178,L2185,L2192,L2199,L2206,L2213,L2220,L2227,L2234,L2241,L2248,L2255,L2262,L2269,L2276,L2283,L2290,L2297,L2304,L2311,L2318,L2325,L2332,L2339,L2346,L2353,L2360)+SUM(L2367,L2374,L2381,L2388,L2395,L2402,L2409,L2416,L2423,L2430,L2437,L2444,L2451,L2458,L2465,L2472,L2479,L2486,L2493,L2500,L2507,L2514,L2521,L2528,L2535,L2542,L2549,L2556,L2563)+SUM(L2570,L2577,L2584,L2591,L2598,L2605,L2612,L2619,L2626,L2633,L2640,L2647,L2654,L2661,L2668,L2675,L2682,L2689,L2696,L2703,L2710,L2717,L2724,L2731,L2738,L2745,L2752,L2759,L2766,L2773)+SUM(L2780,L2787,L2794,L2801,L2808,L2815,L2822,L2829,L2836,L2843,L2850,L2857)</f>
        <v>0</v>
      </c>
      <c r="M2864" s="113" t="e">
        <f>L2149/L2864</f>
        <v>#DIV/0!</v>
      </c>
      <c r="N2864" s="108">
        <f>SUM(N2164,N2171,N2178,N2185,N2192,N2199,N2206,N2213,N2220,N2227,N2234,N2241,N2248,N2255,N2262,N2269,N2276,N2283,N2290,N2297,N2304,N2311,N2318,N2325,N2332,N2339,N2346,N2353,N2360)+SUM(N2367,N2374,N2381,N2388,N2395,N2402,N2409,N2416,N2423,N2430,N2437,N2444,N2451,N2458,N2465,N2472,N2479,N2486,N2493,N2500,N2507,N2514,N2521,N2528,N2535,N2542,N2549,N2556,N2563)+SUM(N2570,N2577,N2584,N2591,N2598,N2605,N2612,N2619,N2626,N2633,N2640,N2647,N2654,N2661,N2668,N2675,N2682,N2689,N2696,N2703,N2710,N2717,N2724,N2731,N2738,N2745,N2752,N2759,N2766,N2773)+SUM(N2780,N2787,N2794,N2801,N2808,N2815,N2822,N2829,N2836,N2843,N2850,N2857)</f>
        <v>0</v>
      </c>
      <c r="O2864" s="113" t="e">
        <f>N2149/N2864</f>
        <v>#DIV/0!</v>
      </c>
      <c r="P2864" s="108">
        <f>SUM(P2164,P2171,P2178,P2185,P2192,P2199,P2206,P2213,P2220,P2227,P2234,P2241,P2248,P2255,P2262,P2269,P2276,P2283,P2290,P2297,P2304,P2311,P2318,P2325,P2332,P2339,P2346,P2353,P2360)+SUM(P2367,P2374,P2381,P2388,P2395,P2402,P2409,P2416,P2423,P2430,P2437,P2444,P2451,P2458,P2465,P2472,P2479,P2486,P2493,P2500,P2507,P2514,P2521,P2528,P2535,P2542,P2549,P2556,P2563)+SUM(P2570,P2577,P2584,P2591,P2598,P2605,P2612,P2619,P2626,P2633,P2640,P2647,P2654,P2661,P2668,P2675,P2682,P2689,P2696,P2703,P2710,P2717,P2724,P2731,P2738,P2745,P2752,P2759,P2766,P2773)+SUM(P2780,P2787,P2794,P2801,P2808,P2815,P2822,P2829,P2836,P2843,P2850,P2857)</f>
        <v>0</v>
      </c>
      <c r="Q2864" s="113" t="e">
        <f>P2149/P2864</f>
        <v>#DIV/0!</v>
      </c>
      <c r="R2864" s="132">
        <f>SUM(F2864,H2864,J2864,L2864,N2864,P2864)</f>
        <v>0</v>
      </c>
      <c r="S2864" s="728"/>
      <c r="T2864" s="108">
        <f>SUM(T2164,T2171,T2178,T2185,T2192,T2199,T2206,T2213,T2220,T2227,T2234,T2241,T2248,T2255,T2262,T2269,T2276,T2283,T2290,T2297,T2304,T2311,T2318,T2325,T2332,T2339,T2346,T2353,T2360)+SUM(T2367,T2374,T2381,T2388,T2395,T2402,T2409,T2416,T2423,T2430,T2437,T2444,T2451,T2458,T2465,T2472,T2479,T2486,T2493,T2500,T2507,T2514,T2521,T2528,T2535,T2542,T2549,T2556,T2563)+SUM(T2570,T2577,T2584,T2591,T2598,T2605,T2612,T2619,T2626,T2633,T2640,T2647,T2654,T2661,T2668,T2675,T2682,T2689,T2696,T2703,T2710,T2717,T2724,T2731,T2738,T2745,T2752,T2759,T2766,T2773)+SUM(T2780,T2787,T2794,T2801,T2808,T2815,T2822,T2829,T2836,T2843,T2850,T2857)</f>
        <v>0</v>
      </c>
      <c r="U2864" s="113" t="e">
        <f>T2149/T2864</f>
        <v>#DIV/0!</v>
      </c>
      <c r="V2864" s="108">
        <f>SUM(V2164,V2171,V2178,V2185,V2192,V2199,V2206,V2213,V2220,V2227,V2234,V2241,V2248,V2255,V2262,V2269,V2276,V2283,V2290,V2297,V2304,V2311,V2318,V2325,V2332,V2339,V2346,V2353,V2360)+SUM(V2367,V2374,V2381,V2388,V2395,V2402,V2409,V2416,V2423,V2430,V2437,V2444,V2451,V2458,V2465,V2472,V2479,V2486,V2493,V2500,V2507,V2514,V2521,V2528,V2535,V2542,V2549,V2556,V2563)+SUM(V2570,V2577,V2584,V2591,V2598,V2605,V2612,V2619,V2626,V2633,V2640,V2647,V2654,V2661,V2668,V2675,V2682,V2689,V2696,V2703,V2710,V2717,V2724,V2731,V2738,V2745,V2752,V2759,V2766,V2773)+SUM(V2780,V2787,V2794,V2801,V2808,V2815,V2822,V2829,V2836,V2843,V2850,V2857)</f>
        <v>0</v>
      </c>
      <c r="W2864" s="113" t="e">
        <f>V2149/V2864</f>
        <v>#DIV/0!</v>
      </c>
      <c r="X2864" s="108">
        <f>SUM(X2164,X2171,X2178,X2185,X2192,X2199,X2206,X2213,X2220,X2227,X2234,X2241,X2248,X2255,X2262,X2269,X2276,X2283,X2290,X2297,X2304,X2311,X2318,X2325,X2332,X2339,X2346,X2353,X2360)+SUM(X2367,X2374,X2381,X2388,X2395,X2402,X2409,X2416,X2423,X2430,X2437,X2444,X2451,X2458,X2465,X2472,X2479,X2486,X2493,X2500,X2507,X2514,X2521,X2528,X2535,X2542,X2549,X2556,X2563)+SUM(X2570,X2577,X2584,X2591,X2598,X2605,X2612,X2619,X2626,X2633,X2640,X2647,X2654,X2661,X2668,X2675,X2682,X2689,X2696,X2703,X2710,X2717,X2724,X2731,X2738,X2745,X2752,X2759,X2766,X2773)+SUM(X2780,X2787,X2794,X2801,X2808,X2815,X2822,X2829,X2836,X2843,X2850,X2857)</f>
        <v>0</v>
      </c>
      <c r="Y2864" s="113" t="e">
        <f>X2149/X2864</f>
        <v>#DIV/0!</v>
      </c>
      <c r="Z2864" s="108">
        <f>SUM(Z2164,Z2171,Z2178,Z2185,Z2192,Z2199,Z2206,Z2213,Z2220,Z2227,Z2234,Z2241,Z2248,Z2255,Z2262,Z2269,Z2276,Z2283,Z2290,Z2297,Z2304,Z2311,Z2318,Z2325,Z2332,Z2339,Z2346,Z2353,Z2360)+SUM(Z2367,Z2374,Z2381,Z2388,Z2395,Z2402,Z2409,Z2416,Z2423,Z2430,Z2437,Z2444,Z2451,Z2458,Z2465,Z2472,Z2479,Z2486,Z2493,Z2500,Z2507,Z2514,Z2521,Z2528,Z2535,Z2542,Z2549,Z2556,Z2563)+SUM(Z2570,Z2577,Z2584,Z2591,Z2598,Z2605,Z2612,Z2619,Z2626,Z2633,Z2640,Z2647,Z2654,Z2661,Z2668,Z2675,Z2682,Z2689,Z2696,Z2703,Z2710,Z2717,Z2724,Z2731,Z2738,Z2745,Z2752,Z2759,Z2766,Z2773)+SUM(Z2780,Z2787,Z2794,Z2801,Z2808,Z2815,Z2822,Z2829,Z2836,Z2843,Z2850,Z2857)</f>
        <v>0</v>
      </c>
      <c r="AA2864" s="113" t="e">
        <f>Z2149/Z2864</f>
        <v>#DIV/0!</v>
      </c>
      <c r="AB2864" s="108">
        <f>SUM(AB2164,AB2171,AB2178,AB2185,AB2192,AB2199,AB2206,AB2213,AB2220,AB2227,AB2234,AB2241,AB2248,AB2255,AB2262,AB2269,AB2276,AB2283,AB2290,AB2297,AB2304,AB2311,AB2318,AB2325,AB2332,AB2339,AB2346,AB2353,AB2360)+SUM(AB2367,AB2374,AB2381,AB2388,AB2395,AB2402,AB2409,AB2416,AB2423,AB2430,AB2437,AB2444,AB2451,AB2458,AB2465,AB2472,AB2479,AB2486,AB2493,AB2500,AB2507,AB2514,AB2521,AB2528,AB2535,AB2542,AB2549,AB2556,AB2563)+SUM(AB2570,AB2577,AB2584,AB2591,AB2598,AB2605,AB2612,AB2619,AB2626,AB2633,AB2640,AB2647,AB2654,AB2661,AB2668,AB2675,AB2682,AB2689,AB2696,AB2703,AB2710,AB2717,AB2724,AB2731,AB2738,AB2745,AB2752,AB2759,AB2766,AB2773)+SUM(AB2780,AB2787,AB2794,AB2801,AB2808,AB2815,AB2822,AB2829,AB2836,AB2843,AB2850,AB2857)</f>
        <v>0</v>
      </c>
      <c r="AC2864" s="113" t="e">
        <f>AB2149/AB2864</f>
        <v>#DIV/0!</v>
      </c>
      <c r="AD2864" s="108">
        <f>SUM(AD2164,AD2171,AD2178,AD2185,AD2192,AD2199,AD2206,AD2213,AD2220,AD2227,AD2234,AD2241,AD2248,AD2255,AD2262,AD2269,AD2276,AD2283,AD2290,AD2297,AD2304,AD2311,AD2318,AD2325,AD2332,AD2339,AD2346,AD2353,AD2360)+SUM(AD2367,AD2374,AD2381,AD2388,AD2395,AD2402,AD2409,AD2416,AD2423,AD2430,AD2437,AD2444,AD2451,AD2458,AD2465,AD2472,AD2479,AD2486,AD2493,AD2500,AD2507,AD2514,AD2521,AD2528,AD2535,AD2542,AD2549,AD2556,AD2563)+SUM(AD2570,AD2577,AD2584,AD2591,AD2598,AD2605,AD2612,AD2619,AD2626,AD2633,AD2640,AD2647,AD2654,AD2661,AD2668,AD2675,AD2682,AD2689,AD2696,AD2703,AD2710,AD2717,AD2724,AD2731,AD2738,AD2745,AD2752,AD2759,AD2766,AD2773)+SUM(AD2780,AD2787,AD2794,AD2801,AD2808,AD2815,AD2822,AD2829,AD2836,AD2843,AD2850,AD2857)</f>
        <v>0</v>
      </c>
      <c r="AE2864" s="113" t="e">
        <f>AD2149/AD2864</f>
        <v>#DIV/0!</v>
      </c>
      <c r="AF2864" s="132">
        <f>SUM(T2864,V2864,X2864,Z2864,AB2864,AD2864)</f>
        <v>0</v>
      </c>
      <c r="AG2864" s="728"/>
      <c r="AH2864" s="133">
        <f>SUM(AF2864,R2864)</f>
        <v>0</v>
      </c>
      <c r="AI2864" s="728"/>
      <c r="AJ2864" s="65"/>
    </row>
    <row r="2865" spans="1:48" ht="12.75" hidden="1" customHeight="1" outlineLevel="1">
      <c r="B2865" s="82"/>
      <c r="C2865" s="1231"/>
      <c r="D2865" s="1231"/>
      <c r="E2865" s="84">
        <f>'Terms and Turnovers'!$AN$12</f>
        <v>0</v>
      </c>
      <c r="F2865" s="108">
        <f>SUM(F2165,F2172,F2179,F2186,F2193,F2200,F2207,F2214,F2221,F2228,F2235,F2242,F2249,F2256,F2263,F2270,F2277,F2284,F2291,F2298,F2305,F2312,F2319,F2326,F2333,F2340,F2347,F2354,F2361)+SUM(F2368,F2375,F2382,F2389,F2396,F2403,F2410,F2417,F2424,F2431,F2438,F2445,F2452,F2459,F2466,F2473,F2480,F2487,F2494,F2501,F2508,F2515,F2522,F2529,F2536,F2543,F2550,F2557,F2564)+SUM(F2571,F2578,F2585,F2592,F2599,F2606,F2613,F2620,F2627,F2634,F2641,F2648,F2655,F2662,F2669,F2676,F2683,F2690,F2697,F2704,F2711,F2718,F2725,F2732,F2739,F2746,F2753,F2760,F2767,F2774)+SUM(F2781,F2788,F2795,F2802,F2809,F2816,F2823,F2830,F2837,F2844,F2851,F2858)</f>
        <v>0</v>
      </c>
      <c r="G2865" s="113" t="e">
        <f>F2150/F2865</f>
        <v>#DIV/0!</v>
      </c>
      <c r="H2865" s="108">
        <f>SUM(H2165,H2172,H2179,H2186,H2193,H2200,H2207,H2214,H2221,H2228,H2235,H2242,H2249,H2256,H2263,H2270,H2277,H2284,H2291,H2298,H2305,H2312,H2319,H2326,H2333,H2340,H2347,H2354,H2361)+SUM(H2368,H2375,H2382,H2389,H2396,H2403,H2410,H2417,H2424,H2431,H2438,H2445,H2452,H2459,H2466,H2473,H2480,H2487,H2494,H2501,H2508,H2515,H2522,H2529,H2536,H2543,H2550,H2557,H2564)+SUM(H2571,H2578,H2585,H2592,H2599,H2606,H2613,H2620,H2627,H2634,H2641,H2648,H2655,H2662,H2669,H2676,H2683,H2690,H2697,H2704,H2711,H2718,H2725,H2732,H2739,H2746,H2753,H2760,H2767,H2774)+SUM(H2781,H2788,H2795,H2802,H2809,H2816,H2823,H2830,H2837,H2844,H2851,H2858)</f>
        <v>0</v>
      </c>
      <c r="I2865" s="113" t="e">
        <f>H2150/H2865</f>
        <v>#DIV/0!</v>
      </c>
      <c r="J2865" s="108">
        <f>SUM(J2165,J2172,J2179,J2186,J2193,J2200,J2207,J2214,J2221,J2228,J2235,J2242,J2249,J2256,J2263,J2270,J2277,J2284,J2291,J2298,J2305,J2312,J2319,J2326,J2333,J2340,J2347,J2354,J2361)+SUM(J2368,J2375,J2382,J2389,J2396,J2403,J2410,J2417,J2424,J2431,J2438,J2445,J2452,J2459,J2466,J2473,J2480,J2487,J2494,J2501,J2508,J2515,J2522,J2529,J2536,J2543,J2550,J2557,J2564)+SUM(J2571,J2578,J2585,J2592,J2599,J2606,J2613,J2620,J2627,J2634,J2641,J2648,J2655,J2662,J2669,J2676,J2683,J2690,J2697,J2704,J2711,J2718,J2725,J2732,J2739,J2746,J2753,J2760,J2767,J2774)+SUM(J2781,J2788,J2795,J2802,J2809,J2816,J2823,J2830,J2837,J2844,J2851,J2858)</f>
        <v>0</v>
      </c>
      <c r="K2865" s="113" t="e">
        <f>J2150/J2865</f>
        <v>#DIV/0!</v>
      </c>
      <c r="L2865" s="108">
        <f>SUM(L2165,L2172,L2179,L2186,L2193,L2200,L2207,L2214,L2221,L2228,L2235,L2242,L2249,L2256,L2263,L2270,L2277,L2284,L2291,L2298,L2305,L2312,L2319,L2326,L2333,L2340,L2347,L2354,L2361)+SUM(L2368,L2375,L2382,L2389,L2396,L2403,L2410,L2417,L2424,L2431,L2438,L2445,L2452,L2459,L2466,L2473,L2480,L2487,L2494,L2501,L2508,L2515,L2522,L2529,L2536,L2543,L2550,L2557,L2564)+SUM(L2571,L2578,L2585,L2592,L2599,L2606,L2613,L2620,L2627,L2634,L2641,L2648,L2655,L2662,L2669,L2676,L2683,L2690,L2697,L2704,L2711,L2718,L2725,L2732,L2739,L2746,L2753,L2760,L2767,L2774)+SUM(L2781,L2788,L2795,L2802,L2809,L2816,L2823,L2830,L2837,L2844,L2851,L2858)</f>
        <v>0</v>
      </c>
      <c r="M2865" s="113" t="e">
        <f>L2150/L2865</f>
        <v>#DIV/0!</v>
      </c>
      <c r="N2865" s="108">
        <f>SUM(N2165,N2172,N2179,N2186,N2193,N2200,N2207,N2214,N2221,N2228,N2235,N2242,N2249,N2256,N2263,N2270,N2277,N2284,N2291,N2298,N2305,N2312,N2319,N2326,N2333,N2340,N2347,N2354,N2361)+SUM(N2368,N2375,N2382,N2389,N2396,N2403,N2410,N2417,N2424,N2431,N2438,N2445,N2452,N2459,N2466,N2473,N2480,N2487,N2494,N2501,N2508,N2515,N2522,N2529,N2536,N2543,N2550,N2557,N2564)+SUM(N2571,N2578,N2585,N2592,N2599,N2606,N2613,N2620,N2627,N2634,N2641,N2648,N2655,N2662,N2669,N2676,N2683,N2690,N2697,N2704,N2711,N2718,N2725,N2732,N2739,N2746,N2753,N2760,N2767,N2774)+SUM(N2781,N2788,N2795,N2802,N2809,N2816,N2823,N2830,N2837,N2844,N2851,N2858)</f>
        <v>0</v>
      </c>
      <c r="O2865" s="113" t="e">
        <f>N2150/N2865</f>
        <v>#DIV/0!</v>
      </c>
      <c r="P2865" s="108">
        <f>SUM(P2165,P2172,P2179,P2186,P2193,P2200,P2207,P2214,P2221,P2228,P2235,P2242,P2249,P2256,P2263,P2270,P2277,P2284,P2291,P2298,P2305,P2312,P2319,P2326,P2333,P2340,P2347,P2354,P2361)+SUM(P2368,P2375,P2382,P2389,P2396,P2403,P2410,P2417,P2424,P2431,P2438,P2445,P2452,P2459,P2466,P2473,P2480,P2487,P2494,P2501,P2508,P2515,P2522,P2529,P2536,P2543,P2550,P2557,P2564)+SUM(P2571,P2578,P2585,P2592,P2599,P2606,P2613,P2620,P2627,P2634,P2641,P2648,P2655,P2662,P2669,P2676,P2683,P2690,P2697,P2704,P2711,P2718,P2725,P2732,P2739,P2746,P2753,P2760,P2767,P2774)+SUM(P2781,P2788,P2795,P2802,P2809,P2816,P2823,P2830,P2837,P2844,P2851,P2858)</f>
        <v>0</v>
      </c>
      <c r="Q2865" s="113" t="e">
        <f>P2150/P2865</f>
        <v>#DIV/0!</v>
      </c>
      <c r="R2865" s="132">
        <f>SUM(F2865,H2865,J2865,L2865,N2865,P2865)</f>
        <v>0</v>
      </c>
      <c r="S2865" s="728"/>
      <c r="T2865" s="108">
        <f>SUM(T2165,T2172,T2179,T2186,T2193,T2200,T2207,T2214,T2221,T2228,T2235,T2242,T2249,T2256,T2263,T2270,T2277,T2284,T2291,T2298,T2305,T2312,T2319,T2326,T2333,T2340,T2347,T2354,T2361)+SUM(T2368,T2375,T2382,T2389,T2396,T2403,T2410,T2417,T2424,T2431,T2438,T2445,T2452,T2459,T2466,T2473,T2480,T2487,T2494,T2501,T2508,T2515,T2522,T2529,T2536,T2543,T2550,T2557,T2564)+SUM(T2571,T2578,T2585,T2592,T2599,T2606,T2613,T2620,T2627,T2634,T2641,T2648,T2655,T2662,T2669,T2676,T2683,T2690,T2697,T2704,T2711,T2718,T2725,T2732,T2739,T2746,T2753,T2760,T2767,T2774)+SUM(T2781,T2788,T2795,T2802,T2809,T2816,T2823,T2830,T2837,T2844,T2851,T2858)</f>
        <v>0</v>
      </c>
      <c r="U2865" s="113" t="e">
        <f>T2150/T2865</f>
        <v>#DIV/0!</v>
      </c>
      <c r="V2865" s="108">
        <f>SUM(V2165,V2172,V2179,V2186,V2193,V2200,V2207,V2214,V2221,V2228,V2235,V2242,V2249,V2256,V2263,V2270,V2277,V2284,V2291,V2298,V2305,V2312,V2319,V2326,V2333,V2340,V2347,V2354,V2361)+SUM(V2368,V2375,V2382,V2389,V2396,V2403,V2410,V2417,V2424,V2431,V2438,V2445,V2452,V2459,V2466,V2473,V2480,V2487,V2494,V2501,V2508,V2515,V2522,V2529,V2536,V2543,V2550,V2557,V2564)+SUM(V2571,V2578,V2585,V2592,V2599,V2606,V2613,V2620,V2627,V2634,V2641,V2648,V2655,V2662,V2669,V2676,V2683,V2690,V2697,V2704,V2711,V2718,V2725,V2732,V2739,V2746,V2753,V2760,V2767,V2774)+SUM(V2781,V2788,V2795,V2802,V2809,V2816,V2823,V2830,V2837,V2844,V2851,V2858)</f>
        <v>0</v>
      </c>
      <c r="W2865" s="113" t="e">
        <f>V2150/V2865</f>
        <v>#DIV/0!</v>
      </c>
      <c r="X2865" s="108">
        <f>SUM(X2165,X2172,X2179,X2186,X2193,X2200,X2207,X2214,X2221,X2228,X2235,X2242,X2249,X2256,X2263,X2270,X2277,X2284,X2291,X2298,X2305,X2312,X2319,X2326,X2333,X2340,X2347,X2354,X2361)+SUM(X2368,X2375,X2382,X2389,X2396,X2403,X2410,X2417,X2424,X2431,X2438,X2445,X2452,X2459,X2466,X2473,X2480,X2487,X2494,X2501,X2508,X2515,X2522,X2529,X2536,X2543,X2550,X2557,X2564)+SUM(X2571,X2578,X2585,X2592,X2599,X2606,X2613,X2620,X2627,X2634,X2641,X2648,X2655,X2662,X2669,X2676,X2683,X2690,X2697,X2704,X2711,X2718,X2725,X2732,X2739,X2746,X2753,X2760,X2767,X2774)+SUM(X2781,X2788,X2795,X2802,X2809,X2816,X2823,X2830,X2837,X2844,X2851,X2858)</f>
        <v>0</v>
      </c>
      <c r="Y2865" s="113" t="e">
        <f>X2150/X2865</f>
        <v>#DIV/0!</v>
      </c>
      <c r="Z2865" s="108">
        <f>SUM(Z2165,Z2172,Z2179,Z2186,Z2193,Z2200,Z2207,Z2214,Z2221,Z2228,Z2235,Z2242,Z2249,Z2256,Z2263,Z2270,Z2277,Z2284,Z2291,Z2298,Z2305,Z2312,Z2319,Z2326,Z2333,Z2340,Z2347,Z2354,Z2361)+SUM(Z2368,Z2375,Z2382,Z2389,Z2396,Z2403,Z2410,Z2417,Z2424,Z2431,Z2438,Z2445,Z2452,Z2459,Z2466,Z2473,Z2480,Z2487,Z2494,Z2501,Z2508,Z2515,Z2522,Z2529,Z2536,Z2543,Z2550,Z2557,Z2564)+SUM(Z2571,Z2578,Z2585,Z2592,Z2599,Z2606,Z2613,Z2620,Z2627,Z2634,Z2641,Z2648,Z2655,Z2662,Z2669,Z2676,Z2683,Z2690,Z2697,Z2704,Z2711,Z2718,Z2725,Z2732,Z2739,Z2746,Z2753,Z2760,Z2767,Z2774)+SUM(Z2781,Z2788,Z2795,Z2802,Z2809,Z2816,Z2823,Z2830,Z2837,Z2844,Z2851,Z2858)</f>
        <v>0</v>
      </c>
      <c r="AA2865" s="113" t="e">
        <f>Z2150/Z2865</f>
        <v>#DIV/0!</v>
      </c>
      <c r="AB2865" s="108">
        <f>SUM(AB2165,AB2172,AB2179,AB2186,AB2193,AB2200,AB2207,AB2214,AB2221,AB2228,AB2235,AB2242,AB2249,AB2256,AB2263,AB2270,AB2277,AB2284,AB2291,AB2298,AB2305,AB2312,AB2319,AB2326,AB2333,AB2340,AB2347,AB2354,AB2361)+SUM(AB2368,AB2375,AB2382,AB2389,AB2396,AB2403,AB2410,AB2417,AB2424,AB2431,AB2438,AB2445,AB2452,AB2459,AB2466,AB2473,AB2480,AB2487,AB2494,AB2501,AB2508,AB2515,AB2522,AB2529,AB2536,AB2543,AB2550,AB2557,AB2564)+SUM(AB2571,AB2578,AB2585,AB2592,AB2599,AB2606,AB2613,AB2620,AB2627,AB2634,AB2641,AB2648,AB2655,AB2662,AB2669,AB2676,AB2683,AB2690,AB2697,AB2704,AB2711,AB2718,AB2725,AB2732,AB2739,AB2746,AB2753,AB2760,AB2767,AB2774)+SUM(AB2781,AB2788,AB2795,AB2802,AB2809,AB2816,AB2823,AB2830,AB2837,AB2844,AB2851,AB2858)</f>
        <v>0</v>
      </c>
      <c r="AC2865" s="113" t="e">
        <f>AB2150/AB2865</f>
        <v>#DIV/0!</v>
      </c>
      <c r="AD2865" s="108">
        <f>SUM(AD2165,AD2172,AD2179,AD2186,AD2193,AD2200,AD2207,AD2214,AD2221,AD2228,AD2235,AD2242,AD2249,AD2256,AD2263,AD2270,AD2277,AD2284,AD2291,AD2298,AD2305,AD2312,AD2319,AD2326,AD2333,AD2340,AD2347,AD2354,AD2361)+SUM(AD2368,AD2375,AD2382,AD2389,AD2396,AD2403,AD2410,AD2417,AD2424,AD2431,AD2438,AD2445,AD2452,AD2459,AD2466,AD2473,AD2480,AD2487,AD2494,AD2501,AD2508,AD2515,AD2522,AD2529,AD2536,AD2543,AD2550,AD2557,AD2564)+SUM(AD2571,AD2578,AD2585,AD2592,AD2599,AD2606,AD2613,AD2620,AD2627,AD2634,AD2641,AD2648,AD2655,AD2662,AD2669,AD2676,AD2683,AD2690,AD2697,AD2704,AD2711,AD2718,AD2725,AD2732,AD2739,AD2746,AD2753,AD2760,AD2767,AD2774)+SUM(AD2781,AD2788,AD2795,AD2802,AD2809,AD2816,AD2823,AD2830,AD2837,AD2844,AD2851,AD2858)</f>
        <v>0</v>
      </c>
      <c r="AE2865" s="113" t="e">
        <f>AD2150/AD2865</f>
        <v>#DIV/0!</v>
      </c>
      <c r="AF2865" s="132">
        <f>SUM(T2865,V2865,X2865,Z2865,AB2865,AD2865)</f>
        <v>0</v>
      </c>
      <c r="AG2865" s="728"/>
      <c r="AH2865" s="133">
        <f>SUM(AF2865,R2865)</f>
        <v>0</v>
      </c>
      <c r="AI2865" s="728"/>
      <c r="AJ2865" s="65"/>
    </row>
    <row r="2866" spans="1:48" ht="13.5" hidden="1" customHeight="1" outlineLevel="1" thickBot="1">
      <c r="B2866" s="82"/>
      <c r="C2866" s="1232"/>
      <c r="D2866" s="1232"/>
      <c r="E2866" s="85">
        <f>'Terms and Turnovers'!$AX$12</f>
        <v>0</v>
      </c>
      <c r="F2866" s="109">
        <f>SUM(F2166,F2173,F2180,F2187,F2194,F2201,F2208,F2215,F2222,F2229,F2236,F2243,F2250,F2257,F2264,F2271,F2278,F2285,F2292,F2299,F2306,F2313,F2320,F2327,F2334,F2341,F2348,F2355,F2362)+SUM(F2369,F2376,F2383,F2390,F2397,F2404,F2411,F2418,F2425,F2432,F2439,F2446,F2453,F2460,F2467,F2474,F2481,F2488,F2495,F2502,F2509,F2516,F2523,F2530,F2537,F2544,F2551,F2558,F2565)</f>
        <v>0</v>
      </c>
      <c r="G2866" s="114" t="e">
        <f>F2151/F2866</f>
        <v>#DIV/0!</v>
      </c>
      <c r="H2866" s="110">
        <f>SUM(H2166,H2173,H2180,H2187,H2194,H2201,H2208,H2215,H2222,H2229,H2236,H2243,H2250,H2257,H2264,H2271,H2278,H2285,H2292,H2299,H2306,H2313,H2320,H2327,H2334,H2341,H2348,H2355,H2362)+SUM(H2369,H2376,H2383,H2390,H2397,H2404,H2411,H2418,H2425,H2432,H2439,H2446,H2453,H2460,H2467,H2474,H2481,H2488,H2495,H2502,H2509,H2516,H2523,H2530,H2537,H2544,H2551,H2558,H2565)</f>
        <v>0</v>
      </c>
      <c r="I2866" s="114" t="e">
        <f>H2151/H2866</f>
        <v>#DIV/0!</v>
      </c>
      <c r="J2866" s="71">
        <f>SUM(J2166,J2173,J2180,J2187,J2194,J2201,J2208,J2215,J2222,J2229,J2236,J2243,J2250,J2257,J2264,J2271,J2278,J2285,J2292,J2299,J2306,J2313,J2320,J2327,J2334,J2341,J2348,J2355,J2362)+SUM(J2369,J2376,J2383,J2390,J2397,J2404,J2411,J2418,J2425,J2432,J2439,J2446,J2453,J2460,J2467,J2474,J2481,J2488,J2495,J2502,J2509,J2516,J2523,J2530,J2537,J2544,J2551,J2558,J2565)</f>
        <v>0</v>
      </c>
      <c r="K2866" s="114" t="e">
        <f>J2151/J2866</f>
        <v>#DIV/0!</v>
      </c>
      <c r="L2866" s="71">
        <f>SUM(L2166,L2173,L2180,L2187,L2194,L2201,L2208,L2215,L2222,L2229,L2236,L2243,L2250,L2257,L2264,L2271,L2278,L2285,L2292,L2299,L2306,L2313,L2320,L2327,L2334,L2341,L2348,L2355,L2362)+SUM(L2369,L2376,L2383,L2390,L2397,L2404,L2411,L2418,L2425,L2432,L2439,L2446,L2453,L2460,L2467,L2474,L2481,L2488,L2495,L2502,L2509,L2516,L2523,L2530,L2537,L2544,L2551,L2558,L2565)</f>
        <v>0</v>
      </c>
      <c r="M2866" s="114" t="e">
        <f>L2151/L2866</f>
        <v>#DIV/0!</v>
      </c>
      <c r="N2866" s="71">
        <f>SUM(N2166,N2173,N2180,N2187,N2194,N2201,N2208,N2215,N2222,N2229,N2236,N2243,N2250,N2257,N2264,N2271,N2278,N2285,N2292,N2299,N2306,N2313,N2320,N2327,N2334,N2341,N2348,N2355,N2362)+SUM(N2369,N2376,N2383,N2390,N2397,N2404,N2411,N2418,N2425,N2432,N2439,N2446,N2453,N2460,N2467,N2474,N2481,N2488,N2495,N2502,N2509,N2516,N2523,N2530,N2537,N2544,N2551,N2558,N2565)</f>
        <v>0</v>
      </c>
      <c r="O2866" s="114" t="e">
        <f>N2151/N2866</f>
        <v>#DIV/0!</v>
      </c>
      <c r="P2866" s="71">
        <f>SUM(P2166,P2173,P2180,P2187,P2194,P2201,P2208,P2215,P2222,P2229,P2236,P2243,P2250,P2257,P2264,P2271,P2278,P2285,P2292,P2299,P2306,P2313,P2320,P2327,P2334,P2341,P2348,P2355,P2362)+SUM(P2369,P2376,P2383,P2390,P2397,P2404,P2411,P2418,P2425,P2432,P2439,P2446,P2453,P2460,P2467,P2474,P2481,P2488,P2495,P2502,P2509,P2516,P2523,P2530,P2537,P2544,P2551,P2558,P2565)</f>
        <v>0</v>
      </c>
      <c r="Q2866" s="114" t="e">
        <f>P2151/P2866</f>
        <v>#DIV/0!</v>
      </c>
      <c r="R2866" s="132">
        <f>SUM(F2866,H2866,J2866,L2866,N2866,P2866)</f>
        <v>0</v>
      </c>
      <c r="S2866" s="107"/>
      <c r="T2866" s="109">
        <f>SUM(T2166,T2173,T2180,T2187,T2194,T2201,T2208,T2215,T2222,T2229,T2236,T2243,T2250,T2257,T2264,T2271,T2278,T2285,T2292,T2299,T2306,T2313,T2320,T2327,T2334,T2341,T2348,T2355,T2362)+SUM(T2369,T2376,T2383,T2390,T2397,T2404,T2411,T2418,T2425,T2432,T2439,T2446,T2453,T2460,T2467,T2474,T2481,T2488,T2495,T2502,T2509,T2516,T2523,T2530,T2537,T2544,T2551,T2558,T2565)</f>
        <v>0</v>
      </c>
      <c r="U2866" s="114" t="e">
        <f>T2151/T2866</f>
        <v>#DIV/0!</v>
      </c>
      <c r="V2866" s="110">
        <f>SUM(V2166,V2173,V2180,V2187,V2194,V2201,V2208,V2215,V2222,V2229,V2236,V2243,V2250,V2257,V2264,V2271,V2278,V2285,V2292,V2299,V2306,V2313,V2320,V2327,V2334,V2341,V2348,V2355,V2362)+SUM(V2369,V2376,V2383,V2390,V2397,V2404,V2411,V2418,V2425,V2432,V2439,V2446,V2453,V2460,V2467,V2474,V2481,V2488,V2495,V2502,V2509,V2516,V2523,V2530,V2537,V2544,V2551,V2558,V2565)</f>
        <v>0</v>
      </c>
      <c r="W2866" s="114" t="e">
        <f>V2151/V2866</f>
        <v>#DIV/0!</v>
      </c>
      <c r="X2866" s="71">
        <f>SUM(X2166,X2173,X2180,X2187,X2194,X2201,X2208,X2215,X2222,X2229,X2236,X2243,X2250,X2257,X2264,X2271,X2278,X2285,X2292,X2299,X2306,X2313,X2320,X2327,X2334,X2341,X2348,X2355,X2362)+SUM(X2369,X2376,X2383,X2390,X2397,X2404,X2411,X2418,X2425,X2432,X2439,X2446,X2453,X2460,X2467,X2474,X2481,X2488,X2495,X2502,X2509,X2516,X2523,X2530,X2537,X2544,X2551,X2558,X2565)</f>
        <v>0</v>
      </c>
      <c r="Y2866" s="114" t="e">
        <f>X2151/X2866</f>
        <v>#DIV/0!</v>
      </c>
      <c r="Z2866" s="71">
        <f>SUM(Z2166,Z2173,Z2180,Z2187,Z2194,Z2201,Z2208,Z2215,Z2222,Z2229,Z2236,Z2243,Z2250,Z2257,Z2264,Z2271,Z2278,Z2285,Z2292,Z2299,Z2306,Z2313,Z2320,Z2327,Z2334,Z2341,Z2348,Z2355,Z2362)+SUM(Z2369,Z2376,Z2383,Z2390,Z2397,Z2404,Z2411,Z2418,Z2425,Z2432,Z2439,Z2446,Z2453,Z2460,Z2467,Z2474,Z2481,Z2488,Z2495,Z2502,Z2509,Z2516,Z2523,Z2530,Z2537,Z2544,Z2551,Z2558,Z2565)</f>
        <v>0</v>
      </c>
      <c r="AA2866" s="114" t="e">
        <f>Z2151/Z2866</f>
        <v>#DIV/0!</v>
      </c>
      <c r="AB2866" s="71">
        <f>SUM(AB2166,AB2173,AB2180,AB2187,AB2194,AB2201,AB2208,AB2215,AB2222,AB2229,AB2236,AB2243,AB2250,AB2257,AB2264,AB2271,AB2278,AB2285,AB2292,AB2299,AB2306,AB2313,AB2320,AB2327,AB2334,AB2341,AB2348,AB2355,AB2362)+SUM(AB2369,AB2376,AB2383,AB2390,AB2397,AB2404,AB2411,AB2418,AB2425,AB2432,AB2439,AB2446,AB2453,AB2460,AB2467,AB2474,AB2481,AB2488,AB2495,AB2502,AB2509,AB2516,AB2523,AB2530,AB2537,AB2544,AB2551,AB2558,AB2565)</f>
        <v>0</v>
      </c>
      <c r="AC2866" s="114" t="e">
        <f>AB2151/AB2866</f>
        <v>#DIV/0!</v>
      </c>
      <c r="AD2866" s="71">
        <f>SUM(AD2166,AD2173,AD2180,AD2187,AD2194,AD2201,AD2208,AD2215,AD2222,AD2229,AD2236,AD2243,AD2250,AD2257,AD2264,AD2271,AD2278,AD2285,AD2292,AD2299,AD2306,AD2313,AD2320,AD2327,AD2334,AD2341,AD2348,AD2355,AD2362)+SUM(AD2369,AD2376,AD2383,AD2390,AD2397,AD2404,AD2411,AD2418,AD2425,AD2432,AD2439,AD2446,AD2453,AD2460,AD2467,AD2474,AD2481,AD2488,AD2495,AD2502,AD2509,AD2516,AD2523,AD2530,AD2537,AD2544,AD2551,AD2558,AD2565)</f>
        <v>0</v>
      </c>
      <c r="AE2866" s="114" t="e">
        <f>AD2151/AD2866</f>
        <v>#DIV/0!</v>
      </c>
      <c r="AF2866" s="132">
        <f>SUM(T2866,V2866,X2866,Z2866,AB2866,AD2866)</f>
        <v>0</v>
      </c>
      <c r="AG2866" s="107"/>
      <c r="AH2866" s="133">
        <f>SUM(AF2866,R2866)</f>
        <v>0</v>
      </c>
      <c r="AI2866" s="107"/>
      <c r="AJ2866" s="65"/>
    </row>
    <row r="2867" spans="1:48" collapsed="1">
      <c r="C2867" s="433"/>
      <c r="D2867" s="433"/>
      <c r="E2867" s="699"/>
      <c r="F2867" s="700"/>
      <c r="G2867" s="701"/>
      <c r="H2867" s="700"/>
      <c r="I2867" s="701"/>
      <c r="J2867" s="700"/>
      <c r="K2867" s="702"/>
      <c r="L2867" s="700"/>
      <c r="M2867" s="702"/>
      <c r="N2867" s="700"/>
      <c r="O2867" s="702"/>
      <c r="P2867" s="700"/>
      <c r="Q2867" s="702"/>
      <c r="R2867" s="705"/>
      <c r="S2867" s="698">
        <f>SUM(R2147:R2151)/1.18-(SUM(R2862:R2866)*'Mark Up Validation'!$M$175)</f>
        <v>0</v>
      </c>
      <c r="T2867" s="700"/>
      <c r="U2867" s="702"/>
      <c r="V2867" s="700"/>
      <c r="W2867" s="702"/>
      <c r="X2867" s="700"/>
      <c r="Y2867" s="702"/>
      <c r="Z2867" s="700"/>
      <c r="AA2867" s="702"/>
      <c r="AB2867" s="700"/>
      <c r="AC2867" s="702"/>
      <c r="AD2867" s="700"/>
      <c r="AE2867" s="702"/>
      <c r="AF2867" s="705"/>
      <c r="AG2867" s="709">
        <f>SUM(AF2147:AF2151)/1.18-SUM(AF2862:AF2866)*'Mark Up Validation'!$M$175</f>
        <v>23252.542372881355</v>
      </c>
      <c r="AH2867" s="706"/>
      <c r="AI2867" s="698">
        <f>SUM(AH2147:AH2151)/1.18-SUM(AH2862:AH2866)*'Mark Up Validation'!$M$175</f>
        <v>23252.542372881355</v>
      </c>
    </row>
    <row r="2868" spans="1:48" ht="13.5" thickBot="1">
      <c r="C2868" s="1228" t="s">
        <v>538</v>
      </c>
      <c r="D2868" s="1229"/>
      <c r="E2868" s="699"/>
      <c r="F2868" s="700"/>
      <c r="G2868" s="701"/>
      <c r="H2868" s="700"/>
      <c r="I2868" s="701"/>
      <c r="J2868" s="700"/>
      <c r="K2868" s="702"/>
      <c r="L2868" s="700"/>
      <c r="M2868" s="702"/>
      <c r="N2868" s="700"/>
      <c r="O2868" s="702"/>
      <c r="P2868" s="700"/>
      <c r="Q2868" s="702"/>
      <c r="R2868" s="703"/>
      <c r="S2868" s="729">
        <f>IF(S2867&gt;0,S2867/(SUM(R2147:R2151)/1.18),0)</f>
        <v>0</v>
      </c>
      <c r="T2868" s="704"/>
      <c r="U2868" s="702"/>
      <c r="V2868" s="700"/>
      <c r="W2868" s="702"/>
      <c r="X2868" s="700"/>
      <c r="Y2868" s="702"/>
      <c r="Z2868" s="700"/>
      <c r="AA2868" s="702"/>
      <c r="AB2868" s="700"/>
      <c r="AC2868" s="702"/>
      <c r="AD2868" s="700"/>
      <c r="AE2868" s="702"/>
      <c r="AF2868" s="705"/>
      <c r="AG2868" s="729">
        <f>IF(AG2867&gt;0,AG2867/(SUM(AF2147:AF2151)/1.18),0)</f>
        <v>1</v>
      </c>
      <c r="AH2868" s="706"/>
      <c r="AI2868" s="729">
        <f>IF(AI2867&gt;0,AI2867/(SUM(AH2147:AH2151)/1.18),0)</f>
        <v>1</v>
      </c>
    </row>
    <row r="2869" spans="1:48">
      <c r="P2869" s="789"/>
    </row>
    <row r="2871" spans="1:48" ht="16.5" thickBot="1">
      <c r="C2871" s="767" t="s">
        <v>537</v>
      </c>
      <c r="P2871" s="360"/>
      <c r="T2871" s="360"/>
    </row>
    <row r="2872" spans="1:48" ht="14.25" customHeight="1">
      <c r="A2872" s="73"/>
      <c r="B2872" s="78"/>
      <c r="C2872" s="79"/>
      <c r="D2872" s="80"/>
      <c r="E2872" s="80"/>
      <c r="F2872" s="126">
        <f>SUM(F3576:F3580)</f>
        <v>0</v>
      </c>
      <c r="G2872" s="165"/>
      <c r="H2872" s="126">
        <f>SUM(H3576:H3580)</f>
        <v>0</v>
      </c>
      <c r="I2872" s="165"/>
      <c r="J2872" s="126">
        <f>SUM(J3576:J3580)</f>
        <v>0</v>
      </c>
      <c r="K2872" s="165"/>
      <c r="L2872" s="126">
        <f>SUM(L3576:L3580)</f>
        <v>0</v>
      </c>
      <c r="M2872" s="165"/>
      <c r="N2872" s="126">
        <f>SUM(N3576:N3580)</f>
        <v>0</v>
      </c>
      <c r="O2872" s="165"/>
      <c r="P2872" s="126">
        <f>SUM(P3576:P3580)</f>
        <v>0</v>
      </c>
      <c r="Q2872" s="165"/>
      <c r="R2872" s="116">
        <f>SUM(R3576:R3580)</f>
        <v>0</v>
      </c>
      <c r="S2872" s="63"/>
      <c r="T2872" s="126">
        <f>SUM(T3576:T3580)</f>
        <v>0</v>
      </c>
      <c r="U2872" s="165"/>
      <c r="V2872" s="126">
        <f>SUM(V3576:V3580)</f>
        <v>0</v>
      </c>
      <c r="W2872" s="165"/>
      <c r="X2872" s="126">
        <f>SUM(X3576:X3580)</f>
        <v>23252.542372881355</v>
      </c>
      <c r="Y2872" s="165"/>
      <c r="Z2872" s="126">
        <f>SUM(Z3576:Z3580)</f>
        <v>0</v>
      </c>
      <c r="AA2872" s="165"/>
      <c r="AB2872" s="126">
        <f>SUM(AB3576:AB3580)</f>
        <v>0</v>
      </c>
      <c r="AC2872" s="165"/>
      <c r="AD2872" s="126">
        <f>SUM(AD3576:AD3580)</f>
        <v>0</v>
      </c>
      <c r="AE2872" s="165"/>
      <c r="AF2872" s="116">
        <f>SUM(AF3576:AF3580)</f>
        <v>23252.542372881355</v>
      </c>
      <c r="AG2872" s="63"/>
      <c r="AH2872" s="275">
        <f>SUM(R2872,AF2872)</f>
        <v>23252.542372881355</v>
      </c>
      <c r="AI2872" s="63"/>
      <c r="AJ2872" s="64"/>
    </row>
    <row r="2873" spans="1:48" ht="5.45" customHeight="1" outlineLevel="1" thickBot="1">
      <c r="A2873" s="101"/>
      <c r="B2873" s="101"/>
      <c r="C2873" s="102"/>
      <c r="D2873" s="102"/>
      <c r="E2873" s="102"/>
      <c r="F2873" s="138"/>
      <c r="G2873" s="138"/>
      <c r="H2873" s="138"/>
      <c r="I2873" s="138"/>
      <c r="J2873" s="138"/>
      <c r="K2873" s="138"/>
      <c r="L2873" s="138"/>
      <c r="M2873" s="138"/>
      <c r="N2873" s="138"/>
      <c r="O2873" s="138"/>
      <c r="P2873" s="138"/>
      <c r="Q2873" s="138"/>
      <c r="R2873" s="138"/>
      <c r="S2873" s="138"/>
      <c r="T2873" s="138"/>
      <c r="U2873" s="138"/>
      <c r="V2873" s="138"/>
      <c r="W2873" s="138"/>
      <c r="X2873" s="138"/>
      <c r="Y2873" s="138"/>
      <c r="Z2873" s="138"/>
      <c r="AA2873" s="138"/>
      <c r="AB2873" s="138"/>
      <c r="AC2873" s="138"/>
      <c r="AD2873" s="138"/>
      <c r="AE2873" s="138"/>
      <c r="AF2873" s="138"/>
      <c r="AG2873" s="138"/>
      <c r="AH2873" s="138"/>
      <c r="AI2873" s="138"/>
      <c r="AJ2873" s="65"/>
    </row>
    <row r="2874" spans="1:48" ht="13.5" customHeight="1" outlineLevel="1" thickBot="1">
      <c r="A2874" s="73"/>
      <c r="B2874" s="81"/>
      <c r="C2874" s="1242" t="s">
        <v>172</v>
      </c>
      <c r="D2874" s="1242" t="s">
        <v>169</v>
      </c>
      <c r="E2874" s="1242" t="s">
        <v>479</v>
      </c>
      <c r="F2874" s="1236" t="s">
        <v>29</v>
      </c>
      <c r="G2874" s="1237"/>
      <c r="H2874" s="1236" t="s">
        <v>30</v>
      </c>
      <c r="I2874" s="1237"/>
      <c r="J2874" s="1236" t="s">
        <v>31</v>
      </c>
      <c r="K2874" s="1237"/>
      <c r="L2874" s="1236" t="s">
        <v>32</v>
      </c>
      <c r="M2874" s="1237"/>
      <c r="N2874" s="1236" t="s">
        <v>33</v>
      </c>
      <c r="O2874" s="1237"/>
      <c r="P2874" s="1236" t="s">
        <v>34</v>
      </c>
      <c r="Q2874" s="1237"/>
      <c r="R2874" s="1238" t="s">
        <v>480</v>
      </c>
      <c r="S2874" s="1239"/>
      <c r="T2874" s="1236" t="s">
        <v>37</v>
      </c>
      <c r="U2874" s="1237"/>
      <c r="V2874" s="1236" t="s">
        <v>38</v>
      </c>
      <c r="W2874" s="1237"/>
      <c r="X2874" s="1236" t="s">
        <v>39</v>
      </c>
      <c r="Y2874" s="1237"/>
      <c r="Z2874" s="1236" t="s">
        <v>40</v>
      </c>
      <c r="AA2874" s="1237"/>
      <c r="AB2874" s="1236" t="s">
        <v>41</v>
      </c>
      <c r="AC2874" s="1237"/>
      <c r="AD2874" s="1236" t="s">
        <v>42</v>
      </c>
      <c r="AE2874" s="1237"/>
      <c r="AF2874" s="1238" t="s">
        <v>481</v>
      </c>
      <c r="AG2874" s="1239"/>
      <c r="AH2874" s="1240" t="s">
        <v>482</v>
      </c>
      <c r="AI2874" s="1241"/>
      <c r="AJ2874" s="65"/>
    </row>
    <row r="2875" spans="1:48" ht="13.5" customHeight="1" outlineLevel="1" thickBot="1">
      <c r="A2875" s="73"/>
      <c r="B2875" s="81"/>
      <c r="C2875" s="1244"/>
      <c r="D2875" s="1243"/>
      <c r="E2875" s="1243"/>
      <c r="F2875" s="66" t="s">
        <v>35</v>
      </c>
      <c r="G2875" s="66" t="s">
        <v>36</v>
      </c>
      <c r="H2875" s="66" t="s">
        <v>35</v>
      </c>
      <c r="I2875" s="66" t="s">
        <v>36</v>
      </c>
      <c r="J2875" s="66" t="s">
        <v>35</v>
      </c>
      <c r="K2875" s="66" t="s">
        <v>36</v>
      </c>
      <c r="L2875" s="66" t="s">
        <v>35</v>
      </c>
      <c r="M2875" s="66" t="s">
        <v>36</v>
      </c>
      <c r="N2875" s="66" t="s">
        <v>35</v>
      </c>
      <c r="O2875" s="66" t="s">
        <v>36</v>
      </c>
      <c r="P2875" s="66" t="s">
        <v>35</v>
      </c>
      <c r="Q2875" s="67" t="s">
        <v>36</v>
      </c>
      <c r="R2875" s="127" t="s">
        <v>35</v>
      </c>
      <c r="S2875" s="127" t="s">
        <v>36</v>
      </c>
      <c r="T2875" s="66" t="s">
        <v>35</v>
      </c>
      <c r="U2875" s="66" t="s">
        <v>36</v>
      </c>
      <c r="V2875" s="66" t="s">
        <v>35</v>
      </c>
      <c r="W2875" s="66" t="s">
        <v>36</v>
      </c>
      <c r="X2875" s="66" t="s">
        <v>35</v>
      </c>
      <c r="Y2875" s="66" t="s">
        <v>36</v>
      </c>
      <c r="Z2875" s="66" t="s">
        <v>35</v>
      </c>
      <c r="AA2875" s="66" t="s">
        <v>36</v>
      </c>
      <c r="AB2875" s="66" t="s">
        <v>35</v>
      </c>
      <c r="AC2875" s="66" t="s">
        <v>36</v>
      </c>
      <c r="AD2875" s="66" t="s">
        <v>35</v>
      </c>
      <c r="AE2875" s="67" t="s">
        <v>36</v>
      </c>
      <c r="AF2875" s="127" t="s">
        <v>35</v>
      </c>
      <c r="AG2875" s="127" t="s">
        <v>36</v>
      </c>
      <c r="AH2875" s="128" t="s">
        <v>35</v>
      </c>
      <c r="AI2875" s="128" t="s">
        <v>36</v>
      </c>
      <c r="AJ2875" s="65"/>
    </row>
    <row r="2876" spans="1:48" ht="12.75" customHeight="1" outlineLevel="2" thickBot="1">
      <c r="A2876" s="82">
        <v>1</v>
      </c>
      <c r="B2876" s="82">
        <f>B2161</f>
        <v>0</v>
      </c>
      <c r="C2876" s="1233">
        <f>C6</f>
        <v>0</v>
      </c>
      <c r="D2876" s="1233" t="str">
        <f>D6</f>
        <v>Вайлдберриз ООО</v>
      </c>
      <c r="E2876" s="103" t="str">
        <f>'Terms and Turnovers'!$J$12</f>
        <v>FLIP-FLOPS</v>
      </c>
      <c r="F2876" s="68">
        <f>F1447/1.18-F2162*'Mark Up Validation'!$M$175</f>
        <v>0</v>
      </c>
      <c r="G2876" s="69"/>
      <c r="H2876" s="68">
        <f>H1447/1.18-H2162*'Mark Up Validation'!$M$175</f>
        <v>0</v>
      </c>
      <c r="I2876" s="69"/>
      <c r="J2876" s="68">
        <f>J1447/1.18-J2162*'Mark Up Validation'!$M$175</f>
        <v>0</v>
      </c>
      <c r="K2876" s="106"/>
      <c r="L2876" s="68">
        <f>L1447/1.18-L2162*'Mark Up Validation'!$M$175</f>
        <v>0</v>
      </c>
      <c r="M2876" s="106"/>
      <c r="N2876" s="68">
        <f>N1447/1.18-N2162*'Mark Up Validation'!$M$175</f>
        <v>0</v>
      </c>
      <c r="O2876" s="106"/>
      <c r="P2876" s="68">
        <f>P1447/1.18-P2162*'Mark Up Validation'!$M$175</f>
        <v>0</v>
      </c>
      <c r="Q2876" s="106"/>
      <c r="R2876" s="129">
        <f>SUM(F2876,H2876,J2876,L2876,N2876,P2876)</f>
        <v>0</v>
      </c>
      <c r="S2876" s="106"/>
      <c r="T2876" s="68">
        <f>T1447/1.18-T2162*'Mark Up Validation'!$S$175</f>
        <v>0</v>
      </c>
      <c r="U2876" s="106"/>
      <c r="V2876" s="68">
        <f>V1447/1.18-V2162*'Mark Up Validation'!$S$175</f>
        <v>0</v>
      </c>
      <c r="W2876" s="106"/>
      <c r="X2876" s="68">
        <f>X1447/1.18-X2162*'Mark Up Validation'!$S$175</f>
        <v>0</v>
      </c>
      <c r="Y2876" s="106"/>
      <c r="Z2876" s="68">
        <f>Z1447/1.18-Z2162*'Mark Up Validation'!$S$175</f>
        <v>0</v>
      </c>
      <c r="AA2876" s="106"/>
      <c r="AB2876" s="68">
        <f>AB1447/1.18-AB2162*'Mark Up Validation'!$S$175</f>
        <v>0</v>
      </c>
      <c r="AC2876" s="106"/>
      <c r="AD2876" s="68">
        <f>AD1447/1.18-AD2162*'Mark Up Validation'!$S$175</f>
        <v>0</v>
      </c>
      <c r="AE2876" s="106"/>
      <c r="AF2876" s="129">
        <f>SUM(T2876,V2876,X2876,Z2876,AB2876,AD2876)</f>
        <v>0</v>
      </c>
      <c r="AG2876" s="106"/>
      <c r="AH2876" s="130">
        <f>SUM(AF2876,R2876)</f>
        <v>0</v>
      </c>
      <c r="AI2876" s="106"/>
      <c r="AJ2876" s="65"/>
      <c r="AV2876" s="56"/>
    </row>
    <row r="2877" spans="1:48" ht="12.75" customHeight="1" outlineLevel="2" thickBot="1">
      <c r="A2877" s="119"/>
      <c r="B2877" s="82"/>
      <c r="C2877" s="1234"/>
      <c r="D2877" s="1234"/>
      <c r="E2877" s="104" t="str">
        <f>'Terms and Turnovers'!$T$12</f>
        <v>ORIGINALS</v>
      </c>
      <c r="F2877" s="68">
        <f>F1448/1.18-F2163*'Mark Up Validation'!$M$175</f>
        <v>0</v>
      </c>
      <c r="G2877" s="723"/>
      <c r="H2877" s="68">
        <f>H1448/1.18-H2163*'Mark Up Validation'!$M$175</f>
        <v>0</v>
      </c>
      <c r="I2877" s="723"/>
      <c r="J2877" s="68">
        <f>J1448/1.18-J2163*'Mark Up Validation'!$M$175</f>
        <v>0</v>
      </c>
      <c r="K2877" s="728"/>
      <c r="L2877" s="68">
        <f>L1448/1.18-L2163*'Mark Up Validation'!$M$175</f>
        <v>0</v>
      </c>
      <c r="M2877" s="728"/>
      <c r="N2877" s="68">
        <f>N1448/1.18-N2163*'Mark Up Validation'!$M$175</f>
        <v>0</v>
      </c>
      <c r="O2877" s="728"/>
      <c r="P2877" s="68">
        <f>P1448/1.18-P2163*'Mark Up Validation'!$M$175</f>
        <v>0</v>
      </c>
      <c r="Q2877" s="728"/>
      <c r="R2877" s="132">
        <f>SUM(F2877,H2877,J2877,L2877,N2877,P2877)</f>
        <v>0</v>
      </c>
      <c r="S2877" s="728"/>
      <c r="T2877" s="68">
        <f>T1448/1.18-T2163*'Mark Up Validation'!$S$175</f>
        <v>0</v>
      </c>
      <c r="U2877" s="728"/>
      <c r="V2877" s="68">
        <f>V1448/1.18-V2163*'Mark Up Validation'!$S$175</f>
        <v>0</v>
      </c>
      <c r="W2877" s="728"/>
      <c r="X2877" s="68">
        <f>X1448/1.18-X2163*'Mark Up Validation'!$S$175</f>
        <v>0</v>
      </c>
      <c r="Y2877" s="728"/>
      <c r="Z2877" s="68">
        <f>Z1448/1.18-Z2163*'Mark Up Validation'!$S$175</f>
        <v>0</v>
      </c>
      <c r="AA2877" s="728"/>
      <c r="AB2877" s="68">
        <f>AB1448/1.18-AB2163*'Mark Up Validation'!$S$175</f>
        <v>0</v>
      </c>
      <c r="AC2877" s="728"/>
      <c r="AD2877" s="68">
        <f>AD1448/1.18-AD2163*'Mark Up Validation'!$S$175</f>
        <v>0</v>
      </c>
      <c r="AE2877" s="728"/>
      <c r="AF2877" s="132">
        <f>SUM(T2877,V2877,X2877,Z2877,AB2877,AD2877)</f>
        <v>0</v>
      </c>
      <c r="AG2877" s="728"/>
      <c r="AH2877" s="133">
        <f>SUM(AF2877,R2877)</f>
        <v>0</v>
      </c>
      <c r="AI2877" s="728"/>
      <c r="AJ2877" s="65"/>
      <c r="AV2877" s="56"/>
    </row>
    <row r="2878" spans="1:48" ht="12.75" customHeight="1" outlineLevel="2" thickBot="1">
      <c r="A2878" s="119"/>
      <c r="B2878" s="82"/>
      <c r="C2878" s="1234"/>
      <c r="D2878" s="1234"/>
      <c r="E2878" s="104" t="str">
        <f>'Terms and Turnovers'!$AD$12</f>
        <v>ACCESSORIES</v>
      </c>
      <c r="F2878" s="68">
        <f>F1449/1.18-F2164*'Mark Up Validation'!$M$175</f>
        <v>0</v>
      </c>
      <c r="G2878" s="723"/>
      <c r="H2878" s="68">
        <f>H1449/1.18-H2164*'Mark Up Validation'!$M$175</f>
        <v>0</v>
      </c>
      <c r="I2878" s="723"/>
      <c r="J2878" s="68">
        <f>J1449/1.18-J2164*'Mark Up Validation'!$M$175</f>
        <v>0</v>
      </c>
      <c r="K2878" s="728"/>
      <c r="L2878" s="68">
        <f>L1449/1.18-L2164*'Mark Up Validation'!$M$175</f>
        <v>0</v>
      </c>
      <c r="M2878" s="728"/>
      <c r="N2878" s="68">
        <f>N1449/1.18-N2164*'Mark Up Validation'!$M$175</f>
        <v>0</v>
      </c>
      <c r="O2878" s="728"/>
      <c r="P2878" s="68">
        <f>P1449/1.18-P2164*'Mark Up Validation'!$M$175</f>
        <v>0</v>
      </c>
      <c r="Q2878" s="728"/>
      <c r="R2878" s="132">
        <f>SUM(F2878,H2878,J2878,L2878,N2878,P2878)</f>
        <v>0</v>
      </c>
      <c r="S2878" s="728"/>
      <c r="T2878" s="68">
        <f>T1449/1.18-T2164*'Mark Up Validation'!$S$175</f>
        <v>0</v>
      </c>
      <c r="U2878" s="728"/>
      <c r="V2878" s="68">
        <f>V1449/1.18-V2164*'Mark Up Validation'!$S$175</f>
        <v>0</v>
      </c>
      <c r="W2878" s="728"/>
      <c r="X2878" s="68">
        <f>X1449/1.18-X2164*'Mark Up Validation'!$S$175</f>
        <v>0</v>
      </c>
      <c r="Y2878" s="728"/>
      <c r="Z2878" s="68">
        <f>Z1449/1.18-Z2164*'Mark Up Validation'!$S$175</f>
        <v>0</v>
      </c>
      <c r="AA2878" s="728"/>
      <c r="AB2878" s="68">
        <f>AB1449/1.18-AB2164*'Mark Up Validation'!$S$175</f>
        <v>0</v>
      </c>
      <c r="AC2878" s="728"/>
      <c r="AD2878" s="68">
        <f>AD1449/1.18-AD2164*'Mark Up Validation'!$S$175</f>
        <v>0</v>
      </c>
      <c r="AE2878" s="728"/>
      <c r="AF2878" s="132">
        <f>SUM(T2878,V2878,X2878,Z2878,AB2878,AD2878)</f>
        <v>0</v>
      </c>
      <c r="AG2878" s="728"/>
      <c r="AH2878" s="133">
        <f>SUM(AF2878,R2878)</f>
        <v>0</v>
      </c>
      <c r="AI2878" s="728"/>
      <c r="AJ2878" s="65"/>
      <c r="AV2878" s="56"/>
    </row>
    <row r="2879" spans="1:48" ht="12.75" customHeight="1" outlineLevel="2" thickBot="1">
      <c r="A2879" s="119"/>
      <c r="B2879" s="82"/>
      <c r="C2879" s="1234"/>
      <c r="D2879" s="1234"/>
      <c r="E2879" s="104">
        <f>'Terms and Turnovers'!$AN$12</f>
        <v>0</v>
      </c>
      <c r="F2879" s="68">
        <f>F1450/1.18-F2165*'Mark Up Validation'!$M$175</f>
        <v>0</v>
      </c>
      <c r="G2879" s="723"/>
      <c r="H2879" s="68">
        <f>H1450/1.18-H2165*'Mark Up Validation'!$M$175</f>
        <v>0</v>
      </c>
      <c r="I2879" s="723"/>
      <c r="J2879" s="68">
        <f>J1450/1.18-J2165*'Mark Up Validation'!$M$175</f>
        <v>0</v>
      </c>
      <c r="K2879" s="728"/>
      <c r="L2879" s="68">
        <f>L1450/1.18-L2165*'Mark Up Validation'!$M$175</f>
        <v>0</v>
      </c>
      <c r="M2879" s="728"/>
      <c r="N2879" s="68">
        <f>N1450/1.18-N2165*'Mark Up Validation'!$M$175</f>
        <v>0</v>
      </c>
      <c r="O2879" s="728"/>
      <c r="P2879" s="68">
        <f>P1450/1.18-P2165*'Mark Up Validation'!$M$175</f>
        <v>0</v>
      </c>
      <c r="Q2879" s="728"/>
      <c r="R2879" s="132">
        <f>SUM(F2879,H2879,J2879,L2879,N2879,P2879)</f>
        <v>0</v>
      </c>
      <c r="S2879" s="728"/>
      <c r="T2879" s="68">
        <f>T1450/1.18-T2165*'Mark Up Validation'!$S$175</f>
        <v>0</v>
      </c>
      <c r="U2879" s="728"/>
      <c r="V2879" s="68">
        <f>V1450/1.18-V2165*'Mark Up Validation'!$S$175</f>
        <v>0</v>
      </c>
      <c r="W2879" s="728"/>
      <c r="X2879" s="68">
        <f>X1450/1.18-X2165*'Mark Up Validation'!$S$175</f>
        <v>0</v>
      </c>
      <c r="Y2879" s="728"/>
      <c r="Z2879" s="68">
        <f>Z1450/1.18-Z2165*'Mark Up Validation'!$S$175</f>
        <v>0</v>
      </c>
      <c r="AA2879" s="728"/>
      <c r="AB2879" s="68">
        <f>AB1450/1.18-AB2165*'Mark Up Validation'!$S$175</f>
        <v>0</v>
      </c>
      <c r="AC2879" s="728"/>
      <c r="AD2879" s="68">
        <f>AD1450/1.18-AD2165*'Mark Up Validation'!$S$175</f>
        <v>0</v>
      </c>
      <c r="AE2879" s="728"/>
      <c r="AF2879" s="132">
        <f>SUM(T2879,V2879,X2879,Z2879,AB2879,AD2879)</f>
        <v>0</v>
      </c>
      <c r="AG2879" s="728"/>
      <c r="AH2879" s="133">
        <f>SUM(AF2879,R2879)</f>
        <v>0</v>
      </c>
      <c r="AI2879" s="728"/>
      <c r="AJ2879" s="65"/>
      <c r="AV2879" s="56"/>
    </row>
    <row r="2880" spans="1:48" ht="13.5" customHeight="1" outlineLevel="2" thickBot="1">
      <c r="A2880" s="119"/>
      <c r="B2880" s="82"/>
      <c r="C2880" s="1235"/>
      <c r="D2880" s="1235"/>
      <c r="E2880" s="105">
        <f>'Terms and Turnovers'!$AX$12</f>
        <v>0</v>
      </c>
      <c r="F2880" s="68">
        <f>F1451/1.18-F2166*'Mark Up Validation'!$M$175</f>
        <v>0</v>
      </c>
      <c r="G2880" s="72"/>
      <c r="H2880" s="68">
        <f>H1451/1.18-H2166*'Mark Up Validation'!$M$175</f>
        <v>0</v>
      </c>
      <c r="I2880" s="72"/>
      <c r="J2880" s="68">
        <f>J1451/1.18-J2166*'Mark Up Validation'!$M$175</f>
        <v>0</v>
      </c>
      <c r="K2880" s="107"/>
      <c r="L2880" s="68">
        <f>L1451/1.18-L2166*'Mark Up Validation'!$M$175</f>
        <v>0</v>
      </c>
      <c r="M2880" s="107"/>
      <c r="N2880" s="68">
        <f>N1451/1.18-N2166*'Mark Up Validation'!$M$175</f>
        <v>0</v>
      </c>
      <c r="O2880" s="107"/>
      <c r="P2880" s="68">
        <f>P1451/1.18-P2166*'Mark Up Validation'!$M$175</f>
        <v>0</v>
      </c>
      <c r="Q2880" s="107"/>
      <c r="R2880" s="135">
        <f>SUM(F2880,H2880,J2880,L2880,N2880,P2880)</f>
        <v>0</v>
      </c>
      <c r="S2880" s="107"/>
      <c r="T2880" s="68">
        <f>T1451/1.18-T2166*'Mark Up Validation'!$S$175</f>
        <v>0</v>
      </c>
      <c r="U2880" s="107"/>
      <c r="V2880" s="68">
        <f>V1451/1.18-V2166*'Mark Up Validation'!$S$175</f>
        <v>0</v>
      </c>
      <c r="W2880" s="107"/>
      <c r="X2880" s="68">
        <f>X1451/1.18-X2166*'Mark Up Validation'!$S$175</f>
        <v>0</v>
      </c>
      <c r="Y2880" s="107"/>
      <c r="Z2880" s="68">
        <f>Z1451/1.18-Z2166*'Mark Up Validation'!$S$175</f>
        <v>0</v>
      </c>
      <c r="AA2880" s="107"/>
      <c r="AB2880" s="68">
        <f>AB1451/1.18-AB2166*'Mark Up Validation'!$S$175</f>
        <v>0</v>
      </c>
      <c r="AC2880" s="107"/>
      <c r="AD2880" s="68">
        <f>AD1451/1.18-AD2166*'Mark Up Validation'!$S$175</f>
        <v>0</v>
      </c>
      <c r="AE2880" s="107"/>
      <c r="AF2880" s="135">
        <f>SUM(T2880,V2880,X2880,Z2880,AB2880,AD2880)</f>
        <v>0</v>
      </c>
      <c r="AG2880" s="107"/>
      <c r="AH2880" s="136">
        <f>SUM(AF2880,R2880)</f>
        <v>0</v>
      </c>
      <c r="AI2880" s="107"/>
      <c r="AJ2880" s="65"/>
      <c r="AV2880" s="56"/>
    </row>
    <row r="2881" spans="1:48" ht="13.5" customHeight="1" outlineLevel="2">
      <c r="A2881" s="119"/>
      <c r="B2881" s="82"/>
      <c r="C2881" s="425"/>
      <c r="D2881" s="425"/>
      <c r="E2881" s="634"/>
      <c r="F2881" s="635"/>
      <c r="G2881" s="428"/>
      <c r="H2881" s="635"/>
      <c r="I2881" s="428"/>
      <c r="J2881" s="635"/>
      <c r="K2881" s="636"/>
      <c r="L2881" s="635"/>
      <c r="M2881" s="636"/>
      <c r="N2881" s="635"/>
      <c r="O2881" s="636"/>
      <c r="P2881" s="635"/>
      <c r="Q2881" s="636"/>
      <c r="R2881" s="637"/>
      <c r="S2881" s="698">
        <f>SUM(R2161:R2165)/1.18-(SUM(R2876:R2880)*'Mark Up Validation'!$M$175)</f>
        <v>0</v>
      </c>
      <c r="T2881" s="635"/>
      <c r="U2881" s="636"/>
      <c r="V2881" s="635"/>
      <c r="W2881" s="636"/>
      <c r="X2881" s="635"/>
      <c r="Y2881" s="636"/>
      <c r="Z2881" s="635"/>
      <c r="AA2881" s="636"/>
      <c r="AB2881" s="635"/>
      <c r="AC2881" s="636"/>
      <c r="AD2881" s="635"/>
      <c r="AE2881" s="636"/>
      <c r="AF2881" s="637"/>
      <c r="AG2881" s="698">
        <f>SUM(AF2161:AF2165)/1.18-(SUM(AF2876:AF2880)*'Mark Up Validation'!$M$175)</f>
        <v>0</v>
      </c>
      <c r="AH2881" s="638"/>
      <c r="AI2881" s="698">
        <f>SUM(AH2161:AH2165)/1.18-SUM(AH2876:AH2880)*'Mark Up Validation'!$M$175</f>
        <v>0</v>
      </c>
      <c r="AJ2881" s="65"/>
      <c r="AV2881" s="56"/>
    </row>
    <row r="2882" spans="1:48" ht="13.5" customHeight="1" outlineLevel="2" thickBot="1">
      <c r="A2882" s="119"/>
      <c r="B2882" s="82"/>
      <c r="C2882" s="1228" t="s">
        <v>539</v>
      </c>
      <c r="D2882" s="1229"/>
      <c r="E2882" s="699"/>
      <c r="F2882" s="700">
        <f>SUM(F2876:F2880)</f>
        <v>0</v>
      </c>
      <c r="G2882" s="701"/>
      <c r="H2882" s="700">
        <f>SUM(H2876:H2880)</f>
        <v>0</v>
      </c>
      <c r="I2882" s="701"/>
      <c r="J2882" s="700">
        <f>SUM(J2876:J2880)</f>
        <v>0</v>
      </c>
      <c r="K2882" s="702"/>
      <c r="L2882" s="700">
        <f>SUM(L2876:L2880)</f>
        <v>0</v>
      </c>
      <c r="M2882" s="702"/>
      <c r="N2882" s="700">
        <f>SUM(N2876:N2880)</f>
        <v>0</v>
      </c>
      <c r="O2882" s="702"/>
      <c r="P2882" s="700">
        <f>SUM(P2876:P2880)</f>
        <v>0</v>
      </c>
      <c r="Q2882" s="702"/>
      <c r="R2882" s="703"/>
      <c r="S2882" s="729">
        <f>IF(S2881&gt;0,S2881/(SUM(R2161:R2165)/1.18),0)</f>
        <v>0</v>
      </c>
      <c r="T2882" s="700">
        <f>SUM(T2876:T2880)</f>
        <v>0</v>
      </c>
      <c r="U2882" s="702"/>
      <c r="V2882" s="700">
        <f>SUM(V2876:V2880)</f>
        <v>0</v>
      </c>
      <c r="W2882" s="702"/>
      <c r="X2882" s="700">
        <f>SUM(X2876:X2880)</f>
        <v>0</v>
      </c>
      <c r="Y2882" s="702"/>
      <c r="Z2882" s="700">
        <f>SUM(Z2876:Z2880)</f>
        <v>0</v>
      </c>
      <c r="AA2882" s="702"/>
      <c r="AB2882" s="700">
        <f>SUM(AB2876:AB2880)</f>
        <v>0</v>
      </c>
      <c r="AC2882" s="702"/>
      <c r="AD2882" s="700">
        <f>SUM(AD2876:AD2880)</f>
        <v>0</v>
      </c>
      <c r="AE2882" s="702"/>
      <c r="AF2882" s="705"/>
      <c r="AG2882" s="729">
        <f>IF(AG2881&gt;0,AG2881/(SUM(AF2161:AF2165)/1.18),0)</f>
        <v>0</v>
      </c>
      <c r="AH2882" s="706"/>
      <c r="AI2882" s="729">
        <f>IF(AI2881&gt;0,AI2881/(SUM(AH2161:AH2165)/1.18),0)</f>
        <v>0</v>
      </c>
      <c r="AJ2882" s="707"/>
      <c r="AV2882" s="56"/>
    </row>
    <row r="2883" spans="1:48" ht="12.75" customHeight="1" outlineLevel="2" thickBot="1">
      <c r="A2883" s="73"/>
      <c r="B2883" s="82">
        <f>B2876+1</f>
        <v>1</v>
      </c>
      <c r="C2883" s="1233">
        <f>C13</f>
        <v>0</v>
      </c>
      <c r="D2883" s="1233" t="str">
        <f>D13</f>
        <v>Интернет решения ООО</v>
      </c>
      <c r="E2883" s="83" t="str">
        <f>'Terms and Turnovers'!$J$12</f>
        <v>FLIP-FLOPS</v>
      </c>
      <c r="F2883" s="68">
        <f>F1454/1.18-F2169*'Mark Up Validation'!$M$175</f>
        <v>0</v>
      </c>
      <c r="G2883" s="106"/>
      <c r="H2883" s="68">
        <f>H1454/1.18-H2169*'Mark Up Validation'!$M$175</f>
        <v>0</v>
      </c>
      <c r="I2883" s="106"/>
      <c r="J2883" s="68">
        <f>J1454/1.18-J2169*'Mark Up Validation'!$M$175</f>
        <v>0</v>
      </c>
      <c r="K2883" s="106"/>
      <c r="L2883" s="68">
        <f>L1454/1.18-L2169*'Mark Up Validation'!$M$175</f>
        <v>0</v>
      </c>
      <c r="M2883" s="106"/>
      <c r="N2883" s="68">
        <f>N1454/1.18-N2169*'Mark Up Validation'!$M$175</f>
        <v>0</v>
      </c>
      <c r="O2883" s="106"/>
      <c r="P2883" s="68">
        <f>P1454/1.18-P2169*'Mark Up Validation'!$M$175</f>
        <v>0</v>
      </c>
      <c r="Q2883" s="106"/>
      <c r="R2883" s="129">
        <f>SUM(F2883,H2883,J2883,L2883,N2883,P2883)</f>
        <v>0</v>
      </c>
      <c r="S2883" s="708"/>
      <c r="T2883" s="68">
        <f>T1454/1.18-T2169*'Mark Up Validation'!$S$175</f>
        <v>0</v>
      </c>
      <c r="U2883" s="106"/>
      <c r="V2883" s="68">
        <f>V1454/1.18-V2169*'Mark Up Validation'!$S$175</f>
        <v>0</v>
      </c>
      <c r="W2883" s="106"/>
      <c r="X2883" s="68">
        <f>X1454/1.18-X2169*'Mark Up Validation'!$S$175</f>
        <v>0</v>
      </c>
      <c r="Y2883" s="106"/>
      <c r="Z2883" s="68">
        <f>Z1454/1.18-Z2169*'Mark Up Validation'!$S$175</f>
        <v>0</v>
      </c>
      <c r="AA2883" s="106"/>
      <c r="AB2883" s="68">
        <f>AB1454/1.18-AB2169*'Mark Up Validation'!$S$175</f>
        <v>0</v>
      </c>
      <c r="AC2883" s="106"/>
      <c r="AD2883" s="68">
        <f>AD1454/1.18-AD2169*'Mark Up Validation'!$S$175</f>
        <v>0</v>
      </c>
      <c r="AE2883" s="106"/>
      <c r="AF2883" s="129">
        <f>SUM(T2883,V2883,X2883,Z2883,AB2883,AD2883)</f>
        <v>0</v>
      </c>
      <c r="AG2883" s="106"/>
      <c r="AH2883" s="130">
        <f>SUM(AF2883,R2883)</f>
        <v>0</v>
      </c>
      <c r="AI2883" s="106"/>
      <c r="AJ2883" s="65"/>
      <c r="AV2883" s="56"/>
    </row>
    <row r="2884" spans="1:48" ht="12.75" customHeight="1" outlineLevel="2" thickBot="1">
      <c r="A2884" s="73"/>
      <c r="B2884" s="82"/>
      <c r="C2884" s="1234"/>
      <c r="D2884" s="1234"/>
      <c r="E2884" s="84" t="str">
        <f>'Terms and Turnovers'!$T$12</f>
        <v>ORIGINALS</v>
      </c>
      <c r="F2884" s="68">
        <f>F1455/1.18-F2170*'Mark Up Validation'!$M$175</f>
        <v>0</v>
      </c>
      <c r="G2884" s="728"/>
      <c r="H2884" s="68">
        <f>H1455/1.18-H2170*'Mark Up Validation'!$M$175</f>
        <v>0</v>
      </c>
      <c r="I2884" s="728"/>
      <c r="J2884" s="68">
        <f>J1455/1.18-J2170*'Mark Up Validation'!$M$175</f>
        <v>0</v>
      </c>
      <c r="K2884" s="728"/>
      <c r="L2884" s="68">
        <f>L1455/1.18-L2170*'Mark Up Validation'!$M$175</f>
        <v>0</v>
      </c>
      <c r="M2884" s="728"/>
      <c r="N2884" s="68">
        <f>N1455/1.18-N2170*'Mark Up Validation'!$M$175</f>
        <v>0</v>
      </c>
      <c r="O2884" s="728"/>
      <c r="P2884" s="68">
        <f>P1455/1.18-P2170*'Mark Up Validation'!$M$175</f>
        <v>0</v>
      </c>
      <c r="Q2884" s="728"/>
      <c r="R2884" s="132">
        <f>SUM(F2884,H2884,J2884,L2884,N2884,P2884)</f>
        <v>0</v>
      </c>
      <c r="S2884" s="728"/>
      <c r="T2884" s="68">
        <f>T1455/1.18-T2170*'Mark Up Validation'!$S$175</f>
        <v>0</v>
      </c>
      <c r="U2884" s="728"/>
      <c r="V2884" s="68">
        <f>V1455/1.18-V2170*'Mark Up Validation'!$S$175</f>
        <v>0</v>
      </c>
      <c r="W2884" s="728"/>
      <c r="X2884" s="68">
        <f>X1455/1.18-X2170*'Mark Up Validation'!$S$175</f>
        <v>0</v>
      </c>
      <c r="Y2884" s="728"/>
      <c r="Z2884" s="68">
        <f>Z1455/1.18-Z2170*'Mark Up Validation'!$S$175</f>
        <v>0</v>
      </c>
      <c r="AA2884" s="728"/>
      <c r="AB2884" s="68">
        <f>AB1455/1.18-AB2170*'Mark Up Validation'!$S$175</f>
        <v>0</v>
      </c>
      <c r="AC2884" s="728"/>
      <c r="AD2884" s="68">
        <f>AD1455/1.18-AD2170*'Mark Up Validation'!$S$175</f>
        <v>0</v>
      </c>
      <c r="AE2884" s="728"/>
      <c r="AF2884" s="132">
        <f>SUM(T2884,V2884,X2884,Z2884,AB2884,AD2884)</f>
        <v>0</v>
      </c>
      <c r="AG2884" s="728"/>
      <c r="AH2884" s="133">
        <f>SUM(AF2884,R2884)</f>
        <v>0</v>
      </c>
      <c r="AI2884" s="728"/>
      <c r="AJ2884" s="65"/>
      <c r="AV2884" s="56"/>
    </row>
    <row r="2885" spans="1:48" ht="12.75" customHeight="1" outlineLevel="2" thickBot="1">
      <c r="A2885" s="73"/>
      <c r="B2885" s="82"/>
      <c r="C2885" s="1234"/>
      <c r="D2885" s="1234"/>
      <c r="E2885" s="84" t="str">
        <f>'Terms and Turnovers'!$AD$12</f>
        <v>ACCESSORIES</v>
      </c>
      <c r="F2885" s="68">
        <f>F1456/1.18-F2171*'Mark Up Validation'!$M$175</f>
        <v>0</v>
      </c>
      <c r="G2885" s="106"/>
      <c r="H2885" s="68">
        <f>H1456/1.18-H2171*'Mark Up Validation'!$M$175</f>
        <v>0</v>
      </c>
      <c r="I2885" s="106"/>
      <c r="J2885" s="68">
        <f>J1456/1.18-J2171*'Mark Up Validation'!$M$175</f>
        <v>0</v>
      </c>
      <c r="K2885" s="106"/>
      <c r="L2885" s="68">
        <f>L1456/1.18-L2171*'Mark Up Validation'!$M$175</f>
        <v>0</v>
      </c>
      <c r="M2885" s="106"/>
      <c r="N2885" s="68">
        <f>N1456/1.18-N2171*'Mark Up Validation'!$M$175</f>
        <v>0</v>
      </c>
      <c r="O2885" s="106"/>
      <c r="P2885" s="68">
        <f>P1456/1.18-P2171*'Mark Up Validation'!$M$175</f>
        <v>0</v>
      </c>
      <c r="Q2885" s="728"/>
      <c r="R2885" s="132">
        <f>SUM(F2885,H2885,J2885,L2885,N2885,P2885)</f>
        <v>0</v>
      </c>
      <c r="S2885" s="728"/>
      <c r="T2885" s="68">
        <f>T1456/1.18-T2171*'Mark Up Validation'!$S$175</f>
        <v>0</v>
      </c>
      <c r="U2885" s="728"/>
      <c r="V2885" s="68">
        <f>V1456/1.18-V2171*'Mark Up Validation'!$S$175</f>
        <v>0</v>
      </c>
      <c r="W2885" s="728"/>
      <c r="X2885" s="68">
        <f>X1456/1.18-X2171*'Mark Up Validation'!$S$175</f>
        <v>0</v>
      </c>
      <c r="Y2885" s="728"/>
      <c r="Z2885" s="68">
        <f>Z1456/1.18-Z2171*'Mark Up Validation'!$S$175</f>
        <v>0</v>
      </c>
      <c r="AA2885" s="728"/>
      <c r="AB2885" s="68">
        <f>AB1456/1.18-AB2171*'Mark Up Validation'!$S$175</f>
        <v>0</v>
      </c>
      <c r="AC2885" s="728"/>
      <c r="AD2885" s="68">
        <f>AD1456/1.18-AD2171*'Mark Up Validation'!$S$175</f>
        <v>0</v>
      </c>
      <c r="AE2885" s="728"/>
      <c r="AF2885" s="132">
        <f>SUM(T2885,V2885,X2885,Z2885,AB2885,AD2885)</f>
        <v>0</v>
      </c>
      <c r="AG2885" s="728"/>
      <c r="AH2885" s="133">
        <f>SUM(AF2885,R2885)</f>
        <v>0</v>
      </c>
      <c r="AI2885" s="728"/>
      <c r="AJ2885" s="65"/>
      <c r="AV2885" s="56"/>
    </row>
    <row r="2886" spans="1:48" ht="12.75" customHeight="1" outlineLevel="2" thickBot="1">
      <c r="A2886" s="73"/>
      <c r="B2886" s="82"/>
      <c r="C2886" s="1234"/>
      <c r="D2886" s="1234"/>
      <c r="E2886" s="84">
        <f>'Terms and Turnovers'!$AN$12</f>
        <v>0</v>
      </c>
      <c r="F2886" s="68">
        <f>F1457/1.18-F2172*'Mark Up Validation'!$M$175</f>
        <v>0</v>
      </c>
      <c r="G2886" s="728"/>
      <c r="H2886" s="68">
        <f>H1457/1.18-H2172*'Mark Up Validation'!$M$175</f>
        <v>0</v>
      </c>
      <c r="I2886" s="728"/>
      <c r="J2886" s="68">
        <f>J1457/1.18-J2172*'Mark Up Validation'!$M$175</f>
        <v>0</v>
      </c>
      <c r="K2886" s="728"/>
      <c r="L2886" s="68">
        <f>L1457/1.18-L2172*'Mark Up Validation'!$M$175</f>
        <v>0</v>
      </c>
      <c r="M2886" s="728"/>
      <c r="N2886" s="68">
        <f>N1457/1.18-N2172*'Mark Up Validation'!$M$175</f>
        <v>0</v>
      </c>
      <c r="O2886" s="728"/>
      <c r="P2886" s="68">
        <f>P1457/1.18-P2172*'Mark Up Validation'!$M$175</f>
        <v>0</v>
      </c>
      <c r="Q2886" s="728"/>
      <c r="R2886" s="132">
        <f>SUM(F2886,H2886,J2886,L2886,N2886,P2886)</f>
        <v>0</v>
      </c>
      <c r="S2886" s="728"/>
      <c r="T2886" s="68">
        <f>T1457/1.18-T2172*'Mark Up Validation'!$S$175</f>
        <v>0</v>
      </c>
      <c r="U2886" s="728"/>
      <c r="V2886" s="68">
        <f>V1457/1.18-V2172*'Mark Up Validation'!$S$175</f>
        <v>0</v>
      </c>
      <c r="W2886" s="728"/>
      <c r="X2886" s="68">
        <f>X1457/1.18-X2172*'Mark Up Validation'!$S$175</f>
        <v>0</v>
      </c>
      <c r="Y2886" s="728"/>
      <c r="Z2886" s="68">
        <f>Z1457/1.18-Z2172*'Mark Up Validation'!$S$175</f>
        <v>0</v>
      </c>
      <c r="AA2886" s="728"/>
      <c r="AB2886" s="68">
        <f>AB1457/1.18-AB2172*'Mark Up Validation'!$S$175</f>
        <v>0</v>
      </c>
      <c r="AC2886" s="728"/>
      <c r="AD2886" s="68">
        <f>AD1457/1.18-AD2172*'Mark Up Validation'!$S$175</f>
        <v>0</v>
      </c>
      <c r="AE2886" s="728"/>
      <c r="AF2886" s="132">
        <f>SUM(T2886,V2886,X2886,Z2886,AB2886,AD2886)</f>
        <v>0</v>
      </c>
      <c r="AG2886" s="728"/>
      <c r="AH2886" s="133">
        <f>SUM(AF2886,R2886)</f>
        <v>0</v>
      </c>
      <c r="AI2886" s="728"/>
      <c r="AJ2886" s="65"/>
      <c r="AV2886" s="56"/>
    </row>
    <row r="2887" spans="1:48" ht="13.5" customHeight="1" outlineLevel="2" thickBot="1">
      <c r="A2887" s="73"/>
      <c r="B2887" s="82"/>
      <c r="C2887" s="1235"/>
      <c r="D2887" s="1235"/>
      <c r="E2887" s="85">
        <f>'Terms and Turnovers'!$AX$12</f>
        <v>0</v>
      </c>
      <c r="F2887" s="68">
        <f>F1458/1.18-F2173*'Mark Up Validation'!$M$175</f>
        <v>0</v>
      </c>
      <c r="G2887" s="106"/>
      <c r="H2887" s="68">
        <f>H1458/1.18-H2173*'Mark Up Validation'!$M$175</f>
        <v>0</v>
      </c>
      <c r="I2887" s="106"/>
      <c r="J2887" s="68">
        <f>J1458/1.18-J2173*'Mark Up Validation'!$M$175</f>
        <v>0</v>
      </c>
      <c r="K2887" s="106"/>
      <c r="L2887" s="68">
        <f>L1458/1.18-L2173*'Mark Up Validation'!$M$175</f>
        <v>0</v>
      </c>
      <c r="M2887" s="106"/>
      <c r="N2887" s="68">
        <f>N1458/1.18-N2173*'Mark Up Validation'!$M$175</f>
        <v>0</v>
      </c>
      <c r="O2887" s="106"/>
      <c r="P2887" s="68">
        <f>P1458/1.18-P2173*'Mark Up Validation'!$M$175</f>
        <v>0</v>
      </c>
      <c r="Q2887" s="107"/>
      <c r="R2887" s="135">
        <f>SUM(F2887,H2887,J2887,L2887,N2887,P2887)</f>
        <v>0</v>
      </c>
      <c r="S2887" s="107"/>
      <c r="T2887" s="68">
        <f>T1458/1.18-T2173*'Mark Up Validation'!$S$175</f>
        <v>0</v>
      </c>
      <c r="U2887" s="107"/>
      <c r="V2887" s="68">
        <f>V1458/1.18-V2173*'Mark Up Validation'!$S$175</f>
        <v>0</v>
      </c>
      <c r="W2887" s="107"/>
      <c r="X2887" s="68">
        <f>X1458/1.18-X2173*'Mark Up Validation'!$S$175</f>
        <v>0</v>
      </c>
      <c r="Y2887" s="107"/>
      <c r="Z2887" s="68">
        <f>Z1458/1.18-Z2173*'Mark Up Validation'!$S$175</f>
        <v>0</v>
      </c>
      <c r="AA2887" s="107"/>
      <c r="AB2887" s="68">
        <f>AB1458/1.18-AB2173*'Mark Up Validation'!$S$175</f>
        <v>0</v>
      </c>
      <c r="AC2887" s="107"/>
      <c r="AD2887" s="68">
        <f>AD1458/1.18-AD2173*'Mark Up Validation'!$S$175</f>
        <v>0</v>
      </c>
      <c r="AE2887" s="107"/>
      <c r="AF2887" s="135">
        <f>SUM(T2887,V2887,X2887,Z2887,AB2887,AD2887)</f>
        <v>0</v>
      </c>
      <c r="AG2887" s="107"/>
      <c r="AH2887" s="136">
        <f>SUM(AF2887,R2887)</f>
        <v>0</v>
      </c>
      <c r="AI2887" s="107"/>
      <c r="AJ2887" s="65"/>
      <c r="AV2887" s="56"/>
    </row>
    <row r="2888" spans="1:48" ht="13.5" customHeight="1" outlineLevel="2" thickBot="1">
      <c r="A2888" s="119"/>
      <c r="B2888" s="82"/>
      <c r="C2888" s="425"/>
      <c r="D2888" s="425"/>
      <c r="E2888" s="634"/>
      <c r="F2888" s="635"/>
      <c r="G2888" s="107"/>
      <c r="H2888" s="635"/>
      <c r="I2888" s="107"/>
      <c r="J2888" s="635"/>
      <c r="K2888" s="636"/>
      <c r="L2888" s="635"/>
      <c r="M2888" s="636"/>
      <c r="N2888" s="635"/>
      <c r="O2888" s="636"/>
      <c r="P2888" s="635"/>
      <c r="Q2888" s="636"/>
      <c r="R2888" s="637"/>
      <c r="S2888" s="698">
        <f>SUM(R2168:R2172)/1.18-SUM(R2883:R2887)*'Mark Up Validation'!$M$175</f>
        <v>0</v>
      </c>
      <c r="T2888" s="635"/>
      <c r="U2888" s="636"/>
      <c r="V2888" s="635"/>
      <c r="W2888" s="636"/>
      <c r="X2888" s="635"/>
      <c r="Y2888" s="636"/>
      <c r="Z2888" s="635"/>
      <c r="AA2888" s="636"/>
      <c r="AB2888" s="635"/>
      <c r="AC2888" s="636"/>
      <c r="AD2888" s="635"/>
      <c r="AE2888" s="636"/>
      <c r="AF2888" s="637"/>
      <c r="AG2888" s="698">
        <f>SUM(AF2168:AF2172)/1.18-SUM(AF2883:AF2887)*'Mark Up Validation'!$M$175</f>
        <v>0</v>
      </c>
      <c r="AH2888" s="638"/>
      <c r="AI2888" s="698">
        <f>SUM(AH2168:AH2172)/1.18-SUM(AH2883:AH2887)*'Mark Up Validation'!$M$175</f>
        <v>0</v>
      </c>
      <c r="AJ2888" s="65"/>
      <c r="AV2888" s="56"/>
    </row>
    <row r="2889" spans="1:48" ht="13.5" customHeight="1" outlineLevel="2" thickBot="1">
      <c r="A2889" s="119"/>
      <c r="B2889" s="82"/>
      <c r="C2889" s="1228" t="s">
        <v>539</v>
      </c>
      <c r="D2889" s="1229"/>
      <c r="E2889" s="699"/>
      <c r="F2889" s="700">
        <f>SUM(F2883:F2887)</f>
        <v>0</v>
      </c>
      <c r="G2889" s="701"/>
      <c r="H2889" s="700">
        <f>SUM(H2883:H2887)</f>
        <v>0</v>
      </c>
      <c r="I2889" s="701"/>
      <c r="J2889" s="700">
        <f>SUM(J2883:J2887)</f>
        <v>0</v>
      </c>
      <c r="K2889" s="702"/>
      <c r="L2889" s="700">
        <f>SUM(L2883:L2887)</f>
        <v>0</v>
      </c>
      <c r="M2889" s="702"/>
      <c r="N2889" s="700">
        <f>SUM(N2883:N2887)</f>
        <v>0</v>
      </c>
      <c r="O2889" s="702"/>
      <c r="P2889" s="700">
        <f>SUM(P2883:P2887)</f>
        <v>0</v>
      </c>
      <c r="Q2889" s="702"/>
      <c r="R2889" s="703"/>
      <c r="S2889" s="729">
        <f>IF(S2888&gt;0,S2888/(SUM(R2168:R2172)/1.18),0)</f>
        <v>0</v>
      </c>
      <c r="T2889" s="700">
        <f>SUM(T2883:T2887)</f>
        <v>0</v>
      </c>
      <c r="U2889" s="702"/>
      <c r="V2889" s="700">
        <f>SUM(V2883:V2887)</f>
        <v>0</v>
      </c>
      <c r="W2889" s="702"/>
      <c r="X2889" s="700">
        <f>SUM(X2883:X2887)</f>
        <v>0</v>
      </c>
      <c r="Y2889" s="702"/>
      <c r="Z2889" s="700">
        <f>SUM(Z2883:Z2887)</f>
        <v>0</v>
      </c>
      <c r="AA2889" s="702"/>
      <c r="AB2889" s="700">
        <f>SUM(AB2883:AB2887)</f>
        <v>0</v>
      </c>
      <c r="AC2889" s="702"/>
      <c r="AD2889" s="700">
        <f>SUM(AD2883:AD2887)</f>
        <v>0</v>
      </c>
      <c r="AE2889" s="702"/>
      <c r="AF2889" s="705"/>
      <c r="AG2889" s="729">
        <f>IF(AG2888&gt;0,AG2888/(SUM(AF2168:AF2172)/1.18),0)</f>
        <v>0</v>
      </c>
      <c r="AH2889" s="706"/>
      <c r="AI2889" s="729">
        <f>IF(AI2888&gt;0,AI2888/(SUM(AH2168:AH2172)/1.18),0)</f>
        <v>0</v>
      </c>
      <c r="AJ2889" s="707"/>
      <c r="AV2889" s="56"/>
    </row>
    <row r="2890" spans="1:48" ht="12.75" customHeight="1" outlineLevel="2" thickBot="1">
      <c r="A2890" s="73"/>
      <c r="B2890" s="82">
        <f>B2883+1</f>
        <v>2</v>
      </c>
      <c r="C2890" s="1233">
        <f>C20</f>
        <v>0</v>
      </c>
      <c r="D2890" s="1233" t="str">
        <f>D20</f>
        <v>Купишуз ООО</v>
      </c>
      <c r="E2890" s="83" t="str">
        <f>'Terms and Turnovers'!$J$12</f>
        <v>FLIP-FLOPS</v>
      </c>
      <c r="F2890" s="68">
        <f>F1461/1.18-F2176*'Mark Up Validation'!$M$175</f>
        <v>0</v>
      </c>
      <c r="G2890" s="106"/>
      <c r="H2890" s="68">
        <f>H1461/1.18-H2176*'Mark Up Validation'!$M$175</f>
        <v>0</v>
      </c>
      <c r="I2890" s="106"/>
      <c r="J2890" s="68">
        <f>J1461/1.18-J2176*'Mark Up Validation'!$M$175</f>
        <v>0</v>
      </c>
      <c r="K2890" s="106"/>
      <c r="L2890" s="68">
        <f>L1461/1.18-L2176*'Mark Up Validation'!$M$175</f>
        <v>0</v>
      </c>
      <c r="M2890" s="106"/>
      <c r="N2890" s="68">
        <f>N1461/1.18-N2176*'Mark Up Validation'!$M$175</f>
        <v>0</v>
      </c>
      <c r="O2890" s="106"/>
      <c r="P2890" s="68">
        <f>P1461/1.18-P2176*'Mark Up Validation'!$M$175</f>
        <v>0</v>
      </c>
      <c r="Q2890" s="106"/>
      <c r="R2890" s="129">
        <f>SUM(F2890,H2890,J2890,L2890,N2890,P2890)</f>
        <v>0</v>
      </c>
      <c r="S2890" s="106"/>
      <c r="T2890" s="68">
        <f>T1461/1.18-T2176*'Mark Up Validation'!$S$175</f>
        <v>0</v>
      </c>
      <c r="U2890" s="106"/>
      <c r="V2890" s="68">
        <f>V1461/1.18-V2176*'Mark Up Validation'!$S$175</f>
        <v>0</v>
      </c>
      <c r="W2890" s="106"/>
      <c r="X2890" s="68">
        <f>X1461/1.18-X2176*'Mark Up Validation'!$S$175</f>
        <v>0</v>
      </c>
      <c r="Y2890" s="106"/>
      <c r="Z2890" s="68">
        <f>Z1461/1.18-Z2176*'Mark Up Validation'!$S$175</f>
        <v>0</v>
      </c>
      <c r="AA2890" s="106"/>
      <c r="AB2890" s="68">
        <f>AB1461/1.18-AB2176*'Mark Up Validation'!$S$175</f>
        <v>0</v>
      </c>
      <c r="AC2890" s="106"/>
      <c r="AD2890" s="68">
        <f>AD1461/1.18-AD2176*'Mark Up Validation'!$S$175</f>
        <v>0</v>
      </c>
      <c r="AE2890" s="106"/>
      <c r="AF2890" s="129">
        <f>SUM(T2890,V2890,X2890,Z2890,AB2890,AD2890)</f>
        <v>0</v>
      </c>
      <c r="AG2890" s="106"/>
      <c r="AH2890" s="130">
        <f>SUM(AF2890,R2890)</f>
        <v>0</v>
      </c>
      <c r="AI2890" s="106"/>
      <c r="AJ2890" s="65"/>
      <c r="AV2890" s="56"/>
    </row>
    <row r="2891" spans="1:48" ht="12.75" customHeight="1" outlineLevel="2" thickBot="1">
      <c r="A2891" s="73"/>
      <c r="B2891" s="82"/>
      <c r="C2891" s="1234"/>
      <c r="D2891" s="1234"/>
      <c r="E2891" s="84" t="str">
        <f>'Terms and Turnovers'!$T$12</f>
        <v>ORIGINALS</v>
      </c>
      <c r="F2891" s="68">
        <f>F1462/1.18-F2177*'Mark Up Validation'!$M$175</f>
        <v>0</v>
      </c>
      <c r="G2891" s="728"/>
      <c r="H2891" s="68">
        <f>H1462/1.18-H2177*'Mark Up Validation'!$M$175</f>
        <v>0</v>
      </c>
      <c r="I2891" s="728"/>
      <c r="J2891" s="68">
        <f>J1462/1.18-J2177*'Mark Up Validation'!$M$175</f>
        <v>0</v>
      </c>
      <c r="K2891" s="728"/>
      <c r="L2891" s="68">
        <f>L1462/1.18-L2177*'Mark Up Validation'!$M$175</f>
        <v>0</v>
      </c>
      <c r="M2891" s="728"/>
      <c r="N2891" s="68">
        <f>N1462/1.18-N2177*'Mark Up Validation'!$M$175</f>
        <v>0</v>
      </c>
      <c r="O2891" s="728"/>
      <c r="P2891" s="68">
        <f>P1462/1.18-P2177*'Mark Up Validation'!$M$175</f>
        <v>0</v>
      </c>
      <c r="Q2891" s="728"/>
      <c r="R2891" s="132">
        <f>SUM(F2891,H2891,J2891,L2891,N2891,P2891)</f>
        <v>0</v>
      </c>
      <c r="S2891" s="728"/>
      <c r="T2891" s="68">
        <f>T1462/1.18-T2177*'Mark Up Validation'!$S$175</f>
        <v>0</v>
      </c>
      <c r="U2891" s="728"/>
      <c r="V2891" s="68">
        <f>V1462/1.18-V2177*'Mark Up Validation'!$S$175</f>
        <v>0</v>
      </c>
      <c r="W2891" s="728"/>
      <c r="X2891" s="68">
        <f>X1462/1.18-X2177*'Mark Up Validation'!$S$175</f>
        <v>0</v>
      </c>
      <c r="Y2891" s="728"/>
      <c r="Z2891" s="68">
        <f>Z1462/1.18-Z2177*'Mark Up Validation'!$S$175</f>
        <v>0</v>
      </c>
      <c r="AA2891" s="728"/>
      <c r="AB2891" s="68">
        <f>AB1462/1.18-AB2177*'Mark Up Validation'!$S$175</f>
        <v>0</v>
      </c>
      <c r="AC2891" s="728"/>
      <c r="AD2891" s="68">
        <f>AD1462/1.18-AD2177*'Mark Up Validation'!$S$175</f>
        <v>0</v>
      </c>
      <c r="AE2891" s="728"/>
      <c r="AF2891" s="132">
        <f>SUM(T2891,V2891,X2891,Z2891,AB2891,AD2891)</f>
        <v>0</v>
      </c>
      <c r="AG2891" s="728"/>
      <c r="AH2891" s="133">
        <f>SUM(AF2891,R2891)</f>
        <v>0</v>
      </c>
      <c r="AI2891" s="728"/>
      <c r="AJ2891" s="65"/>
      <c r="AV2891" s="56"/>
    </row>
    <row r="2892" spans="1:48" ht="12.75" customHeight="1" outlineLevel="2" thickBot="1">
      <c r="A2892" s="73"/>
      <c r="B2892" s="82"/>
      <c r="C2892" s="1234"/>
      <c r="D2892" s="1234"/>
      <c r="E2892" s="84" t="str">
        <f>'Terms and Turnovers'!$AD$12</f>
        <v>ACCESSORIES</v>
      </c>
      <c r="F2892" s="68">
        <f>F1463/1.18-F2178*'Mark Up Validation'!$M$175</f>
        <v>0</v>
      </c>
      <c r="G2892" s="106"/>
      <c r="H2892" s="68">
        <f>H1463/1.18-H2178*'Mark Up Validation'!$M$175</f>
        <v>0</v>
      </c>
      <c r="I2892" s="106"/>
      <c r="J2892" s="68">
        <f>J1463/1.18-J2178*'Mark Up Validation'!$M$175</f>
        <v>0</v>
      </c>
      <c r="K2892" s="106"/>
      <c r="L2892" s="68">
        <f>L1463/1.18-L2178*'Mark Up Validation'!$M$175</f>
        <v>0</v>
      </c>
      <c r="M2892" s="106"/>
      <c r="N2892" s="68">
        <f>N1463/1.18-N2178*'Mark Up Validation'!$M$175</f>
        <v>0</v>
      </c>
      <c r="O2892" s="106"/>
      <c r="P2892" s="68">
        <f>P1463/1.18-P2178*'Mark Up Validation'!$M$175</f>
        <v>0</v>
      </c>
      <c r="Q2892" s="728"/>
      <c r="R2892" s="132">
        <f>SUM(F2892,H2892,J2892,L2892,N2892,P2892)</f>
        <v>0</v>
      </c>
      <c r="S2892" s="728"/>
      <c r="T2892" s="68">
        <f>T1463/1.18-T2178*'Mark Up Validation'!$S$175</f>
        <v>0</v>
      </c>
      <c r="U2892" s="728"/>
      <c r="V2892" s="68">
        <f>V1463/1.18-V2178*'Mark Up Validation'!$S$175</f>
        <v>0</v>
      </c>
      <c r="W2892" s="728"/>
      <c r="X2892" s="68">
        <f>X1463/1.18-X2178*'Mark Up Validation'!$S$175</f>
        <v>0</v>
      </c>
      <c r="Y2892" s="728"/>
      <c r="Z2892" s="68">
        <f>Z1463/1.18-Z2178*'Mark Up Validation'!$S$175</f>
        <v>0</v>
      </c>
      <c r="AA2892" s="728"/>
      <c r="AB2892" s="68">
        <f>AB1463/1.18-AB2178*'Mark Up Validation'!$S$175</f>
        <v>0</v>
      </c>
      <c r="AC2892" s="728"/>
      <c r="AD2892" s="68">
        <f>AD1463/1.18-AD2178*'Mark Up Validation'!$S$175</f>
        <v>0</v>
      </c>
      <c r="AE2892" s="728"/>
      <c r="AF2892" s="132">
        <f>SUM(T2892,V2892,X2892,Z2892,AB2892,AD2892)</f>
        <v>0</v>
      </c>
      <c r="AG2892" s="728"/>
      <c r="AH2892" s="133">
        <f>SUM(AF2892,R2892)</f>
        <v>0</v>
      </c>
      <c r="AI2892" s="728"/>
      <c r="AJ2892" s="65"/>
      <c r="AV2892" s="56"/>
    </row>
    <row r="2893" spans="1:48" ht="12.75" customHeight="1" outlineLevel="2" thickBot="1">
      <c r="A2893" s="73"/>
      <c r="B2893" s="82"/>
      <c r="C2893" s="1234"/>
      <c r="D2893" s="1234"/>
      <c r="E2893" s="84">
        <f>'Terms and Turnovers'!$AN$12</f>
        <v>0</v>
      </c>
      <c r="F2893" s="68">
        <f>F1464/1.18-F2179*'Mark Up Validation'!$M$175</f>
        <v>0</v>
      </c>
      <c r="G2893" s="728"/>
      <c r="H2893" s="68">
        <f>H1464/1.18-H2179*'Mark Up Validation'!$M$175</f>
        <v>0</v>
      </c>
      <c r="I2893" s="728"/>
      <c r="J2893" s="68">
        <f>J1464/1.18-J2179*'Mark Up Validation'!$M$175</f>
        <v>0</v>
      </c>
      <c r="K2893" s="728"/>
      <c r="L2893" s="68">
        <f>L1464/1.18-L2179*'Mark Up Validation'!$M$175</f>
        <v>0</v>
      </c>
      <c r="M2893" s="728"/>
      <c r="N2893" s="68">
        <f>N1464/1.18-N2179*'Mark Up Validation'!$M$175</f>
        <v>0</v>
      </c>
      <c r="O2893" s="728"/>
      <c r="P2893" s="68">
        <f>P1464/1.18-P2179*'Mark Up Validation'!$M$175</f>
        <v>0</v>
      </c>
      <c r="Q2893" s="728"/>
      <c r="R2893" s="132">
        <f>SUM(F2893,H2893,J2893,L2893,N2893,P2893)</f>
        <v>0</v>
      </c>
      <c r="S2893" s="728"/>
      <c r="T2893" s="68">
        <f>T1464/1.18-T2179*'Mark Up Validation'!$S$175</f>
        <v>0</v>
      </c>
      <c r="U2893" s="728"/>
      <c r="V2893" s="68">
        <f>V1464/1.18-V2179*'Mark Up Validation'!$S$175</f>
        <v>0</v>
      </c>
      <c r="W2893" s="728"/>
      <c r="X2893" s="68">
        <f>X1464/1.18-X2179*'Mark Up Validation'!$S$175</f>
        <v>0</v>
      </c>
      <c r="Y2893" s="728"/>
      <c r="Z2893" s="68">
        <f>Z1464/1.18-Z2179*'Mark Up Validation'!$S$175</f>
        <v>0</v>
      </c>
      <c r="AA2893" s="728"/>
      <c r="AB2893" s="68">
        <f>AB1464/1.18-AB2179*'Mark Up Validation'!$S$175</f>
        <v>0</v>
      </c>
      <c r="AC2893" s="728"/>
      <c r="AD2893" s="68">
        <f>AD1464/1.18-AD2179*'Mark Up Validation'!$S$175</f>
        <v>0</v>
      </c>
      <c r="AE2893" s="728"/>
      <c r="AF2893" s="132">
        <f>SUM(T2893,V2893,X2893,Z2893,AB2893,AD2893)</f>
        <v>0</v>
      </c>
      <c r="AG2893" s="728"/>
      <c r="AH2893" s="133">
        <f>SUM(AF2893,R2893)</f>
        <v>0</v>
      </c>
      <c r="AI2893" s="728"/>
      <c r="AJ2893" s="65"/>
      <c r="AV2893" s="56"/>
    </row>
    <row r="2894" spans="1:48" ht="13.5" customHeight="1" outlineLevel="2" thickBot="1">
      <c r="A2894" s="73"/>
      <c r="B2894" s="82"/>
      <c r="C2894" s="1235"/>
      <c r="D2894" s="1235"/>
      <c r="E2894" s="85">
        <f>'Terms and Turnovers'!$AX$12</f>
        <v>0</v>
      </c>
      <c r="F2894" s="68">
        <f>F1465/1.18-F2180*'Mark Up Validation'!$M$175</f>
        <v>0</v>
      </c>
      <c r="G2894" s="106"/>
      <c r="H2894" s="68">
        <f>H1465/1.18-H2180*'Mark Up Validation'!$M$175</f>
        <v>0</v>
      </c>
      <c r="I2894" s="106"/>
      <c r="J2894" s="68">
        <f>J1465/1.18-J2180*'Mark Up Validation'!$M$175</f>
        <v>0</v>
      </c>
      <c r="K2894" s="106"/>
      <c r="L2894" s="68">
        <f>L1465/1.18-L2180*'Mark Up Validation'!$M$175</f>
        <v>0</v>
      </c>
      <c r="M2894" s="106"/>
      <c r="N2894" s="68">
        <f>N1465/1.18-N2180*'Mark Up Validation'!$M$175</f>
        <v>0</v>
      </c>
      <c r="O2894" s="106"/>
      <c r="P2894" s="68">
        <f>P1465/1.18-P2180*'Mark Up Validation'!$M$175</f>
        <v>0</v>
      </c>
      <c r="Q2894" s="728"/>
      <c r="R2894" s="135">
        <f>SUM(F2894,H2894,J2894,L2894,N2894,P2894)</f>
        <v>0</v>
      </c>
      <c r="S2894" s="107"/>
      <c r="T2894" s="68">
        <f>T1465/1.18-T2180*'Mark Up Validation'!$S$175</f>
        <v>0</v>
      </c>
      <c r="U2894" s="107"/>
      <c r="V2894" s="68">
        <f>V1465/1.18-V2180*'Mark Up Validation'!$S$175</f>
        <v>0</v>
      </c>
      <c r="W2894" s="107"/>
      <c r="X2894" s="68">
        <f>X1465/1.18-X2180*'Mark Up Validation'!$S$175</f>
        <v>0</v>
      </c>
      <c r="Y2894" s="107"/>
      <c r="Z2894" s="68">
        <f>Z1465/1.18-Z2180*'Mark Up Validation'!$S$175</f>
        <v>0</v>
      </c>
      <c r="AA2894" s="107"/>
      <c r="AB2894" s="68">
        <f>AB1465/1.18-AB2180*'Mark Up Validation'!$S$175</f>
        <v>0</v>
      </c>
      <c r="AC2894" s="107"/>
      <c r="AD2894" s="68">
        <f>AD1465/1.18-AD2180*'Mark Up Validation'!$S$175</f>
        <v>0</v>
      </c>
      <c r="AE2894" s="107"/>
      <c r="AF2894" s="135">
        <f>SUM(T2894,V2894,X2894,Z2894,AB2894,AD2894)</f>
        <v>0</v>
      </c>
      <c r="AG2894" s="107"/>
      <c r="AH2894" s="136">
        <f>SUM(AF2894,R2894)</f>
        <v>0</v>
      </c>
      <c r="AI2894" s="107"/>
      <c r="AJ2894" s="65"/>
      <c r="AV2894" s="56"/>
    </row>
    <row r="2895" spans="1:48" ht="13.5" customHeight="1" outlineLevel="2">
      <c r="A2895" s="73"/>
      <c r="B2895" s="82"/>
      <c r="C2895" s="425"/>
      <c r="D2895" s="425"/>
      <c r="E2895" s="634"/>
      <c r="F2895" s="635"/>
      <c r="G2895" s="428"/>
      <c r="H2895" s="635"/>
      <c r="I2895" s="428"/>
      <c r="J2895" s="635"/>
      <c r="K2895" s="636"/>
      <c r="L2895" s="635"/>
      <c r="M2895" s="636"/>
      <c r="N2895" s="635"/>
      <c r="O2895" s="636"/>
      <c r="P2895" s="635"/>
      <c r="Q2895" s="636"/>
      <c r="R2895" s="637"/>
      <c r="S2895" s="698">
        <f>SUM(R2175:R2179)/1.18-(SUM(R2890:R2894)*'Mark Up Validation'!$M$175)</f>
        <v>0</v>
      </c>
      <c r="T2895" s="635"/>
      <c r="U2895" s="636"/>
      <c r="V2895" s="635"/>
      <c r="W2895" s="636"/>
      <c r="X2895" s="635"/>
      <c r="Y2895" s="636"/>
      <c r="Z2895" s="635"/>
      <c r="AA2895" s="636"/>
      <c r="AB2895" s="635"/>
      <c r="AC2895" s="636"/>
      <c r="AD2895" s="635"/>
      <c r="AE2895" s="636"/>
      <c r="AF2895" s="637"/>
      <c r="AG2895" s="698">
        <f>SUM(AF2175:AF2179)/1.18-SUM(AF2890:AF2894)*'Mark Up Validation'!$M$175</f>
        <v>0</v>
      </c>
      <c r="AH2895" s="638"/>
      <c r="AI2895" s="698">
        <f>SUM(AH2175:AH2179)/1.18-SUM(AH2890:AH2894)*'Mark Up Validation'!$M$175</f>
        <v>0</v>
      </c>
      <c r="AJ2895" s="65"/>
      <c r="AV2895" s="56"/>
    </row>
    <row r="2896" spans="1:48" ht="13.5" customHeight="1" outlineLevel="2" thickBot="1">
      <c r="A2896" s="119"/>
      <c r="B2896" s="82"/>
      <c r="C2896" s="1228" t="s">
        <v>539</v>
      </c>
      <c r="D2896" s="1229"/>
      <c r="E2896" s="699"/>
      <c r="F2896" s="700">
        <f>SUM(F2890:F2894)</f>
        <v>0</v>
      </c>
      <c r="G2896" s="701"/>
      <c r="H2896" s="700">
        <f>SUM(H2890:H2894)</f>
        <v>0</v>
      </c>
      <c r="I2896" s="701"/>
      <c r="J2896" s="700">
        <f>SUM(J2890:J2894)</f>
        <v>0</v>
      </c>
      <c r="K2896" s="702"/>
      <c r="L2896" s="700">
        <f>SUM(L2890:L2894)</f>
        <v>0</v>
      </c>
      <c r="M2896" s="702"/>
      <c r="N2896" s="700">
        <f>SUM(N2890:N2894)</f>
        <v>0</v>
      </c>
      <c r="O2896" s="702"/>
      <c r="P2896" s="700">
        <f>SUM(P2890:P2894)</f>
        <v>0</v>
      </c>
      <c r="Q2896" s="702"/>
      <c r="R2896" s="703"/>
      <c r="S2896" s="729">
        <f>IF(S2895&gt;0,S2895/(SUM(R2175:R2179)/1.18),0)</f>
        <v>0</v>
      </c>
      <c r="T2896" s="700">
        <f>SUM(T2890:T2894)</f>
        <v>0</v>
      </c>
      <c r="U2896" s="702"/>
      <c r="V2896" s="700">
        <f>SUM(V2890:V2894)</f>
        <v>0</v>
      </c>
      <c r="W2896" s="702"/>
      <c r="X2896" s="700">
        <f>SUM(X2890:X2894)</f>
        <v>0</v>
      </c>
      <c r="Y2896" s="702"/>
      <c r="Z2896" s="700">
        <f>SUM(Z2890:Z2894)</f>
        <v>0</v>
      </c>
      <c r="AA2896" s="702"/>
      <c r="AB2896" s="700">
        <f>SUM(AB2890:AB2894)</f>
        <v>0</v>
      </c>
      <c r="AC2896" s="702"/>
      <c r="AD2896" s="700">
        <f>SUM(AD2890:AD2894)</f>
        <v>0</v>
      </c>
      <c r="AE2896" s="702"/>
      <c r="AF2896" s="705"/>
      <c r="AG2896" s="729">
        <f>IF(AG2895&gt;0,AG2895/(SUM(AF2175:AF2179)/1.18),0)</f>
        <v>0</v>
      </c>
      <c r="AH2896" s="706"/>
      <c r="AI2896" s="729">
        <f>IF(AI2895&gt;0,AI2895/(SUM(AH2175:AH2179)/1.18),0)</f>
        <v>0</v>
      </c>
      <c r="AJ2896" s="707"/>
      <c r="AV2896" s="56"/>
    </row>
    <row r="2897" spans="1:48" ht="12.75" customHeight="1" outlineLevel="2" thickBot="1">
      <c r="A2897" s="73"/>
      <c r="B2897" s="82">
        <f>B2890+1</f>
        <v>3</v>
      </c>
      <c r="C2897" s="1233">
        <f>C27</f>
        <v>0</v>
      </c>
      <c r="D2897" s="1233" t="str">
        <f>D27</f>
        <v>Траектория ООО</v>
      </c>
      <c r="E2897" s="83" t="str">
        <f>'Terms and Turnovers'!$J$12</f>
        <v>FLIP-FLOPS</v>
      </c>
      <c r="F2897" s="68">
        <f>F1468/1.18-F2183*'Mark Up Validation'!$M$175</f>
        <v>0</v>
      </c>
      <c r="G2897" s="106"/>
      <c r="H2897" s="68">
        <f>H1468/1.18-H2183*'Mark Up Validation'!$M$175</f>
        <v>0</v>
      </c>
      <c r="I2897" s="106"/>
      <c r="J2897" s="68">
        <f>J1468/1.18-J2183*'Mark Up Validation'!$M$175</f>
        <v>0</v>
      </c>
      <c r="K2897" s="106"/>
      <c r="L2897" s="68">
        <f>L1468/1.18-L2183*'Mark Up Validation'!$M$175</f>
        <v>0</v>
      </c>
      <c r="M2897" s="106"/>
      <c r="N2897" s="68">
        <f>N1468/1.18-N2183*'Mark Up Validation'!$M$175</f>
        <v>0</v>
      </c>
      <c r="O2897" s="106"/>
      <c r="P2897" s="68">
        <f>P1468/1.18-P2183*'Mark Up Validation'!$M$175</f>
        <v>0</v>
      </c>
      <c r="Q2897" s="106"/>
      <c r="R2897" s="129">
        <f>SUM(F2897,H2897,J2897,L2897,N2897,P2897)</f>
        <v>0</v>
      </c>
      <c r="S2897" s="106"/>
      <c r="T2897" s="68">
        <f>T1468/1.18-T2183*'Mark Up Validation'!$S$175</f>
        <v>0</v>
      </c>
      <c r="U2897" s="106"/>
      <c r="V2897" s="68">
        <f>V1468/1.18-V2183*'Mark Up Validation'!$S$175</f>
        <v>0</v>
      </c>
      <c r="W2897" s="106"/>
      <c r="X2897" s="68">
        <f>X1468/1.18-X2183*'Mark Up Validation'!$S$175</f>
        <v>0</v>
      </c>
      <c r="Y2897" s="106"/>
      <c r="Z2897" s="68">
        <f>Z1468/1.18-Z2183*'Mark Up Validation'!$S$175</f>
        <v>0</v>
      </c>
      <c r="AA2897" s="106"/>
      <c r="AB2897" s="68">
        <f>AB1468/1.18-AB2183*'Mark Up Validation'!$S$175</f>
        <v>0</v>
      </c>
      <c r="AC2897" s="106"/>
      <c r="AD2897" s="68">
        <f>AD1468/1.18-AD2183*'Mark Up Validation'!$S$175</f>
        <v>0</v>
      </c>
      <c r="AE2897" s="106"/>
      <c r="AF2897" s="129">
        <f>SUM(T2897,V2897,X2897,Z2897,AB2897,AD2897)</f>
        <v>0</v>
      </c>
      <c r="AG2897" s="106"/>
      <c r="AH2897" s="130">
        <f>SUM(AF2897,R2897)</f>
        <v>0</v>
      </c>
      <c r="AI2897" s="106"/>
      <c r="AJ2897" s="65"/>
      <c r="AV2897" s="56"/>
    </row>
    <row r="2898" spans="1:48" ht="12.75" customHeight="1" outlineLevel="2" thickBot="1">
      <c r="A2898" s="73"/>
      <c r="B2898" s="82"/>
      <c r="C2898" s="1234"/>
      <c r="D2898" s="1234"/>
      <c r="E2898" s="84" t="str">
        <f>'Terms and Turnovers'!$T$12</f>
        <v>ORIGINALS</v>
      </c>
      <c r="F2898" s="68">
        <f>F1469/1.18-F2184*'Mark Up Validation'!$M$175</f>
        <v>0</v>
      </c>
      <c r="G2898" s="728"/>
      <c r="H2898" s="68">
        <f>H1469/1.18-H2184*'Mark Up Validation'!$M$175</f>
        <v>0</v>
      </c>
      <c r="I2898" s="728"/>
      <c r="J2898" s="68">
        <f>J1469/1.18-J2184*'Mark Up Validation'!$M$175</f>
        <v>0</v>
      </c>
      <c r="K2898" s="728"/>
      <c r="L2898" s="68">
        <f>L1469/1.18-L2184*'Mark Up Validation'!$M$175</f>
        <v>0</v>
      </c>
      <c r="M2898" s="728"/>
      <c r="N2898" s="68">
        <f>N1469/1.18-N2184*'Mark Up Validation'!$M$175</f>
        <v>0</v>
      </c>
      <c r="O2898" s="728"/>
      <c r="P2898" s="68">
        <f>P1469/1.18-P2184*'Mark Up Validation'!$M$175</f>
        <v>0</v>
      </c>
      <c r="Q2898" s="728"/>
      <c r="R2898" s="132">
        <f>SUM(F2898,H2898,J2898,L2898,N2898,P2898)</f>
        <v>0</v>
      </c>
      <c r="S2898" s="728"/>
      <c r="T2898" s="68">
        <f>T1469/1.18-T2184*'Mark Up Validation'!$S$175</f>
        <v>0</v>
      </c>
      <c r="U2898" s="728"/>
      <c r="V2898" s="68">
        <f>V1469/1.18-V2184*'Mark Up Validation'!$S$175</f>
        <v>0</v>
      </c>
      <c r="W2898" s="728"/>
      <c r="X2898" s="68">
        <f>X1469/1.18-X2184*'Mark Up Validation'!$S$175</f>
        <v>0</v>
      </c>
      <c r="Y2898" s="728"/>
      <c r="Z2898" s="68">
        <f>Z1469/1.18-Z2184*'Mark Up Validation'!$S$175</f>
        <v>0</v>
      </c>
      <c r="AA2898" s="728"/>
      <c r="AB2898" s="68">
        <f>AB1469/1.18-AB2184*'Mark Up Validation'!$S$175</f>
        <v>0</v>
      </c>
      <c r="AC2898" s="728"/>
      <c r="AD2898" s="68">
        <f>AD1469/1.18-AD2184*'Mark Up Validation'!$S$175</f>
        <v>0</v>
      </c>
      <c r="AE2898" s="728"/>
      <c r="AF2898" s="132">
        <f>SUM(T2898,V2898,X2898,Z2898,AB2898,AD2898)</f>
        <v>0</v>
      </c>
      <c r="AG2898" s="728"/>
      <c r="AH2898" s="133">
        <f>SUM(AF2898,R2898)</f>
        <v>0</v>
      </c>
      <c r="AI2898" s="728"/>
      <c r="AJ2898" s="65"/>
      <c r="AV2898" s="56"/>
    </row>
    <row r="2899" spans="1:48" ht="12.75" customHeight="1" outlineLevel="2" thickBot="1">
      <c r="A2899" s="73"/>
      <c r="B2899" s="82"/>
      <c r="C2899" s="1234"/>
      <c r="D2899" s="1234"/>
      <c r="E2899" s="84" t="str">
        <f>'Terms and Turnovers'!$AD$12</f>
        <v>ACCESSORIES</v>
      </c>
      <c r="F2899" s="68">
        <f>F1470/1.18-F2185*'Mark Up Validation'!$M$175</f>
        <v>0</v>
      </c>
      <c r="G2899" s="106"/>
      <c r="H2899" s="68">
        <f>H1470/1.18-H2185*'Mark Up Validation'!$M$175</f>
        <v>0</v>
      </c>
      <c r="I2899" s="106"/>
      <c r="J2899" s="68">
        <f>J1470/1.18-J2185*'Mark Up Validation'!$M$175</f>
        <v>0</v>
      </c>
      <c r="K2899" s="106"/>
      <c r="L2899" s="68">
        <f>L1470/1.18-L2185*'Mark Up Validation'!$M$175</f>
        <v>0</v>
      </c>
      <c r="M2899" s="106"/>
      <c r="N2899" s="68">
        <f>N1470/1.18-N2185*'Mark Up Validation'!$M$175</f>
        <v>0</v>
      </c>
      <c r="O2899" s="106"/>
      <c r="P2899" s="68">
        <f>P1470/1.18-P2185*'Mark Up Validation'!$M$175</f>
        <v>0</v>
      </c>
      <c r="Q2899" s="728"/>
      <c r="R2899" s="132">
        <f>SUM(F2899,H2899,J2899,L2899,N2899,P2899)</f>
        <v>0</v>
      </c>
      <c r="S2899" s="728"/>
      <c r="T2899" s="68">
        <f>T1470/1.18-T2185*'Mark Up Validation'!$S$175</f>
        <v>0</v>
      </c>
      <c r="U2899" s="728"/>
      <c r="V2899" s="68">
        <f>V1470/1.18-V2185*'Mark Up Validation'!$S$175</f>
        <v>0</v>
      </c>
      <c r="W2899" s="728"/>
      <c r="X2899" s="68">
        <f>X1470/1.18-X2185*'Mark Up Validation'!$S$175</f>
        <v>0</v>
      </c>
      <c r="Y2899" s="728"/>
      <c r="Z2899" s="68">
        <f>Z1470/1.18-Z2185*'Mark Up Validation'!$S$175</f>
        <v>0</v>
      </c>
      <c r="AA2899" s="728"/>
      <c r="AB2899" s="68">
        <f>AB1470/1.18-AB2185*'Mark Up Validation'!$S$175</f>
        <v>0</v>
      </c>
      <c r="AC2899" s="728"/>
      <c r="AD2899" s="68">
        <f>AD1470/1.18-AD2185*'Mark Up Validation'!$S$175</f>
        <v>0</v>
      </c>
      <c r="AE2899" s="728"/>
      <c r="AF2899" s="132">
        <f>SUM(T2899,V2899,X2899,Z2899,AB2899,AD2899)</f>
        <v>0</v>
      </c>
      <c r="AG2899" s="728"/>
      <c r="AH2899" s="133">
        <f>SUM(AF2899,R2899)</f>
        <v>0</v>
      </c>
      <c r="AI2899" s="728"/>
      <c r="AJ2899" s="65"/>
      <c r="AV2899" s="56"/>
    </row>
    <row r="2900" spans="1:48" ht="12.75" customHeight="1" outlineLevel="2" thickBot="1">
      <c r="A2900" s="73"/>
      <c r="B2900" s="82"/>
      <c r="C2900" s="1234"/>
      <c r="D2900" s="1234"/>
      <c r="E2900" s="84">
        <f>'Terms and Turnovers'!$AN$12</f>
        <v>0</v>
      </c>
      <c r="F2900" s="68">
        <f>F1471/1.18-F2186*'Mark Up Validation'!$M$175</f>
        <v>0</v>
      </c>
      <c r="G2900" s="728"/>
      <c r="H2900" s="68">
        <f>H1471/1.18-H2186*'Mark Up Validation'!$M$175</f>
        <v>0</v>
      </c>
      <c r="I2900" s="728"/>
      <c r="J2900" s="68">
        <f>J1471/1.18-J2186*'Mark Up Validation'!$M$175</f>
        <v>0</v>
      </c>
      <c r="K2900" s="728"/>
      <c r="L2900" s="68">
        <f>L1471/1.18-L2186*'Mark Up Validation'!$M$175</f>
        <v>0</v>
      </c>
      <c r="M2900" s="728"/>
      <c r="N2900" s="68">
        <f>N1471/1.18-N2186*'Mark Up Validation'!$M$175</f>
        <v>0</v>
      </c>
      <c r="O2900" s="728"/>
      <c r="P2900" s="68">
        <f>P1471/1.18-P2186*'Mark Up Validation'!$M$175</f>
        <v>0</v>
      </c>
      <c r="Q2900" s="728"/>
      <c r="R2900" s="132">
        <f>SUM(F2900,H2900,J2900,L2900,N2900,P2900)</f>
        <v>0</v>
      </c>
      <c r="S2900" s="728"/>
      <c r="T2900" s="68">
        <f>T1471/1.18-T2186*'Mark Up Validation'!$S$175</f>
        <v>0</v>
      </c>
      <c r="U2900" s="728"/>
      <c r="V2900" s="68">
        <f>V1471/1.18-V2186*'Mark Up Validation'!$S$175</f>
        <v>0</v>
      </c>
      <c r="W2900" s="728"/>
      <c r="X2900" s="68">
        <f>X1471/1.18-X2186*'Mark Up Validation'!$S$175</f>
        <v>0</v>
      </c>
      <c r="Y2900" s="728"/>
      <c r="Z2900" s="68">
        <f>Z1471/1.18-Z2186*'Mark Up Validation'!$S$175</f>
        <v>0</v>
      </c>
      <c r="AA2900" s="728"/>
      <c r="AB2900" s="68">
        <f>AB1471/1.18-AB2186*'Mark Up Validation'!$S$175</f>
        <v>0</v>
      </c>
      <c r="AC2900" s="728"/>
      <c r="AD2900" s="68">
        <f>AD1471/1.18-AD2186*'Mark Up Validation'!$S$175</f>
        <v>0</v>
      </c>
      <c r="AE2900" s="728"/>
      <c r="AF2900" s="132">
        <f>SUM(T2900,V2900,X2900,Z2900,AB2900,AD2900)</f>
        <v>0</v>
      </c>
      <c r="AG2900" s="728"/>
      <c r="AH2900" s="133">
        <f>SUM(AF2900,R2900)</f>
        <v>0</v>
      </c>
      <c r="AI2900" s="728"/>
      <c r="AJ2900" s="65"/>
      <c r="AV2900" s="56"/>
    </row>
    <row r="2901" spans="1:48" ht="13.5" customHeight="1" outlineLevel="2" thickBot="1">
      <c r="A2901" s="73"/>
      <c r="B2901" s="82"/>
      <c r="C2901" s="1235"/>
      <c r="D2901" s="1235"/>
      <c r="E2901" s="85">
        <f>'Terms and Turnovers'!$AX$12</f>
        <v>0</v>
      </c>
      <c r="F2901" s="68">
        <f>F1472/1.18-F2187*'Mark Up Validation'!$M$175</f>
        <v>0</v>
      </c>
      <c r="G2901" s="106"/>
      <c r="H2901" s="68">
        <f>H1472/1.18-H2187*'Mark Up Validation'!$M$175</f>
        <v>0</v>
      </c>
      <c r="I2901" s="106"/>
      <c r="J2901" s="68">
        <f>J1472/1.18-J2187*'Mark Up Validation'!$M$175</f>
        <v>0</v>
      </c>
      <c r="K2901" s="106"/>
      <c r="L2901" s="68">
        <f>L1472/1.18-L2187*'Mark Up Validation'!$M$175</f>
        <v>0</v>
      </c>
      <c r="M2901" s="106"/>
      <c r="N2901" s="68">
        <f>N1472/1.18-N2187*'Mark Up Validation'!$M$175</f>
        <v>0</v>
      </c>
      <c r="O2901" s="106"/>
      <c r="P2901" s="68">
        <f>P1472/1.18-P2187*'Mark Up Validation'!$M$175</f>
        <v>0</v>
      </c>
      <c r="Q2901" s="107"/>
      <c r="R2901" s="135">
        <f>SUM(F2901,H2901,J2901,L2901,N2901,P2901)</f>
        <v>0</v>
      </c>
      <c r="S2901" s="107"/>
      <c r="T2901" s="68">
        <f>T1472/1.18-T2187*'Mark Up Validation'!$S$175</f>
        <v>0</v>
      </c>
      <c r="U2901" s="107"/>
      <c r="V2901" s="68">
        <f>V1472/1.18-V2187*'Mark Up Validation'!$S$175</f>
        <v>0</v>
      </c>
      <c r="W2901" s="107"/>
      <c r="X2901" s="68">
        <f>X1472/1.18-X2187*'Mark Up Validation'!$S$175</f>
        <v>0</v>
      </c>
      <c r="Y2901" s="107"/>
      <c r="Z2901" s="68">
        <f>Z1472/1.18-Z2187*'Mark Up Validation'!$S$175</f>
        <v>0</v>
      </c>
      <c r="AA2901" s="107"/>
      <c r="AB2901" s="68">
        <f>AB1472/1.18-AB2187*'Mark Up Validation'!$S$175</f>
        <v>0</v>
      </c>
      <c r="AC2901" s="107"/>
      <c r="AD2901" s="68">
        <f>AD1472/1.18-AD2187*'Mark Up Validation'!$S$175</f>
        <v>0</v>
      </c>
      <c r="AE2901" s="107"/>
      <c r="AF2901" s="135">
        <f>SUM(T2901,V2901,X2901,Z2901,AB2901,AD2901)</f>
        <v>0</v>
      </c>
      <c r="AG2901" s="107"/>
      <c r="AH2901" s="136">
        <f>SUM(AF2901,R2901)</f>
        <v>0</v>
      </c>
      <c r="AI2901" s="107"/>
      <c r="AJ2901" s="65"/>
      <c r="AV2901" s="56"/>
    </row>
    <row r="2902" spans="1:48" ht="13.5" customHeight="1" outlineLevel="2">
      <c r="A2902" s="73"/>
      <c r="B2902" s="82"/>
      <c r="C2902" s="425"/>
      <c r="D2902" s="425"/>
      <c r="E2902" s="634"/>
      <c r="F2902" s="635"/>
      <c r="G2902" s="428"/>
      <c r="H2902" s="635"/>
      <c r="I2902" s="428"/>
      <c r="J2902" s="635"/>
      <c r="K2902" s="636"/>
      <c r="L2902" s="635"/>
      <c r="M2902" s="636"/>
      <c r="N2902" s="635"/>
      <c r="O2902" s="636"/>
      <c r="P2902" s="635"/>
      <c r="Q2902" s="636"/>
      <c r="R2902" s="637"/>
      <c r="S2902" s="698">
        <f>SUM(R2182:R2186)/1.18-(SUM(R2897:R2901)*'Mark Up Validation'!$M$175)</f>
        <v>0</v>
      </c>
      <c r="T2902" s="635"/>
      <c r="U2902" s="636"/>
      <c r="V2902" s="635"/>
      <c r="W2902" s="636"/>
      <c r="X2902" s="635"/>
      <c r="Y2902" s="636"/>
      <c r="Z2902" s="635"/>
      <c r="AA2902" s="636"/>
      <c r="AB2902" s="635"/>
      <c r="AC2902" s="636"/>
      <c r="AD2902" s="635"/>
      <c r="AE2902" s="636"/>
      <c r="AF2902" s="637"/>
      <c r="AG2902" s="698">
        <f>SUM(AF2182:AF2186)/1.18-SUM(AF2897:AF2901)*'Mark Up Validation'!$M$175</f>
        <v>0</v>
      </c>
      <c r="AH2902" s="638"/>
      <c r="AI2902" s="698">
        <f>SUM(AH2182:AH2186)/1.18-SUM(AH2897:AH2901)*'Mark Up Validation'!$M$175</f>
        <v>0</v>
      </c>
      <c r="AJ2902" s="65"/>
      <c r="AV2902" s="56"/>
    </row>
    <row r="2903" spans="1:48" ht="13.5" customHeight="1" outlineLevel="2" thickBot="1">
      <c r="A2903" s="119"/>
      <c r="B2903" s="82"/>
      <c r="C2903" s="1228" t="s">
        <v>539</v>
      </c>
      <c r="D2903" s="1229"/>
      <c r="E2903" s="699"/>
      <c r="F2903" s="700">
        <f>SUM(F2897:F2901)</f>
        <v>0</v>
      </c>
      <c r="G2903" s="701"/>
      <c r="H2903" s="700">
        <f>SUM(H2897:H2901)</f>
        <v>0</v>
      </c>
      <c r="I2903" s="701"/>
      <c r="J2903" s="700">
        <f>SUM(J2897:J2901)</f>
        <v>0</v>
      </c>
      <c r="K2903" s="702"/>
      <c r="L2903" s="700">
        <f>SUM(L2897:L2901)</f>
        <v>0</v>
      </c>
      <c r="M2903" s="702"/>
      <c r="N2903" s="700">
        <f>SUM(N2897:N2901)</f>
        <v>0</v>
      </c>
      <c r="O2903" s="702"/>
      <c r="P2903" s="700">
        <f>SUM(P2897:P2901)</f>
        <v>0</v>
      </c>
      <c r="Q2903" s="702"/>
      <c r="R2903" s="703"/>
      <c r="S2903" s="729">
        <f>IF(S2902&gt;0,S2902/(SUM(R2182:R2186)/1.18),0)</f>
        <v>0</v>
      </c>
      <c r="T2903" s="700">
        <f>SUM(T2897:T2901)</f>
        <v>0</v>
      </c>
      <c r="U2903" s="702"/>
      <c r="V2903" s="700">
        <f>SUM(V2897:V2901)</f>
        <v>0</v>
      </c>
      <c r="W2903" s="702"/>
      <c r="X2903" s="700">
        <f>SUM(X2897:X2901)</f>
        <v>0</v>
      </c>
      <c r="Y2903" s="702"/>
      <c r="Z2903" s="700">
        <f>SUM(Z2897:Z2901)</f>
        <v>0</v>
      </c>
      <c r="AA2903" s="702"/>
      <c r="AB2903" s="700">
        <f>SUM(AB2897:AB2901)</f>
        <v>0</v>
      </c>
      <c r="AC2903" s="702"/>
      <c r="AD2903" s="700">
        <f>SUM(AD2897:AD2901)</f>
        <v>0</v>
      </c>
      <c r="AE2903" s="702"/>
      <c r="AF2903" s="705"/>
      <c r="AG2903" s="729">
        <f>IF(AG2902&gt;0,AG2902/(SUM(AF2182:AF2186)/1.18),0)</f>
        <v>0</v>
      </c>
      <c r="AH2903" s="706"/>
      <c r="AI2903" s="729">
        <f>IF(AI2902&gt;0,AI2902/(SUM(AH2182:AH2186)/1.18),0)</f>
        <v>0</v>
      </c>
      <c r="AJ2903" s="707"/>
      <c r="AV2903" s="56"/>
    </row>
    <row r="2904" spans="1:48" ht="12.75" customHeight="1" outlineLevel="2" thickBot="1">
      <c r="A2904" s="73"/>
      <c r="B2904" s="82">
        <f>B2897+1</f>
        <v>4</v>
      </c>
      <c r="C2904" s="1233">
        <f>C34</f>
        <v>0</v>
      </c>
      <c r="D2904" s="1233" t="str">
        <f>D34</f>
        <v>ИП Вербицкая</v>
      </c>
      <c r="E2904" s="83" t="str">
        <f>'Terms and Turnovers'!$J$12</f>
        <v>FLIP-FLOPS</v>
      </c>
      <c r="F2904" s="68">
        <f>F1475/1.18-F2190*'Mark Up Validation'!$M$175</f>
        <v>0</v>
      </c>
      <c r="G2904" s="106"/>
      <c r="H2904" s="68">
        <f>H1475/1.18-H2190*'Mark Up Validation'!$M$175</f>
        <v>0</v>
      </c>
      <c r="I2904" s="106"/>
      <c r="J2904" s="68">
        <f>J1475/1.18-J2190*'Mark Up Validation'!$M$175</f>
        <v>0</v>
      </c>
      <c r="K2904" s="106"/>
      <c r="L2904" s="68">
        <f>L1475/1.18-L2190*'Mark Up Validation'!$M$175</f>
        <v>0</v>
      </c>
      <c r="M2904" s="106"/>
      <c r="N2904" s="68">
        <f>N1475/1.18-N2190*'Mark Up Validation'!$M$175</f>
        <v>0</v>
      </c>
      <c r="O2904" s="106"/>
      <c r="P2904" s="68">
        <f>P1475/1.18-P2190*'Mark Up Validation'!$M$175</f>
        <v>0</v>
      </c>
      <c r="Q2904" s="106"/>
      <c r="R2904" s="129">
        <f>SUM(F2904,H2904,J2904,L2904,N2904,P2904)</f>
        <v>0</v>
      </c>
      <c r="S2904" s="106"/>
      <c r="T2904" s="68">
        <f>T1475/1.18-T2190*'Mark Up Validation'!$S$175</f>
        <v>0</v>
      </c>
      <c r="U2904" s="106"/>
      <c r="V2904" s="68">
        <f>V1475/1.18-V2190*'Mark Up Validation'!$S$175</f>
        <v>0</v>
      </c>
      <c r="W2904" s="106"/>
      <c r="X2904" s="68">
        <f>X1475/1.18-X2190*'Mark Up Validation'!$S$175</f>
        <v>0</v>
      </c>
      <c r="Y2904" s="106"/>
      <c r="Z2904" s="68">
        <f>Z1475/1.18-Z2190*'Mark Up Validation'!$S$175</f>
        <v>0</v>
      </c>
      <c r="AA2904" s="106"/>
      <c r="AB2904" s="68">
        <f>AB1475/1.18-AB2190*'Mark Up Validation'!$S$175</f>
        <v>0</v>
      </c>
      <c r="AC2904" s="106"/>
      <c r="AD2904" s="68">
        <f>AD1475/1.18-AD2190*'Mark Up Validation'!$S$175</f>
        <v>0</v>
      </c>
      <c r="AE2904" s="106"/>
      <c r="AF2904" s="129">
        <f>SUM(T2904,V2904,X2904,Z2904,AB2904,AD2904)</f>
        <v>0</v>
      </c>
      <c r="AG2904" s="106"/>
      <c r="AH2904" s="130">
        <f>SUM(AF2904,R2904)</f>
        <v>0</v>
      </c>
      <c r="AI2904" s="106"/>
      <c r="AJ2904" s="65"/>
      <c r="AV2904" s="56"/>
    </row>
    <row r="2905" spans="1:48" ht="12.75" customHeight="1" outlineLevel="2" thickBot="1">
      <c r="A2905" s="73"/>
      <c r="B2905" s="82"/>
      <c r="C2905" s="1234"/>
      <c r="D2905" s="1234"/>
      <c r="E2905" s="84" t="str">
        <f>'Terms and Turnovers'!$T$12</f>
        <v>ORIGINALS</v>
      </c>
      <c r="F2905" s="68">
        <f>F1476/1.18-F2191*'Mark Up Validation'!$M$175</f>
        <v>0</v>
      </c>
      <c r="G2905" s="728"/>
      <c r="H2905" s="68">
        <f>H1476/1.18-H2191*'Mark Up Validation'!$M$175</f>
        <v>0</v>
      </c>
      <c r="I2905" s="728"/>
      <c r="J2905" s="68">
        <f>J1476/1.18-J2191*'Mark Up Validation'!$M$175</f>
        <v>0</v>
      </c>
      <c r="K2905" s="728"/>
      <c r="L2905" s="68">
        <f>L1476/1.18-L2191*'Mark Up Validation'!$M$175</f>
        <v>0</v>
      </c>
      <c r="M2905" s="728"/>
      <c r="N2905" s="68">
        <f>N1476/1.18-N2191*'Mark Up Validation'!$M$175</f>
        <v>0</v>
      </c>
      <c r="O2905" s="728"/>
      <c r="P2905" s="68">
        <f>P1476/1.18-P2191*'Mark Up Validation'!$M$175</f>
        <v>0</v>
      </c>
      <c r="Q2905" s="728"/>
      <c r="R2905" s="132">
        <f>SUM(F2905,H2905,J2905,L2905,N2905,P2905)</f>
        <v>0</v>
      </c>
      <c r="S2905" s="728"/>
      <c r="T2905" s="68">
        <f>T1476/1.18-T2191*'Mark Up Validation'!$S$175</f>
        <v>0</v>
      </c>
      <c r="U2905" s="728"/>
      <c r="V2905" s="68">
        <f>V1476/1.18-V2191*'Mark Up Validation'!$S$175</f>
        <v>0</v>
      </c>
      <c r="W2905" s="728"/>
      <c r="X2905" s="68">
        <f>X1476/1.18-X2191*'Mark Up Validation'!$S$175</f>
        <v>0</v>
      </c>
      <c r="Y2905" s="728"/>
      <c r="Z2905" s="68">
        <f>Z1476/1.18-Z2191*'Mark Up Validation'!$S$175</f>
        <v>0</v>
      </c>
      <c r="AA2905" s="728"/>
      <c r="AB2905" s="68">
        <f>AB1476/1.18-AB2191*'Mark Up Validation'!$S$175</f>
        <v>0</v>
      </c>
      <c r="AC2905" s="728"/>
      <c r="AD2905" s="68">
        <f>AD1476/1.18-AD2191*'Mark Up Validation'!$S$175</f>
        <v>0</v>
      </c>
      <c r="AE2905" s="728"/>
      <c r="AF2905" s="132">
        <f>SUM(T2905,V2905,X2905,Z2905,AB2905,AD2905)</f>
        <v>0</v>
      </c>
      <c r="AG2905" s="728"/>
      <c r="AH2905" s="133">
        <f>SUM(AF2905,R2905)</f>
        <v>0</v>
      </c>
      <c r="AI2905" s="728"/>
      <c r="AJ2905" s="65"/>
      <c r="AV2905" s="56"/>
    </row>
    <row r="2906" spans="1:48" ht="12.75" customHeight="1" outlineLevel="2" thickBot="1">
      <c r="A2906" s="73"/>
      <c r="B2906" s="82"/>
      <c r="C2906" s="1234"/>
      <c r="D2906" s="1234"/>
      <c r="E2906" s="84" t="str">
        <f>'Terms and Turnovers'!$AD$12</f>
        <v>ACCESSORIES</v>
      </c>
      <c r="F2906" s="68">
        <f>F1477/1.18-F2192*'Mark Up Validation'!$M$175</f>
        <v>0</v>
      </c>
      <c r="G2906" s="106"/>
      <c r="H2906" s="68">
        <f>H1477/1.18-H2192*'Mark Up Validation'!$M$175</f>
        <v>0</v>
      </c>
      <c r="I2906" s="106"/>
      <c r="J2906" s="68">
        <f>J1477/1.18-J2192*'Mark Up Validation'!$M$175</f>
        <v>0</v>
      </c>
      <c r="K2906" s="106"/>
      <c r="L2906" s="68">
        <f>L1477/1.18-L2192*'Mark Up Validation'!$M$175</f>
        <v>0</v>
      </c>
      <c r="M2906" s="106"/>
      <c r="N2906" s="68">
        <f>N1477/1.18-N2192*'Mark Up Validation'!$M$175</f>
        <v>0</v>
      </c>
      <c r="O2906" s="106"/>
      <c r="P2906" s="68">
        <f>P1477/1.18-P2192*'Mark Up Validation'!$M$175</f>
        <v>0</v>
      </c>
      <c r="Q2906" s="728"/>
      <c r="R2906" s="132">
        <f>SUM(F2906,H2906,J2906,L2906,N2906,P2906)</f>
        <v>0</v>
      </c>
      <c r="S2906" s="728"/>
      <c r="T2906" s="68">
        <f>T1477/1.18-T2192*'Mark Up Validation'!$S$175</f>
        <v>0</v>
      </c>
      <c r="U2906" s="728"/>
      <c r="V2906" s="68">
        <f>V1477/1.18-V2192*'Mark Up Validation'!$S$175</f>
        <v>0</v>
      </c>
      <c r="W2906" s="728"/>
      <c r="X2906" s="68">
        <f>X1477/1.18-X2192*'Mark Up Validation'!$S$175</f>
        <v>0</v>
      </c>
      <c r="Y2906" s="728"/>
      <c r="Z2906" s="68">
        <f>Z1477/1.18-Z2192*'Mark Up Validation'!$S$175</f>
        <v>0</v>
      </c>
      <c r="AA2906" s="728"/>
      <c r="AB2906" s="68">
        <f>AB1477/1.18-AB2192*'Mark Up Validation'!$S$175</f>
        <v>0</v>
      </c>
      <c r="AC2906" s="728"/>
      <c r="AD2906" s="68">
        <f>AD1477/1.18-AD2192*'Mark Up Validation'!$S$175</f>
        <v>0</v>
      </c>
      <c r="AE2906" s="728"/>
      <c r="AF2906" s="132">
        <f>SUM(T2906,V2906,X2906,Z2906,AB2906,AD2906)</f>
        <v>0</v>
      </c>
      <c r="AG2906" s="728"/>
      <c r="AH2906" s="133">
        <f>SUM(AF2906,R2906)</f>
        <v>0</v>
      </c>
      <c r="AI2906" s="728"/>
      <c r="AJ2906" s="65"/>
      <c r="AV2906" s="56"/>
    </row>
    <row r="2907" spans="1:48" ht="12.75" customHeight="1" outlineLevel="2" thickBot="1">
      <c r="A2907" s="73"/>
      <c r="B2907" s="82"/>
      <c r="C2907" s="1234"/>
      <c r="D2907" s="1234"/>
      <c r="E2907" s="84">
        <f>'Terms and Turnovers'!$AN$12</f>
        <v>0</v>
      </c>
      <c r="F2907" s="68">
        <f>F1478/1.18-F2193*'Mark Up Validation'!$M$175</f>
        <v>0</v>
      </c>
      <c r="G2907" s="728"/>
      <c r="H2907" s="68">
        <f>H1478/1.18-H2193*'Mark Up Validation'!$M$175</f>
        <v>0</v>
      </c>
      <c r="I2907" s="728"/>
      <c r="J2907" s="68">
        <f>J1478/1.18-J2193*'Mark Up Validation'!$M$175</f>
        <v>0</v>
      </c>
      <c r="K2907" s="728"/>
      <c r="L2907" s="68">
        <f>L1478/1.18-L2193*'Mark Up Validation'!$M$175</f>
        <v>0</v>
      </c>
      <c r="M2907" s="728"/>
      <c r="N2907" s="68">
        <f>N1478/1.18-N2193*'Mark Up Validation'!$M$175</f>
        <v>0</v>
      </c>
      <c r="O2907" s="728"/>
      <c r="P2907" s="68">
        <f>P1478/1.18-P2193*'Mark Up Validation'!$M$175</f>
        <v>0</v>
      </c>
      <c r="Q2907" s="728"/>
      <c r="R2907" s="132">
        <f>SUM(F2907,H2907,J2907,L2907,N2907,P2907)</f>
        <v>0</v>
      </c>
      <c r="S2907" s="728"/>
      <c r="T2907" s="68">
        <f>T1478/1.18-T2193*'Mark Up Validation'!$S$175</f>
        <v>0</v>
      </c>
      <c r="U2907" s="728"/>
      <c r="V2907" s="68">
        <f>V1478/1.18-V2193*'Mark Up Validation'!$S$175</f>
        <v>0</v>
      </c>
      <c r="W2907" s="728"/>
      <c r="X2907" s="68">
        <f>X1478/1.18-X2193*'Mark Up Validation'!$S$175</f>
        <v>0</v>
      </c>
      <c r="Y2907" s="728"/>
      <c r="Z2907" s="68">
        <f>Z1478/1.18-Z2193*'Mark Up Validation'!$S$175</f>
        <v>0</v>
      </c>
      <c r="AA2907" s="728"/>
      <c r="AB2907" s="68">
        <f>AB1478/1.18-AB2193*'Mark Up Validation'!$S$175</f>
        <v>0</v>
      </c>
      <c r="AC2907" s="728"/>
      <c r="AD2907" s="68">
        <f>AD1478/1.18-AD2193*'Mark Up Validation'!$S$175</f>
        <v>0</v>
      </c>
      <c r="AE2907" s="728"/>
      <c r="AF2907" s="132">
        <f>SUM(T2907,V2907,X2907,Z2907,AB2907,AD2907)</f>
        <v>0</v>
      </c>
      <c r="AG2907" s="728"/>
      <c r="AH2907" s="133">
        <f>SUM(AF2907,R2907)</f>
        <v>0</v>
      </c>
      <c r="AI2907" s="728"/>
      <c r="AJ2907" s="65"/>
      <c r="AV2907" s="56"/>
    </row>
    <row r="2908" spans="1:48" ht="13.5" customHeight="1" outlineLevel="2" thickBot="1">
      <c r="A2908" s="73"/>
      <c r="B2908" s="82"/>
      <c r="C2908" s="1235"/>
      <c r="D2908" s="1235"/>
      <c r="E2908" s="85">
        <f>'Terms and Turnovers'!$AX$12</f>
        <v>0</v>
      </c>
      <c r="F2908" s="68">
        <f>F1479/1.18-F2194*'Mark Up Validation'!$M$175</f>
        <v>0</v>
      </c>
      <c r="G2908" s="106"/>
      <c r="H2908" s="68">
        <f>H1479/1.18-H2194*'Mark Up Validation'!$M$175</f>
        <v>0</v>
      </c>
      <c r="I2908" s="106"/>
      <c r="J2908" s="68">
        <f>J1479/1.18-J2194*'Mark Up Validation'!$M$175</f>
        <v>0</v>
      </c>
      <c r="K2908" s="106"/>
      <c r="L2908" s="68">
        <f>L1479/1.18-L2194*'Mark Up Validation'!$M$175</f>
        <v>0</v>
      </c>
      <c r="M2908" s="106"/>
      <c r="N2908" s="68">
        <f>N1479/1.18-N2194*'Mark Up Validation'!$M$175</f>
        <v>0</v>
      </c>
      <c r="O2908" s="106"/>
      <c r="P2908" s="68">
        <f>P1479/1.18-P2194*'Mark Up Validation'!$M$175</f>
        <v>0</v>
      </c>
      <c r="Q2908" s="107"/>
      <c r="R2908" s="135">
        <f>SUM(F2908,H2908,J2908,L2908,N2908,P2908)</f>
        <v>0</v>
      </c>
      <c r="S2908" s="107"/>
      <c r="T2908" s="68">
        <f>T1479/1.18-T2194*'Mark Up Validation'!$S$175</f>
        <v>0</v>
      </c>
      <c r="U2908" s="107"/>
      <c r="V2908" s="68">
        <f>V1479/1.18-V2194*'Mark Up Validation'!$S$175</f>
        <v>0</v>
      </c>
      <c r="W2908" s="107"/>
      <c r="X2908" s="68">
        <f>X1479/1.18-X2194*'Mark Up Validation'!$S$175</f>
        <v>0</v>
      </c>
      <c r="Y2908" s="107"/>
      <c r="Z2908" s="68">
        <f>Z1479/1.18-Z2194*'Mark Up Validation'!$S$175</f>
        <v>0</v>
      </c>
      <c r="AA2908" s="107"/>
      <c r="AB2908" s="68">
        <f>AB1479/1.18-AB2194*'Mark Up Validation'!$S$175</f>
        <v>0</v>
      </c>
      <c r="AC2908" s="107"/>
      <c r="AD2908" s="68">
        <f>AD1479/1.18-AD2194*'Mark Up Validation'!$S$175</f>
        <v>0</v>
      </c>
      <c r="AE2908" s="107"/>
      <c r="AF2908" s="135">
        <f>SUM(T2908,V2908,X2908,Z2908,AB2908,AD2908)</f>
        <v>0</v>
      </c>
      <c r="AG2908" s="107"/>
      <c r="AH2908" s="136">
        <f>SUM(AF2908,R2908)</f>
        <v>0</v>
      </c>
      <c r="AI2908" s="107"/>
      <c r="AJ2908" s="65"/>
      <c r="AV2908" s="56"/>
    </row>
    <row r="2909" spans="1:48" ht="13.5" customHeight="1" outlineLevel="2">
      <c r="A2909" s="73"/>
      <c r="B2909" s="82"/>
      <c r="C2909" s="425"/>
      <c r="D2909" s="425"/>
      <c r="E2909" s="634"/>
      <c r="F2909" s="635"/>
      <c r="G2909" s="428"/>
      <c r="H2909" s="635"/>
      <c r="I2909" s="428"/>
      <c r="J2909" s="635"/>
      <c r="K2909" s="636"/>
      <c r="L2909" s="635"/>
      <c r="M2909" s="636"/>
      <c r="N2909" s="635"/>
      <c r="O2909" s="636"/>
      <c r="P2909" s="635"/>
      <c r="Q2909" s="636"/>
      <c r="R2909" s="637"/>
      <c r="S2909" s="698">
        <f>SUM(R2189:R2193)/1.18-(SUM(R2904:R2908)*'Mark Up Validation'!$M$175)</f>
        <v>0</v>
      </c>
      <c r="T2909" s="635"/>
      <c r="U2909" s="636"/>
      <c r="V2909" s="635"/>
      <c r="W2909" s="636"/>
      <c r="X2909" s="635"/>
      <c r="Y2909" s="636"/>
      <c r="Z2909" s="635"/>
      <c r="AA2909" s="636"/>
      <c r="AB2909" s="635"/>
      <c r="AC2909" s="636"/>
      <c r="AD2909" s="635"/>
      <c r="AE2909" s="636"/>
      <c r="AF2909" s="637"/>
      <c r="AG2909" s="698">
        <f>SUM(AF2189:AF2193)/1.18-SUM(AF2904:AF2908)*'Mark Up Validation'!$M$175</f>
        <v>0</v>
      </c>
      <c r="AH2909" s="638"/>
      <c r="AI2909" s="698">
        <f>SUM(AH2189:AH2193)/1.18-SUM(AH2904:AH2908)*'Mark Up Validation'!$M$175</f>
        <v>0</v>
      </c>
      <c r="AJ2909" s="65"/>
      <c r="AV2909" s="56"/>
    </row>
    <row r="2910" spans="1:48" ht="13.5" customHeight="1" outlineLevel="2" thickBot="1">
      <c r="A2910" s="119"/>
      <c r="B2910" s="82"/>
      <c r="C2910" s="1228" t="s">
        <v>539</v>
      </c>
      <c r="D2910" s="1229"/>
      <c r="E2910" s="699"/>
      <c r="F2910" s="700">
        <f>SUM(F2904:F2908)</f>
        <v>0</v>
      </c>
      <c r="G2910" s="701"/>
      <c r="H2910" s="700">
        <f>SUM(H2904:H2908)</f>
        <v>0</v>
      </c>
      <c r="I2910" s="701"/>
      <c r="J2910" s="700">
        <f>SUM(J2904:J2908)</f>
        <v>0</v>
      </c>
      <c r="K2910" s="702"/>
      <c r="L2910" s="700">
        <f>SUM(L2904:L2908)</f>
        <v>0</v>
      </c>
      <c r="M2910" s="702"/>
      <c r="N2910" s="700">
        <f>SUM(N2904:N2908)</f>
        <v>0</v>
      </c>
      <c r="O2910" s="702"/>
      <c r="P2910" s="700">
        <f>SUM(P2904:P2908)</f>
        <v>0</v>
      </c>
      <c r="Q2910" s="702"/>
      <c r="R2910" s="703"/>
      <c r="S2910" s="729">
        <f>IF(S2909&gt;0,S2909/(SUM(R2189:R2193)/1.18),0)</f>
        <v>0</v>
      </c>
      <c r="T2910" s="700">
        <f>SUM(T2904:T2908)</f>
        <v>0</v>
      </c>
      <c r="U2910" s="702"/>
      <c r="V2910" s="700">
        <f>SUM(V2904:V2908)</f>
        <v>0</v>
      </c>
      <c r="W2910" s="702"/>
      <c r="X2910" s="700">
        <f>SUM(X2904:X2908)</f>
        <v>0</v>
      </c>
      <c r="Y2910" s="702"/>
      <c r="Z2910" s="700">
        <f>SUM(Z2904:Z2908)</f>
        <v>0</v>
      </c>
      <c r="AA2910" s="702"/>
      <c r="AB2910" s="700">
        <f>SUM(AB2904:AB2908)</f>
        <v>0</v>
      </c>
      <c r="AC2910" s="702"/>
      <c r="AD2910" s="700">
        <f>SUM(AD2904:AD2908)</f>
        <v>0</v>
      </c>
      <c r="AE2910" s="702"/>
      <c r="AF2910" s="705"/>
      <c r="AG2910" s="729">
        <f>IF(AG2909&gt;0,AG2909/(SUM(AF2189:AF2193)/1.18),0)</f>
        <v>0</v>
      </c>
      <c r="AH2910" s="706"/>
      <c r="AI2910" s="729">
        <f>IF(AI2909&gt;0,AI2909/(SUM(AH2189:AH2193)/1.18),0)</f>
        <v>0</v>
      </c>
      <c r="AJ2910" s="707"/>
      <c r="AV2910" s="56"/>
    </row>
    <row r="2911" spans="1:48" ht="12.75" customHeight="1" outlineLevel="2" thickBot="1">
      <c r="A2911" s="73"/>
      <c r="B2911" s="82">
        <f>B2904+1</f>
        <v>5</v>
      </c>
      <c r="C2911" s="1233">
        <f>C41</f>
        <v>0</v>
      </c>
      <c r="D2911" s="1233" t="str">
        <f>D41</f>
        <v>ИП Кузнецова  Мария Павловна</v>
      </c>
      <c r="E2911" s="83" t="str">
        <f>'Terms and Turnovers'!$J$12</f>
        <v>FLIP-FLOPS</v>
      </c>
      <c r="F2911" s="68">
        <f>F1482/1.18-F2197*'Mark Up Validation'!$M$175</f>
        <v>0</v>
      </c>
      <c r="G2911" s="106"/>
      <c r="H2911" s="68">
        <f>H1482/1.18-H2197*'Mark Up Validation'!$M$175</f>
        <v>0</v>
      </c>
      <c r="I2911" s="106"/>
      <c r="J2911" s="68">
        <f>J1482/1.18-J2197*'Mark Up Validation'!$M$175</f>
        <v>0</v>
      </c>
      <c r="K2911" s="106"/>
      <c r="L2911" s="68">
        <f>L1482/1.18-L2197*'Mark Up Validation'!$M$175</f>
        <v>0</v>
      </c>
      <c r="M2911" s="106"/>
      <c r="N2911" s="68">
        <f>N1482/1.18-N2197*'Mark Up Validation'!$M$175</f>
        <v>0</v>
      </c>
      <c r="O2911" s="106"/>
      <c r="P2911" s="68">
        <f>P1482/1.18-P2197*'Mark Up Validation'!$M$175</f>
        <v>0</v>
      </c>
      <c r="Q2911" s="106"/>
      <c r="R2911" s="129">
        <f>SUM(F2911,H2911,J2911,L2911,N2911,P2911)</f>
        <v>0</v>
      </c>
      <c r="S2911" s="106"/>
      <c r="T2911" s="68">
        <f>T1482/1.18-T2197*'Mark Up Validation'!$S$175</f>
        <v>0</v>
      </c>
      <c r="U2911" s="106"/>
      <c r="V2911" s="68">
        <f>V1482/1.18-V2197*'Mark Up Validation'!$S$175</f>
        <v>0</v>
      </c>
      <c r="W2911" s="106"/>
      <c r="X2911" s="68">
        <f>X1482/1.18-X2197*'Mark Up Validation'!$S$175</f>
        <v>0</v>
      </c>
      <c r="Y2911" s="106"/>
      <c r="Z2911" s="68">
        <f>Z1482/1.18-Z2197*'Mark Up Validation'!$S$175</f>
        <v>0</v>
      </c>
      <c r="AA2911" s="106"/>
      <c r="AB2911" s="68">
        <f>AB1482/1.18-AB2197*'Mark Up Validation'!$S$175</f>
        <v>0</v>
      </c>
      <c r="AC2911" s="106"/>
      <c r="AD2911" s="68">
        <f>AD1482/1.18-AD2197*'Mark Up Validation'!$S$175</f>
        <v>0</v>
      </c>
      <c r="AE2911" s="106"/>
      <c r="AF2911" s="129">
        <f>SUM(T2911,V2911,X2911,Z2911,AB2911,AD2911)</f>
        <v>0</v>
      </c>
      <c r="AG2911" s="106"/>
      <c r="AH2911" s="130">
        <f>SUM(AF2911,R2911)</f>
        <v>0</v>
      </c>
      <c r="AI2911" s="106"/>
      <c r="AJ2911" s="65"/>
      <c r="AV2911" s="56"/>
    </row>
    <row r="2912" spans="1:48" ht="12.75" customHeight="1" outlineLevel="2" thickBot="1">
      <c r="A2912" s="73"/>
      <c r="B2912" s="82"/>
      <c r="C2912" s="1234"/>
      <c r="D2912" s="1234"/>
      <c r="E2912" s="84" t="str">
        <f>'Terms and Turnovers'!$T$12</f>
        <v>ORIGINALS</v>
      </c>
      <c r="F2912" s="68">
        <f>F1483/1.18-F2198*'Mark Up Validation'!$M$175</f>
        <v>0</v>
      </c>
      <c r="G2912" s="728"/>
      <c r="H2912" s="68">
        <f>H1483/1.18-H2198*'Mark Up Validation'!$M$175</f>
        <v>0</v>
      </c>
      <c r="I2912" s="728"/>
      <c r="J2912" s="68">
        <f>J1483/1.18-J2198*'Mark Up Validation'!$M$175</f>
        <v>0</v>
      </c>
      <c r="K2912" s="728"/>
      <c r="L2912" s="68">
        <f>L1483/1.18-L2198*'Mark Up Validation'!$M$175</f>
        <v>0</v>
      </c>
      <c r="M2912" s="728"/>
      <c r="N2912" s="68">
        <f>N1483/1.18-N2198*'Mark Up Validation'!$M$175</f>
        <v>0</v>
      </c>
      <c r="O2912" s="728"/>
      <c r="P2912" s="68">
        <f>P1483/1.18-P2198*'Mark Up Validation'!$M$175</f>
        <v>0</v>
      </c>
      <c r="Q2912" s="728"/>
      <c r="R2912" s="132">
        <f>SUM(F2912,H2912,J2912,L2912,N2912,P2912)</f>
        <v>0</v>
      </c>
      <c r="S2912" s="728"/>
      <c r="T2912" s="68">
        <f>T1483/1.18-T2198*'Mark Up Validation'!$S$175</f>
        <v>0</v>
      </c>
      <c r="U2912" s="728"/>
      <c r="V2912" s="68">
        <f>V1483/1.18-V2198*'Mark Up Validation'!$S$175</f>
        <v>0</v>
      </c>
      <c r="W2912" s="728"/>
      <c r="X2912" s="68">
        <f>X1483/1.18-X2198*'Mark Up Validation'!$S$175</f>
        <v>0</v>
      </c>
      <c r="Y2912" s="728"/>
      <c r="Z2912" s="68">
        <f>Z1483/1.18-Z2198*'Mark Up Validation'!$S$175</f>
        <v>0</v>
      </c>
      <c r="AA2912" s="728"/>
      <c r="AB2912" s="68">
        <f>AB1483/1.18-AB2198*'Mark Up Validation'!$S$175</f>
        <v>0</v>
      </c>
      <c r="AC2912" s="728"/>
      <c r="AD2912" s="68">
        <f>AD1483/1.18-AD2198*'Mark Up Validation'!$S$175</f>
        <v>0</v>
      </c>
      <c r="AE2912" s="728"/>
      <c r="AF2912" s="132">
        <f>SUM(T2912,V2912,X2912,Z2912,AB2912,AD2912)</f>
        <v>0</v>
      </c>
      <c r="AG2912" s="728"/>
      <c r="AH2912" s="133">
        <f>SUM(AF2912,R2912)</f>
        <v>0</v>
      </c>
      <c r="AI2912" s="728"/>
      <c r="AJ2912" s="65"/>
      <c r="AV2912" s="56"/>
    </row>
    <row r="2913" spans="1:48" ht="12.75" customHeight="1" outlineLevel="2" thickBot="1">
      <c r="A2913" s="73"/>
      <c r="B2913" s="82"/>
      <c r="C2913" s="1234"/>
      <c r="D2913" s="1234"/>
      <c r="E2913" s="84" t="str">
        <f>'Terms and Turnovers'!$AD$12</f>
        <v>ACCESSORIES</v>
      </c>
      <c r="F2913" s="68">
        <f>F1484/1.18-F2199*'Mark Up Validation'!$M$175</f>
        <v>0</v>
      </c>
      <c r="G2913" s="106"/>
      <c r="H2913" s="68">
        <f>H1484/1.18-H2199*'Mark Up Validation'!$M$175</f>
        <v>0</v>
      </c>
      <c r="I2913" s="106"/>
      <c r="J2913" s="68">
        <f>J1484/1.18-J2199*'Mark Up Validation'!$M$175</f>
        <v>0</v>
      </c>
      <c r="K2913" s="106"/>
      <c r="L2913" s="68">
        <f>L1484/1.18-L2199*'Mark Up Validation'!$M$175</f>
        <v>0</v>
      </c>
      <c r="M2913" s="106"/>
      <c r="N2913" s="68">
        <f>N1484/1.18-N2199*'Mark Up Validation'!$M$175</f>
        <v>0</v>
      </c>
      <c r="O2913" s="106"/>
      <c r="P2913" s="68">
        <f>P1484/1.18-P2199*'Mark Up Validation'!$M$175</f>
        <v>0</v>
      </c>
      <c r="Q2913" s="728"/>
      <c r="R2913" s="132">
        <f>SUM(F2913,H2913,J2913,L2913,N2913,P2913)</f>
        <v>0</v>
      </c>
      <c r="S2913" s="728"/>
      <c r="T2913" s="68">
        <f>T1484/1.18-T2199*'Mark Up Validation'!$S$175</f>
        <v>0</v>
      </c>
      <c r="U2913" s="728"/>
      <c r="V2913" s="68">
        <f>V1484/1.18-V2199*'Mark Up Validation'!$S$175</f>
        <v>0</v>
      </c>
      <c r="W2913" s="728"/>
      <c r="X2913" s="68">
        <f>X1484/1.18-X2199*'Mark Up Validation'!$S$175</f>
        <v>0</v>
      </c>
      <c r="Y2913" s="728"/>
      <c r="Z2913" s="68">
        <f>Z1484/1.18-Z2199*'Mark Up Validation'!$S$175</f>
        <v>0</v>
      </c>
      <c r="AA2913" s="728"/>
      <c r="AB2913" s="68">
        <f>AB1484/1.18-AB2199*'Mark Up Validation'!$S$175</f>
        <v>0</v>
      </c>
      <c r="AC2913" s="728"/>
      <c r="AD2913" s="68">
        <f>AD1484/1.18-AD2199*'Mark Up Validation'!$S$175</f>
        <v>0</v>
      </c>
      <c r="AE2913" s="728"/>
      <c r="AF2913" s="132">
        <f>SUM(T2913,V2913,X2913,Z2913,AB2913,AD2913)</f>
        <v>0</v>
      </c>
      <c r="AG2913" s="728"/>
      <c r="AH2913" s="133">
        <f>SUM(AF2913,R2913)</f>
        <v>0</v>
      </c>
      <c r="AI2913" s="728"/>
      <c r="AJ2913" s="65"/>
      <c r="AV2913" s="56"/>
    </row>
    <row r="2914" spans="1:48" ht="12.75" customHeight="1" outlineLevel="2" thickBot="1">
      <c r="A2914" s="73"/>
      <c r="B2914" s="82"/>
      <c r="C2914" s="1234"/>
      <c r="D2914" s="1234"/>
      <c r="E2914" s="84">
        <f>'Terms and Turnovers'!$AN$12</f>
        <v>0</v>
      </c>
      <c r="F2914" s="68">
        <f>F1485/1.18-F2200*'Mark Up Validation'!$M$175</f>
        <v>0</v>
      </c>
      <c r="G2914" s="728"/>
      <c r="H2914" s="68">
        <f>H1485/1.18-H2200*'Mark Up Validation'!$M$175</f>
        <v>0</v>
      </c>
      <c r="I2914" s="728"/>
      <c r="J2914" s="68">
        <f>J1485/1.18-J2200*'Mark Up Validation'!$M$175</f>
        <v>0</v>
      </c>
      <c r="K2914" s="728"/>
      <c r="L2914" s="68">
        <f>L1485/1.18-L2200*'Mark Up Validation'!$M$175</f>
        <v>0</v>
      </c>
      <c r="M2914" s="728"/>
      <c r="N2914" s="68">
        <f>N1485/1.18-N2200*'Mark Up Validation'!$M$175</f>
        <v>0</v>
      </c>
      <c r="O2914" s="728"/>
      <c r="P2914" s="68">
        <f>P1485/1.18-P2200*'Mark Up Validation'!$M$175</f>
        <v>0</v>
      </c>
      <c r="Q2914" s="728"/>
      <c r="R2914" s="132">
        <f>SUM(F2914,H2914,J2914,L2914,N2914,P2914)</f>
        <v>0</v>
      </c>
      <c r="S2914" s="728"/>
      <c r="T2914" s="68">
        <f>T1485/1.18-T2200*'Mark Up Validation'!$S$175</f>
        <v>0</v>
      </c>
      <c r="U2914" s="728"/>
      <c r="V2914" s="68">
        <f>V1485/1.18-V2200*'Mark Up Validation'!$S$175</f>
        <v>0</v>
      </c>
      <c r="W2914" s="728"/>
      <c r="X2914" s="68">
        <f>X1485/1.18-X2200*'Mark Up Validation'!$S$175</f>
        <v>0</v>
      </c>
      <c r="Y2914" s="728"/>
      <c r="Z2914" s="68">
        <f>Z1485/1.18-Z2200*'Mark Up Validation'!$S$175</f>
        <v>0</v>
      </c>
      <c r="AA2914" s="728"/>
      <c r="AB2914" s="68">
        <f>AB1485/1.18-AB2200*'Mark Up Validation'!$S$175</f>
        <v>0</v>
      </c>
      <c r="AC2914" s="728"/>
      <c r="AD2914" s="68">
        <f>AD1485/1.18-AD2200*'Mark Up Validation'!$S$175</f>
        <v>0</v>
      </c>
      <c r="AE2914" s="728"/>
      <c r="AF2914" s="132">
        <f>SUM(T2914,V2914,X2914,Z2914,AB2914,AD2914)</f>
        <v>0</v>
      </c>
      <c r="AG2914" s="728"/>
      <c r="AH2914" s="133">
        <f>SUM(AF2914,R2914)</f>
        <v>0</v>
      </c>
      <c r="AI2914" s="728"/>
      <c r="AJ2914" s="65"/>
      <c r="AV2914" s="56"/>
    </row>
    <row r="2915" spans="1:48" ht="13.5" customHeight="1" outlineLevel="2" thickBot="1">
      <c r="A2915" s="73"/>
      <c r="B2915" s="82"/>
      <c r="C2915" s="1235"/>
      <c r="D2915" s="1235"/>
      <c r="E2915" s="85">
        <f>'Terms and Turnovers'!$AX$12</f>
        <v>0</v>
      </c>
      <c r="F2915" s="68">
        <f>F1486/1.18-F2201*'Mark Up Validation'!$M$175</f>
        <v>0</v>
      </c>
      <c r="G2915" s="106"/>
      <c r="H2915" s="68">
        <f>H1486/1.18-H2201*'Mark Up Validation'!$M$175</f>
        <v>0</v>
      </c>
      <c r="I2915" s="106"/>
      <c r="J2915" s="68">
        <f>J1486/1.18-J2201*'Mark Up Validation'!$M$175</f>
        <v>0</v>
      </c>
      <c r="K2915" s="106"/>
      <c r="L2915" s="68">
        <f>L1486/1.18-L2201*'Mark Up Validation'!$M$175</f>
        <v>0</v>
      </c>
      <c r="M2915" s="106"/>
      <c r="N2915" s="68">
        <f>N1486/1.18-N2201*'Mark Up Validation'!$M$175</f>
        <v>0</v>
      </c>
      <c r="O2915" s="106"/>
      <c r="P2915" s="68">
        <f>P1486/1.18-P2201*'Mark Up Validation'!$M$175</f>
        <v>0</v>
      </c>
      <c r="Q2915" s="107"/>
      <c r="R2915" s="135">
        <f>SUM(F2915,H2915,J2915,L2915,N2915,P2915)</f>
        <v>0</v>
      </c>
      <c r="S2915" s="107"/>
      <c r="T2915" s="68">
        <f>T1486/1.18-T2201*'Mark Up Validation'!$S$175</f>
        <v>0</v>
      </c>
      <c r="U2915" s="107"/>
      <c r="V2915" s="68">
        <f>V1486/1.18-V2201*'Mark Up Validation'!$S$175</f>
        <v>0</v>
      </c>
      <c r="W2915" s="107"/>
      <c r="X2915" s="68">
        <f>X1486/1.18-X2201*'Mark Up Validation'!$S$175</f>
        <v>0</v>
      </c>
      <c r="Y2915" s="107"/>
      <c r="Z2915" s="68">
        <f>Z1486/1.18-Z2201*'Mark Up Validation'!$S$175</f>
        <v>0</v>
      </c>
      <c r="AA2915" s="107"/>
      <c r="AB2915" s="68">
        <f>AB1486/1.18-AB2201*'Mark Up Validation'!$S$175</f>
        <v>0</v>
      </c>
      <c r="AC2915" s="107"/>
      <c r="AD2915" s="68">
        <f>AD1486/1.18-AD2201*'Mark Up Validation'!$S$175</f>
        <v>0</v>
      </c>
      <c r="AE2915" s="107"/>
      <c r="AF2915" s="135">
        <f>SUM(T2915,V2915,X2915,Z2915,AB2915,AD2915)</f>
        <v>0</v>
      </c>
      <c r="AG2915" s="107"/>
      <c r="AH2915" s="136">
        <f>SUM(AF2915,R2915)</f>
        <v>0</v>
      </c>
      <c r="AI2915" s="107"/>
      <c r="AJ2915" s="65"/>
      <c r="AV2915" s="56"/>
    </row>
    <row r="2916" spans="1:48" ht="13.5" customHeight="1" outlineLevel="2">
      <c r="A2916" s="73"/>
      <c r="B2916" s="82"/>
      <c r="C2916" s="425"/>
      <c r="D2916" s="425"/>
      <c r="E2916" s="634"/>
      <c r="F2916" s="635"/>
      <c r="G2916" s="428"/>
      <c r="H2916" s="635"/>
      <c r="I2916" s="428"/>
      <c r="J2916" s="635"/>
      <c r="K2916" s="636"/>
      <c r="L2916" s="635"/>
      <c r="M2916" s="636"/>
      <c r="N2916" s="635"/>
      <c r="O2916" s="636"/>
      <c r="P2916" s="635"/>
      <c r="Q2916" s="636"/>
      <c r="R2916" s="637"/>
      <c r="S2916" s="698">
        <f>SUM(R2196:R2200)/1.18-(SUM(R2911:R2915)*'Mark Up Validation'!$M$175)</f>
        <v>0</v>
      </c>
      <c r="T2916" s="635"/>
      <c r="U2916" s="636"/>
      <c r="V2916" s="635"/>
      <c r="W2916" s="636"/>
      <c r="X2916" s="635"/>
      <c r="Y2916" s="636"/>
      <c r="Z2916" s="635"/>
      <c r="AA2916" s="636"/>
      <c r="AB2916" s="635"/>
      <c r="AC2916" s="636"/>
      <c r="AD2916" s="635"/>
      <c r="AE2916" s="636"/>
      <c r="AF2916" s="637"/>
      <c r="AG2916" s="698">
        <f>SUM(AF2196:AF2200)/1.18-SUM(AF2911:AF2915)*'Mark Up Validation'!$M$175</f>
        <v>0</v>
      </c>
      <c r="AH2916" s="638"/>
      <c r="AI2916" s="698">
        <f>SUM(AH2196:AH2200)/1.18-SUM(AH2911:AH2915)*'Mark Up Validation'!$M$175</f>
        <v>0</v>
      </c>
      <c r="AJ2916" s="65"/>
      <c r="AV2916" s="56"/>
    </row>
    <row r="2917" spans="1:48" ht="13.5" customHeight="1" outlineLevel="2" thickBot="1">
      <c r="A2917" s="119"/>
      <c r="B2917" s="82"/>
      <c r="C2917" s="1228" t="s">
        <v>539</v>
      </c>
      <c r="D2917" s="1229"/>
      <c r="E2917" s="699"/>
      <c r="F2917" s="700">
        <f>SUM(F2911:F2915)</f>
        <v>0</v>
      </c>
      <c r="G2917" s="701"/>
      <c r="H2917" s="700">
        <f>SUM(H2911:H2915)</f>
        <v>0</v>
      </c>
      <c r="I2917" s="701"/>
      <c r="J2917" s="700">
        <f>SUM(J2911:J2915)</f>
        <v>0</v>
      </c>
      <c r="K2917" s="702"/>
      <c r="L2917" s="700">
        <f>SUM(L2911:L2915)</f>
        <v>0</v>
      </c>
      <c r="M2917" s="702"/>
      <c r="N2917" s="700">
        <f>SUM(N2911:N2915)</f>
        <v>0</v>
      </c>
      <c r="O2917" s="702"/>
      <c r="P2917" s="700">
        <f>SUM(P2911:P2915)</f>
        <v>0</v>
      </c>
      <c r="Q2917" s="702"/>
      <c r="R2917" s="703"/>
      <c r="S2917" s="729">
        <f>IF(S2916&gt;0,S2916/(SUM(R2196:R2200)/1.18),0)</f>
        <v>0</v>
      </c>
      <c r="T2917" s="700">
        <f>SUM(T2911:T2915)</f>
        <v>0</v>
      </c>
      <c r="U2917" s="702"/>
      <c r="V2917" s="700">
        <f>SUM(V2911:V2915)</f>
        <v>0</v>
      </c>
      <c r="W2917" s="702"/>
      <c r="X2917" s="700">
        <f>SUM(X2911:X2915)</f>
        <v>0</v>
      </c>
      <c r="Y2917" s="702"/>
      <c r="Z2917" s="700">
        <f>SUM(Z2911:Z2915)</f>
        <v>0</v>
      </c>
      <c r="AA2917" s="702"/>
      <c r="AB2917" s="700">
        <f>SUM(AB2911:AB2915)</f>
        <v>0</v>
      </c>
      <c r="AC2917" s="702"/>
      <c r="AD2917" s="700">
        <f>SUM(AD2911:AD2915)</f>
        <v>0</v>
      </c>
      <c r="AE2917" s="702"/>
      <c r="AF2917" s="705"/>
      <c r="AG2917" s="729">
        <f>IF(AG2916&gt;0,AG2916/(SUM(AF2196:AF2200)/1.18),0)</f>
        <v>0</v>
      </c>
      <c r="AH2917" s="706"/>
      <c r="AI2917" s="729">
        <f>IF(AI2916&gt;0,AI2916/(SUM(AH2196:AH2200)/1.18),0)</f>
        <v>0</v>
      </c>
      <c r="AJ2917" s="707"/>
      <c r="AV2917" s="56"/>
    </row>
    <row r="2918" spans="1:48" ht="12.75" customHeight="1" outlineLevel="2" thickBot="1">
      <c r="A2918" s="73"/>
      <c r="B2918" s="82">
        <f>B2911+1</f>
        <v>6</v>
      </c>
      <c r="C2918" s="1233">
        <f>C48</f>
        <v>0</v>
      </c>
      <c r="D2918" s="1233" t="str">
        <f>D48</f>
        <v>ИП Щербакова Полина Леонидовна</v>
      </c>
      <c r="E2918" s="83" t="str">
        <f>'Terms and Turnovers'!$J$12</f>
        <v>FLIP-FLOPS</v>
      </c>
      <c r="F2918" s="68">
        <f>F1489/1.18-F2204*'Mark Up Validation'!$M$175</f>
        <v>0</v>
      </c>
      <c r="G2918" s="106"/>
      <c r="H2918" s="68">
        <f>H1489/1.18-H2204*'Mark Up Validation'!$M$175</f>
        <v>0</v>
      </c>
      <c r="I2918" s="106"/>
      <c r="J2918" s="68">
        <f>J1489/1.18-J2204*'Mark Up Validation'!$M$175</f>
        <v>0</v>
      </c>
      <c r="K2918" s="106"/>
      <c r="L2918" s="68">
        <f>L1489/1.18-L2204*'Mark Up Validation'!$M$175</f>
        <v>0</v>
      </c>
      <c r="M2918" s="106"/>
      <c r="N2918" s="68">
        <f>N1489/1.18-N2204*'Mark Up Validation'!$M$175</f>
        <v>0</v>
      </c>
      <c r="O2918" s="106"/>
      <c r="P2918" s="68">
        <f>P1489/1.18-P2204*'Mark Up Validation'!$M$175</f>
        <v>0</v>
      </c>
      <c r="Q2918" s="106"/>
      <c r="R2918" s="129">
        <f>SUM(F2918,H2918,J2918,L2918,N2918,P2918)</f>
        <v>0</v>
      </c>
      <c r="S2918" s="106"/>
      <c r="T2918" s="68">
        <f>T1489/1.18-T2204*'Mark Up Validation'!$S$175</f>
        <v>0</v>
      </c>
      <c r="U2918" s="106"/>
      <c r="V2918" s="68">
        <f>V1489/1.18-V2204*'Mark Up Validation'!$S$175</f>
        <v>0</v>
      </c>
      <c r="W2918" s="106"/>
      <c r="X2918" s="68">
        <f>X1489/1.18-X2204*'Mark Up Validation'!$S$175</f>
        <v>23252.542372881355</v>
      </c>
      <c r="Y2918" s="106"/>
      <c r="Z2918" s="68">
        <f>Z1489/1.18-Z2204*'Mark Up Validation'!$S$175</f>
        <v>0</v>
      </c>
      <c r="AA2918" s="106"/>
      <c r="AB2918" s="68">
        <f>AB1489/1.18-AB2204*'Mark Up Validation'!$S$175</f>
        <v>0</v>
      </c>
      <c r="AC2918" s="106"/>
      <c r="AD2918" s="68">
        <f>AD1489/1.18-AD2204*'Mark Up Validation'!$S$175</f>
        <v>0</v>
      </c>
      <c r="AE2918" s="106"/>
      <c r="AF2918" s="129">
        <f>SUM(T2918,V2918,X2918,Z2918,AB2918,AD2918)</f>
        <v>23252.542372881355</v>
      </c>
      <c r="AG2918" s="106"/>
      <c r="AH2918" s="130">
        <f>SUM(AF2918,R2918)</f>
        <v>23252.542372881355</v>
      </c>
      <c r="AI2918" s="106"/>
      <c r="AJ2918" s="65"/>
      <c r="AV2918" s="56"/>
    </row>
    <row r="2919" spans="1:48" ht="12.75" customHeight="1" outlineLevel="2" thickBot="1">
      <c r="A2919" s="73"/>
      <c r="B2919" s="82"/>
      <c r="C2919" s="1234"/>
      <c r="D2919" s="1234"/>
      <c r="E2919" s="84" t="str">
        <f>'Terms and Turnovers'!$T$12</f>
        <v>ORIGINALS</v>
      </c>
      <c r="F2919" s="68">
        <f>F1490/1.18-F2205*'Mark Up Validation'!$M$175</f>
        <v>0</v>
      </c>
      <c r="G2919" s="728"/>
      <c r="H2919" s="68">
        <f>H1490/1.18-H2205*'Mark Up Validation'!$M$175</f>
        <v>0</v>
      </c>
      <c r="I2919" s="728"/>
      <c r="J2919" s="68">
        <f>J1490/1.18-J2205*'Mark Up Validation'!$M$175</f>
        <v>0</v>
      </c>
      <c r="K2919" s="728"/>
      <c r="L2919" s="68">
        <f>L1490/1.18-L2205*'Mark Up Validation'!$M$175</f>
        <v>0</v>
      </c>
      <c r="M2919" s="728"/>
      <c r="N2919" s="68">
        <f>N1490/1.18-N2205*'Mark Up Validation'!$M$175</f>
        <v>0</v>
      </c>
      <c r="O2919" s="728"/>
      <c r="P2919" s="68">
        <f>P1490/1.18-P2205*'Mark Up Validation'!$M$175</f>
        <v>0</v>
      </c>
      <c r="Q2919" s="728"/>
      <c r="R2919" s="132">
        <f>SUM(F2919,H2919,J2919,L2919,N2919,P2919)</f>
        <v>0</v>
      </c>
      <c r="S2919" s="728"/>
      <c r="T2919" s="68">
        <f>T1490/1.18-T2205*'Mark Up Validation'!$S$175</f>
        <v>0</v>
      </c>
      <c r="U2919" s="728"/>
      <c r="V2919" s="68">
        <f>V1490/1.18-V2205*'Mark Up Validation'!$S$175</f>
        <v>0</v>
      </c>
      <c r="W2919" s="728"/>
      <c r="X2919" s="68">
        <f>X1490/1.18-X2205*'Mark Up Validation'!$S$175</f>
        <v>0</v>
      </c>
      <c r="Y2919" s="728"/>
      <c r="Z2919" s="68">
        <f>Z1490/1.18-Z2205*'Mark Up Validation'!$S$175</f>
        <v>0</v>
      </c>
      <c r="AA2919" s="728"/>
      <c r="AB2919" s="68">
        <f>AB1490/1.18-AB2205*'Mark Up Validation'!$S$175</f>
        <v>0</v>
      </c>
      <c r="AC2919" s="728"/>
      <c r="AD2919" s="68">
        <f>AD1490/1.18-AD2205*'Mark Up Validation'!$S$175</f>
        <v>0</v>
      </c>
      <c r="AE2919" s="728"/>
      <c r="AF2919" s="132">
        <f>SUM(T2919,V2919,X2919,Z2919,AB2919,AD2919)</f>
        <v>0</v>
      </c>
      <c r="AG2919" s="728"/>
      <c r="AH2919" s="133">
        <f>SUM(AF2919,R2919)</f>
        <v>0</v>
      </c>
      <c r="AI2919" s="728"/>
      <c r="AJ2919" s="65"/>
      <c r="AV2919" s="56"/>
    </row>
    <row r="2920" spans="1:48" ht="12.75" customHeight="1" outlineLevel="2" thickBot="1">
      <c r="A2920" s="73"/>
      <c r="B2920" s="82"/>
      <c r="C2920" s="1234"/>
      <c r="D2920" s="1234"/>
      <c r="E2920" s="84" t="str">
        <f>'Terms and Turnovers'!$AD$12</f>
        <v>ACCESSORIES</v>
      </c>
      <c r="F2920" s="68">
        <f>F1491/1.18-F2206*'Mark Up Validation'!$M$175</f>
        <v>0</v>
      </c>
      <c r="G2920" s="106"/>
      <c r="H2920" s="68">
        <f>H1491/1.18-H2206*'Mark Up Validation'!$M$175</f>
        <v>0</v>
      </c>
      <c r="I2920" s="106"/>
      <c r="J2920" s="68">
        <f>J1491/1.18-J2206*'Mark Up Validation'!$M$175</f>
        <v>0</v>
      </c>
      <c r="K2920" s="106"/>
      <c r="L2920" s="68">
        <f>L1491/1.18-L2206*'Mark Up Validation'!$M$175</f>
        <v>0</v>
      </c>
      <c r="M2920" s="106"/>
      <c r="N2920" s="68">
        <f>N1491/1.18-N2206*'Mark Up Validation'!$M$175</f>
        <v>0</v>
      </c>
      <c r="O2920" s="106"/>
      <c r="P2920" s="68">
        <f>P1491/1.18-P2206*'Mark Up Validation'!$M$175</f>
        <v>0</v>
      </c>
      <c r="Q2920" s="728"/>
      <c r="R2920" s="132">
        <f>SUM(F2920,H2920,J2920,L2920,N2920,P2920)</f>
        <v>0</v>
      </c>
      <c r="S2920" s="728"/>
      <c r="T2920" s="68">
        <f>T1491/1.18-T2206*'Mark Up Validation'!$S$175</f>
        <v>0</v>
      </c>
      <c r="U2920" s="728"/>
      <c r="V2920" s="68">
        <f>V1491/1.18-V2206*'Mark Up Validation'!$S$175</f>
        <v>0</v>
      </c>
      <c r="W2920" s="728"/>
      <c r="X2920" s="68">
        <f>X1491/1.18-X2206*'Mark Up Validation'!$S$175</f>
        <v>0</v>
      </c>
      <c r="Y2920" s="728"/>
      <c r="Z2920" s="68">
        <f>Z1491/1.18-Z2206*'Mark Up Validation'!$S$175</f>
        <v>0</v>
      </c>
      <c r="AA2920" s="728"/>
      <c r="AB2920" s="68">
        <f>AB1491/1.18-AB2206*'Mark Up Validation'!$S$175</f>
        <v>0</v>
      </c>
      <c r="AC2920" s="728"/>
      <c r="AD2920" s="68">
        <f>AD1491/1.18-AD2206*'Mark Up Validation'!$S$175</f>
        <v>0</v>
      </c>
      <c r="AE2920" s="728"/>
      <c r="AF2920" s="132">
        <f>SUM(T2920,V2920,X2920,Z2920,AB2920,AD2920)</f>
        <v>0</v>
      </c>
      <c r="AG2920" s="728"/>
      <c r="AH2920" s="133">
        <f>SUM(AF2920,R2920)</f>
        <v>0</v>
      </c>
      <c r="AI2920" s="728"/>
      <c r="AJ2920" s="65"/>
      <c r="AV2920" s="56"/>
    </row>
    <row r="2921" spans="1:48" ht="12.75" customHeight="1" outlineLevel="2" thickBot="1">
      <c r="A2921" s="73"/>
      <c r="B2921" s="82"/>
      <c r="C2921" s="1234"/>
      <c r="D2921" s="1234"/>
      <c r="E2921" s="84">
        <f>'Terms and Turnovers'!$AN$12</f>
        <v>0</v>
      </c>
      <c r="F2921" s="68">
        <f>F1492/1.18-F2207*'Mark Up Validation'!$M$175</f>
        <v>0</v>
      </c>
      <c r="G2921" s="728"/>
      <c r="H2921" s="68">
        <f>H1492/1.18-H2207*'Mark Up Validation'!$M$175</f>
        <v>0</v>
      </c>
      <c r="I2921" s="728"/>
      <c r="J2921" s="68">
        <f>J1492/1.18-J2207*'Mark Up Validation'!$M$175</f>
        <v>0</v>
      </c>
      <c r="K2921" s="728"/>
      <c r="L2921" s="68">
        <f>L1492/1.18-L2207*'Mark Up Validation'!$M$175</f>
        <v>0</v>
      </c>
      <c r="M2921" s="728"/>
      <c r="N2921" s="68">
        <f>N1492/1.18-N2207*'Mark Up Validation'!$M$175</f>
        <v>0</v>
      </c>
      <c r="O2921" s="728"/>
      <c r="P2921" s="68">
        <f>P1492/1.18-P2207*'Mark Up Validation'!$M$175</f>
        <v>0</v>
      </c>
      <c r="Q2921" s="728"/>
      <c r="R2921" s="132">
        <f>SUM(F2921,H2921,J2921,L2921,N2921,P2921)</f>
        <v>0</v>
      </c>
      <c r="S2921" s="728"/>
      <c r="T2921" s="68">
        <f>T1492/1.18-T2207*'Mark Up Validation'!$S$175</f>
        <v>0</v>
      </c>
      <c r="U2921" s="728"/>
      <c r="V2921" s="68">
        <f>V1492/1.18-V2207*'Mark Up Validation'!$S$175</f>
        <v>0</v>
      </c>
      <c r="W2921" s="728"/>
      <c r="X2921" s="68">
        <f>X1492/1.18-X2207*'Mark Up Validation'!$S$175</f>
        <v>0</v>
      </c>
      <c r="Y2921" s="728"/>
      <c r="Z2921" s="68">
        <f>Z1492/1.18-Z2207*'Mark Up Validation'!$S$175</f>
        <v>0</v>
      </c>
      <c r="AA2921" s="728"/>
      <c r="AB2921" s="68">
        <f>AB1492/1.18-AB2207*'Mark Up Validation'!$S$175</f>
        <v>0</v>
      </c>
      <c r="AC2921" s="728"/>
      <c r="AD2921" s="68">
        <f>AD1492/1.18-AD2207*'Mark Up Validation'!$S$175</f>
        <v>0</v>
      </c>
      <c r="AE2921" s="728"/>
      <c r="AF2921" s="132">
        <f>SUM(T2921,V2921,X2921,Z2921,AB2921,AD2921)</f>
        <v>0</v>
      </c>
      <c r="AG2921" s="728"/>
      <c r="AH2921" s="133">
        <f>SUM(AF2921,R2921)</f>
        <v>0</v>
      </c>
      <c r="AI2921" s="728"/>
      <c r="AJ2921" s="65"/>
      <c r="AV2921" s="56"/>
    </row>
    <row r="2922" spans="1:48" ht="13.5" customHeight="1" outlineLevel="2" thickBot="1">
      <c r="A2922" s="73"/>
      <c r="B2922" s="82"/>
      <c r="C2922" s="1235"/>
      <c r="D2922" s="1235"/>
      <c r="E2922" s="85">
        <f>'Terms and Turnovers'!$AX$12</f>
        <v>0</v>
      </c>
      <c r="F2922" s="68">
        <f>F1493/1.18-F2208*'Mark Up Validation'!$M$175</f>
        <v>0</v>
      </c>
      <c r="G2922" s="106"/>
      <c r="H2922" s="68">
        <f>H1493/1.18-H2208*'Mark Up Validation'!$M$175</f>
        <v>0</v>
      </c>
      <c r="I2922" s="106"/>
      <c r="J2922" s="68">
        <f>J1493/1.18-J2208*'Mark Up Validation'!$M$175</f>
        <v>0</v>
      </c>
      <c r="K2922" s="106"/>
      <c r="L2922" s="68">
        <f>L1493/1.18-L2208*'Mark Up Validation'!$M$175</f>
        <v>0</v>
      </c>
      <c r="M2922" s="106"/>
      <c r="N2922" s="68">
        <f>N1493/1.18-N2208*'Mark Up Validation'!$M$175</f>
        <v>0</v>
      </c>
      <c r="O2922" s="106"/>
      <c r="P2922" s="68">
        <f>P1493/1.18-P2208*'Mark Up Validation'!$M$175</f>
        <v>0</v>
      </c>
      <c r="Q2922" s="107"/>
      <c r="R2922" s="135">
        <f>SUM(F2922,H2922,J2922,L2922,N2922,P2922)</f>
        <v>0</v>
      </c>
      <c r="S2922" s="107"/>
      <c r="T2922" s="68">
        <f>T1493/1.18-T2208*'Mark Up Validation'!$S$175</f>
        <v>0</v>
      </c>
      <c r="U2922" s="107"/>
      <c r="V2922" s="68">
        <f>V1493/1.18-V2208*'Mark Up Validation'!$S$175</f>
        <v>0</v>
      </c>
      <c r="W2922" s="107"/>
      <c r="X2922" s="68">
        <f>X1493/1.18-X2208*'Mark Up Validation'!$S$175</f>
        <v>0</v>
      </c>
      <c r="Y2922" s="107"/>
      <c r="Z2922" s="68">
        <f>Z1493/1.18-Z2208*'Mark Up Validation'!$S$175</f>
        <v>0</v>
      </c>
      <c r="AA2922" s="107"/>
      <c r="AB2922" s="68">
        <f>AB1493/1.18-AB2208*'Mark Up Validation'!$S$175</f>
        <v>0</v>
      </c>
      <c r="AC2922" s="107"/>
      <c r="AD2922" s="68">
        <f>AD1493/1.18-AD2208*'Mark Up Validation'!$S$175</f>
        <v>0</v>
      </c>
      <c r="AE2922" s="107"/>
      <c r="AF2922" s="135">
        <f>SUM(T2922,V2922,X2922,Z2922,AB2922,AD2922)</f>
        <v>0</v>
      </c>
      <c r="AG2922" s="107"/>
      <c r="AH2922" s="136">
        <f>SUM(AF2922,R2922)</f>
        <v>0</v>
      </c>
      <c r="AI2922" s="107"/>
      <c r="AJ2922" s="65"/>
      <c r="AV2922" s="56"/>
    </row>
    <row r="2923" spans="1:48" ht="13.5" customHeight="1" outlineLevel="2">
      <c r="A2923" s="73"/>
      <c r="B2923" s="82"/>
      <c r="C2923" s="425"/>
      <c r="D2923" s="425"/>
      <c r="E2923" s="634"/>
      <c r="F2923" s="635"/>
      <c r="G2923" s="428"/>
      <c r="H2923" s="635"/>
      <c r="I2923" s="428"/>
      <c r="J2923" s="635"/>
      <c r="K2923" s="636"/>
      <c r="L2923" s="635"/>
      <c r="M2923" s="636"/>
      <c r="N2923" s="635"/>
      <c r="O2923" s="636"/>
      <c r="P2923" s="635"/>
      <c r="Q2923" s="636"/>
      <c r="R2923" s="637"/>
      <c r="S2923" s="698">
        <f>SUM(R2203:R2207)/1.18-(SUM(R2918:R2922)*'Mark Up Validation'!$M$175)</f>
        <v>0</v>
      </c>
      <c r="T2923" s="635"/>
      <c r="U2923" s="636"/>
      <c r="V2923" s="635"/>
      <c r="W2923" s="636"/>
      <c r="X2923" s="635"/>
      <c r="Y2923" s="636"/>
      <c r="Z2923" s="635"/>
      <c r="AA2923" s="636"/>
      <c r="AB2923" s="635"/>
      <c r="AC2923" s="636"/>
      <c r="AD2923" s="635"/>
      <c r="AE2923" s="636"/>
      <c r="AF2923" s="637"/>
      <c r="AG2923" s="698">
        <f>SUM(AF2203:AF2207)/1.18-SUM(AF2918:AF2922)*'Mark Up Validation'!$M$175</f>
        <v>23252.542372881355</v>
      </c>
      <c r="AH2923" s="638"/>
      <c r="AI2923" s="698">
        <f>SUM(AH2203:AH2207)/1.18-SUM(AH2918:AH2922)*'Mark Up Validation'!$M$175</f>
        <v>23252.542372881355</v>
      </c>
      <c r="AJ2923" s="65"/>
      <c r="AV2923" s="56"/>
    </row>
    <row r="2924" spans="1:48" ht="13.5" customHeight="1" outlineLevel="2" thickBot="1">
      <c r="A2924" s="119"/>
      <c r="B2924" s="82"/>
      <c r="C2924" s="1228" t="s">
        <v>539</v>
      </c>
      <c r="D2924" s="1229"/>
      <c r="E2924" s="699"/>
      <c r="F2924" s="700">
        <f>SUM(F2918:F2922)</f>
        <v>0</v>
      </c>
      <c r="G2924" s="701"/>
      <c r="H2924" s="700">
        <f>SUM(H2918:H2922)</f>
        <v>0</v>
      </c>
      <c r="I2924" s="701"/>
      <c r="J2924" s="700">
        <f>SUM(J2918:J2922)</f>
        <v>0</v>
      </c>
      <c r="K2924" s="702"/>
      <c r="L2924" s="700">
        <f>SUM(L2918:L2922)</f>
        <v>0</v>
      </c>
      <c r="M2924" s="702"/>
      <c r="N2924" s="700">
        <f>SUM(N2918:N2922)</f>
        <v>0</v>
      </c>
      <c r="O2924" s="702"/>
      <c r="P2924" s="700">
        <f>SUM(P2918:P2922)</f>
        <v>0</v>
      </c>
      <c r="Q2924" s="702"/>
      <c r="R2924" s="703"/>
      <c r="S2924" s="729">
        <f>IF(S2923&gt;0,S2923/(SUM(R2203:R2207)/1.18),0)</f>
        <v>0</v>
      </c>
      <c r="T2924" s="700">
        <f>SUM(T2918:T2922)</f>
        <v>0</v>
      </c>
      <c r="U2924" s="702"/>
      <c r="V2924" s="700">
        <f>SUM(V2918:V2922)</f>
        <v>0</v>
      </c>
      <c r="W2924" s="702"/>
      <c r="X2924" s="700">
        <f>SUM(X2918:X2922)</f>
        <v>23252.542372881355</v>
      </c>
      <c r="Y2924" s="702"/>
      <c r="Z2924" s="700">
        <f>SUM(Z2918:Z2922)</f>
        <v>0</v>
      </c>
      <c r="AA2924" s="702"/>
      <c r="AB2924" s="700">
        <f>SUM(AB2918:AB2922)</f>
        <v>0</v>
      </c>
      <c r="AC2924" s="702"/>
      <c r="AD2924" s="700">
        <f>SUM(AD2918:AD2922)</f>
        <v>0</v>
      </c>
      <c r="AE2924" s="702"/>
      <c r="AF2924" s="705"/>
      <c r="AG2924" s="729">
        <f>IF(AG2923&gt;0,AG2923/(SUM(AF2203:AF2207)/1.18),0)</f>
        <v>1</v>
      </c>
      <c r="AH2924" s="706"/>
      <c r="AI2924" s="729">
        <f>IF(AI2923&gt;0,AI2923/(SUM(AH2203:AH2207)/1.18),0)</f>
        <v>1</v>
      </c>
      <c r="AJ2924" s="707"/>
      <c r="AV2924" s="56"/>
    </row>
    <row r="2925" spans="1:48" ht="12.75" customHeight="1" outlineLevel="1" thickBot="1">
      <c r="A2925" s="73"/>
      <c r="B2925" s="82">
        <f>B2918+1</f>
        <v>7</v>
      </c>
      <c r="C2925" s="1233">
        <f>C55</f>
        <v>0</v>
      </c>
      <c r="D2925" s="1233" t="str">
        <f>D55</f>
        <v>ЭРГО СПОРТ ООО</v>
      </c>
      <c r="E2925" s="83" t="str">
        <f>'Terms and Turnovers'!$J$12</f>
        <v>FLIP-FLOPS</v>
      </c>
      <c r="F2925" s="68">
        <f>F1496/1.18-F2211*'Mark Up Validation'!$M$105</f>
        <v>0</v>
      </c>
      <c r="G2925" s="106"/>
      <c r="H2925" s="68">
        <f>H1496/1.18-H2211*'Mark Up Validation'!$M$105</f>
        <v>0</v>
      </c>
      <c r="I2925" s="106"/>
      <c r="J2925" s="68">
        <f>J1496/1.18-J2211*'Mark Up Validation'!$M$105</f>
        <v>0</v>
      </c>
      <c r="K2925" s="106"/>
      <c r="L2925" s="68">
        <f>L1496/1.18-L2211*'Mark Up Validation'!$M$105</f>
        <v>0</v>
      </c>
      <c r="M2925" s="106"/>
      <c r="N2925" s="68">
        <f>N1496/1.18-N2211*'Mark Up Validation'!$M$105</f>
        <v>0</v>
      </c>
      <c r="O2925" s="106"/>
      <c r="P2925" s="68">
        <f>P1496/1.18-P2211*'Mark Up Validation'!$M$105</f>
        <v>0</v>
      </c>
      <c r="Q2925" s="106"/>
      <c r="R2925" s="129">
        <f>SUM(F2925,H2925,J2925,L2925,N2925,P2925)</f>
        <v>0</v>
      </c>
      <c r="S2925" s="106"/>
      <c r="T2925" s="68">
        <f>T1496/1.18-T2211*'Mark Up Validation'!$S$105</f>
        <v>0</v>
      </c>
      <c r="U2925" s="106"/>
      <c r="V2925" s="68">
        <f>V1496/1.18-V2211*'Mark Up Validation'!$S$105</f>
        <v>0</v>
      </c>
      <c r="W2925" s="106"/>
      <c r="X2925" s="68">
        <f>X1496/1.18-X2211*'Mark Up Validation'!$S$105</f>
        <v>0</v>
      </c>
      <c r="Y2925" s="106"/>
      <c r="Z2925" s="68">
        <f>Z1496/1.18-Z2211*'Mark Up Validation'!$S$105</f>
        <v>0</v>
      </c>
      <c r="AA2925" s="106"/>
      <c r="AB2925" s="68">
        <f>AB1496/1.18-AB2211*'Mark Up Validation'!$S$105</f>
        <v>0</v>
      </c>
      <c r="AC2925" s="106"/>
      <c r="AD2925" s="68">
        <f>AD1496/1.18-AD2211*'Mark Up Validation'!$S$105</f>
        <v>0</v>
      </c>
      <c r="AE2925" s="106"/>
      <c r="AF2925" s="129">
        <f>SUM(T2925,V2925,X2925,Z2925,AB2925,AD2925)</f>
        <v>0</v>
      </c>
      <c r="AG2925" s="106"/>
      <c r="AH2925" s="130">
        <f>SUM(AF2925,R2925)</f>
        <v>0</v>
      </c>
      <c r="AI2925" s="106"/>
      <c r="AJ2925" s="65"/>
    </row>
    <row r="2926" spans="1:48" ht="12.75" customHeight="1" outlineLevel="1" thickBot="1">
      <c r="A2926" s="73"/>
      <c r="B2926" s="82"/>
      <c r="C2926" s="1234"/>
      <c r="D2926" s="1234"/>
      <c r="E2926" s="84" t="str">
        <f>'Terms and Turnovers'!$T$12</f>
        <v>ORIGINALS</v>
      </c>
      <c r="F2926" s="68">
        <f>F1497/1.18-F2212*'Mark Up Validation'!$M$105</f>
        <v>0</v>
      </c>
      <c r="G2926" s="728"/>
      <c r="H2926" s="68">
        <f>H1497/1.18-H2212*'Mark Up Validation'!$M$105</f>
        <v>0</v>
      </c>
      <c r="I2926" s="728"/>
      <c r="J2926" s="68">
        <f>J1497/1.18-J2212*'Mark Up Validation'!$M$105</f>
        <v>0</v>
      </c>
      <c r="K2926" s="728"/>
      <c r="L2926" s="68">
        <f>L1497/1.18-L2212*'Mark Up Validation'!$M$105</f>
        <v>0</v>
      </c>
      <c r="M2926" s="728"/>
      <c r="N2926" s="68">
        <f>N1497/1.18-N2212*'Mark Up Validation'!$M$105</f>
        <v>0</v>
      </c>
      <c r="O2926" s="728"/>
      <c r="P2926" s="68">
        <f>P1497/1.18-P2212*'Mark Up Validation'!$M$105</f>
        <v>0</v>
      </c>
      <c r="Q2926" s="728"/>
      <c r="R2926" s="132">
        <f>SUM(F2926,H2926,J2926,L2926,N2926,P2926)</f>
        <v>0</v>
      </c>
      <c r="S2926" s="728"/>
      <c r="T2926" s="68">
        <f>T1497/1.18-T2212*'Mark Up Validation'!$S$105</f>
        <v>0</v>
      </c>
      <c r="U2926" s="728"/>
      <c r="V2926" s="68">
        <f>V1497/1.18-V2212*'Mark Up Validation'!$S$105</f>
        <v>0</v>
      </c>
      <c r="W2926" s="728"/>
      <c r="X2926" s="68">
        <f>X1497/1.18-X2212*'Mark Up Validation'!$S$105</f>
        <v>0</v>
      </c>
      <c r="Y2926" s="728"/>
      <c r="Z2926" s="68">
        <f>Z1497/1.18-Z2212*'Mark Up Validation'!$S$105</f>
        <v>0</v>
      </c>
      <c r="AA2926" s="728"/>
      <c r="AB2926" s="68">
        <f>AB1497/1.18-AB2212*'Mark Up Validation'!$S$105</f>
        <v>0</v>
      </c>
      <c r="AC2926" s="728"/>
      <c r="AD2926" s="68">
        <f>AD1497/1.18-AD2212*'Mark Up Validation'!$S$105</f>
        <v>0</v>
      </c>
      <c r="AE2926" s="728"/>
      <c r="AF2926" s="132">
        <f>SUM(T2926,V2926,X2926,Z2926,AB2926,AD2926)</f>
        <v>0</v>
      </c>
      <c r="AG2926" s="728"/>
      <c r="AH2926" s="133">
        <f>SUM(AF2926,R2926)</f>
        <v>0</v>
      </c>
      <c r="AI2926" s="728"/>
      <c r="AJ2926" s="65"/>
    </row>
    <row r="2927" spans="1:48" ht="12.75" customHeight="1" outlineLevel="1" thickBot="1">
      <c r="A2927" s="73"/>
      <c r="B2927" s="82"/>
      <c r="C2927" s="1234"/>
      <c r="D2927" s="1234"/>
      <c r="E2927" s="84" t="str">
        <f>'Terms and Turnovers'!$AD$12</f>
        <v>ACCESSORIES</v>
      </c>
      <c r="F2927" s="68">
        <f>F1498/1.18-F2213*'Mark Up Validation'!$M$105</f>
        <v>0</v>
      </c>
      <c r="G2927" s="106"/>
      <c r="H2927" s="68">
        <f>H1498/1.18-H2213*'Mark Up Validation'!$M$105</f>
        <v>0</v>
      </c>
      <c r="I2927" s="106"/>
      <c r="J2927" s="68">
        <f>J1498/1.18-J2213*'Mark Up Validation'!$M$105</f>
        <v>0</v>
      </c>
      <c r="K2927" s="106"/>
      <c r="L2927" s="68">
        <f>L1498/1.18-L2213*'Mark Up Validation'!$M$105</f>
        <v>0</v>
      </c>
      <c r="M2927" s="106"/>
      <c r="N2927" s="68">
        <f>N1498/1.18-N2213*'Mark Up Validation'!$M$105</f>
        <v>0</v>
      </c>
      <c r="O2927" s="106"/>
      <c r="P2927" s="68">
        <f>P1498/1.18-P2213*'Mark Up Validation'!$M$105</f>
        <v>0</v>
      </c>
      <c r="Q2927" s="728"/>
      <c r="R2927" s="132">
        <f>SUM(F2927,H2927,J2927,L2927,N2927,P2927)</f>
        <v>0</v>
      </c>
      <c r="S2927" s="728"/>
      <c r="T2927" s="68">
        <f>T1498/1.18-T2213*'Mark Up Validation'!$S$105</f>
        <v>0</v>
      </c>
      <c r="U2927" s="728"/>
      <c r="V2927" s="68">
        <f>V1498/1.18-V2213*'Mark Up Validation'!$S$105</f>
        <v>0</v>
      </c>
      <c r="W2927" s="728"/>
      <c r="X2927" s="68">
        <f>X1498/1.18-X2213*'Mark Up Validation'!$S$105</f>
        <v>0</v>
      </c>
      <c r="Y2927" s="728"/>
      <c r="Z2927" s="68">
        <f>Z1498/1.18-Z2213*'Mark Up Validation'!$S$105</f>
        <v>0</v>
      </c>
      <c r="AA2927" s="728"/>
      <c r="AB2927" s="68">
        <f>AB1498/1.18-AB2213*'Mark Up Validation'!$S$105</f>
        <v>0</v>
      </c>
      <c r="AC2927" s="728"/>
      <c r="AD2927" s="68">
        <f>AD1498/1.18-AD2213*'Mark Up Validation'!$S$105</f>
        <v>0</v>
      </c>
      <c r="AE2927" s="728"/>
      <c r="AF2927" s="132">
        <f>SUM(T2927,V2927,X2927,Z2927,AB2927,AD2927)</f>
        <v>0</v>
      </c>
      <c r="AG2927" s="728"/>
      <c r="AH2927" s="133">
        <f>SUM(AF2927,R2927)</f>
        <v>0</v>
      </c>
      <c r="AI2927" s="728"/>
      <c r="AJ2927" s="65"/>
    </row>
    <row r="2928" spans="1:48" ht="12.75" customHeight="1" outlineLevel="1" thickBot="1">
      <c r="A2928" s="73"/>
      <c r="B2928" s="82"/>
      <c r="C2928" s="1234"/>
      <c r="D2928" s="1234"/>
      <c r="E2928" s="84">
        <f>'Terms and Turnovers'!$AN$12</f>
        <v>0</v>
      </c>
      <c r="F2928" s="68">
        <f>F1499/1.18-F2214*'Mark Up Validation'!$M$105</f>
        <v>0</v>
      </c>
      <c r="G2928" s="728"/>
      <c r="H2928" s="68">
        <f>H1499/1.18-H2214*'Mark Up Validation'!$M$105</f>
        <v>0</v>
      </c>
      <c r="I2928" s="728"/>
      <c r="J2928" s="68">
        <f>J1499/1.18-J2214*'Mark Up Validation'!$M$105</f>
        <v>0</v>
      </c>
      <c r="K2928" s="728"/>
      <c r="L2928" s="68">
        <f>L1499/1.18-L2214*'Mark Up Validation'!$M$105</f>
        <v>0</v>
      </c>
      <c r="M2928" s="728"/>
      <c r="N2928" s="68">
        <f>N1499/1.18-N2214*'Mark Up Validation'!$M$105</f>
        <v>0</v>
      </c>
      <c r="O2928" s="728"/>
      <c r="P2928" s="68">
        <f>P1499/1.18-P2214*'Mark Up Validation'!$M$105</f>
        <v>0</v>
      </c>
      <c r="Q2928" s="728"/>
      <c r="R2928" s="132">
        <f>SUM(F2928,H2928,J2928,L2928,N2928,P2928)</f>
        <v>0</v>
      </c>
      <c r="S2928" s="728"/>
      <c r="T2928" s="68">
        <f>T1499/1.18-T2214*'Mark Up Validation'!$S$105</f>
        <v>0</v>
      </c>
      <c r="U2928" s="728"/>
      <c r="V2928" s="68">
        <f>V1499/1.18-V2214*'Mark Up Validation'!$S$105</f>
        <v>0</v>
      </c>
      <c r="W2928" s="728"/>
      <c r="X2928" s="68">
        <f>X1499/1.18-X2214*'Mark Up Validation'!$S$105</f>
        <v>0</v>
      </c>
      <c r="Y2928" s="728"/>
      <c r="Z2928" s="68">
        <f>Z1499/1.18-Z2214*'Mark Up Validation'!$S$105</f>
        <v>0</v>
      </c>
      <c r="AA2928" s="728"/>
      <c r="AB2928" s="68">
        <f>AB1499/1.18-AB2214*'Mark Up Validation'!$S$105</f>
        <v>0</v>
      </c>
      <c r="AC2928" s="728"/>
      <c r="AD2928" s="68">
        <f>AD1499/1.18-AD2214*'Mark Up Validation'!$S$105</f>
        <v>0</v>
      </c>
      <c r="AE2928" s="728"/>
      <c r="AF2928" s="132">
        <f>SUM(T2928,V2928,X2928,Z2928,AB2928,AD2928)</f>
        <v>0</v>
      </c>
      <c r="AG2928" s="728"/>
      <c r="AH2928" s="133">
        <f>SUM(AF2928,R2928)</f>
        <v>0</v>
      </c>
      <c r="AI2928" s="728"/>
      <c r="AJ2928" s="65"/>
    </row>
    <row r="2929" spans="1:48" ht="13.5" customHeight="1" outlineLevel="1" thickBot="1">
      <c r="A2929" s="73"/>
      <c r="B2929" s="82"/>
      <c r="C2929" s="1235"/>
      <c r="D2929" s="1235"/>
      <c r="E2929" s="85">
        <f>'Terms and Turnovers'!$AX$12</f>
        <v>0</v>
      </c>
      <c r="F2929" s="68">
        <f>F1500/1.18-F2215*'Mark Up Validation'!$M$105</f>
        <v>0</v>
      </c>
      <c r="G2929" s="106"/>
      <c r="H2929" s="68">
        <f>H1500/1.18-H2215*'Mark Up Validation'!$M$105</f>
        <v>0</v>
      </c>
      <c r="I2929" s="106"/>
      <c r="J2929" s="68">
        <f>J1500/1.18-J2215*'Mark Up Validation'!$M$105</f>
        <v>0</v>
      </c>
      <c r="K2929" s="106"/>
      <c r="L2929" s="68">
        <f>L1500/1.18-L2215*'Mark Up Validation'!$M$105</f>
        <v>0</v>
      </c>
      <c r="M2929" s="106"/>
      <c r="N2929" s="68">
        <f>N1500/1.18-N2215*'Mark Up Validation'!$M$105</f>
        <v>0</v>
      </c>
      <c r="O2929" s="106"/>
      <c r="P2929" s="68">
        <f>P1500/1.18-P2215*'Mark Up Validation'!$M$105</f>
        <v>0</v>
      </c>
      <c r="Q2929" s="107"/>
      <c r="R2929" s="135">
        <f>SUM(F2929,H2929,J2929,L2929,N2929,P2929)</f>
        <v>0</v>
      </c>
      <c r="S2929" s="107"/>
      <c r="T2929" s="68">
        <f>T1500/1.18-T2215*'Mark Up Validation'!$S$105</f>
        <v>0</v>
      </c>
      <c r="U2929" s="107"/>
      <c r="V2929" s="68">
        <f>V1500/1.18-V2215*'Mark Up Validation'!$S$105</f>
        <v>0</v>
      </c>
      <c r="W2929" s="107"/>
      <c r="X2929" s="68">
        <f>X1500/1.18-X2215*'Mark Up Validation'!$S$105</f>
        <v>0</v>
      </c>
      <c r="Y2929" s="107"/>
      <c r="Z2929" s="68">
        <f>Z1500/1.18-Z2215*'Mark Up Validation'!$S$105</f>
        <v>0</v>
      </c>
      <c r="AA2929" s="107"/>
      <c r="AB2929" s="68">
        <f>AB1500/1.18-AB2215*'Mark Up Validation'!$S$105</f>
        <v>0</v>
      </c>
      <c r="AC2929" s="107"/>
      <c r="AD2929" s="68">
        <f>AD1500/1.18-AD2215*'Mark Up Validation'!$S$105</f>
        <v>0</v>
      </c>
      <c r="AE2929" s="107"/>
      <c r="AF2929" s="135">
        <f>SUM(T2929,V2929,X2929,Z2929,AB2929,AD2929)</f>
        <v>0</v>
      </c>
      <c r="AG2929" s="107"/>
      <c r="AH2929" s="136">
        <f>SUM(AF2929,R2929)</f>
        <v>0</v>
      </c>
      <c r="AI2929" s="107"/>
      <c r="AJ2929" s="65"/>
    </row>
    <row r="2930" spans="1:48" ht="13.5" customHeight="1" outlineLevel="1">
      <c r="A2930" s="73"/>
      <c r="B2930" s="82"/>
      <c r="C2930" s="425"/>
      <c r="D2930" s="425"/>
      <c r="E2930" s="634"/>
      <c r="F2930" s="635"/>
      <c r="G2930" s="428"/>
      <c r="H2930" s="635"/>
      <c r="I2930" s="428"/>
      <c r="J2930" s="635"/>
      <c r="K2930" s="636"/>
      <c r="L2930" s="635"/>
      <c r="M2930" s="636"/>
      <c r="N2930" s="635"/>
      <c r="O2930" s="636"/>
      <c r="P2930" s="635"/>
      <c r="Q2930" s="636"/>
      <c r="R2930" s="637"/>
      <c r="S2930" s="698">
        <f>SUM(R2210:R2214)/1.18-(SUM(R2925:R2929)*'Mark Up Validation'!$M$105)</f>
        <v>0</v>
      </c>
      <c r="T2930" s="635"/>
      <c r="U2930" s="636"/>
      <c r="V2930" s="635"/>
      <c r="W2930" s="636"/>
      <c r="X2930" s="635"/>
      <c r="Y2930" s="636"/>
      <c r="Z2930" s="635"/>
      <c r="AA2930" s="636"/>
      <c r="AB2930" s="635"/>
      <c r="AC2930" s="636"/>
      <c r="AD2930" s="635"/>
      <c r="AE2930" s="636"/>
      <c r="AF2930" s="637"/>
      <c r="AG2930" s="698">
        <f>SUM(AF2210:AF2214)/1.18-SUM(AF2925:AF2929)*'Mark Up Validation'!$M$175</f>
        <v>0</v>
      </c>
      <c r="AH2930" s="638"/>
      <c r="AI2930" s="698">
        <f>SUM(AH2210:AH2214)/1.18-SUM(AH2925:AH2929)*'Mark Up Validation'!$M$175</f>
        <v>0</v>
      </c>
      <c r="AJ2930" s="65"/>
    </row>
    <row r="2931" spans="1:48" ht="13.5" customHeight="1" outlineLevel="1" thickBot="1">
      <c r="A2931" s="119"/>
      <c r="B2931" s="82"/>
      <c r="C2931" s="1228" t="s">
        <v>539</v>
      </c>
      <c r="D2931" s="1229"/>
      <c r="E2931" s="699"/>
      <c r="F2931" s="700">
        <f>SUM(F2925:F2929)</f>
        <v>0</v>
      </c>
      <c r="G2931" s="701"/>
      <c r="H2931" s="700">
        <f>SUM(H2925:H2929)</f>
        <v>0</v>
      </c>
      <c r="I2931" s="701"/>
      <c r="J2931" s="700">
        <f>SUM(J2925:J2929)</f>
        <v>0</v>
      </c>
      <c r="K2931" s="702"/>
      <c r="L2931" s="700">
        <f>SUM(L2925:L2929)</f>
        <v>0</v>
      </c>
      <c r="M2931" s="702"/>
      <c r="N2931" s="700">
        <f>SUM(N2925:N2929)</f>
        <v>0</v>
      </c>
      <c r="O2931" s="702"/>
      <c r="P2931" s="700">
        <f>SUM(P2925:P2929)</f>
        <v>0</v>
      </c>
      <c r="Q2931" s="702"/>
      <c r="R2931" s="703"/>
      <c r="S2931" s="729">
        <f>IF(S2930&gt;0,S2930/(SUM(R2210:R2214)/1.18),0)</f>
        <v>0</v>
      </c>
      <c r="T2931" s="700">
        <f>SUM(T2925:T2929)</f>
        <v>0</v>
      </c>
      <c r="U2931" s="702"/>
      <c r="V2931" s="700">
        <f>SUM(V2925:V2929)</f>
        <v>0</v>
      </c>
      <c r="W2931" s="702"/>
      <c r="X2931" s="700">
        <f>SUM(X2925:X2929)</f>
        <v>0</v>
      </c>
      <c r="Y2931" s="702"/>
      <c r="Z2931" s="700">
        <f>SUM(Z2925:Z2929)</f>
        <v>0</v>
      </c>
      <c r="AA2931" s="702"/>
      <c r="AB2931" s="700">
        <f>SUM(AB2925:AB2929)</f>
        <v>0</v>
      </c>
      <c r="AC2931" s="702"/>
      <c r="AD2931" s="700">
        <f>SUM(AD2925:AD2929)</f>
        <v>0</v>
      </c>
      <c r="AE2931" s="702"/>
      <c r="AF2931" s="705"/>
      <c r="AG2931" s="729">
        <f>IF(AG2930&gt;0,AG2930/(SUM(AF2210:AF2214)/1.18),0)</f>
        <v>0</v>
      </c>
      <c r="AH2931" s="706"/>
      <c r="AI2931" s="729">
        <f>IF(AI2930&gt;0,AI2930/(SUM(AH2210:AH2214)/1.18),0)</f>
        <v>0</v>
      </c>
      <c r="AJ2931" s="707"/>
    </row>
    <row r="2932" spans="1:48" ht="12.75" customHeight="1" outlineLevel="2" thickBot="1">
      <c r="A2932" s="73"/>
      <c r="B2932" s="82">
        <f>B2925+1</f>
        <v>8</v>
      </c>
      <c r="C2932" s="1233">
        <f>C62</f>
        <v>0</v>
      </c>
      <c r="D2932" s="1233" t="str">
        <f>D62</f>
        <v>Торговый дом ЦУМ ОАО</v>
      </c>
      <c r="E2932" s="83" t="str">
        <f>'Terms and Turnovers'!$J$12</f>
        <v>FLIP-FLOPS</v>
      </c>
      <c r="F2932" s="68">
        <f>F1503/1.18-F2218*'Mark Up Validation'!$M$105</f>
        <v>0</v>
      </c>
      <c r="G2932" s="106"/>
      <c r="H2932" s="68">
        <f>H1503/1.18-H2218*'Mark Up Validation'!$M$105</f>
        <v>0</v>
      </c>
      <c r="I2932" s="106"/>
      <c r="J2932" s="68">
        <f>J1503/1.18-J2218*'Mark Up Validation'!$M$105</f>
        <v>0</v>
      </c>
      <c r="K2932" s="106"/>
      <c r="L2932" s="68">
        <f>L1503/1.18-L2218*'Mark Up Validation'!$M$105</f>
        <v>0</v>
      </c>
      <c r="M2932" s="106"/>
      <c r="N2932" s="68">
        <f>N1503/1.18-N2218*'Mark Up Validation'!$M$105</f>
        <v>0</v>
      </c>
      <c r="O2932" s="106"/>
      <c r="P2932" s="68">
        <f>P1503/1.18-P2218*'Mark Up Validation'!$M$105</f>
        <v>0</v>
      </c>
      <c r="Q2932" s="106"/>
      <c r="R2932" s="129">
        <f>SUM(F2932,H2932,J2932,L2932,N2932,P2932)</f>
        <v>0</v>
      </c>
      <c r="S2932" s="106"/>
      <c r="T2932" s="68">
        <f>T1503/1.18-T2218*'Mark Up Validation'!$S$105</f>
        <v>0</v>
      </c>
      <c r="U2932" s="106"/>
      <c r="V2932" s="68">
        <f>V1503/1.18-V2218*'Mark Up Validation'!$S$105</f>
        <v>0</v>
      </c>
      <c r="W2932" s="106"/>
      <c r="X2932" s="68">
        <f>X1503/1.18-X2218*'Mark Up Validation'!$S$105</f>
        <v>0</v>
      </c>
      <c r="Y2932" s="106"/>
      <c r="Z2932" s="68">
        <f>Z1503/1.18-Z2218*'Mark Up Validation'!$S$105</f>
        <v>0</v>
      </c>
      <c r="AA2932" s="106"/>
      <c r="AB2932" s="68">
        <f>AB1503/1.18-AB2218*'Mark Up Validation'!$S$105</f>
        <v>0</v>
      </c>
      <c r="AC2932" s="106"/>
      <c r="AD2932" s="68">
        <f>AD1503/1.18-AD2218*'Mark Up Validation'!$S$105</f>
        <v>0</v>
      </c>
      <c r="AE2932" s="106"/>
      <c r="AF2932" s="129">
        <f>SUM(T2932,V2932,X2932,Z2932,AB2932,AD2932)</f>
        <v>0</v>
      </c>
      <c r="AG2932" s="106"/>
      <c r="AH2932" s="130">
        <f>SUM(AF2932,R2932)</f>
        <v>0</v>
      </c>
      <c r="AI2932" s="106"/>
      <c r="AJ2932" s="65"/>
      <c r="AV2932" s="56"/>
    </row>
    <row r="2933" spans="1:48" ht="12.75" customHeight="1" outlineLevel="2" thickBot="1">
      <c r="A2933" s="73"/>
      <c r="B2933" s="82"/>
      <c r="C2933" s="1234"/>
      <c r="D2933" s="1234"/>
      <c r="E2933" s="84" t="str">
        <f>'Terms and Turnovers'!$T$12</f>
        <v>ORIGINALS</v>
      </c>
      <c r="F2933" s="68">
        <f>F1504/1.18-F2219*'Mark Up Validation'!$M$105</f>
        <v>0</v>
      </c>
      <c r="G2933" s="728"/>
      <c r="H2933" s="68">
        <f>H1504/1.18-H2219*'Mark Up Validation'!$M$105</f>
        <v>0</v>
      </c>
      <c r="I2933" s="728"/>
      <c r="J2933" s="68">
        <f>J1504/1.18-J2219*'Mark Up Validation'!$M$105</f>
        <v>0</v>
      </c>
      <c r="K2933" s="728"/>
      <c r="L2933" s="68">
        <f>L1504/1.18-L2219*'Mark Up Validation'!$M$105</f>
        <v>0</v>
      </c>
      <c r="M2933" s="728"/>
      <c r="N2933" s="68">
        <f>N1504/1.18-N2219*'Mark Up Validation'!$M$105</f>
        <v>0</v>
      </c>
      <c r="O2933" s="728"/>
      <c r="P2933" s="68">
        <f>P1504/1.18-P2219*'Mark Up Validation'!$M$105</f>
        <v>0</v>
      </c>
      <c r="Q2933" s="728"/>
      <c r="R2933" s="132">
        <f>SUM(F2933,H2933,J2933,L2933,N2933,P2933)</f>
        <v>0</v>
      </c>
      <c r="S2933" s="728"/>
      <c r="T2933" s="68">
        <f>T1504/1.18-T2219*'Mark Up Validation'!$S$105</f>
        <v>0</v>
      </c>
      <c r="U2933" s="728"/>
      <c r="V2933" s="68">
        <f>V1504/1.18-V2219*'Mark Up Validation'!$S$105</f>
        <v>0</v>
      </c>
      <c r="W2933" s="728"/>
      <c r="X2933" s="68">
        <f>X1504/1.18-X2219*'Mark Up Validation'!$S$105</f>
        <v>0</v>
      </c>
      <c r="Y2933" s="728"/>
      <c r="Z2933" s="68">
        <f>Z1504/1.18-Z2219*'Mark Up Validation'!$S$105</f>
        <v>0</v>
      </c>
      <c r="AA2933" s="728"/>
      <c r="AB2933" s="68">
        <f>AB1504/1.18-AB2219*'Mark Up Validation'!$S$105</f>
        <v>0</v>
      </c>
      <c r="AC2933" s="728"/>
      <c r="AD2933" s="68">
        <f>AD1504/1.18-AD2219*'Mark Up Validation'!$S$105</f>
        <v>0</v>
      </c>
      <c r="AE2933" s="728"/>
      <c r="AF2933" s="132">
        <f>SUM(T2933,V2933,X2933,Z2933,AB2933,AD2933)</f>
        <v>0</v>
      </c>
      <c r="AG2933" s="728"/>
      <c r="AH2933" s="133">
        <f>SUM(AF2933,R2933)</f>
        <v>0</v>
      </c>
      <c r="AI2933" s="728"/>
      <c r="AJ2933" s="65"/>
      <c r="AV2933" s="56"/>
    </row>
    <row r="2934" spans="1:48" ht="12.75" customHeight="1" outlineLevel="2" thickBot="1">
      <c r="A2934" s="73"/>
      <c r="B2934" s="82"/>
      <c r="C2934" s="1234"/>
      <c r="D2934" s="1234"/>
      <c r="E2934" s="84" t="str">
        <f>'Terms and Turnovers'!$AD$12</f>
        <v>ACCESSORIES</v>
      </c>
      <c r="F2934" s="68">
        <f>F1505/1.18-F2220*'Mark Up Validation'!$M$105</f>
        <v>0</v>
      </c>
      <c r="G2934" s="106"/>
      <c r="H2934" s="68">
        <f>H1505/1.18-H2220*'Mark Up Validation'!$M$105</f>
        <v>0</v>
      </c>
      <c r="I2934" s="106"/>
      <c r="J2934" s="68">
        <f>J1505/1.18-J2220*'Mark Up Validation'!$M$105</f>
        <v>0</v>
      </c>
      <c r="K2934" s="106"/>
      <c r="L2934" s="68">
        <f>L1505/1.18-L2220*'Mark Up Validation'!$M$105</f>
        <v>0</v>
      </c>
      <c r="M2934" s="106"/>
      <c r="N2934" s="68">
        <f>N1505/1.18-N2220*'Mark Up Validation'!$M$105</f>
        <v>0</v>
      </c>
      <c r="O2934" s="106"/>
      <c r="P2934" s="68">
        <f>P1505/1.18-P2220*'Mark Up Validation'!$M$105</f>
        <v>0</v>
      </c>
      <c r="Q2934" s="728"/>
      <c r="R2934" s="132">
        <f>SUM(F2934,H2934,J2934,L2934,N2934,P2934)</f>
        <v>0</v>
      </c>
      <c r="S2934" s="728"/>
      <c r="T2934" s="68">
        <f>T1505/1.18-T2220*'Mark Up Validation'!$S$105</f>
        <v>0</v>
      </c>
      <c r="U2934" s="728"/>
      <c r="V2934" s="68">
        <f>V1505/1.18-V2220*'Mark Up Validation'!$S$105</f>
        <v>0</v>
      </c>
      <c r="W2934" s="728"/>
      <c r="X2934" s="68">
        <f>X1505/1.18-X2220*'Mark Up Validation'!$S$105</f>
        <v>0</v>
      </c>
      <c r="Y2934" s="728"/>
      <c r="Z2934" s="68">
        <f>Z1505/1.18-Z2220*'Mark Up Validation'!$S$105</f>
        <v>0</v>
      </c>
      <c r="AA2934" s="728"/>
      <c r="AB2934" s="68">
        <f>AB1505/1.18-AB2220*'Mark Up Validation'!$S$105</f>
        <v>0</v>
      </c>
      <c r="AC2934" s="728"/>
      <c r="AD2934" s="68">
        <f>AD1505/1.18-AD2220*'Mark Up Validation'!$S$105</f>
        <v>0</v>
      </c>
      <c r="AE2934" s="728"/>
      <c r="AF2934" s="132">
        <f>SUM(T2934,V2934,X2934,Z2934,AB2934,AD2934)</f>
        <v>0</v>
      </c>
      <c r="AG2934" s="728"/>
      <c r="AH2934" s="133">
        <f>SUM(AF2934,R2934)</f>
        <v>0</v>
      </c>
      <c r="AI2934" s="728"/>
      <c r="AJ2934" s="65"/>
      <c r="AV2934" s="56"/>
    </row>
    <row r="2935" spans="1:48" ht="12.75" customHeight="1" outlineLevel="2" thickBot="1">
      <c r="A2935" s="73"/>
      <c r="B2935" s="82"/>
      <c r="C2935" s="1234"/>
      <c r="D2935" s="1234"/>
      <c r="E2935" s="84">
        <f>'Terms and Turnovers'!$AN$12</f>
        <v>0</v>
      </c>
      <c r="F2935" s="68">
        <f>F1506/1.18-F2221*'Mark Up Validation'!$M$105</f>
        <v>0</v>
      </c>
      <c r="G2935" s="728"/>
      <c r="H2935" s="68">
        <f>H1506/1.18-H2221*'Mark Up Validation'!$M$105</f>
        <v>0</v>
      </c>
      <c r="I2935" s="728"/>
      <c r="J2935" s="68">
        <f>J1506/1.18-J2221*'Mark Up Validation'!$M$105</f>
        <v>0</v>
      </c>
      <c r="K2935" s="728"/>
      <c r="L2935" s="68">
        <f>L1506/1.18-L2221*'Mark Up Validation'!$M$105</f>
        <v>0</v>
      </c>
      <c r="M2935" s="728"/>
      <c r="N2935" s="68">
        <f>N1506/1.18-N2221*'Mark Up Validation'!$M$105</f>
        <v>0</v>
      </c>
      <c r="O2935" s="728"/>
      <c r="P2935" s="68">
        <f>P1506/1.18-P2221*'Mark Up Validation'!$M$105</f>
        <v>0</v>
      </c>
      <c r="Q2935" s="728"/>
      <c r="R2935" s="132">
        <f>SUM(F2935,H2935,J2935,L2935,N2935,P2935)</f>
        <v>0</v>
      </c>
      <c r="S2935" s="728"/>
      <c r="T2935" s="68">
        <f>T1506/1.18-T2221*'Mark Up Validation'!$S$105</f>
        <v>0</v>
      </c>
      <c r="U2935" s="728"/>
      <c r="V2935" s="68">
        <f>V1506/1.18-V2221*'Mark Up Validation'!$S$105</f>
        <v>0</v>
      </c>
      <c r="W2935" s="728"/>
      <c r="X2935" s="68">
        <f>X1506/1.18-X2221*'Mark Up Validation'!$S$105</f>
        <v>0</v>
      </c>
      <c r="Y2935" s="728"/>
      <c r="Z2935" s="68">
        <f>Z1506/1.18-Z2221*'Mark Up Validation'!$S$105</f>
        <v>0</v>
      </c>
      <c r="AA2935" s="728"/>
      <c r="AB2935" s="68">
        <f>AB1506/1.18-AB2221*'Mark Up Validation'!$S$105</f>
        <v>0</v>
      </c>
      <c r="AC2935" s="728"/>
      <c r="AD2935" s="68">
        <f>AD1506/1.18-AD2221*'Mark Up Validation'!$S$105</f>
        <v>0</v>
      </c>
      <c r="AE2935" s="728"/>
      <c r="AF2935" s="132">
        <f>SUM(T2935,V2935,X2935,Z2935,AB2935,AD2935)</f>
        <v>0</v>
      </c>
      <c r="AG2935" s="728"/>
      <c r="AH2935" s="133">
        <f>SUM(AF2935,R2935)</f>
        <v>0</v>
      </c>
      <c r="AI2935" s="728"/>
      <c r="AJ2935" s="65"/>
      <c r="AV2935" s="56"/>
    </row>
    <row r="2936" spans="1:48" ht="13.5" customHeight="1" outlineLevel="2" thickBot="1">
      <c r="A2936" s="73"/>
      <c r="B2936" s="82"/>
      <c r="C2936" s="1235"/>
      <c r="D2936" s="1235"/>
      <c r="E2936" s="85">
        <f>'Terms and Turnovers'!$AX$12</f>
        <v>0</v>
      </c>
      <c r="F2936" s="68">
        <f>F1507/1.18-F2222*'Mark Up Validation'!$M$105</f>
        <v>0</v>
      </c>
      <c r="G2936" s="106"/>
      <c r="H2936" s="68">
        <f>H1507/1.18-H2222*'Mark Up Validation'!$M$105</f>
        <v>0</v>
      </c>
      <c r="I2936" s="106"/>
      <c r="J2936" s="68">
        <f>J1507/1.18-J2222*'Mark Up Validation'!$M$105</f>
        <v>0</v>
      </c>
      <c r="K2936" s="106"/>
      <c r="L2936" s="68">
        <f>L1507/1.18-L2222*'Mark Up Validation'!$M$105</f>
        <v>0</v>
      </c>
      <c r="M2936" s="106"/>
      <c r="N2936" s="68">
        <f>N1507/1.18-N2222*'Mark Up Validation'!$M$105</f>
        <v>0</v>
      </c>
      <c r="O2936" s="106"/>
      <c r="P2936" s="68">
        <f>P1507/1.18-P2222*'Mark Up Validation'!$M$105</f>
        <v>0</v>
      </c>
      <c r="Q2936" s="107"/>
      <c r="R2936" s="135">
        <f>SUM(F2936,H2936,J2936,L2936,N2936,P2936)</f>
        <v>0</v>
      </c>
      <c r="S2936" s="107"/>
      <c r="T2936" s="68">
        <f>T1507/1.18-T2222*'Mark Up Validation'!$S$105</f>
        <v>0</v>
      </c>
      <c r="U2936" s="107"/>
      <c r="V2936" s="68">
        <f>V1507/1.18-V2222*'Mark Up Validation'!$S$105</f>
        <v>0</v>
      </c>
      <c r="W2936" s="107"/>
      <c r="X2936" s="68">
        <f>X1507/1.18-X2222*'Mark Up Validation'!$S$105</f>
        <v>0</v>
      </c>
      <c r="Y2936" s="107"/>
      <c r="Z2936" s="68">
        <f>Z1507/1.18-Z2222*'Mark Up Validation'!$S$105</f>
        <v>0</v>
      </c>
      <c r="AA2936" s="107"/>
      <c r="AB2936" s="68">
        <f>AB1507/1.18-AB2222*'Mark Up Validation'!$S$105</f>
        <v>0</v>
      </c>
      <c r="AC2936" s="107"/>
      <c r="AD2936" s="68">
        <f>AD1507/1.18-AD2222*'Mark Up Validation'!$S$105</f>
        <v>0</v>
      </c>
      <c r="AE2936" s="107"/>
      <c r="AF2936" s="135">
        <f>SUM(T2936,V2936,X2936,Z2936,AB2936,AD2936)</f>
        <v>0</v>
      </c>
      <c r="AG2936" s="107"/>
      <c r="AH2936" s="136">
        <f>SUM(AF2936,R2936)</f>
        <v>0</v>
      </c>
      <c r="AI2936" s="107"/>
      <c r="AJ2936" s="65"/>
      <c r="AV2936" s="56"/>
    </row>
    <row r="2937" spans="1:48" ht="13.5" customHeight="1" outlineLevel="2">
      <c r="A2937" s="73"/>
      <c r="B2937" s="82"/>
      <c r="C2937" s="425"/>
      <c r="D2937" s="425"/>
      <c r="E2937" s="634"/>
      <c r="F2937" s="635"/>
      <c r="G2937" s="428"/>
      <c r="H2937" s="635"/>
      <c r="I2937" s="428"/>
      <c r="J2937" s="635"/>
      <c r="K2937" s="636"/>
      <c r="L2937" s="635"/>
      <c r="M2937" s="636"/>
      <c r="N2937" s="635"/>
      <c r="O2937" s="636"/>
      <c r="P2937" s="635"/>
      <c r="Q2937" s="636"/>
      <c r="R2937" s="637"/>
      <c r="S2937" s="698">
        <f>SUM(R2217:R2221)/1.18-(SUM(R2932:R2936)*'Mark Up Validation'!$M$105)</f>
        <v>0</v>
      </c>
      <c r="T2937" s="635"/>
      <c r="U2937" s="636"/>
      <c r="V2937" s="635"/>
      <c r="W2937" s="636"/>
      <c r="X2937" s="635"/>
      <c r="Y2937" s="636"/>
      <c r="Z2937" s="635"/>
      <c r="AA2937" s="636"/>
      <c r="AB2937" s="635"/>
      <c r="AC2937" s="636"/>
      <c r="AD2937" s="635"/>
      <c r="AE2937" s="636"/>
      <c r="AF2937" s="637"/>
      <c r="AG2937" s="698">
        <f>SUM(AF2217:AF2221)/1.18-SUM(AF2932:AF2936)*'Mark Up Validation'!$M$175</f>
        <v>0</v>
      </c>
      <c r="AH2937" s="638"/>
      <c r="AI2937" s="698">
        <f>SUM(AH2217:AH2221)/1.18-SUM(AH2932:AH2936)*'Mark Up Validation'!$M$175</f>
        <v>0</v>
      </c>
      <c r="AJ2937" s="65"/>
      <c r="AV2937" s="56"/>
    </row>
    <row r="2938" spans="1:48" ht="13.5" customHeight="1" outlineLevel="2" thickBot="1">
      <c r="A2938" s="119"/>
      <c r="B2938" s="82"/>
      <c r="C2938" s="1228" t="s">
        <v>539</v>
      </c>
      <c r="D2938" s="1229"/>
      <c r="E2938" s="699"/>
      <c r="F2938" s="700">
        <f>SUM(F2932:F2936)</f>
        <v>0</v>
      </c>
      <c r="G2938" s="701"/>
      <c r="H2938" s="700">
        <f>SUM(H2932:H2936)</f>
        <v>0</v>
      </c>
      <c r="I2938" s="701"/>
      <c r="J2938" s="700">
        <f>SUM(J2932:J2936)</f>
        <v>0</v>
      </c>
      <c r="K2938" s="702"/>
      <c r="L2938" s="700">
        <f>SUM(L2932:L2936)</f>
        <v>0</v>
      </c>
      <c r="M2938" s="702"/>
      <c r="N2938" s="700">
        <f>SUM(N2932:N2936)</f>
        <v>0</v>
      </c>
      <c r="O2938" s="702"/>
      <c r="P2938" s="700">
        <f>SUM(P2932:P2936)</f>
        <v>0</v>
      </c>
      <c r="Q2938" s="702"/>
      <c r="R2938" s="703"/>
      <c r="S2938" s="729">
        <f>IF(S2937&gt;0,S2937/(SUM(R2217:R2221)/1.18),0)</f>
        <v>0</v>
      </c>
      <c r="T2938" s="700">
        <f>SUM(T2932:T2936)</f>
        <v>0</v>
      </c>
      <c r="U2938" s="702"/>
      <c r="V2938" s="700">
        <f>SUM(V2932:V2936)</f>
        <v>0</v>
      </c>
      <c r="W2938" s="702"/>
      <c r="X2938" s="700">
        <f>SUM(X2932:X2936)</f>
        <v>0</v>
      </c>
      <c r="Y2938" s="702"/>
      <c r="Z2938" s="700">
        <f>SUM(Z2932:Z2936)</f>
        <v>0</v>
      </c>
      <c r="AA2938" s="702"/>
      <c r="AB2938" s="700">
        <f>SUM(AB2932:AB2936)</f>
        <v>0</v>
      </c>
      <c r="AC2938" s="702"/>
      <c r="AD2938" s="700">
        <f>SUM(AD2932:AD2936)</f>
        <v>0</v>
      </c>
      <c r="AE2938" s="702"/>
      <c r="AF2938" s="705"/>
      <c r="AG2938" s="729">
        <f>IF(AG2937&gt;0,AG2937/(SUM(AF2217:AF2221)/1.18),0)</f>
        <v>0</v>
      </c>
      <c r="AH2938" s="706"/>
      <c r="AI2938" s="729">
        <f>IF(AI2937&gt;0,AI2937/(SUM(AH2217:AH2221)/1.18),0)</f>
        <v>0</v>
      </c>
      <c r="AJ2938" s="707"/>
      <c r="AV2938" s="56"/>
    </row>
    <row r="2939" spans="1:48" ht="12.75" customHeight="1" outlineLevel="2" thickBot="1">
      <c r="A2939" s="73"/>
      <c r="B2939" s="82">
        <f>B2932+1</f>
        <v>9</v>
      </c>
      <c r="C2939" s="1233">
        <f>C69</f>
        <v>0</v>
      </c>
      <c r="D2939" s="1233" t="str">
        <f>D69</f>
        <v>ОФФПРАЙС ООО</v>
      </c>
      <c r="E2939" s="83" t="str">
        <f>'Terms and Turnovers'!$J$12</f>
        <v>FLIP-FLOPS</v>
      </c>
      <c r="F2939" s="68">
        <f>F1510/1.18-F2225*'Mark Up Validation'!$M$105</f>
        <v>0</v>
      </c>
      <c r="G2939" s="106"/>
      <c r="H2939" s="68">
        <f>H1510/1.18-H2225*'Mark Up Validation'!$M$105</f>
        <v>0</v>
      </c>
      <c r="I2939" s="106"/>
      <c r="J2939" s="68">
        <f>J1510/1.18-J2225*'Mark Up Validation'!$M$105</f>
        <v>0</v>
      </c>
      <c r="K2939" s="106"/>
      <c r="L2939" s="68">
        <f>L1510/1.18-L2225*'Mark Up Validation'!$M$105</f>
        <v>0</v>
      </c>
      <c r="M2939" s="106"/>
      <c r="N2939" s="68">
        <f>N1510/1.18-N2225*'Mark Up Validation'!$M$105</f>
        <v>0</v>
      </c>
      <c r="O2939" s="106"/>
      <c r="P2939" s="68">
        <f>P1510/1.18-P2225*'Mark Up Validation'!$M$105</f>
        <v>0</v>
      </c>
      <c r="Q2939" s="106"/>
      <c r="R2939" s="129">
        <f>SUM(F2939,H2939,J2939,L2939,N2939,P2939)</f>
        <v>0</v>
      </c>
      <c r="S2939" s="106"/>
      <c r="T2939" s="68">
        <f>T1510/1.18-T2225*'Mark Up Validation'!$S$105</f>
        <v>0</v>
      </c>
      <c r="U2939" s="106"/>
      <c r="V2939" s="68">
        <f>V1510/1.18-V2225*'Mark Up Validation'!$S$105</f>
        <v>0</v>
      </c>
      <c r="W2939" s="106"/>
      <c r="X2939" s="68">
        <f>X1510/1.18-X2225*'Mark Up Validation'!$S$105</f>
        <v>0</v>
      </c>
      <c r="Y2939" s="106"/>
      <c r="Z2939" s="68">
        <f>Z1510/1.18-Z2225*'Mark Up Validation'!$S$105</f>
        <v>0</v>
      </c>
      <c r="AA2939" s="106"/>
      <c r="AB2939" s="68">
        <f>AB1510/1.18-AB2225*'Mark Up Validation'!$S$105</f>
        <v>0</v>
      </c>
      <c r="AC2939" s="106"/>
      <c r="AD2939" s="68">
        <f>AD1510/1.18-AD2225*'Mark Up Validation'!$S$105</f>
        <v>0</v>
      </c>
      <c r="AE2939" s="106"/>
      <c r="AF2939" s="129">
        <f>SUM(T2939,V2939,X2939,Z2939,AB2939,AD2939)</f>
        <v>0</v>
      </c>
      <c r="AG2939" s="106"/>
      <c r="AH2939" s="130">
        <f>SUM(AF2939,R2939)</f>
        <v>0</v>
      </c>
      <c r="AI2939" s="106"/>
      <c r="AJ2939" s="65"/>
      <c r="AV2939" s="56"/>
    </row>
    <row r="2940" spans="1:48" ht="12.75" customHeight="1" outlineLevel="2" thickBot="1">
      <c r="A2940" s="73"/>
      <c r="B2940" s="82"/>
      <c r="C2940" s="1234"/>
      <c r="D2940" s="1234"/>
      <c r="E2940" s="84" t="str">
        <f>'Terms and Turnovers'!$T$12</f>
        <v>ORIGINALS</v>
      </c>
      <c r="F2940" s="68">
        <f>F1511/1.18-F2226*'Mark Up Validation'!$M$105</f>
        <v>0</v>
      </c>
      <c r="G2940" s="728"/>
      <c r="H2940" s="68">
        <f>H1511/1.18-H2226*'Mark Up Validation'!$M$105</f>
        <v>0</v>
      </c>
      <c r="I2940" s="728"/>
      <c r="J2940" s="68">
        <f>J1511/1.18-J2226*'Mark Up Validation'!$M$105</f>
        <v>0</v>
      </c>
      <c r="K2940" s="728"/>
      <c r="L2940" s="68">
        <f>L1511/1.18-L2226*'Mark Up Validation'!$M$105</f>
        <v>0</v>
      </c>
      <c r="M2940" s="728"/>
      <c r="N2940" s="68">
        <f>N1511/1.18-N2226*'Mark Up Validation'!$M$105</f>
        <v>0</v>
      </c>
      <c r="O2940" s="728"/>
      <c r="P2940" s="68">
        <f>P1511/1.18-P2226*'Mark Up Validation'!$M$105</f>
        <v>0</v>
      </c>
      <c r="Q2940" s="728"/>
      <c r="R2940" s="132">
        <f>SUM(F2940,H2940,J2940,L2940,N2940,P2940)</f>
        <v>0</v>
      </c>
      <c r="S2940" s="728"/>
      <c r="T2940" s="68">
        <f>T1511/1.18-T2226*'Mark Up Validation'!$S$105</f>
        <v>0</v>
      </c>
      <c r="U2940" s="728"/>
      <c r="V2940" s="68">
        <f>V1511/1.18-V2226*'Mark Up Validation'!$S$105</f>
        <v>0</v>
      </c>
      <c r="W2940" s="728"/>
      <c r="X2940" s="68">
        <f>X1511/1.18-X2226*'Mark Up Validation'!$S$105</f>
        <v>0</v>
      </c>
      <c r="Y2940" s="728"/>
      <c r="Z2940" s="68">
        <f>Z1511/1.18-Z2226*'Mark Up Validation'!$S$105</f>
        <v>0</v>
      </c>
      <c r="AA2940" s="728"/>
      <c r="AB2940" s="68">
        <f>AB1511/1.18-AB2226*'Mark Up Validation'!$S$105</f>
        <v>0</v>
      </c>
      <c r="AC2940" s="728"/>
      <c r="AD2940" s="68">
        <f>AD1511/1.18-AD2226*'Mark Up Validation'!$S$105</f>
        <v>0</v>
      </c>
      <c r="AE2940" s="728"/>
      <c r="AF2940" s="132">
        <f>SUM(T2940,V2940,X2940,Z2940,AB2940,AD2940)</f>
        <v>0</v>
      </c>
      <c r="AG2940" s="728"/>
      <c r="AH2940" s="133">
        <f>SUM(AF2940,R2940)</f>
        <v>0</v>
      </c>
      <c r="AI2940" s="728"/>
      <c r="AJ2940" s="65"/>
      <c r="AV2940" s="56"/>
    </row>
    <row r="2941" spans="1:48" ht="12.75" customHeight="1" outlineLevel="2" thickBot="1">
      <c r="A2941" s="73"/>
      <c r="B2941" s="82"/>
      <c r="C2941" s="1234"/>
      <c r="D2941" s="1234"/>
      <c r="E2941" s="84" t="str">
        <f>'Terms and Turnovers'!$AD$12</f>
        <v>ACCESSORIES</v>
      </c>
      <c r="F2941" s="68">
        <f>F1512/1.18-F2227*'Mark Up Validation'!$M$105</f>
        <v>0</v>
      </c>
      <c r="G2941" s="106"/>
      <c r="H2941" s="68">
        <f>H1512/1.18-H2227*'Mark Up Validation'!$M$105</f>
        <v>0</v>
      </c>
      <c r="I2941" s="106"/>
      <c r="J2941" s="68">
        <f>J1512/1.18-J2227*'Mark Up Validation'!$M$105</f>
        <v>0</v>
      </c>
      <c r="K2941" s="106"/>
      <c r="L2941" s="68">
        <f>L1512/1.18-L2227*'Mark Up Validation'!$M$105</f>
        <v>0</v>
      </c>
      <c r="M2941" s="106"/>
      <c r="N2941" s="68">
        <f>N1512/1.18-N2227*'Mark Up Validation'!$M$105</f>
        <v>0</v>
      </c>
      <c r="O2941" s="106"/>
      <c r="P2941" s="68">
        <f>P1512/1.18-P2227*'Mark Up Validation'!$M$105</f>
        <v>0</v>
      </c>
      <c r="Q2941" s="728"/>
      <c r="R2941" s="132">
        <f>SUM(F2941,H2941,J2941,L2941,N2941,P2941)</f>
        <v>0</v>
      </c>
      <c r="S2941" s="728"/>
      <c r="T2941" s="68">
        <f>T1512/1.18-T2227*'Mark Up Validation'!$S$105</f>
        <v>0</v>
      </c>
      <c r="U2941" s="728"/>
      <c r="V2941" s="68">
        <f>V1512/1.18-V2227*'Mark Up Validation'!$S$105</f>
        <v>0</v>
      </c>
      <c r="W2941" s="728"/>
      <c r="X2941" s="68">
        <f>X1512/1.18-X2227*'Mark Up Validation'!$S$105</f>
        <v>0</v>
      </c>
      <c r="Y2941" s="728"/>
      <c r="Z2941" s="68">
        <f>Z1512/1.18-Z2227*'Mark Up Validation'!$S$105</f>
        <v>0</v>
      </c>
      <c r="AA2941" s="728"/>
      <c r="AB2941" s="68">
        <f>AB1512/1.18-AB2227*'Mark Up Validation'!$S$105</f>
        <v>0</v>
      </c>
      <c r="AC2941" s="728"/>
      <c r="AD2941" s="68">
        <f>AD1512/1.18-AD2227*'Mark Up Validation'!$S$105</f>
        <v>0</v>
      </c>
      <c r="AE2941" s="728"/>
      <c r="AF2941" s="132">
        <f>SUM(T2941,V2941,X2941,Z2941,AB2941,AD2941)</f>
        <v>0</v>
      </c>
      <c r="AG2941" s="728"/>
      <c r="AH2941" s="133">
        <f>SUM(AF2941,R2941)</f>
        <v>0</v>
      </c>
      <c r="AI2941" s="728"/>
      <c r="AJ2941" s="65"/>
      <c r="AV2941" s="56"/>
    </row>
    <row r="2942" spans="1:48" ht="12.75" customHeight="1" outlineLevel="2" thickBot="1">
      <c r="A2942" s="73"/>
      <c r="B2942" s="82"/>
      <c r="C2942" s="1234"/>
      <c r="D2942" s="1234"/>
      <c r="E2942" s="84">
        <f>'Terms and Turnovers'!$AN$12</f>
        <v>0</v>
      </c>
      <c r="F2942" s="68">
        <f>F1513/1.18-F2228*'Mark Up Validation'!$M$105</f>
        <v>0</v>
      </c>
      <c r="G2942" s="728"/>
      <c r="H2942" s="68">
        <f>H1513/1.18-H2228*'Mark Up Validation'!$M$105</f>
        <v>0</v>
      </c>
      <c r="I2942" s="728"/>
      <c r="J2942" s="68">
        <f>J1513/1.18-J2228*'Mark Up Validation'!$M$105</f>
        <v>0</v>
      </c>
      <c r="K2942" s="728"/>
      <c r="L2942" s="68">
        <f>L1513/1.18-L2228*'Mark Up Validation'!$M$105</f>
        <v>0</v>
      </c>
      <c r="M2942" s="728"/>
      <c r="N2942" s="68">
        <f>N1513/1.18-N2228*'Mark Up Validation'!$M$105</f>
        <v>0</v>
      </c>
      <c r="O2942" s="728"/>
      <c r="P2942" s="68">
        <f>P1513/1.18-P2228*'Mark Up Validation'!$M$105</f>
        <v>0</v>
      </c>
      <c r="Q2942" s="728"/>
      <c r="R2942" s="132">
        <f>SUM(F2942,H2942,J2942,L2942,N2942,P2942)</f>
        <v>0</v>
      </c>
      <c r="S2942" s="728"/>
      <c r="T2942" s="68">
        <f>T1513/1.18-T2228*'Mark Up Validation'!$S$105</f>
        <v>0</v>
      </c>
      <c r="U2942" s="728"/>
      <c r="V2942" s="68">
        <f>V1513/1.18-V2228*'Mark Up Validation'!$S$105</f>
        <v>0</v>
      </c>
      <c r="W2942" s="728"/>
      <c r="X2942" s="68">
        <f>X1513/1.18-X2228*'Mark Up Validation'!$S$105</f>
        <v>0</v>
      </c>
      <c r="Y2942" s="728"/>
      <c r="Z2942" s="68">
        <f>Z1513/1.18-Z2228*'Mark Up Validation'!$S$105</f>
        <v>0</v>
      </c>
      <c r="AA2942" s="728"/>
      <c r="AB2942" s="68">
        <f>AB1513/1.18-AB2228*'Mark Up Validation'!$S$105</f>
        <v>0</v>
      </c>
      <c r="AC2942" s="728"/>
      <c r="AD2942" s="68">
        <f>AD1513/1.18-AD2228*'Mark Up Validation'!$S$105</f>
        <v>0</v>
      </c>
      <c r="AE2942" s="728"/>
      <c r="AF2942" s="132">
        <f>SUM(T2942,V2942,X2942,Z2942,AB2942,AD2942)</f>
        <v>0</v>
      </c>
      <c r="AG2942" s="728"/>
      <c r="AH2942" s="133">
        <f>SUM(AF2942,R2942)</f>
        <v>0</v>
      </c>
      <c r="AI2942" s="728"/>
      <c r="AJ2942" s="65"/>
      <c r="AV2942" s="56"/>
    </row>
    <row r="2943" spans="1:48" ht="13.5" customHeight="1" outlineLevel="2" thickBot="1">
      <c r="A2943" s="73"/>
      <c r="B2943" s="82"/>
      <c r="C2943" s="1235"/>
      <c r="D2943" s="1235"/>
      <c r="E2943" s="85">
        <f>'Terms and Turnovers'!$AX$12</f>
        <v>0</v>
      </c>
      <c r="F2943" s="68">
        <f>F1514/1.18-F2229*'Mark Up Validation'!$M$105</f>
        <v>0</v>
      </c>
      <c r="G2943" s="106"/>
      <c r="H2943" s="68">
        <f>H1514/1.18-H2229*'Mark Up Validation'!$M$105</f>
        <v>0</v>
      </c>
      <c r="I2943" s="106"/>
      <c r="J2943" s="68">
        <f>J1514/1.18-J2229*'Mark Up Validation'!$M$105</f>
        <v>0</v>
      </c>
      <c r="K2943" s="106"/>
      <c r="L2943" s="68">
        <f>L1514/1.18-L2229*'Mark Up Validation'!$M$105</f>
        <v>0</v>
      </c>
      <c r="M2943" s="106"/>
      <c r="N2943" s="68">
        <f>N1514/1.18-N2229*'Mark Up Validation'!$M$105</f>
        <v>0</v>
      </c>
      <c r="O2943" s="106"/>
      <c r="P2943" s="68">
        <f>P1514/1.18-P2229*'Mark Up Validation'!$M$105</f>
        <v>0</v>
      </c>
      <c r="Q2943" s="107"/>
      <c r="R2943" s="135">
        <f>SUM(F2943,H2943,J2943,L2943,N2943,P2943)</f>
        <v>0</v>
      </c>
      <c r="S2943" s="107"/>
      <c r="T2943" s="68">
        <f>T1514/1.18-T2229*'Mark Up Validation'!$S$105</f>
        <v>0</v>
      </c>
      <c r="U2943" s="107"/>
      <c r="V2943" s="68">
        <f>V1514/1.18-V2229*'Mark Up Validation'!$S$105</f>
        <v>0</v>
      </c>
      <c r="W2943" s="107"/>
      <c r="X2943" s="68">
        <f>X1514/1.18-X2229*'Mark Up Validation'!$S$105</f>
        <v>0</v>
      </c>
      <c r="Y2943" s="107"/>
      <c r="Z2943" s="68">
        <f>Z1514/1.18-Z2229*'Mark Up Validation'!$S$105</f>
        <v>0</v>
      </c>
      <c r="AA2943" s="107"/>
      <c r="AB2943" s="68">
        <f>AB1514/1.18-AB2229*'Mark Up Validation'!$S$105</f>
        <v>0</v>
      </c>
      <c r="AC2943" s="107"/>
      <c r="AD2943" s="68">
        <f>AD1514/1.18-AD2229*'Mark Up Validation'!$S$105</f>
        <v>0</v>
      </c>
      <c r="AE2943" s="107"/>
      <c r="AF2943" s="135">
        <f>SUM(T2943,V2943,X2943,Z2943,AB2943,AD2943)</f>
        <v>0</v>
      </c>
      <c r="AG2943" s="107"/>
      <c r="AH2943" s="136">
        <f>SUM(AF2943,R2943)</f>
        <v>0</v>
      </c>
      <c r="AI2943" s="107"/>
      <c r="AJ2943" s="65"/>
      <c r="AV2943" s="56"/>
    </row>
    <row r="2944" spans="1:48" ht="13.5" customHeight="1" outlineLevel="2">
      <c r="A2944" s="73"/>
      <c r="B2944" s="82"/>
      <c r="C2944" s="425"/>
      <c r="D2944" s="425"/>
      <c r="E2944" s="634"/>
      <c r="F2944" s="635"/>
      <c r="G2944" s="428"/>
      <c r="H2944" s="635"/>
      <c r="I2944" s="428"/>
      <c r="J2944" s="635"/>
      <c r="K2944" s="636"/>
      <c r="L2944" s="635"/>
      <c r="M2944" s="636"/>
      <c r="N2944" s="635"/>
      <c r="O2944" s="636"/>
      <c r="P2944" s="635"/>
      <c r="Q2944" s="636"/>
      <c r="R2944" s="637"/>
      <c r="S2944" s="698">
        <f>SUM(R2224:R2228)/1.18-(SUM(R2939:R2943)*'Mark Up Validation'!$M$105)</f>
        <v>0</v>
      </c>
      <c r="T2944" s="635"/>
      <c r="U2944" s="636"/>
      <c r="V2944" s="635"/>
      <c r="W2944" s="636"/>
      <c r="X2944" s="635"/>
      <c r="Y2944" s="636"/>
      <c r="Z2944" s="635"/>
      <c r="AA2944" s="636"/>
      <c r="AB2944" s="635"/>
      <c r="AC2944" s="636"/>
      <c r="AD2944" s="635"/>
      <c r="AE2944" s="636"/>
      <c r="AF2944" s="637"/>
      <c r="AG2944" s="698">
        <f>SUM(AF2224:AF2228)/1.18-SUM(AF2939:AF2943)*'Mark Up Validation'!$M$175</f>
        <v>0</v>
      </c>
      <c r="AH2944" s="638"/>
      <c r="AI2944" s="698">
        <f>SUM(AH2224:AH2228)/1.18-SUM(AH2939:AH2943)*'Mark Up Validation'!$M$175</f>
        <v>0</v>
      </c>
      <c r="AJ2944" s="65"/>
      <c r="AV2944" s="56"/>
    </row>
    <row r="2945" spans="1:48" ht="13.5" customHeight="1" outlineLevel="2" thickBot="1">
      <c r="A2945" s="119"/>
      <c r="B2945" s="82"/>
      <c r="C2945" s="1228" t="s">
        <v>539</v>
      </c>
      <c r="D2945" s="1229"/>
      <c r="E2945" s="699"/>
      <c r="F2945" s="700">
        <f>SUM(F2939:F2943)</f>
        <v>0</v>
      </c>
      <c r="G2945" s="701"/>
      <c r="H2945" s="700">
        <f>SUM(H2939:H2943)</f>
        <v>0</v>
      </c>
      <c r="I2945" s="701"/>
      <c r="J2945" s="700">
        <f>SUM(J2939:J2943)</f>
        <v>0</v>
      </c>
      <c r="K2945" s="702"/>
      <c r="L2945" s="700">
        <f>SUM(L2939:L2943)</f>
        <v>0</v>
      </c>
      <c r="M2945" s="702"/>
      <c r="N2945" s="700">
        <f>SUM(N2939:N2943)</f>
        <v>0</v>
      </c>
      <c r="O2945" s="702"/>
      <c r="P2945" s="700">
        <f>SUM(P2939:P2943)</f>
        <v>0</v>
      </c>
      <c r="Q2945" s="702"/>
      <c r="R2945" s="703"/>
      <c r="S2945" s="729">
        <f>IF(S2944&gt;0,S2944/(SUM(R2224:R2228)/1.18),0)</f>
        <v>0</v>
      </c>
      <c r="T2945" s="700">
        <f>SUM(T2939:T2943)</f>
        <v>0</v>
      </c>
      <c r="U2945" s="702"/>
      <c r="V2945" s="700">
        <f>SUM(V2939:V2943)</f>
        <v>0</v>
      </c>
      <c r="W2945" s="702"/>
      <c r="X2945" s="700">
        <f>SUM(X2939:X2943)</f>
        <v>0</v>
      </c>
      <c r="Y2945" s="702"/>
      <c r="Z2945" s="700">
        <f>SUM(Z2939:Z2943)</f>
        <v>0</v>
      </c>
      <c r="AA2945" s="702"/>
      <c r="AB2945" s="700">
        <f>SUM(AB2939:AB2943)</f>
        <v>0</v>
      </c>
      <c r="AC2945" s="702"/>
      <c r="AD2945" s="700">
        <f>SUM(AD2939:AD2943)</f>
        <v>0</v>
      </c>
      <c r="AE2945" s="702"/>
      <c r="AF2945" s="705"/>
      <c r="AG2945" s="729">
        <f>IF(AG2944&gt;0,AG2944/(SUM(AF2224:AF2228)/1.18),0)</f>
        <v>0</v>
      </c>
      <c r="AH2945" s="706"/>
      <c r="AI2945" s="729">
        <f>IF(AI2944&gt;0,AI2944/(SUM(AH2224:AH2228)/1.18),0)</f>
        <v>0</v>
      </c>
      <c r="AJ2945" s="707"/>
      <c r="AV2945" s="56"/>
    </row>
    <row r="2946" spans="1:48" ht="12.75" customHeight="1" outlineLevel="2" thickBot="1">
      <c r="A2946" s="73"/>
      <c r="B2946" s="82">
        <f>B2939+1</f>
        <v>10</v>
      </c>
      <c r="C2946" s="1233">
        <f>C76</f>
        <v>0</v>
      </c>
      <c r="D2946" s="1233">
        <f>D76</f>
        <v>0</v>
      </c>
      <c r="E2946" s="83" t="str">
        <f>'Terms and Turnovers'!$J$12</f>
        <v>FLIP-FLOPS</v>
      </c>
      <c r="F2946" s="68">
        <f>F1517/1.18-F2232*'Mark Up Validation'!$M$105</f>
        <v>0</v>
      </c>
      <c r="G2946" s="106"/>
      <c r="H2946" s="68">
        <f>H1517/1.18-H2232*'Mark Up Validation'!$M$105</f>
        <v>0</v>
      </c>
      <c r="I2946" s="106"/>
      <c r="J2946" s="68">
        <f>J1517/1.18-J2232*'Mark Up Validation'!$M$105</f>
        <v>0</v>
      </c>
      <c r="K2946" s="106"/>
      <c r="L2946" s="68">
        <f>L1517/1.18-L2232*'Mark Up Validation'!$M$105</f>
        <v>0</v>
      </c>
      <c r="M2946" s="106"/>
      <c r="N2946" s="68">
        <f>N1517/1.18-N2232*'Mark Up Validation'!$M$105</f>
        <v>0</v>
      </c>
      <c r="O2946" s="106"/>
      <c r="P2946" s="68">
        <f>P1517/1.18-P2232*'Mark Up Validation'!$M$105</f>
        <v>0</v>
      </c>
      <c r="Q2946" s="106"/>
      <c r="R2946" s="129">
        <f>SUM(F2946,H2946,J2946,L2946,N2946,P2946)</f>
        <v>0</v>
      </c>
      <c r="S2946" s="106"/>
      <c r="T2946" s="68">
        <f>T1517/1.18-T2232*'Mark Up Validation'!$S$105</f>
        <v>0</v>
      </c>
      <c r="U2946" s="106"/>
      <c r="V2946" s="68">
        <f>V1517/1.18-V2232*'Mark Up Validation'!$S$105</f>
        <v>0</v>
      </c>
      <c r="W2946" s="106"/>
      <c r="X2946" s="68">
        <f>X1517/1.18-X2232*'Mark Up Validation'!$S$105</f>
        <v>0</v>
      </c>
      <c r="Y2946" s="106"/>
      <c r="Z2946" s="68">
        <f>Z1517/1.18-Z2232*'Mark Up Validation'!$S$105</f>
        <v>0</v>
      </c>
      <c r="AA2946" s="106"/>
      <c r="AB2946" s="68">
        <f>AB1517/1.18-AB2232*'Mark Up Validation'!$S$105</f>
        <v>0</v>
      </c>
      <c r="AC2946" s="106"/>
      <c r="AD2946" s="68">
        <f>AD1517/1.18-AD2232*'Mark Up Validation'!$S$105</f>
        <v>0</v>
      </c>
      <c r="AE2946" s="106"/>
      <c r="AF2946" s="129">
        <f>SUM(T2946,V2946,X2946,Z2946,AB2946,AD2946)</f>
        <v>0</v>
      </c>
      <c r="AG2946" s="106"/>
      <c r="AH2946" s="130">
        <f>SUM(AF2946,R2946)</f>
        <v>0</v>
      </c>
      <c r="AI2946" s="106"/>
      <c r="AJ2946" s="65"/>
      <c r="AV2946" s="56"/>
    </row>
    <row r="2947" spans="1:48" ht="12.75" customHeight="1" outlineLevel="2" thickBot="1">
      <c r="A2947" s="73"/>
      <c r="B2947" s="82"/>
      <c r="C2947" s="1234"/>
      <c r="D2947" s="1234"/>
      <c r="E2947" s="84" t="str">
        <f>'Terms and Turnovers'!$T$12</f>
        <v>ORIGINALS</v>
      </c>
      <c r="F2947" s="68">
        <f>F1518/1.18-F2233*'Mark Up Validation'!$M$105</f>
        <v>0</v>
      </c>
      <c r="G2947" s="728"/>
      <c r="H2947" s="68">
        <f>H1518/1.18-H2233*'Mark Up Validation'!$M$105</f>
        <v>0</v>
      </c>
      <c r="I2947" s="728"/>
      <c r="J2947" s="68">
        <f>J1518/1.18-J2233*'Mark Up Validation'!$M$105</f>
        <v>0</v>
      </c>
      <c r="K2947" s="728"/>
      <c r="L2947" s="68">
        <f>L1518/1.18-L2233*'Mark Up Validation'!$M$105</f>
        <v>0</v>
      </c>
      <c r="M2947" s="728"/>
      <c r="N2947" s="68">
        <f>N1518/1.18-N2233*'Mark Up Validation'!$M$105</f>
        <v>0</v>
      </c>
      <c r="O2947" s="728"/>
      <c r="P2947" s="68">
        <f>P1518/1.18-P2233*'Mark Up Validation'!$M$105</f>
        <v>0</v>
      </c>
      <c r="Q2947" s="728"/>
      <c r="R2947" s="132">
        <f>SUM(F2947,H2947,J2947,L2947,N2947,P2947)</f>
        <v>0</v>
      </c>
      <c r="S2947" s="728"/>
      <c r="T2947" s="68">
        <f>T1518/1.18-T2233*'Mark Up Validation'!$S$105</f>
        <v>0</v>
      </c>
      <c r="U2947" s="728"/>
      <c r="V2947" s="68">
        <f>V1518/1.18-V2233*'Mark Up Validation'!$S$105</f>
        <v>0</v>
      </c>
      <c r="W2947" s="728"/>
      <c r="X2947" s="68">
        <f>X1518/1.18-X2233*'Mark Up Validation'!$S$105</f>
        <v>0</v>
      </c>
      <c r="Y2947" s="728"/>
      <c r="Z2947" s="68">
        <f>Z1518/1.18-Z2233*'Mark Up Validation'!$S$105</f>
        <v>0</v>
      </c>
      <c r="AA2947" s="728"/>
      <c r="AB2947" s="68">
        <f>AB1518/1.18-AB2233*'Mark Up Validation'!$S$105</f>
        <v>0</v>
      </c>
      <c r="AC2947" s="728"/>
      <c r="AD2947" s="68">
        <f>AD1518/1.18-AD2233*'Mark Up Validation'!$S$105</f>
        <v>0</v>
      </c>
      <c r="AE2947" s="728"/>
      <c r="AF2947" s="132">
        <f>SUM(T2947,V2947,X2947,Z2947,AB2947,AD2947)</f>
        <v>0</v>
      </c>
      <c r="AG2947" s="728"/>
      <c r="AH2947" s="133">
        <f>SUM(AF2947,R2947)</f>
        <v>0</v>
      </c>
      <c r="AI2947" s="728"/>
      <c r="AJ2947" s="65"/>
      <c r="AV2947" s="56"/>
    </row>
    <row r="2948" spans="1:48" ht="12.75" customHeight="1" outlineLevel="2" thickBot="1">
      <c r="A2948" s="73"/>
      <c r="B2948" s="82"/>
      <c r="C2948" s="1234"/>
      <c r="D2948" s="1234"/>
      <c r="E2948" s="84" t="str">
        <f>'Terms and Turnovers'!$AD$12</f>
        <v>ACCESSORIES</v>
      </c>
      <c r="F2948" s="68">
        <f>F1519/1.18-F2234*'Mark Up Validation'!$M$105</f>
        <v>0</v>
      </c>
      <c r="G2948" s="106"/>
      <c r="H2948" s="68">
        <f>H1519/1.18-H2234*'Mark Up Validation'!$M$105</f>
        <v>0</v>
      </c>
      <c r="I2948" s="106"/>
      <c r="J2948" s="68">
        <f>J1519/1.18-J2234*'Mark Up Validation'!$M$105</f>
        <v>0</v>
      </c>
      <c r="K2948" s="106"/>
      <c r="L2948" s="68">
        <f>L1519/1.18-L2234*'Mark Up Validation'!$M$105</f>
        <v>0</v>
      </c>
      <c r="M2948" s="106"/>
      <c r="N2948" s="68">
        <f>N1519/1.18-N2234*'Mark Up Validation'!$M$105</f>
        <v>0</v>
      </c>
      <c r="O2948" s="106"/>
      <c r="P2948" s="68">
        <f>P1519/1.18-P2234*'Mark Up Validation'!$M$105</f>
        <v>0</v>
      </c>
      <c r="Q2948" s="728"/>
      <c r="R2948" s="132">
        <f>SUM(F2948,H2948,J2948,L2948,N2948,P2948)</f>
        <v>0</v>
      </c>
      <c r="S2948" s="728"/>
      <c r="T2948" s="68">
        <f>T1519/1.18-T2234*'Mark Up Validation'!$S$105</f>
        <v>0</v>
      </c>
      <c r="U2948" s="728"/>
      <c r="V2948" s="68">
        <f>V1519/1.18-V2234*'Mark Up Validation'!$S$105</f>
        <v>0</v>
      </c>
      <c r="W2948" s="728"/>
      <c r="X2948" s="68">
        <f>X1519/1.18-X2234*'Mark Up Validation'!$S$105</f>
        <v>0</v>
      </c>
      <c r="Y2948" s="728"/>
      <c r="Z2948" s="68">
        <f>Z1519/1.18-Z2234*'Mark Up Validation'!$S$105</f>
        <v>0</v>
      </c>
      <c r="AA2948" s="728"/>
      <c r="AB2948" s="68">
        <f>AB1519/1.18-AB2234*'Mark Up Validation'!$S$105</f>
        <v>0</v>
      </c>
      <c r="AC2948" s="728"/>
      <c r="AD2948" s="68">
        <f>AD1519/1.18-AD2234*'Mark Up Validation'!$S$105</f>
        <v>0</v>
      </c>
      <c r="AE2948" s="728"/>
      <c r="AF2948" s="132">
        <f>SUM(T2948,V2948,X2948,Z2948,AB2948,AD2948)</f>
        <v>0</v>
      </c>
      <c r="AG2948" s="728"/>
      <c r="AH2948" s="133">
        <f>SUM(AF2948,R2948)</f>
        <v>0</v>
      </c>
      <c r="AI2948" s="728"/>
      <c r="AJ2948" s="65"/>
      <c r="AV2948" s="56"/>
    </row>
    <row r="2949" spans="1:48" ht="12.75" customHeight="1" outlineLevel="2" thickBot="1">
      <c r="A2949" s="73"/>
      <c r="B2949" s="82"/>
      <c r="C2949" s="1234"/>
      <c r="D2949" s="1234"/>
      <c r="E2949" s="84">
        <f>'Terms and Turnovers'!$AN$12</f>
        <v>0</v>
      </c>
      <c r="F2949" s="68">
        <f>F1520/1.18-F2235*'Mark Up Validation'!$M$105</f>
        <v>0</v>
      </c>
      <c r="G2949" s="728"/>
      <c r="H2949" s="68">
        <f>H1520/1.18-H2235*'Mark Up Validation'!$M$105</f>
        <v>0</v>
      </c>
      <c r="I2949" s="728"/>
      <c r="J2949" s="68">
        <f>J1520/1.18-J2235*'Mark Up Validation'!$M$105</f>
        <v>0</v>
      </c>
      <c r="K2949" s="728"/>
      <c r="L2949" s="68">
        <f>L1520/1.18-L2235*'Mark Up Validation'!$M$105</f>
        <v>0</v>
      </c>
      <c r="M2949" s="728"/>
      <c r="N2949" s="68">
        <f>N1520/1.18-N2235*'Mark Up Validation'!$M$105</f>
        <v>0</v>
      </c>
      <c r="O2949" s="728"/>
      <c r="P2949" s="68">
        <f>P1520/1.18-P2235*'Mark Up Validation'!$M$105</f>
        <v>0</v>
      </c>
      <c r="Q2949" s="728"/>
      <c r="R2949" s="132">
        <f>SUM(F2949,H2949,J2949,L2949,N2949,P2949)</f>
        <v>0</v>
      </c>
      <c r="S2949" s="728"/>
      <c r="T2949" s="68">
        <f>T1520/1.18-T2235*'Mark Up Validation'!$S$105</f>
        <v>0</v>
      </c>
      <c r="U2949" s="728"/>
      <c r="V2949" s="68">
        <f>V1520/1.18-V2235*'Mark Up Validation'!$S$105</f>
        <v>0</v>
      </c>
      <c r="W2949" s="728"/>
      <c r="X2949" s="68">
        <f>X1520/1.18-X2235*'Mark Up Validation'!$S$105</f>
        <v>0</v>
      </c>
      <c r="Y2949" s="728"/>
      <c r="Z2949" s="68">
        <f>Z1520/1.18-Z2235*'Mark Up Validation'!$S$105</f>
        <v>0</v>
      </c>
      <c r="AA2949" s="728"/>
      <c r="AB2949" s="68">
        <f>AB1520/1.18-AB2235*'Mark Up Validation'!$S$105</f>
        <v>0</v>
      </c>
      <c r="AC2949" s="728"/>
      <c r="AD2949" s="68">
        <f>AD1520/1.18-AD2235*'Mark Up Validation'!$S$105</f>
        <v>0</v>
      </c>
      <c r="AE2949" s="728"/>
      <c r="AF2949" s="132">
        <f>SUM(T2949,V2949,X2949,Z2949,AB2949,AD2949)</f>
        <v>0</v>
      </c>
      <c r="AG2949" s="728"/>
      <c r="AH2949" s="133">
        <f>SUM(AF2949,R2949)</f>
        <v>0</v>
      </c>
      <c r="AI2949" s="728"/>
      <c r="AJ2949" s="65"/>
      <c r="AV2949" s="56"/>
    </row>
    <row r="2950" spans="1:48" ht="13.5" customHeight="1" outlineLevel="2" thickBot="1">
      <c r="A2950" s="73"/>
      <c r="B2950" s="82"/>
      <c r="C2950" s="1235"/>
      <c r="D2950" s="1235"/>
      <c r="E2950" s="85">
        <f>'Terms and Turnovers'!$AX$12</f>
        <v>0</v>
      </c>
      <c r="F2950" s="68">
        <f>F1521/1.18-F2236*'Mark Up Validation'!$M$105</f>
        <v>0</v>
      </c>
      <c r="G2950" s="106"/>
      <c r="H2950" s="68">
        <f>H1521/1.18-H2236*'Mark Up Validation'!$M$105</f>
        <v>0</v>
      </c>
      <c r="I2950" s="106"/>
      <c r="J2950" s="68">
        <f>J1521/1.18-J2236*'Mark Up Validation'!$M$105</f>
        <v>0</v>
      </c>
      <c r="K2950" s="106"/>
      <c r="L2950" s="68">
        <f>L1521/1.18-L2236*'Mark Up Validation'!$M$105</f>
        <v>0</v>
      </c>
      <c r="M2950" s="106"/>
      <c r="N2950" s="68">
        <f>N1521/1.18-N2236*'Mark Up Validation'!$M$105</f>
        <v>0</v>
      </c>
      <c r="O2950" s="106"/>
      <c r="P2950" s="68">
        <f>P1521/1.18-P2236*'Mark Up Validation'!$M$105</f>
        <v>0</v>
      </c>
      <c r="Q2950" s="107"/>
      <c r="R2950" s="135">
        <f>SUM(F2950,H2950,J2950,L2950,N2950,P2950)</f>
        <v>0</v>
      </c>
      <c r="S2950" s="107"/>
      <c r="T2950" s="68">
        <f>T1521/1.18-T2236*'Mark Up Validation'!$S$105</f>
        <v>0</v>
      </c>
      <c r="U2950" s="107"/>
      <c r="V2950" s="68">
        <f>V1521/1.18-V2236*'Mark Up Validation'!$S$105</f>
        <v>0</v>
      </c>
      <c r="W2950" s="107"/>
      <c r="X2950" s="68">
        <f>X1521/1.18-X2236*'Mark Up Validation'!$S$105</f>
        <v>0</v>
      </c>
      <c r="Y2950" s="107"/>
      <c r="Z2950" s="68">
        <f>Z1521/1.18-Z2236*'Mark Up Validation'!$S$105</f>
        <v>0</v>
      </c>
      <c r="AA2950" s="107"/>
      <c r="AB2950" s="68">
        <f>AB1521/1.18-AB2236*'Mark Up Validation'!$S$105</f>
        <v>0</v>
      </c>
      <c r="AC2950" s="107"/>
      <c r="AD2950" s="68">
        <f>AD1521/1.18-AD2236*'Mark Up Validation'!$S$105</f>
        <v>0</v>
      </c>
      <c r="AE2950" s="107"/>
      <c r="AF2950" s="135">
        <f>SUM(T2950,V2950,X2950,Z2950,AB2950,AD2950)</f>
        <v>0</v>
      </c>
      <c r="AG2950" s="107"/>
      <c r="AH2950" s="136">
        <f>SUM(AF2950,R2950)</f>
        <v>0</v>
      </c>
      <c r="AI2950" s="107"/>
      <c r="AJ2950" s="65"/>
      <c r="AV2950" s="56"/>
    </row>
    <row r="2951" spans="1:48" ht="13.5" customHeight="1" outlineLevel="2">
      <c r="A2951" s="73"/>
      <c r="B2951" s="82"/>
      <c r="C2951" s="425"/>
      <c r="D2951" s="425"/>
      <c r="E2951" s="634"/>
      <c r="F2951" s="635"/>
      <c r="G2951" s="428"/>
      <c r="H2951" s="635"/>
      <c r="I2951" s="428"/>
      <c r="J2951" s="635"/>
      <c r="K2951" s="636"/>
      <c r="L2951" s="635"/>
      <c r="M2951" s="636"/>
      <c r="N2951" s="635"/>
      <c r="O2951" s="636"/>
      <c r="P2951" s="635"/>
      <c r="Q2951" s="636"/>
      <c r="R2951" s="637"/>
      <c r="S2951" s="698">
        <f>SUM(R2231:R2235)/1.18-(SUM(R2946:R2950)*'Mark Up Validation'!$M$105)</f>
        <v>0</v>
      </c>
      <c r="T2951" s="635"/>
      <c r="U2951" s="636"/>
      <c r="V2951" s="635"/>
      <c r="W2951" s="636"/>
      <c r="X2951" s="635"/>
      <c r="Y2951" s="636"/>
      <c r="Z2951" s="635"/>
      <c r="AA2951" s="636"/>
      <c r="AB2951" s="635"/>
      <c r="AC2951" s="636"/>
      <c r="AD2951" s="635"/>
      <c r="AE2951" s="636"/>
      <c r="AF2951" s="637"/>
      <c r="AG2951" s="698">
        <f>SUM(AF2231:AF2235)/1.18-SUM(AF2946:AF2950)*'Mark Up Validation'!$M$175</f>
        <v>0</v>
      </c>
      <c r="AH2951" s="638"/>
      <c r="AI2951" s="698">
        <f>SUM(AH2231:AH2235)/1.18-SUM(AH2946:AH2950)*'Mark Up Validation'!$M$175</f>
        <v>0</v>
      </c>
      <c r="AJ2951" s="65"/>
      <c r="AV2951" s="56"/>
    </row>
    <row r="2952" spans="1:48" ht="13.5" customHeight="1" outlineLevel="2" thickBot="1">
      <c r="A2952" s="119"/>
      <c r="B2952" s="82"/>
      <c r="C2952" s="1228" t="s">
        <v>539</v>
      </c>
      <c r="D2952" s="1229"/>
      <c r="E2952" s="699"/>
      <c r="F2952" s="700">
        <f>SUM(F2946:F2950)</f>
        <v>0</v>
      </c>
      <c r="G2952" s="701"/>
      <c r="H2952" s="700">
        <f>SUM(H2946:H2950)</f>
        <v>0</v>
      </c>
      <c r="I2952" s="701"/>
      <c r="J2952" s="700">
        <f>SUM(J2946:J2950)</f>
        <v>0</v>
      </c>
      <c r="K2952" s="702"/>
      <c r="L2952" s="700">
        <f>SUM(L2946:L2950)</f>
        <v>0</v>
      </c>
      <c r="M2952" s="702"/>
      <c r="N2952" s="700">
        <f>SUM(N2946:N2950)</f>
        <v>0</v>
      </c>
      <c r="O2952" s="702"/>
      <c r="P2952" s="700">
        <f>SUM(P2946:P2950)</f>
        <v>0</v>
      </c>
      <c r="Q2952" s="702"/>
      <c r="R2952" s="703"/>
      <c r="S2952" s="729">
        <f>IF(S2951&gt;0,S2951/(SUM(R2231:R2235)/1.18),0)</f>
        <v>0</v>
      </c>
      <c r="T2952" s="700">
        <f>SUM(T2946:T2950)</f>
        <v>0</v>
      </c>
      <c r="U2952" s="702"/>
      <c r="V2952" s="700">
        <f>SUM(V2946:V2950)</f>
        <v>0</v>
      </c>
      <c r="W2952" s="702"/>
      <c r="X2952" s="700">
        <f>SUM(X2946:X2950)</f>
        <v>0</v>
      </c>
      <c r="Y2952" s="702"/>
      <c r="Z2952" s="700">
        <f>SUM(Z2946:Z2950)</f>
        <v>0</v>
      </c>
      <c r="AA2952" s="702"/>
      <c r="AB2952" s="700">
        <f>SUM(AB2946:AB2950)</f>
        <v>0</v>
      </c>
      <c r="AC2952" s="702"/>
      <c r="AD2952" s="700">
        <f>SUM(AD2946:AD2950)</f>
        <v>0</v>
      </c>
      <c r="AE2952" s="702"/>
      <c r="AF2952" s="705"/>
      <c r="AG2952" s="729">
        <f>IF(AG2951&gt;0,AG2951/(SUM(AF2231:AF2235)/1.18),0)</f>
        <v>0</v>
      </c>
      <c r="AH2952" s="706"/>
      <c r="AI2952" s="729">
        <f>IF(AI2951&gt;0,AI2951/(SUM(AH2231:AH2235)/1.18),0)</f>
        <v>0</v>
      </c>
      <c r="AJ2952" s="707"/>
      <c r="AV2952" s="56"/>
    </row>
    <row r="2953" spans="1:48" ht="12.75" customHeight="1" outlineLevel="2" thickBot="1">
      <c r="A2953" s="73"/>
      <c r="B2953" s="82">
        <f>B2946+1</f>
        <v>11</v>
      </c>
      <c r="C2953" s="1233">
        <f>C83</f>
        <v>0</v>
      </c>
      <c r="D2953" s="1233">
        <f>D83</f>
        <v>0</v>
      </c>
      <c r="E2953" s="83" t="str">
        <f>'Terms and Turnovers'!$J$12</f>
        <v>FLIP-FLOPS</v>
      </c>
      <c r="F2953" s="68">
        <f>F1524/1.18-F2239*'Mark Up Validation'!$M$105</f>
        <v>0</v>
      </c>
      <c r="G2953" s="106"/>
      <c r="H2953" s="68">
        <f>H1524/1.18-H2239*'Mark Up Validation'!$M$105</f>
        <v>0</v>
      </c>
      <c r="I2953" s="106"/>
      <c r="J2953" s="68">
        <f>J1524/1.18-J2239*'Mark Up Validation'!$M$105</f>
        <v>0</v>
      </c>
      <c r="K2953" s="106"/>
      <c r="L2953" s="68">
        <f>L1524/1.18-L2239*'Mark Up Validation'!$M$105</f>
        <v>0</v>
      </c>
      <c r="M2953" s="106"/>
      <c r="N2953" s="68">
        <f>N1524/1.18-N2239*'Mark Up Validation'!$M$105</f>
        <v>0</v>
      </c>
      <c r="O2953" s="106"/>
      <c r="P2953" s="68">
        <f>P1524/1.18-P2239*'Mark Up Validation'!$M$105</f>
        <v>0</v>
      </c>
      <c r="Q2953" s="106"/>
      <c r="R2953" s="129">
        <f>SUM(F2953,H2953,J2953,L2953,N2953,P2953)</f>
        <v>0</v>
      </c>
      <c r="S2953" s="106"/>
      <c r="T2953" s="68">
        <f>T1524/1.18-T2239*'Mark Up Validation'!$S$105</f>
        <v>0</v>
      </c>
      <c r="U2953" s="106"/>
      <c r="V2953" s="68">
        <f>V1524/1.18-V2239*'Mark Up Validation'!$S$105</f>
        <v>0</v>
      </c>
      <c r="W2953" s="106"/>
      <c r="X2953" s="68">
        <f>X1524/1.18-X2239*'Mark Up Validation'!$S$105</f>
        <v>0</v>
      </c>
      <c r="Y2953" s="106"/>
      <c r="Z2953" s="68">
        <f>Z1524/1.18-Z2239*'Mark Up Validation'!$S$105</f>
        <v>0</v>
      </c>
      <c r="AA2953" s="106"/>
      <c r="AB2953" s="68">
        <f>AB1524/1.18-AB2239*'Mark Up Validation'!$S$105</f>
        <v>0</v>
      </c>
      <c r="AC2953" s="106"/>
      <c r="AD2953" s="68">
        <f>AD1524/1.18-AD2239*'Mark Up Validation'!$S$105</f>
        <v>0</v>
      </c>
      <c r="AE2953" s="106"/>
      <c r="AF2953" s="129">
        <f>SUM(T2953,V2953,X2953,Z2953,AB2953,AD2953)</f>
        <v>0</v>
      </c>
      <c r="AG2953" s="106"/>
      <c r="AH2953" s="130">
        <f>SUM(AF2953,R2953)</f>
        <v>0</v>
      </c>
      <c r="AI2953" s="106"/>
      <c r="AJ2953" s="65"/>
      <c r="AV2953" s="56"/>
    </row>
    <row r="2954" spans="1:48" ht="12.75" customHeight="1" outlineLevel="2" thickBot="1">
      <c r="A2954" s="73"/>
      <c r="B2954" s="82"/>
      <c r="C2954" s="1234"/>
      <c r="D2954" s="1234"/>
      <c r="E2954" s="84" t="str">
        <f>'Terms and Turnovers'!$T$12</f>
        <v>ORIGINALS</v>
      </c>
      <c r="F2954" s="68">
        <f>F1525/1.18-F2240*'Mark Up Validation'!$M$105</f>
        <v>0</v>
      </c>
      <c r="G2954" s="728"/>
      <c r="H2954" s="68">
        <f>H1525/1.18-H2240*'Mark Up Validation'!$M$105</f>
        <v>0</v>
      </c>
      <c r="I2954" s="728"/>
      <c r="J2954" s="68">
        <f>J1525/1.18-J2240*'Mark Up Validation'!$M$105</f>
        <v>0</v>
      </c>
      <c r="K2954" s="728"/>
      <c r="L2954" s="68">
        <f>L1525/1.18-L2240*'Mark Up Validation'!$M$105</f>
        <v>0</v>
      </c>
      <c r="M2954" s="728"/>
      <c r="N2954" s="68">
        <f>N1525/1.18-N2240*'Mark Up Validation'!$M$105</f>
        <v>0</v>
      </c>
      <c r="O2954" s="728"/>
      <c r="P2954" s="68">
        <f>P1525/1.18-P2240*'Mark Up Validation'!$M$105</f>
        <v>0</v>
      </c>
      <c r="Q2954" s="728"/>
      <c r="R2954" s="132">
        <f>SUM(F2954,H2954,J2954,L2954,N2954,P2954)</f>
        <v>0</v>
      </c>
      <c r="S2954" s="728"/>
      <c r="T2954" s="68">
        <f>T1525/1.18-T2240*'Mark Up Validation'!$S$105</f>
        <v>0</v>
      </c>
      <c r="U2954" s="728"/>
      <c r="V2954" s="68">
        <f>V1525/1.18-V2240*'Mark Up Validation'!$S$105</f>
        <v>0</v>
      </c>
      <c r="W2954" s="728"/>
      <c r="X2954" s="68">
        <f>X1525/1.18-X2240*'Mark Up Validation'!$S$105</f>
        <v>0</v>
      </c>
      <c r="Y2954" s="728"/>
      <c r="Z2954" s="68">
        <f>Z1525/1.18-Z2240*'Mark Up Validation'!$S$105</f>
        <v>0</v>
      </c>
      <c r="AA2954" s="728"/>
      <c r="AB2954" s="68">
        <f>AB1525/1.18-AB2240*'Mark Up Validation'!$S$105</f>
        <v>0</v>
      </c>
      <c r="AC2954" s="728"/>
      <c r="AD2954" s="68">
        <f>AD1525/1.18-AD2240*'Mark Up Validation'!$S$105</f>
        <v>0</v>
      </c>
      <c r="AE2954" s="728"/>
      <c r="AF2954" s="132">
        <f>SUM(T2954,V2954,X2954,Z2954,AB2954,AD2954)</f>
        <v>0</v>
      </c>
      <c r="AG2954" s="728"/>
      <c r="AH2954" s="133">
        <f>SUM(AF2954,R2954)</f>
        <v>0</v>
      </c>
      <c r="AI2954" s="728"/>
      <c r="AJ2954" s="65"/>
      <c r="AV2954" s="56"/>
    </row>
    <row r="2955" spans="1:48" ht="12.75" customHeight="1" outlineLevel="2" thickBot="1">
      <c r="A2955" s="73"/>
      <c r="B2955" s="82"/>
      <c r="C2955" s="1234"/>
      <c r="D2955" s="1234"/>
      <c r="E2955" s="84" t="str">
        <f>'Terms and Turnovers'!$AD$12</f>
        <v>ACCESSORIES</v>
      </c>
      <c r="F2955" s="68">
        <f>F1526/1.18-F2241*'Mark Up Validation'!$M$105</f>
        <v>0</v>
      </c>
      <c r="G2955" s="106"/>
      <c r="H2955" s="68">
        <f>H1526/1.18-H2241*'Mark Up Validation'!$M$105</f>
        <v>0</v>
      </c>
      <c r="I2955" s="106"/>
      <c r="J2955" s="68">
        <f>J1526/1.18-J2241*'Mark Up Validation'!$M$105</f>
        <v>0</v>
      </c>
      <c r="K2955" s="106"/>
      <c r="L2955" s="68">
        <f>L1526/1.18-L2241*'Mark Up Validation'!$M$105</f>
        <v>0</v>
      </c>
      <c r="M2955" s="106"/>
      <c r="N2955" s="68">
        <f>N1526/1.18-N2241*'Mark Up Validation'!$M$105</f>
        <v>0</v>
      </c>
      <c r="O2955" s="106"/>
      <c r="P2955" s="68">
        <f>P1526/1.18-P2241*'Mark Up Validation'!$M$105</f>
        <v>0</v>
      </c>
      <c r="Q2955" s="728"/>
      <c r="R2955" s="132">
        <f>SUM(F2955,H2955,J2955,L2955,N2955,P2955)</f>
        <v>0</v>
      </c>
      <c r="S2955" s="728"/>
      <c r="T2955" s="68">
        <f>T1526/1.18-T2241*'Mark Up Validation'!$S$105</f>
        <v>0</v>
      </c>
      <c r="U2955" s="728"/>
      <c r="V2955" s="68">
        <f>V1526/1.18-V2241*'Mark Up Validation'!$S$105</f>
        <v>0</v>
      </c>
      <c r="W2955" s="728"/>
      <c r="X2955" s="68">
        <f>X1526/1.18-X2241*'Mark Up Validation'!$S$105</f>
        <v>0</v>
      </c>
      <c r="Y2955" s="728"/>
      <c r="Z2955" s="68">
        <f>Z1526/1.18-Z2241*'Mark Up Validation'!$S$105</f>
        <v>0</v>
      </c>
      <c r="AA2955" s="728"/>
      <c r="AB2955" s="68">
        <f>AB1526/1.18-AB2241*'Mark Up Validation'!$S$105</f>
        <v>0</v>
      </c>
      <c r="AC2955" s="728"/>
      <c r="AD2955" s="68">
        <f>AD1526/1.18-AD2241*'Mark Up Validation'!$S$105</f>
        <v>0</v>
      </c>
      <c r="AE2955" s="728"/>
      <c r="AF2955" s="132">
        <f>SUM(T2955,V2955,X2955,Z2955,AB2955,AD2955)</f>
        <v>0</v>
      </c>
      <c r="AG2955" s="728"/>
      <c r="AH2955" s="133">
        <f>SUM(AF2955,R2955)</f>
        <v>0</v>
      </c>
      <c r="AI2955" s="728"/>
      <c r="AJ2955" s="65"/>
      <c r="AV2955" s="56"/>
    </row>
    <row r="2956" spans="1:48" ht="12.75" customHeight="1" outlineLevel="2" thickBot="1">
      <c r="A2956" s="73"/>
      <c r="B2956" s="82"/>
      <c r="C2956" s="1234"/>
      <c r="D2956" s="1234"/>
      <c r="E2956" s="84">
        <f>'Terms and Turnovers'!$AN$12</f>
        <v>0</v>
      </c>
      <c r="F2956" s="68">
        <f>F1527/1.18-F2242*'Mark Up Validation'!$M$105</f>
        <v>0</v>
      </c>
      <c r="G2956" s="728"/>
      <c r="H2956" s="68">
        <f>H1527/1.18-H2242*'Mark Up Validation'!$M$105</f>
        <v>0</v>
      </c>
      <c r="I2956" s="728"/>
      <c r="J2956" s="68">
        <f>J1527/1.18-J2242*'Mark Up Validation'!$M$105</f>
        <v>0</v>
      </c>
      <c r="K2956" s="728"/>
      <c r="L2956" s="68">
        <f>L1527/1.18-L2242*'Mark Up Validation'!$M$105</f>
        <v>0</v>
      </c>
      <c r="M2956" s="728"/>
      <c r="N2956" s="68">
        <f>N1527/1.18-N2242*'Mark Up Validation'!$M$105</f>
        <v>0</v>
      </c>
      <c r="O2956" s="728"/>
      <c r="P2956" s="68">
        <f>P1527/1.18-P2242*'Mark Up Validation'!$M$105</f>
        <v>0</v>
      </c>
      <c r="Q2956" s="728"/>
      <c r="R2956" s="132">
        <f>SUM(F2956,H2956,J2956,L2956,N2956,P2956)</f>
        <v>0</v>
      </c>
      <c r="S2956" s="728"/>
      <c r="T2956" s="68">
        <f>T1527/1.18-T2242*'Mark Up Validation'!$S$105</f>
        <v>0</v>
      </c>
      <c r="U2956" s="728"/>
      <c r="V2956" s="68">
        <f>V1527/1.18-V2242*'Mark Up Validation'!$S$105</f>
        <v>0</v>
      </c>
      <c r="W2956" s="728"/>
      <c r="X2956" s="68">
        <f>X1527/1.18-X2242*'Mark Up Validation'!$S$105</f>
        <v>0</v>
      </c>
      <c r="Y2956" s="728"/>
      <c r="Z2956" s="68">
        <f>Z1527/1.18-Z2242*'Mark Up Validation'!$S$105</f>
        <v>0</v>
      </c>
      <c r="AA2956" s="728"/>
      <c r="AB2956" s="68">
        <f>AB1527/1.18-AB2242*'Mark Up Validation'!$S$105</f>
        <v>0</v>
      </c>
      <c r="AC2956" s="728"/>
      <c r="AD2956" s="68">
        <f>AD1527/1.18-AD2242*'Mark Up Validation'!$S$105</f>
        <v>0</v>
      </c>
      <c r="AE2956" s="728"/>
      <c r="AF2956" s="132">
        <f>SUM(T2956,V2956,X2956,Z2956,AB2956,AD2956)</f>
        <v>0</v>
      </c>
      <c r="AG2956" s="728"/>
      <c r="AH2956" s="133">
        <f>SUM(AF2956,R2956)</f>
        <v>0</v>
      </c>
      <c r="AI2956" s="728"/>
      <c r="AJ2956" s="65"/>
      <c r="AV2956" s="56"/>
    </row>
    <row r="2957" spans="1:48" ht="13.5" customHeight="1" outlineLevel="2" thickBot="1">
      <c r="A2957" s="73"/>
      <c r="B2957" s="82"/>
      <c r="C2957" s="1235"/>
      <c r="D2957" s="1235"/>
      <c r="E2957" s="85">
        <f>'Terms and Turnovers'!$AX$12</f>
        <v>0</v>
      </c>
      <c r="F2957" s="68">
        <f>F1528/1.18-F2243*'Mark Up Validation'!$M$105</f>
        <v>0</v>
      </c>
      <c r="G2957" s="106"/>
      <c r="H2957" s="68">
        <f>H1528/1.18-H2243*'Mark Up Validation'!$M$105</f>
        <v>0</v>
      </c>
      <c r="I2957" s="106"/>
      <c r="J2957" s="68">
        <f>J1528/1.18-J2243*'Mark Up Validation'!$M$105</f>
        <v>0</v>
      </c>
      <c r="K2957" s="106"/>
      <c r="L2957" s="68">
        <f>L1528/1.18-L2243*'Mark Up Validation'!$M$105</f>
        <v>0</v>
      </c>
      <c r="M2957" s="106"/>
      <c r="N2957" s="68">
        <f>N1528/1.18-N2243*'Mark Up Validation'!$M$105</f>
        <v>0</v>
      </c>
      <c r="O2957" s="106"/>
      <c r="P2957" s="68">
        <f>P1528/1.18-P2243*'Mark Up Validation'!$M$105</f>
        <v>0</v>
      </c>
      <c r="Q2957" s="107"/>
      <c r="R2957" s="135">
        <f>SUM(F2957,H2957,J2957,L2957,N2957,P2957)</f>
        <v>0</v>
      </c>
      <c r="S2957" s="107"/>
      <c r="T2957" s="68">
        <f>T1528/1.18-T2243*'Mark Up Validation'!$S$105</f>
        <v>0</v>
      </c>
      <c r="U2957" s="107"/>
      <c r="V2957" s="68">
        <f>V1528/1.18-V2243*'Mark Up Validation'!$S$105</f>
        <v>0</v>
      </c>
      <c r="W2957" s="107"/>
      <c r="X2957" s="68">
        <f>X1528/1.18-X2243*'Mark Up Validation'!$S$105</f>
        <v>0</v>
      </c>
      <c r="Y2957" s="107"/>
      <c r="Z2957" s="68">
        <f>Z1528/1.18-Z2243*'Mark Up Validation'!$S$105</f>
        <v>0</v>
      </c>
      <c r="AA2957" s="107"/>
      <c r="AB2957" s="68">
        <f>AB1528/1.18-AB2243*'Mark Up Validation'!$S$105</f>
        <v>0</v>
      </c>
      <c r="AC2957" s="107"/>
      <c r="AD2957" s="68">
        <f>AD1528/1.18-AD2243*'Mark Up Validation'!$S$105</f>
        <v>0</v>
      </c>
      <c r="AE2957" s="107"/>
      <c r="AF2957" s="135">
        <f>SUM(T2957,V2957,X2957,Z2957,AB2957,AD2957)</f>
        <v>0</v>
      </c>
      <c r="AG2957" s="107"/>
      <c r="AH2957" s="136">
        <f>SUM(AF2957,R2957)</f>
        <v>0</v>
      </c>
      <c r="AI2957" s="107"/>
      <c r="AJ2957" s="65"/>
      <c r="AV2957" s="56"/>
    </row>
    <row r="2958" spans="1:48" ht="13.5" customHeight="1" outlineLevel="2">
      <c r="A2958" s="73"/>
      <c r="B2958" s="82"/>
      <c r="C2958" s="425"/>
      <c r="D2958" s="425"/>
      <c r="E2958" s="634"/>
      <c r="F2958" s="635"/>
      <c r="G2958" s="428"/>
      <c r="H2958" s="635"/>
      <c r="I2958" s="428"/>
      <c r="J2958" s="635"/>
      <c r="K2958" s="636"/>
      <c r="L2958" s="635"/>
      <c r="M2958" s="636"/>
      <c r="N2958" s="635"/>
      <c r="O2958" s="636"/>
      <c r="P2958" s="635"/>
      <c r="Q2958" s="636"/>
      <c r="R2958" s="637"/>
      <c r="S2958" s="698">
        <f>SUM(R2238:R2242)/1.18-(SUM(R2953:R2957)*'Mark Up Validation'!$M$105)</f>
        <v>0</v>
      </c>
      <c r="T2958" s="635"/>
      <c r="U2958" s="636"/>
      <c r="V2958" s="635"/>
      <c r="W2958" s="636"/>
      <c r="X2958" s="635"/>
      <c r="Y2958" s="636"/>
      <c r="Z2958" s="635"/>
      <c r="AA2958" s="636"/>
      <c r="AB2958" s="635"/>
      <c r="AC2958" s="636"/>
      <c r="AD2958" s="635"/>
      <c r="AE2958" s="636"/>
      <c r="AF2958" s="637"/>
      <c r="AG2958" s="698">
        <f>SUM(AF2238:AF2242)/1.18-SUM(AF2953:AF2957)*'Mark Up Validation'!$M$175</f>
        <v>0</v>
      </c>
      <c r="AH2958" s="638"/>
      <c r="AI2958" s="698">
        <f>SUM(AH2238:AH2242)/1.18-SUM(AH2953:AH2957)*'Mark Up Validation'!$M$175</f>
        <v>0</v>
      </c>
      <c r="AJ2958" s="65"/>
      <c r="AV2958" s="56"/>
    </row>
    <row r="2959" spans="1:48" ht="13.5" customHeight="1" outlineLevel="2" thickBot="1">
      <c r="A2959" s="119"/>
      <c r="B2959" s="82"/>
      <c r="C2959" s="1228" t="s">
        <v>539</v>
      </c>
      <c r="D2959" s="1229"/>
      <c r="E2959" s="699"/>
      <c r="F2959" s="700">
        <f>SUM(F2953:F2957)</f>
        <v>0</v>
      </c>
      <c r="G2959" s="701"/>
      <c r="H2959" s="700">
        <f>SUM(H2953:H2957)</f>
        <v>0</v>
      </c>
      <c r="I2959" s="701"/>
      <c r="J2959" s="700">
        <f>SUM(J2953:J2957)</f>
        <v>0</v>
      </c>
      <c r="K2959" s="702"/>
      <c r="L2959" s="700">
        <f>SUM(L2953:L2957)</f>
        <v>0</v>
      </c>
      <c r="M2959" s="702"/>
      <c r="N2959" s="700">
        <f>SUM(N2953:N2957)</f>
        <v>0</v>
      </c>
      <c r="O2959" s="702"/>
      <c r="P2959" s="700">
        <f>SUM(P2953:P2957)</f>
        <v>0</v>
      </c>
      <c r="Q2959" s="702"/>
      <c r="R2959" s="703"/>
      <c r="S2959" s="729">
        <f>IF(S2958&gt;0,S2958/(SUM(R2238:R2242)/1.18),0)</f>
        <v>0</v>
      </c>
      <c r="T2959" s="700">
        <f>SUM(T2953:T2957)</f>
        <v>0</v>
      </c>
      <c r="U2959" s="702"/>
      <c r="V2959" s="700">
        <f>SUM(V2953:V2957)</f>
        <v>0</v>
      </c>
      <c r="W2959" s="702"/>
      <c r="X2959" s="700">
        <f>SUM(X2953:X2957)</f>
        <v>0</v>
      </c>
      <c r="Y2959" s="702"/>
      <c r="Z2959" s="700">
        <f>SUM(Z2953:Z2957)</f>
        <v>0</v>
      </c>
      <c r="AA2959" s="702"/>
      <c r="AB2959" s="700">
        <f>SUM(AB2953:AB2957)</f>
        <v>0</v>
      </c>
      <c r="AC2959" s="702"/>
      <c r="AD2959" s="700">
        <f>SUM(AD2953:AD2957)</f>
        <v>0</v>
      </c>
      <c r="AE2959" s="702"/>
      <c r="AF2959" s="705"/>
      <c r="AG2959" s="729">
        <f>IF(AG2958&gt;0,AG2958/(SUM(AF2238:AF2242)/1.18),0)</f>
        <v>0</v>
      </c>
      <c r="AH2959" s="706"/>
      <c r="AI2959" s="729">
        <f>IF(AI2958&gt;0,AI2958/(SUM(AH2238:AH2242)/1.18),0)</f>
        <v>0</v>
      </c>
      <c r="AJ2959" s="707"/>
      <c r="AV2959" s="56"/>
    </row>
    <row r="2960" spans="1:48" ht="12.75" customHeight="1" outlineLevel="2" thickBot="1">
      <c r="A2960" s="73"/>
      <c r="B2960" s="82">
        <f>B2953+1</f>
        <v>12</v>
      </c>
      <c r="C2960" s="1233">
        <f>C90</f>
        <v>0</v>
      </c>
      <c r="D2960" s="1233">
        <f>D90</f>
        <v>0</v>
      </c>
      <c r="E2960" s="83" t="str">
        <f>'Terms and Turnovers'!$J$12</f>
        <v>FLIP-FLOPS</v>
      </c>
      <c r="F2960" s="68">
        <f>F1531/1.18-F2246*'Mark Up Validation'!$M$105</f>
        <v>0</v>
      </c>
      <c r="G2960" s="106"/>
      <c r="H2960" s="68">
        <f>H1531/1.18-H2246*'Mark Up Validation'!$M$105</f>
        <v>0</v>
      </c>
      <c r="I2960" s="106"/>
      <c r="J2960" s="68">
        <f>J1531/1.18-J2246*'Mark Up Validation'!$M$105</f>
        <v>0</v>
      </c>
      <c r="K2960" s="106"/>
      <c r="L2960" s="68">
        <f>L1531/1.18-L2246*'Mark Up Validation'!$M$105</f>
        <v>0</v>
      </c>
      <c r="M2960" s="106"/>
      <c r="N2960" s="68">
        <f>N1531/1.18-N2246*'Mark Up Validation'!$M$105</f>
        <v>0</v>
      </c>
      <c r="O2960" s="106"/>
      <c r="P2960" s="68">
        <f>P1531/1.18-P2246*'Mark Up Validation'!$M$105</f>
        <v>0</v>
      </c>
      <c r="Q2960" s="106"/>
      <c r="R2960" s="129">
        <f>SUM(F2960,H2960,J2960,L2960,N2960,P2960)</f>
        <v>0</v>
      </c>
      <c r="S2960" s="106"/>
      <c r="T2960" s="68">
        <f>T1531/1.18-T2246*'Mark Up Validation'!$S$105</f>
        <v>0</v>
      </c>
      <c r="U2960" s="106"/>
      <c r="V2960" s="68">
        <f>V1531/1.18-V2246*'Mark Up Validation'!$S$105</f>
        <v>0</v>
      </c>
      <c r="W2960" s="106"/>
      <c r="X2960" s="68">
        <f>X1531/1.18-X2246*'Mark Up Validation'!$S$105</f>
        <v>0</v>
      </c>
      <c r="Y2960" s="106"/>
      <c r="Z2960" s="68">
        <f>Z1531/1.18-Z2246*'Mark Up Validation'!$S$105</f>
        <v>0</v>
      </c>
      <c r="AA2960" s="106"/>
      <c r="AB2960" s="68">
        <f>AB1531/1.18-AB2246*'Mark Up Validation'!$S$105</f>
        <v>0</v>
      </c>
      <c r="AC2960" s="106"/>
      <c r="AD2960" s="68">
        <f>AD1531/1.18-AD2246*'Mark Up Validation'!$S$105</f>
        <v>0</v>
      </c>
      <c r="AE2960" s="106"/>
      <c r="AF2960" s="129">
        <f>SUM(T2960,V2960,X2960,Z2960,AB2960,AD2960)</f>
        <v>0</v>
      </c>
      <c r="AG2960" s="106"/>
      <c r="AH2960" s="130">
        <f>SUM(AF2960,R2960)</f>
        <v>0</v>
      </c>
      <c r="AI2960" s="106"/>
      <c r="AJ2960" s="65"/>
      <c r="AV2960" s="56"/>
    </row>
    <row r="2961" spans="1:48" ht="12" customHeight="1" outlineLevel="2" thickBot="1">
      <c r="B2961" s="82"/>
      <c r="C2961" s="1234"/>
      <c r="D2961" s="1234"/>
      <c r="E2961" s="84" t="str">
        <f>'Terms and Turnovers'!$T$12</f>
        <v>ORIGINALS</v>
      </c>
      <c r="F2961" s="68">
        <f>F1532/1.18-F2247*'Mark Up Validation'!$M$105</f>
        <v>0</v>
      </c>
      <c r="G2961" s="728"/>
      <c r="H2961" s="68">
        <f>H1532/1.18-H2247*'Mark Up Validation'!$M$105</f>
        <v>0</v>
      </c>
      <c r="I2961" s="728"/>
      <c r="J2961" s="68">
        <f>J1532/1.18-J2247*'Mark Up Validation'!$M$105</f>
        <v>0</v>
      </c>
      <c r="K2961" s="728"/>
      <c r="L2961" s="68">
        <f>L1532/1.18-L2247*'Mark Up Validation'!$M$105</f>
        <v>0</v>
      </c>
      <c r="M2961" s="728"/>
      <c r="N2961" s="68">
        <f>N1532/1.18-N2247*'Mark Up Validation'!$M$105</f>
        <v>0</v>
      </c>
      <c r="O2961" s="728"/>
      <c r="P2961" s="68">
        <f>P1532/1.18-P2247*'Mark Up Validation'!$M$105</f>
        <v>0</v>
      </c>
      <c r="Q2961" s="728"/>
      <c r="R2961" s="132">
        <f>SUM(F2961,H2961,J2961,L2961,N2961,P2961)</f>
        <v>0</v>
      </c>
      <c r="S2961" s="728"/>
      <c r="T2961" s="68">
        <f>T1532/1.18-T2247*'Mark Up Validation'!$S$105</f>
        <v>0</v>
      </c>
      <c r="U2961" s="728"/>
      <c r="V2961" s="68">
        <f>V1532/1.18-V2247*'Mark Up Validation'!$S$105</f>
        <v>0</v>
      </c>
      <c r="W2961" s="728"/>
      <c r="X2961" s="68">
        <f>X1532/1.18-X2247*'Mark Up Validation'!$S$105</f>
        <v>0</v>
      </c>
      <c r="Y2961" s="728"/>
      <c r="Z2961" s="68">
        <f>Z1532/1.18-Z2247*'Mark Up Validation'!$S$105</f>
        <v>0</v>
      </c>
      <c r="AA2961" s="728"/>
      <c r="AB2961" s="68">
        <f>AB1532/1.18-AB2247*'Mark Up Validation'!$S$105</f>
        <v>0</v>
      </c>
      <c r="AC2961" s="728"/>
      <c r="AD2961" s="68">
        <f>AD1532/1.18-AD2247*'Mark Up Validation'!$S$105</f>
        <v>0</v>
      </c>
      <c r="AE2961" s="728"/>
      <c r="AF2961" s="132">
        <f>SUM(T2961,V2961,X2961,Z2961,AB2961,AD2961)</f>
        <v>0</v>
      </c>
      <c r="AG2961" s="728"/>
      <c r="AH2961" s="133">
        <f>SUM(AF2961,R2961)</f>
        <v>0</v>
      </c>
      <c r="AI2961" s="728"/>
      <c r="AJ2961" s="65"/>
      <c r="AV2961" s="56"/>
    </row>
    <row r="2962" spans="1:48" ht="12.75" customHeight="1" outlineLevel="2" thickBot="1">
      <c r="B2962" s="82"/>
      <c r="C2962" s="1234"/>
      <c r="D2962" s="1234"/>
      <c r="E2962" s="84" t="str">
        <f>'Terms and Turnovers'!$AD$12</f>
        <v>ACCESSORIES</v>
      </c>
      <c r="F2962" s="68">
        <f>F1533/1.18-F2248*'Mark Up Validation'!$M$105</f>
        <v>0</v>
      </c>
      <c r="G2962" s="106"/>
      <c r="H2962" s="68">
        <f>H1533/1.18-H2248*'Mark Up Validation'!$M$105</f>
        <v>0</v>
      </c>
      <c r="I2962" s="106"/>
      <c r="J2962" s="68">
        <f>J1533/1.18-J2248*'Mark Up Validation'!$M$105</f>
        <v>0</v>
      </c>
      <c r="K2962" s="106"/>
      <c r="L2962" s="68">
        <f>L1533/1.18-L2248*'Mark Up Validation'!$M$105</f>
        <v>0</v>
      </c>
      <c r="M2962" s="106"/>
      <c r="N2962" s="68">
        <f>N1533/1.18-N2248*'Mark Up Validation'!$M$105</f>
        <v>0</v>
      </c>
      <c r="O2962" s="106"/>
      <c r="P2962" s="68">
        <f>P1533/1.18-P2248*'Mark Up Validation'!$M$105</f>
        <v>0</v>
      </c>
      <c r="Q2962" s="728"/>
      <c r="R2962" s="132">
        <f>SUM(F2962,H2962,J2962,L2962,N2962,P2962)</f>
        <v>0</v>
      </c>
      <c r="S2962" s="728"/>
      <c r="T2962" s="68">
        <f>T1533/1.18-T2248*'Mark Up Validation'!$S$105</f>
        <v>0</v>
      </c>
      <c r="U2962" s="728"/>
      <c r="V2962" s="68">
        <f>V1533/1.18-V2248*'Mark Up Validation'!$S$105</f>
        <v>0</v>
      </c>
      <c r="W2962" s="728"/>
      <c r="X2962" s="68">
        <f>X1533/1.18-X2248*'Mark Up Validation'!$S$105</f>
        <v>0</v>
      </c>
      <c r="Y2962" s="728"/>
      <c r="Z2962" s="68">
        <f>Z1533/1.18-Z2248*'Mark Up Validation'!$S$105</f>
        <v>0</v>
      </c>
      <c r="AA2962" s="728"/>
      <c r="AB2962" s="68">
        <f>AB1533/1.18-AB2248*'Mark Up Validation'!$S$105</f>
        <v>0</v>
      </c>
      <c r="AC2962" s="728"/>
      <c r="AD2962" s="68">
        <f>AD1533/1.18-AD2248*'Mark Up Validation'!$S$105</f>
        <v>0</v>
      </c>
      <c r="AE2962" s="728"/>
      <c r="AF2962" s="132">
        <f>SUM(T2962,V2962,X2962,Z2962,AB2962,AD2962)</f>
        <v>0</v>
      </c>
      <c r="AG2962" s="728"/>
      <c r="AH2962" s="133">
        <f>SUM(AF2962,R2962)</f>
        <v>0</v>
      </c>
      <c r="AI2962" s="728"/>
      <c r="AJ2962" s="65"/>
      <c r="AV2962" s="56"/>
    </row>
    <row r="2963" spans="1:48" ht="12.75" customHeight="1" outlineLevel="2" thickBot="1">
      <c r="B2963" s="82"/>
      <c r="C2963" s="1234"/>
      <c r="D2963" s="1234"/>
      <c r="E2963" s="84">
        <f>'Terms and Turnovers'!$AN$12</f>
        <v>0</v>
      </c>
      <c r="F2963" s="68">
        <f>F1534/1.18-F2249*'Mark Up Validation'!$M$105</f>
        <v>0</v>
      </c>
      <c r="G2963" s="728"/>
      <c r="H2963" s="68">
        <f>H1534/1.18-H2249*'Mark Up Validation'!$M$105</f>
        <v>0</v>
      </c>
      <c r="I2963" s="728"/>
      <c r="J2963" s="68">
        <f>J1534/1.18-J2249*'Mark Up Validation'!$M$105</f>
        <v>0</v>
      </c>
      <c r="K2963" s="728"/>
      <c r="L2963" s="68">
        <f>L1534/1.18-L2249*'Mark Up Validation'!$M$105</f>
        <v>0</v>
      </c>
      <c r="M2963" s="728"/>
      <c r="N2963" s="68">
        <f>N1534/1.18-N2249*'Mark Up Validation'!$M$105</f>
        <v>0</v>
      </c>
      <c r="O2963" s="728"/>
      <c r="P2963" s="68">
        <f>P1534/1.18-P2249*'Mark Up Validation'!$M$105</f>
        <v>0</v>
      </c>
      <c r="Q2963" s="728"/>
      <c r="R2963" s="132">
        <f>SUM(F2963,H2963,J2963,L2963,N2963,P2963)</f>
        <v>0</v>
      </c>
      <c r="S2963" s="728"/>
      <c r="T2963" s="68">
        <f>T1534/1.18-T2249*'Mark Up Validation'!$S$105</f>
        <v>0</v>
      </c>
      <c r="U2963" s="728"/>
      <c r="V2963" s="68">
        <f>V1534/1.18-V2249*'Mark Up Validation'!$S$105</f>
        <v>0</v>
      </c>
      <c r="W2963" s="728"/>
      <c r="X2963" s="68">
        <f>X1534/1.18-X2249*'Mark Up Validation'!$S$105</f>
        <v>0</v>
      </c>
      <c r="Y2963" s="728"/>
      <c r="Z2963" s="68">
        <f>Z1534/1.18-Z2249*'Mark Up Validation'!$S$105</f>
        <v>0</v>
      </c>
      <c r="AA2963" s="728"/>
      <c r="AB2963" s="68">
        <f>AB1534/1.18-AB2249*'Mark Up Validation'!$S$105</f>
        <v>0</v>
      </c>
      <c r="AC2963" s="728"/>
      <c r="AD2963" s="68">
        <f>AD1534/1.18-AD2249*'Mark Up Validation'!$S$105</f>
        <v>0</v>
      </c>
      <c r="AE2963" s="728"/>
      <c r="AF2963" s="132">
        <f>SUM(T2963,V2963,X2963,Z2963,AB2963,AD2963)</f>
        <v>0</v>
      </c>
      <c r="AG2963" s="728"/>
      <c r="AH2963" s="133">
        <f>SUM(AF2963,R2963)</f>
        <v>0</v>
      </c>
      <c r="AI2963" s="728"/>
      <c r="AJ2963" s="65"/>
      <c r="AV2963" s="56"/>
    </row>
    <row r="2964" spans="1:48" ht="13.5" customHeight="1" outlineLevel="2" thickBot="1">
      <c r="B2964" s="82"/>
      <c r="C2964" s="1235"/>
      <c r="D2964" s="1235"/>
      <c r="E2964" s="85">
        <f>'Terms and Turnovers'!$AX$12</f>
        <v>0</v>
      </c>
      <c r="F2964" s="68">
        <f>F1535/1.18-F2250*'Mark Up Validation'!$M$105</f>
        <v>0</v>
      </c>
      <c r="G2964" s="106"/>
      <c r="H2964" s="68">
        <f>H1535/1.18-H2250*'Mark Up Validation'!$M$105</f>
        <v>0</v>
      </c>
      <c r="I2964" s="106"/>
      <c r="J2964" s="68">
        <f>J1535/1.18-J2250*'Mark Up Validation'!$M$105</f>
        <v>0</v>
      </c>
      <c r="K2964" s="106"/>
      <c r="L2964" s="68">
        <f>L1535/1.18-L2250*'Mark Up Validation'!$M$105</f>
        <v>0</v>
      </c>
      <c r="M2964" s="106"/>
      <c r="N2964" s="68">
        <f>N1535/1.18-N2250*'Mark Up Validation'!$M$105</f>
        <v>0</v>
      </c>
      <c r="O2964" s="106"/>
      <c r="P2964" s="68">
        <f>P1535/1.18-P2250*'Mark Up Validation'!$M$105</f>
        <v>0</v>
      </c>
      <c r="Q2964" s="107"/>
      <c r="R2964" s="135">
        <f>SUM(F2964,H2964,J2964,L2964,N2964,P2964)</f>
        <v>0</v>
      </c>
      <c r="S2964" s="107"/>
      <c r="T2964" s="68">
        <f>T1535/1.18-T2250*'Mark Up Validation'!$S$105</f>
        <v>0</v>
      </c>
      <c r="U2964" s="107"/>
      <c r="V2964" s="68">
        <f>V1535/1.18-V2250*'Mark Up Validation'!$S$105</f>
        <v>0</v>
      </c>
      <c r="W2964" s="107"/>
      <c r="X2964" s="68">
        <f>X1535/1.18-X2250*'Mark Up Validation'!$S$105</f>
        <v>0</v>
      </c>
      <c r="Y2964" s="107"/>
      <c r="Z2964" s="68">
        <f>Z1535/1.18-Z2250*'Mark Up Validation'!$S$105</f>
        <v>0</v>
      </c>
      <c r="AA2964" s="107"/>
      <c r="AB2964" s="68">
        <f>AB1535/1.18-AB2250*'Mark Up Validation'!$S$105</f>
        <v>0</v>
      </c>
      <c r="AC2964" s="107"/>
      <c r="AD2964" s="68">
        <f>AD1535/1.18-AD2250*'Mark Up Validation'!$S$105</f>
        <v>0</v>
      </c>
      <c r="AE2964" s="107"/>
      <c r="AF2964" s="135">
        <f>SUM(T2964,V2964,X2964,Z2964,AB2964,AD2964)</f>
        <v>0</v>
      </c>
      <c r="AG2964" s="107"/>
      <c r="AH2964" s="136">
        <f>SUM(AF2964,R2964)</f>
        <v>0</v>
      </c>
      <c r="AI2964" s="107"/>
      <c r="AJ2964" s="65"/>
      <c r="AV2964" s="56"/>
    </row>
    <row r="2965" spans="1:48" ht="13.5" customHeight="1" outlineLevel="2">
      <c r="B2965" s="82"/>
      <c r="C2965" s="425"/>
      <c r="D2965" s="425"/>
      <c r="E2965" s="634"/>
      <c r="F2965" s="635"/>
      <c r="G2965" s="428"/>
      <c r="H2965" s="635"/>
      <c r="I2965" s="428"/>
      <c r="J2965" s="635"/>
      <c r="K2965" s="636"/>
      <c r="L2965" s="635"/>
      <c r="M2965" s="636"/>
      <c r="N2965" s="635"/>
      <c r="O2965" s="636"/>
      <c r="P2965" s="635"/>
      <c r="Q2965" s="636"/>
      <c r="R2965" s="637"/>
      <c r="S2965" s="698">
        <f>SUM(R2245:R2249)/1.18-(SUM(R2960:R2964)*'Mark Up Validation'!$M$105)</f>
        <v>0</v>
      </c>
      <c r="T2965" s="635"/>
      <c r="U2965" s="636"/>
      <c r="V2965" s="635"/>
      <c r="W2965" s="636"/>
      <c r="X2965" s="635"/>
      <c r="Y2965" s="636"/>
      <c r="Z2965" s="635"/>
      <c r="AA2965" s="636"/>
      <c r="AB2965" s="635"/>
      <c r="AC2965" s="636"/>
      <c r="AD2965" s="635"/>
      <c r="AE2965" s="636"/>
      <c r="AF2965" s="637"/>
      <c r="AG2965" s="698">
        <f>SUM(AF2245:AF2249)/1.18-SUM(AF2960:AF2964)*'Mark Up Validation'!$M$175</f>
        <v>0</v>
      </c>
      <c r="AH2965" s="638"/>
      <c r="AI2965" s="698">
        <f>SUM(AH2245:AH2249)/1.18-SUM(AH2960:AH2964)*'Mark Up Validation'!$M$175</f>
        <v>0</v>
      </c>
      <c r="AJ2965" s="65"/>
      <c r="AV2965" s="56"/>
    </row>
    <row r="2966" spans="1:48" ht="13.5" customHeight="1" outlineLevel="2" thickBot="1">
      <c r="A2966" s="119"/>
      <c r="B2966" s="82"/>
      <c r="C2966" s="1228" t="s">
        <v>539</v>
      </c>
      <c r="D2966" s="1229"/>
      <c r="E2966" s="699"/>
      <c r="F2966" s="700">
        <f>SUM(F2960:F2964)</f>
        <v>0</v>
      </c>
      <c r="G2966" s="701"/>
      <c r="H2966" s="700">
        <f>SUM(H2960:H2964)</f>
        <v>0</v>
      </c>
      <c r="I2966" s="701"/>
      <c r="J2966" s="700">
        <f>SUM(J2960:J2964)</f>
        <v>0</v>
      </c>
      <c r="K2966" s="702"/>
      <c r="L2966" s="700">
        <f>SUM(L2960:L2964)</f>
        <v>0</v>
      </c>
      <c r="M2966" s="702"/>
      <c r="N2966" s="700">
        <f>SUM(N2960:N2964)</f>
        <v>0</v>
      </c>
      <c r="O2966" s="702"/>
      <c r="P2966" s="700">
        <f>SUM(P2960:P2964)</f>
        <v>0</v>
      </c>
      <c r="Q2966" s="702"/>
      <c r="R2966" s="703"/>
      <c r="S2966" s="729">
        <f>IF(S2965&gt;0,S2965/(SUM(R2245:R2249)/1.18),0)</f>
        <v>0</v>
      </c>
      <c r="T2966" s="700">
        <f>SUM(T2960:T2964)</f>
        <v>0</v>
      </c>
      <c r="U2966" s="702"/>
      <c r="V2966" s="700">
        <f>SUM(V2960:V2964)</f>
        <v>0</v>
      </c>
      <c r="W2966" s="702"/>
      <c r="X2966" s="700">
        <f>SUM(X2960:X2964)</f>
        <v>0</v>
      </c>
      <c r="Y2966" s="702"/>
      <c r="Z2966" s="700">
        <f>SUM(Z2960:Z2964)</f>
        <v>0</v>
      </c>
      <c r="AA2966" s="702"/>
      <c r="AB2966" s="700">
        <f>SUM(AB2960:AB2964)</f>
        <v>0</v>
      </c>
      <c r="AC2966" s="702"/>
      <c r="AD2966" s="700">
        <f>SUM(AD2960:AD2964)</f>
        <v>0</v>
      </c>
      <c r="AE2966" s="702"/>
      <c r="AF2966" s="705"/>
      <c r="AG2966" s="729">
        <f>IF(AG2965&gt;0,AG2965/(SUM(AF2245:AF2249)/1.18),0)</f>
        <v>0</v>
      </c>
      <c r="AH2966" s="706"/>
      <c r="AI2966" s="729">
        <f>IF(AI2965&gt;0,AI2965/(SUM(AH2245:AH2249)/1.18),0)</f>
        <v>0</v>
      </c>
      <c r="AJ2966" s="707"/>
      <c r="AV2966" s="56"/>
    </row>
    <row r="2967" spans="1:48" ht="12.75" customHeight="1" outlineLevel="2" thickBot="1">
      <c r="B2967" s="82">
        <f>B2960+1</f>
        <v>13</v>
      </c>
      <c r="C2967" s="1233">
        <f>C97</f>
        <v>0</v>
      </c>
      <c r="D2967" s="1233">
        <f>D97</f>
        <v>0</v>
      </c>
      <c r="E2967" s="83" t="str">
        <f>'Terms and Turnovers'!$J$12</f>
        <v>FLIP-FLOPS</v>
      </c>
      <c r="F2967" s="68">
        <f>F1538/1.18-F2253*'Mark Up Validation'!$M$105</f>
        <v>0</v>
      </c>
      <c r="G2967" s="106"/>
      <c r="H2967" s="68">
        <f>H1538/1.18-H2253*'Mark Up Validation'!$M$105</f>
        <v>0</v>
      </c>
      <c r="I2967" s="106"/>
      <c r="J2967" s="68">
        <f>J1538/1.18-J2253*'Mark Up Validation'!$M$105</f>
        <v>0</v>
      </c>
      <c r="K2967" s="106"/>
      <c r="L2967" s="68">
        <f>L1538/1.18-L2253*'Mark Up Validation'!$M$105</f>
        <v>0</v>
      </c>
      <c r="M2967" s="106"/>
      <c r="N2967" s="68">
        <f>N1538/1.18-N2253*'Mark Up Validation'!$M$105</f>
        <v>0</v>
      </c>
      <c r="O2967" s="106"/>
      <c r="P2967" s="68">
        <f>P1538/1.18-P2253*'Mark Up Validation'!$M$105</f>
        <v>0</v>
      </c>
      <c r="Q2967" s="106"/>
      <c r="R2967" s="129">
        <f>SUM(F2967,H2967,J2967,L2967,N2967,P2967)</f>
        <v>0</v>
      </c>
      <c r="S2967" s="106"/>
      <c r="T2967" s="68">
        <f>T1538/1.18-T2253*'Mark Up Validation'!$S$105</f>
        <v>0</v>
      </c>
      <c r="U2967" s="106"/>
      <c r="V2967" s="68">
        <f>V1538/1.18-V2253*'Mark Up Validation'!$S$105</f>
        <v>0</v>
      </c>
      <c r="W2967" s="106"/>
      <c r="X2967" s="68">
        <f>X1538/1.18-X2253*'Mark Up Validation'!$S$105</f>
        <v>0</v>
      </c>
      <c r="Y2967" s="106"/>
      <c r="Z2967" s="68">
        <f>Z1538/1.18-Z2253*'Mark Up Validation'!$S$105</f>
        <v>0</v>
      </c>
      <c r="AA2967" s="106"/>
      <c r="AB2967" s="68">
        <f>AB1538/1.18-AB2253*'Mark Up Validation'!$S$105</f>
        <v>0</v>
      </c>
      <c r="AC2967" s="106"/>
      <c r="AD2967" s="68">
        <f>AD1538/1.18-AD2253*'Mark Up Validation'!$S$105</f>
        <v>0</v>
      </c>
      <c r="AE2967" s="106"/>
      <c r="AF2967" s="129">
        <f>SUM(T2967,V2967,X2967,Z2967,AB2967,AD2967)</f>
        <v>0</v>
      </c>
      <c r="AG2967" s="106"/>
      <c r="AH2967" s="130">
        <f>SUM(AF2967,R2967)</f>
        <v>0</v>
      </c>
      <c r="AI2967" s="106"/>
      <c r="AJ2967" s="65"/>
      <c r="AV2967" s="56"/>
    </row>
    <row r="2968" spans="1:48" ht="12.75" customHeight="1" outlineLevel="2" thickBot="1">
      <c r="B2968" s="82"/>
      <c r="C2968" s="1234"/>
      <c r="D2968" s="1234"/>
      <c r="E2968" s="84" t="str">
        <f>'Terms and Turnovers'!$T$12</f>
        <v>ORIGINALS</v>
      </c>
      <c r="F2968" s="68">
        <f>F1539/1.18-F2254*'Mark Up Validation'!$M$105</f>
        <v>0</v>
      </c>
      <c r="G2968" s="728"/>
      <c r="H2968" s="68">
        <f>H1539/1.18-H2254*'Mark Up Validation'!$M$105</f>
        <v>0</v>
      </c>
      <c r="I2968" s="728"/>
      <c r="J2968" s="68">
        <f>J1539/1.18-J2254*'Mark Up Validation'!$M$105</f>
        <v>0</v>
      </c>
      <c r="K2968" s="728"/>
      <c r="L2968" s="68">
        <f>L1539/1.18-L2254*'Mark Up Validation'!$M$105</f>
        <v>0</v>
      </c>
      <c r="M2968" s="728"/>
      <c r="N2968" s="68">
        <f>N1539/1.18-N2254*'Mark Up Validation'!$M$105</f>
        <v>0</v>
      </c>
      <c r="O2968" s="728"/>
      <c r="P2968" s="68">
        <f>P1539/1.18-P2254*'Mark Up Validation'!$M$105</f>
        <v>0</v>
      </c>
      <c r="Q2968" s="728"/>
      <c r="R2968" s="132">
        <f>SUM(F2968,H2968,J2968,L2968,N2968,P2968)</f>
        <v>0</v>
      </c>
      <c r="S2968" s="728"/>
      <c r="T2968" s="68">
        <f>T1539/1.18-T2254*'Mark Up Validation'!$S$105</f>
        <v>0</v>
      </c>
      <c r="U2968" s="728"/>
      <c r="V2968" s="68">
        <f>V1539/1.18-V2254*'Mark Up Validation'!$S$105</f>
        <v>0</v>
      </c>
      <c r="W2968" s="728"/>
      <c r="X2968" s="68">
        <f>X1539/1.18-X2254*'Mark Up Validation'!$S$105</f>
        <v>0</v>
      </c>
      <c r="Y2968" s="728"/>
      <c r="Z2968" s="68">
        <f>Z1539/1.18-Z2254*'Mark Up Validation'!$S$105</f>
        <v>0</v>
      </c>
      <c r="AA2968" s="728"/>
      <c r="AB2968" s="68">
        <f>AB1539/1.18-AB2254*'Mark Up Validation'!$S$105</f>
        <v>0</v>
      </c>
      <c r="AC2968" s="728"/>
      <c r="AD2968" s="68">
        <f>AD1539/1.18-AD2254*'Mark Up Validation'!$S$105</f>
        <v>0</v>
      </c>
      <c r="AE2968" s="728"/>
      <c r="AF2968" s="132">
        <f>SUM(T2968,V2968,X2968,Z2968,AB2968,AD2968)</f>
        <v>0</v>
      </c>
      <c r="AG2968" s="728"/>
      <c r="AH2968" s="133">
        <f>SUM(AF2968,R2968)</f>
        <v>0</v>
      </c>
      <c r="AI2968" s="728"/>
      <c r="AJ2968" s="65"/>
      <c r="AV2968" s="56"/>
    </row>
    <row r="2969" spans="1:48" ht="12.75" customHeight="1" outlineLevel="2" thickBot="1">
      <c r="B2969" s="82"/>
      <c r="C2969" s="1234"/>
      <c r="D2969" s="1234"/>
      <c r="E2969" s="84" t="str">
        <f>'Terms and Turnovers'!$AD$12</f>
        <v>ACCESSORIES</v>
      </c>
      <c r="F2969" s="68">
        <f>F1540/1.18-F2255*'Mark Up Validation'!$M$105</f>
        <v>0</v>
      </c>
      <c r="G2969" s="106"/>
      <c r="H2969" s="68">
        <f>H1540/1.18-H2255*'Mark Up Validation'!$M$105</f>
        <v>0</v>
      </c>
      <c r="I2969" s="106"/>
      <c r="J2969" s="68">
        <f>J1540/1.18-J2255*'Mark Up Validation'!$M$105</f>
        <v>0</v>
      </c>
      <c r="K2969" s="106"/>
      <c r="L2969" s="68">
        <f>L1540/1.18-L2255*'Mark Up Validation'!$M$105</f>
        <v>0</v>
      </c>
      <c r="M2969" s="106"/>
      <c r="N2969" s="68">
        <f>N1540/1.18-N2255*'Mark Up Validation'!$M$105</f>
        <v>0</v>
      </c>
      <c r="O2969" s="106"/>
      <c r="P2969" s="68">
        <f>P1540/1.18-P2255*'Mark Up Validation'!$M$105</f>
        <v>0</v>
      </c>
      <c r="Q2969" s="728"/>
      <c r="R2969" s="132">
        <f>SUM(F2969,H2969,J2969,L2969,N2969,P2969)</f>
        <v>0</v>
      </c>
      <c r="S2969" s="728"/>
      <c r="T2969" s="68">
        <f>T1540/1.18-T2255*'Mark Up Validation'!$S$105</f>
        <v>0</v>
      </c>
      <c r="U2969" s="728"/>
      <c r="V2969" s="68">
        <f>V1540/1.18-V2255*'Mark Up Validation'!$S$105</f>
        <v>0</v>
      </c>
      <c r="W2969" s="728"/>
      <c r="X2969" s="68">
        <f>X1540/1.18-X2255*'Mark Up Validation'!$S$105</f>
        <v>0</v>
      </c>
      <c r="Y2969" s="728"/>
      <c r="Z2969" s="68">
        <f>Z1540/1.18-Z2255*'Mark Up Validation'!$S$105</f>
        <v>0</v>
      </c>
      <c r="AA2969" s="728"/>
      <c r="AB2969" s="68">
        <f>AB1540/1.18-AB2255*'Mark Up Validation'!$S$105</f>
        <v>0</v>
      </c>
      <c r="AC2969" s="728"/>
      <c r="AD2969" s="68">
        <f>AD1540/1.18-AD2255*'Mark Up Validation'!$S$105</f>
        <v>0</v>
      </c>
      <c r="AE2969" s="728"/>
      <c r="AF2969" s="132">
        <f>SUM(T2969,V2969,X2969,Z2969,AB2969,AD2969)</f>
        <v>0</v>
      </c>
      <c r="AG2969" s="728"/>
      <c r="AH2969" s="133">
        <f>SUM(AF2969,R2969)</f>
        <v>0</v>
      </c>
      <c r="AI2969" s="728"/>
      <c r="AJ2969" s="65"/>
      <c r="AV2969" s="56"/>
    </row>
    <row r="2970" spans="1:48" ht="12.75" customHeight="1" outlineLevel="2" thickBot="1">
      <c r="B2970" s="82"/>
      <c r="C2970" s="1234"/>
      <c r="D2970" s="1234"/>
      <c r="E2970" s="84">
        <f>'Terms and Turnovers'!$AN$12</f>
        <v>0</v>
      </c>
      <c r="F2970" s="68">
        <f>F1541/1.18-F2256*'Mark Up Validation'!$M$105</f>
        <v>0</v>
      </c>
      <c r="G2970" s="728"/>
      <c r="H2970" s="68">
        <f>H1541/1.18-H2256*'Mark Up Validation'!$M$105</f>
        <v>0</v>
      </c>
      <c r="I2970" s="728"/>
      <c r="J2970" s="68">
        <f>J1541/1.18-J2256*'Mark Up Validation'!$M$105</f>
        <v>0</v>
      </c>
      <c r="K2970" s="728"/>
      <c r="L2970" s="68">
        <f>L1541/1.18-L2256*'Mark Up Validation'!$M$105</f>
        <v>0</v>
      </c>
      <c r="M2970" s="728"/>
      <c r="N2970" s="68">
        <f>N1541/1.18-N2256*'Mark Up Validation'!$M$105</f>
        <v>0</v>
      </c>
      <c r="O2970" s="728"/>
      <c r="P2970" s="68">
        <f>P1541/1.18-P2256*'Mark Up Validation'!$M$105</f>
        <v>0</v>
      </c>
      <c r="Q2970" s="728"/>
      <c r="R2970" s="132">
        <f>SUM(F2970,H2970,J2970,L2970,N2970,P2970)</f>
        <v>0</v>
      </c>
      <c r="S2970" s="728"/>
      <c r="T2970" s="68">
        <f>T1541/1.18-T2256*'Mark Up Validation'!$S$105</f>
        <v>0</v>
      </c>
      <c r="U2970" s="728"/>
      <c r="V2970" s="68">
        <f>V1541/1.18-V2256*'Mark Up Validation'!$S$105</f>
        <v>0</v>
      </c>
      <c r="W2970" s="728"/>
      <c r="X2970" s="68">
        <f>X1541/1.18-X2256*'Mark Up Validation'!$S$105</f>
        <v>0</v>
      </c>
      <c r="Y2970" s="728"/>
      <c r="Z2970" s="68">
        <f>Z1541/1.18-Z2256*'Mark Up Validation'!$S$105</f>
        <v>0</v>
      </c>
      <c r="AA2970" s="728"/>
      <c r="AB2970" s="68">
        <f>AB1541/1.18-AB2256*'Mark Up Validation'!$S$105</f>
        <v>0</v>
      </c>
      <c r="AC2970" s="728"/>
      <c r="AD2970" s="68">
        <f>AD1541/1.18-AD2256*'Mark Up Validation'!$S$105</f>
        <v>0</v>
      </c>
      <c r="AE2970" s="728"/>
      <c r="AF2970" s="132">
        <f>SUM(T2970,V2970,X2970,Z2970,AB2970,AD2970)</f>
        <v>0</v>
      </c>
      <c r="AG2970" s="728"/>
      <c r="AH2970" s="133">
        <f>SUM(AF2970,R2970)</f>
        <v>0</v>
      </c>
      <c r="AI2970" s="728"/>
      <c r="AJ2970" s="65"/>
      <c r="AV2970" s="56"/>
    </row>
    <row r="2971" spans="1:48" ht="13.5" customHeight="1" outlineLevel="2" thickBot="1">
      <c r="B2971" s="82"/>
      <c r="C2971" s="1235"/>
      <c r="D2971" s="1235"/>
      <c r="E2971" s="85">
        <f>'Terms and Turnovers'!$AX$12</f>
        <v>0</v>
      </c>
      <c r="F2971" s="68">
        <f>F1542/1.18-F2257*'Mark Up Validation'!$M$105</f>
        <v>0</v>
      </c>
      <c r="G2971" s="106"/>
      <c r="H2971" s="68">
        <f>H1542/1.18-H2257*'Mark Up Validation'!$M$105</f>
        <v>0</v>
      </c>
      <c r="I2971" s="106"/>
      <c r="J2971" s="68">
        <f>J1542/1.18-J2257*'Mark Up Validation'!$M$105</f>
        <v>0</v>
      </c>
      <c r="K2971" s="106"/>
      <c r="L2971" s="68">
        <f>L1542/1.18-L2257*'Mark Up Validation'!$M$105</f>
        <v>0</v>
      </c>
      <c r="M2971" s="106"/>
      <c r="N2971" s="68">
        <f>N1542/1.18-N2257*'Mark Up Validation'!$M$105</f>
        <v>0</v>
      </c>
      <c r="O2971" s="106"/>
      <c r="P2971" s="68">
        <f>P1542/1.18-P2257*'Mark Up Validation'!$M$105</f>
        <v>0</v>
      </c>
      <c r="Q2971" s="107"/>
      <c r="R2971" s="135">
        <f>SUM(F2971,H2971,J2971,L2971,N2971,P2971)</f>
        <v>0</v>
      </c>
      <c r="S2971" s="107"/>
      <c r="T2971" s="68">
        <f>T1542/1.18-T2257*'Mark Up Validation'!$S$105</f>
        <v>0</v>
      </c>
      <c r="U2971" s="107"/>
      <c r="V2971" s="68">
        <f>V1542/1.18-V2257*'Mark Up Validation'!$S$105</f>
        <v>0</v>
      </c>
      <c r="W2971" s="107"/>
      <c r="X2971" s="68">
        <f>X1542/1.18-X2257*'Mark Up Validation'!$S$105</f>
        <v>0</v>
      </c>
      <c r="Y2971" s="107"/>
      <c r="Z2971" s="68">
        <f>Z1542/1.18-Z2257*'Mark Up Validation'!$S$105</f>
        <v>0</v>
      </c>
      <c r="AA2971" s="107"/>
      <c r="AB2971" s="68">
        <f>AB1542/1.18-AB2257*'Mark Up Validation'!$S$105</f>
        <v>0</v>
      </c>
      <c r="AC2971" s="107"/>
      <c r="AD2971" s="68">
        <f>AD1542/1.18-AD2257*'Mark Up Validation'!$S$105</f>
        <v>0</v>
      </c>
      <c r="AE2971" s="107"/>
      <c r="AF2971" s="135">
        <f>SUM(T2971,V2971,X2971,Z2971,AB2971,AD2971)</f>
        <v>0</v>
      </c>
      <c r="AG2971" s="107"/>
      <c r="AH2971" s="136">
        <f>SUM(AF2971,R2971)</f>
        <v>0</v>
      </c>
      <c r="AI2971" s="107"/>
      <c r="AJ2971" s="65"/>
      <c r="AV2971" s="56"/>
    </row>
    <row r="2972" spans="1:48" ht="13.5" customHeight="1" outlineLevel="2">
      <c r="B2972" s="82"/>
      <c r="C2972" s="425"/>
      <c r="D2972" s="425"/>
      <c r="E2972" s="634"/>
      <c r="F2972" s="635"/>
      <c r="G2972" s="428"/>
      <c r="H2972" s="635"/>
      <c r="I2972" s="428"/>
      <c r="J2972" s="635"/>
      <c r="K2972" s="636"/>
      <c r="L2972" s="635"/>
      <c r="M2972" s="636"/>
      <c r="N2972" s="635"/>
      <c r="O2972" s="636"/>
      <c r="P2972" s="635"/>
      <c r="Q2972" s="636"/>
      <c r="R2972" s="637"/>
      <c r="S2972" s="698">
        <f>SUM(R2252:R2256)/1.18-(SUM(R2967:R2971)*'Mark Up Validation'!$M$105)</f>
        <v>0</v>
      </c>
      <c r="T2972" s="635"/>
      <c r="U2972" s="636"/>
      <c r="V2972" s="635"/>
      <c r="W2972" s="636"/>
      <c r="X2972" s="635"/>
      <c r="Y2972" s="636"/>
      <c r="Z2972" s="635"/>
      <c r="AA2972" s="636"/>
      <c r="AB2972" s="635"/>
      <c r="AC2972" s="636"/>
      <c r="AD2972" s="635"/>
      <c r="AE2972" s="636"/>
      <c r="AF2972" s="637"/>
      <c r="AG2972" s="698">
        <f>SUM(AF2252:AF2256)/1.18-SUM(AF2967:AF2971)*'Mark Up Validation'!$M$175</f>
        <v>0</v>
      </c>
      <c r="AH2972" s="638"/>
      <c r="AI2972" s="698">
        <f>SUM(AH2252:AH2256)/1.18-SUM(AH2967:AH2971)*'Mark Up Validation'!$M$175</f>
        <v>0</v>
      </c>
      <c r="AJ2972" s="65"/>
      <c r="AV2972" s="56"/>
    </row>
    <row r="2973" spans="1:48" ht="13.5" customHeight="1" outlineLevel="2" thickBot="1">
      <c r="A2973" s="119"/>
      <c r="B2973" s="82"/>
      <c r="C2973" s="1228" t="s">
        <v>539</v>
      </c>
      <c r="D2973" s="1229"/>
      <c r="E2973" s="699"/>
      <c r="F2973" s="700">
        <f>SUM(F2967:F2971)</f>
        <v>0</v>
      </c>
      <c r="G2973" s="701"/>
      <c r="H2973" s="700">
        <f>SUM(H2967:H2971)</f>
        <v>0</v>
      </c>
      <c r="I2973" s="701"/>
      <c r="J2973" s="700">
        <f>SUM(J2967:J2971)</f>
        <v>0</v>
      </c>
      <c r="K2973" s="702"/>
      <c r="L2973" s="700">
        <f>SUM(L2967:L2971)</f>
        <v>0</v>
      </c>
      <c r="M2973" s="702"/>
      <c r="N2973" s="700">
        <f>SUM(N2967:N2971)</f>
        <v>0</v>
      </c>
      <c r="O2973" s="702"/>
      <c r="P2973" s="700">
        <f>SUM(P2967:P2971)</f>
        <v>0</v>
      </c>
      <c r="Q2973" s="702"/>
      <c r="R2973" s="703"/>
      <c r="S2973" s="729">
        <f>IF(S2972&gt;0,S2972/(SUM(R2252:R2256)/1.18),0)</f>
        <v>0</v>
      </c>
      <c r="T2973" s="700">
        <f>SUM(T2967:T2971)</f>
        <v>0</v>
      </c>
      <c r="U2973" s="702"/>
      <c r="V2973" s="700">
        <f>SUM(V2967:V2971)</f>
        <v>0</v>
      </c>
      <c r="W2973" s="702"/>
      <c r="X2973" s="700">
        <f>SUM(X2967:X2971)</f>
        <v>0</v>
      </c>
      <c r="Y2973" s="702"/>
      <c r="Z2973" s="700">
        <f>SUM(Z2967:Z2971)</f>
        <v>0</v>
      </c>
      <c r="AA2973" s="702"/>
      <c r="AB2973" s="700">
        <f>SUM(AB2967:AB2971)</f>
        <v>0</v>
      </c>
      <c r="AC2973" s="702"/>
      <c r="AD2973" s="700">
        <f>SUM(AD2967:AD2971)</f>
        <v>0</v>
      </c>
      <c r="AE2973" s="702"/>
      <c r="AF2973" s="705"/>
      <c r="AG2973" s="729">
        <f>IF(AG2972&gt;0,AG2972/(SUM(AF2252:AF2256)/1.18),0)</f>
        <v>0</v>
      </c>
      <c r="AH2973" s="706"/>
      <c r="AI2973" s="729">
        <f>IF(AI2972&gt;0,AI2972/(SUM(AH2252:AH2256)/1.18),0)</f>
        <v>0</v>
      </c>
      <c r="AJ2973" s="707"/>
      <c r="AV2973" s="56"/>
    </row>
    <row r="2974" spans="1:48" ht="12.75" customHeight="1" outlineLevel="2" thickBot="1">
      <c r="B2974" s="82">
        <f>B2967+1</f>
        <v>14</v>
      </c>
      <c r="C2974" s="1233">
        <f>C104</f>
        <v>0</v>
      </c>
      <c r="D2974" s="1233">
        <f>D104</f>
        <v>0</v>
      </c>
      <c r="E2974" s="83" t="str">
        <f>'Terms and Turnovers'!$J$12</f>
        <v>FLIP-FLOPS</v>
      </c>
      <c r="F2974" s="68">
        <f>F1545/1.18-F2260*'Mark Up Validation'!$M$105</f>
        <v>0</v>
      </c>
      <c r="G2974" s="106"/>
      <c r="H2974" s="68">
        <f>H1545/1.18-H2260*'Mark Up Validation'!$M$105</f>
        <v>0</v>
      </c>
      <c r="I2974" s="106"/>
      <c r="J2974" s="68">
        <f>J1545/1.18-J2260*'Mark Up Validation'!$M$105</f>
        <v>0</v>
      </c>
      <c r="K2974" s="106"/>
      <c r="L2974" s="68">
        <f>L1545/1.18-L2260*'Mark Up Validation'!$M$105</f>
        <v>0</v>
      </c>
      <c r="M2974" s="106"/>
      <c r="N2974" s="68">
        <f>N1545/1.18-N2260*'Mark Up Validation'!$M$105</f>
        <v>0</v>
      </c>
      <c r="O2974" s="106"/>
      <c r="P2974" s="68">
        <f>P1545/1.18-P2260*'Mark Up Validation'!$M$105</f>
        <v>0</v>
      </c>
      <c r="Q2974" s="106"/>
      <c r="R2974" s="129">
        <f>SUM(F2974,H2974,J2974,L2974,N2974,P2974)</f>
        <v>0</v>
      </c>
      <c r="S2974" s="106"/>
      <c r="T2974" s="68">
        <f>T1545/1.18-T2260*'Mark Up Validation'!$S$105</f>
        <v>0</v>
      </c>
      <c r="U2974" s="106"/>
      <c r="V2974" s="68">
        <f>V1545/1.18-V2260*'Mark Up Validation'!$S$105</f>
        <v>0</v>
      </c>
      <c r="W2974" s="106"/>
      <c r="X2974" s="68">
        <f>X1545/1.18-X2260*'Mark Up Validation'!$S$105</f>
        <v>0</v>
      </c>
      <c r="Y2974" s="106"/>
      <c r="Z2974" s="68">
        <f>Z1545/1.18-Z2260*'Mark Up Validation'!$S$105</f>
        <v>0</v>
      </c>
      <c r="AA2974" s="106"/>
      <c r="AB2974" s="68">
        <f>AB1545/1.18-AB2260*'Mark Up Validation'!$S$105</f>
        <v>0</v>
      </c>
      <c r="AC2974" s="106"/>
      <c r="AD2974" s="68">
        <f>AD1545/1.18-AD2260*'Mark Up Validation'!$S$105</f>
        <v>0</v>
      </c>
      <c r="AE2974" s="106"/>
      <c r="AF2974" s="129">
        <f>SUM(T2974,V2974,X2974,Z2974,AB2974,AD2974)</f>
        <v>0</v>
      </c>
      <c r="AG2974" s="106"/>
      <c r="AH2974" s="130">
        <f>SUM(AF2974,R2974)</f>
        <v>0</v>
      </c>
      <c r="AI2974" s="106"/>
      <c r="AJ2974" s="65"/>
      <c r="AV2974" s="56"/>
    </row>
    <row r="2975" spans="1:48" ht="12.75" customHeight="1" outlineLevel="2" thickBot="1">
      <c r="B2975" s="82"/>
      <c r="C2975" s="1234"/>
      <c r="D2975" s="1234"/>
      <c r="E2975" s="84" t="str">
        <f>'Terms and Turnovers'!$T$12</f>
        <v>ORIGINALS</v>
      </c>
      <c r="F2975" s="68">
        <f>F1546/1.18-F2261*'Mark Up Validation'!$M$105</f>
        <v>0</v>
      </c>
      <c r="G2975" s="728"/>
      <c r="H2975" s="68">
        <f>H1546/1.18-H2261*'Mark Up Validation'!$M$105</f>
        <v>0</v>
      </c>
      <c r="I2975" s="728"/>
      <c r="J2975" s="68">
        <f>J1546/1.18-J2261*'Mark Up Validation'!$M$105</f>
        <v>0</v>
      </c>
      <c r="K2975" s="728"/>
      <c r="L2975" s="68">
        <f>L1546/1.18-L2261*'Mark Up Validation'!$M$105</f>
        <v>0</v>
      </c>
      <c r="M2975" s="728"/>
      <c r="N2975" s="68">
        <f>N1546/1.18-N2261*'Mark Up Validation'!$M$105</f>
        <v>0</v>
      </c>
      <c r="O2975" s="728"/>
      <c r="P2975" s="68">
        <f>P1546/1.18-P2261*'Mark Up Validation'!$M$105</f>
        <v>0</v>
      </c>
      <c r="Q2975" s="728"/>
      <c r="R2975" s="132">
        <f>SUM(F2975,H2975,J2975,L2975,N2975,P2975)</f>
        <v>0</v>
      </c>
      <c r="S2975" s="728"/>
      <c r="T2975" s="68">
        <f>T1546/1.18-T2261*'Mark Up Validation'!$S$105</f>
        <v>0</v>
      </c>
      <c r="U2975" s="728"/>
      <c r="V2975" s="68">
        <f>V1546/1.18-V2261*'Mark Up Validation'!$S$105</f>
        <v>0</v>
      </c>
      <c r="W2975" s="728"/>
      <c r="X2975" s="68">
        <f>X1546/1.18-X2261*'Mark Up Validation'!$S$105</f>
        <v>0</v>
      </c>
      <c r="Y2975" s="728"/>
      <c r="Z2975" s="68">
        <f>Z1546/1.18-Z2261*'Mark Up Validation'!$S$105</f>
        <v>0</v>
      </c>
      <c r="AA2975" s="728"/>
      <c r="AB2975" s="68">
        <f>AB1546/1.18-AB2261*'Mark Up Validation'!$S$105</f>
        <v>0</v>
      </c>
      <c r="AC2975" s="728"/>
      <c r="AD2975" s="68">
        <f>AD1546/1.18-AD2261*'Mark Up Validation'!$S$105</f>
        <v>0</v>
      </c>
      <c r="AE2975" s="728"/>
      <c r="AF2975" s="132">
        <f>SUM(T2975,V2975,X2975,Z2975,AB2975,AD2975)</f>
        <v>0</v>
      </c>
      <c r="AG2975" s="728"/>
      <c r="AH2975" s="133">
        <f>SUM(AF2975,R2975)</f>
        <v>0</v>
      </c>
      <c r="AI2975" s="728"/>
      <c r="AJ2975" s="65"/>
      <c r="AV2975" s="56"/>
    </row>
    <row r="2976" spans="1:48" ht="12.75" customHeight="1" outlineLevel="2" thickBot="1">
      <c r="B2976" s="82"/>
      <c r="C2976" s="1234"/>
      <c r="D2976" s="1234"/>
      <c r="E2976" s="84" t="str">
        <f>'Terms and Turnovers'!$AD$12</f>
        <v>ACCESSORIES</v>
      </c>
      <c r="F2976" s="68">
        <f>F1547/1.18-F2262*'Mark Up Validation'!$M$105</f>
        <v>0</v>
      </c>
      <c r="G2976" s="106"/>
      <c r="H2976" s="68">
        <f>H1547/1.18-H2262*'Mark Up Validation'!$M$105</f>
        <v>0</v>
      </c>
      <c r="I2976" s="106"/>
      <c r="J2976" s="68">
        <f>J1547/1.18-J2262*'Mark Up Validation'!$M$105</f>
        <v>0</v>
      </c>
      <c r="K2976" s="106"/>
      <c r="L2976" s="68">
        <f>L1547/1.18-L2262*'Mark Up Validation'!$M$105</f>
        <v>0</v>
      </c>
      <c r="M2976" s="106"/>
      <c r="N2976" s="68">
        <f>N1547/1.18-N2262*'Mark Up Validation'!$M$105</f>
        <v>0</v>
      </c>
      <c r="O2976" s="106"/>
      <c r="P2976" s="68">
        <f>P1547/1.18-P2262*'Mark Up Validation'!$M$105</f>
        <v>0</v>
      </c>
      <c r="Q2976" s="728"/>
      <c r="R2976" s="132">
        <f>SUM(F2976,H2976,J2976,L2976,N2976,P2976)</f>
        <v>0</v>
      </c>
      <c r="S2976" s="728"/>
      <c r="T2976" s="68">
        <f>T1547/1.18-T2262*'Mark Up Validation'!$S$105</f>
        <v>0</v>
      </c>
      <c r="U2976" s="728"/>
      <c r="V2976" s="68">
        <f>V1547/1.18-V2262*'Mark Up Validation'!$S$105</f>
        <v>0</v>
      </c>
      <c r="W2976" s="728"/>
      <c r="X2976" s="68">
        <f>X1547/1.18-X2262*'Mark Up Validation'!$S$105</f>
        <v>0</v>
      </c>
      <c r="Y2976" s="728"/>
      <c r="Z2976" s="68">
        <f>Z1547/1.18-Z2262*'Mark Up Validation'!$S$105</f>
        <v>0</v>
      </c>
      <c r="AA2976" s="728"/>
      <c r="AB2976" s="68">
        <f>AB1547/1.18-AB2262*'Mark Up Validation'!$S$105</f>
        <v>0</v>
      </c>
      <c r="AC2976" s="728"/>
      <c r="AD2976" s="68">
        <f>AD1547/1.18-AD2262*'Mark Up Validation'!$S$105</f>
        <v>0</v>
      </c>
      <c r="AE2976" s="728"/>
      <c r="AF2976" s="132">
        <f>SUM(T2976,V2976,X2976,Z2976,AB2976,AD2976)</f>
        <v>0</v>
      </c>
      <c r="AG2976" s="728"/>
      <c r="AH2976" s="133">
        <f>SUM(AF2976,R2976)</f>
        <v>0</v>
      </c>
      <c r="AI2976" s="728"/>
      <c r="AJ2976" s="65"/>
      <c r="AV2976" s="56"/>
    </row>
    <row r="2977" spans="1:48" ht="12.75" customHeight="1" outlineLevel="2" thickBot="1">
      <c r="B2977" s="82"/>
      <c r="C2977" s="1234"/>
      <c r="D2977" s="1234"/>
      <c r="E2977" s="84">
        <f>'Terms and Turnovers'!$AN$12</f>
        <v>0</v>
      </c>
      <c r="F2977" s="68">
        <f>F1548/1.18-F2263*'Mark Up Validation'!$M$105</f>
        <v>0</v>
      </c>
      <c r="G2977" s="728"/>
      <c r="H2977" s="68">
        <f>H1548/1.18-H2263*'Mark Up Validation'!$M$105</f>
        <v>0</v>
      </c>
      <c r="I2977" s="728"/>
      <c r="J2977" s="68">
        <f>J1548/1.18-J2263*'Mark Up Validation'!$M$105</f>
        <v>0</v>
      </c>
      <c r="K2977" s="728"/>
      <c r="L2977" s="68">
        <f>L1548/1.18-L2263*'Mark Up Validation'!$M$105</f>
        <v>0</v>
      </c>
      <c r="M2977" s="728"/>
      <c r="N2977" s="68">
        <f>N1548/1.18-N2263*'Mark Up Validation'!$M$105</f>
        <v>0</v>
      </c>
      <c r="O2977" s="728"/>
      <c r="P2977" s="68">
        <f>P1548/1.18-P2263*'Mark Up Validation'!$M$105</f>
        <v>0</v>
      </c>
      <c r="Q2977" s="728"/>
      <c r="R2977" s="132">
        <f>SUM(F2977,H2977,J2977,L2977,N2977,P2977)</f>
        <v>0</v>
      </c>
      <c r="S2977" s="728"/>
      <c r="T2977" s="68">
        <f>T1548/1.18-T2263*'Mark Up Validation'!$S$105</f>
        <v>0</v>
      </c>
      <c r="U2977" s="728"/>
      <c r="V2977" s="68">
        <f>V1548/1.18-V2263*'Mark Up Validation'!$S$105</f>
        <v>0</v>
      </c>
      <c r="W2977" s="728"/>
      <c r="X2977" s="68">
        <f>X1548/1.18-X2263*'Mark Up Validation'!$S$105</f>
        <v>0</v>
      </c>
      <c r="Y2977" s="728"/>
      <c r="Z2977" s="68">
        <f>Z1548/1.18-Z2263*'Mark Up Validation'!$S$105</f>
        <v>0</v>
      </c>
      <c r="AA2977" s="728"/>
      <c r="AB2977" s="68">
        <f>AB1548/1.18-AB2263*'Mark Up Validation'!$S$105</f>
        <v>0</v>
      </c>
      <c r="AC2977" s="728"/>
      <c r="AD2977" s="68">
        <f>AD1548/1.18-AD2263*'Mark Up Validation'!$S$105</f>
        <v>0</v>
      </c>
      <c r="AE2977" s="728"/>
      <c r="AF2977" s="132">
        <f>SUM(T2977,V2977,X2977,Z2977,AB2977,AD2977)</f>
        <v>0</v>
      </c>
      <c r="AG2977" s="728"/>
      <c r="AH2977" s="133">
        <f>SUM(AF2977,R2977)</f>
        <v>0</v>
      </c>
      <c r="AI2977" s="728"/>
      <c r="AJ2977" s="65"/>
      <c r="AV2977" s="56"/>
    </row>
    <row r="2978" spans="1:48" ht="13.5" customHeight="1" outlineLevel="2" thickBot="1">
      <c r="B2978" s="82"/>
      <c r="C2978" s="1235"/>
      <c r="D2978" s="1235"/>
      <c r="E2978" s="85">
        <f>'Terms and Turnovers'!$AX$12</f>
        <v>0</v>
      </c>
      <c r="F2978" s="68">
        <f>F1549/1.18-F2264*'Mark Up Validation'!$M$105</f>
        <v>0</v>
      </c>
      <c r="G2978" s="106"/>
      <c r="H2978" s="68">
        <f>H1549/1.18-H2264*'Mark Up Validation'!$M$105</f>
        <v>0</v>
      </c>
      <c r="I2978" s="106"/>
      <c r="J2978" s="68">
        <f>J1549/1.18-J2264*'Mark Up Validation'!$M$105</f>
        <v>0</v>
      </c>
      <c r="K2978" s="106"/>
      <c r="L2978" s="68">
        <f>L1549/1.18-L2264*'Mark Up Validation'!$M$105</f>
        <v>0</v>
      </c>
      <c r="M2978" s="106"/>
      <c r="N2978" s="68">
        <f>N1549/1.18-N2264*'Mark Up Validation'!$M$105</f>
        <v>0</v>
      </c>
      <c r="O2978" s="106"/>
      <c r="P2978" s="68">
        <f>P1549/1.18-P2264*'Mark Up Validation'!$M$105</f>
        <v>0</v>
      </c>
      <c r="Q2978" s="107"/>
      <c r="R2978" s="135">
        <f>SUM(F2978,H2978,J2978,L2978,N2978,P2978)</f>
        <v>0</v>
      </c>
      <c r="S2978" s="107"/>
      <c r="T2978" s="68">
        <f>T1549/1.18-T2264*'Mark Up Validation'!$S$105</f>
        <v>0</v>
      </c>
      <c r="U2978" s="107"/>
      <c r="V2978" s="68">
        <f>V1549/1.18-V2264*'Mark Up Validation'!$S$105</f>
        <v>0</v>
      </c>
      <c r="W2978" s="107"/>
      <c r="X2978" s="68">
        <f>X1549/1.18-X2264*'Mark Up Validation'!$S$105</f>
        <v>0</v>
      </c>
      <c r="Y2978" s="107"/>
      <c r="Z2978" s="68">
        <f>Z1549/1.18-Z2264*'Mark Up Validation'!$S$105</f>
        <v>0</v>
      </c>
      <c r="AA2978" s="107"/>
      <c r="AB2978" s="68">
        <f>AB1549/1.18-AB2264*'Mark Up Validation'!$S$105</f>
        <v>0</v>
      </c>
      <c r="AC2978" s="107"/>
      <c r="AD2978" s="68">
        <f>AD1549/1.18-AD2264*'Mark Up Validation'!$S$105</f>
        <v>0</v>
      </c>
      <c r="AE2978" s="107"/>
      <c r="AF2978" s="135">
        <f>SUM(T2978,V2978,X2978,Z2978,AB2978,AD2978)</f>
        <v>0</v>
      </c>
      <c r="AG2978" s="107"/>
      <c r="AH2978" s="136">
        <f>SUM(AF2978,R2978)</f>
        <v>0</v>
      </c>
      <c r="AI2978" s="107"/>
      <c r="AJ2978" s="65"/>
      <c r="AV2978" s="56"/>
    </row>
    <row r="2979" spans="1:48" ht="13.5" customHeight="1" outlineLevel="2">
      <c r="B2979" s="82"/>
      <c r="C2979" s="425"/>
      <c r="D2979" s="425"/>
      <c r="E2979" s="634"/>
      <c r="F2979" s="635"/>
      <c r="G2979" s="428"/>
      <c r="H2979" s="635"/>
      <c r="I2979" s="428"/>
      <c r="J2979" s="635"/>
      <c r="K2979" s="636"/>
      <c r="L2979" s="635"/>
      <c r="M2979" s="636"/>
      <c r="N2979" s="635"/>
      <c r="O2979" s="636"/>
      <c r="P2979" s="635"/>
      <c r="Q2979" s="636"/>
      <c r="R2979" s="637"/>
      <c r="S2979" s="698">
        <f>SUM(R2259:R2263)/1.18-(SUM(R2974:R2978)*'Mark Up Validation'!$M$105)</f>
        <v>0</v>
      </c>
      <c r="T2979" s="635"/>
      <c r="U2979" s="636"/>
      <c r="V2979" s="635"/>
      <c r="W2979" s="636"/>
      <c r="X2979" s="635"/>
      <c r="Y2979" s="636"/>
      <c r="Z2979" s="635"/>
      <c r="AA2979" s="636"/>
      <c r="AB2979" s="635"/>
      <c r="AC2979" s="636"/>
      <c r="AD2979" s="635"/>
      <c r="AE2979" s="636"/>
      <c r="AF2979" s="637"/>
      <c r="AG2979" s="698">
        <f>SUM(AF2259:AF2263)/1.18-SUM(AF2974:AF2978)*'Mark Up Validation'!$M$175</f>
        <v>0</v>
      </c>
      <c r="AH2979" s="638"/>
      <c r="AI2979" s="698">
        <f>SUM(AH2259:AH2263)/1.18-SUM(AH2974:AH2978)*'Mark Up Validation'!$M$175</f>
        <v>0</v>
      </c>
      <c r="AJ2979" s="65"/>
      <c r="AV2979" s="56"/>
    </row>
    <row r="2980" spans="1:48" ht="13.5" customHeight="1" outlineLevel="2" thickBot="1">
      <c r="A2980" s="119"/>
      <c r="B2980" s="82"/>
      <c r="C2980" s="1228" t="s">
        <v>539</v>
      </c>
      <c r="D2980" s="1229"/>
      <c r="E2980" s="699"/>
      <c r="F2980" s="700">
        <f>SUM(F2974:F2978)</f>
        <v>0</v>
      </c>
      <c r="G2980" s="701"/>
      <c r="H2980" s="700">
        <f>SUM(H2974:H2978)</f>
        <v>0</v>
      </c>
      <c r="I2980" s="701"/>
      <c r="J2980" s="700">
        <f>SUM(J2974:J2978)</f>
        <v>0</v>
      </c>
      <c r="K2980" s="702"/>
      <c r="L2980" s="700">
        <f>SUM(L2974:L2978)</f>
        <v>0</v>
      </c>
      <c r="M2980" s="702"/>
      <c r="N2980" s="700">
        <f>SUM(N2974:N2978)</f>
        <v>0</v>
      </c>
      <c r="O2980" s="702"/>
      <c r="P2980" s="700">
        <f>SUM(P2974:P2978)</f>
        <v>0</v>
      </c>
      <c r="Q2980" s="702"/>
      <c r="R2980" s="703"/>
      <c r="S2980" s="729">
        <f>IF(S2979&gt;0,S2979/(SUM(R2259:R2263)/1.18),0)</f>
        <v>0</v>
      </c>
      <c r="T2980" s="700">
        <f>SUM(T2974:T2978)</f>
        <v>0</v>
      </c>
      <c r="U2980" s="702"/>
      <c r="V2980" s="700">
        <f>SUM(V2974:V2978)</f>
        <v>0</v>
      </c>
      <c r="W2980" s="702"/>
      <c r="X2980" s="700">
        <f>SUM(X2974:X2978)</f>
        <v>0</v>
      </c>
      <c r="Y2980" s="702"/>
      <c r="Z2980" s="700">
        <f>SUM(Z2974:Z2978)</f>
        <v>0</v>
      </c>
      <c r="AA2980" s="702"/>
      <c r="AB2980" s="700">
        <f>SUM(AB2974:AB2978)</f>
        <v>0</v>
      </c>
      <c r="AC2980" s="702"/>
      <c r="AD2980" s="700">
        <f>SUM(AD2974:AD2978)</f>
        <v>0</v>
      </c>
      <c r="AE2980" s="702"/>
      <c r="AF2980" s="705"/>
      <c r="AG2980" s="729">
        <f>IF(AG2979&gt;0,AG2979/(SUM(AF2259:AF2263)/1.18),0)</f>
        <v>0</v>
      </c>
      <c r="AH2980" s="706"/>
      <c r="AI2980" s="729">
        <f>IF(AI2979&gt;0,AI2979/(SUM(AH2259:AH2263)/1.18),0)</f>
        <v>0</v>
      </c>
      <c r="AJ2980" s="707"/>
      <c r="AV2980" s="56"/>
    </row>
    <row r="2981" spans="1:48" ht="12.75" customHeight="1" outlineLevel="2" thickBot="1">
      <c r="B2981" s="82">
        <f>B2974+1</f>
        <v>15</v>
      </c>
      <c r="C2981" s="1233">
        <f>C111</f>
        <v>0</v>
      </c>
      <c r="D2981" s="1233">
        <f>D111</f>
        <v>0</v>
      </c>
      <c r="E2981" s="83" t="str">
        <f>'Terms and Turnovers'!$J$12</f>
        <v>FLIP-FLOPS</v>
      </c>
      <c r="F2981" s="68">
        <f>F1552/1.18-F2267*'Mark Up Validation'!$M$105</f>
        <v>0</v>
      </c>
      <c r="G2981" s="106"/>
      <c r="H2981" s="68">
        <f>H1552/1.18-H2267*'Mark Up Validation'!$M$105</f>
        <v>0</v>
      </c>
      <c r="I2981" s="106"/>
      <c r="J2981" s="68">
        <f>J1552/1.18-J2267*'Mark Up Validation'!$M$105</f>
        <v>0</v>
      </c>
      <c r="K2981" s="106"/>
      <c r="L2981" s="68">
        <f>L1552/1.18-L2267*'Mark Up Validation'!$M$105</f>
        <v>0</v>
      </c>
      <c r="M2981" s="106"/>
      <c r="N2981" s="68">
        <f>N1552/1.18-N2267*'Mark Up Validation'!$M$105</f>
        <v>0</v>
      </c>
      <c r="O2981" s="106"/>
      <c r="P2981" s="68">
        <f>P1552/1.18-P2267*'Mark Up Validation'!$M$105</f>
        <v>0</v>
      </c>
      <c r="Q2981" s="106"/>
      <c r="R2981" s="129">
        <f>SUM(F2981,H2981,J2981,L2981,N2981,P2981)</f>
        <v>0</v>
      </c>
      <c r="S2981" s="106"/>
      <c r="T2981" s="68">
        <f>T1552/1.18-T2267*'Mark Up Validation'!$S$105</f>
        <v>0</v>
      </c>
      <c r="U2981" s="106"/>
      <c r="V2981" s="68">
        <f>V1552/1.18-V2267*'Mark Up Validation'!$S$105</f>
        <v>0</v>
      </c>
      <c r="W2981" s="106"/>
      <c r="X2981" s="68">
        <f>X1552/1.18-X2267*'Mark Up Validation'!$S$105</f>
        <v>0</v>
      </c>
      <c r="Y2981" s="106"/>
      <c r="Z2981" s="68">
        <f>Z1552/1.18-Z2267*'Mark Up Validation'!$S$105</f>
        <v>0</v>
      </c>
      <c r="AA2981" s="106"/>
      <c r="AB2981" s="68">
        <f>AB1552/1.18-AB2267*'Mark Up Validation'!$S$105</f>
        <v>0</v>
      </c>
      <c r="AC2981" s="106"/>
      <c r="AD2981" s="68">
        <f>AD1552/1.18-AD2267*'Mark Up Validation'!$S$105</f>
        <v>0</v>
      </c>
      <c r="AE2981" s="106"/>
      <c r="AF2981" s="129">
        <f>SUM(T2981,V2981,X2981,Z2981,AB2981,AD2981)</f>
        <v>0</v>
      </c>
      <c r="AG2981" s="106"/>
      <c r="AH2981" s="130">
        <f>SUM(AF2981,R2981)</f>
        <v>0</v>
      </c>
      <c r="AI2981" s="106"/>
      <c r="AJ2981" s="65"/>
      <c r="AV2981" s="56"/>
    </row>
    <row r="2982" spans="1:48" ht="12.75" customHeight="1" outlineLevel="2" thickBot="1">
      <c r="B2982" s="82"/>
      <c r="C2982" s="1234"/>
      <c r="D2982" s="1234"/>
      <c r="E2982" s="84" t="str">
        <f>'Terms and Turnovers'!$T$12</f>
        <v>ORIGINALS</v>
      </c>
      <c r="F2982" s="68">
        <f>F1553/1.18-F2268*'Mark Up Validation'!$M$105</f>
        <v>0</v>
      </c>
      <c r="G2982" s="728"/>
      <c r="H2982" s="68">
        <f>H1553/1.18-H2268*'Mark Up Validation'!$M$105</f>
        <v>0</v>
      </c>
      <c r="I2982" s="728"/>
      <c r="J2982" s="68">
        <f>J1553/1.18-J2268*'Mark Up Validation'!$M$105</f>
        <v>0</v>
      </c>
      <c r="K2982" s="728"/>
      <c r="L2982" s="68">
        <f>L1553/1.18-L2268*'Mark Up Validation'!$M$105</f>
        <v>0</v>
      </c>
      <c r="M2982" s="728"/>
      <c r="N2982" s="68">
        <f>N1553/1.18-N2268*'Mark Up Validation'!$M$105</f>
        <v>0</v>
      </c>
      <c r="O2982" s="728"/>
      <c r="P2982" s="68">
        <f>P1553/1.18-P2268*'Mark Up Validation'!$M$105</f>
        <v>0</v>
      </c>
      <c r="Q2982" s="728"/>
      <c r="R2982" s="132">
        <f>SUM(F2982,H2982,J2982,L2982,N2982,P2982)</f>
        <v>0</v>
      </c>
      <c r="S2982" s="728"/>
      <c r="T2982" s="68">
        <f>T1553/1.18-T2268*'Mark Up Validation'!$S$105</f>
        <v>0</v>
      </c>
      <c r="U2982" s="728"/>
      <c r="V2982" s="68">
        <f>V1553/1.18-V2268*'Mark Up Validation'!$S$105</f>
        <v>0</v>
      </c>
      <c r="W2982" s="728"/>
      <c r="X2982" s="68">
        <f>X1553/1.18-X2268*'Mark Up Validation'!$S$105</f>
        <v>0</v>
      </c>
      <c r="Y2982" s="728"/>
      <c r="Z2982" s="68">
        <f>Z1553/1.18-Z2268*'Mark Up Validation'!$S$105</f>
        <v>0</v>
      </c>
      <c r="AA2982" s="728"/>
      <c r="AB2982" s="68">
        <f>AB1553/1.18-AB2268*'Mark Up Validation'!$S$105</f>
        <v>0</v>
      </c>
      <c r="AC2982" s="728"/>
      <c r="AD2982" s="68">
        <f>AD1553/1.18-AD2268*'Mark Up Validation'!$S$105</f>
        <v>0</v>
      </c>
      <c r="AE2982" s="728"/>
      <c r="AF2982" s="132">
        <f>SUM(T2982,V2982,X2982,Z2982,AB2982,AD2982)</f>
        <v>0</v>
      </c>
      <c r="AG2982" s="728"/>
      <c r="AH2982" s="133">
        <f>SUM(AF2982,R2982)</f>
        <v>0</v>
      </c>
      <c r="AI2982" s="728"/>
      <c r="AJ2982" s="65"/>
      <c r="AV2982" s="56"/>
    </row>
    <row r="2983" spans="1:48" ht="12.75" customHeight="1" outlineLevel="2" thickBot="1">
      <c r="B2983" s="82"/>
      <c r="C2983" s="1234"/>
      <c r="D2983" s="1234"/>
      <c r="E2983" s="84" t="str">
        <f>'Terms and Turnovers'!$AD$12</f>
        <v>ACCESSORIES</v>
      </c>
      <c r="F2983" s="68">
        <f>F1554/1.18-F2269*'Mark Up Validation'!$M$105</f>
        <v>0</v>
      </c>
      <c r="G2983" s="106"/>
      <c r="H2983" s="68">
        <f>H1554/1.18-H2269*'Mark Up Validation'!$M$105</f>
        <v>0</v>
      </c>
      <c r="I2983" s="106"/>
      <c r="J2983" s="68">
        <f>J1554/1.18-J2269*'Mark Up Validation'!$M$105</f>
        <v>0</v>
      </c>
      <c r="K2983" s="106"/>
      <c r="L2983" s="68">
        <f>L1554/1.18-L2269*'Mark Up Validation'!$M$105</f>
        <v>0</v>
      </c>
      <c r="M2983" s="106"/>
      <c r="N2983" s="68">
        <f>N1554/1.18-N2269*'Mark Up Validation'!$M$105</f>
        <v>0</v>
      </c>
      <c r="O2983" s="106"/>
      <c r="P2983" s="68">
        <f>P1554/1.18-P2269*'Mark Up Validation'!$M$105</f>
        <v>0</v>
      </c>
      <c r="Q2983" s="728"/>
      <c r="R2983" s="132">
        <f>SUM(F2983,H2983,J2983,L2983,N2983,P2983)</f>
        <v>0</v>
      </c>
      <c r="S2983" s="728"/>
      <c r="T2983" s="68">
        <f>T1554/1.18-T2269*'Mark Up Validation'!$S$105</f>
        <v>0</v>
      </c>
      <c r="U2983" s="728"/>
      <c r="V2983" s="68">
        <f>V1554/1.18-V2269*'Mark Up Validation'!$S$105</f>
        <v>0</v>
      </c>
      <c r="W2983" s="728"/>
      <c r="X2983" s="68">
        <f>X1554/1.18-X2269*'Mark Up Validation'!$S$105</f>
        <v>0</v>
      </c>
      <c r="Y2983" s="728"/>
      <c r="Z2983" s="68">
        <f>Z1554/1.18-Z2269*'Mark Up Validation'!$S$105</f>
        <v>0</v>
      </c>
      <c r="AA2983" s="728"/>
      <c r="AB2983" s="68">
        <f>AB1554/1.18-AB2269*'Mark Up Validation'!$S$105</f>
        <v>0</v>
      </c>
      <c r="AC2983" s="728"/>
      <c r="AD2983" s="68">
        <f>AD1554/1.18-AD2269*'Mark Up Validation'!$S$105</f>
        <v>0</v>
      </c>
      <c r="AE2983" s="728"/>
      <c r="AF2983" s="132">
        <f>SUM(T2983,V2983,X2983,Z2983,AB2983,AD2983)</f>
        <v>0</v>
      </c>
      <c r="AG2983" s="728"/>
      <c r="AH2983" s="133">
        <f>SUM(AF2983,R2983)</f>
        <v>0</v>
      </c>
      <c r="AI2983" s="728"/>
      <c r="AJ2983" s="65"/>
      <c r="AV2983" s="56"/>
    </row>
    <row r="2984" spans="1:48" ht="12.75" customHeight="1" outlineLevel="2" thickBot="1">
      <c r="B2984" s="82"/>
      <c r="C2984" s="1234"/>
      <c r="D2984" s="1234"/>
      <c r="E2984" s="84">
        <f>'Terms and Turnovers'!$AN$12</f>
        <v>0</v>
      </c>
      <c r="F2984" s="68">
        <f>F1555/1.18-F2270*'Mark Up Validation'!$M$105</f>
        <v>0</v>
      </c>
      <c r="G2984" s="728"/>
      <c r="H2984" s="68">
        <f>H1555/1.18-H2270*'Mark Up Validation'!$M$105</f>
        <v>0</v>
      </c>
      <c r="I2984" s="728"/>
      <c r="J2984" s="68">
        <f>J1555/1.18-J2270*'Mark Up Validation'!$M$105</f>
        <v>0</v>
      </c>
      <c r="K2984" s="728"/>
      <c r="L2984" s="68">
        <f>L1555/1.18-L2270*'Mark Up Validation'!$M$105</f>
        <v>0</v>
      </c>
      <c r="M2984" s="728"/>
      <c r="N2984" s="68">
        <f>N1555/1.18-N2270*'Mark Up Validation'!$M$105</f>
        <v>0</v>
      </c>
      <c r="O2984" s="728"/>
      <c r="P2984" s="68">
        <f>P1555/1.18-P2270*'Mark Up Validation'!$M$105</f>
        <v>0</v>
      </c>
      <c r="Q2984" s="728"/>
      <c r="R2984" s="132">
        <f>SUM(F2984,H2984,J2984,L2984,N2984,P2984)</f>
        <v>0</v>
      </c>
      <c r="S2984" s="728"/>
      <c r="T2984" s="68">
        <f>T1555/1.18-T2270*'Mark Up Validation'!$S$105</f>
        <v>0</v>
      </c>
      <c r="U2984" s="728"/>
      <c r="V2984" s="68">
        <f>V1555/1.18-V2270*'Mark Up Validation'!$S$105</f>
        <v>0</v>
      </c>
      <c r="W2984" s="728"/>
      <c r="X2984" s="68">
        <f>X1555/1.18-X2270*'Mark Up Validation'!$S$105</f>
        <v>0</v>
      </c>
      <c r="Y2984" s="728"/>
      <c r="Z2984" s="68">
        <f>Z1555/1.18-Z2270*'Mark Up Validation'!$S$105</f>
        <v>0</v>
      </c>
      <c r="AA2984" s="728"/>
      <c r="AB2984" s="68">
        <f>AB1555/1.18-AB2270*'Mark Up Validation'!$S$105</f>
        <v>0</v>
      </c>
      <c r="AC2984" s="728"/>
      <c r="AD2984" s="68">
        <f>AD1555/1.18-AD2270*'Mark Up Validation'!$S$105</f>
        <v>0</v>
      </c>
      <c r="AE2984" s="728"/>
      <c r="AF2984" s="132">
        <f>SUM(T2984,V2984,X2984,Z2984,AB2984,AD2984)</f>
        <v>0</v>
      </c>
      <c r="AG2984" s="728"/>
      <c r="AH2984" s="133">
        <f>SUM(AF2984,R2984)</f>
        <v>0</v>
      </c>
      <c r="AI2984" s="728"/>
      <c r="AJ2984" s="65"/>
      <c r="AV2984" s="56"/>
    </row>
    <row r="2985" spans="1:48" ht="13.5" customHeight="1" outlineLevel="2" thickBot="1">
      <c r="B2985" s="82"/>
      <c r="C2985" s="1235"/>
      <c r="D2985" s="1235"/>
      <c r="E2985" s="85">
        <f>'Terms and Turnovers'!$AX$12</f>
        <v>0</v>
      </c>
      <c r="F2985" s="68">
        <f>F1556/1.18-F2271*'Mark Up Validation'!$M$105</f>
        <v>0</v>
      </c>
      <c r="G2985" s="106"/>
      <c r="H2985" s="68">
        <f>H1556/1.18-H2271*'Mark Up Validation'!$M$105</f>
        <v>0</v>
      </c>
      <c r="I2985" s="106"/>
      <c r="J2985" s="68">
        <f>J1556/1.18-J2271*'Mark Up Validation'!$M$105</f>
        <v>0</v>
      </c>
      <c r="K2985" s="106"/>
      <c r="L2985" s="68">
        <f>L1556/1.18-L2271*'Mark Up Validation'!$M$105</f>
        <v>0</v>
      </c>
      <c r="M2985" s="106"/>
      <c r="N2985" s="68">
        <f>N1556/1.18-N2271*'Mark Up Validation'!$M$105</f>
        <v>0</v>
      </c>
      <c r="O2985" s="106"/>
      <c r="P2985" s="68">
        <f>P1556/1.18-P2271*'Mark Up Validation'!$M$105</f>
        <v>0</v>
      </c>
      <c r="Q2985" s="107"/>
      <c r="R2985" s="135">
        <f>SUM(F2985,H2985,J2985,L2985,N2985,P2985)</f>
        <v>0</v>
      </c>
      <c r="S2985" s="107"/>
      <c r="T2985" s="68">
        <f>T1556/1.18-T2271*'Mark Up Validation'!$S$105</f>
        <v>0</v>
      </c>
      <c r="U2985" s="107"/>
      <c r="V2985" s="68">
        <f>V1556/1.18-V2271*'Mark Up Validation'!$S$105</f>
        <v>0</v>
      </c>
      <c r="W2985" s="107"/>
      <c r="X2985" s="68">
        <f>X1556/1.18-X2271*'Mark Up Validation'!$S$105</f>
        <v>0</v>
      </c>
      <c r="Y2985" s="107"/>
      <c r="Z2985" s="68">
        <f>Z1556/1.18-Z2271*'Mark Up Validation'!$S$105</f>
        <v>0</v>
      </c>
      <c r="AA2985" s="107"/>
      <c r="AB2985" s="68">
        <f>AB1556/1.18-AB2271*'Mark Up Validation'!$S$105</f>
        <v>0</v>
      </c>
      <c r="AC2985" s="107"/>
      <c r="AD2985" s="68">
        <f>AD1556/1.18-AD2271*'Mark Up Validation'!$S$105</f>
        <v>0</v>
      </c>
      <c r="AE2985" s="107"/>
      <c r="AF2985" s="135">
        <f>SUM(T2985,V2985,X2985,Z2985,AB2985,AD2985)</f>
        <v>0</v>
      </c>
      <c r="AG2985" s="107"/>
      <c r="AH2985" s="136">
        <f>SUM(AF2985,R2985)</f>
        <v>0</v>
      </c>
      <c r="AI2985" s="107"/>
      <c r="AJ2985" s="65"/>
      <c r="AV2985" s="56"/>
    </row>
    <row r="2986" spans="1:48" ht="13.5" customHeight="1" outlineLevel="2">
      <c r="B2986" s="82"/>
      <c r="C2986" s="425"/>
      <c r="D2986" s="425"/>
      <c r="E2986" s="634"/>
      <c r="F2986" s="635"/>
      <c r="G2986" s="428"/>
      <c r="H2986" s="635"/>
      <c r="I2986" s="428"/>
      <c r="J2986" s="635"/>
      <c r="K2986" s="636"/>
      <c r="L2986" s="635"/>
      <c r="M2986" s="636"/>
      <c r="N2986" s="635"/>
      <c r="O2986" s="636"/>
      <c r="P2986" s="635"/>
      <c r="Q2986" s="636"/>
      <c r="R2986" s="637"/>
      <c r="S2986" s="698">
        <f>SUM(R2266:R2270)/1.18-(SUM(R2981:R2985)*'Mark Up Validation'!$M$105)</f>
        <v>0</v>
      </c>
      <c r="T2986" s="635"/>
      <c r="U2986" s="636"/>
      <c r="V2986" s="635"/>
      <c r="W2986" s="636"/>
      <c r="X2986" s="635"/>
      <c r="Y2986" s="636"/>
      <c r="Z2986" s="635"/>
      <c r="AA2986" s="636"/>
      <c r="AB2986" s="635"/>
      <c r="AC2986" s="636"/>
      <c r="AD2986" s="635"/>
      <c r="AE2986" s="636"/>
      <c r="AF2986" s="637"/>
      <c r="AG2986" s="698">
        <f>SUM(AF2266:AF2270)/1.18-SUM(AF2981:AF2985)*'Mark Up Validation'!$M$175</f>
        <v>0</v>
      </c>
      <c r="AH2986" s="638"/>
      <c r="AI2986" s="698">
        <f>SUM(AH2266:AH2270)/1.18-SUM(AH2981:AH2985)*'Mark Up Validation'!$M$175</f>
        <v>0</v>
      </c>
      <c r="AJ2986" s="65"/>
      <c r="AV2986" s="56"/>
    </row>
    <row r="2987" spans="1:48" ht="13.5" customHeight="1" outlineLevel="2" thickBot="1">
      <c r="A2987" s="119"/>
      <c r="B2987" s="82"/>
      <c r="C2987" s="1228" t="s">
        <v>539</v>
      </c>
      <c r="D2987" s="1229"/>
      <c r="E2987" s="699"/>
      <c r="F2987" s="700">
        <f>SUM(F2981:F2985)</f>
        <v>0</v>
      </c>
      <c r="G2987" s="701"/>
      <c r="H2987" s="700">
        <f>SUM(H2981:H2985)</f>
        <v>0</v>
      </c>
      <c r="I2987" s="701"/>
      <c r="J2987" s="700">
        <f>SUM(J2981:J2985)</f>
        <v>0</v>
      </c>
      <c r="K2987" s="702"/>
      <c r="L2987" s="700">
        <f>SUM(L2981:L2985)</f>
        <v>0</v>
      </c>
      <c r="M2987" s="702"/>
      <c r="N2987" s="700">
        <f>SUM(N2981:N2985)</f>
        <v>0</v>
      </c>
      <c r="O2987" s="702"/>
      <c r="P2987" s="700">
        <f>SUM(P2981:P2985)</f>
        <v>0</v>
      </c>
      <c r="Q2987" s="702"/>
      <c r="R2987" s="703"/>
      <c r="S2987" s="729">
        <f>IF(S2986&gt;0,S2986/(SUM(R2266:R2270)/1.18),0)</f>
        <v>0</v>
      </c>
      <c r="T2987" s="700">
        <f>SUM(T2981:T2985)</f>
        <v>0</v>
      </c>
      <c r="U2987" s="702"/>
      <c r="V2987" s="700">
        <f>SUM(V2981:V2985)</f>
        <v>0</v>
      </c>
      <c r="W2987" s="702"/>
      <c r="X2987" s="700">
        <f>SUM(X2981:X2985)</f>
        <v>0</v>
      </c>
      <c r="Y2987" s="702"/>
      <c r="Z2987" s="700">
        <f>SUM(Z2981:Z2985)</f>
        <v>0</v>
      </c>
      <c r="AA2987" s="702"/>
      <c r="AB2987" s="700">
        <f>SUM(AB2981:AB2985)</f>
        <v>0</v>
      </c>
      <c r="AC2987" s="702"/>
      <c r="AD2987" s="700">
        <f>SUM(AD2981:AD2985)</f>
        <v>0</v>
      </c>
      <c r="AE2987" s="702"/>
      <c r="AF2987" s="705"/>
      <c r="AG2987" s="729">
        <f>IF(AG2986&gt;0,AG2986/(SUM(AF2266:AF2270)/1.18),0)</f>
        <v>0</v>
      </c>
      <c r="AH2987" s="706"/>
      <c r="AI2987" s="729">
        <f>IF(AI2986&gt;0,AI2986/(SUM(AH2266:AH2270)/1.18),0)</f>
        <v>0</v>
      </c>
      <c r="AJ2987" s="707"/>
      <c r="AV2987" s="56"/>
    </row>
    <row r="2988" spans="1:48" ht="12.75" customHeight="1" outlineLevel="2" thickBot="1">
      <c r="B2988" s="82">
        <f>B2981+1</f>
        <v>16</v>
      </c>
      <c r="C2988" s="1233">
        <f>C118</f>
        <v>0</v>
      </c>
      <c r="D2988" s="1233">
        <f>D118</f>
        <v>0</v>
      </c>
      <c r="E2988" s="83" t="str">
        <f>'Terms and Turnovers'!$J$12</f>
        <v>FLIP-FLOPS</v>
      </c>
      <c r="F2988" s="68">
        <f>F1559/1.18-F2274*'Mark Up Validation'!$M$105</f>
        <v>0</v>
      </c>
      <c r="G2988" s="106"/>
      <c r="H2988" s="68">
        <f>H1559/1.18-H2274*'Mark Up Validation'!$M$105</f>
        <v>0</v>
      </c>
      <c r="I2988" s="106"/>
      <c r="J2988" s="68">
        <f>J1559/1.18-J2274*'Mark Up Validation'!$M$105</f>
        <v>0</v>
      </c>
      <c r="K2988" s="106"/>
      <c r="L2988" s="68">
        <f>L1559/1.18-L2274*'Mark Up Validation'!$M$105</f>
        <v>0</v>
      </c>
      <c r="M2988" s="106"/>
      <c r="N2988" s="68">
        <f>N1559/1.18-N2274*'Mark Up Validation'!$M$105</f>
        <v>0</v>
      </c>
      <c r="O2988" s="106"/>
      <c r="P2988" s="68">
        <f>P1559/1.18-P2274*'Mark Up Validation'!$M$105</f>
        <v>0</v>
      </c>
      <c r="Q2988" s="106"/>
      <c r="R2988" s="129">
        <f>SUM(F2988,H2988,J2988,L2988,N2988,P2988)</f>
        <v>0</v>
      </c>
      <c r="S2988" s="106"/>
      <c r="T2988" s="68">
        <f>T1559/1.18-T2274*'Mark Up Validation'!$S$105</f>
        <v>0</v>
      </c>
      <c r="U2988" s="106"/>
      <c r="V2988" s="68">
        <f>V1559/1.18-V2274*'Mark Up Validation'!$S$105</f>
        <v>0</v>
      </c>
      <c r="W2988" s="106"/>
      <c r="X2988" s="68">
        <f>X1559/1.18-X2274*'Mark Up Validation'!$S$105</f>
        <v>0</v>
      </c>
      <c r="Y2988" s="106"/>
      <c r="Z2988" s="68">
        <f>Z1559/1.18-Z2274*'Mark Up Validation'!$S$105</f>
        <v>0</v>
      </c>
      <c r="AA2988" s="106"/>
      <c r="AB2988" s="68">
        <f>AB1559/1.18-AB2274*'Mark Up Validation'!$S$105</f>
        <v>0</v>
      </c>
      <c r="AC2988" s="106"/>
      <c r="AD2988" s="68">
        <f>AD1559/1.18-AD2274*'Mark Up Validation'!$S$105</f>
        <v>0</v>
      </c>
      <c r="AE2988" s="106"/>
      <c r="AF2988" s="129">
        <f>SUM(T2988,V2988,X2988,Z2988,AB2988,AD2988)</f>
        <v>0</v>
      </c>
      <c r="AG2988" s="106"/>
      <c r="AH2988" s="130">
        <f>SUM(AF2988,R2988)</f>
        <v>0</v>
      </c>
      <c r="AI2988" s="106"/>
      <c r="AJ2988" s="65"/>
      <c r="AV2988" s="56"/>
    </row>
    <row r="2989" spans="1:48" ht="12.75" customHeight="1" outlineLevel="2" thickBot="1">
      <c r="B2989" s="82"/>
      <c r="C2989" s="1234"/>
      <c r="D2989" s="1234"/>
      <c r="E2989" s="84" t="str">
        <f>'Terms and Turnovers'!$T$12</f>
        <v>ORIGINALS</v>
      </c>
      <c r="F2989" s="68">
        <f>F1560/1.18-F2275*'Mark Up Validation'!$M$105</f>
        <v>0</v>
      </c>
      <c r="G2989" s="728"/>
      <c r="H2989" s="68">
        <f>H1560/1.18-H2275*'Mark Up Validation'!$M$105</f>
        <v>0</v>
      </c>
      <c r="I2989" s="728"/>
      <c r="J2989" s="68">
        <f>J1560/1.18-J2275*'Mark Up Validation'!$M$105</f>
        <v>0</v>
      </c>
      <c r="K2989" s="728"/>
      <c r="L2989" s="68">
        <f>L1560/1.18-L2275*'Mark Up Validation'!$M$105</f>
        <v>0</v>
      </c>
      <c r="M2989" s="728"/>
      <c r="N2989" s="68">
        <f>N1560/1.18-N2275*'Mark Up Validation'!$M$105</f>
        <v>0</v>
      </c>
      <c r="O2989" s="728"/>
      <c r="P2989" s="68">
        <f>P1560/1.18-P2275*'Mark Up Validation'!$M$105</f>
        <v>0</v>
      </c>
      <c r="Q2989" s="728"/>
      <c r="R2989" s="132">
        <f>SUM(F2989,H2989,J2989,L2989,N2989,P2989)</f>
        <v>0</v>
      </c>
      <c r="S2989" s="728"/>
      <c r="T2989" s="68">
        <f>T1560/1.18-T2275*'Mark Up Validation'!$S$105</f>
        <v>0</v>
      </c>
      <c r="U2989" s="728"/>
      <c r="V2989" s="68">
        <f>V1560/1.18-V2275*'Mark Up Validation'!$S$105</f>
        <v>0</v>
      </c>
      <c r="W2989" s="728"/>
      <c r="X2989" s="68">
        <f>X1560/1.18-X2275*'Mark Up Validation'!$S$105</f>
        <v>0</v>
      </c>
      <c r="Y2989" s="728"/>
      <c r="Z2989" s="68">
        <f>Z1560/1.18-Z2275*'Mark Up Validation'!$S$105</f>
        <v>0</v>
      </c>
      <c r="AA2989" s="728"/>
      <c r="AB2989" s="68">
        <f>AB1560/1.18-AB2275*'Mark Up Validation'!$S$105</f>
        <v>0</v>
      </c>
      <c r="AC2989" s="728"/>
      <c r="AD2989" s="68">
        <f>AD1560/1.18-AD2275*'Mark Up Validation'!$S$105</f>
        <v>0</v>
      </c>
      <c r="AE2989" s="728"/>
      <c r="AF2989" s="132">
        <f>SUM(T2989,V2989,X2989,Z2989,AB2989,AD2989)</f>
        <v>0</v>
      </c>
      <c r="AG2989" s="728"/>
      <c r="AH2989" s="133">
        <f>SUM(AF2989,R2989)</f>
        <v>0</v>
      </c>
      <c r="AI2989" s="728"/>
      <c r="AJ2989" s="65"/>
      <c r="AV2989" s="56"/>
    </row>
    <row r="2990" spans="1:48" ht="12.75" customHeight="1" outlineLevel="2" thickBot="1">
      <c r="B2990" s="82"/>
      <c r="C2990" s="1234"/>
      <c r="D2990" s="1234"/>
      <c r="E2990" s="84" t="str">
        <f>'Terms and Turnovers'!$AD$12</f>
        <v>ACCESSORIES</v>
      </c>
      <c r="F2990" s="68">
        <f>F1561/1.18-F2276*'Mark Up Validation'!$M$105</f>
        <v>0</v>
      </c>
      <c r="G2990" s="106"/>
      <c r="H2990" s="68">
        <f>H1561/1.18-H2276*'Mark Up Validation'!$M$105</f>
        <v>0</v>
      </c>
      <c r="I2990" s="106"/>
      <c r="J2990" s="68">
        <f>J1561/1.18-J2276*'Mark Up Validation'!$M$105</f>
        <v>0</v>
      </c>
      <c r="K2990" s="106"/>
      <c r="L2990" s="68">
        <f>L1561/1.18-L2276*'Mark Up Validation'!$M$105</f>
        <v>0</v>
      </c>
      <c r="M2990" s="106"/>
      <c r="N2990" s="68">
        <f>N1561/1.18-N2276*'Mark Up Validation'!$M$105</f>
        <v>0</v>
      </c>
      <c r="O2990" s="106"/>
      <c r="P2990" s="68">
        <f>P1561/1.18-P2276*'Mark Up Validation'!$M$105</f>
        <v>0</v>
      </c>
      <c r="Q2990" s="728"/>
      <c r="R2990" s="132">
        <f>SUM(F2990,H2990,J2990,L2990,N2990,P2990)</f>
        <v>0</v>
      </c>
      <c r="S2990" s="728"/>
      <c r="T2990" s="68">
        <f>T1561/1.18-T2276*'Mark Up Validation'!$S$105</f>
        <v>0</v>
      </c>
      <c r="U2990" s="728"/>
      <c r="V2990" s="68">
        <f>V1561/1.18-V2276*'Mark Up Validation'!$S$105</f>
        <v>0</v>
      </c>
      <c r="W2990" s="728"/>
      <c r="X2990" s="68">
        <f>X1561/1.18-X2276*'Mark Up Validation'!$S$105</f>
        <v>0</v>
      </c>
      <c r="Y2990" s="728"/>
      <c r="Z2990" s="68">
        <f>Z1561/1.18-Z2276*'Mark Up Validation'!$S$105</f>
        <v>0</v>
      </c>
      <c r="AA2990" s="728"/>
      <c r="AB2990" s="68">
        <f>AB1561/1.18-AB2276*'Mark Up Validation'!$S$105</f>
        <v>0</v>
      </c>
      <c r="AC2990" s="728"/>
      <c r="AD2990" s="68">
        <f>AD1561/1.18-AD2276*'Mark Up Validation'!$S$105</f>
        <v>0</v>
      </c>
      <c r="AE2990" s="728"/>
      <c r="AF2990" s="132">
        <f>SUM(T2990,V2990,X2990,Z2990,AB2990,AD2990)</f>
        <v>0</v>
      </c>
      <c r="AG2990" s="728"/>
      <c r="AH2990" s="133">
        <f>SUM(AF2990,R2990)</f>
        <v>0</v>
      </c>
      <c r="AI2990" s="728"/>
      <c r="AJ2990" s="65"/>
      <c r="AV2990" s="56"/>
    </row>
    <row r="2991" spans="1:48" ht="12.75" customHeight="1" outlineLevel="2" thickBot="1">
      <c r="B2991" s="82"/>
      <c r="C2991" s="1234"/>
      <c r="D2991" s="1234"/>
      <c r="E2991" s="84">
        <f>'Terms and Turnovers'!$AN$12</f>
        <v>0</v>
      </c>
      <c r="F2991" s="68">
        <f>F1562/1.18-F2277*'Mark Up Validation'!$M$105</f>
        <v>0</v>
      </c>
      <c r="G2991" s="728"/>
      <c r="H2991" s="68">
        <f>H1562/1.18-H2277*'Mark Up Validation'!$M$105</f>
        <v>0</v>
      </c>
      <c r="I2991" s="728"/>
      <c r="J2991" s="68">
        <f>J1562/1.18-J2277*'Mark Up Validation'!$M$105</f>
        <v>0</v>
      </c>
      <c r="K2991" s="728"/>
      <c r="L2991" s="68">
        <f>L1562/1.18-L2277*'Mark Up Validation'!$M$105</f>
        <v>0</v>
      </c>
      <c r="M2991" s="728"/>
      <c r="N2991" s="68">
        <f>N1562/1.18-N2277*'Mark Up Validation'!$M$105</f>
        <v>0</v>
      </c>
      <c r="O2991" s="728"/>
      <c r="P2991" s="68">
        <f>P1562/1.18-P2277*'Mark Up Validation'!$M$105</f>
        <v>0</v>
      </c>
      <c r="Q2991" s="728"/>
      <c r="R2991" s="132">
        <f>SUM(F2991,H2991,J2991,L2991,N2991,P2991)</f>
        <v>0</v>
      </c>
      <c r="S2991" s="728"/>
      <c r="T2991" s="68">
        <f>T1562/1.18-T2277*'Mark Up Validation'!$S$105</f>
        <v>0</v>
      </c>
      <c r="U2991" s="728"/>
      <c r="V2991" s="68">
        <f>V1562/1.18-V2277*'Mark Up Validation'!$S$105</f>
        <v>0</v>
      </c>
      <c r="W2991" s="728"/>
      <c r="X2991" s="68">
        <f>X1562/1.18-X2277*'Mark Up Validation'!$S$105</f>
        <v>0</v>
      </c>
      <c r="Y2991" s="728"/>
      <c r="Z2991" s="68">
        <f>Z1562/1.18-Z2277*'Mark Up Validation'!$S$105</f>
        <v>0</v>
      </c>
      <c r="AA2991" s="728"/>
      <c r="AB2991" s="68">
        <f>AB1562/1.18-AB2277*'Mark Up Validation'!$S$105</f>
        <v>0</v>
      </c>
      <c r="AC2991" s="728"/>
      <c r="AD2991" s="68">
        <f>AD1562/1.18-AD2277*'Mark Up Validation'!$S$105</f>
        <v>0</v>
      </c>
      <c r="AE2991" s="728"/>
      <c r="AF2991" s="132">
        <f>SUM(T2991,V2991,X2991,Z2991,AB2991,AD2991)</f>
        <v>0</v>
      </c>
      <c r="AG2991" s="728"/>
      <c r="AH2991" s="133">
        <f>SUM(AF2991,R2991)</f>
        <v>0</v>
      </c>
      <c r="AI2991" s="728"/>
      <c r="AJ2991" s="65"/>
      <c r="AV2991" s="56"/>
    </row>
    <row r="2992" spans="1:48" ht="13.5" customHeight="1" outlineLevel="2" thickBot="1">
      <c r="B2992" s="82"/>
      <c r="C2992" s="1235"/>
      <c r="D2992" s="1235"/>
      <c r="E2992" s="85">
        <f>'Terms and Turnovers'!$AX$12</f>
        <v>0</v>
      </c>
      <c r="F2992" s="68">
        <f>F1563/1.18-F2278*'Mark Up Validation'!$M$105</f>
        <v>0</v>
      </c>
      <c r="G2992" s="106"/>
      <c r="H2992" s="68">
        <f>H1563/1.18-H2278*'Mark Up Validation'!$M$105</f>
        <v>0</v>
      </c>
      <c r="I2992" s="106"/>
      <c r="J2992" s="68">
        <f>J1563/1.18-J2278*'Mark Up Validation'!$M$105</f>
        <v>0</v>
      </c>
      <c r="K2992" s="106"/>
      <c r="L2992" s="68">
        <f>L1563/1.18-L2278*'Mark Up Validation'!$M$105</f>
        <v>0</v>
      </c>
      <c r="M2992" s="106"/>
      <c r="N2992" s="68">
        <f>N1563/1.18-N2278*'Mark Up Validation'!$M$105</f>
        <v>0</v>
      </c>
      <c r="O2992" s="106"/>
      <c r="P2992" s="68">
        <f>P1563/1.18-P2278*'Mark Up Validation'!$M$105</f>
        <v>0</v>
      </c>
      <c r="Q2992" s="107"/>
      <c r="R2992" s="135">
        <f>SUM(F2992,H2992,J2992,L2992,N2992,P2992)</f>
        <v>0</v>
      </c>
      <c r="S2992" s="107"/>
      <c r="T2992" s="68">
        <f>T1563/1.18-T2278*'Mark Up Validation'!$S$105</f>
        <v>0</v>
      </c>
      <c r="U2992" s="107"/>
      <c r="V2992" s="68">
        <f>V1563/1.18-V2278*'Mark Up Validation'!$S$105</f>
        <v>0</v>
      </c>
      <c r="W2992" s="107"/>
      <c r="X2992" s="68">
        <f>X1563/1.18-X2278*'Mark Up Validation'!$S$105</f>
        <v>0</v>
      </c>
      <c r="Y2992" s="107"/>
      <c r="Z2992" s="68">
        <f>Z1563/1.18-Z2278*'Mark Up Validation'!$S$105</f>
        <v>0</v>
      </c>
      <c r="AA2992" s="107"/>
      <c r="AB2992" s="68">
        <f>AB1563/1.18-AB2278*'Mark Up Validation'!$S$105</f>
        <v>0</v>
      </c>
      <c r="AC2992" s="107"/>
      <c r="AD2992" s="68">
        <f>AD1563/1.18-AD2278*'Mark Up Validation'!$S$105</f>
        <v>0</v>
      </c>
      <c r="AE2992" s="107"/>
      <c r="AF2992" s="135">
        <f>SUM(T2992,V2992,X2992,Z2992,AB2992,AD2992)</f>
        <v>0</v>
      </c>
      <c r="AG2992" s="107"/>
      <c r="AH2992" s="136">
        <f>SUM(AF2992,R2992)</f>
        <v>0</v>
      </c>
      <c r="AI2992" s="107"/>
      <c r="AJ2992" s="65"/>
      <c r="AV2992" s="56"/>
    </row>
    <row r="2993" spans="1:48" ht="13.5" customHeight="1" outlineLevel="2">
      <c r="B2993" s="82"/>
      <c r="C2993" s="425"/>
      <c r="D2993" s="425"/>
      <c r="E2993" s="634"/>
      <c r="F2993" s="635"/>
      <c r="G2993" s="428"/>
      <c r="H2993" s="635"/>
      <c r="I2993" s="428"/>
      <c r="J2993" s="635"/>
      <c r="K2993" s="636"/>
      <c r="L2993" s="635"/>
      <c r="M2993" s="636"/>
      <c r="N2993" s="635"/>
      <c r="O2993" s="636"/>
      <c r="P2993" s="635"/>
      <c r="Q2993" s="636"/>
      <c r="R2993" s="637"/>
      <c r="S2993" s="698">
        <f>SUM(R2273:R2277)/1.18-(SUM(R2988:R2992)*'Mark Up Validation'!$M$105)</f>
        <v>0</v>
      </c>
      <c r="T2993" s="635"/>
      <c r="U2993" s="636"/>
      <c r="V2993" s="635"/>
      <c r="W2993" s="636"/>
      <c r="X2993" s="635"/>
      <c r="Y2993" s="636"/>
      <c r="Z2993" s="635"/>
      <c r="AA2993" s="636"/>
      <c r="AB2993" s="635"/>
      <c r="AC2993" s="636"/>
      <c r="AD2993" s="635"/>
      <c r="AE2993" s="636"/>
      <c r="AF2993" s="637"/>
      <c r="AG2993" s="698">
        <f>SUM(AF2273:AF2277)/1.18-SUM(AF2988:AF2992)*'Mark Up Validation'!$M$175</f>
        <v>0</v>
      </c>
      <c r="AH2993" s="638"/>
      <c r="AI2993" s="698">
        <f>SUM(AH2273:AH2277)/1.18-SUM(AH2988:AH2992)*'Mark Up Validation'!$M$175</f>
        <v>0</v>
      </c>
      <c r="AJ2993" s="65"/>
      <c r="AV2993" s="56"/>
    </row>
    <row r="2994" spans="1:48" ht="13.5" customHeight="1" outlineLevel="2" thickBot="1">
      <c r="A2994" s="119"/>
      <c r="B2994" s="82"/>
      <c r="C2994" s="1228" t="s">
        <v>539</v>
      </c>
      <c r="D2994" s="1229"/>
      <c r="E2994" s="699"/>
      <c r="F2994" s="700">
        <f>SUM(F2988:F2992)</f>
        <v>0</v>
      </c>
      <c r="G2994" s="701"/>
      <c r="H2994" s="700">
        <f>SUM(H2988:H2992)</f>
        <v>0</v>
      </c>
      <c r="I2994" s="701"/>
      <c r="J2994" s="700">
        <f>SUM(J2988:J2992)</f>
        <v>0</v>
      </c>
      <c r="K2994" s="702"/>
      <c r="L2994" s="700">
        <f>SUM(L2988:L2992)</f>
        <v>0</v>
      </c>
      <c r="M2994" s="702"/>
      <c r="N2994" s="700">
        <f>SUM(N2988:N2992)</f>
        <v>0</v>
      </c>
      <c r="O2994" s="702"/>
      <c r="P2994" s="700">
        <f>SUM(P2988:P2992)</f>
        <v>0</v>
      </c>
      <c r="Q2994" s="702"/>
      <c r="R2994" s="703"/>
      <c r="S2994" s="729">
        <f>IF(S2993&gt;0,S2993/(SUM(R2273:R2277)/1.18),0)</f>
        <v>0</v>
      </c>
      <c r="T2994" s="700">
        <f>SUM(T2988:T2992)</f>
        <v>0</v>
      </c>
      <c r="U2994" s="702"/>
      <c r="V2994" s="700">
        <f>SUM(V2988:V2992)</f>
        <v>0</v>
      </c>
      <c r="W2994" s="702"/>
      <c r="X2994" s="700">
        <f>SUM(X2988:X2992)</f>
        <v>0</v>
      </c>
      <c r="Y2994" s="702"/>
      <c r="Z2994" s="700">
        <f>SUM(Z2988:Z2992)</f>
        <v>0</v>
      </c>
      <c r="AA2994" s="702"/>
      <c r="AB2994" s="700">
        <f>SUM(AB2988:AB2992)</f>
        <v>0</v>
      </c>
      <c r="AC2994" s="702"/>
      <c r="AD2994" s="700">
        <f>SUM(AD2988:AD2992)</f>
        <v>0</v>
      </c>
      <c r="AE2994" s="702"/>
      <c r="AF2994" s="705"/>
      <c r="AG2994" s="729">
        <f>IF(AG2993&gt;0,AG2993/(SUM(AF2273:AF2277)/1.18),0)</f>
        <v>0</v>
      </c>
      <c r="AH2994" s="706"/>
      <c r="AI2994" s="729">
        <f>IF(AI2993&gt;0,AI2993/(SUM(AH2273:AH2277)/1.18),0)</f>
        <v>0</v>
      </c>
      <c r="AJ2994" s="707"/>
      <c r="AV2994" s="56"/>
    </row>
    <row r="2995" spans="1:48" ht="12.75" customHeight="1" outlineLevel="2" thickBot="1">
      <c r="B2995" s="82">
        <f>B2988+1</f>
        <v>17</v>
      </c>
      <c r="C2995" s="1233">
        <f>C125</f>
        <v>0</v>
      </c>
      <c r="D2995" s="1233">
        <f>D125</f>
        <v>0</v>
      </c>
      <c r="E2995" s="83" t="str">
        <f>'Terms and Turnovers'!$J$12</f>
        <v>FLIP-FLOPS</v>
      </c>
      <c r="F2995" s="68">
        <f>F1566/1.18-F2281*'Mark Up Validation'!$M$105</f>
        <v>0</v>
      </c>
      <c r="G2995" s="106"/>
      <c r="H2995" s="68">
        <f>H1566/1.18-H2281*'Mark Up Validation'!$M$105</f>
        <v>0</v>
      </c>
      <c r="I2995" s="106"/>
      <c r="J2995" s="68">
        <f>J1566/1.18-J2281*'Mark Up Validation'!$M$105</f>
        <v>0</v>
      </c>
      <c r="K2995" s="106"/>
      <c r="L2995" s="68">
        <f>L1566/1.18-L2281*'Mark Up Validation'!$M$105</f>
        <v>0</v>
      </c>
      <c r="M2995" s="106"/>
      <c r="N2995" s="68">
        <f>N1566/1.18-N2281*'Mark Up Validation'!$M$105</f>
        <v>0</v>
      </c>
      <c r="O2995" s="106"/>
      <c r="P2995" s="68">
        <f>P1566/1.18-P2281*'Mark Up Validation'!$M$105</f>
        <v>0</v>
      </c>
      <c r="Q2995" s="106"/>
      <c r="R2995" s="129">
        <f>SUM(F2995,H2995,J2995,L2995,N2995,P2995)</f>
        <v>0</v>
      </c>
      <c r="S2995" s="106"/>
      <c r="T2995" s="68">
        <f>T1566/1.18-T2281*'Mark Up Validation'!$S$105</f>
        <v>0</v>
      </c>
      <c r="U2995" s="106"/>
      <c r="V2995" s="68">
        <f>V1566/1.18-V2281*'Mark Up Validation'!$S$105</f>
        <v>0</v>
      </c>
      <c r="W2995" s="106"/>
      <c r="X2995" s="68">
        <f>X1566/1.18-X2281*'Mark Up Validation'!$S$105</f>
        <v>0</v>
      </c>
      <c r="Y2995" s="106"/>
      <c r="Z2995" s="68">
        <f>Z1566/1.18-Z2281*'Mark Up Validation'!$S$105</f>
        <v>0</v>
      </c>
      <c r="AA2995" s="106"/>
      <c r="AB2995" s="68">
        <f>AB1566/1.18-AB2281*'Mark Up Validation'!$S$105</f>
        <v>0</v>
      </c>
      <c r="AC2995" s="106"/>
      <c r="AD2995" s="68">
        <f>AD1566/1.18-AD2281*'Mark Up Validation'!$S$105</f>
        <v>0</v>
      </c>
      <c r="AE2995" s="106"/>
      <c r="AF2995" s="129">
        <f>SUM(T2995,V2995,X2995,Z2995,AB2995,AD2995)</f>
        <v>0</v>
      </c>
      <c r="AG2995" s="106"/>
      <c r="AH2995" s="130">
        <f>SUM(AF2995,R2995)</f>
        <v>0</v>
      </c>
      <c r="AI2995" s="106"/>
      <c r="AJ2995" s="65"/>
      <c r="AV2995" s="56"/>
    </row>
    <row r="2996" spans="1:48" ht="12.75" customHeight="1" outlineLevel="2" thickBot="1">
      <c r="B2996" s="82"/>
      <c r="C2996" s="1234"/>
      <c r="D2996" s="1234"/>
      <c r="E2996" s="84" t="str">
        <f>'Terms and Turnovers'!$T$12</f>
        <v>ORIGINALS</v>
      </c>
      <c r="F2996" s="68">
        <f>F1567/1.18-F2282*'Mark Up Validation'!$M$105</f>
        <v>0</v>
      </c>
      <c r="G2996" s="728"/>
      <c r="H2996" s="68">
        <f>H1567/1.18-H2282*'Mark Up Validation'!$M$105</f>
        <v>0</v>
      </c>
      <c r="I2996" s="728"/>
      <c r="J2996" s="68">
        <f>J1567/1.18-J2282*'Mark Up Validation'!$M$105</f>
        <v>0</v>
      </c>
      <c r="K2996" s="728"/>
      <c r="L2996" s="68">
        <f>L1567/1.18-L2282*'Mark Up Validation'!$M$105</f>
        <v>0</v>
      </c>
      <c r="M2996" s="728"/>
      <c r="N2996" s="68">
        <f>N1567/1.18-N2282*'Mark Up Validation'!$M$105</f>
        <v>0</v>
      </c>
      <c r="O2996" s="728"/>
      <c r="P2996" s="68">
        <f>P1567/1.18-P2282*'Mark Up Validation'!$M$105</f>
        <v>0</v>
      </c>
      <c r="Q2996" s="728"/>
      <c r="R2996" s="132">
        <f>SUM(F2996,H2996,J2996,L2996,N2996,P2996)</f>
        <v>0</v>
      </c>
      <c r="S2996" s="728"/>
      <c r="T2996" s="68">
        <f>T1567/1.18-T2282*'Mark Up Validation'!$S$105</f>
        <v>0</v>
      </c>
      <c r="U2996" s="728"/>
      <c r="V2996" s="68">
        <f>V1567/1.18-V2282*'Mark Up Validation'!$S$105</f>
        <v>0</v>
      </c>
      <c r="W2996" s="728"/>
      <c r="X2996" s="68">
        <f>X1567/1.18-X2282*'Mark Up Validation'!$S$105</f>
        <v>0</v>
      </c>
      <c r="Y2996" s="728"/>
      <c r="Z2996" s="68">
        <f>Z1567/1.18-Z2282*'Mark Up Validation'!$S$105</f>
        <v>0</v>
      </c>
      <c r="AA2996" s="728"/>
      <c r="AB2996" s="68">
        <f>AB1567/1.18-AB2282*'Mark Up Validation'!$S$105</f>
        <v>0</v>
      </c>
      <c r="AC2996" s="728"/>
      <c r="AD2996" s="68">
        <f>AD1567/1.18-AD2282*'Mark Up Validation'!$S$105</f>
        <v>0</v>
      </c>
      <c r="AE2996" s="728"/>
      <c r="AF2996" s="132">
        <f>SUM(T2996,V2996,X2996,Z2996,AB2996,AD2996)</f>
        <v>0</v>
      </c>
      <c r="AG2996" s="728"/>
      <c r="AH2996" s="133">
        <f>SUM(AF2996,R2996)</f>
        <v>0</v>
      </c>
      <c r="AI2996" s="728"/>
      <c r="AJ2996" s="65"/>
      <c r="AV2996" s="56"/>
    </row>
    <row r="2997" spans="1:48" ht="12.75" customHeight="1" outlineLevel="2" thickBot="1">
      <c r="B2997" s="82"/>
      <c r="C2997" s="1234"/>
      <c r="D2997" s="1234"/>
      <c r="E2997" s="84" t="str">
        <f>'Terms and Turnovers'!$AD$12</f>
        <v>ACCESSORIES</v>
      </c>
      <c r="F2997" s="68">
        <f>F1568/1.18-F2283*'Mark Up Validation'!$M$105</f>
        <v>0</v>
      </c>
      <c r="G2997" s="106"/>
      <c r="H2997" s="68">
        <f>H1568/1.18-H2283*'Mark Up Validation'!$M$105</f>
        <v>0</v>
      </c>
      <c r="I2997" s="106"/>
      <c r="J2997" s="68">
        <f>J1568/1.18-J2283*'Mark Up Validation'!$M$105</f>
        <v>0</v>
      </c>
      <c r="K2997" s="106"/>
      <c r="L2997" s="68">
        <f>L1568/1.18-L2283*'Mark Up Validation'!$M$105</f>
        <v>0</v>
      </c>
      <c r="M2997" s="106"/>
      <c r="N2997" s="68">
        <f>N1568/1.18-N2283*'Mark Up Validation'!$M$105</f>
        <v>0</v>
      </c>
      <c r="O2997" s="106"/>
      <c r="P2997" s="68">
        <f>P1568/1.18-P2283*'Mark Up Validation'!$M$105</f>
        <v>0</v>
      </c>
      <c r="Q2997" s="728"/>
      <c r="R2997" s="132">
        <f>SUM(F2997,H2997,J2997,L2997,N2997,P2997)</f>
        <v>0</v>
      </c>
      <c r="S2997" s="728"/>
      <c r="T2997" s="68">
        <f>T1568/1.18-T2283*'Mark Up Validation'!$S$105</f>
        <v>0</v>
      </c>
      <c r="U2997" s="728"/>
      <c r="V2997" s="68">
        <f>V1568/1.18-V2283*'Mark Up Validation'!$S$105</f>
        <v>0</v>
      </c>
      <c r="W2997" s="728"/>
      <c r="X2997" s="68">
        <f>X1568/1.18-X2283*'Mark Up Validation'!$S$105</f>
        <v>0</v>
      </c>
      <c r="Y2997" s="728"/>
      <c r="Z2997" s="68">
        <f>Z1568/1.18-Z2283*'Mark Up Validation'!$S$105</f>
        <v>0</v>
      </c>
      <c r="AA2997" s="728"/>
      <c r="AB2997" s="68">
        <f>AB1568/1.18-AB2283*'Mark Up Validation'!$S$105</f>
        <v>0</v>
      </c>
      <c r="AC2997" s="728"/>
      <c r="AD2997" s="68">
        <f>AD1568/1.18-AD2283*'Mark Up Validation'!$S$105</f>
        <v>0</v>
      </c>
      <c r="AE2997" s="728"/>
      <c r="AF2997" s="132">
        <f>SUM(T2997,V2997,X2997,Z2997,AB2997,AD2997)</f>
        <v>0</v>
      </c>
      <c r="AG2997" s="728"/>
      <c r="AH2997" s="133">
        <f>SUM(AF2997,R2997)</f>
        <v>0</v>
      </c>
      <c r="AI2997" s="728"/>
      <c r="AJ2997" s="65"/>
      <c r="AV2997" s="56"/>
    </row>
    <row r="2998" spans="1:48" ht="12.75" customHeight="1" outlineLevel="2" thickBot="1">
      <c r="B2998" s="82"/>
      <c r="C2998" s="1234"/>
      <c r="D2998" s="1234"/>
      <c r="E2998" s="84">
        <f>'Terms and Turnovers'!$AN$12</f>
        <v>0</v>
      </c>
      <c r="F2998" s="68">
        <f>F1569/1.18-F2284*'Mark Up Validation'!$M$105</f>
        <v>0</v>
      </c>
      <c r="G2998" s="728"/>
      <c r="H2998" s="68">
        <f>H1569/1.18-H2284*'Mark Up Validation'!$M$105</f>
        <v>0</v>
      </c>
      <c r="I2998" s="728"/>
      <c r="J2998" s="68">
        <f>J1569/1.18-J2284*'Mark Up Validation'!$M$105</f>
        <v>0</v>
      </c>
      <c r="K2998" s="728"/>
      <c r="L2998" s="68">
        <f>L1569/1.18-L2284*'Mark Up Validation'!$M$105</f>
        <v>0</v>
      </c>
      <c r="M2998" s="728"/>
      <c r="N2998" s="68">
        <f>N1569/1.18-N2284*'Mark Up Validation'!$M$105</f>
        <v>0</v>
      </c>
      <c r="O2998" s="728"/>
      <c r="P2998" s="68">
        <f>P1569/1.18-P2284*'Mark Up Validation'!$M$105</f>
        <v>0</v>
      </c>
      <c r="Q2998" s="728"/>
      <c r="R2998" s="132">
        <f>SUM(F2998,H2998,J2998,L2998,N2998,P2998)</f>
        <v>0</v>
      </c>
      <c r="S2998" s="728"/>
      <c r="T2998" s="68">
        <f>T1569/1.18-T2284*'Mark Up Validation'!$S$105</f>
        <v>0</v>
      </c>
      <c r="U2998" s="728"/>
      <c r="V2998" s="68">
        <f>V1569/1.18-V2284*'Mark Up Validation'!$S$105</f>
        <v>0</v>
      </c>
      <c r="W2998" s="728"/>
      <c r="X2998" s="68">
        <f>X1569/1.18-X2284*'Mark Up Validation'!$S$105</f>
        <v>0</v>
      </c>
      <c r="Y2998" s="728"/>
      <c r="Z2998" s="68">
        <f>Z1569/1.18-Z2284*'Mark Up Validation'!$S$105</f>
        <v>0</v>
      </c>
      <c r="AA2998" s="728"/>
      <c r="AB2998" s="68">
        <f>AB1569/1.18-AB2284*'Mark Up Validation'!$S$105</f>
        <v>0</v>
      </c>
      <c r="AC2998" s="728"/>
      <c r="AD2998" s="68">
        <f>AD1569/1.18-AD2284*'Mark Up Validation'!$S$105</f>
        <v>0</v>
      </c>
      <c r="AE2998" s="728"/>
      <c r="AF2998" s="132">
        <f>SUM(T2998,V2998,X2998,Z2998,AB2998,AD2998)</f>
        <v>0</v>
      </c>
      <c r="AG2998" s="728"/>
      <c r="AH2998" s="133">
        <f>SUM(AF2998,R2998)</f>
        <v>0</v>
      </c>
      <c r="AI2998" s="728"/>
      <c r="AJ2998" s="65"/>
      <c r="AV2998" s="56"/>
    </row>
    <row r="2999" spans="1:48" ht="13.5" customHeight="1" outlineLevel="2" thickBot="1">
      <c r="B2999" s="82"/>
      <c r="C2999" s="1235"/>
      <c r="D2999" s="1235"/>
      <c r="E2999" s="85">
        <f>'Terms and Turnovers'!$AX$12</f>
        <v>0</v>
      </c>
      <c r="F2999" s="68">
        <f>F1570/1.18-F2285*'Mark Up Validation'!$M$105</f>
        <v>0</v>
      </c>
      <c r="G2999" s="106"/>
      <c r="H2999" s="68">
        <f>H1570/1.18-H2285*'Mark Up Validation'!$M$105</f>
        <v>0</v>
      </c>
      <c r="I2999" s="106"/>
      <c r="J2999" s="68">
        <f>J1570/1.18-J2285*'Mark Up Validation'!$M$105</f>
        <v>0</v>
      </c>
      <c r="K2999" s="106"/>
      <c r="L2999" s="68">
        <f>L1570/1.18-L2285*'Mark Up Validation'!$M$105</f>
        <v>0</v>
      </c>
      <c r="M2999" s="106"/>
      <c r="N2999" s="68">
        <f>N1570/1.18-N2285*'Mark Up Validation'!$M$105</f>
        <v>0</v>
      </c>
      <c r="O2999" s="106"/>
      <c r="P2999" s="68">
        <f>P1570/1.18-P2285*'Mark Up Validation'!$M$105</f>
        <v>0</v>
      </c>
      <c r="Q2999" s="107"/>
      <c r="R2999" s="135">
        <f>SUM(F2999,H2999,J2999,L2999,N2999,P2999)</f>
        <v>0</v>
      </c>
      <c r="S2999" s="107"/>
      <c r="T2999" s="68">
        <f>T1570/1.18-T2285*'Mark Up Validation'!$S$105</f>
        <v>0</v>
      </c>
      <c r="U2999" s="107"/>
      <c r="V2999" s="68">
        <f>V1570/1.18-V2285*'Mark Up Validation'!$S$105</f>
        <v>0</v>
      </c>
      <c r="W2999" s="107"/>
      <c r="X2999" s="68">
        <f>X1570/1.18-X2285*'Mark Up Validation'!$S$105</f>
        <v>0</v>
      </c>
      <c r="Y2999" s="107"/>
      <c r="Z2999" s="68">
        <f>Z1570/1.18-Z2285*'Mark Up Validation'!$S$105</f>
        <v>0</v>
      </c>
      <c r="AA2999" s="107"/>
      <c r="AB2999" s="68">
        <f>AB1570/1.18-AB2285*'Mark Up Validation'!$S$105</f>
        <v>0</v>
      </c>
      <c r="AC2999" s="107"/>
      <c r="AD2999" s="68">
        <f>AD1570/1.18-AD2285*'Mark Up Validation'!$S$105</f>
        <v>0</v>
      </c>
      <c r="AE2999" s="107"/>
      <c r="AF2999" s="135">
        <f>SUM(T2999,V2999,X2999,Z2999,AB2999,AD2999)</f>
        <v>0</v>
      </c>
      <c r="AG2999" s="107"/>
      <c r="AH2999" s="136">
        <f>SUM(AF2999,R2999)</f>
        <v>0</v>
      </c>
      <c r="AI2999" s="107"/>
      <c r="AJ2999" s="65"/>
      <c r="AV2999" s="56"/>
    </row>
    <row r="3000" spans="1:48" ht="13.5" customHeight="1" outlineLevel="2">
      <c r="B3000" s="82"/>
      <c r="C3000" s="425"/>
      <c r="D3000" s="425"/>
      <c r="E3000" s="634"/>
      <c r="F3000" s="635"/>
      <c r="G3000" s="428"/>
      <c r="H3000" s="635"/>
      <c r="I3000" s="428"/>
      <c r="J3000" s="635"/>
      <c r="K3000" s="636"/>
      <c r="L3000" s="635"/>
      <c r="M3000" s="636"/>
      <c r="N3000" s="635"/>
      <c r="O3000" s="636"/>
      <c r="P3000" s="635"/>
      <c r="Q3000" s="636"/>
      <c r="R3000" s="637"/>
      <c r="S3000" s="698">
        <f>SUM(R2280:R2284)/1.18-(SUM(R2995:R2999)*'Mark Up Validation'!$M$105)</f>
        <v>0</v>
      </c>
      <c r="T3000" s="635"/>
      <c r="U3000" s="636"/>
      <c r="V3000" s="635"/>
      <c r="W3000" s="636"/>
      <c r="X3000" s="635"/>
      <c r="Y3000" s="636"/>
      <c r="Z3000" s="635"/>
      <c r="AA3000" s="636"/>
      <c r="AB3000" s="635"/>
      <c r="AC3000" s="636"/>
      <c r="AD3000" s="635"/>
      <c r="AE3000" s="636"/>
      <c r="AF3000" s="637"/>
      <c r="AG3000" s="698">
        <f>SUM(AF2280:AF2284)/1.18-SUM(AF2995:AF2999)*'Mark Up Validation'!$M$175</f>
        <v>0</v>
      </c>
      <c r="AH3000" s="638"/>
      <c r="AI3000" s="698">
        <f>SUM(AH2280:AH2284)/1.18-SUM(AH2995:AH2999)*'Mark Up Validation'!$M$175</f>
        <v>0</v>
      </c>
      <c r="AJ3000" s="65"/>
      <c r="AV3000" s="56"/>
    </row>
    <row r="3001" spans="1:48" ht="13.5" customHeight="1" outlineLevel="2" thickBot="1">
      <c r="A3001" s="119"/>
      <c r="B3001" s="82"/>
      <c r="C3001" s="1228" t="s">
        <v>539</v>
      </c>
      <c r="D3001" s="1229"/>
      <c r="E3001" s="699"/>
      <c r="F3001" s="700">
        <f>SUM(F2995:F2999)</f>
        <v>0</v>
      </c>
      <c r="G3001" s="701"/>
      <c r="H3001" s="700">
        <f>SUM(H2995:H2999)</f>
        <v>0</v>
      </c>
      <c r="I3001" s="701"/>
      <c r="J3001" s="700">
        <f>SUM(J2995:J2999)</f>
        <v>0</v>
      </c>
      <c r="K3001" s="702"/>
      <c r="L3001" s="700">
        <f>SUM(L2995:L2999)</f>
        <v>0</v>
      </c>
      <c r="M3001" s="702"/>
      <c r="N3001" s="700">
        <f>SUM(N2995:N2999)</f>
        <v>0</v>
      </c>
      <c r="O3001" s="702"/>
      <c r="P3001" s="700">
        <f>SUM(P2995:P2999)</f>
        <v>0</v>
      </c>
      <c r="Q3001" s="702"/>
      <c r="R3001" s="703"/>
      <c r="S3001" s="729">
        <f>IF(S3000&gt;0,S3000/(SUM(R2280:R2284)/1.18),0)</f>
        <v>0</v>
      </c>
      <c r="T3001" s="700">
        <f>SUM(T2995:T2999)</f>
        <v>0</v>
      </c>
      <c r="U3001" s="702"/>
      <c r="V3001" s="700">
        <f>SUM(V2995:V2999)</f>
        <v>0</v>
      </c>
      <c r="W3001" s="702"/>
      <c r="X3001" s="700">
        <f>SUM(X2995:X2999)</f>
        <v>0</v>
      </c>
      <c r="Y3001" s="702"/>
      <c r="Z3001" s="700">
        <f>SUM(Z2995:Z2999)</f>
        <v>0</v>
      </c>
      <c r="AA3001" s="702"/>
      <c r="AB3001" s="700">
        <f>SUM(AB2995:AB2999)</f>
        <v>0</v>
      </c>
      <c r="AC3001" s="702"/>
      <c r="AD3001" s="700">
        <f>SUM(AD2995:AD2999)</f>
        <v>0</v>
      </c>
      <c r="AE3001" s="702"/>
      <c r="AF3001" s="705"/>
      <c r="AG3001" s="729">
        <f>IF(AG3000&gt;0,AG3000/(SUM(AF2280:AF2284)/1.18),0)</f>
        <v>0</v>
      </c>
      <c r="AH3001" s="706"/>
      <c r="AI3001" s="729">
        <f>IF(AI3000&gt;0,AI3000/(SUM(AH2280:AH2284)/1.18),0)</f>
        <v>0</v>
      </c>
      <c r="AJ3001" s="707"/>
      <c r="AV3001" s="56"/>
    </row>
    <row r="3002" spans="1:48" ht="12.75" customHeight="1" outlineLevel="2" thickBot="1">
      <c r="B3002" s="82">
        <f>B2995+1</f>
        <v>18</v>
      </c>
      <c r="C3002" s="1233">
        <f>C132</f>
        <v>0</v>
      </c>
      <c r="D3002" s="1233">
        <f>D132</f>
        <v>0</v>
      </c>
      <c r="E3002" s="83" t="str">
        <f>'Terms and Turnovers'!$J$12</f>
        <v>FLIP-FLOPS</v>
      </c>
      <c r="F3002" s="68">
        <f>F1573/1.18-F2288*'Mark Up Validation'!$M$105</f>
        <v>0</v>
      </c>
      <c r="G3002" s="106"/>
      <c r="H3002" s="68">
        <f>H1573/1.18-H2288*'Mark Up Validation'!$M$105</f>
        <v>0</v>
      </c>
      <c r="I3002" s="106"/>
      <c r="J3002" s="68">
        <f>J1573/1.18-J2288*'Mark Up Validation'!$M$105</f>
        <v>0</v>
      </c>
      <c r="K3002" s="106"/>
      <c r="L3002" s="68">
        <f>L1573/1.18-L2288*'Mark Up Validation'!$M$105</f>
        <v>0</v>
      </c>
      <c r="M3002" s="106"/>
      <c r="N3002" s="68">
        <f>N1573/1.18-N2288*'Mark Up Validation'!$M$105</f>
        <v>0</v>
      </c>
      <c r="O3002" s="106"/>
      <c r="P3002" s="68">
        <f>P1573/1.18-P2288*'Mark Up Validation'!$M$105</f>
        <v>0</v>
      </c>
      <c r="Q3002" s="106"/>
      <c r="R3002" s="129">
        <f>SUM(F3002,H3002,J3002,L3002,N3002,P3002)</f>
        <v>0</v>
      </c>
      <c r="S3002" s="106"/>
      <c r="T3002" s="68">
        <f>T1573/1.18-T2288*'Mark Up Validation'!$S$105</f>
        <v>0</v>
      </c>
      <c r="U3002" s="106"/>
      <c r="V3002" s="68">
        <f>V1573/1.18-V2288*'Mark Up Validation'!$S$105</f>
        <v>0</v>
      </c>
      <c r="W3002" s="106"/>
      <c r="X3002" s="68">
        <f>X1573/1.18-X2288*'Mark Up Validation'!$S$105</f>
        <v>0</v>
      </c>
      <c r="Y3002" s="106"/>
      <c r="Z3002" s="68">
        <f>Z1573/1.18-Z2288*'Mark Up Validation'!$S$105</f>
        <v>0</v>
      </c>
      <c r="AA3002" s="106"/>
      <c r="AB3002" s="68">
        <f>AB1573/1.18-AB2288*'Mark Up Validation'!$S$105</f>
        <v>0</v>
      </c>
      <c r="AC3002" s="106"/>
      <c r="AD3002" s="68">
        <f>AD1573/1.18-AD2288*'Mark Up Validation'!$S$105</f>
        <v>0</v>
      </c>
      <c r="AE3002" s="106"/>
      <c r="AF3002" s="129">
        <f>SUM(T3002,V3002,X3002,Z3002,AB3002,AD3002)</f>
        <v>0</v>
      </c>
      <c r="AG3002" s="106"/>
      <c r="AH3002" s="130">
        <f>SUM(AF3002,R3002)</f>
        <v>0</v>
      </c>
      <c r="AI3002" s="106"/>
      <c r="AJ3002" s="65"/>
      <c r="AV3002" s="56"/>
    </row>
    <row r="3003" spans="1:48" ht="12.75" customHeight="1" outlineLevel="2" thickBot="1">
      <c r="B3003" s="82"/>
      <c r="C3003" s="1234"/>
      <c r="D3003" s="1234"/>
      <c r="E3003" s="84" t="str">
        <f>'Terms and Turnovers'!$T$12</f>
        <v>ORIGINALS</v>
      </c>
      <c r="F3003" s="68">
        <f>F1574/1.18-F2289*'Mark Up Validation'!$M$105</f>
        <v>0</v>
      </c>
      <c r="G3003" s="728"/>
      <c r="H3003" s="68">
        <f>H1574/1.18-H2289*'Mark Up Validation'!$M$105</f>
        <v>0</v>
      </c>
      <c r="I3003" s="728"/>
      <c r="J3003" s="68">
        <f>J1574/1.18-J2289*'Mark Up Validation'!$M$105</f>
        <v>0</v>
      </c>
      <c r="K3003" s="728"/>
      <c r="L3003" s="68">
        <f>L1574/1.18-L2289*'Mark Up Validation'!$M$105</f>
        <v>0</v>
      </c>
      <c r="M3003" s="728"/>
      <c r="N3003" s="68">
        <f>N1574/1.18-N2289*'Mark Up Validation'!$M$105</f>
        <v>0</v>
      </c>
      <c r="O3003" s="728"/>
      <c r="P3003" s="68">
        <f>P1574/1.18-P2289*'Mark Up Validation'!$M$105</f>
        <v>0</v>
      </c>
      <c r="Q3003" s="728"/>
      <c r="R3003" s="132">
        <f>SUM(F3003,H3003,J3003,L3003,N3003,P3003)</f>
        <v>0</v>
      </c>
      <c r="S3003" s="728"/>
      <c r="T3003" s="68">
        <f>T1574/1.18-T2289*'Mark Up Validation'!$S$105</f>
        <v>0</v>
      </c>
      <c r="U3003" s="728"/>
      <c r="V3003" s="68">
        <f>V1574/1.18-V2289*'Mark Up Validation'!$S$105</f>
        <v>0</v>
      </c>
      <c r="W3003" s="728"/>
      <c r="X3003" s="68">
        <f>X1574/1.18-X2289*'Mark Up Validation'!$S$105</f>
        <v>0</v>
      </c>
      <c r="Y3003" s="728"/>
      <c r="Z3003" s="68">
        <f>Z1574/1.18-Z2289*'Mark Up Validation'!$S$105</f>
        <v>0</v>
      </c>
      <c r="AA3003" s="728"/>
      <c r="AB3003" s="68">
        <f>AB1574/1.18-AB2289*'Mark Up Validation'!$S$105</f>
        <v>0</v>
      </c>
      <c r="AC3003" s="728"/>
      <c r="AD3003" s="68">
        <f>AD1574/1.18-AD2289*'Mark Up Validation'!$S$105</f>
        <v>0</v>
      </c>
      <c r="AE3003" s="728"/>
      <c r="AF3003" s="132">
        <f>SUM(T3003,V3003,X3003,Z3003,AB3003,AD3003)</f>
        <v>0</v>
      </c>
      <c r="AG3003" s="728"/>
      <c r="AH3003" s="133">
        <f>SUM(AF3003,R3003)</f>
        <v>0</v>
      </c>
      <c r="AI3003" s="728"/>
      <c r="AJ3003" s="65"/>
      <c r="AV3003" s="56"/>
    </row>
    <row r="3004" spans="1:48" ht="12.75" customHeight="1" outlineLevel="2" thickBot="1">
      <c r="B3004" s="82"/>
      <c r="C3004" s="1234"/>
      <c r="D3004" s="1234"/>
      <c r="E3004" s="84" t="str">
        <f>'Terms and Turnovers'!$AD$12</f>
        <v>ACCESSORIES</v>
      </c>
      <c r="F3004" s="68">
        <f>F1575/1.18-F2290*'Mark Up Validation'!$M$105</f>
        <v>0</v>
      </c>
      <c r="G3004" s="106"/>
      <c r="H3004" s="68">
        <f>H1575/1.18-H2290*'Mark Up Validation'!$M$105</f>
        <v>0</v>
      </c>
      <c r="I3004" s="106"/>
      <c r="J3004" s="68">
        <f>J1575/1.18-J2290*'Mark Up Validation'!$M$105</f>
        <v>0</v>
      </c>
      <c r="K3004" s="106"/>
      <c r="L3004" s="68">
        <f>L1575/1.18-L2290*'Mark Up Validation'!$M$105</f>
        <v>0</v>
      </c>
      <c r="M3004" s="106"/>
      <c r="N3004" s="68">
        <f>N1575/1.18-N2290*'Mark Up Validation'!$M$105</f>
        <v>0</v>
      </c>
      <c r="O3004" s="106"/>
      <c r="P3004" s="68">
        <f>P1575/1.18-P2290*'Mark Up Validation'!$M$105</f>
        <v>0</v>
      </c>
      <c r="Q3004" s="728"/>
      <c r="R3004" s="132">
        <f>SUM(F3004,H3004,J3004,L3004,N3004,P3004)</f>
        <v>0</v>
      </c>
      <c r="S3004" s="728"/>
      <c r="T3004" s="68">
        <f>T1575/1.18-T2290*'Mark Up Validation'!$S$105</f>
        <v>0</v>
      </c>
      <c r="U3004" s="728"/>
      <c r="V3004" s="68">
        <f>V1575/1.18-V2290*'Mark Up Validation'!$S$105</f>
        <v>0</v>
      </c>
      <c r="W3004" s="728"/>
      <c r="X3004" s="68">
        <f>X1575/1.18-X2290*'Mark Up Validation'!$S$105</f>
        <v>0</v>
      </c>
      <c r="Y3004" s="728"/>
      <c r="Z3004" s="68">
        <f>Z1575/1.18-Z2290*'Mark Up Validation'!$S$105</f>
        <v>0</v>
      </c>
      <c r="AA3004" s="728"/>
      <c r="AB3004" s="68">
        <f>AB1575/1.18-AB2290*'Mark Up Validation'!$S$105</f>
        <v>0</v>
      </c>
      <c r="AC3004" s="728"/>
      <c r="AD3004" s="68">
        <f>AD1575/1.18-AD2290*'Mark Up Validation'!$S$105</f>
        <v>0</v>
      </c>
      <c r="AE3004" s="728"/>
      <c r="AF3004" s="132">
        <f>SUM(T3004,V3004,X3004,Z3004,AB3004,AD3004)</f>
        <v>0</v>
      </c>
      <c r="AG3004" s="728"/>
      <c r="AH3004" s="133">
        <f>SUM(AF3004,R3004)</f>
        <v>0</v>
      </c>
      <c r="AI3004" s="728"/>
      <c r="AJ3004" s="65"/>
      <c r="AV3004" s="56"/>
    </row>
    <row r="3005" spans="1:48" ht="12.75" customHeight="1" outlineLevel="2" thickBot="1">
      <c r="B3005" s="82"/>
      <c r="C3005" s="1234"/>
      <c r="D3005" s="1234"/>
      <c r="E3005" s="84">
        <f>'Terms and Turnovers'!$AN$12</f>
        <v>0</v>
      </c>
      <c r="F3005" s="68">
        <f>F1576/1.18-F2291*'Mark Up Validation'!$M$105</f>
        <v>0</v>
      </c>
      <c r="G3005" s="728"/>
      <c r="H3005" s="68">
        <f>H1576/1.18-H2291*'Mark Up Validation'!$M$105</f>
        <v>0</v>
      </c>
      <c r="I3005" s="728"/>
      <c r="J3005" s="68">
        <f>J1576/1.18-J2291*'Mark Up Validation'!$M$105</f>
        <v>0</v>
      </c>
      <c r="K3005" s="728"/>
      <c r="L3005" s="68">
        <f>L1576/1.18-L2291*'Mark Up Validation'!$M$105</f>
        <v>0</v>
      </c>
      <c r="M3005" s="728"/>
      <c r="N3005" s="68">
        <f>N1576/1.18-N2291*'Mark Up Validation'!$M$105</f>
        <v>0</v>
      </c>
      <c r="O3005" s="728"/>
      <c r="P3005" s="68">
        <f>P1576/1.18-P2291*'Mark Up Validation'!$M$105</f>
        <v>0</v>
      </c>
      <c r="Q3005" s="728"/>
      <c r="R3005" s="132">
        <f>SUM(F3005,H3005,J3005,L3005,N3005,P3005)</f>
        <v>0</v>
      </c>
      <c r="S3005" s="728"/>
      <c r="T3005" s="68">
        <f>T1576/1.18-T2291*'Mark Up Validation'!$S$105</f>
        <v>0</v>
      </c>
      <c r="U3005" s="728"/>
      <c r="V3005" s="68">
        <f>V1576/1.18-V2291*'Mark Up Validation'!$S$105</f>
        <v>0</v>
      </c>
      <c r="W3005" s="728"/>
      <c r="X3005" s="68">
        <f>X1576/1.18-X2291*'Mark Up Validation'!$S$105</f>
        <v>0</v>
      </c>
      <c r="Y3005" s="728"/>
      <c r="Z3005" s="68">
        <f>Z1576/1.18-Z2291*'Mark Up Validation'!$S$105</f>
        <v>0</v>
      </c>
      <c r="AA3005" s="728"/>
      <c r="AB3005" s="68">
        <f>AB1576/1.18-AB2291*'Mark Up Validation'!$S$105</f>
        <v>0</v>
      </c>
      <c r="AC3005" s="728"/>
      <c r="AD3005" s="68">
        <f>AD1576/1.18-AD2291*'Mark Up Validation'!$S$105</f>
        <v>0</v>
      </c>
      <c r="AE3005" s="728"/>
      <c r="AF3005" s="132">
        <f>SUM(T3005,V3005,X3005,Z3005,AB3005,AD3005)</f>
        <v>0</v>
      </c>
      <c r="AG3005" s="728"/>
      <c r="AH3005" s="133">
        <f>SUM(AF3005,R3005)</f>
        <v>0</v>
      </c>
      <c r="AI3005" s="728"/>
      <c r="AJ3005" s="65"/>
      <c r="AV3005" s="56"/>
    </row>
    <row r="3006" spans="1:48" ht="13.5" customHeight="1" outlineLevel="2" thickBot="1">
      <c r="B3006" s="82"/>
      <c r="C3006" s="1235"/>
      <c r="D3006" s="1235"/>
      <c r="E3006" s="85">
        <f>'Terms and Turnovers'!$AX$12</f>
        <v>0</v>
      </c>
      <c r="F3006" s="68">
        <f>F1577/1.18-F2292*'Mark Up Validation'!$M$105</f>
        <v>0</v>
      </c>
      <c r="G3006" s="106"/>
      <c r="H3006" s="68">
        <f>H1577/1.18-H2292*'Mark Up Validation'!$M$105</f>
        <v>0</v>
      </c>
      <c r="I3006" s="106"/>
      <c r="J3006" s="68">
        <f>J1577/1.18-J2292*'Mark Up Validation'!$M$105</f>
        <v>0</v>
      </c>
      <c r="K3006" s="106"/>
      <c r="L3006" s="68">
        <f>L1577/1.18-L2292*'Mark Up Validation'!$M$105</f>
        <v>0</v>
      </c>
      <c r="M3006" s="106"/>
      <c r="N3006" s="68">
        <f>N1577/1.18-N2292*'Mark Up Validation'!$M$105</f>
        <v>0</v>
      </c>
      <c r="O3006" s="106"/>
      <c r="P3006" s="68">
        <f>P1577/1.18-P2292*'Mark Up Validation'!$M$105</f>
        <v>0</v>
      </c>
      <c r="Q3006" s="107"/>
      <c r="R3006" s="135">
        <f>SUM(F3006,H3006,J3006,L3006,N3006,P3006)</f>
        <v>0</v>
      </c>
      <c r="S3006" s="107"/>
      <c r="T3006" s="68">
        <f>T1577/1.18-T2292*'Mark Up Validation'!$S$105</f>
        <v>0</v>
      </c>
      <c r="U3006" s="107"/>
      <c r="V3006" s="68">
        <f>V1577/1.18-V2292*'Mark Up Validation'!$S$105</f>
        <v>0</v>
      </c>
      <c r="W3006" s="107"/>
      <c r="X3006" s="68">
        <f>X1577/1.18-X2292*'Mark Up Validation'!$S$105</f>
        <v>0</v>
      </c>
      <c r="Y3006" s="107"/>
      <c r="Z3006" s="68">
        <f>Z1577/1.18-Z2292*'Mark Up Validation'!$S$105</f>
        <v>0</v>
      </c>
      <c r="AA3006" s="107"/>
      <c r="AB3006" s="68">
        <f>AB1577/1.18-AB2292*'Mark Up Validation'!$S$105</f>
        <v>0</v>
      </c>
      <c r="AC3006" s="107"/>
      <c r="AD3006" s="68">
        <f>AD1577/1.18-AD2292*'Mark Up Validation'!$S$105</f>
        <v>0</v>
      </c>
      <c r="AE3006" s="107"/>
      <c r="AF3006" s="135">
        <f>SUM(T3006,V3006,X3006,Z3006,AB3006,AD3006)</f>
        <v>0</v>
      </c>
      <c r="AG3006" s="107"/>
      <c r="AH3006" s="136">
        <f>SUM(AF3006,R3006)</f>
        <v>0</v>
      </c>
      <c r="AI3006" s="107"/>
      <c r="AJ3006" s="65"/>
      <c r="AV3006" s="56"/>
    </row>
    <row r="3007" spans="1:48" ht="13.5" customHeight="1" outlineLevel="2">
      <c r="B3007" s="82"/>
      <c r="C3007" s="425"/>
      <c r="D3007" s="425"/>
      <c r="E3007" s="634"/>
      <c r="F3007" s="635"/>
      <c r="G3007" s="428"/>
      <c r="H3007" s="635"/>
      <c r="I3007" s="428"/>
      <c r="J3007" s="635"/>
      <c r="K3007" s="636"/>
      <c r="L3007" s="635"/>
      <c r="M3007" s="636"/>
      <c r="N3007" s="635"/>
      <c r="O3007" s="636"/>
      <c r="P3007" s="635"/>
      <c r="Q3007" s="636"/>
      <c r="R3007" s="637"/>
      <c r="S3007" s="698">
        <f>SUM(R2287:R2291)/1.18-(SUM(R3002:R3006)*'Mark Up Validation'!$M$105)</f>
        <v>0</v>
      </c>
      <c r="T3007" s="635"/>
      <c r="U3007" s="636"/>
      <c r="V3007" s="635"/>
      <c r="W3007" s="636"/>
      <c r="X3007" s="635"/>
      <c r="Y3007" s="636"/>
      <c r="Z3007" s="635"/>
      <c r="AA3007" s="636"/>
      <c r="AB3007" s="635"/>
      <c r="AC3007" s="636"/>
      <c r="AD3007" s="635"/>
      <c r="AE3007" s="636"/>
      <c r="AF3007" s="637"/>
      <c r="AG3007" s="698">
        <f>SUM(AF2287:AF2291)/1.18-SUM(AF3002:AF3006)*'Mark Up Validation'!$M$175</f>
        <v>0</v>
      </c>
      <c r="AH3007" s="638"/>
      <c r="AI3007" s="698">
        <f>SUM(AH2287:AH2291)/1.18-SUM(AH3002:AH3006)*'Mark Up Validation'!$M$175</f>
        <v>0</v>
      </c>
      <c r="AJ3007" s="65"/>
      <c r="AV3007" s="56"/>
    </row>
    <row r="3008" spans="1:48" ht="13.5" customHeight="1" outlineLevel="2" thickBot="1">
      <c r="A3008" s="119"/>
      <c r="B3008" s="82"/>
      <c r="C3008" s="1228" t="s">
        <v>539</v>
      </c>
      <c r="D3008" s="1229"/>
      <c r="E3008" s="699"/>
      <c r="F3008" s="700">
        <f>SUM(F3002:F3006)</f>
        <v>0</v>
      </c>
      <c r="G3008" s="701"/>
      <c r="H3008" s="700">
        <f>SUM(H3002:H3006)</f>
        <v>0</v>
      </c>
      <c r="I3008" s="701"/>
      <c r="J3008" s="700">
        <f>SUM(J3002:J3006)</f>
        <v>0</v>
      </c>
      <c r="K3008" s="702"/>
      <c r="L3008" s="700">
        <f>SUM(L3002:L3006)</f>
        <v>0</v>
      </c>
      <c r="M3008" s="702"/>
      <c r="N3008" s="700">
        <f>SUM(N3002:N3006)</f>
        <v>0</v>
      </c>
      <c r="O3008" s="702"/>
      <c r="P3008" s="700">
        <f>SUM(P3002:P3006)</f>
        <v>0</v>
      </c>
      <c r="Q3008" s="702"/>
      <c r="R3008" s="703"/>
      <c r="S3008" s="729">
        <f>IF(S3007&gt;0,S3007/(SUM(R2287:R2291)/1.18),0)</f>
        <v>0</v>
      </c>
      <c r="T3008" s="700">
        <f>SUM(T3002:T3006)</f>
        <v>0</v>
      </c>
      <c r="U3008" s="702"/>
      <c r="V3008" s="700">
        <f>SUM(V3002:V3006)</f>
        <v>0</v>
      </c>
      <c r="W3008" s="702"/>
      <c r="X3008" s="700">
        <f>SUM(X3002:X3006)</f>
        <v>0</v>
      </c>
      <c r="Y3008" s="702"/>
      <c r="Z3008" s="700">
        <f>SUM(Z3002:Z3006)</f>
        <v>0</v>
      </c>
      <c r="AA3008" s="702"/>
      <c r="AB3008" s="700">
        <f>SUM(AB3002:AB3006)</f>
        <v>0</v>
      </c>
      <c r="AC3008" s="702"/>
      <c r="AD3008" s="700">
        <f>SUM(AD3002:AD3006)</f>
        <v>0</v>
      </c>
      <c r="AE3008" s="702"/>
      <c r="AF3008" s="705"/>
      <c r="AG3008" s="729">
        <f>IF(AG3007&gt;0,AG3007/(SUM(AF2287:AF2291)/1.18),0)</f>
        <v>0</v>
      </c>
      <c r="AH3008" s="706"/>
      <c r="AI3008" s="729">
        <f>IF(AI3007&gt;0,AI3007/(SUM(AH2287:AH2291)/1.18),0)</f>
        <v>0</v>
      </c>
      <c r="AJ3008" s="707"/>
      <c r="AV3008" s="56"/>
    </row>
    <row r="3009" spans="1:48" ht="12.75" customHeight="1" outlineLevel="2" thickBot="1">
      <c r="B3009" s="82">
        <f>B3002+1</f>
        <v>19</v>
      </c>
      <c r="C3009" s="1233">
        <f>C139</f>
        <v>0</v>
      </c>
      <c r="D3009" s="1233">
        <f>D139</f>
        <v>0</v>
      </c>
      <c r="E3009" s="83" t="str">
        <f>'Terms and Turnovers'!$J$12</f>
        <v>FLIP-FLOPS</v>
      </c>
      <c r="F3009" s="68">
        <f>F1580/1.18-F2295*'Mark Up Validation'!$M$105</f>
        <v>0</v>
      </c>
      <c r="G3009" s="106"/>
      <c r="H3009" s="68">
        <f>H1580/1.18-H2295*'Mark Up Validation'!$M$105</f>
        <v>0</v>
      </c>
      <c r="I3009" s="106"/>
      <c r="J3009" s="68">
        <f>J1580/1.18-J2295*'Mark Up Validation'!$M$105</f>
        <v>0</v>
      </c>
      <c r="K3009" s="106"/>
      <c r="L3009" s="68">
        <f>L1580/1.18-L2295*'Mark Up Validation'!$M$105</f>
        <v>0</v>
      </c>
      <c r="M3009" s="106"/>
      <c r="N3009" s="68">
        <f>N1580/1.18-N2295*'Mark Up Validation'!$M$105</f>
        <v>0</v>
      </c>
      <c r="O3009" s="106"/>
      <c r="P3009" s="68">
        <f>P1580/1.18-P2295*'Mark Up Validation'!$M$105</f>
        <v>0</v>
      </c>
      <c r="Q3009" s="106"/>
      <c r="R3009" s="129">
        <f>SUM(F3009,H3009,J3009,L3009,N3009,P3009)</f>
        <v>0</v>
      </c>
      <c r="S3009" s="106"/>
      <c r="T3009" s="68">
        <f>T1580/1.18-T2295*'Mark Up Validation'!$S$105</f>
        <v>0</v>
      </c>
      <c r="U3009" s="106"/>
      <c r="V3009" s="68">
        <f>V1580/1.18-V2295*'Mark Up Validation'!$S$105</f>
        <v>0</v>
      </c>
      <c r="W3009" s="106"/>
      <c r="X3009" s="68">
        <f>X1580/1.18-X2295*'Mark Up Validation'!$S$105</f>
        <v>0</v>
      </c>
      <c r="Y3009" s="106"/>
      <c r="Z3009" s="68">
        <f>Z1580/1.18-Z2295*'Mark Up Validation'!$S$105</f>
        <v>0</v>
      </c>
      <c r="AA3009" s="106"/>
      <c r="AB3009" s="68">
        <f>AB1580/1.18-AB2295*'Mark Up Validation'!$S$105</f>
        <v>0</v>
      </c>
      <c r="AC3009" s="106"/>
      <c r="AD3009" s="68">
        <f>AD1580/1.18-AD2295*'Mark Up Validation'!$S$105</f>
        <v>0</v>
      </c>
      <c r="AE3009" s="106"/>
      <c r="AF3009" s="129">
        <f>SUM(T3009,V3009,X3009,Z3009,AB3009,AD3009)</f>
        <v>0</v>
      </c>
      <c r="AG3009" s="106"/>
      <c r="AH3009" s="130">
        <f>SUM(AF3009,R3009)</f>
        <v>0</v>
      </c>
      <c r="AI3009" s="106"/>
      <c r="AJ3009" s="65"/>
      <c r="AV3009" s="56"/>
    </row>
    <row r="3010" spans="1:48" ht="12.75" customHeight="1" outlineLevel="2" thickBot="1">
      <c r="B3010" s="82"/>
      <c r="C3010" s="1234"/>
      <c r="D3010" s="1234"/>
      <c r="E3010" s="84" t="str">
        <f>'Terms and Turnovers'!$T$12</f>
        <v>ORIGINALS</v>
      </c>
      <c r="F3010" s="68">
        <f>F1581/1.18-F2296*'Mark Up Validation'!$M$105</f>
        <v>0</v>
      </c>
      <c r="G3010" s="728"/>
      <c r="H3010" s="68">
        <f>H1581/1.18-H2296*'Mark Up Validation'!$M$105</f>
        <v>0</v>
      </c>
      <c r="I3010" s="728"/>
      <c r="J3010" s="68">
        <f>J1581/1.18-J2296*'Mark Up Validation'!$M$105</f>
        <v>0</v>
      </c>
      <c r="K3010" s="728"/>
      <c r="L3010" s="68">
        <f>L1581/1.18-L2296*'Mark Up Validation'!$M$105</f>
        <v>0</v>
      </c>
      <c r="M3010" s="728"/>
      <c r="N3010" s="68">
        <f>N1581/1.18-N2296*'Mark Up Validation'!$M$105</f>
        <v>0</v>
      </c>
      <c r="O3010" s="728"/>
      <c r="P3010" s="68">
        <f>P1581/1.18-P2296*'Mark Up Validation'!$M$105</f>
        <v>0</v>
      </c>
      <c r="Q3010" s="728"/>
      <c r="R3010" s="132">
        <f>SUM(F3010,H3010,J3010,L3010,N3010,P3010)</f>
        <v>0</v>
      </c>
      <c r="S3010" s="728"/>
      <c r="T3010" s="68">
        <f>T1581/1.18-T2296*'Mark Up Validation'!$S$105</f>
        <v>0</v>
      </c>
      <c r="U3010" s="728"/>
      <c r="V3010" s="68">
        <f>V1581/1.18-V2296*'Mark Up Validation'!$S$105</f>
        <v>0</v>
      </c>
      <c r="W3010" s="728"/>
      <c r="X3010" s="68">
        <f>X1581/1.18-X2296*'Mark Up Validation'!$S$105</f>
        <v>0</v>
      </c>
      <c r="Y3010" s="728"/>
      <c r="Z3010" s="68">
        <f>Z1581/1.18-Z2296*'Mark Up Validation'!$S$105</f>
        <v>0</v>
      </c>
      <c r="AA3010" s="728"/>
      <c r="AB3010" s="68">
        <f>AB1581/1.18-AB2296*'Mark Up Validation'!$S$105</f>
        <v>0</v>
      </c>
      <c r="AC3010" s="728"/>
      <c r="AD3010" s="68">
        <f>AD1581/1.18-AD2296*'Mark Up Validation'!$S$105</f>
        <v>0</v>
      </c>
      <c r="AE3010" s="728"/>
      <c r="AF3010" s="132">
        <f>SUM(T3010,V3010,X3010,Z3010,AB3010,AD3010)</f>
        <v>0</v>
      </c>
      <c r="AG3010" s="728"/>
      <c r="AH3010" s="133">
        <f>SUM(AF3010,R3010)</f>
        <v>0</v>
      </c>
      <c r="AI3010" s="728"/>
      <c r="AJ3010" s="65"/>
      <c r="AV3010" s="56"/>
    </row>
    <row r="3011" spans="1:48" ht="12.75" customHeight="1" outlineLevel="2" thickBot="1">
      <c r="B3011" s="82"/>
      <c r="C3011" s="1234"/>
      <c r="D3011" s="1234"/>
      <c r="E3011" s="84" t="str">
        <f>'Terms and Turnovers'!$AD$12</f>
        <v>ACCESSORIES</v>
      </c>
      <c r="F3011" s="68">
        <f>F1582/1.18-F2297*'Mark Up Validation'!$M$105</f>
        <v>0</v>
      </c>
      <c r="G3011" s="106"/>
      <c r="H3011" s="68">
        <f>H1582/1.18-H2297*'Mark Up Validation'!$M$105</f>
        <v>0</v>
      </c>
      <c r="I3011" s="106"/>
      <c r="J3011" s="68">
        <f>J1582/1.18-J2297*'Mark Up Validation'!$M$105</f>
        <v>0</v>
      </c>
      <c r="K3011" s="106"/>
      <c r="L3011" s="68">
        <f>L1582/1.18-L2297*'Mark Up Validation'!$M$105</f>
        <v>0</v>
      </c>
      <c r="M3011" s="106"/>
      <c r="N3011" s="68">
        <f>N1582/1.18-N2297*'Mark Up Validation'!$M$105</f>
        <v>0</v>
      </c>
      <c r="O3011" s="106"/>
      <c r="P3011" s="68">
        <f>P1582/1.18-P2297*'Mark Up Validation'!$M$105</f>
        <v>0</v>
      </c>
      <c r="Q3011" s="728"/>
      <c r="R3011" s="132">
        <f>SUM(F3011,H3011,J3011,L3011,N3011,P3011)</f>
        <v>0</v>
      </c>
      <c r="S3011" s="728"/>
      <c r="T3011" s="68">
        <f>T1582/1.18-T2297*'Mark Up Validation'!$S$105</f>
        <v>0</v>
      </c>
      <c r="U3011" s="728"/>
      <c r="V3011" s="68">
        <f>V1582/1.18-V2297*'Mark Up Validation'!$S$105</f>
        <v>0</v>
      </c>
      <c r="W3011" s="728"/>
      <c r="X3011" s="68">
        <f>X1582/1.18-X2297*'Mark Up Validation'!$S$105</f>
        <v>0</v>
      </c>
      <c r="Y3011" s="728"/>
      <c r="Z3011" s="68">
        <f>Z1582/1.18-Z2297*'Mark Up Validation'!$S$105</f>
        <v>0</v>
      </c>
      <c r="AA3011" s="728"/>
      <c r="AB3011" s="68">
        <f>AB1582/1.18-AB2297*'Mark Up Validation'!$S$105</f>
        <v>0</v>
      </c>
      <c r="AC3011" s="728"/>
      <c r="AD3011" s="68">
        <f>AD1582/1.18-AD2297*'Mark Up Validation'!$S$105</f>
        <v>0</v>
      </c>
      <c r="AE3011" s="728"/>
      <c r="AF3011" s="132">
        <f>SUM(T3011,V3011,X3011,Z3011,AB3011,AD3011)</f>
        <v>0</v>
      </c>
      <c r="AG3011" s="728"/>
      <c r="AH3011" s="133">
        <f>SUM(AF3011,R3011)</f>
        <v>0</v>
      </c>
      <c r="AI3011" s="728"/>
      <c r="AJ3011" s="65"/>
      <c r="AV3011" s="56"/>
    </row>
    <row r="3012" spans="1:48" ht="12.75" customHeight="1" outlineLevel="2" thickBot="1">
      <c r="B3012" s="82"/>
      <c r="C3012" s="1234"/>
      <c r="D3012" s="1234"/>
      <c r="E3012" s="84">
        <f>'Terms and Turnovers'!$AN$12</f>
        <v>0</v>
      </c>
      <c r="F3012" s="68">
        <f>F1583/1.18-F2298*'Mark Up Validation'!$M$105</f>
        <v>0</v>
      </c>
      <c r="G3012" s="728"/>
      <c r="H3012" s="68">
        <f>H1583/1.18-H2298*'Mark Up Validation'!$M$105</f>
        <v>0</v>
      </c>
      <c r="I3012" s="728"/>
      <c r="J3012" s="68">
        <f>J1583/1.18-J2298*'Mark Up Validation'!$M$105</f>
        <v>0</v>
      </c>
      <c r="K3012" s="728"/>
      <c r="L3012" s="68">
        <f>L1583/1.18-L2298*'Mark Up Validation'!$M$105</f>
        <v>0</v>
      </c>
      <c r="M3012" s="728"/>
      <c r="N3012" s="68">
        <f>N1583/1.18-N2298*'Mark Up Validation'!$M$105</f>
        <v>0</v>
      </c>
      <c r="O3012" s="728"/>
      <c r="P3012" s="68">
        <f>P1583/1.18-P2298*'Mark Up Validation'!$M$105</f>
        <v>0</v>
      </c>
      <c r="Q3012" s="728"/>
      <c r="R3012" s="132">
        <f>SUM(F3012,H3012,J3012,L3012,N3012,P3012)</f>
        <v>0</v>
      </c>
      <c r="S3012" s="728"/>
      <c r="T3012" s="68">
        <f>T1583/1.18-T2298*'Mark Up Validation'!$S$105</f>
        <v>0</v>
      </c>
      <c r="U3012" s="728"/>
      <c r="V3012" s="68">
        <f>V1583/1.18-V2298*'Mark Up Validation'!$S$105</f>
        <v>0</v>
      </c>
      <c r="W3012" s="728"/>
      <c r="X3012" s="68">
        <f>X1583/1.18-X2298*'Mark Up Validation'!$S$105</f>
        <v>0</v>
      </c>
      <c r="Y3012" s="728"/>
      <c r="Z3012" s="68">
        <f>Z1583/1.18-Z2298*'Mark Up Validation'!$S$105</f>
        <v>0</v>
      </c>
      <c r="AA3012" s="728"/>
      <c r="AB3012" s="68">
        <f>AB1583/1.18-AB2298*'Mark Up Validation'!$S$105</f>
        <v>0</v>
      </c>
      <c r="AC3012" s="728"/>
      <c r="AD3012" s="68">
        <f>AD1583/1.18-AD2298*'Mark Up Validation'!$S$105</f>
        <v>0</v>
      </c>
      <c r="AE3012" s="728"/>
      <c r="AF3012" s="132">
        <f>SUM(T3012,V3012,X3012,Z3012,AB3012,AD3012)</f>
        <v>0</v>
      </c>
      <c r="AG3012" s="728"/>
      <c r="AH3012" s="133">
        <f>SUM(AF3012,R3012)</f>
        <v>0</v>
      </c>
      <c r="AI3012" s="728"/>
      <c r="AJ3012" s="65"/>
      <c r="AV3012" s="56"/>
    </row>
    <row r="3013" spans="1:48" ht="13.5" customHeight="1" outlineLevel="2" thickBot="1">
      <c r="B3013" s="82"/>
      <c r="C3013" s="1235"/>
      <c r="D3013" s="1235"/>
      <c r="E3013" s="85">
        <f>'Terms and Turnovers'!$AX$12</f>
        <v>0</v>
      </c>
      <c r="F3013" s="68">
        <f>F1584/1.18-F2299*'Mark Up Validation'!$M$105</f>
        <v>0</v>
      </c>
      <c r="G3013" s="106"/>
      <c r="H3013" s="68">
        <f>H1584/1.18-H2299*'Mark Up Validation'!$M$105</f>
        <v>0</v>
      </c>
      <c r="I3013" s="106"/>
      <c r="J3013" s="68">
        <f>J1584/1.18-J2299*'Mark Up Validation'!$M$105</f>
        <v>0</v>
      </c>
      <c r="K3013" s="106"/>
      <c r="L3013" s="68">
        <f>L1584/1.18-L2299*'Mark Up Validation'!$M$105</f>
        <v>0</v>
      </c>
      <c r="M3013" s="106"/>
      <c r="N3013" s="68">
        <f>N1584/1.18-N2299*'Mark Up Validation'!$M$105</f>
        <v>0</v>
      </c>
      <c r="O3013" s="106"/>
      <c r="P3013" s="68">
        <f>P1584/1.18-P2299*'Mark Up Validation'!$M$105</f>
        <v>0</v>
      </c>
      <c r="Q3013" s="107"/>
      <c r="R3013" s="135">
        <f>SUM(F3013,H3013,J3013,L3013,N3013,P3013)</f>
        <v>0</v>
      </c>
      <c r="S3013" s="107"/>
      <c r="T3013" s="68">
        <f>T1584/1.18-T2299*'Mark Up Validation'!$S$105</f>
        <v>0</v>
      </c>
      <c r="U3013" s="107"/>
      <c r="V3013" s="68">
        <f>V1584/1.18-V2299*'Mark Up Validation'!$S$105</f>
        <v>0</v>
      </c>
      <c r="W3013" s="107"/>
      <c r="X3013" s="68">
        <f>X1584/1.18-X2299*'Mark Up Validation'!$S$105</f>
        <v>0</v>
      </c>
      <c r="Y3013" s="107"/>
      <c r="Z3013" s="68">
        <f>Z1584/1.18-Z2299*'Mark Up Validation'!$S$105</f>
        <v>0</v>
      </c>
      <c r="AA3013" s="107"/>
      <c r="AB3013" s="68">
        <f>AB1584/1.18-AB2299*'Mark Up Validation'!$S$105</f>
        <v>0</v>
      </c>
      <c r="AC3013" s="107"/>
      <c r="AD3013" s="68">
        <f>AD1584/1.18-AD2299*'Mark Up Validation'!$S$105</f>
        <v>0</v>
      </c>
      <c r="AE3013" s="107"/>
      <c r="AF3013" s="135">
        <f>SUM(T3013,V3013,X3013,Z3013,AB3013,AD3013)</f>
        <v>0</v>
      </c>
      <c r="AG3013" s="107"/>
      <c r="AH3013" s="136">
        <f>SUM(AF3013,R3013)</f>
        <v>0</v>
      </c>
      <c r="AI3013" s="107"/>
      <c r="AJ3013" s="65"/>
      <c r="AV3013" s="56"/>
    </row>
    <row r="3014" spans="1:48" ht="13.5" customHeight="1" outlineLevel="2">
      <c r="B3014" s="82"/>
      <c r="C3014" s="425"/>
      <c r="D3014" s="425"/>
      <c r="E3014" s="634"/>
      <c r="F3014" s="635"/>
      <c r="G3014" s="428"/>
      <c r="H3014" s="635"/>
      <c r="I3014" s="428"/>
      <c r="J3014" s="635"/>
      <c r="K3014" s="636"/>
      <c r="L3014" s="635"/>
      <c r="M3014" s="636"/>
      <c r="N3014" s="635"/>
      <c r="O3014" s="636"/>
      <c r="P3014" s="635"/>
      <c r="Q3014" s="636"/>
      <c r="R3014" s="637"/>
      <c r="S3014" s="698">
        <f>SUM(R2294:R2298)/1.18-(SUM(R3009:R3013)*'Mark Up Validation'!$M$105)</f>
        <v>0</v>
      </c>
      <c r="T3014" s="635"/>
      <c r="U3014" s="636"/>
      <c r="V3014" s="635"/>
      <c r="W3014" s="636"/>
      <c r="X3014" s="635"/>
      <c r="Y3014" s="636"/>
      <c r="Z3014" s="635"/>
      <c r="AA3014" s="636"/>
      <c r="AB3014" s="635"/>
      <c r="AC3014" s="636"/>
      <c r="AD3014" s="635"/>
      <c r="AE3014" s="636"/>
      <c r="AF3014" s="637"/>
      <c r="AG3014" s="698">
        <f>SUM(AF2294:AF2298)/1.18-SUM(AF3009:AF3013)*'Mark Up Validation'!$M$175</f>
        <v>0</v>
      </c>
      <c r="AH3014" s="638"/>
      <c r="AI3014" s="698">
        <f>SUM(AH2294:AH2298)/1.18-SUM(AH3009:AH3013)*'Mark Up Validation'!$M$175</f>
        <v>0</v>
      </c>
      <c r="AJ3014" s="65"/>
      <c r="AV3014" s="56"/>
    </row>
    <row r="3015" spans="1:48" ht="13.5" customHeight="1" outlineLevel="2" thickBot="1">
      <c r="A3015" s="119"/>
      <c r="B3015" s="82"/>
      <c r="C3015" s="1228" t="s">
        <v>539</v>
      </c>
      <c r="D3015" s="1229"/>
      <c r="E3015" s="699"/>
      <c r="F3015" s="700">
        <f>SUM(F3009:F3013)</f>
        <v>0</v>
      </c>
      <c r="G3015" s="701"/>
      <c r="H3015" s="700">
        <f>SUM(H3009:H3013)</f>
        <v>0</v>
      </c>
      <c r="I3015" s="701"/>
      <c r="J3015" s="700">
        <f>SUM(J3009:J3013)</f>
        <v>0</v>
      </c>
      <c r="K3015" s="702"/>
      <c r="L3015" s="700">
        <f>SUM(L3009:L3013)</f>
        <v>0</v>
      </c>
      <c r="M3015" s="702"/>
      <c r="N3015" s="700">
        <f>SUM(N3009:N3013)</f>
        <v>0</v>
      </c>
      <c r="O3015" s="702"/>
      <c r="P3015" s="700">
        <f>SUM(P3009:P3013)</f>
        <v>0</v>
      </c>
      <c r="Q3015" s="702"/>
      <c r="R3015" s="703"/>
      <c r="S3015" s="729">
        <f>IF(S3014&gt;0,S3014/(SUM(R2294:R2298)/1.18),0)</f>
        <v>0</v>
      </c>
      <c r="T3015" s="700">
        <f>SUM(T3009:T3013)</f>
        <v>0</v>
      </c>
      <c r="U3015" s="702"/>
      <c r="V3015" s="700">
        <f>SUM(V3009:V3013)</f>
        <v>0</v>
      </c>
      <c r="W3015" s="702"/>
      <c r="X3015" s="700">
        <f>SUM(X3009:X3013)</f>
        <v>0</v>
      </c>
      <c r="Y3015" s="702"/>
      <c r="Z3015" s="700">
        <f>SUM(Z3009:Z3013)</f>
        <v>0</v>
      </c>
      <c r="AA3015" s="702"/>
      <c r="AB3015" s="700">
        <f>SUM(AB3009:AB3013)</f>
        <v>0</v>
      </c>
      <c r="AC3015" s="702"/>
      <c r="AD3015" s="700">
        <f>SUM(AD3009:AD3013)</f>
        <v>0</v>
      </c>
      <c r="AE3015" s="702"/>
      <c r="AF3015" s="705"/>
      <c r="AG3015" s="729">
        <f>IF(AG3014&gt;0,AG3014/(SUM(AF2294:AF2298)/1.18),0)</f>
        <v>0</v>
      </c>
      <c r="AH3015" s="706"/>
      <c r="AI3015" s="729">
        <f>IF(AI3014&gt;0,AI3014/(SUM(AH2294:AH2298)/1.18),0)</f>
        <v>0</v>
      </c>
      <c r="AJ3015" s="707"/>
      <c r="AV3015" s="56"/>
    </row>
    <row r="3016" spans="1:48" ht="12.75" customHeight="1" outlineLevel="2" thickBot="1">
      <c r="B3016" s="82">
        <f>B3009+1</f>
        <v>20</v>
      </c>
      <c r="C3016" s="1233">
        <f>C146</f>
        <v>0</v>
      </c>
      <c r="D3016" s="1233">
        <f>D146</f>
        <v>0</v>
      </c>
      <c r="E3016" s="83" t="str">
        <f>'Terms and Turnovers'!$J$12</f>
        <v>FLIP-FLOPS</v>
      </c>
      <c r="F3016" s="68">
        <f>F1587/1.18-F2302*'Mark Up Validation'!$M$105</f>
        <v>0</v>
      </c>
      <c r="G3016" s="106"/>
      <c r="H3016" s="68">
        <f>H1587/1.18-H2302*'Mark Up Validation'!$M$105</f>
        <v>0</v>
      </c>
      <c r="I3016" s="106"/>
      <c r="J3016" s="68">
        <f>J1587/1.18-J2302*'Mark Up Validation'!$M$105</f>
        <v>0</v>
      </c>
      <c r="K3016" s="106"/>
      <c r="L3016" s="68">
        <f>L1587/1.18-L2302*'Mark Up Validation'!$M$105</f>
        <v>0</v>
      </c>
      <c r="M3016" s="106"/>
      <c r="N3016" s="68">
        <f>N1587/1.18-N2302*'Mark Up Validation'!$M$105</f>
        <v>0</v>
      </c>
      <c r="O3016" s="106"/>
      <c r="P3016" s="68">
        <f>P1587/1.18-P2302*'Mark Up Validation'!$M$105</f>
        <v>0</v>
      </c>
      <c r="Q3016" s="106"/>
      <c r="R3016" s="129">
        <f>SUM(F3016,H3016,J3016,L3016,N3016,P3016)</f>
        <v>0</v>
      </c>
      <c r="S3016" s="106"/>
      <c r="T3016" s="68">
        <f>T1587/1.18-T2302*'Mark Up Validation'!$S$105</f>
        <v>0</v>
      </c>
      <c r="U3016" s="106"/>
      <c r="V3016" s="68">
        <f>V1587/1.18-V2302*'Mark Up Validation'!$S$105</f>
        <v>0</v>
      </c>
      <c r="W3016" s="106"/>
      <c r="X3016" s="68">
        <f>X1587/1.18-X2302*'Mark Up Validation'!$S$105</f>
        <v>0</v>
      </c>
      <c r="Y3016" s="106"/>
      <c r="Z3016" s="68">
        <f>Z1587/1.18-Z2302*'Mark Up Validation'!$S$105</f>
        <v>0</v>
      </c>
      <c r="AA3016" s="106"/>
      <c r="AB3016" s="68">
        <f>AB1587/1.18-AB2302*'Mark Up Validation'!$S$105</f>
        <v>0</v>
      </c>
      <c r="AC3016" s="106"/>
      <c r="AD3016" s="68">
        <f>AD1587/1.18-AD2302*'Mark Up Validation'!$S$105</f>
        <v>0</v>
      </c>
      <c r="AE3016" s="106"/>
      <c r="AF3016" s="129">
        <f>SUM(T3016,V3016,X3016,Z3016,AB3016,AD3016)</f>
        <v>0</v>
      </c>
      <c r="AG3016" s="106"/>
      <c r="AH3016" s="130">
        <f>SUM(AF3016,R3016)</f>
        <v>0</v>
      </c>
      <c r="AI3016" s="106"/>
      <c r="AJ3016" s="65"/>
      <c r="AV3016" s="56"/>
    </row>
    <row r="3017" spans="1:48" ht="12.75" customHeight="1" outlineLevel="2" thickBot="1">
      <c r="B3017" s="82"/>
      <c r="C3017" s="1234"/>
      <c r="D3017" s="1234"/>
      <c r="E3017" s="84" t="str">
        <f>'Terms and Turnovers'!$T$12</f>
        <v>ORIGINALS</v>
      </c>
      <c r="F3017" s="68">
        <f>F1588/1.18-F2303*'Mark Up Validation'!$M$105</f>
        <v>0</v>
      </c>
      <c r="G3017" s="728"/>
      <c r="H3017" s="68">
        <f>H1588/1.18-H2303*'Mark Up Validation'!$M$105</f>
        <v>0</v>
      </c>
      <c r="I3017" s="728"/>
      <c r="J3017" s="68">
        <f>J1588/1.18-J2303*'Mark Up Validation'!$M$105</f>
        <v>0</v>
      </c>
      <c r="K3017" s="728"/>
      <c r="L3017" s="68">
        <f>L1588/1.18-L2303*'Mark Up Validation'!$M$105</f>
        <v>0</v>
      </c>
      <c r="M3017" s="728"/>
      <c r="N3017" s="68">
        <f>N1588/1.18-N2303*'Mark Up Validation'!$M$105</f>
        <v>0</v>
      </c>
      <c r="O3017" s="728"/>
      <c r="P3017" s="68">
        <f>P1588/1.18-P2303*'Mark Up Validation'!$M$105</f>
        <v>0</v>
      </c>
      <c r="Q3017" s="728"/>
      <c r="R3017" s="132">
        <f>SUM(F3017,H3017,J3017,L3017,N3017,P3017)</f>
        <v>0</v>
      </c>
      <c r="S3017" s="728"/>
      <c r="T3017" s="68">
        <f>T1588/1.18-T2303*'Mark Up Validation'!$S$105</f>
        <v>0</v>
      </c>
      <c r="U3017" s="728"/>
      <c r="V3017" s="68">
        <f>V1588/1.18-V2303*'Mark Up Validation'!$S$105</f>
        <v>0</v>
      </c>
      <c r="W3017" s="728"/>
      <c r="X3017" s="68">
        <f>X1588/1.18-X2303*'Mark Up Validation'!$S$105</f>
        <v>0</v>
      </c>
      <c r="Y3017" s="728"/>
      <c r="Z3017" s="68">
        <f>Z1588/1.18-Z2303*'Mark Up Validation'!$S$105</f>
        <v>0</v>
      </c>
      <c r="AA3017" s="728"/>
      <c r="AB3017" s="68">
        <f>AB1588/1.18-AB2303*'Mark Up Validation'!$S$105</f>
        <v>0</v>
      </c>
      <c r="AC3017" s="728"/>
      <c r="AD3017" s="68">
        <f>AD1588/1.18-AD2303*'Mark Up Validation'!$S$105</f>
        <v>0</v>
      </c>
      <c r="AE3017" s="728"/>
      <c r="AF3017" s="132">
        <f>SUM(T3017,V3017,X3017,Z3017,AB3017,AD3017)</f>
        <v>0</v>
      </c>
      <c r="AG3017" s="728"/>
      <c r="AH3017" s="133">
        <f>SUM(AF3017,R3017)</f>
        <v>0</v>
      </c>
      <c r="AI3017" s="728"/>
      <c r="AJ3017" s="65"/>
      <c r="AV3017" s="56"/>
    </row>
    <row r="3018" spans="1:48" ht="12.75" customHeight="1" outlineLevel="2" thickBot="1">
      <c r="B3018" s="82"/>
      <c r="C3018" s="1234"/>
      <c r="D3018" s="1234"/>
      <c r="E3018" s="84" t="str">
        <f>'Terms and Turnovers'!$AD$12</f>
        <v>ACCESSORIES</v>
      </c>
      <c r="F3018" s="68">
        <f>F1589/1.18-F2304*'Mark Up Validation'!$M$105</f>
        <v>0</v>
      </c>
      <c r="G3018" s="106"/>
      <c r="H3018" s="68">
        <f>H1589/1.18-H2304*'Mark Up Validation'!$M$105</f>
        <v>0</v>
      </c>
      <c r="I3018" s="106"/>
      <c r="J3018" s="68">
        <f>J1589/1.18-J2304*'Mark Up Validation'!$M$105</f>
        <v>0</v>
      </c>
      <c r="K3018" s="106"/>
      <c r="L3018" s="68">
        <f>L1589/1.18-L2304*'Mark Up Validation'!$M$105</f>
        <v>0</v>
      </c>
      <c r="M3018" s="106"/>
      <c r="N3018" s="68">
        <f>N1589/1.18-N2304*'Mark Up Validation'!$M$105</f>
        <v>0</v>
      </c>
      <c r="O3018" s="106"/>
      <c r="P3018" s="68">
        <f>P1589/1.18-P2304*'Mark Up Validation'!$M$105</f>
        <v>0</v>
      </c>
      <c r="Q3018" s="728"/>
      <c r="R3018" s="132">
        <f>SUM(F3018,H3018,J3018,L3018,N3018,P3018)</f>
        <v>0</v>
      </c>
      <c r="S3018" s="728"/>
      <c r="T3018" s="68">
        <f>T1589/1.18-T2304*'Mark Up Validation'!$S$105</f>
        <v>0</v>
      </c>
      <c r="U3018" s="728"/>
      <c r="V3018" s="68">
        <f>V1589/1.18-V2304*'Mark Up Validation'!$S$105</f>
        <v>0</v>
      </c>
      <c r="W3018" s="728"/>
      <c r="X3018" s="68">
        <f>X1589/1.18-X2304*'Mark Up Validation'!$S$105</f>
        <v>0</v>
      </c>
      <c r="Y3018" s="728"/>
      <c r="Z3018" s="68">
        <f>Z1589/1.18-Z2304*'Mark Up Validation'!$S$105</f>
        <v>0</v>
      </c>
      <c r="AA3018" s="728"/>
      <c r="AB3018" s="68">
        <f>AB1589/1.18-AB2304*'Mark Up Validation'!$S$105</f>
        <v>0</v>
      </c>
      <c r="AC3018" s="728"/>
      <c r="AD3018" s="68">
        <f>AD1589/1.18-AD2304*'Mark Up Validation'!$S$105</f>
        <v>0</v>
      </c>
      <c r="AE3018" s="728"/>
      <c r="AF3018" s="132">
        <f>SUM(T3018,V3018,X3018,Z3018,AB3018,AD3018)</f>
        <v>0</v>
      </c>
      <c r="AG3018" s="728"/>
      <c r="AH3018" s="133">
        <f>SUM(AF3018,R3018)</f>
        <v>0</v>
      </c>
      <c r="AI3018" s="728"/>
      <c r="AJ3018" s="65"/>
      <c r="AV3018" s="56"/>
    </row>
    <row r="3019" spans="1:48" ht="12.75" customHeight="1" outlineLevel="2" thickBot="1">
      <c r="B3019" s="82"/>
      <c r="C3019" s="1234"/>
      <c r="D3019" s="1234"/>
      <c r="E3019" s="84">
        <f>'Terms and Turnovers'!$AN$12</f>
        <v>0</v>
      </c>
      <c r="F3019" s="68">
        <f>F1590/1.18-F2305*'Mark Up Validation'!$M$105</f>
        <v>0</v>
      </c>
      <c r="G3019" s="728"/>
      <c r="H3019" s="68">
        <f>H1590/1.18-H2305*'Mark Up Validation'!$M$105</f>
        <v>0</v>
      </c>
      <c r="I3019" s="728"/>
      <c r="J3019" s="68">
        <f>J1590/1.18-J2305*'Mark Up Validation'!$M$105</f>
        <v>0</v>
      </c>
      <c r="K3019" s="728"/>
      <c r="L3019" s="68">
        <f>L1590/1.18-L2305*'Mark Up Validation'!$M$105</f>
        <v>0</v>
      </c>
      <c r="M3019" s="728"/>
      <c r="N3019" s="68">
        <f>N1590/1.18-N2305*'Mark Up Validation'!$M$105</f>
        <v>0</v>
      </c>
      <c r="O3019" s="728"/>
      <c r="P3019" s="68">
        <f>P1590/1.18-P2305*'Mark Up Validation'!$M$105</f>
        <v>0</v>
      </c>
      <c r="Q3019" s="728"/>
      <c r="R3019" s="132">
        <f>SUM(F3019,H3019,J3019,L3019,N3019,P3019)</f>
        <v>0</v>
      </c>
      <c r="S3019" s="728"/>
      <c r="T3019" s="68">
        <f>T1590/1.18-T2305*'Mark Up Validation'!$S$105</f>
        <v>0</v>
      </c>
      <c r="U3019" s="728"/>
      <c r="V3019" s="68">
        <f>V1590/1.18-V2305*'Mark Up Validation'!$S$105</f>
        <v>0</v>
      </c>
      <c r="W3019" s="728"/>
      <c r="X3019" s="68">
        <f>X1590/1.18-X2305*'Mark Up Validation'!$S$105</f>
        <v>0</v>
      </c>
      <c r="Y3019" s="728"/>
      <c r="Z3019" s="68">
        <f>Z1590/1.18-Z2305*'Mark Up Validation'!$S$105</f>
        <v>0</v>
      </c>
      <c r="AA3019" s="728"/>
      <c r="AB3019" s="68">
        <f>AB1590/1.18-AB2305*'Mark Up Validation'!$S$105</f>
        <v>0</v>
      </c>
      <c r="AC3019" s="728"/>
      <c r="AD3019" s="68">
        <f>AD1590/1.18-AD2305*'Mark Up Validation'!$S$105</f>
        <v>0</v>
      </c>
      <c r="AE3019" s="728"/>
      <c r="AF3019" s="132">
        <f>SUM(T3019,V3019,X3019,Z3019,AB3019,AD3019)</f>
        <v>0</v>
      </c>
      <c r="AG3019" s="728"/>
      <c r="AH3019" s="133">
        <f>SUM(AF3019,R3019)</f>
        <v>0</v>
      </c>
      <c r="AI3019" s="728"/>
      <c r="AJ3019" s="65"/>
      <c r="AV3019" s="56"/>
    </row>
    <row r="3020" spans="1:48" ht="13.5" customHeight="1" outlineLevel="2" thickBot="1">
      <c r="B3020" s="82"/>
      <c r="C3020" s="1235"/>
      <c r="D3020" s="1235"/>
      <c r="E3020" s="85">
        <f>'Terms and Turnovers'!$AX$12</f>
        <v>0</v>
      </c>
      <c r="F3020" s="68">
        <f>F1591/1.18-F2306*'Mark Up Validation'!$M$105</f>
        <v>0</v>
      </c>
      <c r="G3020" s="106"/>
      <c r="H3020" s="68">
        <f>H1591/1.18-H2306*'Mark Up Validation'!$M$105</f>
        <v>0</v>
      </c>
      <c r="I3020" s="106"/>
      <c r="J3020" s="68">
        <f>J1591/1.18-J2306*'Mark Up Validation'!$M$105</f>
        <v>0</v>
      </c>
      <c r="K3020" s="106"/>
      <c r="L3020" s="68">
        <f>L1591/1.18-L2306*'Mark Up Validation'!$M$105</f>
        <v>0</v>
      </c>
      <c r="M3020" s="106"/>
      <c r="N3020" s="68">
        <f>N1591/1.18-N2306*'Mark Up Validation'!$M$105</f>
        <v>0</v>
      </c>
      <c r="O3020" s="106"/>
      <c r="P3020" s="68">
        <f>P1591/1.18-P2306*'Mark Up Validation'!$M$105</f>
        <v>0</v>
      </c>
      <c r="Q3020" s="107"/>
      <c r="R3020" s="135">
        <f>SUM(F3020,H3020,J3020,L3020,N3020,P3020)</f>
        <v>0</v>
      </c>
      <c r="S3020" s="107"/>
      <c r="T3020" s="68">
        <f>T1591/1.18-T2306*'Mark Up Validation'!$S$105</f>
        <v>0</v>
      </c>
      <c r="U3020" s="107"/>
      <c r="V3020" s="68">
        <f>V1591/1.18-V2306*'Mark Up Validation'!$S$105</f>
        <v>0</v>
      </c>
      <c r="W3020" s="107"/>
      <c r="X3020" s="68">
        <f>X1591/1.18-X2306*'Mark Up Validation'!$S$105</f>
        <v>0</v>
      </c>
      <c r="Y3020" s="107"/>
      <c r="Z3020" s="68">
        <f>Z1591/1.18-Z2306*'Mark Up Validation'!$S$105</f>
        <v>0</v>
      </c>
      <c r="AA3020" s="107"/>
      <c r="AB3020" s="68">
        <f>AB1591/1.18-AB2306*'Mark Up Validation'!$S$105</f>
        <v>0</v>
      </c>
      <c r="AC3020" s="107"/>
      <c r="AD3020" s="68">
        <f>AD1591/1.18-AD2306*'Mark Up Validation'!$S$105</f>
        <v>0</v>
      </c>
      <c r="AE3020" s="107"/>
      <c r="AF3020" s="135">
        <f>SUM(T3020,V3020,X3020,Z3020,AB3020,AD3020)</f>
        <v>0</v>
      </c>
      <c r="AG3020" s="107"/>
      <c r="AH3020" s="136">
        <f>SUM(AF3020,R3020)</f>
        <v>0</v>
      </c>
      <c r="AI3020" s="107"/>
      <c r="AJ3020" s="65"/>
      <c r="AV3020" s="56"/>
    </row>
    <row r="3021" spans="1:48" ht="13.5" customHeight="1" outlineLevel="2">
      <c r="B3021" s="82"/>
      <c r="C3021" s="425"/>
      <c r="D3021" s="425"/>
      <c r="E3021" s="634"/>
      <c r="F3021" s="635"/>
      <c r="G3021" s="428"/>
      <c r="H3021" s="635"/>
      <c r="I3021" s="428"/>
      <c r="J3021" s="635"/>
      <c r="K3021" s="636"/>
      <c r="L3021" s="635"/>
      <c r="M3021" s="636"/>
      <c r="N3021" s="635"/>
      <c r="O3021" s="636"/>
      <c r="P3021" s="635"/>
      <c r="Q3021" s="636"/>
      <c r="R3021" s="637"/>
      <c r="S3021" s="698">
        <f>SUM(R2301:R2305)/1.18-(SUM(R3016:R3020)*'Mark Up Validation'!$M$105)</f>
        <v>0</v>
      </c>
      <c r="T3021" s="635"/>
      <c r="U3021" s="636"/>
      <c r="V3021" s="635"/>
      <c r="W3021" s="636"/>
      <c r="X3021" s="635"/>
      <c r="Y3021" s="636"/>
      <c r="Z3021" s="635"/>
      <c r="AA3021" s="636"/>
      <c r="AB3021" s="635"/>
      <c r="AC3021" s="636"/>
      <c r="AD3021" s="635"/>
      <c r="AE3021" s="636"/>
      <c r="AF3021" s="637"/>
      <c r="AG3021" s="698">
        <f>SUM(AF2301:AF2305)/1.18-SUM(AF3016:AF3020)*'Mark Up Validation'!$M$175</f>
        <v>0</v>
      </c>
      <c r="AH3021" s="638"/>
      <c r="AI3021" s="698">
        <f>SUM(AH2301:AH2305)/1.18-SUM(AH3016:AH3020)*'Mark Up Validation'!$M$175</f>
        <v>0</v>
      </c>
      <c r="AJ3021" s="65"/>
      <c r="AV3021" s="56"/>
    </row>
    <row r="3022" spans="1:48" ht="13.5" customHeight="1" outlineLevel="2" thickBot="1">
      <c r="A3022" s="119"/>
      <c r="B3022" s="82"/>
      <c r="C3022" s="1228" t="s">
        <v>539</v>
      </c>
      <c r="D3022" s="1229"/>
      <c r="E3022" s="699"/>
      <c r="F3022" s="700">
        <f>SUM(F3016:F3020)</f>
        <v>0</v>
      </c>
      <c r="G3022" s="701"/>
      <c r="H3022" s="700">
        <f>SUM(H3016:H3020)</f>
        <v>0</v>
      </c>
      <c r="I3022" s="701"/>
      <c r="J3022" s="700">
        <f>SUM(J3016:J3020)</f>
        <v>0</v>
      </c>
      <c r="K3022" s="702"/>
      <c r="L3022" s="700">
        <f>SUM(L3016:L3020)</f>
        <v>0</v>
      </c>
      <c r="M3022" s="702"/>
      <c r="N3022" s="700">
        <f>SUM(N3016:N3020)</f>
        <v>0</v>
      </c>
      <c r="O3022" s="702"/>
      <c r="P3022" s="700">
        <f>SUM(P3016:P3020)</f>
        <v>0</v>
      </c>
      <c r="Q3022" s="702"/>
      <c r="R3022" s="703"/>
      <c r="S3022" s="729">
        <f>IF(S3021&gt;0,S3021/(SUM(R2301:R2305)/1.18),0)</f>
        <v>0</v>
      </c>
      <c r="T3022" s="700">
        <f>SUM(T3016:T3020)</f>
        <v>0</v>
      </c>
      <c r="U3022" s="702"/>
      <c r="V3022" s="700">
        <f>SUM(V3016:V3020)</f>
        <v>0</v>
      </c>
      <c r="W3022" s="702"/>
      <c r="X3022" s="700">
        <f>SUM(X3016:X3020)</f>
        <v>0</v>
      </c>
      <c r="Y3022" s="702"/>
      <c r="Z3022" s="700">
        <f>SUM(Z3016:Z3020)</f>
        <v>0</v>
      </c>
      <c r="AA3022" s="702"/>
      <c r="AB3022" s="700">
        <f>SUM(AB3016:AB3020)</f>
        <v>0</v>
      </c>
      <c r="AC3022" s="702"/>
      <c r="AD3022" s="700">
        <f>SUM(AD3016:AD3020)</f>
        <v>0</v>
      </c>
      <c r="AE3022" s="702"/>
      <c r="AF3022" s="705"/>
      <c r="AG3022" s="729">
        <f>IF(AG3021&gt;0,AG3021/(SUM(AF2301:AF2305)/1.18),0)</f>
        <v>0</v>
      </c>
      <c r="AH3022" s="706"/>
      <c r="AI3022" s="729">
        <f>IF(AI3021&gt;0,AI3021/(SUM(AH2301:AH2305)/1.18),0)</f>
        <v>0</v>
      </c>
      <c r="AJ3022" s="707"/>
      <c r="AV3022" s="56"/>
    </row>
    <row r="3023" spans="1:48" ht="12.75" customHeight="1" outlineLevel="2" thickBot="1">
      <c r="B3023" s="82">
        <f>B3016+1</f>
        <v>21</v>
      </c>
      <c r="C3023" s="1233">
        <f>C153</f>
        <v>0</v>
      </c>
      <c r="D3023" s="1233">
        <f>D153</f>
        <v>0</v>
      </c>
      <c r="E3023" s="83" t="str">
        <f>'Terms and Turnovers'!$J$12</f>
        <v>FLIP-FLOPS</v>
      </c>
      <c r="F3023" s="68">
        <f>F1594/1.18-F2309*'Mark Up Validation'!$M$105</f>
        <v>0</v>
      </c>
      <c r="G3023" s="106"/>
      <c r="H3023" s="68">
        <f>H1594/1.18-H2309*'Mark Up Validation'!$M$105</f>
        <v>0</v>
      </c>
      <c r="I3023" s="106"/>
      <c r="J3023" s="68">
        <f>J1594/1.18-J2309*'Mark Up Validation'!$M$105</f>
        <v>0</v>
      </c>
      <c r="K3023" s="106"/>
      <c r="L3023" s="68">
        <f>L1594/1.18-L2309*'Mark Up Validation'!$M$105</f>
        <v>0</v>
      </c>
      <c r="M3023" s="106"/>
      <c r="N3023" s="68">
        <f>N1594/1.18-N2309*'Mark Up Validation'!$M$105</f>
        <v>0</v>
      </c>
      <c r="O3023" s="106"/>
      <c r="P3023" s="68">
        <f>P1594/1.18-P2309*'Mark Up Validation'!$M$105</f>
        <v>0</v>
      </c>
      <c r="Q3023" s="106"/>
      <c r="R3023" s="129">
        <f>SUM(F3023,H3023,J3023,L3023,N3023,P3023)</f>
        <v>0</v>
      </c>
      <c r="S3023" s="106"/>
      <c r="T3023" s="68">
        <f>T1594/1.18-T2309*'Mark Up Validation'!$S$105</f>
        <v>0</v>
      </c>
      <c r="U3023" s="106"/>
      <c r="V3023" s="68">
        <f>V1594/1.18-V2309*'Mark Up Validation'!$S$105</f>
        <v>0</v>
      </c>
      <c r="W3023" s="106"/>
      <c r="X3023" s="68">
        <f>X1594/1.18-X2309*'Mark Up Validation'!$S$105</f>
        <v>0</v>
      </c>
      <c r="Y3023" s="106"/>
      <c r="Z3023" s="68">
        <f>Z1594/1.18-Z2309*'Mark Up Validation'!$S$105</f>
        <v>0</v>
      </c>
      <c r="AA3023" s="106"/>
      <c r="AB3023" s="68">
        <f>AB1594/1.18-AB2309*'Mark Up Validation'!$S$105</f>
        <v>0</v>
      </c>
      <c r="AC3023" s="106"/>
      <c r="AD3023" s="68">
        <f>AD1594/1.18-AD2309*'Mark Up Validation'!$S$105</f>
        <v>0</v>
      </c>
      <c r="AE3023" s="106"/>
      <c r="AF3023" s="129">
        <f>SUM(T3023,V3023,X3023,Z3023,AB3023,AD3023)</f>
        <v>0</v>
      </c>
      <c r="AG3023" s="106"/>
      <c r="AH3023" s="130">
        <f>SUM(AF3023,R3023)</f>
        <v>0</v>
      </c>
      <c r="AI3023" s="106"/>
      <c r="AJ3023" s="65"/>
      <c r="AV3023" s="56"/>
    </row>
    <row r="3024" spans="1:48" ht="12.75" customHeight="1" outlineLevel="2" thickBot="1">
      <c r="B3024" s="82"/>
      <c r="C3024" s="1234"/>
      <c r="D3024" s="1234"/>
      <c r="E3024" s="84" t="str">
        <f>'Terms and Turnovers'!$T$12</f>
        <v>ORIGINALS</v>
      </c>
      <c r="F3024" s="68">
        <f>F1595/1.18-F2310*'Mark Up Validation'!$M$105</f>
        <v>0</v>
      </c>
      <c r="G3024" s="728"/>
      <c r="H3024" s="68">
        <f>H1595/1.18-H2310*'Mark Up Validation'!$M$105</f>
        <v>0</v>
      </c>
      <c r="I3024" s="728"/>
      <c r="J3024" s="68">
        <f>J1595/1.18-J2310*'Mark Up Validation'!$M$105</f>
        <v>0</v>
      </c>
      <c r="K3024" s="728"/>
      <c r="L3024" s="68">
        <f>L1595/1.18-L2310*'Mark Up Validation'!$M$105</f>
        <v>0</v>
      </c>
      <c r="M3024" s="728"/>
      <c r="N3024" s="68">
        <f>N1595/1.18-N2310*'Mark Up Validation'!$M$105</f>
        <v>0</v>
      </c>
      <c r="O3024" s="728"/>
      <c r="P3024" s="68">
        <f>P1595/1.18-P2310*'Mark Up Validation'!$M$105</f>
        <v>0</v>
      </c>
      <c r="Q3024" s="728"/>
      <c r="R3024" s="132">
        <f>SUM(F3024,H3024,J3024,L3024,N3024,P3024)</f>
        <v>0</v>
      </c>
      <c r="S3024" s="728"/>
      <c r="T3024" s="68">
        <f>T1595/1.18-T2310*'Mark Up Validation'!$S$105</f>
        <v>0</v>
      </c>
      <c r="U3024" s="728"/>
      <c r="V3024" s="68">
        <f>V1595/1.18-V2310*'Mark Up Validation'!$S$105</f>
        <v>0</v>
      </c>
      <c r="W3024" s="728"/>
      <c r="X3024" s="68">
        <f>X1595/1.18-X2310*'Mark Up Validation'!$S$105</f>
        <v>0</v>
      </c>
      <c r="Y3024" s="728"/>
      <c r="Z3024" s="68">
        <f>Z1595/1.18-Z2310*'Mark Up Validation'!$S$105</f>
        <v>0</v>
      </c>
      <c r="AA3024" s="728"/>
      <c r="AB3024" s="68">
        <f>AB1595/1.18-AB2310*'Mark Up Validation'!$S$105</f>
        <v>0</v>
      </c>
      <c r="AC3024" s="728"/>
      <c r="AD3024" s="68">
        <f>AD1595/1.18-AD2310*'Mark Up Validation'!$S$105</f>
        <v>0</v>
      </c>
      <c r="AE3024" s="728"/>
      <c r="AF3024" s="132">
        <f>SUM(T3024,V3024,X3024,Z3024,AB3024,AD3024)</f>
        <v>0</v>
      </c>
      <c r="AG3024" s="728"/>
      <c r="AH3024" s="133">
        <f>SUM(AF3024,R3024)</f>
        <v>0</v>
      </c>
      <c r="AI3024" s="728"/>
      <c r="AJ3024" s="65"/>
      <c r="AV3024" s="56"/>
    </row>
    <row r="3025" spans="1:48" ht="12.75" customHeight="1" outlineLevel="2" thickBot="1">
      <c r="B3025" s="82"/>
      <c r="C3025" s="1234"/>
      <c r="D3025" s="1234"/>
      <c r="E3025" s="84" t="str">
        <f>'Terms and Turnovers'!$AD$12</f>
        <v>ACCESSORIES</v>
      </c>
      <c r="F3025" s="68">
        <f>F1596/1.18-F2311*'Mark Up Validation'!$M$105</f>
        <v>0</v>
      </c>
      <c r="G3025" s="106"/>
      <c r="H3025" s="68">
        <f>H1596/1.18-H2311*'Mark Up Validation'!$M$105</f>
        <v>0</v>
      </c>
      <c r="I3025" s="106"/>
      <c r="J3025" s="68">
        <f>J1596/1.18-J2311*'Mark Up Validation'!$M$105</f>
        <v>0</v>
      </c>
      <c r="K3025" s="106"/>
      <c r="L3025" s="68">
        <f>L1596/1.18-L2311*'Mark Up Validation'!$M$105</f>
        <v>0</v>
      </c>
      <c r="M3025" s="106"/>
      <c r="N3025" s="68">
        <f>N1596/1.18-N2311*'Mark Up Validation'!$M$105</f>
        <v>0</v>
      </c>
      <c r="O3025" s="106"/>
      <c r="P3025" s="68">
        <f>P1596/1.18-P2311*'Mark Up Validation'!$M$105</f>
        <v>0</v>
      </c>
      <c r="Q3025" s="728"/>
      <c r="R3025" s="132">
        <f>SUM(F3025,H3025,J3025,L3025,N3025,P3025)</f>
        <v>0</v>
      </c>
      <c r="S3025" s="728"/>
      <c r="T3025" s="68">
        <f>T1596/1.18-T2311*'Mark Up Validation'!$S$105</f>
        <v>0</v>
      </c>
      <c r="U3025" s="728"/>
      <c r="V3025" s="68">
        <f>V1596/1.18-V2311*'Mark Up Validation'!$S$105</f>
        <v>0</v>
      </c>
      <c r="W3025" s="728"/>
      <c r="X3025" s="68">
        <f>X1596/1.18-X2311*'Mark Up Validation'!$S$105</f>
        <v>0</v>
      </c>
      <c r="Y3025" s="728"/>
      <c r="Z3025" s="68">
        <f>Z1596/1.18-Z2311*'Mark Up Validation'!$S$105</f>
        <v>0</v>
      </c>
      <c r="AA3025" s="728"/>
      <c r="AB3025" s="68">
        <f>AB1596/1.18-AB2311*'Mark Up Validation'!$S$105</f>
        <v>0</v>
      </c>
      <c r="AC3025" s="728"/>
      <c r="AD3025" s="68">
        <f>AD1596/1.18-AD2311*'Mark Up Validation'!$S$105</f>
        <v>0</v>
      </c>
      <c r="AE3025" s="728"/>
      <c r="AF3025" s="132">
        <f>SUM(T3025,V3025,X3025,Z3025,AB3025,AD3025)</f>
        <v>0</v>
      </c>
      <c r="AG3025" s="728"/>
      <c r="AH3025" s="133">
        <f>SUM(AF3025,R3025)</f>
        <v>0</v>
      </c>
      <c r="AI3025" s="728"/>
      <c r="AJ3025" s="65"/>
      <c r="AV3025" s="56"/>
    </row>
    <row r="3026" spans="1:48" ht="12.75" customHeight="1" outlineLevel="2" thickBot="1">
      <c r="B3026" s="82"/>
      <c r="C3026" s="1234"/>
      <c r="D3026" s="1234"/>
      <c r="E3026" s="84">
        <f>'Terms and Turnovers'!$AN$12</f>
        <v>0</v>
      </c>
      <c r="F3026" s="68">
        <f>F1597/1.18-F2312*'Mark Up Validation'!$M$105</f>
        <v>0</v>
      </c>
      <c r="G3026" s="728"/>
      <c r="H3026" s="68">
        <f>H1597/1.18-H2312*'Mark Up Validation'!$M$105</f>
        <v>0</v>
      </c>
      <c r="I3026" s="728"/>
      <c r="J3026" s="68">
        <f>J1597/1.18-J2312*'Mark Up Validation'!$M$105</f>
        <v>0</v>
      </c>
      <c r="K3026" s="728"/>
      <c r="L3026" s="68">
        <f>L1597/1.18-L2312*'Mark Up Validation'!$M$105</f>
        <v>0</v>
      </c>
      <c r="M3026" s="728"/>
      <c r="N3026" s="68">
        <f>N1597/1.18-N2312*'Mark Up Validation'!$M$105</f>
        <v>0</v>
      </c>
      <c r="O3026" s="728"/>
      <c r="P3026" s="68">
        <f>P1597/1.18-P2312*'Mark Up Validation'!$M$105</f>
        <v>0</v>
      </c>
      <c r="Q3026" s="728"/>
      <c r="R3026" s="132">
        <f>SUM(F3026,H3026,J3026,L3026,N3026,P3026)</f>
        <v>0</v>
      </c>
      <c r="S3026" s="728"/>
      <c r="T3026" s="68">
        <f>T1597/1.18-T2312*'Mark Up Validation'!$S$105</f>
        <v>0</v>
      </c>
      <c r="U3026" s="728"/>
      <c r="V3026" s="68">
        <f>V1597/1.18-V2312*'Mark Up Validation'!$S$105</f>
        <v>0</v>
      </c>
      <c r="W3026" s="728"/>
      <c r="X3026" s="68">
        <f>X1597/1.18-X2312*'Mark Up Validation'!$S$105</f>
        <v>0</v>
      </c>
      <c r="Y3026" s="728"/>
      <c r="Z3026" s="68">
        <f>Z1597/1.18-Z2312*'Mark Up Validation'!$S$105</f>
        <v>0</v>
      </c>
      <c r="AA3026" s="728"/>
      <c r="AB3026" s="68">
        <f>AB1597/1.18-AB2312*'Mark Up Validation'!$S$105</f>
        <v>0</v>
      </c>
      <c r="AC3026" s="728"/>
      <c r="AD3026" s="68">
        <f>AD1597/1.18-AD2312*'Mark Up Validation'!$S$105</f>
        <v>0</v>
      </c>
      <c r="AE3026" s="728"/>
      <c r="AF3026" s="132">
        <f>SUM(T3026,V3026,X3026,Z3026,AB3026,AD3026)</f>
        <v>0</v>
      </c>
      <c r="AG3026" s="728"/>
      <c r="AH3026" s="133">
        <f>SUM(AF3026,R3026)</f>
        <v>0</v>
      </c>
      <c r="AI3026" s="728"/>
      <c r="AJ3026" s="65"/>
      <c r="AV3026" s="56"/>
    </row>
    <row r="3027" spans="1:48" ht="13.5" customHeight="1" outlineLevel="2" thickBot="1">
      <c r="B3027" s="82"/>
      <c r="C3027" s="1235"/>
      <c r="D3027" s="1235"/>
      <c r="E3027" s="85">
        <f>'Terms and Turnovers'!$AX$12</f>
        <v>0</v>
      </c>
      <c r="F3027" s="68">
        <f>F1598/1.18-F2313*'Mark Up Validation'!$M$105</f>
        <v>0</v>
      </c>
      <c r="G3027" s="106"/>
      <c r="H3027" s="68">
        <f>H1598/1.18-H2313*'Mark Up Validation'!$M$105</f>
        <v>0</v>
      </c>
      <c r="I3027" s="106"/>
      <c r="J3027" s="68">
        <f>J1598/1.18-J2313*'Mark Up Validation'!$M$105</f>
        <v>0</v>
      </c>
      <c r="K3027" s="106"/>
      <c r="L3027" s="68">
        <f>L1598/1.18-L2313*'Mark Up Validation'!$M$105</f>
        <v>0</v>
      </c>
      <c r="M3027" s="106"/>
      <c r="N3027" s="68">
        <f>N1598/1.18-N2313*'Mark Up Validation'!$M$105</f>
        <v>0</v>
      </c>
      <c r="O3027" s="106"/>
      <c r="P3027" s="68">
        <f>P1598/1.18-P2313*'Mark Up Validation'!$M$105</f>
        <v>0</v>
      </c>
      <c r="Q3027" s="107"/>
      <c r="R3027" s="135">
        <f>SUM(F3027,H3027,J3027,L3027,N3027,P3027)</f>
        <v>0</v>
      </c>
      <c r="S3027" s="107"/>
      <c r="T3027" s="68">
        <f>T1598/1.18-T2313*'Mark Up Validation'!$S$105</f>
        <v>0</v>
      </c>
      <c r="U3027" s="107"/>
      <c r="V3027" s="68">
        <f>V1598/1.18-V2313*'Mark Up Validation'!$S$105</f>
        <v>0</v>
      </c>
      <c r="W3027" s="107"/>
      <c r="X3027" s="68">
        <f>X1598/1.18-X2313*'Mark Up Validation'!$S$105</f>
        <v>0</v>
      </c>
      <c r="Y3027" s="107"/>
      <c r="Z3027" s="68">
        <f>Z1598/1.18-Z2313*'Mark Up Validation'!$S$105</f>
        <v>0</v>
      </c>
      <c r="AA3027" s="107"/>
      <c r="AB3027" s="68">
        <f>AB1598/1.18-AB2313*'Mark Up Validation'!$S$105</f>
        <v>0</v>
      </c>
      <c r="AC3027" s="107"/>
      <c r="AD3027" s="68">
        <f>AD1598/1.18-AD2313*'Mark Up Validation'!$S$105</f>
        <v>0</v>
      </c>
      <c r="AE3027" s="107"/>
      <c r="AF3027" s="135">
        <f>SUM(T3027,V3027,X3027,Z3027,AB3027,AD3027)</f>
        <v>0</v>
      </c>
      <c r="AG3027" s="107"/>
      <c r="AH3027" s="136">
        <f>SUM(AF3027,R3027)</f>
        <v>0</v>
      </c>
      <c r="AI3027" s="107"/>
      <c r="AJ3027" s="65"/>
      <c r="AV3027" s="56"/>
    </row>
    <row r="3028" spans="1:48" ht="13.5" customHeight="1" outlineLevel="2">
      <c r="B3028" s="82"/>
      <c r="C3028" s="425"/>
      <c r="D3028" s="425"/>
      <c r="E3028" s="634"/>
      <c r="F3028" s="635"/>
      <c r="G3028" s="428"/>
      <c r="H3028" s="635"/>
      <c r="I3028" s="428"/>
      <c r="J3028" s="635"/>
      <c r="K3028" s="636"/>
      <c r="L3028" s="635"/>
      <c r="M3028" s="636"/>
      <c r="N3028" s="635"/>
      <c r="O3028" s="636"/>
      <c r="P3028" s="635"/>
      <c r="Q3028" s="636"/>
      <c r="R3028" s="637"/>
      <c r="S3028" s="698">
        <f>SUM(R2308:R2312)/1.18-(SUM(R3023:R3027)*'Mark Up Validation'!$M$105)</f>
        <v>0</v>
      </c>
      <c r="T3028" s="635"/>
      <c r="U3028" s="636"/>
      <c r="V3028" s="635"/>
      <c r="W3028" s="636"/>
      <c r="X3028" s="635"/>
      <c r="Y3028" s="636"/>
      <c r="Z3028" s="635"/>
      <c r="AA3028" s="636"/>
      <c r="AB3028" s="635"/>
      <c r="AC3028" s="636"/>
      <c r="AD3028" s="635"/>
      <c r="AE3028" s="636"/>
      <c r="AF3028" s="637"/>
      <c r="AG3028" s="698">
        <f>SUM(AF2308:AF2312)/1.18-SUM(AF3023:AF3027)*'Mark Up Validation'!$M$175</f>
        <v>0</v>
      </c>
      <c r="AH3028" s="638"/>
      <c r="AI3028" s="698">
        <f>SUM(AH2308:AH2312)/1.18-SUM(AH3023:AH3027)*'Mark Up Validation'!$M$175</f>
        <v>0</v>
      </c>
      <c r="AJ3028" s="65"/>
      <c r="AV3028" s="56"/>
    </row>
    <row r="3029" spans="1:48" ht="13.5" customHeight="1" outlineLevel="2" thickBot="1">
      <c r="A3029" s="119"/>
      <c r="B3029" s="82"/>
      <c r="C3029" s="1228" t="s">
        <v>539</v>
      </c>
      <c r="D3029" s="1229"/>
      <c r="E3029" s="699"/>
      <c r="F3029" s="700">
        <f>SUM(F3023:F3027)</f>
        <v>0</v>
      </c>
      <c r="G3029" s="701"/>
      <c r="H3029" s="700">
        <f>SUM(H3023:H3027)</f>
        <v>0</v>
      </c>
      <c r="I3029" s="701"/>
      <c r="J3029" s="700">
        <f>SUM(J3023:J3027)</f>
        <v>0</v>
      </c>
      <c r="K3029" s="702"/>
      <c r="L3029" s="700">
        <f>SUM(L3023:L3027)</f>
        <v>0</v>
      </c>
      <c r="M3029" s="702"/>
      <c r="N3029" s="700">
        <f>SUM(N3023:N3027)</f>
        <v>0</v>
      </c>
      <c r="O3029" s="702"/>
      <c r="P3029" s="700">
        <f>SUM(P3023:P3027)</f>
        <v>0</v>
      </c>
      <c r="Q3029" s="702"/>
      <c r="R3029" s="703"/>
      <c r="S3029" s="729">
        <f>IF(S3028&gt;0,S3028/(SUM(R2308:R2312)/1.18),0)</f>
        <v>0</v>
      </c>
      <c r="T3029" s="700">
        <f>SUM(T3023:T3027)</f>
        <v>0</v>
      </c>
      <c r="U3029" s="702"/>
      <c r="V3029" s="700">
        <f>SUM(V3023:V3027)</f>
        <v>0</v>
      </c>
      <c r="W3029" s="702"/>
      <c r="X3029" s="700">
        <f>SUM(X3023:X3027)</f>
        <v>0</v>
      </c>
      <c r="Y3029" s="702"/>
      <c r="Z3029" s="700">
        <f>SUM(Z3023:Z3027)</f>
        <v>0</v>
      </c>
      <c r="AA3029" s="702"/>
      <c r="AB3029" s="700">
        <f>SUM(AB3023:AB3027)</f>
        <v>0</v>
      </c>
      <c r="AC3029" s="702"/>
      <c r="AD3029" s="700">
        <f>SUM(AD3023:AD3027)</f>
        <v>0</v>
      </c>
      <c r="AE3029" s="702"/>
      <c r="AF3029" s="705"/>
      <c r="AG3029" s="729">
        <f>IF(AG3028&gt;0,AG3028/(SUM(AF2308:AF2312)/1.18),0)</f>
        <v>0</v>
      </c>
      <c r="AH3029" s="706"/>
      <c r="AI3029" s="729">
        <f>IF(AI3028&gt;0,AI3028/(SUM(AH2308:AH2312)/1.18),0)</f>
        <v>0</v>
      </c>
      <c r="AJ3029" s="707"/>
      <c r="AV3029" s="56"/>
    </row>
    <row r="3030" spans="1:48" ht="12.75" customHeight="1" outlineLevel="2" thickBot="1">
      <c r="B3030" s="82">
        <f>B3023+1</f>
        <v>22</v>
      </c>
      <c r="C3030" s="1233">
        <f>C160</f>
        <v>0</v>
      </c>
      <c r="D3030" s="1233">
        <f>D160</f>
        <v>0</v>
      </c>
      <c r="E3030" s="83" t="str">
        <f>'Terms and Turnovers'!$J$12</f>
        <v>FLIP-FLOPS</v>
      </c>
      <c r="F3030" s="68">
        <f>F1601/1.18-F2316*'Mark Up Validation'!$M$105</f>
        <v>0</v>
      </c>
      <c r="G3030" s="106"/>
      <c r="H3030" s="68">
        <f>H1601/1.18-H2316*'Mark Up Validation'!$M$105</f>
        <v>0</v>
      </c>
      <c r="I3030" s="106"/>
      <c r="J3030" s="68">
        <f>J1601/1.18-J2316*'Mark Up Validation'!$M$105</f>
        <v>0</v>
      </c>
      <c r="K3030" s="106"/>
      <c r="L3030" s="68">
        <f>L1601/1.18-L2316*'Mark Up Validation'!$M$105</f>
        <v>0</v>
      </c>
      <c r="M3030" s="106"/>
      <c r="N3030" s="68">
        <f>N1601/1.18-N2316*'Mark Up Validation'!$M$105</f>
        <v>0</v>
      </c>
      <c r="O3030" s="106"/>
      <c r="P3030" s="68">
        <f>P1601/1.18-P2316*'Mark Up Validation'!$M$105</f>
        <v>0</v>
      </c>
      <c r="Q3030" s="106"/>
      <c r="R3030" s="129">
        <f>SUM(F3030,H3030,J3030,L3030,N3030,P3030)</f>
        <v>0</v>
      </c>
      <c r="S3030" s="106"/>
      <c r="T3030" s="68">
        <f>T1601/1.18-T2316*'Mark Up Validation'!$S$105</f>
        <v>0</v>
      </c>
      <c r="U3030" s="106"/>
      <c r="V3030" s="68">
        <f>V1601/1.18-V2316*'Mark Up Validation'!$S$105</f>
        <v>0</v>
      </c>
      <c r="W3030" s="106"/>
      <c r="X3030" s="68">
        <f>X1601/1.18-X2316*'Mark Up Validation'!$S$105</f>
        <v>0</v>
      </c>
      <c r="Y3030" s="106"/>
      <c r="Z3030" s="68">
        <f>Z1601/1.18-Z2316*'Mark Up Validation'!$S$105</f>
        <v>0</v>
      </c>
      <c r="AA3030" s="106"/>
      <c r="AB3030" s="68">
        <f>AB1601/1.18-AB2316*'Mark Up Validation'!$S$105</f>
        <v>0</v>
      </c>
      <c r="AC3030" s="106"/>
      <c r="AD3030" s="68">
        <f>AD1601/1.18-AD2316*'Mark Up Validation'!$S$105</f>
        <v>0</v>
      </c>
      <c r="AE3030" s="106"/>
      <c r="AF3030" s="129">
        <f>SUM(T3030,V3030,X3030,Z3030,AB3030,AD3030)</f>
        <v>0</v>
      </c>
      <c r="AG3030" s="106"/>
      <c r="AH3030" s="130">
        <f>SUM(AF3030,R3030)</f>
        <v>0</v>
      </c>
      <c r="AI3030" s="106"/>
      <c r="AJ3030" s="65"/>
      <c r="AV3030" s="56"/>
    </row>
    <row r="3031" spans="1:48" ht="12.75" customHeight="1" outlineLevel="2" thickBot="1">
      <c r="B3031" s="82"/>
      <c r="C3031" s="1234"/>
      <c r="D3031" s="1234"/>
      <c r="E3031" s="84" t="str">
        <f>'Terms and Turnovers'!$T$12</f>
        <v>ORIGINALS</v>
      </c>
      <c r="F3031" s="68">
        <f>F1602/1.18-F2317*'Mark Up Validation'!$M$105</f>
        <v>0</v>
      </c>
      <c r="G3031" s="728"/>
      <c r="H3031" s="68">
        <f>H1602/1.18-H2317*'Mark Up Validation'!$M$105</f>
        <v>0</v>
      </c>
      <c r="I3031" s="728"/>
      <c r="J3031" s="68">
        <f>J1602/1.18-J2317*'Mark Up Validation'!$M$105</f>
        <v>0</v>
      </c>
      <c r="K3031" s="728"/>
      <c r="L3031" s="68">
        <f>L1602/1.18-L2317*'Mark Up Validation'!$M$105</f>
        <v>0</v>
      </c>
      <c r="M3031" s="728"/>
      <c r="N3031" s="68">
        <f>N1602/1.18-N2317*'Mark Up Validation'!$M$105</f>
        <v>0</v>
      </c>
      <c r="O3031" s="728"/>
      <c r="P3031" s="68">
        <f>P1602/1.18-P2317*'Mark Up Validation'!$M$105</f>
        <v>0</v>
      </c>
      <c r="Q3031" s="728"/>
      <c r="R3031" s="132">
        <f>SUM(F3031,H3031,J3031,L3031,N3031,P3031)</f>
        <v>0</v>
      </c>
      <c r="S3031" s="728"/>
      <c r="T3031" s="68">
        <f>T1602/1.18-T2317*'Mark Up Validation'!$S$105</f>
        <v>0</v>
      </c>
      <c r="U3031" s="728"/>
      <c r="V3031" s="68">
        <f>V1602/1.18-V2317*'Mark Up Validation'!$S$105</f>
        <v>0</v>
      </c>
      <c r="W3031" s="728"/>
      <c r="X3031" s="68">
        <f>X1602/1.18-X2317*'Mark Up Validation'!$S$105</f>
        <v>0</v>
      </c>
      <c r="Y3031" s="728"/>
      <c r="Z3031" s="68">
        <f>Z1602/1.18-Z2317*'Mark Up Validation'!$S$105</f>
        <v>0</v>
      </c>
      <c r="AA3031" s="728"/>
      <c r="AB3031" s="68">
        <f>AB1602/1.18-AB2317*'Mark Up Validation'!$S$105</f>
        <v>0</v>
      </c>
      <c r="AC3031" s="728"/>
      <c r="AD3031" s="68">
        <f>AD1602/1.18-AD2317*'Mark Up Validation'!$S$105</f>
        <v>0</v>
      </c>
      <c r="AE3031" s="728"/>
      <c r="AF3031" s="132">
        <f>SUM(T3031,V3031,X3031,Z3031,AB3031,AD3031)</f>
        <v>0</v>
      </c>
      <c r="AG3031" s="728"/>
      <c r="AH3031" s="133">
        <f>SUM(AF3031,R3031)</f>
        <v>0</v>
      </c>
      <c r="AI3031" s="728"/>
      <c r="AJ3031" s="65"/>
      <c r="AV3031" s="56"/>
    </row>
    <row r="3032" spans="1:48" ht="12.75" customHeight="1" outlineLevel="2" thickBot="1">
      <c r="B3032" s="82"/>
      <c r="C3032" s="1234"/>
      <c r="D3032" s="1234"/>
      <c r="E3032" s="84" t="str">
        <f>'Terms and Turnovers'!$AD$12</f>
        <v>ACCESSORIES</v>
      </c>
      <c r="F3032" s="68">
        <f>F1603/1.18-F2318*'Mark Up Validation'!$M$105</f>
        <v>0</v>
      </c>
      <c r="G3032" s="106"/>
      <c r="H3032" s="68">
        <f>H1603/1.18-H2318*'Mark Up Validation'!$M$105</f>
        <v>0</v>
      </c>
      <c r="I3032" s="106"/>
      <c r="J3032" s="68">
        <f>J1603/1.18-J2318*'Mark Up Validation'!$M$105</f>
        <v>0</v>
      </c>
      <c r="K3032" s="106"/>
      <c r="L3032" s="68">
        <f>L1603/1.18-L2318*'Mark Up Validation'!$M$105</f>
        <v>0</v>
      </c>
      <c r="M3032" s="106"/>
      <c r="N3032" s="68">
        <f>N1603/1.18-N2318*'Mark Up Validation'!$M$105</f>
        <v>0</v>
      </c>
      <c r="O3032" s="106"/>
      <c r="P3032" s="68">
        <f>P1603/1.18-P2318*'Mark Up Validation'!$M$105</f>
        <v>0</v>
      </c>
      <c r="Q3032" s="728"/>
      <c r="R3032" s="132">
        <f>SUM(F3032,H3032,J3032,L3032,N3032,P3032)</f>
        <v>0</v>
      </c>
      <c r="S3032" s="728"/>
      <c r="T3032" s="68">
        <f>T1603/1.18-T2318*'Mark Up Validation'!$S$105</f>
        <v>0</v>
      </c>
      <c r="U3032" s="728"/>
      <c r="V3032" s="68">
        <f>V1603/1.18-V2318*'Mark Up Validation'!$S$105</f>
        <v>0</v>
      </c>
      <c r="W3032" s="728"/>
      <c r="X3032" s="68">
        <f>X1603/1.18-X2318*'Mark Up Validation'!$S$105</f>
        <v>0</v>
      </c>
      <c r="Y3032" s="728"/>
      <c r="Z3032" s="68">
        <f>Z1603/1.18-Z2318*'Mark Up Validation'!$S$105</f>
        <v>0</v>
      </c>
      <c r="AA3032" s="728"/>
      <c r="AB3032" s="68">
        <f>AB1603/1.18-AB2318*'Mark Up Validation'!$S$105</f>
        <v>0</v>
      </c>
      <c r="AC3032" s="728"/>
      <c r="AD3032" s="68">
        <f>AD1603/1.18-AD2318*'Mark Up Validation'!$S$105</f>
        <v>0</v>
      </c>
      <c r="AE3032" s="728"/>
      <c r="AF3032" s="132">
        <f>SUM(T3032,V3032,X3032,Z3032,AB3032,AD3032)</f>
        <v>0</v>
      </c>
      <c r="AG3032" s="728"/>
      <c r="AH3032" s="133">
        <f>SUM(AF3032,R3032)</f>
        <v>0</v>
      </c>
      <c r="AI3032" s="728"/>
      <c r="AJ3032" s="65"/>
      <c r="AV3032" s="56"/>
    </row>
    <row r="3033" spans="1:48" ht="12.75" customHeight="1" outlineLevel="2" thickBot="1">
      <c r="B3033" s="82"/>
      <c r="C3033" s="1234"/>
      <c r="D3033" s="1234"/>
      <c r="E3033" s="84">
        <f>'Terms and Turnovers'!$AN$12</f>
        <v>0</v>
      </c>
      <c r="F3033" s="68">
        <f>F1604/1.18-F2319*'Mark Up Validation'!$M$105</f>
        <v>0</v>
      </c>
      <c r="G3033" s="728"/>
      <c r="H3033" s="68">
        <f>H1604/1.18-H2319*'Mark Up Validation'!$M$105</f>
        <v>0</v>
      </c>
      <c r="I3033" s="728"/>
      <c r="J3033" s="68">
        <f>J1604/1.18-J2319*'Mark Up Validation'!$M$105</f>
        <v>0</v>
      </c>
      <c r="K3033" s="728"/>
      <c r="L3033" s="68">
        <f>L1604/1.18-L2319*'Mark Up Validation'!$M$105</f>
        <v>0</v>
      </c>
      <c r="M3033" s="728"/>
      <c r="N3033" s="68">
        <f>N1604/1.18-N2319*'Mark Up Validation'!$M$105</f>
        <v>0</v>
      </c>
      <c r="O3033" s="728"/>
      <c r="P3033" s="68">
        <f>P1604/1.18-P2319*'Mark Up Validation'!$M$105</f>
        <v>0</v>
      </c>
      <c r="Q3033" s="728"/>
      <c r="R3033" s="132">
        <f>SUM(F3033,H3033,J3033,L3033,N3033,P3033)</f>
        <v>0</v>
      </c>
      <c r="S3033" s="728"/>
      <c r="T3033" s="68">
        <f>T1604/1.18-T2319*'Mark Up Validation'!$S$105</f>
        <v>0</v>
      </c>
      <c r="U3033" s="728"/>
      <c r="V3033" s="68">
        <f>V1604/1.18-V2319*'Mark Up Validation'!$S$105</f>
        <v>0</v>
      </c>
      <c r="W3033" s="728"/>
      <c r="X3033" s="68">
        <f>X1604/1.18-X2319*'Mark Up Validation'!$S$105</f>
        <v>0</v>
      </c>
      <c r="Y3033" s="728"/>
      <c r="Z3033" s="68">
        <f>Z1604/1.18-Z2319*'Mark Up Validation'!$S$105</f>
        <v>0</v>
      </c>
      <c r="AA3033" s="728"/>
      <c r="AB3033" s="68">
        <f>AB1604/1.18-AB2319*'Mark Up Validation'!$S$105</f>
        <v>0</v>
      </c>
      <c r="AC3033" s="728"/>
      <c r="AD3033" s="68">
        <f>AD1604/1.18-AD2319*'Mark Up Validation'!$S$105</f>
        <v>0</v>
      </c>
      <c r="AE3033" s="728"/>
      <c r="AF3033" s="132">
        <f>SUM(T3033,V3033,X3033,Z3033,AB3033,AD3033)</f>
        <v>0</v>
      </c>
      <c r="AG3033" s="728"/>
      <c r="AH3033" s="133">
        <f>SUM(AF3033,R3033)</f>
        <v>0</v>
      </c>
      <c r="AI3033" s="728"/>
      <c r="AJ3033" s="65"/>
      <c r="AV3033" s="56"/>
    </row>
    <row r="3034" spans="1:48" ht="13.5" customHeight="1" outlineLevel="2" thickBot="1">
      <c r="B3034" s="82"/>
      <c r="C3034" s="1235"/>
      <c r="D3034" s="1235"/>
      <c r="E3034" s="85">
        <f>'Terms and Turnovers'!$AX$12</f>
        <v>0</v>
      </c>
      <c r="F3034" s="68">
        <f>F1605/1.18-F2320*'Mark Up Validation'!$M$105</f>
        <v>0</v>
      </c>
      <c r="G3034" s="106"/>
      <c r="H3034" s="68">
        <f>H1605/1.18-H2320*'Mark Up Validation'!$M$105</f>
        <v>0</v>
      </c>
      <c r="I3034" s="106"/>
      <c r="J3034" s="68">
        <f>J1605/1.18-J2320*'Mark Up Validation'!$M$105</f>
        <v>0</v>
      </c>
      <c r="K3034" s="106"/>
      <c r="L3034" s="68">
        <f>L1605/1.18-L2320*'Mark Up Validation'!$M$105</f>
        <v>0</v>
      </c>
      <c r="M3034" s="106"/>
      <c r="N3034" s="68">
        <f>N1605/1.18-N2320*'Mark Up Validation'!$M$105</f>
        <v>0</v>
      </c>
      <c r="O3034" s="106"/>
      <c r="P3034" s="68">
        <f>P1605/1.18-P2320*'Mark Up Validation'!$M$105</f>
        <v>0</v>
      </c>
      <c r="Q3034" s="107"/>
      <c r="R3034" s="135">
        <f>SUM(F3034,H3034,J3034,L3034,N3034,P3034)</f>
        <v>0</v>
      </c>
      <c r="S3034" s="107"/>
      <c r="T3034" s="68">
        <f>T1605/1.18-T2320*'Mark Up Validation'!$S$105</f>
        <v>0</v>
      </c>
      <c r="U3034" s="107"/>
      <c r="V3034" s="68">
        <f>V1605/1.18-V2320*'Mark Up Validation'!$S$105</f>
        <v>0</v>
      </c>
      <c r="W3034" s="107"/>
      <c r="X3034" s="68">
        <f>X1605/1.18-X2320*'Mark Up Validation'!$S$105</f>
        <v>0</v>
      </c>
      <c r="Y3034" s="107"/>
      <c r="Z3034" s="68">
        <f>Z1605/1.18-Z2320*'Mark Up Validation'!$S$105</f>
        <v>0</v>
      </c>
      <c r="AA3034" s="107"/>
      <c r="AB3034" s="68">
        <f>AB1605/1.18-AB2320*'Mark Up Validation'!$S$105</f>
        <v>0</v>
      </c>
      <c r="AC3034" s="107"/>
      <c r="AD3034" s="68">
        <f>AD1605/1.18-AD2320*'Mark Up Validation'!$S$105</f>
        <v>0</v>
      </c>
      <c r="AE3034" s="107"/>
      <c r="AF3034" s="135">
        <f>SUM(T3034,V3034,X3034,Z3034,AB3034,AD3034)</f>
        <v>0</v>
      </c>
      <c r="AG3034" s="107"/>
      <c r="AH3034" s="136">
        <f>SUM(AF3034,R3034)</f>
        <v>0</v>
      </c>
      <c r="AI3034" s="107"/>
      <c r="AJ3034" s="65"/>
      <c r="AV3034" s="56"/>
    </row>
    <row r="3035" spans="1:48" ht="13.5" customHeight="1" outlineLevel="2">
      <c r="B3035" s="82"/>
      <c r="C3035" s="425"/>
      <c r="D3035" s="425"/>
      <c r="E3035" s="634"/>
      <c r="F3035" s="635"/>
      <c r="G3035" s="428"/>
      <c r="H3035" s="635"/>
      <c r="I3035" s="428"/>
      <c r="J3035" s="635"/>
      <c r="K3035" s="636"/>
      <c r="L3035" s="635"/>
      <c r="M3035" s="636"/>
      <c r="N3035" s="635"/>
      <c r="O3035" s="636"/>
      <c r="P3035" s="635"/>
      <c r="Q3035" s="636"/>
      <c r="R3035" s="637"/>
      <c r="S3035" s="698">
        <f>SUM(R2315:R2319)/1.18-(SUM(R3030:R3034)*'Mark Up Validation'!$M$105)</f>
        <v>0</v>
      </c>
      <c r="T3035" s="635"/>
      <c r="U3035" s="636"/>
      <c r="V3035" s="635"/>
      <c r="W3035" s="636"/>
      <c r="X3035" s="635"/>
      <c r="Y3035" s="636"/>
      <c r="Z3035" s="635"/>
      <c r="AA3035" s="636"/>
      <c r="AB3035" s="635"/>
      <c r="AC3035" s="636"/>
      <c r="AD3035" s="635"/>
      <c r="AE3035" s="636"/>
      <c r="AF3035" s="637"/>
      <c r="AG3035" s="698">
        <f>SUM(AF2315:AF2319)/1.18-SUM(AF3030:AF3034)*'Mark Up Validation'!$M$175</f>
        <v>0</v>
      </c>
      <c r="AH3035" s="638"/>
      <c r="AI3035" s="698">
        <f>SUM(AH2315:AH2319)/1.18-SUM(AH3030:AH3034)*'Mark Up Validation'!$M$175</f>
        <v>0</v>
      </c>
      <c r="AJ3035" s="65"/>
      <c r="AV3035" s="56"/>
    </row>
    <row r="3036" spans="1:48" ht="13.5" customHeight="1" outlineLevel="2" thickBot="1">
      <c r="A3036" s="119"/>
      <c r="B3036" s="82"/>
      <c r="C3036" s="1228" t="s">
        <v>539</v>
      </c>
      <c r="D3036" s="1229"/>
      <c r="E3036" s="699"/>
      <c r="F3036" s="700">
        <f>SUM(F3030:F3034)</f>
        <v>0</v>
      </c>
      <c r="G3036" s="701"/>
      <c r="H3036" s="700">
        <f>SUM(H3030:H3034)</f>
        <v>0</v>
      </c>
      <c r="I3036" s="701"/>
      <c r="J3036" s="700">
        <f>SUM(J3030:J3034)</f>
        <v>0</v>
      </c>
      <c r="K3036" s="702"/>
      <c r="L3036" s="700">
        <f>SUM(L3030:L3034)</f>
        <v>0</v>
      </c>
      <c r="M3036" s="702"/>
      <c r="N3036" s="700">
        <f>SUM(N3030:N3034)</f>
        <v>0</v>
      </c>
      <c r="O3036" s="702"/>
      <c r="P3036" s="700">
        <f>SUM(P3030:P3034)</f>
        <v>0</v>
      </c>
      <c r="Q3036" s="702"/>
      <c r="R3036" s="703"/>
      <c r="S3036" s="729">
        <f>IF(S3035&gt;0,S3035/(SUM(R2315:R2319)/1.18),0)</f>
        <v>0</v>
      </c>
      <c r="T3036" s="700">
        <f>SUM(T3030:T3034)</f>
        <v>0</v>
      </c>
      <c r="U3036" s="702"/>
      <c r="V3036" s="700">
        <f>SUM(V3030:V3034)</f>
        <v>0</v>
      </c>
      <c r="W3036" s="702"/>
      <c r="X3036" s="700">
        <f>SUM(X3030:X3034)</f>
        <v>0</v>
      </c>
      <c r="Y3036" s="702"/>
      <c r="Z3036" s="700">
        <f>SUM(Z3030:Z3034)</f>
        <v>0</v>
      </c>
      <c r="AA3036" s="702"/>
      <c r="AB3036" s="700">
        <f>SUM(AB3030:AB3034)</f>
        <v>0</v>
      </c>
      <c r="AC3036" s="702"/>
      <c r="AD3036" s="700">
        <f>SUM(AD3030:AD3034)</f>
        <v>0</v>
      </c>
      <c r="AE3036" s="702"/>
      <c r="AF3036" s="705"/>
      <c r="AG3036" s="729">
        <f>IF(AG3035&gt;0,AG3035/(SUM(AF2315:AF2319)/1.18),0)</f>
        <v>0</v>
      </c>
      <c r="AH3036" s="706"/>
      <c r="AI3036" s="729">
        <f>IF(AI3035&gt;0,AI3035/(SUM(AH2315:AH2319)/1.18),0)</f>
        <v>0</v>
      </c>
      <c r="AJ3036" s="707"/>
      <c r="AV3036" s="56"/>
    </row>
    <row r="3037" spans="1:48" ht="12.75" customHeight="1" outlineLevel="2" thickBot="1">
      <c r="B3037" s="82">
        <f>B3030+1</f>
        <v>23</v>
      </c>
      <c r="C3037" s="1233">
        <f>C167</f>
        <v>0</v>
      </c>
      <c r="D3037" s="1233">
        <f>D167</f>
        <v>0</v>
      </c>
      <c r="E3037" s="83" t="str">
        <f>'Terms and Turnovers'!$J$12</f>
        <v>FLIP-FLOPS</v>
      </c>
      <c r="F3037" s="68">
        <f>F1608/1.18-F2323*'Mark Up Validation'!$M$105</f>
        <v>0</v>
      </c>
      <c r="G3037" s="106"/>
      <c r="H3037" s="68">
        <f>H1608/1.18-H2323*'Mark Up Validation'!$M$105</f>
        <v>0</v>
      </c>
      <c r="I3037" s="106"/>
      <c r="J3037" s="68">
        <f>J1608/1.18-J2323*'Mark Up Validation'!$M$105</f>
        <v>0</v>
      </c>
      <c r="K3037" s="106"/>
      <c r="L3037" s="68">
        <f>L1608/1.18-L2323*'Mark Up Validation'!$M$105</f>
        <v>0</v>
      </c>
      <c r="M3037" s="106"/>
      <c r="N3037" s="68">
        <f>N1608/1.18-N2323*'Mark Up Validation'!$M$105</f>
        <v>0</v>
      </c>
      <c r="O3037" s="106"/>
      <c r="P3037" s="68">
        <f>P1608/1.18-P2323*'Mark Up Validation'!$M$105</f>
        <v>0</v>
      </c>
      <c r="Q3037" s="106"/>
      <c r="R3037" s="129">
        <f>SUM(F3037,H3037,J3037,L3037,N3037,P3037)</f>
        <v>0</v>
      </c>
      <c r="S3037" s="106"/>
      <c r="T3037" s="68">
        <f>T1608/1.18-T2323*'Mark Up Validation'!$S$105</f>
        <v>0</v>
      </c>
      <c r="U3037" s="106"/>
      <c r="V3037" s="68">
        <f>V1608/1.18-V2323*'Mark Up Validation'!$S$105</f>
        <v>0</v>
      </c>
      <c r="W3037" s="106"/>
      <c r="X3037" s="68">
        <f>X1608/1.18-X2323*'Mark Up Validation'!$S$105</f>
        <v>0</v>
      </c>
      <c r="Y3037" s="106"/>
      <c r="Z3037" s="68">
        <f>Z1608/1.18-Z2323*'Mark Up Validation'!$S$105</f>
        <v>0</v>
      </c>
      <c r="AA3037" s="106"/>
      <c r="AB3037" s="68">
        <f>AB1608/1.18-AB2323*'Mark Up Validation'!$S$105</f>
        <v>0</v>
      </c>
      <c r="AC3037" s="106"/>
      <c r="AD3037" s="68">
        <f>AD1608/1.18-AD2323*'Mark Up Validation'!$S$105</f>
        <v>0</v>
      </c>
      <c r="AE3037" s="106"/>
      <c r="AF3037" s="129">
        <f>SUM(T3037,V3037,X3037,Z3037,AB3037,AD3037)</f>
        <v>0</v>
      </c>
      <c r="AG3037" s="106"/>
      <c r="AH3037" s="130">
        <f>SUM(AF3037,R3037)</f>
        <v>0</v>
      </c>
      <c r="AI3037" s="106"/>
      <c r="AJ3037" s="65"/>
      <c r="AV3037" s="56"/>
    </row>
    <row r="3038" spans="1:48" ht="12.75" customHeight="1" outlineLevel="2" thickBot="1">
      <c r="B3038" s="82"/>
      <c r="C3038" s="1234"/>
      <c r="D3038" s="1234"/>
      <c r="E3038" s="84" t="str">
        <f>'Terms and Turnovers'!$T$12</f>
        <v>ORIGINALS</v>
      </c>
      <c r="F3038" s="68">
        <f>F1609/1.18-F2324*'Mark Up Validation'!$M$105</f>
        <v>0</v>
      </c>
      <c r="G3038" s="728"/>
      <c r="H3038" s="68">
        <f>H1609/1.18-H2324*'Mark Up Validation'!$M$105</f>
        <v>0</v>
      </c>
      <c r="I3038" s="728"/>
      <c r="J3038" s="68">
        <f>J1609/1.18-J2324*'Mark Up Validation'!$M$105</f>
        <v>0</v>
      </c>
      <c r="K3038" s="728"/>
      <c r="L3038" s="68">
        <f>L1609/1.18-L2324*'Mark Up Validation'!$M$105</f>
        <v>0</v>
      </c>
      <c r="M3038" s="728"/>
      <c r="N3038" s="68">
        <f>N1609/1.18-N2324*'Mark Up Validation'!$M$105</f>
        <v>0</v>
      </c>
      <c r="O3038" s="728"/>
      <c r="P3038" s="68">
        <f>P1609/1.18-P2324*'Mark Up Validation'!$M$105</f>
        <v>0</v>
      </c>
      <c r="Q3038" s="728"/>
      <c r="R3038" s="132">
        <f>SUM(F3038,H3038,J3038,L3038,N3038,P3038)</f>
        <v>0</v>
      </c>
      <c r="S3038" s="728"/>
      <c r="T3038" s="68">
        <f>T1609/1.18-T2324*'Mark Up Validation'!$S$105</f>
        <v>0</v>
      </c>
      <c r="U3038" s="728"/>
      <c r="V3038" s="68">
        <f>V1609/1.18-V2324*'Mark Up Validation'!$S$105</f>
        <v>0</v>
      </c>
      <c r="W3038" s="728"/>
      <c r="X3038" s="68">
        <f>X1609/1.18-X2324*'Mark Up Validation'!$S$105</f>
        <v>0</v>
      </c>
      <c r="Y3038" s="728"/>
      <c r="Z3038" s="68">
        <f>Z1609/1.18-Z2324*'Mark Up Validation'!$S$105</f>
        <v>0</v>
      </c>
      <c r="AA3038" s="728"/>
      <c r="AB3038" s="68">
        <f>AB1609/1.18-AB2324*'Mark Up Validation'!$S$105</f>
        <v>0</v>
      </c>
      <c r="AC3038" s="728"/>
      <c r="AD3038" s="68">
        <f>AD1609/1.18-AD2324*'Mark Up Validation'!$S$105</f>
        <v>0</v>
      </c>
      <c r="AE3038" s="728"/>
      <c r="AF3038" s="132">
        <f>SUM(T3038,V3038,X3038,Z3038,AB3038,AD3038)</f>
        <v>0</v>
      </c>
      <c r="AG3038" s="728"/>
      <c r="AH3038" s="133">
        <f>SUM(AF3038,R3038)</f>
        <v>0</v>
      </c>
      <c r="AI3038" s="728"/>
      <c r="AJ3038" s="65"/>
      <c r="AV3038" s="56"/>
    </row>
    <row r="3039" spans="1:48" ht="12.75" customHeight="1" outlineLevel="2" thickBot="1">
      <c r="B3039" s="82"/>
      <c r="C3039" s="1234"/>
      <c r="D3039" s="1234"/>
      <c r="E3039" s="84" t="str">
        <f>'Terms and Turnovers'!$AD$12</f>
        <v>ACCESSORIES</v>
      </c>
      <c r="F3039" s="68">
        <f>F1610/1.18-F2325*'Mark Up Validation'!$M$105</f>
        <v>0</v>
      </c>
      <c r="G3039" s="106"/>
      <c r="H3039" s="68">
        <f>H1610/1.18-H2325*'Mark Up Validation'!$M$105</f>
        <v>0</v>
      </c>
      <c r="I3039" s="106"/>
      <c r="J3039" s="68">
        <f>J1610/1.18-J2325*'Mark Up Validation'!$M$105</f>
        <v>0</v>
      </c>
      <c r="K3039" s="106"/>
      <c r="L3039" s="68">
        <f>L1610/1.18-L2325*'Mark Up Validation'!$M$105</f>
        <v>0</v>
      </c>
      <c r="M3039" s="106"/>
      <c r="N3039" s="68">
        <f>N1610/1.18-N2325*'Mark Up Validation'!$M$105</f>
        <v>0</v>
      </c>
      <c r="O3039" s="106"/>
      <c r="P3039" s="68">
        <f>P1610/1.18-P2325*'Mark Up Validation'!$M$105</f>
        <v>0</v>
      </c>
      <c r="Q3039" s="728"/>
      <c r="R3039" s="132">
        <f>SUM(F3039,H3039,J3039,L3039,N3039,P3039)</f>
        <v>0</v>
      </c>
      <c r="S3039" s="728"/>
      <c r="T3039" s="68">
        <f>T1610/1.18-T2325*'Mark Up Validation'!$S$105</f>
        <v>0</v>
      </c>
      <c r="U3039" s="728"/>
      <c r="V3039" s="68">
        <f>V1610/1.18-V2325*'Mark Up Validation'!$S$105</f>
        <v>0</v>
      </c>
      <c r="W3039" s="728"/>
      <c r="X3039" s="68">
        <f>X1610/1.18-X2325*'Mark Up Validation'!$S$105</f>
        <v>0</v>
      </c>
      <c r="Y3039" s="728"/>
      <c r="Z3039" s="68">
        <f>Z1610/1.18-Z2325*'Mark Up Validation'!$S$105</f>
        <v>0</v>
      </c>
      <c r="AA3039" s="728"/>
      <c r="AB3039" s="68">
        <f>AB1610/1.18-AB2325*'Mark Up Validation'!$S$105</f>
        <v>0</v>
      </c>
      <c r="AC3039" s="728"/>
      <c r="AD3039" s="68">
        <f>AD1610/1.18-AD2325*'Mark Up Validation'!$S$105</f>
        <v>0</v>
      </c>
      <c r="AE3039" s="728"/>
      <c r="AF3039" s="132">
        <f>SUM(T3039,V3039,X3039,Z3039,AB3039,AD3039)</f>
        <v>0</v>
      </c>
      <c r="AG3039" s="728"/>
      <c r="AH3039" s="133">
        <f>SUM(AF3039,R3039)</f>
        <v>0</v>
      </c>
      <c r="AI3039" s="728"/>
      <c r="AJ3039" s="65"/>
      <c r="AV3039" s="56"/>
    </row>
    <row r="3040" spans="1:48" ht="12.75" customHeight="1" outlineLevel="2" thickBot="1">
      <c r="B3040" s="82"/>
      <c r="C3040" s="1234"/>
      <c r="D3040" s="1234"/>
      <c r="E3040" s="84">
        <f>'Terms and Turnovers'!$AN$12</f>
        <v>0</v>
      </c>
      <c r="F3040" s="68">
        <f>F1611/1.18-F2326*'Mark Up Validation'!$M$105</f>
        <v>0</v>
      </c>
      <c r="G3040" s="728"/>
      <c r="H3040" s="68">
        <f>H1611/1.18-H2326*'Mark Up Validation'!$M$105</f>
        <v>0</v>
      </c>
      <c r="I3040" s="728"/>
      <c r="J3040" s="68">
        <f>J1611/1.18-J2326*'Mark Up Validation'!$M$105</f>
        <v>0</v>
      </c>
      <c r="K3040" s="728"/>
      <c r="L3040" s="68">
        <f>L1611/1.18-L2326*'Mark Up Validation'!$M$105</f>
        <v>0</v>
      </c>
      <c r="M3040" s="728"/>
      <c r="N3040" s="68">
        <f>N1611/1.18-N2326*'Mark Up Validation'!$M$105</f>
        <v>0</v>
      </c>
      <c r="O3040" s="728"/>
      <c r="P3040" s="68">
        <f>P1611/1.18-P2326*'Mark Up Validation'!$M$105</f>
        <v>0</v>
      </c>
      <c r="Q3040" s="728"/>
      <c r="R3040" s="132">
        <f>SUM(F3040,H3040,J3040,L3040,N3040,P3040)</f>
        <v>0</v>
      </c>
      <c r="S3040" s="728"/>
      <c r="T3040" s="68">
        <f>T1611/1.18-T2326*'Mark Up Validation'!$S$105</f>
        <v>0</v>
      </c>
      <c r="U3040" s="728"/>
      <c r="V3040" s="68">
        <f>V1611/1.18-V2326*'Mark Up Validation'!$S$105</f>
        <v>0</v>
      </c>
      <c r="W3040" s="728"/>
      <c r="X3040" s="68">
        <f>X1611/1.18-X2326*'Mark Up Validation'!$S$105</f>
        <v>0</v>
      </c>
      <c r="Y3040" s="728"/>
      <c r="Z3040" s="68">
        <f>Z1611/1.18-Z2326*'Mark Up Validation'!$S$105</f>
        <v>0</v>
      </c>
      <c r="AA3040" s="728"/>
      <c r="AB3040" s="68">
        <f>AB1611/1.18-AB2326*'Mark Up Validation'!$S$105</f>
        <v>0</v>
      </c>
      <c r="AC3040" s="728"/>
      <c r="AD3040" s="68">
        <f>AD1611/1.18-AD2326*'Mark Up Validation'!$S$105</f>
        <v>0</v>
      </c>
      <c r="AE3040" s="728"/>
      <c r="AF3040" s="132">
        <f>SUM(T3040,V3040,X3040,Z3040,AB3040,AD3040)</f>
        <v>0</v>
      </c>
      <c r="AG3040" s="728"/>
      <c r="AH3040" s="133">
        <f>SUM(AF3040,R3040)</f>
        <v>0</v>
      </c>
      <c r="AI3040" s="728"/>
      <c r="AJ3040" s="65"/>
      <c r="AV3040" s="56"/>
    </row>
    <row r="3041" spans="1:48" ht="13.5" customHeight="1" outlineLevel="2" thickBot="1">
      <c r="B3041" s="82"/>
      <c r="C3041" s="1235"/>
      <c r="D3041" s="1235"/>
      <c r="E3041" s="85">
        <f>'Terms and Turnovers'!$AX$12</f>
        <v>0</v>
      </c>
      <c r="F3041" s="68">
        <f>F1612/1.18-F2327*'Mark Up Validation'!$M$105</f>
        <v>0</v>
      </c>
      <c r="G3041" s="106"/>
      <c r="H3041" s="68">
        <f>H1612/1.18-H2327*'Mark Up Validation'!$M$105</f>
        <v>0</v>
      </c>
      <c r="I3041" s="106"/>
      <c r="J3041" s="68">
        <f>J1612/1.18-J2327*'Mark Up Validation'!$M$105</f>
        <v>0</v>
      </c>
      <c r="K3041" s="106"/>
      <c r="L3041" s="68">
        <f>L1612/1.18-L2327*'Mark Up Validation'!$M$105</f>
        <v>0</v>
      </c>
      <c r="M3041" s="106"/>
      <c r="N3041" s="68">
        <f>N1612/1.18-N2327*'Mark Up Validation'!$M$105</f>
        <v>0</v>
      </c>
      <c r="O3041" s="106"/>
      <c r="P3041" s="68">
        <f>P1612/1.18-P2327*'Mark Up Validation'!$M$105</f>
        <v>0</v>
      </c>
      <c r="Q3041" s="107"/>
      <c r="R3041" s="135">
        <f>SUM(F3041,H3041,J3041,L3041,N3041,P3041)</f>
        <v>0</v>
      </c>
      <c r="S3041" s="107"/>
      <c r="T3041" s="68">
        <f>T1612/1.18-T2327*'Mark Up Validation'!$S$105</f>
        <v>0</v>
      </c>
      <c r="U3041" s="107"/>
      <c r="V3041" s="68">
        <f>V1612/1.18-V2327*'Mark Up Validation'!$S$105</f>
        <v>0</v>
      </c>
      <c r="W3041" s="107"/>
      <c r="X3041" s="68">
        <f>X1612/1.18-X2327*'Mark Up Validation'!$S$105</f>
        <v>0</v>
      </c>
      <c r="Y3041" s="107"/>
      <c r="Z3041" s="68">
        <f>Z1612/1.18-Z2327*'Mark Up Validation'!$S$105</f>
        <v>0</v>
      </c>
      <c r="AA3041" s="107"/>
      <c r="AB3041" s="68">
        <f>AB1612/1.18-AB2327*'Mark Up Validation'!$S$105</f>
        <v>0</v>
      </c>
      <c r="AC3041" s="107"/>
      <c r="AD3041" s="68">
        <f>AD1612/1.18-AD2327*'Mark Up Validation'!$S$105</f>
        <v>0</v>
      </c>
      <c r="AE3041" s="107"/>
      <c r="AF3041" s="135">
        <f>SUM(T3041,V3041,X3041,Z3041,AB3041,AD3041)</f>
        <v>0</v>
      </c>
      <c r="AG3041" s="107"/>
      <c r="AH3041" s="136">
        <f>SUM(AF3041,R3041)</f>
        <v>0</v>
      </c>
      <c r="AI3041" s="107"/>
      <c r="AJ3041" s="65"/>
      <c r="AV3041" s="56"/>
    </row>
    <row r="3042" spans="1:48" ht="13.5" customHeight="1" outlineLevel="2">
      <c r="B3042" s="82"/>
      <c r="C3042" s="425"/>
      <c r="D3042" s="425"/>
      <c r="E3042" s="634"/>
      <c r="F3042" s="635"/>
      <c r="G3042" s="428"/>
      <c r="H3042" s="635"/>
      <c r="I3042" s="428"/>
      <c r="J3042" s="635"/>
      <c r="K3042" s="636"/>
      <c r="L3042" s="635"/>
      <c r="M3042" s="636"/>
      <c r="N3042" s="635"/>
      <c r="O3042" s="636"/>
      <c r="P3042" s="635"/>
      <c r="Q3042" s="636"/>
      <c r="R3042" s="637"/>
      <c r="S3042" s="698">
        <f>SUM(R2322:R2326)/1.18-(SUM(R3037:R3041)*'Mark Up Validation'!$M$105)</f>
        <v>0</v>
      </c>
      <c r="T3042" s="635"/>
      <c r="U3042" s="636"/>
      <c r="V3042" s="635"/>
      <c r="W3042" s="636"/>
      <c r="X3042" s="635"/>
      <c r="Y3042" s="636"/>
      <c r="Z3042" s="635"/>
      <c r="AA3042" s="636"/>
      <c r="AB3042" s="635"/>
      <c r="AC3042" s="636"/>
      <c r="AD3042" s="635"/>
      <c r="AE3042" s="636"/>
      <c r="AF3042" s="637"/>
      <c r="AG3042" s="698">
        <f>SUM(AF2322:AF2326)/1.18-SUM(AF3037:AF3041)*'Mark Up Validation'!$M$175</f>
        <v>0</v>
      </c>
      <c r="AH3042" s="638"/>
      <c r="AI3042" s="698">
        <f>SUM(AH2322:AH2326)/1.18-SUM(AH3037:AH3041)*'Mark Up Validation'!$M$175</f>
        <v>0</v>
      </c>
      <c r="AJ3042" s="65"/>
      <c r="AV3042" s="56"/>
    </row>
    <row r="3043" spans="1:48" ht="13.5" customHeight="1" outlineLevel="2" thickBot="1">
      <c r="A3043" s="119"/>
      <c r="B3043" s="82"/>
      <c r="C3043" s="1228" t="s">
        <v>539</v>
      </c>
      <c r="D3043" s="1229"/>
      <c r="E3043" s="699"/>
      <c r="F3043" s="700">
        <f>SUM(F3037:F3041)</f>
        <v>0</v>
      </c>
      <c r="G3043" s="701"/>
      <c r="H3043" s="700">
        <f>SUM(H3037:H3041)</f>
        <v>0</v>
      </c>
      <c r="I3043" s="701"/>
      <c r="J3043" s="700">
        <f>SUM(J3037:J3041)</f>
        <v>0</v>
      </c>
      <c r="K3043" s="702"/>
      <c r="L3043" s="700">
        <f>SUM(L3037:L3041)</f>
        <v>0</v>
      </c>
      <c r="M3043" s="702"/>
      <c r="N3043" s="700">
        <f>SUM(N3037:N3041)</f>
        <v>0</v>
      </c>
      <c r="O3043" s="702"/>
      <c r="P3043" s="700">
        <f>SUM(P3037:P3041)</f>
        <v>0</v>
      </c>
      <c r="Q3043" s="702"/>
      <c r="R3043" s="703"/>
      <c r="S3043" s="729">
        <f>IF(S3042&gt;0,S3042/(SUM(R2322:R2326)/1.18),0)</f>
        <v>0</v>
      </c>
      <c r="T3043" s="700">
        <f>SUM(T3037:T3041)</f>
        <v>0</v>
      </c>
      <c r="U3043" s="702"/>
      <c r="V3043" s="700">
        <f>SUM(V3037:V3041)</f>
        <v>0</v>
      </c>
      <c r="W3043" s="702"/>
      <c r="X3043" s="700">
        <f>SUM(X3037:X3041)</f>
        <v>0</v>
      </c>
      <c r="Y3043" s="702"/>
      <c r="Z3043" s="700">
        <f>SUM(Z3037:Z3041)</f>
        <v>0</v>
      </c>
      <c r="AA3043" s="702"/>
      <c r="AB3043" s="700">
        <f>SUM(AB3037:AB3041)</f>
        <v>0</v>
      </c>
      <c r="AC3043" s="702"/>
      <c r="AD3043" s="700">
        <f>SUM(AD3037:AD3041)</f>
        <v>0</v>
      </c>
      <c r="AE3043" s="702"/>
      <c r="AF3043" s="705"/>
      <c r="AG3043" s="729">
        <f>IF(AG3042&gt;0,AG3042/(SUM(AF2322:AF2326)/1.18),0)</f>
        <v>0</v>
      </c>
      <c r="AH3043" s="706"/>
      <c r="AI3043" s="729">
        <f>IF(AI3042&gt;0,AI3042/(SUM(AH2322:AH2326)/1.18),0)</f>
        <v>0</v>
      </c>
      <c r="AJ3043" s="707"/>
      <c r="AV3043" s="56"/>
    </row>
    <row r="3044" spans="1:48" ht="12.75" customHeight="1" outlineLevel="2" thickBot="1">
      <c r="B3044" s="82">
        <f>B3037+1</f>
        <v>24</v>
      </c>
      <c r="C3044" s="1233">
        <f>C174</f>
        <v>0</v>
      </c>
      <c r="D3044" s="1233">
        <f>D174</f>
        <v>0</v>
      </c>
      <c r="E3044" s="83" t="str">
        <f>'Terms and Turnovers'!$J$12</f>
        <v>FLIP-FLOPS</v>
      </c>
      <c r="F3044" s="68">
        <f>F1615/1.18-F2330*'Mark Up Validation'!$M$105</f>
        <v>0</v>
      </c>
      <c r="G3044" s="106"/>
      <c r="H3044" s="68">
        <f>H1615/1.18-H2330*'Mark Up Validation'!$M$105</f>
        <v>0</v>
      </c>
      <c r="I3044" s="106"/>
      <c r="J3044" s="68">
        <f>J1615/1.18-J2330*'Mark Up Validation'!$M$105</f>
        <v>0</v>
      </c>
      <c r="K3044" s="106"/>
      <c r="L3044" s="68">
        <f>L1615/1.18-L2330*'Mark Up Validation'!$M$105</f>
        <v>0</v>
      </c>
      <c r="M3044" s="106"/>
      <c r="N3044" s="68">
        <f>N1615/1.18-N2330*'Mark Up Validation'!$M$105</f>
        <v>0</v>
      </c>
      <c r="O3044" s="106"/>
      <c r="P3044" s="68">
        <f>P1615/1.18-P2330*'Mark Up Validation'!$M$105</f>
        <v>0</v>
      </c>
      <c r="Q3044" s="106"/>
      <c r="R3044" s="129">
        <f>SUM(F3044,H3044,J3044,L3044,N3044,P3044)</f>
        <v>0</v>
      </c>
      <c r="S3044" s="106"/>
      <c r="T3044" s="68">
        <f>T1615/1.18-T2330*'Mark Up Validation'!$S$105</f>
        <v>0</v>
      </c>
      <c r="U3044" s="106"/>
      <c r="V3044" s="68">
        <f>V1615/1.18-V2330*'Mark Up Validation'!$S$105</f>
        <v>0</v>
      </c>
      <c r="W3044" s="106"/>
      <c r="X3044" s="68">
        <f>X1615/1.18-X2330*'Mark Up Validation'!$S$105</f>
        <v>0</v>
      </c>
      <c r="Y3044" s="106"/>
      <c r="Z3044" s="68">
        <f>Z1615/1.18-Z2330*'Mark Up Validation'!$S$105</f>
        <v>0</v>
      </c>
      <c r="AA3044" s="106"/>
      <c r="AB3044" s="68">
        <f>AB1615/1.18-AB2330*'Mark Up Validation'!$S$105</f>
        <v>0</v>
      </c>
      <c r="AC3044" s="106"/>
      <c r="AD3044" s="68">
        <f>AD1615/1.18-AD2330*'Mark Up Validation'!$S$105</f>
        <v>0</v>
      </c>
      <c r="AE3044" s="106"/>
      <c r="AF3044" s="129">
        <f>SUM(T3044,V3044,X3044,Z3044,AB3044,AD3044)</f>
        <v>0</v>
      </c>
      <c r="AG3044" s="106"/>
      <c r="AH3044" s="130">
        <f>SUM(AF3044,R3044)</f>
        <v>0</v>
      </c>
      <c r="AI3044" s="106"/>
      <c r="AJ3044" s="65"/>
      <c r="AV3044" s="56"/>
    </row>
    <row r="3045" spans="1:48" ht="12.75" customHeight="1" outlineLevel="2" thickBot="1">
      <c r="B3045" s="82"/>
      <c r="C3045" s="1234"/>
      <c r="D3045" s="1234"/>
      <c r="E3045" s="84" t="str">
        <f>'Terms and Turnovers'!$T$12</f>
        <v>ORIGINALS</v>
      </c>
      <c r="F3045" s="68">
        <f>F1616/1.18-F2331*'Mark Up Validation'!$M$105</f>
        <v>0</v>
      </c>
      <c r="G3045" s="728"/>
      <c r="H3045" s="68">
        <f>H1616/1.18-H2331*'Mark Up Validation'!$M$105</f>
        <v>0</v>
      </c>
      <c r="I3045" s="728"/>
      <c r="J3045" s="68">
        <f>J1616/1.18-J2331*'Mark Up Validation'!$M$105</f>
        <v>0</v>
      </c>
      <c r="K3045" s="728"/>
      <c r="L3045" s="68">
        <f>L1616/1.18-L2331*'Mark Up Validation'!$M$105</f>
        <v>0</v>
      </c>
      <c r="M3045" s="728"/>
      <c r="N3045" s="68">
        <f>N1616/1.18-N2331*'Mark Up Validation'!$M$105</f>
        <v>0</v>
      </c>
      <c r="O3045" s="728"/>
      <c r="P3045" s="68">
        <f>P1616/1.18-P2331*'Mark Up Validation'!$M$105</f>
        <v>0</v>
      </c>
      <c r="Q3045" s="728"/>
      <c r="R3045" s="132">
        <f>SUM(F3045,H3045,J3045,L3045,N3045,P3045)</f>
        <v>0</v>
      </c>
      <c r="S3045" s="728"/>
      <c r="T3045" s="68">
        <f>T1616/1.18-T2331*'Mark Up Validation'!$S$105</f>
        <v>0</v>
      </c>
      <c r="U3045" s="728"/>
      <c r="V3045" s="68">
        <f>V1616/1.18-V2331*'Mark Up Validation'!$S$105</f>
        <v>0</v>
      </c>
      <c r="W3045" s="728"/>
      <c r="X3045" s="68">
        <f>X1616/1.18-X2331*'Mark Up Validation'!$S$105</f>
        <v>0</v>
      </c>
      <c r="Y3045" s="728"/>
      <c r="Z3045" s="68">
        <f>Z1616/1.18-Z2331*'Mark Up Validation'!$S$105</f>
        <v>0</v>
      </c>
      <c r="AA3045" s="728"/>
      <c r="AB3045" s="68">
        <f>AB1616/1.18-AB2331*'Mark Up Validation'!$S$105</f>
        <v>0</v>
      </c>
      <c r="AC3045" s="728"/>
      <c r="AD3045" s="68">
        <f>AD1616/1.18-AD2331*'Mark Up Validation'!$S$105</f>
        <v>0</v>
      </c>
      <c r="AE3045" s="728"/>
      <c r="AF3045" s="132">
        <f>SUM(T3045,V3045,X3045,Z3045,AB3045,AD3045)</f>
        <v>0</v>
      </c>
      <c r="AG3045" s="728"/>
      <c r="AH3045" s="133">
        <f>SUM(AF3045,R3045)</f>
        <v>0</v>
      </c>
      <c r="AI3045" s="728"/>
      <c r="AJ3045" s="65"/>
      <c r="AV3045" s="56"/>
    </row>
    <row r="3046" spans="1:48" ht="12.75" customHeight="1" outlineLevel="2" thickBot="1">
      <c r="B3046" s="82"/>
      <c r="C3046" s="1234"/>
      <c r="D3046" s="1234"/>
      <c r="E3046" s="84" t="str">
        <f>'Terms and Turnovers'!$AD$12</f>
        <v>ACCESSORIES</v>
      </c>
      <c r="F3046" s="68">
        <f>F1617/1.18-F2332*'Mark Up Validation'!$M$105</f>
        <v>0</v>
      </c>
      <c r="G3046" s="106"/>
      <c r="H3046" s="68">
        <f>H1617/1.18-H2332*'Mark Up Validation'!$M$105</f>
        <v>0</v>
      </c>
      <c r="I3046" s="106"/>
      <c r="J3046" s="68">
        <f>J1617/1.18-J2332*'Mark Up Validation'!$M$105</f>
        <v>0</v>
      </c>
      <c r="K3046" s="106"/>
      <c r="L3046" s="68">
        <f>L1617/1.18-L2332*'Mark Up Validation'!$M$105</f>
        <v>0</v>
      </c>
      <c r="M3046" s="106"/>
      <c r="N3046" s="68">
        <f>N1617/1.18-N2332*'Mark Up Validation'!$M$105</f>
        <v>0</v>
      </c>
      <c r="O3046" s="106"/>
      <c r="P3046" s="68">
        <f>P1617/1.18-P2332*'Mark Up Validation'!$M$105</f>
        <v>0</v>
      </c>
      <c r="Q3046" s="728"/>
      <c r="R3046" s="132">
        <f>SUM(F3046,H3046,J3046,L3046,N3046,P3046)</f>
        <v>0</v>
      </c>
      <c r="S3046" s="728"/>
      <c r="T3046" s="68">
        <f>T1617/1.18-T2332*'Mark Up Validation'!$S$105</f>
        <v>0</v>
      </c>
      <c r="U3046" s="728"/>
      <c r="V3046" s="68">
        <f>V1617/1.18-V2332*'Mark Up Validation'!$S$105</f>
        <v>0</v>
      </c>
      <c r="W3046" s="728"/>
      <c r="X3046" s="68">
        <f>X1617/1.18-X2332*'Mark Up Validation'!$S$105</f>
        <v>0</v>
      </c>
      <c r="Y3046" s="728"/>
      <c r="Z3046" s="68">
        <f>Z1617/1.18-Z2332*'Mark Up Validation'!$S$105</f>
        <v>0</v>
      </c>
      <c r="AA3046" s="728"/>
      <c r="AB3046" s="68">
        <f>AB1617/1.18-AB2332*'Mark Up Validation'!$S$105</f>
        <v>0</v>
      </c>
      <c r="AC3046" s="728"/>
      <c r="AD3046" s="68">
        <f>AD1617/1.18-AD2332*'Mark Up Validation'!$S$105</f>
        <v>0</v>
      </c>
      <c r="AE3046" s="728"/>
      <c r="AF3046" s="132">
        <f>SUM(T3046,V3046,X3046,Z3046,AB3046,AD3046)</f>
        <v>0</v>
      </c>
      <c r="AG3046" s="728"/>
      <c r="AH3046" s="133">
        <f>SUM(AF3046,R3046)</f>
        <v>0</v>
      </c>
      <c r="AI3046" s="728"/>
      <c r="AJ3046" s="65"/>
      <c r="AV3046" s="56"/>
    </row>
    <row r="3047" spans="1:48" ht="12.75" customHeight="1" outlineLevel="2" thickBot="1">
      <c r="B3047" s="82"/>
      <c r="C3047" s="1234"/>
      <c r="D3047" s="1234"/>
      <c r="E3047" s="84">
        <f>'Terms and Turnovers'!$AN$12</f>
        <v>0</v>
      </c>
      <c r="F3047" s="68">
        <f>F1618/1.18-F2333*'Mark Up Validation'!$M$105</f>
        <v>0</v>
      </c>
      <c r="G3047" s="728"/>
      <c r="H3047" s="68">
        <f>H1618/1.18-H2333*'Mark Up Validation'!$M$105</f>
        <v>0</v>
      </c>
      <c r="I3047" s="728"/>
      <c r="J3047" s="68">
        <f>J1618/1.18-J2333*'Mark Up Validation'!$M$105</f>
        <v>0</v>
      </c>
      <c r="K3047" s="728"/>
      <c r="L3047" s="68">
        <f>L1618/1.18-L2333*'Mark Up Validation'!$M$105</f>
        <v>0</v>
      </c>
      <c r="M3047" s="728"/>
      <c r="N3047" s="68">
        <f>N1618/1.18-N2333*'Mark Up Validation'!$M$105</f>
        <v>0</v>
      </c>
      <c r="O3047" s="728"/>
      <c r="P3047" s="68">
        <f>P1618/1.18-P2333*'Mark Up Validation'!$M$105</f>
        <v>0</v>
      </c>
      <c r="Q3047" s="728"/>
      <c r="R3047" s="132">
        <f>SUM(F3047,H3047,J3047,L3047,N3047,P3047)</f>
        <v>0</v>
      </c>
      <c r="S3047" s="728"/>
      <c r="T3047" s="68">
        <f>T1618/1.18-T2333*'Mark Up Validation'!$S$105</f>
        <v>0</v>
      </c>
      <c r="U3047" s="728"/>
      <c r="V3047" s="68">
        <f>V1618/1.18-V2333*'Mark Up Validation'!$S$105</f>
        <v>0</v>
      </c>
      <c r="W3047" s="728"/>
      <c r="X3047" s="68">
        <f>X1618/1.18-X2333*'Mark Up Validation'!$S$105</f>
        <v>0</v>
      </c>
      <c r="Y3047" s="728"/>
      <c r="Z3047" s="68">
        <f>Z1618/1.18-Z2333*'Mark Up Validation'!$S$105</f>
        <v>0</v>
      </c>
      <c r="AA3047" s="728"/>
      <c r="AB3047" s="68">
        <f>AB1618/1.18-AB2333*'Mark Up Validation'!$S$105</f>
        <v>0</v>
      </c>
      <c r="AC3047" s="728"/>
      <c r="AD3047" s="68">
        <f>AD1618/1.18-AD2333*'Mark Up Validation'!$S$105</f>
        <v>0</v>
      </c>
      <c r="AE3047" s="728"/>
      <c r="AF3047" s="132">
        <f>SUM(T3047,V3047,X3047,Z3047,AB3047,AD3047)</f>
        <v>0</v>
      </c>
      <c r="AG3047" s="728"/>
      <c r="AH3047" s="133">
        <f>SUM(AF3047,R3047)</f>
        <v>0</v>
      </c>
      <c r="AI3047" s="728"/>
      <c r="AJ3047" s="65"/>
      <c r="AV3047" s="56"/>
    </row>
    <row r="3048" spans="1:48" ht="13.5" customHeight="1" outlineLevel="2" thickBot="1">
      <c r="B3048" s="82"/>
      <c r="C3048" s="1235"/>
      <c r="D3048" s="1235"/>
      <c r="E3048" s="85">
        <f>'Terms and Turnovers'!$AX$12</f>
        <v>0</v>
      </c>
      <c r="F3048" s="68">
        <f>F1619/1.18-F2334*'Mark Up Validation'!$M$105</f>
        <v>0</v>
      </c>
      <c r="G3048" s="106"/>
      <c r="H3048" s="68">
        <f>H1619/1.18-H2334*'Mark Up Validation'!$M$105</f>
        <v>0</v>
      </c>
      <c r="I3048" s="106"/>
      <c r="J3048" s="68">
        <f>J1619/1.18-J2334*'Mark Up Validation'!$M$105</f>
        <v>0</v>
      </c>
      <c r="K3048" s="106"/>
      <c r="L3048" s="68">
        <f>L1619/1.18-L2334*'Mark Up Validation'!$M$105</f>
        <v>0</v>
      </c>
      <c r="M3048" s="106"/>
      <c r="N3048" s="68">
        <f>N1619/1.18-N2334*'Mark Up Validation'!$M$105</f>
        <v>0</v>
      </c>
      <c r="O3048" s="106"/>
      <c r="P3048" s="68">
        <f>P1619/1.18-P2334*'Mark Up Validation'!$M$105</f>
        <v>0</v>
      </c>
      <c r="Q3048" s="107"/>
      <c r="R3048" s="135">
        <f>SUM(F3048,H3048,J3048,L3048,N3048,P3048)</f>
        <v>0</v>
      </c>
      <c r="S3048" s="107"/>
      <c r="T3048" s="68">
        <f>T1619/1.18-T2334*'Mark Up Validation'!$S$105</f>
        <v>0</v>
      </c>
      <c r="U3048" s="107"/>
      <c r="V3048" s="68">
        <f>V1619/1.18-V2334*'Mark Up Validation'!$S$105</f>
        <v>0</v>
      </c>
      <c r="W3048" s="107"/>
      <c r="X3048" s="68">
        <f>X1619/1.18-X2334*'Mark Up Validation'!$S$105</f>
        <v>0</v>
      </c>
      <c r="Y3048" s="107"/>
      <c r="Z3048" s="68">
        <f>Z1619/1.18-Z2334*'Mark Up Validation'!$S$105</f>
        <v>0</v>
      </c>
      <c r="AA3048" s="107"/>
      <c r="AB3048" s="68">
        <f>AB1619/1.18-AB2334*'Mark Up Validation'!$S$105</f>
        <v>0</v>
      </c>
      <c r="AC3048" s="107"/>
      <c r="AD3048" s="68">
        <f>AD1619/1.18-AD2334*'Mark Up Validation'!$S$105</f>
        <v>0</v>
      </c>
      <c r="AE3048" s="107"/>
      <c r="AF3048" s="135">
        <f>SUM(T3048,V3048,X3048,Z3048,AB3048,AD3048)</f>
        <v>0</v>
      </c>
      <c r="AG3048" s="107"/>
      <c r="AH3048" s="136">
        <f>SUM(AF3048,R3048)</f>
        <v>0</v>
      </c>
      <c r="AI3048" s="107"/>
      <c r="AJ3048" s="65"/>
      <c r="AV3048" s="56"/>
    </row>
    <row r="3049" spans="1:48" ht="13.5" customHeight="1" outlineLevel="2">
      <c r="B3049" s="82"/>
      <c r="C3049" s="425"/>
      <c r="D3049" s="425"/>
      <c r="E3049" s="634"/>
      <c r="F3049" s="635"/>
      <c r="G3049" s="428"/>
      <c r="H3049" s="635"/>
      <c r="I3049" s="428"/>
      <c r="J3049" s="635"/>
      <c r="K3049" s="636"/>
      <c r="L3049" s="635"/>
      <c r="M3049" s="636"/>
      <c r="N3049" s="635"/>
      <c r="O3049" s="636"/>
      <c r="P3049" s="635"/>
      <c r="Q3049" s="636"/>
      <c r="R3049" s="637"/>
      <c r="S3049" s="698">
        <f>SUM(R2329:R2333)/1.18-(SUM(R3044:R3048)*'Mark Up Validation'!$M$105)</f>
        <v>0</v>
      </c>
      <c r="T3049" s="635"/>
      <c r="U3049" s="636"/>
      <c r="V3049" s="635"/>
      <c r="W3049" s="636"/>
      <c r="X3049" s="635"/>
      <c r="Y3049" s="636"/>
      <c r="Z3049" s="635"/>
      <c r="AA3049" s="636"/>
      <c r="AB3049" s="635"/>
      <c r="AC3049" s="636"/>
      <c r="AD3049" s="635"/>
      <c r="AE3049" s="636"/>
      <c r="AF3049" s="637"/>
      <c r="AG3049" s="698">
        <f>SUM(AF2329:AF2333)/1.18-SUM(AF3044:AF3048)*'Mark Up Validation'!$M$175</f>
        <v>0</v>
      </c>
      <c r="AH3049" s="638"/>
      <c r="AI3049" s="698">
        <f>SUM(AH2329:AH2333)/1.18-SUM(AH3044:AH3048)*'Mark Up Validation'!$M$175</f>
        <v>0</v>
      </c>
      <c r="AJ3049" s="65"/>
      <c r="AV3049" s="56"/>
    </row>
    <row r="3050" spans="1:48" ht="13.5" customHeight="1" outlineLevel="2" thickBot="1">
      <c r="A3050" s="119"/>
      <c r="B3050" s="82"/>
      <c r="C3050" s="1228" t="s">
        <v>539</v>
      </c>
      <c r="D3050" s="1229"/>
      <c r="E3050" s="699"/>
      <c r="F3050" s="700">
        <f>SUM(F3044:F3048)</f>
        <v>0</v>
      </c>
      <c r="G3050" s="701"/>
      <c r="H3050" s="700">
        <f>SUM(H3044:H3048)</f>
        <v>0</v>
      </c>
      <c r="I3050" s="701"/>
      <c r="J3050" s="700">
        <f>SUM(J3044:J3048)</f>
        <v>0</v>
      </c>
      <c r="K3050" s="702"/>
      <c r="L3050" s="700">
        <f>SUM(L3044:L3048)</f>
        <v>0</v>
      </c>
      <c r="M3050" s="702"/>
      <c r="N3050" s="700">
        <f>SUM(N3044:N3048)</f>
        <v>0</v>
      </c>
      <c r="O3050" s="702"/>
      <c r="P3050" s="700">
        <f>SUM(P3044:P3048)</f>
        <v>0</v>
      </c>
      <c r="Q3050" s="702"/>
      <c r="R3050" s="703"/>
      <c r="S3050" s="729">
        <f>IF(S3049&gt;0,S3049/(SUM(R2329:R2333)/1.18),0)</f>
        <v>0</v>
      </c>
      <c r="T3050" s="700">
        <f>SUM(T3044:T3048)</f>
        <v>0</v>
      </c>
      <c r="U3050" s="702"/>
      <c r="V3050" s="700">
        <f>SUM(V3044:V3048)</f>
        <v>0</v>
      </c>
      <c r="W3050" s="702"/>
      <c r="X3050" s="700">
        <f>SUM(X3044:X3048)</f>
        <v>0</v>
      </c>
      <c r="Y3050" s="702"/>
      <c r="Z3050" s="700">
        <f>SUM(Z3044:Z3048)</f>
        <v>0</v>
      </c>
      <c r="AA3050" s="702"/>
      <c r="AB3050" s="700">
        <f>SUM(AB3044:AB3048)</f>
        <v>0</v>
      </c>
      <c r="AC3050" s="702"/>
      <c r="AD3050" s="700">
        <f>SUM(AD3044:AD3048)</f>
        <v>0</v>
      </c>
      <c r="AE3050" s="702"/>
      <c r="AF3050" s="705"/>
      <c r="AG3050" s="729">
        <f>IF(AG3049&gt;0,AG3049/(SUM(AF2329:AF2333)/1.18),0)</f>
        <v>0</v>
      </c>
      <c r="AH3050" s="706"/>
      <c r="AI3050" s="729">
        <f>IF(AI3049&gt;0,AI3049/(SUM(AH2329:AH2333)/1.18),0)</f>
        <v>0</v>
      </c>
      <c r="AJ3050" s="707"/>
      <c r="AV3050" s="56"/>
    </row>
    <row r="3051" spans="1:48" ht="12.75" customHeight="1" outlineLevel="2" thickBot="1">
      <c r="B3051" s="82">
        <f>B3044+1</f>
        <v>25</v>
      </c>
      <c r="C3051" s="1233">
        <f>C181</f>
        <v>0</v>
      </c>
      <c r="D3051" s="1233">
        <f>D181</f>
        <v>0</v>
      </c>
      <c r="E3051" s="83" t="str">
        <f>'Terms and Turnovers'!$J$12</f>
        <v>FLIP-FLOPS</v>
      </c>
      <c r="F3051" s="68">
        <f>F1622/1.18-F2337*'Mark Up Validation'!$M$105</f>
        <v>0</v>
      </c>
      <c r="G3051" s="106"/>
      <c r="H3051" s="68">
        <f>H1622/1.18-H2337*'Mark Up Validation'!$M$105</f>
        <v>0</v>
      </c>
      <c r="I3051" s="106"/>
      <c r="J3051" s="68">
        <f>J1622/1.18-J2337*'Mark Up Validation'!$M$105</f>
        <v>0</v>
      </c>
      <c r="K3051" s="106"/>
      <c r="L3051" s="68">
        <f>L1622/1.18-L2337*'Mark Up Validation'!$M$105</f>
        <v>0</v>
      </c>
      <c r="M3051" s="106"/>
      <c r="N3051" s="68">
        <f>N1622/1.18-N2337*'Mark Up Validation'!$M$105</f>
        <v>0</v>
      </c>
      <c r="O3051" s="106"/>
      <c r="P3051" s="68">
        <f>P1622/1.18-P2337*'Mark Up Validation'!$M$105</f>
        <v>0</v>
      </c>
      <c r="Q3051" s="106"/>
      <c r="R3051" s="129">
        <f>SUM(F3051,H3051,J3051,L3051,N3051,P3051)</f>
        <v>0</v>
      </c>
      <c r="S3051" s="106"/>
      <c r="T3051" s="68">
        <f>T1622/1.18-T2337*'Mark Up Validation'!$S$105</f>
        <v>0</v>
      </c>
      <c r="U3051" s="106"/>
      <c r="V3051" s="68">
        <f>V1622/1.18-V2337*'Mark Up Validation'!$S$105</f>
        <v>0</v>
      </c>
      <c r="W3051" s="106"/>
      <c r="X3051" s="68">
        <f>X1622/1.18-X2337*'Mark Up Validation'!$S$105</f>
        <v>0</v>
      </c>
      <c r="Y3051" s="106"/>
      <c r="Z3051" s="68">
        <f>Z1622/1.18-Z2337*'Mark Up Validation'!$S$105</f>
        <v>0</v>
      </c>
      <c r="AA3051" s="106"/>
      <c r="AB3051" s="68">
        <f>AB1622/1.18-AB2337*'Mark Up Validation'!$S$105</f>
        <v>0</v>
      </c>
      <c r="AC3051" s="106"/>
      <c r="AD3051" s="68">
        <f>AD1622/1.18-AD2337*'Mark Up Validation'!$S$105</f>
        <v>0</v>
      </c>
      <c r="AE3051" s="106"/>
      <c r="AF3051" s="129">
        <f>SUM(T3051,V3051,X3051,Z3051,AB3051,AD3051)</f>
        <v>0</v>
      </c>
      <c r="AG3051" s="106"/>
      <c r="AH3051" s="130">
        <f>SUM(AF3051,R3051)</f>
        <v>0</v>
      </c>
      <c r="AI3051" s="106"/>
      <c r="AJ3051" s="65"/>
      <c r="AV3051" s="56"/>
    </row>
    <row r="3052" spans="1:48" ht="12.75" customHeight="1" outlineLevel="2" thickBot="1">
      <c r="B3052" s="82"/>
      <c r="C3052" s="1234"/>
      <c r="D3052" s="1234"/>
      <c r="E3052" s="84" t="str">
        <f>'Terms and Turnovers'!$T$12</f>
        <v>ORIGINALS</v>
      </c>
      <c r="F3052" s="68">
        <f>F1623/1.18-F2338*'Mark Up Validation'!$M$105</f>
        <v>0</v>
      </c>
      <c r="G3052" s="728"/>
      <c r="H3052" s="68">
        <f>H1623/1.18-H2338*'Mark Up Validation'!$M$105</f>
        <v>0</v>
      </c>
      <c r="I3052" s="728"/>
      <c r="J3052" s="68">
        <f>J1623/1.18-J2338*'Mark Up Validation'!$M$105</f>
        <v>0</v>
      </c>
      <c r="K3052" s="728"/>
      <c r="L3052" s="68">
        <f>L1623/1.18-L2338*'Mark Up Validation'!$M$105</f>
        <v>0</v>
      </c>
      <c r="M3052" s="728"/>
      <c r="N3052" s="68">
        <f>N1623/1.18-N2338*'Mark Up Validation'!$M$105</f>
        <v>0</v>
      </c>
      <c r="O3052" s="728"/>
      <c r="P3052" s="68">
        <f>P1623/1.18-P2338*'Mark Up Validation'!$M$105</f>
        <v>0</v>
      </c>
      <c r="Q3052" s="728"/>
      <c r="R3052" s="132">
        <f>SUM(F3052,H3052,J3052,L3052,N3052,P3052)</f>
        <v>0</v>
      </c>
      <c r="S3052" s="728"/>
      <c r="T3052" s="68">
        <f>T1623/1.18-T2338*'Mark Up Validation'!$S$105</f>
        <v>0</v>
      </c>
      <c r="U3052" s="728"/>
      <c r="V3052" s="68">
        <f>V1623/1.18-V2338*'Mark Up Validation'!$S$105</f>
        <v>0</v>
      </c>
      <c r="W3052" s="728"/>
      <c r="X3052" s="68">
        <f>X1623/1.18-X2338*'Mark Up Validation'!$S$105</f>
        <v>0</v>
      </c>
      <c r="Y3052" s="728"/>
      <c r="Z3052" s="68">
        <f>Z1623/1.18-Z2338*'Mark Up Validation'!$S$105</f>
        <v>0</v>
      </c>
      <c r="AA3052" s="728"/>
      <c r="AB3052" s="68">
        <f>AB1623/1.18-AB2338*'Mark Up Validation'!$S$105</f>
        <v>0</v>
      </c>
      <c r="AC3052" s="728"/>
      <c r="AD3052" s="68">
        <f>AD1623/1.18-AD2338*'Mark Up Validation'!$S$105</f>
        <v>0</v>
      </c>
      <c r="AE3052" s="728"/>
      <c r="AF3052" s="132">
        <f>SUM(T3052,V3052,X3052,Z3052,AB3052,AD3052)</f>
        <v>0</v>
      </c>
      <c r="AG3052" s="728"/>
      <c r="AH3052" s="133">
        <f>SUM(AF3052,R3052)</f>
        <v>0</v>
      </c>
      <c r="AI3052" s="728"/>
      <c r="AJ3052" s="65"/>
      <c r="AV3052" s="56"/>
    </row>
    <row r="3053" spans="1:48" ht="12.75" customHeight="1" outlineLevel="2" thickBot="1">
      <c r="B3053" s="82"/>
      <c r="C3053" s="1234"/>
      <c r="D3053" s="1234"/>
      <c r="E3053" s="84" t="str">
        <f>'Terms and Turnovers'!$AD$12</f>
        <v>ACCESSORIES</v>
      </c>
      <c r="F3053" s="68">
        <f>F1624/1.18-F2339*'Mark Up Validation'!$M$105</f>
        <v>0</v>
      </c>
      <c r="G3053" s="106"/>
      <c r="H3053" s="68">
        <f>H1624/1.18-H2339*'Mark Up Validation'!$M$105</f>
        <v>0</v>
      </c>
      <c r="I3053" s="106"/>
      <c r="J3053" s="68">
        <f>J1624/1.18-J2339*'Mark Up Validation'!$M$105</f>
        <v>0</v>
      </c>
      <c r="K3053" s="106"/>
      <c r="L3053" s="68">
        <f>L1624/1.18-L2339*'Mark Up Validation'!$M$105</f>
        <v>0</v>
      </c>
      <c r="M3053" s="106"/>
      <c r="N3053" s="68">
        <f>N1624/1.18-N2339*'Mark Up Validation'!$M$105</f>
        <v>0</v>
      </c>
      <c r="O3053" s="106"/>
      <c r="P3053" s="68">
        <f>P1624/1.18-P2339*'Mark Up Validation'!$M$105</f>
        <v>0</v>
      </c>
      <c r="Q3053" s="728"/>
      <c r="R3053" s="132">
        <f>SUM(F3053,H3053,J3053,L3053,N3053,P3053)</f>
        <v>0</v>
      </c>
      <c r="S3053" s="728"/>
      <c r="T3053" s="68">
        <f>T1624/1.18-T2339*'Mark Up Validation'!$S$105</f>
        <v>0</v>
      </c>
      <c r="U3053" s="728"/>
      <c r="V3053" s="68">
        <f>V1624/1.18-V2339*'Mark Up Validation'!$S$105</f>
        <v>0</v>
      </c>
      <c r="W3053" s="728"/>
      <c r="X3053" s="68">
        <f>X1624/1.18-X2339*'Mark Up Validation'!$S$105</f>
        <v>0</v>
      </c>
      <c r="Y3053" s="728"/>
      <c r="Z3053" s="68">
        <f>Z1624/1.18-Z2339*'Mark Up Validation'!$S$105</f>
        <v>0</v>
      </c>
      <c r="AA3053" s="728"/>
      <c r="AB3053" s="68">
        <f>AB1624/1.18-AB2339*'Mark Up Validation'!$S$105</f>
        <v>0</v>
      </c>
      <c r="AC3053" s="728"/>
      <c r="AD3053" s="68">
        <f>AD1624/1.18-AD2339*'Mark Up Validation'!$S$105</f>
        <v>0</v>
      </c>
      <c r="AE3053" s="728"/>
      <c r="AF3053" s="132">
        <f>SUM(T3053,V3053,X3053,Z3053,AB3053,AD3053)</f>
        <v>0</v>
      </c>
      <c r="AG3053" s="728"/>
      <c r="AH3053" s="133">
        <f>SUM(AF3053,R3053)</f>
        <v>0</v>
      </c>
      <c r="AI3053" s="728"/>
      <c r="AJ3053" s="65"/>
      <c r="AV3053" s="56"/>
    </row>
    <row r="3054" spans="1:48" ht="12.75" customHeight="1" outlineLevel="2" thickBot="1">
      <c r="B3054" s="82"/>
      <c r="C3054" s="1234"/>
      <c r="D3054" s="1234"/>
      <c r="E3054" s="84">
        <f>'Terms and Turnovers'!$AN$12</f>
        <v>0</v>
      </c>
      <c r="F3054" s="68">
        <f>F1625/1.18-F2340*'Mark Up Validation'!$M$105</f>
        <v>0</v>
      </c>
      <c r="G3054" s="728"/>
      <c r="H3054" s="68">
        <f>H1625/1.18-H2340*'Mark Up Validation'!$M$105</f>
        <v>0</v>
      </c>
      <c r="I3054" s="728"/>
      <c r="J3054" s="68">
        <f>J1625/1.18-J2340*'Mark Up Validation'!$M$105</f>
        <v>0</v>
      </c>
      <c r="K3054" s="728"/>
      <c r="L3054" s="68">
        <f>L1625/1.18-L2340*'Mark Up Validation'!$M$105</f>
        <v>0</v>
      </c>
      <c r="M3054" s="728"/>
      <c r="N3054" s="68">
        <f>N1625/1.18-N2340*'Mark Up Validation'!$M$105</f>
        <v>0</v>
      </c>
      <c r="O3054" s="728"/>
      <c r="P3054" s="68">
        <f>P1625/1.18-P2340*'Mark Up Validation'!$M$105</f>
        <v>0</v>
      </c>
      <c r="Q3054" s="728"/>
      <c r="R3054" s="132">
        <f>SUM(F3054,H3054,J3054,L3054,N3054,P3054)</f>
        <v>0</v>
      </c>
      <c r="S3054" s="728"/>
      <c r="T3054" s="68">
        <f>T1625/1.18-T2340*'Mark Up Validation'!$S$105</f>
        <v>0</v>
      </c>
      <c r="U3054" s="728"/>
      <c r="V3054" s="68">
        <f>V1625/1.18-V2340*'Mark Up Validation'!$S$105</f>
        <v>0</v>
      </c>
      <c r="W3054" s="728"/>
      <c r="X3054" s="68">
        <f>X1625/1.18-X2340*'Mark Up Validation'!$S$105</f>
        <v>0</v>
      </c>
      <c r="Y3054" s="728"/>
      <c r="Z3054" s="68">
        <f>Z1625/1.18-Z2340*'Mark Up Validation'!$S$105</f>
        <v>0</v>
      </c>
      <c r="AA3054" s="728"/>
      <c r="AB3054" s="68">
        <f>AB1625/1.18-AB2340*'Mark Up Validation'!$S$105</f>
        <v>0</v>
      </c>
      <c r="AC3054" s="728"/>
      <c r="AD3054" s="68">
        <f>AD1625/1.18-AD2340*'Mark Up Validation'!$S$105</f>
        <v>0</v>
      </c>
      <c r="AE3054" s="728"/>
      <c r="AF3054" s="132">
        <f>SUM(T3054,V3054,X3054,Z3054,AB3054,AD3054)</f>
        <v>0</v>
      </c>
      <c r="AG3054" s="728"/>
      <c r="AH3054" s="133">
        <f>SUM(AF3054,R3054)</f>
        <v>0</v>
      </c>
      <c r="AI3054" s="728"/>
      <c r="AJ3054" s="65"/>
      <c r="AV3054" s="56"/>
    </row>
    <row r="3055" spans="1:48" ht="13.5" customHeight="1" outlineLevel="2" thickBot="1">
      <c r="B3055" s="82"/>
      <c r="C3055" s="1235"/>
      <c r="D3055" s="1235"/>
      <c r="E3055" s="85">
        <f>'Terms and Turnovers'!$AX$12</f>
        <v>0</v>
      </c>
      <c r="F3055" s="68">
        <f>F1626/1.18-F2341*'Mark Up Validation'!$M$105</f>
        <v>0</v>
      </c>
      <c r="G3055" s="106"/>
      <c r="H3055" s="68">
        <f>H1626/1.18-H2341*'Mark Up Validation'!$M$105</f>
        <v>0</v>
      </c>
      <c r="I3055" s="106"/>
      <c r="J3055" s="68">
        <f>J1626/1.18-J2341*'Mark Up Validation'!$M$105</f>
        <v>0</v>
      </c>
      <c r="K3055" s="106"/>
      <c r="L3055" s="68">
        <f>L1626/1.18-L2341*'Mark Up Validation'!$M$105</f>
        <v>0</v>
      </c>
      <c r="M3055" s="106"/>
      <c r="N3055" s="68">
        <f>N1626/1.18-N2341*'Mark Up Validation'!$M$105</f>
        <v>0</v>
      </c>
      <c r="O3055" s="106"/>
      <c r="P3055" s="68">
        <f>P1626/1.18-P2341*'Mark Up Validation'!$M$105</f>
        <v>0</v>
      </c>
      <c r="Q3055" s="107"/>
      <c r="R3055" s="135">
        <f>SUM(F3055,H3055,J3055,L3055,N3055,P3055)</f>
        <v>0</v>
      </c>
      <c r="S3055" s="107"/>
      <c r="T3055" s="68">
        <f>T1626/1.18-T2341*'Mark Up Validation'!$S$105</f>
        <v>0</v>
      </c>
      <c r="U3055" s="107"/>
      <c r="V3055" s="68">
        <f>V1626/1.18-V2341*'Mark Up Validation'!$S$105</f>
        <v>0</v>
      </c>
      <c r="W3055" s="107"/>
      <c r="X3055" s="68">
        <f>X1626/1.18-X2341*'Mark Up Validation'!$S$105</f>
        <v>0</v>
      </c>
      <c r="Y3055" s="107"/>
      <c r="Z3055" s="68">
        <f>Z1626/1.18-Z2341*'Mark Up Validation'!$S$105</f>
        <v>0</v>
      </c>
      <c r="AA3055" s="107"/>
      <c r="AB3055" s="68">
        <f>AB1626/1.18-AB2341*'Mark Up Validation'!$S$105</f>
        <v>0</v>
      </c>
      <c r="AC3055" s="107"/>
      <c r="AD3055" s="68">
        <f>AD1626/1.18-AD2341*'Mark Up Validation'!$S$105</f>
        <v>0</v>
      </c>
      <c r="AE3055" s="107"/>
      <c r="AF3055" s="135">
        <f>SUM(T3055,V3055,X3055,Z3055,AB3055,AD3055)</f>
        <v>0</v>
      </c>
      <c r="AG3055" s="107"/>
      <c r="AH3055" s="136">
        <f>SUM(AF3055,R3055)</f>
        <v>0</v>
      </c>
      <c r="AI3055" s="107"/>
      <c r="AJ3055" s="65"/>
      <c r="AV3055" s="56"/>
    </row>
    <row r="3056" spans="1:48" ht="13.5" customHeight="1" outlineLevel="2">
      <c r="B3056" s="82"/>
      <c r="C3056" s="425"/>
      <c r="D3056" s="425"/>
      <c r="E3056" s="634"/>
      <c r="F3056" s="635"/>
      <c r="G3056" s="428"/>
      <c r="H3056" s="635"/>
      <c r="I3056" s="428"/>
      <c r="J3056" s="635"/>
      <c r="K3056" s="636"/>
      <c r="L3056" s="635"/>
      <c r="M3056" s="636"/>
      <c r="N3056" s="635"/>
      <c r="O3056" s="636"/>
      <c r="P3056" s="635"/>
      <c r="Q3056" s="636"/>
      <c r="R3056" s="637"/>
      <c r="S3056" s="698">
        <f>SUM(R2336:R2340)/1.18-(SUM(R3051:R3055)*'Mark Up Validation'!$M$105)</f>
        <v>0</v>
      </c>
      <c r="T3056" s="635"/>
      <c r="U3056" s="636"/>
      <c r="V3056" s="635"/>
      <c r="W3056" s="636"/>
      <c r="X3056" s="635"/>
      <c r="Y3056" s="636"/>
      <c r="Z3056" s="635"/>
      <c r="AA3056" s="636"/>
      <c r="AB3056" s="635"/>
      <c r="AC3056" s="636"/>
      <c r="AD3056" s="635"/>
      <c r="AE3056" s="636"/>
      <c r="AF3056" s="637"/>
      <c r="AG3056" s="698">
        <f>SUM(AF2336:AF2340)/1.18-SUM(AF3051:AF3055)*'Mark Up Validation'!$M$175</f>
        <v>0</v>
      </c>
      <c r="AH3056" s="638"/>
      <c r="AI3056" s="698">
        <f>SUM(AH2336:AH2340)/1.18-SUM(AH3051:AH3055)*'Mark Up Validation'!$M$175</f>
        <v>0</v>
      </c>
      <c r="AJ3056" s="65"/>
      <c r="AV3056" s="56"/>
    </row>
    <row r="3057" spans="1:48" ht="13.5" customHeight="1" outlineLevel="2" thickBot="1">
      <c r="A3057" s="119"/>
      <c r="B3057" s="82"/>
      <c r="C3057" s="1228" t="s">
        <v>539</v>
      </c>
      <c r="D3057" s="1229"/>
      <c r="E3057" s="699"/>
      <c r="F3057" s="700">
        <f>SUM(F3051:F3055)</f>
        <v>0</v>
      </c>
      <c r="G3057" s="701"/>
      <c r="H3057" s="700">
        <f>SUM(H3051:H3055)</f>
        <v>0</v>
      </c>
      <c r="I3057" s="701"/>
      <c r="J3057" s="700">
        <f>SUM(J3051:J3055)</f>
        <v>0</v>
      </c>
      <c r="K3057" s="702"/>
      <c r="L3057" s="700">
        <f>SUM(L3051:L3055)</f>
        <v>0</v>
      </c>
      <c r="M3057" s="702"/>
      <c r="N3057" s="700">
        <f>SUM(N3051:N3055)</f>
        <v>0</v>
      </c>
      <c r="O3057" s="702"/>
      <c r="P3057" s="700">
        <f>SUM(P3051:P3055)</f>
        <v>0</v>
      </c>
      <c r="Q3057" s="702"/>
      <c r="R3057" s="703"/>
      <c r="S3057" s="729">
        <f>IF(S3056&gt;0,S3056/(SUM(R2336:R2340)/1.18),0)</f>
        <v>0</v>
      </c>
      <c r="T3057" s="700">
        <f>SUM(T3051:T3055)</f>
        <v>0</v>
      </c>
      <c r="U3057" s="702"/>
      <c r="V3057" s="700">
        <f>SUM(V3051:V3055)</f>
        <v>0</v>
      </c>
      <c r="W3057" s="702"/>
      <c r="X3057" s="700">
        <f>SUM(X3051:X3055)</f>
        <v>0</v>
      </c>
      <c r="Y3057" s="702"/>
      <c r="Z3057" s="700">
        <f>SUM(Z3051:Z3055)</f>
        <v>0</v>
      </c>
      <c r="AA3057" s="702"/>
      <c r="AB3057" s="700">
        <f>SUM(AB3051:AB3055)</f>
        <v>0</v>
      </c>
      <c r="AC3057" s="702"/>
      <c r="AD3057" s="700">
        <f>SUM(AD3051:AD3055)</f>
        <v>0</v>
      </c>
      <c r="AE3057" s="702"/>
      <c r="AF3057" s="705"/>
      <c r="AG3057" s="729">
        <f>IF(AG3056&gt;0,AG3056/(SUM(AF2336:AF2340)/1.18),0)</f>
        <v>0</v>
      </c>
      <c r="AH3057" s="706"/>
      <c r="AI3057" s="729">
        <f>IF(AI3056&gt;0,AI3056/(SUM(AH2336:AH2340)/1.18),0)</f>
        <v>0</v>
      </c>
      <c r="AJ3057" s="707"/>
      <c r="AV3057" s="56"/>
    </row>
    <row r="3058" spans="1:48" ht="12.75" customHeight="1" outlineLevel="2" thickBot="1">
      <c r="B3058" s="82">
        <f>B3051+1</f>
        <v>26</v>
      </c>
      <c r="C3058" s="1233">
        <f>C188</f>
        <v>0</v>
      </c>
      <c r="D3058" s="1233">
        <f>D188</f>
        <v>0</v>
      </c>
      <c r="E3058" s="83" t="str">
        <f>'Terms and Turnovers'!$J$12</f>
        <v>FLIP-FLOPS</v>
      </c>
      <c r="F3058" s="68">
        <f>F1629/1.18-F2344*'Mark Up Validation'!$M$105</f>
        <v>0</v>
      </c>
      <c r="G3058" s="106"/>
      <c r="H3058" s="68">
        <f>H1629/1.18-H2344*'Mark Up Validation'!$M$105</f>
        <v>0</v>
      </c>
      <c r="I3058" s="106"/>
      <c r="J3058" s="68">
        <f>J1629/1.18-J2344*'Mark Up Validation'!$M$105</f>
        <v>0</v>
      </c>
      <c r="K3058" s="106"/>
      <c r="L3058" s="68">
        <f>L1629/1.18-L2344*'Mark Up Validation'!$M$105</f>
        <v>0</v>
      </c>
      <c r="M3058" s="106"/>
      <c r="N3058" s="68">
        <f>N1629/1.18-N2344*'Mark Up Validation'!$M$105</f>
        <v>0</v>
      </c>
      <c r="O3058" s="106"/>
      <c r="P3058" s="68">
        <f>P1629/1.18-P2344*'Mark Up Validation'!$M$105</f>
        <v>0</v>
      </c>
      <c r="Q3058" s="106"/>
      <c r="R3058" s="129">
        <f>SUM(F3058,H3058,J3058,L3058,N3058,P3058)</f>
        <v>0</v>
      </c>
      <c r="S3058" s="106"/>
      <c r="T3058" s="68">
        <f>T1629/1.18-T2344*'Mark Up Validation'!$S$105</f>
        <v>0</v>
      </c>
      <c r="U3058" s="106"/>
      <c r="V3058" s="68">
        <f>V1629/1.18-V2344*'Mark Up Validation'!$S$105</f>
        <v>0</v>
      </c>
      <c r="W3058" s="106"/>
      <c r="X3058" s="68">
        <f>X1629/1.18-X2344*'Mark Up Validation'!$S$105</f>
        <v>0</v>
      </c>
      <c r="Y3058" s="106"/>
      <c r="Z3058" s="68">
        <f>Z1629/1.18-Z2344*'Mark Up Validation'!$S$105</f>
        <v>0</v>
      </c>
      <c r="AA3058" s="106"/>
      <c r="AB3058" s="68">
        <f>AB1629/1.18-AB2344*'Mark Up Validation'!$S$105</f>
        <v>0</v>
      </c>
      <c r="AC3058" s="106"/>
      <c r="AD3058" s="68">
        <f>AD1629/1.18-AD2344*'Mark Up Validation'!$S$105</f>
        <v>0</v>
      </c>
      <c r="AE3058" s="106"/>
      <c r="AF3058" s="129">
        <f>SUM(T3058,V3058,X3058,Z3058,AB3058,AD3058)</f>
        <v>0</v>
      </c>
      <c r="AG3058" s="106"/>
      <c r="AH3058" s="130">
        <f>SUM(AF3058,R3058)</f>
        <v>0</v>
      </c>
      <c r="AI3058" s="106"/>
      <c r="AJ3058" s="65"/>
      <c r="AV3058" s="56"/>
    </row>
    <row r="3059" spans="1:48" ht="12.75" customHeight="1" outlineLevel="2" thickBot="1">
      <c r="B3059" s="82"/>
      <c r="C3059" s="1234"/>
      <c r="D3059" s="1234"/>
      <c r="E3059" s="84" t="str">
        <f>'Terms and Turnovers'!$T$12</f>
        <v>ORIGINALS</v>
      </c>
      <c r="F3059" s="68">
        <f>F1630/1.18-F2345*'Mark Up Validation'!$M$105</f>
        <v>0</v>
      </c>
      <c r="G3059" s="728"/>
      <c r="H3059" s="68">
        <f>H1630/1.18-H2345*'Mark Up Validation'!$M$105</f>
        <v>0</v>
      </c>
      <c r="I3059" s="728"/>
      <c r="J3059" s="68">
        <f>J1630/1.18-J2345*'Mark Up Validation'!$M$105</f>
        <v>0</v>
      </c>
      <c r="K3059" s="728"/>
      <c r="L3059" s="68">
        <f>L1630/1.18-L2345*'Mark Up Validation'!$M$105</f>
        <v>0</v>
      </c>
      <c r="M3059" s="728"/>
      <c r="N3059" s="68">
        <f>N1630/1.18-N2345*'Mark Up Validation'!$M$105</f>
        <v>0</v>
      </c>
      <c r="O3059" s="728"/>
      <c r="P3059" s="68">
        <f>P1630/1.18-P2345*'Mark Up Validation'!$M$105</f>
        <v>0</v>
      </c>
      <c r="Q3059" s="728"/>
      <c r="R3059" s="132">
        <f>SUM(F3059,H3059,J3059,L3059,N3059,P3059)</f>
        <v>0</v>
      </c>
      <c r="S3059" s="728"/>
      <c r="T3059" s="68">
        <f>T1630/1.18-T2345*'Mark Up Validation'!$S$105</f>
        <v>0</v>
      </c>
      <c r="U3059" s="728"/>
      <c r="V3059" s="68">
        <f>V1630/1.18-V2345*'Mark Up Validation'!$S$105</f>
        <v>0</v>
      </c>
      <c r="W3059" s="728"/>
      <c r="X3059" s="68">
        <f>X1630/1.18-X2345*'Mark Up Validation'!$S$105</f>
        <v>0</v>
      </c>
      <c r="Y3059" s="728"/>
      <c r="Z3059" s="68">
        <f>Z1630/1.18-Z2345*'Mark Up Validation'!$S$105</f>
        <v>0</v>
      </c>
      <c r="AA3059" s="728"/>
      <c r="AB3059" s="68">
        <f>AB1630/1.18-AB2345*'Mark Up Validation'!$S$105</f>
        <v>0</v>
      </c>
      <c r="AC3059" s="728"/>
      <c r="AD3059" s="68">
        <f>AD1630/1.18-AD2345*'Mark Up Validation'!$S$105</f>
        <v>0</v>
      </c>
      <c r="AE3059" s="728"/>
      <c r="AF3059" s="132">
        <f>SUM(T3059,V3059,X3059,Z3059,AB3059,AD3059)</f>
        <v>0</v>
      </c>
      <c r="AG3059" s="728"/>
      <c r="AH3059" s="133">
        <f>SUM(AF3059,R3059)</f>
        <v>0</v>
      </c>
      <c r="AI3059" s="728"/>
      <c r="AJ3059" s="65"/>
      <c r="AV3059" s="56"/>
    </row>
    <row r="3060" spans="1:48" ht="12.75" customHeight="1" outlineLevel="2" thickBot="1">
      <c r="B3060" s="82"/>
      <c r="C3060" s="1234"/>
      <c r="D3060" s="1234"/>
      <c r="E3060" s="84" t="str">
        <f>'Terms and Turnovers'!$AD$12</f>
        <v>ACCESSORIES</v>
      </c>
      <c r="F3060" s="68">
        <f>F1631/1.18-F2346*'Mark Up Validation'!$M$105</f>
        <v>0</v>
      </c>
      <c r="G3060" s="106"/>
      <c r="H3060" s="68">
        <f>H1631/1.18-H2346*'Mark Up Validation'!$M$105</f>
        <v>0</v>
      </c>
      <c r="I3060" s="106"/>
      <c r="J3060" s="68">
        <f>J1631/1.18-J2346*'Mark Up Validation'!$M$105</f>
        <v>0</v>
      </c>
      <c r="K3060" s="106"/>
      <c r="L3060" s="68">
        <f>L1631/1.18-L2346*'Mark Up Validation'!$M$105</f>
        <v>0</v>
      </c>
      <c r="M3060" s="106"/>
      <c r="N3060" s="68">
        <f>N1631/1.18-N2346*'Mark Up Validation'!$M$105</f>
        <v>0</v>
      </c>
      <c r="O3060" s="106"/>
      <c r="P3060" s="68">
        <f>P1631/1.18-P2346*'Mark Up Validation'!$M$105</f>
        <v>0</v>
      </c>
      <c r="Q3060" s="728"/>
      <c r="R3060" s="132">
        <f>SUM(F3060,H3060,J3060,L3060,N3060,P3060)</f>
        <v>0</v>
      </c>
      <c r="S3060" s="728"/>
      <c r="T3060" s="68">
        <f>T1631/1.18-T2346*'Mark Up Validation'!$S$105</f>
        <v>0</v>
      </c>
      <c r="U3060" s="728"/>
      <c r="V3060" s="68">
        <f>V1631/1.18-V2346*'Mark Up Validation'!$S$105</f>
        <v>0</v>
      </c>
      <c r="W3060" s="728"/>
      <c r="X3060" s="68">
        <f>X1631/1.18-X2346*'Mark Up Validation'!$S$105</f>
        <v>0</v>
      </c>
      <c r="Y3060" s="728"/>
      <c r="Z3060" s="68">
        <f>Z1631/1.18-Z2346*'Mark Up Validation'!$S$105</f>
        <v>0</v>
      </c>
      <c r="AA3060" s="728"/>
      <c r="AB3060" s="68">
        <f>AB1631/1.18-AB2346*'Mark Up Validation'!$S$105</f>
        <v>0</v>
      </c>
      <c r="AC3060" s="728"/>
      <c r="AD3060" s="68">
        <f>AD1631/1.18-AD2346*'Mark Up Validation'!$S$105</f>
        <v>0</v>
      </c>
      <c r="AE3060" s="728"/>
      <c r="AF3060" s="132">
        <f>SUM(T3060,V3060,X3060,Z3060,AB3060,AD3060)</f>
        <v>0</v>
      </c>
      <c r="AG3060" s="728"/>
      <c r="AH3060" s="133">
        <f>SUM(AF3060,R3060)</f>
        <v>0</v>
      </c>
      <c r="AI3060" s="728"/>
      <c r="AJ3060" s="65"/>
      <c r="AV3060" s="56"/>
    </row>
    <row r="3061" spans="1:48" ht="12.75" customHeight="1" outlineLevel="2" thickBot="1">
      <c r="B3061" s="82"/>
      <c r="C3061" s="1234"/>
      <c r="D3061" s="1234"/>
      <c r="E3061" s="84">
        <f>'Terms and Turnovers'!$AN$12</f>
        <v>0</v>
      </c>
      <c r="F3061" s="68">
        <f>F1632/1.18-F2347*'Mark Up Validation'!$M$105</f>
        <v>0</v>
      </c>
      <c r="G3061" s="728"/>
      <c r="H3061" s="68">
        <f>H1632/1.18-H2347*'Mark Up Validation'!$M$105</f>
        <v>0</v>
      </c>
      <c r="I3061" s="728"/>
      <c r="J3061" s="68">
        <f>J1632/1.18-J2347*'Mark Up Validation'!$M$105</f>
        <v>0</v>
      </c>
      <c r="K3061" s="728"/>
      <c r="L3061" s="68">
        <f>L1632/1.18-L2347*'Mark Up Validation'!$M$105</f>
        <v>0</v>
      </c>
      <c r="M3061" s="728"/>
      <c r="N3061" s="68">
        <f>N1632/1.18-N2347*'Mark Up Validation'!$M$105</f>
        <v>0</v>
      </c>
      <c r="O3061" s="728"/>
      <c r="P3061" s="68">
        <f>P1632/1.18-P2347*'Mark Up Validation'!$M$105</f>
        <v>0</v>
      </c>
      <c r="Q3061" s="728"/>
      <c r="R3061" s="132">
        <f>SUM(F3061,H3061,J3061,L3061,N3061,P3061)</f>
        <v>0</v>
      </c>
      <c r="S3061" s="728"/>
      <c r="T3061" s="68">
        <f>T1632/1.18-T2347*'Mark Up Validation'!$S$105</f>
        <v>0</v>
      </c>
      <c r="U3061" s="728"/>
      <c r="V3061" s="68">
        <f>V1632/1.18-V2347*'Mark Up Validation'!$S$105</f>
        <v>0</v>
      </c>
      <c r="W3061" s="728"/>
      <c r="X3061" s="68">
        <f>X1632/1.18-X2347*'Mark Up Validation'!$S$105</f>
        <v>0</v>
      </c>
      <c r="Y3061" s="728"/>
      <c r="Z3061" s="68">
        <f>Z1632/1.18-Z2347*'Mark Up Validation'!$S$105</f>
        <v>0</v>
      </c>
      <c r="AA3061" s="728"/>
      <c r="AB3061" s="68">
        <f>AB1632/1.18-AB2347*'Mark Up Validation'!$S$105</f>
        <v>0</v>
      </c>
      <c r="AC3061" s="728"/>
      <c r="AD3061" s="68">
        <f>AD1632/1.18-AD2347*'Mark Up Validation'!$S$105</f>
        <v>0</v>
      </c>
      <c r="AE3061" s="728"/>
      <c r="AF3061" s="132">
        <f>SUM(T3061,V3061,X3061,Z3061,AB3061,AD3061)</f>
        <v>0</v>
      </c>
      <c r="AG3061" s="728"/>
      <c r="AH3061" s="133">
        <f>SUM(AF3061,R3061)</f>
        <v>0</v>
      </c>
      <c r="AI3061" s="728"/>
      <c r="AJ3061" s="65"/>
      <c r="AV3061" s="56"/>
    </row>
    <row r="3062" spans="1:48" ht="13.5" customHeight="1" outlineLevel="2" thickBot="1">
      <c r="B3062" s="82"/>
      <c r="C3062" s="1235"/>
      <c r="D3062" s="1235"/>
      <c r="E3062" s="85">
        <f>'Terms and Turnovers'!$AX$12</f>
        <v>0</v>
      </c>
      <c r="F3062" s="68">
        <f>F1633/1.18-F2348*'Mark Up Validation'!$M$105</f>
        <v>0</v>
      </c>
      <c r="G3062" s="106"/>
      <c r="H3062" s="68">
        <f>H1633/1.18-H2348*'Mark Up Validation'!$M$105</f>
        <v>0</v>
      </c>
      <c r="I3062" s="106"/>
      <c r="J3062" s="68">
        <f>J1633/1.18-J2348*'Mark Up Validation'!$M$105</f>
        <v>0</v>
      </c>
      <c r="K3062" s="106"/>
      <c r="L3062" s="68">
        <f>L1633/1.18-L2348*'Mark Up Validation'!$M$105</f>
        <v>0</v>
      </c>
      <c r="M3062" s="106"/>
      <c r="N3062" s="68">
        <f>N1633/1.18-N2348*'Mark Up Validation'!$M$105</f>
        <v>0</v>
      </c>
      <c r="O3062" s="106"/>
      <c r="P3062" s="68">
        <f>P1633/1.18-P2348*'Mark Up Validation'!$M$105</f>
        <v>0</v>
      </c>
      <c r="Q3062" s="107"/>
      <c r="R3062" s="135">
        <f>SUM(F3062,H3062,J3062,L3062,N3062,P3062)</f>
        <v>0</v>
      </c>
      <c r="S3062" s="107"/>
      <c r="T3062" s="68">
        <f>T1633/1.18-T2348*'Mark Up Validation'!$S$105</f>
        <v>0</v>
      </c>
      <c r="U3062" s="107"/>
      <c r="V3062" s="68">
        <f>V1633/1.18-V2348*'Mark Up Validation'!$S$105</f>
        <v>0</v>
      </c>
      <c r="W3062" s="107"/>
      <c r="X3062" s="68">
        <f>X1633/1.18-X2348*'Mark Up Validation'!$S$105</f>
        <v>0</v>
      </c>
      <c r="Y3062" s="107"/>
      <c r="Z3062" s="68">
        <f>Z1633/1.18-Z2348*'Mark Up Validation'!$S$105</f>
        <v>0</v>
      </c>
      <c r="AA3062" s="107"/>
      <c r="AB3062" s="68">
        <f>AB1633/1.18-AB2348*'Mark Up Validation'!$S$105</f>
        <v>0</v>
      </c>
      <c r="AC3062" s="107"/>
      <c r="AD3062" s="68">
        <f>AD1633/1.18-AD2348*'Mark Up Validation'!$S$105</f>
        <v>0</v>
      </c>
      <c r="AE3062" s="107"/>
      <c r="AF3062" s="135">
        <f>SUM(T3062,V3062,X3062,Z3062,AB3062,AD3062)</f>
        <v>0</v>
      </c>
      <c r="AG3062" s="107"/>
      <c r="AH3062" s="136">
        <f>SUM(AF3062,R3062)</f>
        <v>0</v>
      </c>
      <c r="AI3062" s="107"/>
      <c r="AJ3062" s="65"/>
      <c r="AV3062" s="56"/>
    </row>
    <row r="3063" spans="1:48" ht="13.5" customHeight="1" outlineLevel="2">
      <c r="B3063" s="82"/>
      <c r="C3063" s="425"/>
      <c r="D3063" s="425"/>
      <c r="E3063" s="634"/>
      <c r="F3063" s="635"/>
      <c r="G3063" s="428"/>
      <c r="H3063" s="635"/>
      <c r="I3063" s="428"/>
      <c r="J3063" s="635"/>
      <c r="K3063" s="636"/>
      <c r="L3063" s="635"/>
      <c r="M3063" s="636"/>
      <c r="N3063" s="635"/>
      <c r="O3063" s="636"/>
      <c r="P3063" s="635"/>
      <c r="Q3063" s="636"/>
      <c r="R3063" s="637"/>
      <c r="S3063" s="698">
        <f>SUM(R2343:R2347)/1.18-(SUM(R3058:R3062)*'Mark Up Validation'!$M$105)</f>
        <v>0</v>
      </c>
      <c r="T3063" s="635"/>
      <c r="U3063" s="636"/>
      <c r="V3063" s="635"/>
      <c r="W3063" s="636"/>
      <c r="X3063" s="635"/>
      <c r="Y3063" s="636"/>
      <c r="Z3063" s="635"/>
      <c r="AA3063" s="636"/>
      <c r="AB3063" s="635"/>
      <c r="AC3063" s="636"/>
      <c r="AD3063" s="635"/>
      <c r="AE3063" s="636"/>
      <c r="AF3063" s="637"/>
      <c r="AG3063" s="698">
        <f>SUM(AF2343:AF2347)/1.18-SUM(AF3058:AF3062)*'Mark Up Validation'!$M$175</f>
        <v>0</v>
      </c>
      <c r="AH3063" s="638"/>
      <c r="AI3063" s="698">
        <f>SUM(AH2343:AH2347)/1.18-SUM(AH3058:AH3062)*'Mark Up Validation'!$M$175</f>
        <v>0</v>
      </c>
      <c r="AJ3063" s="65"/>
      <c r="AV3063" s="56"/>
    </row>
    <row r="3064" spans="1:48" ht="13.5" customHeight="1" outlineLevel="2" thickBot="1">
      <c r="A3064" s="119"/>
      <c r="B3064" s="82"/>
      <c r="C3064" s="1228" t="s">
        <v>539</v>
      </c>
      <c r="D3064" s="1229"/>
      <c r="E3064" s="699"/>
      <c r="F3064" s="700">
        <f>SUM(F3058:F3062)</f>
        <v>0</v>
      </c>
      <c r="G3064" s="701"/>
      <c r="H3064" s="700">
        <f>SUM(H3058:H3062)</f>
        <v>0</v>
      </c>
      <c r="I3064" s="701"/>
      <c r="J3064" s="700">
        <f>SUM(J3058:J3062)</f>
        <v>0</v>
      </c>
      <c r="K3064" s="702"/>
      <c r="L3064" s="700">
        <f>SUM(L3058:L3062)</f>
        <v>0</v>
      </c>
      <c r="M3064" s="702"/>
      <c r="N3064" s="700">
        <f>SUM(N3058:N3062)</f>
        <v>0</v>
      </c>
      <c r="O3064" s="702"/>
      <c r="P3064" s="700">
        <f>SUM(P3058:P3062)</f>
        <v>0</v>
      </c>
      <c r="Q3064" s="702"/>
      <c r="R3064" s="703"/>
      <c r="S3064" s="729">
        <f>IF(S3063&gt;0,S3063/(SUM(R2343:R2347)/1.18),0)</f>
        <v>0</v>
      </c>
      <c r="T3064" s="700">
        <f>SUM(T3058:T3062)</f>
        <v>0</v>
      </c>
      <c r="U3064" s="702"/>
      <c r="V3064" s="700">
        <f>SUM(V3058:V3062)</f>
        <v>0</v>
      </c>
      <c r="W3064" s="702"/>
      <c r="X3064" s="700">
        <f>SUM(X3058:X3062)</f>
        <v>0</v>
      </c>
      <c r="Y3064" s="702"/>
      <c r="Z3064" s="700">
        <f>SUM(Z3058:Z3062)</f>
        <v>0</v>
      </c>
      <c r="AA3064" s="702"/>
      <c r="AB3064" s="700">
        <f>SUM(AB3058:AB3062)</f>
        <v>0</v>
      </c>
      <c r="AC3064" s="702"/>
      <c r="AD3064" s="700">
        <f>SUM(AD3058:AD3062)</f>
        <v>0</v>
      </c>
      <c r="AE3064" s="702"/>
      <c r="AF3064" s="705"/>
      <c r="AG3064" s="729">
        <f>IF(AG3063&gt;0,AG3063/(SUM(AF2343:AF2347)/1.18),0)</f>
        <v>0</v>
      </c>
      <c r="AH3064" s="706"/>
      <c r="AI3064" s="729">
        <f>IF(AI3063&gt;0,AI3063/(SUM(AH2343:AH2347)/1.18),0)</f>
        <v>0</v>
      </c>
      <c r="AJ3064" s="707"/>
      <c r="AV3064" s="56"/>
    </row>
    <row r="3065" spans="1:48" ht="12.75" customHeight="1" outlineLevel="2" thickBot="1">
      <c r="B3065" s="82">
        <f>B3058+1</f>
        <v>27</v>
      </c>
      <c r="C3065" s="1233">
        <f>C195</f>
        <v>0</v>
      </c>
      <c r="D3065" s="1233">
        <f>D195</f>
        <v>0</v>
      </c>
      <c r="E3065" s="83" t="str">
        <f>'Terms and Turnovers'!$J$12</f>
        <v>FLIP-FLOPS</v>
      </c>
      <c r="F3065" s="68">
        <f>F1636/1.18-F2351*'Mark Up Validation'!$M$105</f>
        <v>0</v>
      </c>
      <c r="G3065" s="106"/>
      <c r="H3065" s="68">
        <f>H1636/1.18-H2351*'Mark Up Validation'!$M$105</f>
        <v>0</v>
      </c>
      <c r="I3065" s="106"/>
      <c r="J3065" s="68">
        <f>J1636/1.18-J2351*'Mark Up Validation'!$M$105</f>
        <v>0</v>
      </c>
      <c r="K3065" s="106"/>
      <c r="L3065" s="68">
        <f>L1636/1.18-L2351*'Mark Up Validation'!$M$105</f>
        <v>0</v>
      </c>
      <c r="M3065" s="106"/>
      <c r="N3065" s="68">
        <f>N1636/1.18-N2351*'Mark Up Validation'!$M$105</f>
        <v>0</v>
      </c>
      <c r="O3065" s="106"/>
      <c r="P3065" s="68">
        <f>P1636/1.18-P2351*'Mark Up Validation'!$M$105</f>
        <v>0</v>
      </c>
      <c r="Q3065" s="106"/>
      <c r="R3065" s="129">
        <f>SUM(F3065,H3065,J3065,L3065,N3065,P3065)</f>
        <v>0</v>
      </c>
      <c r="S3065" s="106"/>
      <c r="T3065" s="68">
        <f>T1636/1.18-T2351*'Mark Up Validation'!$S$105</f>
        <v>0</v>
      </c>
      <c r="U3065" s="106"/>
      <c r="V3065" s="68">
        <f>V1636/1.18-V2351*'Mark Up Validation'!$S$105</f>
        <v>0</v>
      </c>
      <c r="W3065" s="106"/>
      <c r="X3065" s="68">
        <f>X1636/1.18-X2351*'Mark Up Validation'!$S$105</f>
        <v>0</v>
      </c>
      <c r="Y3065" s="106"/>
      <c r="Z3065" s="68">
        <f>Z1636/1.18-Z2351*'Mark Up Validation'!$S$105</f>
        <v>0</v>
      </c>
      <c r="AA3065" s="106"/>
      <c r="AB3065" s="68">
        <f>AB1636/1.18-AB2351*'Mark Up Validation'!$S$105</f>
        <v>0</v>
      </c>
      <c r="AC3065" s="106"/>
      <c r="AD3065" s="68">
        <f>AD1636/1.18-AD2351*'Mark Up Validation'!$S$105</f>
        <v>0</v>
      </c>
      <c r="AE3065" s="106"/>
      <c r="AF3065" s="129">
        <f>SUM(T3065,V3065,X3065,Z3065,AB3065,AD3065)</f>
        <v>0</v>
      </c>
      <c r="AG3065" s="106"/>
      <c r="AH3065" s="130">
        <f>SUM(AF3065,R3065)</f>
        <v>0</v>
      </c>
      <c r="AI3065" s="106"/>
      <c r="AJ3065" s="65"/>
      <c r="AV3065" s="56"/>
    </row>
    <row r="3066" spans="1:48" ht="12.75" customHeight="1" outlineLevel="2" thickBot="1">
      <c r="B3066" s="82"/>
      <c r="C3066" s="1234"/>
      <c r="D3066" s="1234"/>
      <c r="E3066" s="84" t="str">
        <f>'Terms and Turnovers'!$T$12</f>
        <v>ORIGINALS</v>
      </c>
      <c r="F3066" s="68">
        <f>F1637/1.18-F2352*'Mark Up Validation'!$M$105</f>
        <v>0</v>
      </c>
      <c r="G3066" s="728"/>
      <c r="H3066" s="68">
        <f>H1637/1.18-H2352*'Mark Up Validation'!$M$105</f>
        <v>0</v>
      </c>
      <c r="I3066" s="728"/>
      <c r="J3066" s="68">
        <f>J1637/1.18-J2352*'Mark Up Validation'!$M$105</f>
        <v>0</v>
      </c>
      <c r="K3066" s="728"/>
      <c r="L3066" s="68">
        <f>L1637/1.18-L2352*'Mark Up Validation'!$M$105</f>
        <v>0</v>
      </c>
      <c r="M3066" s="728"/>
      <c r="N3066" s="68">
        <f>N1637/1.18-N2352*'Mark Up Validation'!$M$105</f>
        <v>0</v>
      </c>
      <c r="O3066" s="728"/>
      <c r="P3066" s="68">
        <f>P1637/1.18-P2352*'Mark Up Validation'!$M$105</f>
        <v>0</v>
      </c>
      <c r="Q3066" s="728"/>
      <c r="R3066" s="132">
        <f>SUM(F3066,H3066,J3066,L3066,N3066,P3066)</f>
        <v>0</v>
      </c>
      <c r="S3066" s="728"/>
      <c r="T3066" s="68">
        <f>T1637/1.18-T2352*'Mark Up Validation'!$S$105</f>
        <v>0</v>
      </c>
      <c r="U3066" s="728"/>
      <c r="V3066" s="68">
        <f>V1637/1.18-V2352*'Mark Up Validation'!$S$105</f>
        <v>0</v>
      </c>
      <c r="W3066" s="728"/>
      <c r="X3066" s="68">
        <f>X1637/1.18-X2352*'Mark Up Validation'!$S$105</f>
        <v>0</v>
      </c>
      <c r="Y3066" s="728"/>
      <c r="Z3066" s="68">
        <f>Z1637/1.18-Z2352*'Mark Up Validation'!$S$105</f>
        <v>0</v>
      </c>
      <c r="AA3066" s="728"/>
      <c r="AB3066" s="68">
        <f>AB1637/1.18-AB2352*'Mark Up Validation'!$S$105</f>
        <v>0</v>
      </c>
      <c r="AC3066" s="728"/>
      <c r="AD3066" s="68">
        <f>AD1637/1.18-AD2352*'Mark Up Validation'!$S$105</f>
        <v>0</v>
      </c>
      <c r="AE3066" s="728"/>
      <c r="AF3066" s="132">
        <f>SUM(T3066,V3066,X3066,Z3066,AB3066,AD3066)</f>
        <v>0</v>
      </c>
      <c r="AG3066" s="728"/>
      <c r="AH3066" s="133">
        <f>SUM(AF3066,R3066)</f>
        <v>0</v>
      </c>
      <c r="AI3066" s="728"/>
      <c r="AJ3066" s="65"/>
      <c r="AV3066" s="56"/>
    </row>
    <row r="3067" spans="1:48" ht="12.75" customHeight="1" outlineLevel="2" thickBot="1">
      <c r="B3067" s="82"/>
      <c r="C3067" s="1234"/>
      <c r="D3067" s="1234"/>
      <c r="E3067" s="84" t="str">
        <f>'Terms and Turnovers'!$AD$12</f>
        <v>ACCESSORIES</v>
      </c>
      <c r="F3067" s="68">
        <f>F1638/1.18-F2353*'Mark Up Validation'!$M$105</f>
        <v>0</v>
      </c>
      <c r="G3067" s="106"/>
      <c r="H3067" s="68">
        <f>H1638/1.18-H2353*'Mark Up Validation'!$M$105</f>
        <v>0</v>
      </c>
      <c r="I3067" s="106"/>
      <c r="J3067" s="68">
        <f>J1638/1.18-J2353*'Mark Up Validation'!$M$105</f>
        <v>0</v>
      </c>
      <c r="K3067" s="106"/>
      <c r="L3067" s="68">
        <f>L1638/1.18-L2353*'Mark Up Validation'!$M$105</f>
        <v>0</v>
      </c>
      <c r="M3067" s="106"/>
      <c r="N3067" s="68">
        <f>N1638/1.18-N2353*'Mark Up Validation'!$M$105</f>
        <v>0</v>
      </c>
      <c r="O3067" s="106"/>
      <c r="P3067" s="68">
        <f>P1638/1.18-P2353*'Mark Up Validation'!$M$105</f>
        <v>0</v>
      </c>
      <c r="Q3067" s="728"/>
      <c r="R3067" s="132">
        <f>SUM(F3067,H3067,J3067,L3067,N3067,P3067)</f>
        <v>0</v>
      </c>
      <c r="S3067" s="728"/>
      <c r="T3067" s="68">
        <f>T1638/1.18-T2353*'Mark Up Validation'!$S$105</f>
        <v>0</v>
      </c>
      <c r="U3067" s="728"/>
      <c r="V3067" s="68">
        <f>V1638/1.18-V2353*'Mark Up Validation'!$S$105</f>
        <v>0</v>
      </c>
      <c r="W3067" s="728"/>
      <c r="X3067" s="68">
        <f>X1638/1.18-X2353*'Mark Up Validation'!$S$105</f>
        <v>0</v>
      </c>
      <c r="Y3067" s="728"/>
      <c r="Z3067" s="68">
        <f>Z1638/1.18-Z2353*'Mark Up Validation'!$S$105</f>
        <v>0</v>
      </c>
      <c r="AA3067" s="728"/>
      <c r="AB3067" s="68">
        <f>AB1638/1.18-AB2353*'Mark Up Validation'!$S$105</f>
        <v>0</v>
      </c>
      <c r="AC3067" s="728"/>
      <c r="AD3067" s="68">
        <f>AD1638/1.18-AD2353*'Mark Up Validation'!$S$105</f>
        <v>0</v>
      </c>
      <c r="AE3067" s="728"/>
      <c r="AF3067" s="132">
        <f>SUM(T3067,V3067,X3067,Z3067,AB3067,AD3067)</f>
        <v>0</v>
      </c>
      <c r="AG3067" s="728"/>
      <c r="AH3067" s="133">
        <f>SUM(AF3067,R3067)</f>
        <v>0</v>
      </c>
      <c r="AI3067" s="728"/>
      <c r="AJ3067" s="65"/>
      <c r="AV3067" s="56"/>
    </row>
    <row r="3068" spans="1:48" ht="12.75" customHeight="1" outlineLevel="2" thickBot="1">
      <c r="B3068" s="82"/>
      <c r="C3068" s="1234"/>
      <c r="D3068" s="1234"/>
      <c r="E3068" s="84">
        <f>'Terms and Turnovers'!$AN$12</f>
        <v>0</v>
      </c>
      <c r="F3068" s="68">
        <f>F1639/1.18-F2354*'Mark Up Validation'!$M$105</f>
        <v>0</v>
      </c>
      <c r="G3068" s="728"/>
      <c r="H3068" s="68">
        <f>H1639/1.18-H2354*'Mark Up Validation'!$M$105</f>
        <v>0</v>
      </c>
      <c r="I3068" s="728"/>
      <c r="J3068" s="68">
        <f>J1639/1.18-J2354*'Mark Up Validation'!$M$105</f>
        <v>0</v>
      </c>
      <c r="K3068" s="728"/>
      <c r="L3068" s="68">
        <f>L1639/1.18-L2354*'Mark Up Validation'!$M$105</f>
        <v>0</v>
      </c>
      <c r="M3068" s="728"/>
      <c r="N3068" s="68">
        <f>N1639/1.18-N2354*'Mark Up Validation'!$M$105</f>
        <v>0</v>
      </c>
      <c r="O3068" s="728"/>
      <c r="P3068" s="68">
        <f>P1639/1.18-P2354*'Mark Up Validation'!$M$105</f>
        <v>0</v>
      </c>
      <c r="Q3068" s="728"/>
      <c r="R3068" s="132">
        <f>SUM(F3068,H3068,J3068,L3068,N3068,P3068)</f>
        <v>0</v>
      </c>
      <c r="S3068" s="728"/>
      <c r="T3068" s="68">
        <f>T1639/1.18-T2354*'Mark Up Validation'!$S$105</f>
        <v>0</v>
      </c>
      <c r="U3068" s="728"/>
      <c r="V3068" s="68">
        <f>V1639/1.18-V2354*'Mark Up Validation'!$S$105</f>
        <v>0</v>
      </c>
      <c r="W3068" s="728"/>
      <c r="X3068" s="68">
        <f>X1639/1.18-X2354*'Mark Up Validation'!$S$105</f>
        <v>0</v>
      </c>
      <c r="Y3068" s="728"/>
      <c r="Z3068" s="68">
        <f>Z1639/1.18-Z2354*'Mark Up Validation'!$S$105</f>
        <v>0</v>
      </c>
      <c r="AA3068" s="728"/>
      <c r="AB3068" s="68">
        <f>AB1639/1.18-AB2354*'Mark Up Validation'!$S$105</f>
        <v>0</v>
      </c>
      <c r="AC3068" s="728"/>
      <c r="AD3068" s="68">
        <f>AD1639/1.18-AD2354*'Mark Up Validation'!$S$105</f>
        <v>0</v>
      </c>
      <c r="AE3068" s="728"/>
      <c r="AF3068" s="132">
        <f>SUM(T3068,V3068,X3068,Z3068,AB3068,AD3068)</f>
        <v>0</v>
      </c>
      <c r="AG3068" s="728"/>
      <c r="AH3068" s="133">
        <f>SUM(AF3068,R3068)</f>
        <v>0</v>
      </c>
      <c r="AI3068" s="728"/>
      <c r="AJ3068" s="65"/>
      <c r="AV3068" s="56"/>
    </row>
    <row r="3069" spans="1:48" ht="13.5" customHeight="1" outlineLevel="2" thickBot="1">
      <c r="B3069" s="82"/>
      <c r="C3069" s="1235"/>
      <c r="D3069" s="1235"/>
      <c r="E3069" s="85">
        <f>'Terms and Turnovers'!$AX$12</f>
        <v>0</v>
      </c>
      <c r="F3069" s="68">
        <f>F1640/1.18-F2355*'Mark Up Validation'!$M$105</f>
        <v>0</v>
      </c>
      <c r="G3069" s="106"/>
      <c r="H3069" s="68">
        <f>H1640/1.18-H2355*'Mark Up Validation'!$M$105</f>
        <v>0</v>
      </c>
      <c r="I3069" s="106"/>
      <c r="J3069" s="68">
        <f>J1640/1.18-J2355*'Mark Up Validation'!$M$105</f>
        <v>0</v>
      </c>
      <c r="K3069" s="106"/>
      <c r="L3069" s="68">
        <f>L1640/1.18-L2355*'Mark Up Validation'!$M$105</f>
        <v>0</v>
      </c>
      <c r="M3069" s="106"/>
      <c r="N3069" s="68">
        <f>N1640/1.18-N2355*'Mark Up Validation'!$M$105</f>
        <v>0</v>
      </c>
      <c r="O3069" s="106"/>
      <c r="P3069" s="68">
        <f>P1640/1.18-P2355*'Mark Up Validation'!$M$105</f>
        <v>0</v>
      </c>
      <c r="Q3069" s="107"/>
      <c r="R3069" s="135">
        <f>SUM(F3069,H3069,J3069,L3069,N3069,P3069)</f>
        <v>0</v>
      </c>
      <c r="S3069" s="107"/>
      <c r="T3069" s="68">
        <f>T1640/1.18-T2355*'Mark Up Validation'!$S$105</f>
        <v>0</v>
      </c>
      <c r="U3069" s="107"/>
      <c r="V3069" s="68">
        <f>V1640/1.18-V2355*'Mark Up Validation'!$S$105</f>
        <v>0</v>
      </c>
      <c r="W3069" s="107"/>
      <c r="X3069" s="68">
        <f>X1640/1.18-X2355*'Mark Up Validation'!$S$105</f>
        <v>0</v>
      </c>
      <c r="Y3069" s="107"/>
      <c r="Z3069" s="68">
        <f>Z1640/1.18-Z2355*'Mark Up Validation'!$S$105</f>
        <v>0</v>
      </c>
      <c r="AA3069" s="107"/>
      <c r="AB3069" s="68">
        <f>AB1640/1.18-AB2355*'Mark Up Validation'!$S$105</f>
        <v>0</v>
      </c>
      <c r="AC3069" s="107"/>
      <c r="AD3069" s="68">
        <f>AD1640/1.18-AD2355*'Mark Up Validation'!$S$105</f>
        <v>0</v>
      </c>
      <c r="AE3069" s="107"/>
      <c r="AF3069" s="135">
        <f>SUM(T3069,V3069,X3069,Z3069,AB3069,AD3069)</f>
        <v>0</v>
      </c>
      <c r="AG3069" s="107"/>
      <c r="AH3069" s="136">
        <f>SUM(AF3069,R3069)</f>
        <v>0</v>
      </c>
      <c r="AI3069" s="107"/>
      <c r="AJ3069" s="65"/>
      <c r="AV3069" s="56"/>
    </row>
    <row r="3070" spans="1:48" ht="13.5" customHeight="1" outlineLevel="2">
      <c r="B3070" s="82"/>
      <c r="C3070" s="425"/>
      <c r="D3070" s="425"/>
      <c r="E3070" s="634"/>
      <c r="F3070" s="635"/>
      <c r="G3070" s="428"/>
      <c r="H3070" s="635"/>
      <c r="I3070" s="428"/>
      <c r="J3070" s="635"/>
      <c r="K3070" s="636"/>
      <c r="L3070" s="635"/>
      <c r="M3070" s="636"/>
      <c r="N3070" s="635"/>
      <c r="O3070" s="636"/>
      <c r="P3070" s="635"/>
      <c r="Q3070" s="636"/>
      <c r="R3070" s="637"/>
      <c r="S3070" s="698">
        <f>SUM(R2350:R2354)/1.18-(SUM(R3065:R3069)*'Mark Up Validation'!$M$105)</f>
        <v>0</v>
      </c>
      <c r="T3070" s="635"/>
      <c r="U3070" s="636"/>
      <c r="V3070" s="635"/>
      <c r="W3070" s="636"/>
      <c r="X3070" s="635"/>
      <c r="Y3070" s="636"/>
      <c r="Z3070" s="635"/>
      <c r="AA3070" s="636"/>
      <c r="AB3070" s="635"/>
      <c r="AC3070" s="636"/>
      <c r="AD3070" s="635"/>
      <c r="AE3070" s="636"/>
      <c r="AF3070" s="637"/>
      <c r="AG3070" s="698">
        <f>SUM(AF2350:AF2354)/1.18-SUM(AF3065:AF3069)*'Mark Up Validation'!$M$175</f>
        <v>0</v>
      </c>
      <c r="AH3070" s="638"/>
      <c r="AI3070" s="698">
        <f>SUM(AH2350:AH2354)/1.18-SUM(AH3065:AH3069)*'Mark Up Validation'!$M$175</f>
        <v>0</v>
      </c>
      <c r="AJ3070" s="65"/>
      <c r="AV3070" s="56"/>
    </row>
    <row r="3071" spans="1:48" ht="13.5" customHeight="1" outlineLevel="2" thickBot="1">
      <c r="A3071" s="119"/>
      <c r="B3071" s="82"/>
      <c r="C3071" s="1228" t="s">
        <v>539</v>
      </c>
      <c r="D3071" s="1229"/>
      <c r="E3071" s="699"/>
      <c r="F3071" s="700">
        <f>SUM(F3065:F3069)</f>
        <v>0</v>
      </c>
      <c r="G3071" s="701"/>
      <c r="H3071" s="700">
        <f>SUM(H3065:H3069)</f>
        <v>0</v>
      </c>
      <c r="I3071" s="701"/>
      <c r="J3071" s="700">
        <f>SUM(J3065:J3069)</f>
        <v>0</v>
      </c>
      <c r="K3071" s="702"/>
      <c r="L3071" s="700">
        <f>SUM(L3065:L3069)</f>
        <v>0</v>
      </c>
      <c r="M3071" s="702"/>
      <c r="N3071" s="700">
        <f>SUM(N3065:N3069)</f>
        <v>0</v>
      </c>
      <c r="O3071" s="702"/>
      <c r="P3071" s="700">
        <f>SUM(P3065:P3069)</f>
        <v>0</v>
      </c>
      <c r="Q3071" s="702"/>
      <c r="R3071" s="703"/>
      <c r="S3071" s="729">
        <f>IF(S3070&gt;0,S3070/(SUM(R2350:R2354)/1.18),0)</f>
        <v>0</v>
      </c>
      <c r="T3071" s="700">
        <f>SUM(T3065:T3069)</f>
        <v>0</v>
      </c>
      <c r="U3071" s="702"/>
      <c r="V3071" s="700">
        <f>SUM(V3065:V3069)</f>
        <v>0</v>
      </c>
      <c r="W3071" s="702"/>
      <c r="X3071" s="700">
        <f>SUM(X3065:X3069)</f>
        <v>0</v>
      </c>
      <c r="Y3071" s="702"/>
      <c r="Z3071" s="700">
        <f>SUM(Z3065:Z3069)</f>
        <v>0</v>
      </c>
      <c r="AA3071" s="702"/>
      <c r="AB3071" s="700">
        <f>SUM(AB3065:AB3069)</f>
        <v>0</v>
      </c>
      <c r="AC3071" s="702"/>
      <c r="AD3071" s="700">
        <f>SUM(AD3065:AD3069)</f>
        <v>0</v>
      </c>
      <c r="AE3071" s="702"/>
      <c r="AF3071" s="705"/>
      <c r="AG3071" s="729">
        <f>IF(AG3070&gt;0,AG3070/(SUM(AF2350:AF2354)/1.18),0)</f>
        <v>0</v>
      </c>
      <c r="AH3071" s="706"/>
      <c r="AI3071" s="729">
        <f>IF(AI3070&gt;0,AI3070/(SUM(AH2350:AH2354)/1.18),0)</f>
        <v>0</v>
      </c>
      <c r="AJ3071" s="707"/>
      <c r="AV3071" s="56"/>
    </row>
    <row r="3072" spans="1:48" ht="12.75" customHeight="1" outlineLevel="2" thickBot="1">
      <c r="B3072" s="82">
        <f>B3065+1</f>
        <v>28</v>
      </c>
      <c r="C3072" s="1233">
        <f>C202</f>
        <v>0</v>
      </c>
      <c r="D3072" s="1233">
        <f>D202</f>
        <v>0</v>
      </c>
      <c r="E3072" s="83" t="str">
        <f>'Terms and Turnovers'!$J$12</f>
        <v>FLIP-FLOPS</v>
      </c>
      <c r="F3072" s="68">
        <f>F1643/1.18-F2358*'Mark Up Validation'!$M$105</f>
        <v>0</v>
      </c>
      <c r="G3072" s="106"/>
      <c r="H3072" s="68">
        <f>H1643/1.18-H2358*'Mark Up Validation'!$M$105</f>
        <v>0</v>
      </c>
      <c r="I3072" s="106"/>
      <c r="J3072" s="68">
        <f>J1643/1.18-J2358*'Mark Up Validation'!$M$105</f>
        <v>0</v>
      </c>
      <c r="K3072" s="106"/>
      <c r="L3072" s="68">
        <f>L1643/1.18-L2358*'Mark Up Validation'!$M$105</f>
        <v>0</v>
      </c>
      <c r="M3072" s="106"/>
      <c r="N3072" s="68">
        <f>N1643/1.18-N2358*'Mark Up Validation'!$M$105</f>
        <v>0</v>
      </c>
      <c r="O3072" s="106"/>
      <c r="P3072" s="68">
        <f>P1643/1.18-P2358*'Mark Up Validation'!$M$105</f>
        <v>0</v>
      </c>
      <c r="Q3072" s="106"/>
      <c r="R3072" s="129">
        <f>SUM(F3072,H3072,J3072,L3072,N3072,P3072)</f>
        <v>0</v>
      </c>
      <c r="S3072" s="106"/>
      <c r="T3072" s="68">
        <f>T1643/1.18-T2358*'Mark Up Validation'!$S$105</f>
        <v>0</v>
      </c>
      <c r="U3072" s="106"/>
      <c r="V3072" s="68">
        <f>V1643/1.18-V2358*'Mark Up Validation'!$S$105</f>
        <v>0</v>
      </c>
      <c r="W3072" s="106"/>
      <c r="X3072" s="68">
        <f>X1643/1.18-X2358*'Mark Up Validation'!$S$105</f>
        <v>0</v>
      </c>
      <c r="Y3072" s="106"/>
      <c r="Z3072" s="68">
        <f>Z1643/1.18-Z2358*'Mark Up Validation'!$S$105</f>
        <v>0</v>
      </c>
      <c r="AA3072" s="106"/>
      <c r="AB3072" s="68">
        <f>AB1643/1.18-AB2358*'Mark Up Validation'!$S$105</f>
        <v>0</v>
      </c>
      <c r="AC3072" s="106"/>
      <c r="AD3072" s="68">
        <f>AD1643/1.18-AD2358*'Mark Up Validation'!$S$105</f>
        <v>0</v>
      </c>
      <c r="AE3072" s="106"/>
      <c r="AF3072" s="129">
        <f>SUM(T3072,V3072,X3072,Z3072,AB3072,AD3072)</f>
        <v>0</v>
      </c>
      <c r="AG3072" s="106"/>
      <c r="AH3072" s="130">
        <f>SUM(AF3072,R3072)</f>
        <v>0</v>
      </c>
      <c r="AI3072" s="106"/>
      <c r="AJ3072" s="65"/>
      <c r="AV3072" s="56"/>
    </row>
    <row r="3073" spans="1:48" ht="12.75" customHeight="1" outlineLevel="2" thickBot="1">
      <c r="B3073" s="82"/>
      <c r="C3073" s="1234"/>
      <c r="D3073" s="1234"/>
      <c r="E3073" s="84" t="str">
        <f>'Terms and Turnovers'!$T$12</f>
        <v>ORIGINALS</v>
      </c>
      <c r="F3073" s="68">
        <f>F1644/1.18-F2359*'Mark Up Validation'!$M$105</f>
        <v>0</v>
      </c>
      <c r="G3073" s="728"/>
      <c r="H3073" s="68">
        <f>H1644/1.18-H2359*'Mark Up Validation'!$M$105</f>
        <v>0</v>
      </c>
      <c r="I3073" s="728"/>
      <c r="J3073" s="68">
        <f>J1644/1.18-J2359*'Mark Up Validation'!$M$105</f>
        <v>0</v>
      </c>
      <c r="K3073" s="728"/>
      <c r="L3073" s="68">
        <f>L1644/1.18-L2359*'Mark Up Validation'!$M$105</f>
        <v>0</v>
      </c>
      <c r="M3073" s="728"/>
      <c r="N3073" s="68">
        <f>N1644/1.18-N2359*'Mark Up Validation'!$M$105</f>
        <v>0</v>
      </c>
      <c r="O3073" s="728"/>
      <c r="P3073" s="68">
        <f>P1644/1.18-P2359*'Mark Up Validation'!$M$105</f>
        <v>0</v>
      </c>
      <c r="Q3073" s="728"/>
      <c r="R3073" s="132">
        <f>SUM(F3073,H3073,J3073,L3073,N3073,P3073)</f>
        <v>0</v>
      </c>
      <c r="S3073" s="728"/>
      <c r="T3073" s="68">
        <f>T1644/1.18-T2359*'Mark Up Validation'!$S$105</f>
        <v>0</v>
      </c>
      <c r="U3073" s="728"/>
      <c r="V3073" s="68">
        <f>V1644/1.18-V2359*'Mark Up Validation'!$S$105</f>
        <v>0</v>
      </c>
      <c r="W3073" s="728"/>
      <c r="X3073" s="68">
        <f>X1644/1.18-X2359*'Mark Up Validation'!$S$105</f>
        <v>0</v>
      </c>
      <c r="Y3073" s="728"/>
      <c r="Z3073" s="68">
        <f>Z1644/1.18-Z2359*'Mark Up Validation'!$S$105</f>
        <v>0</v>
      </c>
      <c r="AA3073" s="728"/>
      <c r="AB3073" s="68">
        <f>AB1644/1.18-AB2359*'Mark Up Validation'!$S$105</f>
        <v>0</v>
      </c>
      <c r="AC3073" s="728"/>
      <c r="AD3073" s="68">
        <f>AD1644/1.18-AD2359*'Mark Up Validation'!$S$105</f>
        <v>0</v>
      </c>
      <c r="AE3073" s="728"/>
      <c r="AF3073" s="132">
        <f>SUM(T3073,V3073,X3073,Z3073,AB3073,AD3073)</f>
        <v>0</v>
      </c>
      <c r="AG3073" s="728"/>
      <c r="AH3073" s="133">
        <f>SUM(AF3073,R3073)</f>
        <v>0</v>
      </c>
      <c r="AI3073" s="728"/>
      <c r="AJ3073" s="65"/>
      <c r="AV3073" s="56"/>
    </row>
    <row r="3074" spans="1:48" ht="12.75" customHeight="1" outlineLevel="2" thickBot="1">
      <c r="B3074" s="82"/>
      <c r="C3074" s="1234"/>
      <c r="D3074" s="1234"/>
      <c r="E3074" s="84" t="str">
        <f>'Terms and Turnovers'!$AD$12</f>
        <v>ACCESSORIES</v>
      </c>
      <c r="F3074" s="68">
        <f>F1645/1.18-F2360*'Mark Up Validation'!$M$105</f>
        <v>0</v>
      </c>
      <c r="G3074" s="106"/>
      <c r="H3074" s="68">
        <f>H1645/1.18-H2360*'Mark Up Validation'!$M$105</f>
        <v>0</v>
      </c>
      <c r="I3074" s="106"/>
      <c r="J3074" s="68">
        <f>J1645/1.18-J2360*'Mark Up Validation'!$M$105</f>
        <v>0</v>
      </c>
      <c r="K3074" s="106"/>
      <c r="L3074" s="68">
        <f>L1645/1.18-L2360*'Mark Up Validation'!$M$105</f>
        <v>0</v>
      </c>
      <c r="M3074" s="106"/>
      <c r="N3074" s="68">
        <f>N1645/1.18-N2360*'Mark Up Validation'!$M$105</f>
        <v>0</v>
      </c>
      <c r="O3074" s="106"/>
      <c r="P3074" s="68">
        <f>P1645/1.18-P2360*'Mark Up Validation'!$M$105</f>
        <v>0</v>
      </c>
      <c r="Q3074" s="728"/>
      <c r="R3074" s="132">
        <f>SUM(F3074,H3074,J3074,L3074,N3074,P3074)</f>
        <v>0</v>
      </c>
      <c r="S3074" s="728"/>
      <c r="T3074" s="68">
        <f>T1645/1.18-T2360*'Mark Up Validation'!$S$105</f>
        <v>0</v>
      </c>
      <c r="U3074" s="728"/>
      <c r="V3074" s="68">
        <f>V1645/1.18-V2360*'Mark Up Validation'!$S$105</f>
        <v>0</v>
      </c>
      <c r="W3074" s="728"/>
      <c r="X3074" s="68">
        <f>X1645/1.18-X2360*'Mark Up Validation'!$S$105</f>
        <v>0</v>
      </c>
      <c r="Y3074" s="728"/>
      <c r="Z3074" s="68">
        <f>Z1645/1.18-Z2360*'Mark Up Validation'!$S$105</f>
        <v>0</v>
      </c>
      <c r="AA3074" s="728"/>
      <c r="AB3074" s="68">
        <f>AB1645/1.18-AB2360*'Mark Up Validation'!$S$105</f>
        <v>0</v>
      </c>
      <c r="AC3074" s="728"/>
      <c r="AD3074" s="68">
        <f>AD1645/1.18-AD2360*'Mark Up Validation'!$S$105</f>
        <v>0</v>
      </c>
      <c r="AE3074" s="728"/>
      <c r="AF3074" s="132">
        <f>SUM(T3074,V3074,X3074,Z3074,AB3074,AD3074)</f>
        <v>0</v>
      </c>
      <c r="AG3074" s="728"/>
      <c r="AH3074" s="133">
        <f>SUM(AF3074,R3074)</f>
        <v>0</v>
      </c>
      <c r="AI3074" s="728"/>
      <c r="AJ3074" s="65"/>
      <c r="AV3074" s="56"/>
    </row>
    <row r="3075" spans="1:48" ht="12.75" customHeight="1" outlineLevel="2" thickBot="1">
      <c r="B3075" s="82"/>
      <c r="C3075" s="1234"/>
      <c r="D3075" s="1234"/>
      <c r="E3075" s="84">
        <f>'Terms and Turnovers'!$AN$12</f>
        <v>0</v>
      </c>
      <c r="F3075" s="68">
        <f>F1646/1.18-F2361*'Mark Up Validation'!$M$105</f>
        <v>0</v>
      </c>
      <c r="G3075" s="728"/>
      <c r="H3075" s="68">
        <f>H1646/1.18-H2361*'Mark Up Validation'!$M$105</f>
        <v>0</v>
      </c>
      <c r="I3075" s="728"/>
      <c r="J3075" s="68">
        <f>J1646/1.18-J2361*'Mark Up Validation'!$M$105</f>
        <v>0</v>
      </c>
      <c r="K3075" s="728"/>
      <c r="L3075" s="68">
        <f>L1646/1.18-L2361*'Mark Up Validation'!$M$105</f>
        <v>0</v>
      </c>
      <c r="M3075" s="728"/>
      <c r="N3075" s="68">
        <f>N1646/1.18-N2361*'Mark Up Validation'!$M$105</f>
        <v>0</v>
      </c>
      <c r="O3075" s="728"/>
      <c r="P3075" s="68">
        <f>P1646/1.18-P2361*'Mark Up Validation'!$M$105</f>
        <v>0</v>
      </c>
      <c r="Q3075" s="728"/>
      <c r="R3075" s="132">
        <f>SUM(F3075,H3075,J3075,L3075,N3075,P3075)</f>
        <v>0</v>
      </c>
      <c r="S3075" s="728"/>
      <c r="T3075" s="68">
        <f>T1646/1.18-T2361*'Mark Up Validation'!$S$105</f>
        <v>0</v>
      </c>
      <c r="U3075" s="728"/>
      <c r="V3075" s="68">
        <f>V1646/1.18-V2361*'Mark Up Validation'!$S$105</f>
        <v>0</v>
      </c>
      <c r="W3075" s="728"/>
      <c r="X3075" s="68">
        <f>X1646/1.18-X2361*'Mark Up Validation'!$S$105</f>
        <v>0</v>
      </c>
      <c r="Y3075" s="728"/>
      <c r="Z3075" s="68">
        <f>Z1646/1.18-Z2361*'Mark Up Validation'!$S$105</f>
        <v>0</v>
      </c>
      <c r="AA3075" s="728"/>
      <c r="AB3075" s="68">
        <f>AB1646/1.18-AB2361*'Mark Up Validation'!$S$105</f>
        <v>0</v>
      </c>
      <c r="AC3075" s="728"/>
      <c r="AD3075" s="68">
        <f>AD1646/1.18-AD2361*'Mark Up Validation'!$S$105</f>
        <v>0</v>
      </c>
      <c r="AE3075" s="728"/>
      <c r="AF3075" s="132">
        <f>SUM(T3075,V3075,X3075,Z3075,AB3075,AD3075)</f>
        <v>0</v>
      </c>
      <c r="AG3075" s="728"/>
      <c r="AH3075" s="133">
        <f>SUM(AF3075,R3075)</f>
        <v>0</v>
      </c>
      <c r="AI3075" s="728"/>
      <c r="AJ3075" s="65"/>
      <c r="AV3075" s="56"/>
    </row>
    <row r="3076" spans="1:48" ht="13.5" customHeight="1" outlineLevel="2" thickBot="1">
      <c r="B3076" s="82"/>
      <c r="C3076" s="1235"/>
      <c r="D3076" s="1235"/>
      <c r="E3076" s="85">
        <f>'Terms and Turnovers'!$AX$12</f>
        <v>0</v>
      </c>
      <c r="F3076" s="68">
        <f>F1647/1.18-F2362*'Mark Up Validation'!$M$105</f>
        <v>0</v>
      </c>
      <c r="G3076" s="106"/>
      <c r="H3076" s="68">
        <f>H1647/1.18-H2362*'Mark Up Validation'!$M$105</f>
        <v>0</v>
      </c>
      <c r="I3076" s="106"/>
      <c r="J3076" s="68">
        <f>J1647/1.18-J2362*'Mark Up Validation'!$M$105</f>
        <v>0</v>
      </c>
      <c r="K3076" s="106"/>
      <c r="L3076" s="68">
        <f>L1647/1.18-L2362*'Mark Up Validation'!$M$105</f>
        <v>0</v>
      </c>
      <c r="M3076" s="106"/>
      <c r="N3076" s="68">
        <f>N1647/1.18-N2362*'Mark Up Validation'!$M$105</f>
        <v>0</v>
      </c>
      <c r="O3076" s="106"/>
      <c r="P3076" s="68">
        <f>P1647/1.18-P2362*'Mark Up Validation'!$M$105</f>
        <v>0</v>
      </c>
      <c r="Q3076" s="107"/>
      <c r="R3076" s="135">
        <f>SUM(F3076,H3076,J3076,L3076,N3076,P3076)</f>
        <v>0</v>
      </c>
      <c r="S3076" s="107"/>
      <c r="T3076" s="68">
        <f>T1647/1.18-T2362*'Mark Up Validation'!$S$105</f>
        <v>0</v>
      </c>
      <c r="U3076" s="107"/>
      <c r="V3076" s="68">
        <f>V1647/1.18-V2362*'Mark Up Validation'!$S$105</f>
        <v>0</v>
      </c>
      <c r="W3076" s="107"/>
      <c r="X3076" s="68">
        <f>X1647/1.18-X2362*'Mark Up Validation'!$S$105</f>
        <v>0</v>
      </c>
      <c r="Y3076" s="107"/>
      <c r="Z3076" s="68">
        <f>Z1647/1.18-Z2362*'Mark Up Validation'!$S$105</f>
        <v>0</v>
      </c>
      <c r="AA3076" s="107"/>
      <c r="AB3076" s="68">
        <f>AB1647/1.18-AB2362*'Mark Up Validation'!$S$105</f>
        <v>0</v>
      </c>
      <c r="AC3076" s="107"/>
      <c r="AD3076" s="68">
        <f>AD1647/1.18-AD2362*'Mark Up Validation'!$S$105</f>
        <v>0</v>
      </c>
      <c r="AE3076" s="107"/>
      <c r="AF3076" s="135">
        <f>SUM(T3076,V3076,X3076,Z3076,AB3076,AD3076)</f>
        <v>0</v>
      </c>
      <c r="AG3076" s="107"/>
      <c r="AH3076" s="136">
        <f>SUM(AF3076,R3076)</f>
        <v>0</v>
      </c>
      <c r="AI3076" s="107"/>
      <c r="AJ3076" s="65"/>
      <c r="AV3076" s="56"/>
    </row>
    <row r="3077" spans="1:48" ht="13.5" customHeight="1" outlineLevel="2">
      <c r="B3077" s="82"/>
      <c r="C3077" s="425"/>
      <c r="D3077" s="425"/>
      <c r="E3077" s="634"/>
      <c r="F3077" s="635"/>
      <c r="G3077" s="428"/>
      <c r="H3077" s="635"/>
      <c r="I3077" s="428"/>
      <c r="J3077" s="635"/>
      <c r="K3077" s="636"/>
      <c r="L3077" s="635"/>
      <c r="M3077" s="636"/>
      <c r="N3077" s="635"/>
      <c r="O3077" s="636"/>
      <c r="P3077" s="635"/>
      <c r="Q3077" s="636"/>
      <c r="R3077" s="637"/>
      <c r="S3077" s="698">
        <f>SUM(R2357:R2361)/1.18-(SUM(R3072:R3076)*'Mark Up Validation'!$M$105)</f>
        <v>0</v>
      </c>
      <c r="T3077" s="635"/>
      <c r="U3077" s="636"/>
      <c r="V3077" s="635"/>
      <c r="W3077" s="636"/>
      <c r="X3077" s="635"/>
      <c r="Y3077" s="636"/>
      <c r="Z3077" s="635"/>
      <c r="AA3077" s="636"/>
      <c r="AB3077" s="635"/>
      <c r="AC3077" s="636"/>
      <c r="AD3077" s="635"/>
      <c r="AE3077" s="636"/>
      <c r="AF3077" s="637"/>
      <c r="AG3077" s="698">
        <f>SUM(AF2357:AF2361)/1.18-SUM(AF3072:AF3076)*'Mark Up Validation'!$M$175</f>
        <v>0</v>
      </c>
      <c r="AH3077" s="638"/>
      <c r="AI3077" s="698">
        <f>SUM(AH2357:AH2361)/1.18-SUM(AH3072:AH3076)*'Mark Up Validation'!$M$175</f>
        <v>0</v>
      </c>
      <c r="AJ3077" s="65"/>
      <c r="AV3077" s="56"/>
    </row>
    <row r="3078" spans="1:48" ht="13.5" customHeight="1" outlineLevel="2" thickBot="1">
      <c r="A3078" s="119"/>
      <c r="B3078" s="82"/>
      <c r="C3078" s="1228" t="s">
        <v>539</v>
      </c>
      <c r="D3078" s="1229"/>
      <c r="E3078" s="699"/>
      <c r="F3078" s="700">
        <f>SUM(F3072:F3076)</f>
        <v>0</v>
      </c>
      <c r="G3078" s="701"/>
      <c r="H3078" s="700">
        <f>SUM(H3072:H3076)</f>
        <v>0</v>
      </c>
      <c r="I3078" s="701"/>
      <c r="J3078" s="700">
        <f>SUM(J3072:J3076)</f>
        <v>0</v>
      </c>
      <c r="K3078" s="702"/>
      <c r="L3078" s="700">
        <f>SUM(L3072:L3076)</f>
        <v>0</v>
      </c>
      <c r="M3078" s="702"/>
      <c r="N3078" s="700">
        <f>SUM(N3072:N3076)</f>
        <v>0</v>
      </c>
      <c r="O3078" s="702"/>
      <c r="P3078" s="700">
        <f>SUM(P3072:P3076)</f>
        <v>0</v>
      </c>
      <c r="Q3078" s="702"/>
      <c r="R3078" s="703"/>
      <c r="S3078" s="729">
        <f>IF(S3077&gt;0,S3077/(SUM(R2357:R2361)/1.18),0)</f>
        <v>0</v>
      </c>
      <c r="T3078" s="700">
        <f>SUM(T3072:T3076)</f>
        <v>0</v>
      </c>
      <c r="U3078" s="702"/>
      <c r="V3078" s="700">
        <f>SUM(V3072:V3076)</f>
        <v>0</v>
      </c>
      <c r="W3078" s="702"/>
      <c r="X3078" s="700">
        <f>SUM(X3072:X3076)</f>
        <v>0</v>
      </c>
      <c r="Y3078" s="702"/>
      <c r="Z3078" s="700">
        <f>SUM(Z3072:Z3076)</f>
        <v>0</v>
      </c>
      <c r="AA3078" s="702"/>
      <c r="AB3078" s="700">
        <f>SUM(AB3072:AB3076)</f>
        <v>0</v>
      </c>
      <c r="AC3078" s="702"/>
      <c r="AD3078" s="700">
        <f>SUM(AD3072:AD3076)</f>
        <v>0</v>
      </c>
      <c r="AE3078" s="702"/>
      <c r="AF3078" s="705"/>
      <c r="AG3078" s="729">
        <f>IF(AG3077&gt;0,AG3077/(SUM(AF2357:AF2361)/1.18),0)</f>
        <v>0</v>
      </c>
      <c r="AH3078" s="706"/>
      <c r="AI3078" s="729">
        <f>IF(AI3077&gt;0,AI3077/(SUM(AH2357:AH2361)/1.18),0)</f>
        <v>0</v>
      </c>
      <c r="AJ3078" s="707"/>
      <c r="AV3078" s="56"/>
    </row>
    <row r="3079" spans="1:48" ht="12.75" customHeight="1" outlineLevel="2" thickBot="1">
      <c r="B3079" s="82">
        <f>B3072+1</f>
        <v>29</v>
      </c>
      <c r="C3079" s="1233">
        <f>C209</f>
        <v>0</v>
      </c>
      <c r="D3079" s="1233">
        <f>D209</f>
        <v>0</v>
      </c>
      <c r="E3079" s="83" t="str">
        <f>'Terms and Turnovers'!$J$12</f>
        <v>FLIP-FLOPS</v>
      </c>
      <c r="F3079" s="68">
        <f>F1650/1.18-F2365*'Mark Up Validation'!$M$105</f>
        <v>0</v>
      </c>
      <c r="G3079" s="106"/>
      <c r="H3079" s="68">
        <f>H1650/1.18-H2365*'Mark Up Validation'!$M$105</f>
        <v>0</v>
      </c>
      <c r="I3079" s="106"/>
      <c r="J3079" s="68">
        <f>J1650/1.18-J2365*'Mark Up Validation'!$M$105</f>
        <v>0</v>
      </c>
      <c r="K3079" s="106"/>
      <c r="L3079" s="68">
        <f>L1650/1.18-L2365*'Mark Up Validation'!$M$105</f>
        <v>0</v>
      </c>
      <c r="M3079" s="106"/>
      <c r="N3079" s="68">
        <f>N1650/1.18-N2365*'Mark Up Validation'!$M$105</f>
        <v>0</v>
      </c>
      <c r="O3079" s="106"/>
      <c r="P3079" s="68">
        <f>P1650/1.18-P2365*'Mark Up Validation'!$M$105</f>
        <v>0</v>
      </c>
      <c r="Q3079" s="106"/>
      <c r="R3079" s="129">
        <f>SUM(F3079,H3079,J3079,L3079,N3079,P3079)</f>
        <v>0</v>
      </c>
      <c r="S3079" s="106"/>
      <c r="T3079" s="68">
        <f>T1650/1.18-T2365*'Mark Up Validation'!$S$105</f>
        <v>0</v>
      </c>
      <c r="U3079" s="106"/>
      <c r="V3079" s="68">
        <f>V1650/1.18-V2365*'Mark Up Validation'!$S$105</f>
        <v>0</v>
      </c>
      <c r="W3079" s="106"/>
      <c r="X3079" s="68">
        <f>X1650/1.18-X2365*'Mark Up Validation'!$S$105</f>
        <v>0</v>
      </c>
      <c r="Y3079" s="106"/>
      <c r="Z3079" s="68">
        <f>Z1650/1.18-Z2365*'Mark Up Validation'!$S$105</f>
        <v>0</v>
      </c>
      <c r="AA3079" s="106"/>
      <c r="AB3079" s="68">
        <f>AB1650/1.18-AB2365*'Mark Up Validation'!$S$105</f>
        <v>0</v>
      </c>
      <c r="AC3079" s="106"/>
      <c r="AD3079" s="68">
        <f>AD1650/1.18-AD2365*'Mark Up Validation'!$S$105</f>
        <v>0</v>
      </c>
      <c r="AE3079" s="106"/>
      <c r="AF3079" s="129">
        <f>SUM(T3079,V3079,X3079,Z3079,AB3079,AD3079)</f>
        <v>0</v>
      </c>
      <c r="AG3079" s="106"/>
      <c r="AH3079" s="130">
        <f>SUM(AF3079,R3079)</f>
        <v>0</v>
      </c>
      <c r="AI3079" s="106"/>
      <c r="AJ3079" s="65"/>
      <c r="AV3079" s="56"/>
    </row>
    <row r="3080" spans="1:48" ht="12.75" customHeight="1" outlineLevel="2" thickBot="1">
      <c r="B3080" s="82"/>
      <c r="C3080" s="1234"/>
      <c r="D3080" s="1234"/>
      <c r="E3080" s="84" t="str">
        <f>'Terms and Turnovers'!$T$12</f>
        <v>ORIGINALS</v>
      </c>
      <c r="F3080" s="68">
        <f>F1651/1.18-F2366*'Mark Up Validation'!$M$105</f>
        <v>0</v>
      </c>
      <c r="G3080" s="728"/>
      <c r="H3080" s="68">
        <f>H1651/1.18-H2366*'Mark Up Validation'!$M$105</f>
        <v>0</v>
      </c>
      <c r="I3080" s="728"/>
      <c r="J3080" s="68">
        <f>J1651/1.18-J2366*'Mark Up Validation'!$M$105</f>
        <v>0</v>
      </c>
      <c r="K3080" s="728"/>
      <c r="L3080" s="68">
        <f>L1651/1.18-L2366*'Mark Up Validation'!$M$105</f>
        <v>0</v>
      </c>
      <c r="M3080" s="728"/>
      <c r="N3080" s="68">
        <f>N1651/1.18-N2366*'Mark Up Validation'!$M$105</f>
        <v>0</v>
      </c>
      <c r="O3080" s="728"/>
      <c r="P3080" s="68">
        <f>P1651/1.18-P2366*'Mark Up Validation'!$M$105</f>
        <v>0</v>
      </c>
      <c r="Q3080" s="728"/>
      <c r="R3080" s="132">
        <f>SUM(F3080,H3080,J3080,L3080,N3080,P3080)</f>
        <v>0</v>
      </c>
      <c r="S3080" s="728"/>
      <c r="T3080" s="68">
        <f>T1651/1.18-T2366*'Mark Up Validation'!$S$105</f>
        <v>0</v>
      </c>
      <c r="U3080" s="728"/>
      <c r="V3080" s="68">
        <f>V1651/1.18-V2366*'Mark Up Validation'!$S$105</f>
        <v>0</v>
      </c>
      <c r="W3080" s="728"/>
      <c r="X3080" s="68">
        <f>X1651/1.18-X2366*'Mark Up Validation'!$S$105</f>
        <v>0</v>
      </c>
      <c r="Y3080" s="728"/>
      <c r="Z3080" s="68">
        <f>Z1651/1.18-Z2366*'Mark Up Validation'!$S$105</f>
        <v>0</v>
      </c>
      <c r="AA3080" s="728"/>
      <c r="AB3080" s="68">
        <f>AB1651/1.18-AB2366*'Mark Up Validation'!$S$105</f>
        <v>0</v>
      </c>
      <c r="AC3080" s="728"/>
      <c r="AD3080" s="68">
        <f>AD1651/1.18-AD2366*'Mark Up Validation'!$S$105</f>
        <v>0</v>
      </c>
      <c r="AE3080" s="728"/>
      <c r="AF3080" s="132">
        <f>SUM(T3080,V3080,X3080,Z3080,AB3080,AD3080)</f>
        <v>0</v>
      </c>
      <c r="AG3080" s="728"/>
      <c r="AH3080" s="133">
        <f>SUM(AF3080,R3080)</f>
        <v>0</v>
      </c>
      <c r="AI3080" s="728"/>
      <c r="AJ3080" s="65"/>
      <c r="AV3080" s="56"/>
    </row>
    <row r="3081" spans="1:48" ht="12.75" customHeight="1" outlineLevel="2" thickBot="1">
      <c r="B3081" s="82"/>
      <c r="C3081" s="1234"/>
      <c r="D3081" s="1234"/>
      <c r="E3081" s="84" t="str">
        <f>'Terms and Turnovers'!$AD$12</f>
        <v>ACCESSORIES</v>
      </c>
      <c r="F3081" s="68">
        <f>F1652/1.18-F2367*'Mark Up Validation'!$M$105</f>
        <v>0</v>
      </c>
      <c r="G3081" s="106"/>
      <c r="H3081" s="68">
        <f>H1652/1.18-H2367*'Mark Up Validation'!$M$105</f>
        <v>0</v>
      </c>
      <c r="I3081" s="106"/>
      <c r="J3081" s="68">
        <f>J1652/1.18-J2367*'Mark Up Validation'!$M$105</f>
        <v>0</v>
      </c>
      <c r="K3081" s="106"/>
      <c r="L3081" s="68">
        <f>L1652/1.18-L2367*'Mark Up Validation'!$M$105</f>
        <v>0</v>
      </c>
      <c r="M3081" s="106"/>
      <c r="N3081" s="68">
        <f>N1652/1.18-N2367*'Mark Up Validation'!$M$105</f>
        <v>0</v>
      </c>
      <c r="O3081" s="106"/>
      <c r="P3081" s="68">
        <f>P1652/1.18-P2367*'Mark Up Validation'!$M$105</f>
        <v>0</v>
      </c>
      <c r="Q3081" s="728"/>
      <c r="R3081" s="132">
        <f>SUM(F3081,H3081,J3081,L3081,N3081,P3081)</f>
        <v>0</v>
      </c>
      <c r="S3081" s="728"/>
      <c r="T3081" s="68">
        <f>T1652/1.18-T2367*'Mark Up Validation'!$S$105</f>
        <v>0</v>
      </c>
      <c r="U3081" s="728"/>
      <c r="V3081" s="68">
        <f>V1652/1.18-V2367*'Mark Up Validation'!$S$105</f>
        <v>0</v>
      </c>
      <c r="W3081" s="728"/>
      <c r="X3081" s="68">
        <f>X1652/1.18-X2367*'Mark Up Validation'!$S$105</f>
        <v>0</v>
      </c>
      <c r="Y3081" s="728"/>
      <c r="Z3081" s="68">
        <f>Z1652/1.18-Z2367*'Mark Up Validation'!$S$105</f>
        <v>0</v>
      </c>
      <c r="AA3081" s="728"/>
      <c r="AB3081" s="68">
        <f>AB1652/1.18-AB2367*'Mark Up Validation'!$S$105</f>
        <v>0</v>
      </c>
      <c r="AC3081" s="728"/>
      <c r="AD3081" s="68">
        <f>AD1652/1.18-AD2367*'Mark Up Validation'!$S$105</f>
        <v>0</v>
      </c>
      <c r="AE3081" s="728"/>
      <c r="AF3081" s="132">
        <f>SUM(T3081,V3081,X3081,Z3081,AB3081,AD3081)</f>
        <v>0</v>
      </c>
      <c r="AG3081" s="728"/>
      <c r="AH3081" s="133">
        <f>SUM(AF3081,R3081)</f>
        <v>0</v>
      </c>
      <c r="AI3081" s="728"/>
      <c r="AJ3081" s="65"/>
      <c r="AV3081" s="56"/>
    </row>
    <row r="3082" spans="1:48" ht="12.75" customHeight="1" outlineLevel="2" thickBot="1">
      <c r="B3082" s="82"/>
      <c r="C3082" s="1234"/>
      <c r="D3082" s="1234"/>
      <c r="E3082" s="84">
        <f>'Terms and Turnovers'!$AN$12</f>
        <v>0</v>
      </c>
      <c r="F3082" s="68">
        <f>F1653/1.18-F2368*'Mark Up Validation'!$M$105</f>
        <v>0</v>
      </c>
      <c r="G3082" s="728"/>
      <c r="H3082" s="68">
        <f>H1653/1.18-H2368*'Mark Up Validation'!$M$105</f>
        <v>0</v>
      </c>
      <c r="I3082" s="728"/>
      <c r="J3082" s="68">
        <f>J1653/1.18-J2368*'Mark Up Validation'!$M$105</f>
        <v>0</v>
      </c>
      <c r="K3082" s="728"/>
      <c r="L3082" s="68">
        <f>L1653/1.18-L2368*'Mark Up Validation'!$M$105</f>
        <v>0</v>
      </c>
      <c r="M3082" s="728"/>
      <c r="N3082" s="68">
        <f>N1653/1.18-N2368*'Mark Up Validation'!$M$105</f>
        <v>0</v>
      </c>
      <c r="O3082" s="728"/>
      <c r="P3082" s="68">
        <f>P1653/1.18-P2368*'Mark Up Validation'!$M$105</f>
        <v>0</v>
      </c>
      <c r="Q3082" s="728"/>
      <c r="R3082" s="132">
        <f>SUM(F3082,H3082,J3082,L3082,N3082,P3082)</f>
        <v>0</v>
      </c>
      <c r="S3082" s="728"/>
      <c r="T3082" s="68">
        <f>T1653/1.18-T2368*'Mark Up Validation'!$S$105</f>
        <v>0</v>
      </c>
      <c r="U3082" s="728"/>
      <c r="V3082" s="68">
        <f>V1653/1.18-V2368*'Mark Up Validation'!$S$105</f>
        <v>0</v>
      </c>
      <c r="W3082" s="728"/>
      <c r="X3082" s="68">
        <f>X1653/1.18-X2368*'Mark Up Validation'!$S$105</f>
        <v>0</v>
      </c>
      <c r="Y3082" s="728"/>
      <c r="Z3082" s="68">
        <f>Z1653/1.18-Z2368*'Mark Up Validation'!$S$105</f>
        <v>0</v>
      </c>
      <c r="AA3082" s="728"/>
      <c r="AB3082" s="68">
        <f>AB1653/1.18-AB2368*'Mark Up Validation'!$S$105</f>
        <v>0</v>
      </c>
      <c r="AC3082" s="728"/>
      <c r="AD3082" s="68">
        <f>AD1653/1.18-AD2368*'Mark Up Validation'!$S$105</f>
        <v>0</v>
      </c>
      <c r="AE3082" s="728"/>
      <c r="AF3082" s="132">
        <f>SUM(T3082,V3082,X3082,Z3082,AB3082,AD3082)</f>
        <v>0</v>
      </c>
      <c r="AG3082" s="728"/>
      <c r="AH3082" s="133">
        <f>SUM(AF3082,R3082)</f>
        <v>0</v>
      </c>
      <c r="AI3082" s="728"/>
      <c r="AJ3082" s="65"/>
      <c r="AV3082" s="56"/>
    </row>
    <row r="3083" spans="1:48" ht="13.5" customHeight="1" outlineLevel="2" thickBot="1">
      <c r="B3083" s="82"/>
      <c r="C3083" s="1235"/>
      <c r="D3083" s="1235"/>
      <c r="E3083" s="85">
        <f>'Terms and Turnovers'!$AX$12</f>
        <v>0</v>
      </c>
      <c r="F3083" s="68">
        <f>F1654/1.18-F2369*'Mark Up Validation'!$M$105</f>
        <v>0</v>
      </c>
      <c r="G3083" s="106"/>
      <c r="H3083" s="68">
        <f>H1654/1.18-H2369*'Mark Up Validation'!$M$105</f>
        <v>0</v>
      </c>
      <c r="I3083" s="106"/>
      <c r="J3083" s="68">
        <f>J1654/1.18-J2369*'Mark Up Validation'!$M$105</f>
        <v>0</v>
      </c>
      <c r="K3083" s="106"/>
      <c r="L3083" s="68">
        <f>L1654/1.18-L2369*'Mark Up Validation'!$M$105</f>
        <v>0</v>
      </c>
      <c r="M3083" s="106"/>
      <c r="N3083" s="68">
        <f>N1654/1.18-N2369*'Mark Up Validation'!$M$105</f>
        <v>0</v>
      </c>
      <c r="O3083" s="106"/>
      <c r="P3083" s="68">
        <f>P1654/1.18-P2369*'Mark Up Validation'!$M$105</f>
        <v>0</v>
      </c>
      <c r="Q3083" s="107"/>
      <c r="R3083" s="135">
        <f>SUM(F3083,H3083,J3083,L3083,N3083,P3083)</f>
        <v>0</v>
      </c>
      <c r="S3083" s="107"/>
      <c r="T3083" s="68">
        <f>T1654/1.18-T2369*'Mark Up Validation'!$S$105</f>
        <v>0</v>
      </c>
      <c r="U3083" s="107"/>
      <c r="V3083" s="68">
        <f>V1654/1.18-V2369*'Mark Up Validation'!$S$105</f>
        <v>0</v>
      </c>
      <c r="W3083" s="107"/>
      <c r="X3083" s="68">
        <f>X1654/1.18-X2369*'Mark Up Validation'!$S$105</f>
        <v>0</v>
      </c>
      <c r="Y3083" s="107"/>
      <c r="Z3083" s="68">
        <f>Z1654/1.18-Z2369*'Mark Up Validation'!$S$105</f>
        <v>0</v>
      </c>
      <c r="AA3083" s="107"/>
      <c r="AB3083" s="68">
        <f>AB1654/1.18-AB2369*'Mark Up Validation'!$S$105</f>
        <v>0</v>
      </c>
      <c r="AC3083" s="107"/>
      <c r="AD3083" s="68">
        <f>AD1654/1.18-AD2369*'Mark Up Validation'!$S$105</f>
        <v>0</v>
      </c>
      <c r="AE3083" s="107"/>
      <c r="AF3083" s="135">
        <f>SUM(T3083,V3083,X3083,Z3083,AB3083,AD3083)</f>
        <v>0</v>
      </c>
      <c r="AG3083" s="107"/>
      <c r="AH3083" s="136">
        <f>SUM(AF3083,R3083)</f>
        <v>0</v>
      </c>
      <c r="AI3083" s="107"/>
      <c r="AJ3083" s="65"/>
      <c r="AV3083" s="56"/>
    </row>
    <row r="3084" spans="1:48" ht="13.5" customHeight="1" outlineLevel="2">
      <c r="B3084" s="82"/>
      <c r="C3084" s="425"/>
      <c r="D3084" s="425"/>
      <c r="E3084" s="634"/>
      <c r="F3084" s="635"/>
      <c r="G3084" s="428"/>
      <c r="H3084" s="635"/>
      <c r="I3084" s="428"/>
      <c r="J3084" s="635"/>
      <c r="K3084" s="636"/>
      <c r="L3084" s="635"/>
      <c r="M3084" s="636"/>
      <c r="N3084" s="635"/>
      <c r="O3084" s="636"/>
      <c r="P3084" s="635"/>
      <c r="Q3084" s="636"/>
      <c r="R3084" s="637"/>
      <c r="S3084" s="698">
        <f>SUM(R2364:R2368)/1.18-(SUM(R3079:R3083)*'Mark Up Validation'!$M$105)</f>
        <v>0</v>
      </c>
      <c r="T3084" s="635"/>
      <c r="U3084" s="636"/>
      <c r="V3084" s="635"/>
      <c r="W3084" s="636"/>
      <c r="X3084" s="635"/>
      <c r="Y3084" s="636"/>
      <c r="Z3084" s="635"/>
      <c r="AA3084" s="636"/>
      <c r="AB3084" s="635"/>
      <c r="AC3084" s="636"/>
      <c r="AD3084" s="635"/>
      <c r="AE3084" s="636"/>
      <c r="AF3084" s="637"/>
      <c r="AG3084" s="698">
        <f>SUM(AF2364:AF2368)/1.18-SUM(AF3079:AF3083)*'Mark Up Validation'!$M$175</f>
        <v>0</v>
      </c>
      <c r="AH3084" s="638"/>
      <c r="AI3084" s="698">
        <f>SUM(AH2364:AH2368)/1.18-SUM(AH3079:AH3083)*'Mark Up Validation'!$M$175</f>
        <v>0</v>
      </c>
      <c r="AJ3084" s="65"/>
      <c r="AV3084" s="56"/>
    </row>
    <row r="3085" spans="1:48" ht="13.5" customHeight="1" outlineLevel="2" thickBot="1">
      <c r="A3085" s="119"/>
      <c r="B3085" s="82"/>
      <c r="C3085" s="1228" t="s">
        <v>539</v>
      </c>
      <c r="D3085" s="1229"/>
      <c r="E3085" s="699"/>
      <c r="F3085" s="700">
        <f>SUM(F3079:F3083)</f>
        <v>0</v>
      </c>
      <c r="G3085" s="701"/>
      <c r="H3085" s="700">
        <f>SUM(H3079:H3083)</f>
        <v>0</v>
      </c>
      <c r="I3085" s="701"/>
      <c r="J3085" s="700">
        <f>SUM(J3079:J3083)</f>
        <v>0</v>
      </c>
      <c r="K3085" s="702"/>
      <c r="L3085" s="700">
        <f>SUM(L3079:L3083)</f>
        <v>0</v>
      </c>
      <c r="M3085" s="702"/>
      <c r="N3085" s="700">
        <f>SUM(N3079:N3083)</f>
        <v>0</v>
      </c>
      <c r="O3085" s="702"/>
      <c r="P3085" s="700">
        <f>SUM(P3079:P3083)</f>
        <v>0</v>
      </c>
      <c r="Q3085" s="702"/>
      <c r="R3085" s="703"/>
      <c r="S3085" s="729">
        <f>IF(S3084&gt;0,S3084/(SUM(R2364:R2368)/1.18),0)</f>
        <v>0</v>
      </c>
      <c r="T3085" s="700">
        <f>SUM(T3079:T3083)</f>
        <v>0</v>
      </c>
      <c r="U3085" s="702"/>
      <c r="V3085" s="700">
        <f>SUM(V3079:V3083)</f>
        <v>0</v>
      </c>
      <c r="W3085" s="702"/>
      <c r="X3085" s="700">
        <f>SUM(X3079:X3083)</f>
        <v>0</v>
      </c>
      <c r="Y3085" s="702"/>
      <c r="Z3085" s="700">
        <f>SUM(Z3079:Z3083)</f>
        <v>0</v>
      </c>
      <c r="AA3085" s="702"/>
      <c r="AB3085" s="700">
        <f>SUM(AB3079:AB3083)</f>
        <v>0</v>
      </c>
      <c r="AC3085" s="702"/>
      <c r="AD3085" s="700">
        <f>SUM(AD3079:AD3083)</f>
        <v>0</v>
      </c>
      <c r="AE3085" s="702"/>
      <c r="AF3085" s="705"/>
      <c r="AG3085" s="729">
        <f>IF(AG3084&gt;0,AG3084/(SUM(AF2364:AF2368)/1.18),0)</f>
        <v>0</v>
      </c>
      <c r="AH3085" s="706"/>
      <c r="AI3085" s="729">
        <f>IF(AI3084&gt;0,AI3084/(SUM(AH2364:AH2368)/1.18),0)</f>
        <v>0</v>
      </c>
      <c r="AJ3085" s="707"/>
      <c r="AV3085" s="56"/>
    </row>
    <row r="3086" spans="1:48" ht="12.75" customHeight="1" outlineLevel="2" thickBot="1">
      <c r="B3086" s="82">
        <f>B3079+1</f>
        <v>30</v>
      </c>
      <c r="C3086" s="1233">
        <f>C216</f>
        <v>0</v>
      </c>
      <c r="D3086" s="1233">
        <f>D216</f>
        <v>0</v>
      </c>
      <c r="E3086" s="83" t="str">
        <f>'Terms and Turnovers'!$J$12</f>
        <v>FLIP-FLOPS</v>
      </c>
      <c r="F3086" s="68">
        <f>F1657/1.18-F2372*'Mark Up Validation'!$M$105</f>
        <v>0</v>
      </c>
      <c r="G3086" s="106"/>
      <c r="H3086" s="68">
        <f>H1657/1.18-H2372*'Mark Up Validation'!$M$105</f>
        <v>0</v>
      </c>
      <c r="I3086" s="106"/>
      <c r="J3086" s="68">
        <f>J1657/1.18-J2372*'Mark Up Validation'!$M$105</f>
        <v>0</v>
      </c>
      <c r="K3086" s="106"/>
      <c r="L3086" s="68">
        <f>L1657/1.18-L2372*'Mark Up Validation'!$M$105</f>
        <v>0</v>
      </c>
      <c r="M3086" s="106"/>
      <c r="N3086" s="68">
        <f>N1657/1.18-N2372*'Mark Up Validation'!$M$105</f>
        <v>0</v>
      </c>
      <c r="O3086" s="106"/>
      <c r="P3086" s="68">
        <f>P1657/1.18-P2372*'Mark Up Validation'!$M$105</f>
        <v>0</v>
      </c>
      <c r="Q3086" s="106"/>
      <c r="R3086" s="129">
        <f>SUM(F3086,H3086,J3086,L3086,N3086,P3086)</f>
        <v>0</v>
      </c>
      <c r="S3086" s="106"/>
      <c r="T3086" s="68">
        <f>T1657/1.18-T2372*'Mark Up Validation'!$S$105</f>
        <v>0</v>
      </c>
      <c r="U3086" s="106"/>
      <c r="V3086" s="68">
        <f>V1657/1.18-V2372*'Mark Up Validation'!$S$105</f>
        <v>0</v>
      </c>
      <c r="W3086" s="106"/>
      <c r="X3086" s="68">
        <f>X1657/1.18-X2372*'Mark Up Validation'!$S$105</f>
        <v>0</v>
      </c>
      <c r="Y3086" s="106"/>
      <c r="Z3086" s="68">
        <f>Z1657/1.18-Z2372*'Mark Up Validation'!$S$105</f>
        <v>0</v>
      </c>
      <c r="AA3086" s="106"/>
      <c r="AB3086" s="68">
        <f>AB1657/1.18-AB2372*'Mark Up Validation'!$S$105</f>
        <v>0</v>
      </c>
      <c r="AC3086" s="106"/>
      <c r="AD3086" s="68">
        <f>AD1657/1.18-AD2372*'Mark Up Validation'!$S$105</f>
        <v>0</v>
      </c>
      <c r="AE3086" s="106"/>
      <c r="AF3086" s="129">
        <f>SUM(T3086,V3086,X3086,Z3086,AB3086,AD3086)</f>
        <v>0</v>
      </c>
      <c r="AG3086" s="106"/>
      <c r="AH3086" s="130">
        <f>SUM(AF3086,R3086)</f>
        <v>0</v>
      </c>
      <c r="AI3086" s="106"/>
      <c r="AJ3086" s="65"/>
      <c r="AV3086" s="56"/>
    </row>
    <row r="3087" spans="1:48" ht="12.75" customHeight="1" outlineLevel="2" thickBot="1">
      <c r="B3087" s="82"/>
      <c r="C3087" s="1234"/>
      <c r="D3087" s="1234"/>
      <c r="E3087" s="84" t="str">
        <f>'Terms and Turnovers'!$T$12</f>
        <v>ORIGINALS</v>
      </c>
      <c r="F3087" s="68">
        <f>F1658/1.18-F2373*'Mark Up Validation'!$M$105</f>
        <v>0</v>
      </c>
      <c r="G3087" s="728"/>
      <c r="H3087" s="68">
        <f>H1658/1.18-H2373*'Mark Up Validation'!$M$105</f>
        <v>0</v>
      </c>
      <c r="I3087" s="728"/>
      <c r="J3087" s="68">
        <f>J1658/1.18-J2373*'Mark Up Validation'!$M$105</f>
        <v>0</v>
      </c>
      <c r="K3087" s="728"/>
      <c r="L3087" s="68">
        <f>L1658/1.18-L2373*'Mark Up Validation'!$M$105</f>
        <v>0</v>
      </c>
      <c r="M3087" s="728"/>
      <c r="N3087" s="68">
        <f>N1658/1.18-N2373*'Mark Up Validation'!$M$105</f>
        <v>0</v>
      </c>
      <c r="O3087" s="728"/>
      <c r="P3087" s="68">
        <f>P1658/1.18-P2373*'Mark Up Validation'!$M$105</f>
        <v>0</v>
      </c>
      <c r="Q3087" s="728"/>
      <c r="R3087" s="132">
        <f>SUM(F3087,H3087,J3087,L3087,N3087,P3087)</f>
        <v>0</v>
      </c>
      <c r="S3087" s="728"/>
      <c r="T3087" s="68">
        <f>T1658/1.18-T2373*'Mark Up Validation'!$S$105</f>
        <v>0</v>
      </c>
      <c r="U3087" s="728"/>
      <c r="V3087" s="68">
        <f>V1658/1.18-V2373*'Mark Up Validation'!$S$105</f>
        <v>0</v>
      </c>
      <c r="W3087" s="728"/>
      <c r="X3087" s="68">
        <f>X1658/1.18-X2373*'Mark Up Validation'!$S$105</f>
        <v>0</v>
      </c>
      <c r="Y3087" s="728"/>
      <c r="Z3087" s="68">
        <f>Z1658/1.18-Z2373*'Mark Up Validation'!$S$105</f>
        <v>0</v>
      </c>
      <c r="AA3087" s="728"/>
      <c r="AB3087" s="68">
        <f>AB1658/1.18-AB2373*'Mark Up Validation'!$S$105</f>
        <v>0</v>
      </c>
      <c r="AC3087" s="728"/>
      <c r="AD3087" s="68">
        <f>AD1658/1.18-AD2373*'Mark Up Validation'!$S$105</f>
        <v>0</v>
      </c>
      <c r="AE3087" s="728"/>
      <c r="AF3087" s="132">
        <f>SUM(T3087,V3087,X3087,Z3087,AB3087,AD3087)</f>
        <v>0</v>
      </c>
      <c r="AG3087" s="728"/>
      <c r="AH3087" s="133">
        <f>SUM(AF3087,R3087)</f>
        <v>0</v>
      </c>
      <c r="AI3087" s="728"/>
      <c r="AJ3087" s="65"/>
      <c r="AV3087" s="56"/>
    </row>
    <row r="3088" spans="1:48" ht="12.75" customHeight="1" outlineLevel="2" thickBot="1">
      <c r="B3088" s="82"/>
      <c r="C3088" s="1234"/>
      <c r="D3088" s="1234"/>
      <c r="E3088" s="84" t="str">
        <f>'Terms and Turnovers'!$AD$12</f>
        <v>ACCESSORIES</v>
      </c>
      <c r="F3088" s="68">
        <f>F1659/1.18-F2374*'Mark Up Validation'!$M$105</f>
        <v>0</v>
      </c>
      <c r="G3088" s="106"/>
      <c r="H3088" s="68">
        <f>H1659/1.18-H2374*'Mark Up Validation'!$M$105</f>
        <v>0</v>
      </c>
      <c r="I3088" s="106"/>
      <c r="J3088" s="68">
        <f>J1659/1.18-J2374*'Mark Up Validation'!$M$105</f>
        <v>0</v>
      </c>
      <c r="K3088" s="106"/>
      <c r="L3088" s="68">
        <f>L1659/1.18-L2374*'Mark Up Validation'!$M$105</f>
        <v>0</v>
      </c>
      <c r="M3088" s="106"/>
      <c r="N3088" s="68">
        <f>N1659/1.18-N2374*'Mark Up Validation'!$M$105</f>
        <v>0</v>
      </c>
      <c r="O3088" s="106"/>
      <c r="P3088" s="68">
        <f>P1659/1.18-P2374*'Mark Up Validation'!$M$105</f>
        <v>0</v>
      </c>
      <c r="Q3088" s="728"/>
      <c r="R3088" s="132">
        <f>SUM(F3088,H3088,J3088,L3088,N3088,P3088)</f>
        <v>0</v>
      </c>
      <c r="S3088" s="728"/>
      <c r="T3088" s="68">
        <f>T1659/1.18-T2374*'Mark Up Validation'!$S$105</f>
        <v>0</v>
      </c>
      <c r="U3088" s="728"/>
      <c r="V3088" s="68">
        <f>V1659/1.18-V2374*'Mark Up Validation'!$S$105</f>
        <v>0</v>
      </c>
      <c r="W3088" s="728"/>
      <c r="X3088" s="68">
        <f>X1659/1.18-X2374*'Mark Up Validation'!$S$105</f>
        <v>0</v>
      </c>
      <c r="Y3088" s="728"/>
      <c r="Z3088" s="68">
        <f>Z1659/1.18-Z2374*'Mark Up Validation'!$S$105</f>
        <v>0</v>
      </c>
      <c r="AA3088" s="728"/>
      <c r="AB3088" s="68">
        <f>AB1659/1.18-AB2374*'Mark Up Validation'!$S$105</f>
        <v>0</v>
      </c>
      <c r="AC3088" s="728"/>
      <c r="AD3088" s="68">
        <f>AD1659/1.18-AD2374*'Mark Up Validation'!$S$105</f>
        <v>0</v>
      </c>
      <c r="AE3088" s="728"/>
      <c r="AF3088" s="132">
        <f>SUM(T3088,V3088,X3088,Z3088,AB3088,AD3088)</f>
        <v>0</v>
      </c>
      <c r="AG3088" s="728"/>
      <c r="AH3088" s="133">
        <f>SUM(AF3088,R3088)</f>
        <v>0</v>
      </c>
      <c r="AI3088" s="728"/>
      <c r="AJ3088" s="65"/>
      <c r="AV3088" s="56"/>
    </row>
    <row r="3089" spans="1:48" ht="12.75" customHeight="1" outlineLevel="2" thickBot="1">
      <c r="B3089" s="82"/>
      <c r="C3089" s="1234"/>
      <c r="D3089" s="1234"/>
      <c r="E3089" s="84">
        <f>'Terms and Turnovers'!$AN$12</f>
        <v>0</v>
      </c>
      <c r="F3089" s="68">
        <f>F1660/1.18-F2375*'Mark Up Validation'!$M$105</f>
        <v>0</v>
      </c>
      <c r="G3089" s="728"/>
      <c r="H3089" s="68">
        <f>H1660/1.18-H2375*'Mark Up Validation'!$M$105</f>
        <v>0</v>
      </c>
      <c r="I3089" s="728"/>
      <c r="J3089" s="68">
        <f>J1660/1.18-J2375*'Mark Up Validation'!$M$105</f>
        <v>0</v>
      </c>
      <c r="K3089" s="728"/>
      <c r="L3089" s="68">
        <f>L1660/1.18-L2375*'Mark Up Validation'!$M$105</f>
        <v>0</v>
      </c>
      <c r="M3089" s="728"/>
      <c r="N3089" s="68">
        <f>N1660/1.18-N2375*'Mark Up Validation'!$M$105</f>
        <v>0</v>
      </c>
      <c r="O3089" s="728"/>
      <c r="P3089" s="68">
        <f>P1660/1.18-P2375*'Mark Up Validation'!$M$105</f>
        <v>0</v>
      </c>
      <c r="Q3089" s="728"/>
      <c r="R3089" s="132">
        <f>SUM(F3089,H3089,J3089,L3089,N3089,P3089)</f>
        <v>0</v>
      </c>
      <c r="S3089" s="728"/>
      <c r="T3089" s="68">
        <f>T1660/1.18-T2375*'Mark Up Validation'!$S$105</f>
        <v>0</v>
      </c>
      <c r="U3089" s="728"/>
      <c r="V3089" s="68">
        <f>V1660/1.18-V2375*'Mark Up Validation'!$S$105</f>
        <v>0</v>
      </c>
      <c r="W3089" s="728"/>
      <c r="X3089" s="68">
        <f>X1660/1.18-X2375*'Mark Up Validation'!$S$105</f>
        <v>0</v>
      </c>
      <c r="Y3089" s="728"/>
      <c r="Z3089" s="68">
        <f>Z1660/1.18-Z2375*'Mark Up Validation'!$S$105</f>
        <v>0</v>
      </c>
      <c r="AA3089" s="728"/>
      <c r="AB3089" s="68">
        <f>AB1660/1.18-AB2375*'Mark Up Validation'!$S$105</f>
        <v>0</v>
      </c>
      <c r="AC3089" s="728"/>
      <c r="AD3089" s="68">
        <f>AD1660/1.18-AD2375*'Mark Up Validation'!$S$105</f>
        <v>0</v>
      </c>
      <c r="AE3089" s="728"/>
      <c r="AF3089" s="132">
        <f>SUM(T3089,V3089,X3089,Z3089,AB3089,AD3089)</f>
        <v>0</v>
      </c>
      <c r="AG3089" s="728"/>
      <c r="AH3089" s="133">
        <f>SUM(AF3089,R3089)</f>
        <v>0</v>
      </c>
      <c r="AI3089" s="728"/>
      <c r="AJ3089" s="65"/>
      <c r="AV3089" s="56"/>
    </row>
    <row r="3090" spans="1:48" ht="13.5" customHeight="1" outlineLevel="2" thickBot="1">
      <c r="B3090" s="82"/>
      <c r="C3090" s="1235"/>
      <c r="D3090" s="1235"/>
      <c r="E3090" s="85">
        <f>'Terms and Turnovers'!$AX$12</f>
        <v>0</v>
      </c>
      <c r="F3090" s="68">
        <f>F1661/1.18-F2376*'Mark Up Validation'!$M$105</f>
        <v>0</v>
      </c>
      <c r="G3090" s="106"/>
      <c r="H3090" s="68">
        <f>H1661/1.18-H2376*'Mark Up Validation'!$M$105</f>
        <v>0</v>
      </c>
      <c r="I3090" s="106"/>
      <c r="J3090" s="68">
        <f>J1661/1.18-J2376*'Mark Up Validation'!$M$105</f>
        <v>0</v>
      </c>
      <c r="K3090" s="106"/>
      <c r="L3090" s="68">
        <f>L1661/1.18-L2376*'Mark Up Validation'!$M$105</f>
        <v>0</v>
      </c>
      <c r="M3090" s="106"/>
      <c r="N3090" s="68">
        <f>N1661/1.18-N2376*'Mark Up Validation'!$M$105</f>
        <v>0</v>
      </c>
      <c r="O3090" s="106"/>
      <c r="P3090" s="68">
        <f>P1661/1.18-P2376*'Mark Up Validation'!$M$105</f>
        <v>0</v>
      </c>
      <c r="Q3090" s="107"/>
      <c r="R3090" s="135">
        <f>SUM(F3090,H3090,J3090,L3090,N3090,P3090)</f>
        <v>0</v>
      </c>
      <c r="S3090" s="107"/>
      <c r="T3090" s="68">
        <f>T1661/1.18-T2376*'Mark Up Validation'!$S$105</f>
        <v>0</v>
      </c>
      <c r="U3090" s="107"/>
      <c r="V3090" s="68">
        <f>V1661/1.18-V2376*'Mark Up Validation'!$S$105</f>
        <v>0</v>
      </c>
      <c r="W3090" s="107"/>
      <c r="X3090" s="68">
        <f>X1661/1.18-X2376*'Mark Up Validation'!$S$105</f>
        <v>0</v>
      </c>
      <c r="Y3090" s="107"/>
      <c r="Z3090" s="68">
        <f>Z1661/1.18-Z2376*'Mark Up Validation'!$S$105</f>
        <v>0</v>
      </c>
      <c r="AA3090" s="107"/>
      <c r="AB3090" s="68">
        <f>AB1661/1.18-AB2376*'Mark Up Validation'!$S$105</f>
        <v>0</v>
      </c>
      <c r="AC3090" s="107"/>
      <c r="AD3090" s="68">
        <f>AD1661/1.18-AD2376*'Mark Up Validation'!$S$105</f>
        <v>0</v>
      </c>
      <c r="AE3090" s="107"/>
      <c r="AF3090" s="135">
        <f>SUM(T3090,V3090,X3090,Z3090,AB3090,AD3090)</f>
        <v>0</v>
      </c>
      <c r="AG3090" s="107"/>
      <c r="AH3090" s="136">
        <f>SUM(AF3090,R3090)</f>
        <v>0</v>
      </c>
      <c r="AI3090" s="107"/>
      <c r="AJ3090" s="65"/>
      <c r="AV3090" s="56"/>
    </row>
    <row r="3091" spans="1:48" ht="13.5" customHeight="1" outlineLevel="2">
      <c r="B3091" s="82"/>
      <c r="C3091" s="425"/>
      <c r="D3091" s="425"/>
      <c r="E3091" s="634"/>
      <c r="F3091" s="635"/>
      <c r="G3091" s="428"/>
      <c r="H3091" s="635"/>
      <c r="I3091" s="428"/>
      <c r="J3091" s="635"/>
      <c r="K3091" s="636"/>
      <c r="L3091" s="635"/>
      <c r="M3091" s="636"/>
      <c r="N3091" s="635"/>
      <c r="O3091" s="636"/>
      <c r="P3091" s="635"/>
      <c r="Q3091" s="636"/>
      <c r="R3091" s="637"/>
      <c r="S3091" s="698">
        <f>SUM(R2371:R2375)/1.18-(SUM(R3086:R3090)*'Mark Up Validation'!$M$105)</f>
        <v>0</v>
      </c>
      <c r="T3091" s="635"/>
      <c r="U3091" s="636"/>
      <c r="V3091" s="635"/>
      <c r="W3091" s="636"/>
      <c r="X3091" s="635"/>
      <c r="Y3091" s="636"/>
      <c r="Z3091" s="635"/>
      <c r="AA3091" s="636"/>
      <c r="AB3091" s="635"/>
      <c r="AC3091" s="636"/>
      <c r="AD3091" s="635"/>
      <c r="AE3091" s="636"/>
      <c r="AF3091" s="637"/>
      <c r="AG3091" s="698">
        <f>SUM(AF2371:AF2375)/1.18-SUM(AF3086:AF3090)*'Mark Up Validation'!$M$175</f>
        <v>0</v>
      </c>
      <c r="AH3091" s="638"/>
      <c r="AI3091" s="698">
        <f>SUM(AH2371:AH2375)/1.18-SUM(AH3086:AH3090)*'Mark Up Validation'!$M$175</f>
        <v>0</v>
      </c>
      <c r="AJ3091" s="65"/>
      <c r="AV3091" s="56"/>
    </row>
    <row r="3092" spans="1:48" ht="13.5" customHeight="1" outlineLevel="2" thickBot="1">
      <c r="A3092" s="119"/>
      <c r="B3092" s="82"/>
      <c r="C3092" s="1228" t="s">
        <v>539</v>
      </c>
      <c r="D3092" s="1229"/>
      <c r="E3092" s="699"/>
      <c r="F3092" s="700">
        <f>SUM(F3086:F3090)</f>
        <v>0</v>
      </c>
      <c r="G3092" s="701"/>
      <c r="H3092" s="700">
        <f>SUM(H3086:H3090)</f>
        <v>0</v>
      </c>
      <c r="I3092" s="701"/>
      <c r="J3092" s="700">
        <f>SUM(J3086:J3090)</f>
        <v>0</v>
      </c>
      <c r="K3092" s="702"/>
      <c r="L3092" s="700">
        <f>SUM(L3086:L3090)</f>
        <v>0</v>
      </c>
      <c r="M3092" s="702"/>
      <c r="N3092" s="700">
        <f>SUM(N3086:N3090)</f>
        <v>0</v>
      </c>
      <c r="O3092" s="702"/>
      <c r="P3092" s="700">
        <f>SUM(P3086:P3090)</f>
        <v>0</v>
      </c>
      <c r="Q3092" s="702"/>
      <c r="R3092" s="703"/>
      <c r="S3092" s="729">
        <f>IF(S3091&gt;0,S3091/(SUM(R2371:R2375)/1.18),0)</f>
        <v>0</v>
      </c>
      <c r="T3092" s="700">
        <f>SUM(T3086:T3090)</f>
        <v>0</v>
      </c>
      <c r="U3092" s="702"/>
      <c r="V3092" s="700">
        <f>SUM(V3086:V3090)</f>
        <v>0</v>
      </c>
      <c r="W3092" s="702"/>
      <c r="X3092" s="700">
        <f>SUM(X3086:X3090)</f>
        <v>0</v>
      </c>
      <c r="Y3092" s="702"/>
      <c r="Z3092" s="700">
        <f>SUM(Z3086:Z3090)</f>
        <v>0</v>
      </c>
      <c r="AA3092" s="702"/>
      <c r="AB3092" s="700">
        <f>SUM(AB3086:AB3090)</f>
        <v>0</v>
      </c>
      <c r="AC3092" s="702"/>
      <c r="AD3092" s="700">
        <f>SUM(AD3086:AD3090)</f>
        <v>0</v>
      </c>
      <c r="AE3092" s="702"/>
      <c r="AF3092" s="705"/>
      <c r="AG3092" s="729">
        <f>IF(AG3091&gt;0,AG3091/(SUM(AF2371:AF2375)/1.18),0)</f>
        <v>0</v>
      </c>
      <c r="AH3092" s="706"/>
      <c r="AI3092" s="729">
        <f>IF(AI3091&gt;0,AI3091/(SUM(AH2371:AH2375)/1.18),0)</f>
        <v>0</v>
      </c>
      <c r="AJ3092" s="707"/>
      <c r="AV3092" s="56"/>
    </row>
    <row r="3093" spans="1:48" ht="12.75" customHeight="1" outlineLevel="2" thickBot="1">
      <c r="B3093" s="82">
        <f>B3086+1</f>
        <v>31</v>
      </c>
      <c r="C3093" s="1233">
        <f>C223</f>
        <v>0</v>
      </c>
      <c r="D3093" s="1233">
        <f>D223</f>
        <v>0</v>
      </c>
      <c r="E3093" s="83" t="str">
        <f>'Terms and Turnovers'!$J$12</f>
        <v>FLIP-FLOPS</v>
      </c>
      <c r="F3093" s="68">
        <f>F1664/1.18-F2379*'Mark Up Validation'!$M$105</f>
        <v>0</v>
      </c>
      <c r="G3093" s="106"/>
      <c r="H3093" s="68">
        <f>H1664/1.18-H2379*'Mark Up Validation'!$M$105</f>
        <v>0</v>
      </c>
      <c r="I3093" s="106"/>
      <c r="J3093" s="68">
        <f>J1664/1.18-J2379*'Mark Up Validation'!$M$105</f>
        <v>0</v>
      </c>
      <c r="K3093" s="106"/>
      <c r="L3093" s="68">
        <f>L1664/1.18-L2379*'Mark Up Validation'!$M$105</f>
        <v>0</v>
      </c>
      <c r="M3093" s="106"/>
      <c r="N3093" s="68">
        <f>N1664/1.18-N2379*'Mark Up Validation'!$M$105</f>
        <v>0</v>
      </c>
      <c r="O3093" s="106"/>
      <c r="P3093" s="68">
        <f>P1664/1.18-P2379*'Mark Up Validation'!$M$105</f>
        <v>0</v>
      </c>
      <c r="Q3093" s="106"/>
      <c r="R3093" s="129">
        <f>SUM(F3093,H3093,J3093,L3093,N3093,P3093)</f>
        <v>0</v>
      </c>
      <c r="S3093" s="106"/>
      <c r="T3093" s="68">
        <f>T1664/1.18-T2379*'Mark Up Validation'!$S$105</f>
        <v>0</v>
      </c>
      <c r="U3093" s="106"/>
      <c r="V3093" s="68">
        <f>V1664/1.18-V2379*'Mark Up Validation'!$S$105</f>
        <v>0</v>
      </c>
      <c r="W3093" s="106"/>
      <c r="X3093" s="68">
        <f>X1664/1.18-X2379*'Mark Up Validation'!$S$105</f>
        <v>0</v>
      </c>
      <c r="Y3093" s="106"/>
      <c r="Z3093" s="68">
        <f>Z1664/1.18-Z2379*'Mark Up Validation'!$S$105</f>
        <v>0</v>
      </c>
      <c r="AA3093" s="106"/>
      <c r="AB3093" s="68">
        <f>AB1664/1.18-AB2379*'Mark Up Validation'!$S$105</f>
        <v>0</v>
      </c>
      <c r="AC3093" s="106"/>
      <c r="AD3093" s="68">
        <f>AD1664/1.18-AD2379*'Mark Up Validation'!$S$105</f>
        <v>0</v>
      </c>
      <c r="AE3093" s="106"/>
      <c r="AF3093" s="129">
        <f>SUM(T3093,V3093,X3093,Z3093,AB3093,AD3093)</f>
        <v>0</v>
      </c>
      <c r="AG3093" s="106"/>
      <c r="AH3093" s="130">
        <f>SUM(AF3093,R3093)</f>
        <v>0</v>
      </c>
      <c r="AI3093" s="106"/>
      <c r="AJ3093" s="65"/>
      <c r="AV3093" s="56"/>
    </row>
    <row r="3094" spans="1:48" ht="12.75" customHeight="1" outlineLevel="2" thickBot="1">
      <c r="B3094" s="82"/>
      <c r="C3094" s="1234"/>
      <c r="D3094" s="1234"/>
      <c r="E3094" s="84" t="str">
        <f>'Terms and Turnovers'!$T$12</f>
        <v>ORIGINALS</v>
      </c>
      <c r="F3094" s="68">
        <f>F1665/1.18-F2380*'Mark Up Validation'!$M$105</f>
        <v>0</v>
      </c>
      <c r="G3094" s="728"/>
      <c r="H3094" s="68">
        <f>H1665/1.18-H2380*'Mark Up Validation'!$M$105</f>
        <v>0</v>
      </c>
      <c r="I3094" s="728"/>
      <c r="J3094" s="68">
        <f>J1665/1.18-J2380*'Mark Up Validation'!$M$105</f>
        <v>0</v>
      </c>
      <c r="K3094" s="728"/>
      <c r="L3094" s="68">
        <f>L1665/1.18-L2380*'Mark Up Validation'!$M$105</f>
        <v>0</v>
      </c>
      <c r="M3094" s="728"/>
      <c r="N3094" s="68">
        <f>N1665/1.18-N2380*'Mark Up Validation'!$M$105</f>
        <v>0</v>
      </c>
      <c r="O3094" s="728"/>
      <c r="P3094" s="68">
        <f>P1665/1.18-P2380*'Mark Up Validation'!$M$105</f>
        <v>0</v>
      </c>
      <c r="Q3094" s="728"/>
      <c r="R3094" s="132">
        <f>SUM(F3094,H3094,J3094,L3094,N3094,P3094)</f>
        <v>0</v>
      </c>
      <c r="S3094" s="728"/>
      <c r="T3094" s="68">
        <f>T1665/1.18-T2380*'Mark Up Validation'!$S$105</f>
        <v>0</v>
      </c>
      <c r="U3094" s="728"/>
      <c r="V3094" s="68">
        <f>V1665/1.18-V2380*'Mark Up Validation'!$S$105</f>
        <v>0</v>
      </c>
      <c r="W3094" s="728"/>
      <c r="X3094" s="68">
        <f>X1665/1.18-X2380*'Mark Up Validation'!$S$105</f>
        <v>0</v>
      </c>
      <c r="Y3094" s="728"/>
      <c r="Z3094" s="68">
        <f>Z1665/1.18-Z2380*'Mark Up Validation'!$S$105</f>
        <v>0</v>
      </c>
      <c r="AA3094" s="728"/>
      <c r="AB3094" s="68">
        <f>AB1665/1.18-AB2380*'Mark Up Validation'!$S$105</f>
        <v>0</v>
      </c>
      <c r="AC3094" s="728"/>
      <c r="AD3094" s="68">
        <f>AD1665/1.18-AD2380*'Mark Up Validation'!$S$105</f>
        <v>0</v>
      </c>
      <c r="AE3094" s="728"/>
      <c r="AF3094" s="132">
        <f>SUM(T3094,V3094,X3094,Z3094,AB3094,AD3094)</f>
        <v>0</v>
      </c>
      <c r="AG3094" s="728"/>
      <c r="AH3094" s="133">
        <f>SUM(AF3094,R3094)</f>
        <v>0</v>
      </c>
      <c r="AI3094" s="728"/>
      <c r="AJ3094" s="65"/>
      <c r="AV3094" s="56"/>
    </row>
    <row r="3095" spans="1:48" ht="12.75" customHeight="1" outlineLevel="2" thickBot="1">
      <c r="B3095" s="82"/>
      <c r="C3095" s="1234"/>
      <c r="D3095" s="1234"/>
      <c r="E3095" s="84" t="str">
        <f>'Terms and Turnovers'!$AD$12</f>
        <v>ACCESSORIES</v>
      </c>
      <c r="F3095" s="68">
        <f>F1666/1.18-F2381*'Mark Up Validation'!$M$105</f>
        <v>0</v>
      </c>
      <c r="G3095" s="106"/>
      <c r="H3095" s="68">
        <f>H1666/1.18-H2381*'Mark Up Validation'!$M$105</f>
        <v>0</v>
      </c>
      <c r="I3095" s="106"/>
      <c r="J3095" s="68">
        <f>J1666/1.18-J2381*'Mark Up Validation'!$M$105</f>
        <v>0</v>
      </c>
      <c r="K3095" s="106"/>
      <c r="L3095" s="68">
        <f>L1666/1.18-L2381*'Mark Up Validation'!$M$105</f>
        <v>0</v>
      </c>
      <c r="M3095" s="106"/>
      <c r="N3095" s="68">
        <f>N1666/1.18-N2381*'Mark Up Validation'!$M$105</f>
        <v>0</v>
      </c>
      <c r="O3095" s="106"/>
      <c r="P3095" s="68">
        <f>P1666/1.18-P2381*'Mark Up Validation'!$M$105</f>
        <v>0</v>
      </c>
      <c r="Q3095" s="728"/>
      <c r="R3095" s="132">
        <f>SUM(F3095,H3095,J3095,L3095,N3095,P3095)</f>
        <v>0</v>
      </c>
      <c r="S3095" s="728"/>
      <c r="T3095" s="68">
        <f>T1666/1.18-T2381*'Mark Up Validation'!$S$105</f>
        <v>0</v>
      </c>
      <c r="U3095" s="728"/>
      <c r="V3095" s="68">
        <f>V1666/1.18-V2381*'Mark Up Validation'!$S$105</f>
        <v>0</v>
      </c>
      <c r="W3095" s="728"/>
      <c r="X3095" s="68">
        <f>X1666/1.18-X2381*'Mark Up Validation'!$S$105</f>
        <v>0</v>
      </c>
      <c r="Y3095" s="728"/>
      <c r="Z3095" s="68">
        <f>Z1666/1.18-Z2381*'Mark Up Validation'!$S$105</f>
        <v>0</v>
      </c>
      <c r="AA3095" s="728"/>
      <c r="AB3095" s="68">
        <f>AB1666/1.18-AB2381*'Mark Up Validation'!$S$105</f>
        <v>0</v>
      </c>
      <c r="AC3095" s="728"/>
      <c r="AD3095" s="68">
        <f>AD1666/1.18-AD2381*'Mark Up Validation'!$S$105</f>
        <v>0</v>
      </c>
      <c r="AE3095" s="728"/>
      <c r="AF3095" s="132">
        <f>SUM(T3095,V3095,X3095,Z3095,AB3095,AD3095)</f>
        <v>0</v>
      </c>
      <c r="AG3095" s="728"/>
      <c r="AH3095" s="133">
        <f>SUM(AF3095,R3095)</f>
        <v>0</v>
      </c>
      <c r="AI3095" s="728"/>
      <c r="AJ3095" s="65"/>
      <c r="AV3095" s="56"/>
    </row>
    <row r="3096" spans="1:48" ht="12.75" customHeight="1" outlineLevel="2" thickBot="1">
      <c r="B3096" s="82"/>
      <c r="C3096" s="1234"/>
      <c r="D3096" s="1234"/>
      <c r="E3096" s="84">
        <f>'Terms and Turnovers'!$AN$12</f>
        <v>0</v>
      </c>
      <c r="F3096" s="68">
        <f>F1667/1.18-F2382*'Mark Up Validation'!$M$105</f>
        <v>0</v>
      </c>
      <c r="G3096" s="728"/>
      <c r="H3096" s="68">
        <f>H1667/1.18-H2382*'Mark Up Validation'!$M$105</f>
        <v>0</v>
      </c>
      <c r="I3096" s="728"/>
      <c r="J3096" s="68">
        <f>J1667/1.18-J2382*'Mark Up Validation'!$M$105</f>
        <v>0</v>
      </c>
      <c r="K3096" s="728"/>
      <c r="L3096" s="68">
        <f>L1667/1.18-L2382*'Mark Up Validation'!$M$105</f>
        <v>0</v>
      </c>
      <c r="M3096" s="728"/>
      <c r="N3096" s="68">
        <f>N1667/1.18-N2382*'Mark Up Validation'!$M$105</f>
        <v>0</v>
      </c>
      <c r="O3096" s="728"/>
      <c r="P3096" s="68">
        <f>P1667/1.18-P2382*'Mark Up Validation'!$M$105</f>
        <v>0</v>
      </c>
      <c r="Q3096" s="728"/>
      <c r="R3096" s="132">
        <f>SUM(F3096,H3096,J3096,L3096,N3096,P3096)</f>
        <v>0</v>
      </c>
      <c r="S3096" s="728"/>
      <c r="T3096" s="68">
        <f>T1667/1.18-T2382*'Mark Up Validation'!$S$105</f>
        <v>0</v>
      </c>
      <c r="U3096" s="728"/>
      <c r="V3096" s="68">
        <f>V1667/1.18-V2382*'Mark Up Validation'!$S$105</f>
        <v>0</v>
      </c>
      <c r="W3096" s="728"/>
      <c r="X3096" s="68">
        <f>X1667/1.18-X2382*'Mark Up Validation'!$S$105</f>
        <v>0</v>
      </c>
      <c r="Y3096" s="728"/>
      <c r="Z3096" s="68">
        <f>Z1667/1.18-Z2382*'Mark Up Validation'!$S$105</f>
        <v>0</v>
      </c>
      <c r="AA3096" s="728"/>
      <c r="AB3096" s="68">
        <f>AB1667/1.18-AB2382*'Mark Up Validation'!$S$105</f>
        <v>0</v>
      </c>
      <c r="AC3096" s="728"/>
      <c r="AD3096" s="68">
        <f>AD1667/1.18-AD2382*'Mark Up Validation'!$S$105</f>
        <v>0</v>
      </c>
      <c r="AE3096" s="728"/>
      <c r="AF3096" s="132">
        <f>SUM(T3096,V3096,X3096,Z3096,AB3096,AD3096)</f>
        <v>0</v>
      </c>
      <c r="AG3096" s="728"/>
      <c r="AH3096" s="133">
        <f>SUM(AF3096,R3096)</f>
        <v>0</v>
      </c>
      <c r="AI3096" s="728"/>
      <c r="AJ3096" s="65"/>
      <c r="AV3096" s="56"/>
    </row>
    <row r="3097" spans="1:48" ht="13.5" customHeight="1" outlineLevel="2" thickBot="1">
      <c r="B3097" s="82"/>
      <c r="C3097" s="1235"/>
      <c r="D3097" s="1235"/>
      <c r="E3097" s="85">
        <f>'Terms and Turnovers'!$AX$12</f>
        <v>0</v>
      </c>
      <c r="F3097" s="68">
        <f>F1668/1.18-F2383*'Mark Up Validation'!$M$105</f>
        <v>0</v>
      </c>
      <c r="G3097" s="106"/>
      <c r="H3097" s="68">
        <f>H1668/1.18-H2383*'Mark Up Validation'!$M$105</f>
        <v>0</v>
      </c>
      <c r="I3097" s="106"/>
      <c r="J3097" s="68">
        <f>J1668/1.18-J2383*'Mark Up Validation'!$M$105</f>
        <v>0</v>
      </c>
      <c r="K3097" s="106"/>
      <c r="L3097" s="68">
        <f>L1668/1.18-L2383*'Mark Up Validation'!$M$105</f>
        <v>0</v>
      </c>
      <c r="M3097" s="106"/>
      <c r="N3097" s="68">
        <f>N1668/1.18-N2383*'Mark Up Validation'!$M$105</f>
        <v>0</v>
      </c>
      <c r="O3097" s="106"/>
      <c r="P3097" s="68">
        <f>P1668/1.18-P2383*'Mark Up Validation'!$M$105</f>
        <v>0</v>
      </c>
      <c r="Q3097" s="107"/>
      <c r="R3097" s="135">
        <f>SUM(F3097,H3097,J3097,L3097,N3097,P3097)</f>
        <v>0</v>
      </c>
      <c r="S3097" s="107"/>
      <c r="T3097" s="68">
        <f>T1668/1.18-T2383*'Mark Up Validation'!$S$105</f>
        <v>0</v>
      </c>
      <c r="U3097" s="107"/>
      <c r="V3097" s="68">
        <f>V1668/1.18-V2383*'Mark Up Validation'!$S$105</f>
        <v>0</v>
      </c>
      <c r="W3097" s="107"/>
      <c r="X3097" s="68">
        <f>X1668/1.18-X2383*'Mark Up Validation'!$S$105</f>
        <v>0</v>
      </c>
      <c r="Y3097" s="107"/>
      <c r="Z3097" s="68">
        <f>Z1668/1.18-Z2383*'Mark Up Validation'!$S$105</f>
        <v>0</v>
      </c>
      <c r="AA3097" s="107"/>
      <c r="AB3097" s="68">
        <f>AB1668/1.18-AB2383*'Mark Up Validation'!$S$105</f>
        <v>0</v>
      </c>
      <c r="AC3097" s="107"/>
      <c r="AD3097" s="68">
        <f>AD1668/1.18-AD2383*'Mark Up Validation'!$S$105</f>
        <v>0</v>
      </c>
      <c r="AE3097" s="107"/>
      <c r="AF3097" s="135">
        <f>SUM(T3097,V3097,X3097,Z3097,AB3097,AD3097)</f>
        <v>0</v>
      </c>
      <c r="AG3097" s="107"/>
      <c r="AH3097" s="136">
        <f>SUM(AF3097,R3097)</f>
        <v>0</v>
      </c>
      <c r="AI3097" s="107"/>
      <c r="AJ3097" s="65"/>
      <c r="AV3097" s="56"/>
    </row>
    <row r="3098" spans="1:48" ht="13.5" customHeight="1" outlineLevel="2">
      <c r="B3098" s="82"/>
      <c r="C3098" s="425"/>
      <c r="D3098" s="425"/>
      <c r="E3098" s="634"/>
      <c r="F3098" s="635"/>
      <c r="G3098" s="428"/>
      <c r="H3098" s="635"/>
      <c r="I3098" s="428"/>
      <c r="J3098" s="635"/>
      <c r="K3098" s="636"/>
      <c r="L3098" s="635"/>
      <c r="M3098" s="636"/>
      <c r="N3098" s="635"/>
      <c r="O3098" s="636"/>
      <c r="P3098" s="635"/>
      <c r="Q3098" s="636"/>
      <c r="R3098" s="637"/>
      <c r="S3098" s="698">
        <f>SUM(R2378:R2382)/1.18-(SUM(R3093:R3097)*'Mark Up Validation'!$M$105)</f>
        <v>0</v>
      </c>
      <c r="T3098" s="635"/>
      <c r="U3098" s="636"/>
      <c r="V3098" s="635"/>
      <c r="W3098" s="636"/>
      <c r="X3098" s="635"/>
      <c r="Y3098" s="636"/>
      <c r="Z3098" s="635"/>
      <c r="AA3098" s="636"/>
      <c r="AB3098" s="635"/>
      <c r="AC3098" s="636"/>
      <c r="AD3098" s="635"/>
      <c r="AE3098" s="636"/>
      <c r="AF3098" s="637"/>
      <c r="AG3098" s="698">
        <f>SUM(AF2378:AF2382)/1.18-SUM(AF3093:AF3097)*'Mark Up Validation'!$M$175</f>
        <v>0</v>
      </c>
      <c r="AH3098" s="638"/>
      <c r="AI3098" s="698">
        <f>SUM(AH2378:AH2382)/1.18-SUM(AH3093:AH3097)*'Mark Up Validation'!$M$175</f>
        <v>0</v>
      </c>
      <c r="AJ3098" s="65"/>
      <c r="AV3098" s="56"/>
    </row>
    <row r="3099" spans="1:48" ht="13.5" customHeight="1" outlineLevel="2" thickBot="1">
      <c r="A3099" s="119"/>
      <c r="B3099" s="82"/>
      <c r="C3099" s="1228" t="s">
        <v>539</v>
      </c>
      <c r="D3099" s="1229"/>
      <c r="E3099" s="699"/>
      <c r="F3099" s="700">
        <f>SUM(F3093:F3097)</f>
        <v>0</v>
      </c>
      <c r="G3099" s="701"/>
      <c r="H3099" s="700">
        <f>SUM(H3093:H3097)</f>
        <v>0</v>
      </c>
      <c r="I3099" s="701"/>
      <c r="J3099" s="700">
        <f>SUM(J3093:J3097)</f>
        <v>0</v>
      </c>
      <c r="K3099" s="702"/>
      <c r="L3099" s="700">
        <f>SUM(L3093:L3097)</f>
        <v>0</v>
      </c>
      <c r="M3099" s="702"/>
      <c r="N3099" s="700">
        <f>SUM(N3093:N3097)</f>
        <v>0</v>
      </c>
      <c r="O3099" s="702"/>
      <c r="P3099" s="700">
        <f>SUM(P3093:P3097)</f>
        <v>0</v>
      </c>
      <c r="Q3099" s="702"/>
      <c r="R3099" s="703"/>
      <c r="S3099" s="729">
        <f>IF(S3098&gt;0,S3098/(SUM(R2378:R2382)/1.18),0)</f>
        <v>0</v>
      </c>
      <c r="T3099" s="700">
        <f>SUM(T3093:T3097)</f>
        <v>0</v>
      </c>
      <c r="U3099" s="702"/>
      <c r="V3099" s="700">
        <f>SUM(V3093:V3097)</f>
        <v>0</v>
      </c>
      <c r="W3099" s="702"/>
      <c r="X3099" s="700">
        <f>SUM(X3093:X3097)</f>
        <v>0</v>
      </c>
      <c r="Y3099" s="702"/>
      <c r="Z3099" s="700">
        <f>SUM(Z3093:Z3097)</f>
        <v>0</v>
      </c>
      <c r="AA3099" s="702"/>
      <c r="AB3099" s="700">
        <f>SUM(AB3093:AB3097)</f>
        <v>0</v>
      </c>
      <c r="AC3099" s="702"/>
      <c r="AD3099" s="700">
        <f>SUM(AD3093:AD3097)</f>
        <v>0</v>
      </c>
      <c r="AE3099" s="702"/>
      <c r="AF3099" s="705"/>
      <c r="AG3099" s="729">
        <f>IF(AG3098&gt;0,AG3098/(SUM(AF2378:AF2382)/1.18),0)</f>
        <v>0</v>
      </c>
      <c r="AH3099" s="706"/>
      <c r="AI3099" s="729">
        <f>IF(AI3098&gt;0,AI3098/(SUM(AH2378:AH2382)/1.18),0)</f>
        <v>0</v>
      </c>
      <c r="AJ3099" s="707"/>
      <c r="AV3099" s="56"/>
    </row>
    <row r="3100" spans="1:48" ht="12.75" customHeight="1" outlineLevel="2" thickBot="1">
      <c r="B3100" s="82">
        <f>B3093+1</f>
        <v>32</v>
      </c>
      <c r="C3100" s="1233">
        <f>C230</f>
        <v>0</v>
      </c>
      <c r="D3100" s="1233">
        <f>D230</f>
        <v>0</v>
      </c>
      <c r="E3100" s="83" t="str">
        <f>'Terms and Turnovers'!$J$12</f>
        <v>FLIP-FLOPS</v>
      </c>
      <c r="F3100" s="68">
        <f>F1671/1.18-F2386*'Mark Up Validation'!$M$105</f>
        <v>0</v>
      </c>
      <c r="G3100" s="106"/>
      <c r="H3100" s="68">
        <f>H1671/1.18-H2386*'Mark Up Validation'!$M$105</f>
        <v>0</v>
      </c>
      <c r="I3100" s="106"/>
      <c r="J3100" s="68">
        <f>J1671/1.18-J2386*'Mark Up Validation'!$M$105</f>
        <v>0</v>
      </c>
      <c r="K3100" s="106"/>
      <c r="L3100" s="68">
        <f>L1671/1.18-L2386*'Mark Up Validation'!$M$105</f>
        <v>0</v>
      </c>
      <c r="M3100" s="106"/>
      <c r="N3100" s="68">
        <f>N1671/1.18-N2386*'Mark Up Validation'!$M$105</f>
        <v>0</v>
      </c>
      <c r="O3100" s="106"/>
      <c r="P3100" s="68">
        <f>P1671/1.18-P2386*'Mark Up Validation'!$M$105</f>
        <v>0</v>
      </c>
      <c r="Q3100" s="106"/>
      <c r="R3100" s="129">
        <f>SUM(F3100,H3100,J3100,L3100,N3100,P3100)</f>
        <v>0</v>
      </c>
      <c r="S3100" s="106"/>
      <c r="T3100" s="68">
        <f>T1671/1.18-T2386*'Mark Up Validation'!$S$105</f>
        <v>0</v>
      </c>
      <c r="U3100" s="106"/>
      <c r="V3100" s="68">
        <f>V1671/1.18-V2386*'Mark Up Validation'!$S$105</f>
        <v>0</v>
      </c>
      <c r="W3100" s="106"/>
      <c r="X3100" s="68">
        <f>X1671/1.18-X2386*'Mark Up Validation'!$S$105</f>
        <v>0</v>
      </c>
      <c r="Y3100" s="106"/>
      <c r="Z3100" s="68">
        <f>Z1671/1.18-Z2386*'Mark Up Validation'!$S$105</f>
        <v>0</v>
      </c>
      <c r="AA3100" s="106"/>
      <c r="AB3100" s="68">
        <f>AB1671/1.18-AB2386*'Mark Up Validation'!$S$105</f>
        <v>0</v>
      </c>
      <c r="AC3100" s="106"/>
      <c r="AD3100" s="68">
        <f>AD1671/1.18-AD2386*'Mark Up Validation'!$S$105</f>
        <v>0</v>
      </c>
      <c r="AE3100" s="106"/>
      <c r="AF3100" s="129">
        <f>SUM(T3100,V3100,X3100,Z3100,AB3100,AD3100)</f>
        <v>0</v>
      </c>
      <c r="AG3100" s="106"/>
      <c r="AH3100" s="130">
        <f>SUM(AF3100,R3100)</f>
        <v>0</v>
      </c>
      <c r="AI3100" s="106"/>
      <c r="AJ3100" s="65"/>
      <c r="AV3100" s="56"/>
    </row>
    <row r="3101" spans="1:48" ht="12.75" customHeight="1" outlineLevel="2" thickBot="1">
      <c r="B3101" s="82"/>
      <c r="C3101" s="1234"/>
      <c r="D3101" s="1234"/>
      <c r="E3101" s="84" t="str">
        <f>'Terms and Turnovers'!$T$12</f>
        <v>ORIGINALS</v>
      </c>
      <c r="F3101" s="68">
        <f>F1672/1.18-F2387*'Mark Up Validation'!$M$105</f>
        <v>0</v>
      </c>
      <c r="G3101" s="728"/>
      <c r="H3101" s="68">
        <f>H1672/1.18-H2387*'Mark Up Validation'!$M$105</f>
        <v>0</v>
      </c>
      <c r="I3101" s="728"/>
      <c r="J3101" s="68">
        <f>J1672/1.18-J2387*'Mark Up Validation'!$M$105</f>
        <v>0</v>
      </c>
      <c r="K3101" s="728"/>
      <c r="L3101" s="68">
        <f>L1672/1.18-L2387*'Mark Up Validation'!$M$105</f>
        <v>0</v>
      </c>
      <c r="M3101" s="728"/>
      <c r="N3101" s="68">
        <f>N1672/1.18-N2387*'Mark Up Validation'!$M$105</f>
        <v>0</v>
      </c>
      <c r="O3101" s="728"/>
      <c r="P3101" s="68">
        <f>P1672/1.18-P2387*'Mark Up Validation'!$M$105</f>
        <v>0</v>
      </c>
      <c r="Q3101" s="728"/>
      <c r="R3101" s="132">
        <f>SUM(F3101,H3101,J3101,L3101,N3101,P3101)</f>
        <v>0</v>
      </c>
      <c r="S3101" s="728"/>
      <c r="T3101" s="68">
        <f>T1672/1.18-T2387*'Mark Up Validation'!$S$105</f>
        <v>0</v>
      </c>
      <c r="U3101" s="728"/>
      <c r="V3101" s="68">
        <f>V1672/1.18-V2387*'Mark Up Validation'!$S$105</f>
        <v>0</v>
      </c>
      <c r="W3101" s="728"/>
      <c r="X3101" s="68">
        <f>X1672/1.18-X2387*'Mark Up Validation'!$S$105</f>
        <v>0</v>
      </c>
      <c r="Y3101" s="728"/>
      <c r="Z3101" s="68">
        <f>Z1672/1.18-Z2387*'Mark Up Validation'!$S$105</f>
        <v>0</v>
      </c>
      <c r="AA3101" s="728"/>
      <c r="AB3101" s="68">
        <f>AB1672/1.18-AB2387*'Mark Up Validation'!$S$105</f>
        <v>0</v>
      </c>
      <c r="AC3101" s="728"/>
      <c r="AD3101" s="68">
        <f>AD1672/1.18-AD2387*'Mark Up Validation'!$S$105</f>
        <v>0</v>
      </c>
      <c r="AE3101" s="728"/>
      <c r="AF3101" s="132">
        <f>SUM(T3101,V3101,X3101,Z3101,AB3101,AD3101)</f>
        <v>0</v>
      </c>
      <c r="AG3101" s="728"/>
      <c r="AH3101" s="133">
        <f>SUM(AF3101,R3101)</f>
        <v>0</v>
      </c>
      <c r="AI3101" s="728"/>
      <c r="AJ3101" s="65"/>
      <c r="AV3101" s="56"/>
    </row>
    <row r="3102" spans="1:48" ht="12.75" customHeight="1" outlineLevel="2" thickBot="1">
      <c r="B3102" s="82"/>
      <c r="C3102" s="1234"/>
      <c r="D3102" s="1234"/>
      <c r="E3102" s="84" t="str">
        <f>'Terms and Turnovers'!$AD$12</f>
        <v>ACCESSORIES</v>
      </c>
      <c r="F3102" s="68">
        <f>F1673/1.18-F2388*'Mark Up Validation'!$M$105</f>
        <v>0</v>
      </c>
      <c r="G3102" s="106"/>
      <c r="H3102" s="68">
        <f>H1673/1.18-H2388*'Mark Up Validation'!$M$105</f>
        <v>0</v>
      </c>
      <c r="I3102" s="106"/>
      <c r="J3102" s="68">
        <f>J1673/1.18-J2388*'Mark Up Validation'!$M$105</f>
        <v>0</v>
      </c>
      <c r="K3102" s="106"/>
      <c r="L3102" s="68">
        <f>L1673/1.18-L2388*'Mark Up Validation'!$M$105</f>
        <v>0</v>
      </c>
      <c r="M3102" s="106"/>
      <c r="N3102" s="68">
        <f>N1673/1.18-N2388*'Mark Up Validation'!$M$105</f>
        <v>0</v>
      </c>
      <c r="O3102" s="106"/>
      <c r="P3102" s="68">
        <f>P1673/1.18-P2388*'Mark Up Validation'!$M$105</f>
        <v>0</v>
      </c>
      <c r="Q3102" s="728"/>
      <c r="R3102" s="132">
        <f>SUM(F3102,H3102,J3102,L3102,N3102,P3102)</f>
        <v>0</v>
      </c>
      <c r="S3102" s="728"/>
      <c r="T3102" s="68">
        <f>T1673/1.18-T2388*'Mark Up Validation'!$S$105</f>
        <v>0</v>
      </c>
      <c r="U3102" s="728"/>
      <c r="V3102" s="68">
        <f>V1673/1.18-V2388*'Mark Up Validation'!$S$105</f>
        <v>0</v>
      </c>
      <c r="W3102" s="728"/>
      <c r="X3102" s="68">
        <f>X1673/1.18-X2388*'Mark Up Validation'!$S$105</f>
        <v>0</v>
      </c>
      <c r="Y3102" s="728"/>
      <c r="Z3102" s="68">
        <f>Z1673/1.18-Z2388*'Mark Up Validation'!$S$105</f>
        <v>0</v>
      </c>
      <c r="AA3102" s="728"/>
      <c r="AB3102" s="68">
        <f>AB1673/1.18-AB2388*'Mark Up Validation'!$S$105</f>
        <v>0</v>
      </c>
      <c r="AC3102" s="728"/>
      <c r="AD3102" s="68">
        <f>AD1673/1.18-AD2388*'Mark Up Validation'!$S$105</f>
        <v>0</v>
      </c>
      <c r="AE3102" s="728"/>
      <c r="AF3102" s="132">
        <f>SUM(T3102,V3102,X3102,Z3102,AB3102,AD3102)</f>
        <v>0</v>
      </c>
      <c r="AG3102" s="728"/>
      <c r="AH3102" s="133">
        <f>SUM(AF3102,R3102)</f>
        <v>0</v>
      </c>
      <c r="AI3102" s="728"/>
      <c r="AJ3102" s="65"/>
      <c r="AV3102" s="56"/>
    </row>
    <row r="3103" spans="1:48" ht="12.75" customHeight="1" outlineLevel="2" thickBot="1">
      <c r="B3103" s="82"/>
      <c r="C3103" s="1234"/>
      <c r="D3103" s="1234"/>
      <c r="E3103" s="84">
        <f>'Terms and Turnovers'!$AN$12</f>
        <v>0</v>
      </c>
      <c r="F3103" s="68">
        <f>F1674/1.18-F2389*'Mark Up Validation'!$M$105</f>
        <v>0</v>
      </c>
      <c r="G3103" s="728"/>
      <c r="H3103" s="68">
        <f>H1674/1.18-H2389*'Mark Up Validation'!$M$105</f>
        <v>0</v>
      </c>
      <c r="I3103" s="728"/>
      <c r="J3103" s="68">
        <f>J1674/1.18-J2389*'Mark Up Validation'!$M$105</f>
        <v>0</v>
      </c>
      <c r="K3103" s="728"/>
      <c r="L3103" s="68">
        <f>L1674/1.18-L2389*'Mark Up Validation'!$M$105</f>
        <v>0</v>
      </c>
      <c r="M3103" s="728"/>
      <c r="N3103" s="68">
        <f>N1674/1.18-N2389*'Mark Up Validation'!$M$105</f>
        <v>0</v>
      </c>
      <c r="O3103" s="728"/>
      <c r="P3103" s="68">
        <f>P1674/1.18-P2389*'Mark Up Validation'!$M$105</f>
        <v>0</v>
      </c>
      <c r="Q3103" s="728"/>
      <c r="R3103" s="132">
        <f>SUM(F3103,H3103,J3103,L3103,N3103,P3103)</f>
        <v>0</v>
      </c>
      <c r="S3103" s="728"/>
      <c r="T3103" s="68">
        <f>T1674/1.18-T2389*'Mark Up Validation'!$S$105</f>
        <v>0</v>
      </c>
      <c r="U3103" s="728"/>
      <c r="V3103" s="68">
        <f>V1674/1.18-V2389*'Mark Up Validation'!$S$105</f>
        <v>0</v>
      </c>
      <c r="W3103" s="728"/>
      <c r="X3103" s="68">
        <f>X1674/1.18-X2389*'Mark Up Validation'!$S$105</f>
        <v>0</v>
      </c>
      <c r="Y3103" s="728"/>
      <c r="Z3103" s="68">
        <f>Z1674/1.18-Z2389*'Mark Up Validation'!$S$105</f>
        <v>0</v>
      </c>
      <c r="AA3103" s="728"/>
      <c r="AB3103" s="68">
        <f>AB1674/1.18-AB2389*'Mark Up Validation'!$S$105</f>
        <v>0</v>
      </c>
      <c r="AC3103" s="728"/>
      <c r="AD3103" s="68">
        <f>AD1674/1.18-AD2389*'Mark Up Validation'!$S$105</f>
        <v>0</v>
      </c>
      <c r="AE3103" s="728"/>
      <c r="AF3103" s="132">
        <f>SUM(T3103,V3103,X3103,Z3103,AB3103,AD3103)</f>
        <v>0</v>
      </c>
      <c r="AG3103" s="728"/>
      <c r="AH3103" s="133">
        <f>SUM(AF3103,R3103)</f>
        <v>0</v>
      </c>
      <c r="AI3103" s="728"/>
      <c r="AJ3103" s="65"/>
      <c r="AV3103" s="56"/>
    </row>
    <row r="3104" spans="1:48" ht="13.5" customHeight="1" outlineLevel="2" thickBot="1">
      <c r="B3104" s="82"/>
      <c r="C3104" s="1235"/>
      <c r="D3104" s="1235"/>
      <c r="E3104" s="85">
        <f>'Terms and Turnovers'!$AX$12</f>
        <v>0</v>
      </c>
      <c r="F3104" s="68">
        <f>F1675/1.18-F2390*'Mark Up Validation'!$M$105</f>
        <v>0</v>
      </c>
      <c r="G3104" s="106"/>
      <c r="H3104" s="68">
        <f>H1675/1.18-H2390*'Mark Up Validation'!$M$105</f>
        <v>0</v>
      </c>
      <c r="I3104" s="106"/>
      <c r="J3104" s="68">
        <f>J1675/1.18-J2390*'Mark Up Validation'!$M$105</f>
        <v>0</v>
      </c>
      <c r="K3104" s="106"/>
      <c r="L3104" s="68">
        <f>L1675/1.18-L2390*'Mark Up Validation'!$M$105</f>
        <v>0</v>
      </c>
      <c r="M3104" s="106"/>
      <c r="N3104" s="68">
        <f>N1675/1.18-N2390*'Mark Up Validation'!$M$105</f>
        <v>0</v>
      </c>
      <c r="O3104" s="106"/>
      <c r="P3104" s="68">
        <f>P1675/1.18-P2390*'Mark Up Validation'!$M$105</f>
        <v>0</v>
      </c>
      <c r="Q3104" s="107"/>
      <c r="R3104" s="135">
        <f>SUM(F3104,H3104,J3104,L3104,N3104,P3104)</f>
        <v>0</v>
      </c>
      <c r="S3104" s="107"/>
      <c r="T3104" s="68">
        <f>T1675/1.18-T2390*'Mark Up Validation'!$S$105</f>
        <v>0</v>
      </c>
      <c r="U3104" s="107"/>
      <c r="V3104" s="68">
        <f>V1675/1.18-V2390*'Mark Up Validation'!$S$105</f>
        <v>0</v>
      </c>
      <c r="W3104" s="107"/>
      <c r="X3104" s="68">
        <f>X1675/1.18-X2390*'Mark Up Validation'!$S$105</f>
        <v>0</v>
      </c>
      <c r="Y3104" s="107"/>
      <c r="Z3104" s="68">
        <f>Z1675/1.18-Z2390*'Mark Up Validation'!$S$105</f>
        <v>0</v>
      </c>
      <c r="AA3104" s="107"/>
      <c r="AB3104" s="68">
        <f>AB1675/1.18-AB2390*'Mark Up Validation'!$S$105</f>
        <v>0</v>
      </c>
      <c r="AC3104" s="107"/>
      <c r="AD3104" s="68">
        <f>AD1675/1.18-AD2390*'Mark Up Validation'!$S$105</f>
        <v>0</v>
      </c>
      <c r="AE3104" s="107"/>
      <c r="AF3104" s="135">
        <f>SUM(T3104,V3104,X3104,Z3104,AB3104,AD3104)</f>
        <v>0</v>
      </c>
      <c r="AG3104" s="107"/>
      <c r="AH3104" s="136">
        <f>SUM(AF3104,R3104)</f>
        <v>0</v>
      </c>
      <c r="AI3104" s="107"/>
      <c r="AJ3104" s="65"/>
      <c r="AV3104" s="56"/>
    </row>
    <row r="3105" spans="1:48" ht="13.5" customHeight="1" outlineLevel="2">
      <c r="B3105" s="82"/>
      <c r="C3105" s="425"/>
      <c r="D3105" s="425"/>
      <c r="E3105" s="634"/>
      <c r="F3105" s="635"/>
      <c r="G3105" s="428"/>
      <c r="H3105" s="635"/>
      <c r="I3105" s="428"/>
      <c r="J3105" s="635"/>
      <c r="K3105" s="636"/>
      <c r="L3105" s="635"/>
      <c r="M3105" s="636"/>
      <c r="N3105" s="635"/>
      <c r="O3105" s="636"/>
      <c r="P3105" s="635"/>
      <c r="Q3105" s="636"/>
      <c r="R3105" s="637"/>
      <c r="S3105" s="698">
        <f>SUM(R2385:R2389)/1.18-(SUM(R3100:R3104)*'Mark Up Validation'!$M$105)</f>
        <v>0</v>
      </c>
      <c r="T3105" s="635"/>
      <c r="U3105" s="636"/>
      <c r="V3105" s="635"/>
      <c r="W3105" s="636"/>
      <c r="X3105" s="635"/>
      <c r="Y3105" s="636"/>
      <c r="Z3105" s="635"/>
      <c r="AA3105" s="636"/>
      <c r="AB3105" s="635"/>
      <c r="AC3105" s="636"/>
      <c r="AD3105" s="635"/>
      <c r="AE3105" s="636"/>
      <c r="AF3105" s="637"/>
      <c r="AG3105" s="698">
        <f>SUM(AF2385:AF2389)/1.18-SUM(AF3100:AF3104)*'Mark Up Validation'!$M$175</f>
        <v>0</v>
      </c>
      <c r="AH3105" s="638"/>
      <c r="AI3105" s="698">
        <f>SUM(AH2385:AH2389)/1.18-SUM(AH3100:AH3104)*'Mark Up Validation'!$M$175</f>
        <v>0</v>
      </c>
      <c r="AJ3105" s="65"/>
      <c r="AV3105" s="56"/>
    </row>
    <row r="3106" spans="1:48" ht="13.5" customHeight="1" outlineLevel="2" thickBot="1">
      <c r="A3106" s="119"/>
      <c r="B3106" s="82"/>
      <c r="C3106" s="1228" t="s">
        <v>539</v>
      </c>
      <c r="D3106" s="1229"/>
      <c r="E3106" s="699"/>
      <c r="F3106" s="700">
        <f>SUM(F3100:F3104)</f>
        <v>0</v>
      </c>
      <c r="G3106" s="701"/>
      <c r="H3106" s="700">
        <f>SUM(H3100:H3104)</f>
        <v>0</v>
      </c>
      <c r="I3106" s="701"/>
      <c r="J3106" s="700">
        <f>SUM(J3100:J3104)</f>
        <v>0</v>
      </c>
      <c r="K3106" s="702"/>
      <c r="L3106" s="700">
        <f>SUM(L3100:L3104)</f>
        <v>0</v>
      </c>
      <c r="M3106" s="702"/>
      <c r="N3106" s="700">
        <f>SUM(N3100:N3104)</f>
        <v>0</v>
      </c>
      <c r="O3106" s="702"/>
      <c r="P3106" s="700">
        <f>SUM(P3100:P3104)</f>
        <v>0</v>
      </c>
      <c r="Q3106" s="702"/>
      <c r="R3106" s="703"/>
      <c r="S3106" s="729">
        <f>IF(S3105&gt;0,S3105/(SUM(R2385:R2389)/1.18),0)</f>
        <v>0</v>
      </c>
      <c r="T3106" s="700">
        <f>SUM(T3100:T3104)</f>
        <v>0</v>
      </c>
      <c r="U3106" s="702"/>
      <c r="V3106" s="700">
        <f>SUM(V3100:V3104)</f>
        <v>0</v>
      </c>
      <c r="W3106" s="702"/>
      <c r="X3106" s="700">
        <f>SUM(X3100:X3104)</f>
        <v>0</v>
      </c>
      <c r="Y3106" s="702"/>
      <c r="Z3106" s="700">
        <f>SUM(Z3100:Z3104)</f>
        <v>0</v>
      </c>
      <c r="AA3106" s="702"/>
      <c r="AB3106" s="700">
        <f>SUM(AB3100:AB3104)</f>
        <v>0</v>
      </c>
      <c r="AC3106" s="702"/>
      <c r="AD3106" s="700">
        <f>SUM(AD3100:AD3104)</f>
        <v>0</v>
      </c>
      <c r="AE3106" s="702"/>
      <c r="AF3106" s="705"/>
      <c r="AG3106" s="729">
        <f>IF(AG3105&gt;0,AG3105/(SUM(AF2385:AF2389)/1.18),0)</f>
        <v>0</v>
      </c>
      <c r="AH3106" s="706"/>
      <c r="AI3106" s="729">
        <f>IF(AI3105&gt;0,AI3105/(SUM(AH2385:AH2389)/1.18),0)</f>
        <v>0</v>
      </c>
      <c r="AJ3106" s="707"/>
      <c r="AV3106" s="56"/>
    </row>
    <row r="3107" spans="1:48" ht="12.75" customHeight="1" outlineLevel="2" thickBot="1">
      <c r="B3107" s="82">
        <f>B3100+1</f>
        <v>33</v>
      </c>
      <c r="C3107" s="1233">
        <f>C237</f>
        <v>0</v>
      </c>
      <c r="D3107" s="1233">
        <f>D237</f>
        <v>0</v>
      </c>
      <c r="E3107" s="83" t="str">
        <f>'Terms and Turnovers'!$J$12</f>
        <v>FLIP-FLOPS</v>
      </c>
      <c r="F3107" s="68">
        <f>F1678/1.18-F2393*'Mark Up Validation'!$M$105</f>
        <v>0</v>
      </c>
      <c r="G3107" s="106"/>
      <c r="H3107" s="68">
        <f>H1678/1.18-H2393*'Mark Up Validation'!$M$105</f>
        <v>0</v>
      </c>
      <c r="I3107" s="106"/>
      <c r="J3107" s="68">
        <f>J1678/1.18-J2393*'Mark Up Validation'!$M$105</f>
        <v>0</v>
      </c>
      <c r="K3107" s="106"/>
      <c r="L3107" s="68">
        <f>L1678/1.18-L2393*'Mark Up Validation'!$M$105</f>
        <v>0</v>
      </c>
      <c r="M3107" s="106"/>
      <c r="N3107" s="68">
        <f>N1678/1.18-N2393*'Mark Up Validation'!$M$105</f>
        <v>0</v>
      </c>
      <c r="O3107" s="106"/>
      <c r="P3107" s="68">
        <f>P1678/1.18-P2393*'Mark Up Validation'!$M$105</f>
        <v>0</v>
      </c>
      <c r="Q3107" s="106"/>
      <c r="R3107" s="129">
        <f>SUM(F3107,H3107,J3107,L3107,N3107,P3107)</f>
        <v>0</v>
      </c>
      <c r="S3107" s="106"/>
      <c r="T3107" s="68">
        <f>T1678/1.18-T2393*'Mark Up Validation'!$S$105</f>
        <v>0</v>
      </c>
      <c r="U3107" s="106"/>
      <c r="V3107" s="68">
        <f>V1678/1.18-V2393*'Mark Up Validation'!$S$105</f>
        <v>0</v>
      </c>
      <c r="W3107" s="106"/>
      <c r="X3107" s="68">
        <f>X1678/1.18-X2393*'Mark Up Validation'!$S$105</f>
        <v>0</v>
      </c>
      <c r="Y3107" s="106"/>
      <c r="Z3107" s="68">
        <f>Z1678/1.18-Z2393*'Mark Up Validation'!$S$105</f>
        <v>0</v>
      </c>
      <c r="AA3107" s="106"/>
      <c r="AB3107" s="68">
        <f>AB1678/1.18-AB2393*'Mark Up Validation'!$S$105</f>
        <v>0</v>
      </c>
      <c r="AC3107" s="106"/>
      <c r="AD3107" s="68">
        <f>AD1678/1.18-AD2393*'Mark Up Validation'!$S$105</f>
        <v>0</v>
      </c>
      <c r="AE3107" s="106"/>
      <c r="AF3107" s="129">
        <f>SUM(T3107,V3107,X3107,Z3107,AB3107,AD3107)</f>
        <v>0</v>
      </c>
      <c r="AG3107" s="106"/>
      <c r="AH3107" s="130">
        <f>SUM(AF3107,R3107)</f>
        <v>0</v>
      </c>
      <c r="AI3107" s="106"/>
      <c r="AJ3107" s="65"/>
      <c r="AV3107" s="56"/>
    </row>
    <row r="3108" spans="1:48" ht="12.75" customHeight="1" outlineLevel="2" thickBot="1">
      <c r="B3108" s="82"/>
      <c r="C3108" s="1234"/>
      <c r="D3108" s="1234"/>
      <c r="E3108" s="84" t="str">
        <f>'Terms and Turnovers'!$T$12</f>
        <v>ORIGINALS</v>
      </c>
      <c r="F3108" s="68">
        <f>F1679/1.18-F2394*'Mark Up Validation'!$M$105</f>
        <v>0</v>
      </c>
      <c r="G3108" s="728"/>
      <c r="H3108" s="68">
        <f>H1679/1.18-H2394*'Mark Up Validation'!$M$105</f>
        <v>0</v>
      </c>
      <c r="I3108" s="728"/>
      <c r="J3108" s="68">
        <f>J1679/1.18-J2394*'Mark Up Validation'!$M$105</f>
        <v>0</v>
      </c>
      <c r="K3108" s="728"/>
      <c r="L3108" s="68">
        <f>L1679/1.18-L2394*'Mark Up Validation'!$M$105</f>
        <v>0</v>
      </c>
      <c r="M3108" s="728"/>
      <c r="N3108" s="68">
        <f>N1679/1.18-N2394*'Mark Up Validation'!$M$105</f>
        <v>0</v>
      </c>
      <c r="O3108" s="728"/>
      <c r="P3108" s="68">
        <f>P1679/1.18-P2394*'Mark Up Validation'!$M$105</f>
        <v>0</v>
      </c>
      <c r="Q3108" s="728"/>
      <c r="R3108" s="132">
        <f>SUM(F3108,H3108,J3108,L3108,N3108,P3108)</f>
        <v>0</v>
      </c>
      <c r="S3108" s="728"/>
      <c r="T3108" s="68">
        <f>T1679/1.18-T2394*'Mark Up Validation'!$S$105</f>
        <v>0</v>
      </c>
      <c r="U3108" s="728"/>
      <c r="V3108" s="68">
        <f>V1679/1.18-V2394*'Mark Up Validation'!$S$105</f>
        <v>0</v>
      </c>
      <c r="W3108" s="728"/>
      <c r="X3108" s="68">
        <f>X1679/1.18-X2394*'Mark Up Validation'!$S$105</f>
        <v>0</v>
      </c>
      <c r="Y3108" s="728"/>
      <c r="Z3108" s="68">
        <f>Z1679/1.18-Z2394*'Mark Up Validation'!$S$105</f>
        <v>0</v>
      </c>
      <c r="AA3108" s="728"/>
      <c r="AB3108" s="68">
        <f>AB1679/1.18-AB2394*'Mark Up Validation'!$S$105</f>
        <v>0</v>
      </c>
      <c r="AC3108" s="728"/>
      <c r="AD3108" s="68">
        <f>AD1679/1.18-AD2394*'Mark Up Validation'!$S$105</f>
        <v>0</v>
      </c>
      <c r="AE3108" s="728"/>
      <c r="AF3108" s="132">
        <f>SUM(T3108,V3108,X3108,Z3108,AB3108,AD3108)</f>
        <v>0</v>
      </c>
      <c r="AG3108" s="728"/>
      <c r="AH3108" s="133">
        <f>SUM(AF3108,R3108)</f>
        <v>0</v>
      </c>
      <c r="AI3108" s="728"/>
      <c r="AJ3108" s="65"/>
      <c r="AV3108" s="56"/>
    </row>
    <row r="3109" spans="1:48" ht="12.75" customHeight="1" outlineLevel="2" thickBot="1">
      <c r="B3109" s="82"/>
      <c r="C3109" s="1234"/>
      <c r="D3109" s="1234"/>
      <c r="E3109" s="84" t="str">
        <f>'Terms and Turnovers'!$AD$12</f>
        <v>ACCESSORIES</v>
      </c>
      <c r="F3109" s="68">
        <f>F1680/1.18-F2395*'Mark Up Validation'!$M$105</f>
        <v>0</v>
      </c>
      <c r="G3109" s="106"/>
      <c r="H3109" s="68">
        <f>H1680/1.18-H2395*'Mark Up Validation'!$M$105</f>
        <v>0</v>
      </c>
      <c r="I3109" s="106"/>
      <c r="J3109" s="68">
        <f>J1680/1.18-J2395*'Mark Up Validation'!$M$105</f>
        <v>0</v>
      </c>
      <c r="K3109" s="106"/>
      <c r="L3109" s="68">
        <f>L1680/1.18-L2395*'Mark Up Validation'!$M$105</f>
        <v>0</v>
      </c>
      <c r="M3109" s="106"/>
      <c r="N3109" s="68">
        <f>N1680/1.18-N2395*'Mark Up Validation'!$M$105</f>
        <v>0</v>
      </c>
      <c r="O3109" s="106"/>
      <c r="P3109" s="68">
        <f>P1680/1.18-P2395*'Mark Up Validation'!$M$105</f>
        <v>0</v>
      </c>
      <c r="Q3109" s="728"/>
      <c r="R3109" s="132">
        <f>SUM(F3109,H3109,J3109,L3109,N3109,P3109)</f>
        <v>0</v>
      </c>
      <c r="S3109" s="728"/>
      <c r="T3109" s="68">
        <f>T1680/1.18-T2395*'Mark Up Validation'!$S$105</f>
        <v>0</v>
      </c>
      <c r="U3109" s="728"/>
      <c r="V3109" s="68">
        <f>V1680/1.18-V2395*'Mark Up Validation'!$S$105</f>
        <v>0</v>
      </c>
      <c r="W3109" s="728"/>
      <c r="X3109" s="68">
        <f>X1680/1.18-X2395*'Mark Up Validation'!$S$105</f>
        <v>0</v>
      </c>
      <c r="Y3109" s="728"/>
      <c r="Z3109" s="68">
        <f>Z1680/1.18-Z2395*'Mark Up Validation'!$S$105</f>
        <v>0</v>
      </c>
      <c r="AA3109" s="728"/>
      <c r="AB3109" s="68">
        <f>AB1680/1.18-AB2395*'Mark Up Validation'!$S$105</f>
        <v>0</v>
      </c>
      <c r="AC3109" s="728"/>
      <c r="AD3109" s="68">
        <f>AD1680/1.18-AD2395*'Mark Up Validation'!$S$105</f>
        <v>0</v>
      </c>
      <c r="AE3109" s="728"/>
      <c r="AF3109" s="132">
        <f>SUM(T3109,V3109,X3109,Z3109,AB3109,AD3109)</f>
        <v>0</v>
      </c>
      <c r="AG3109" s="728"/>
      <c r="AH3109" s="133">
        <f>SUM(AF3109,R3109)</f>
        <v>0</v>
      </c>
      <c r="AI3109" s="728"/>
      <c r="AJ3109" s="65"/>
      <c r="AV3109" s="56"/>
    </row>
    <row r="3110" spans="1:48" ht="12.75" customHeight="1" outlineLevel="2" thickBot="1">
      <c r="B3110" s="82"/>
      <c r="C3110" s="1234"/>
      <c r="D3110" s="1234"/>
      <c r="E3110" s="84">
        <f>'Terms and Turnovers'!$AN$12</f>
        <v>0</v>
      </c>
      <c r="F3110" s="68">
        <f>F1681/1.18-F2396*'Mark Up Validation'!$M$105</f>
        <v>0</v>
      </c>
      <c r="G3110" s="728"/>
      <c r="H3110" s="68">
        <f>H1681/1.18-H2396*'Mark Up Validation'!$M$105</f>
        <v>0</v>
      </c>
      <c r="I3110" s="728"/>
      <c r="J3110" s="68">
        <f>J1681/1.18-J2396*'Mark Up Validation'!$M$105</f>
        <v>0</v>
      </c>
      <c r="K3110" s="728"/>
      <c r="L3110" s="68">
        <f>L1681/1.18-L2396*'Mark Up Validation'!$M$105</f>
        <v>0</v>
      </c>
      <c r="M3110" s="728"/>
      <c r="N3110" s="68">
        <f>N1681/1.18-N2396*'Mark Up Validation'!$M$105</f>
        <v>0</v>
      </c>
      <c r="O3110" s="728"/>
      <c r="P3110" s="68">
        <f>P1681/1.18-P2396*'Mark Up Validation'!$M$105</f>
        <v>0</v>
      </c>
      <c r="Q3110" s="728"/>
      <c r="R3110" s="132">
        <f>SUM(F3110,H3110,J3110,L3110,N3110,P3110)</f>
        <v>0</v>
      </c>
      <c r="S3110" s="728"/>
      <c r="T3110" s="68">
        <f>T1681/1.18-T2396*'Mark Up Validation'!$S$105</f>
        <v>0</v>
      </c>
      <c r="U3110" s="728"/>
      <c r="V3110" s="68">
        <f>V1681/1.18-V2396*'Mark Up Validation'!$S$105</f>
        <v>0</v>
      </c>
      <c r="W3110" s="728"/>
      <c r="X3110" s="68">
        <f>X1681/1.18-X2396*'Mark Up Validation'!$S$105</f>
        <v>0</v>
      </c>
      <c r="Y3110" s="728"/>
      <c r="Z3110" s="68">
        <f>Z1681/1.18-Z2396*'Mark Up Validation'!$S$105</f>
        <v>0</v>
      </c>
      <c r="AA3110" s="728"/>
      <c r="AB3110" s="68">
        <f>AB1681/1.18-AB2396*'Mark Up Validation'!$S$105</f>
        <v>0</v>
      </c>
      <c r="AC3110" s="728"/>
      <c r="AD3110" s="68">
        <f>AD1681/1.18-AD2396*'Mark Up Validation'!$S$105</f>
        <v>0</v>
      </c>
      <c r="AE3110" s="728"/>
      <c r="AF3110" s="132">
        <f>SUM(T3110,V3110,X3110,Z3110,AB3110,AD3110)</f>
        <v>0</v>
      </c>
      <c r="AG3110" s="728"/>
      <c r="AH3110" s="133">
        <f>SUM(AF3110,R3110)</f>
        <v>0</v>
      </c>
      <c r="AI3110" s="728"/>
      <c r="AJ3110" s="65"/>
      <c r="AV3110" s="56"/>
    </row>
    <row r="3111" spans="1:48" ht="13.5" customHeight="1" outlineLevel="2" thickBot="1">
      <c r="B3111" s="82"/>
      <c r="C3111" s="1235"/>
      <c r="D3111" s="1235"/>
      <c r="E3111" s="85">
        <f>'Terms and Turnovers'!$AX$12</f>
        <v>0</v>
      </c>
      <c r="F3111" s="68">
        <f>F1682/1.18-F2397*'Mark Up Validation'!$M$105</f>
        <v>0</v>
      </c>
      <c r="G3111" s="106"/>
      <c r="H3111" s="68">
        <f>H1682/1.18-H2397*'Mark Up Validation'!$M$105</f>
        <v>0</v>
      </c>
      <c r="I3111" s="106"/>
      <c r="J3111" s="68">
        <f>J1682/1.18-J2397*'Mark Up Validation'!$M$105</f>
        <v>0</v>
      </c>
      <c r="K3111" s="106"/>
      <c r="L3111" s="68">
        <f>L1682/1.18-L2397*'Mark Up Validation'!$M$105</f>
        <v>0</v>
      </c>
      <c r="M3111" s="106"/>
      <c r="N3111" s="68">
        <f>N1682/1.18-N2397*'Mark Up Validation'!$M$105</f>
        <v>0</v>
      </c>
      <c r="O3111" s="106"/>
      <c r="P3111" s="68">
        <f>P1682/1.18-P2397*'Mark Up Validation'!$M$105</f>
        <v>0</v>
      </c>
      <c r="Q3111" s="107"/>
      <c r="R3111" s="135">
        <f>SUM(F3111,H3111,J3111,L3111,N3111,P3111)</f>
        <v>0</v>
      </c>
      <c r="S3111" s="107"/>
      <c r="T3111" s="68">
        <f>T1682/1.18-T2397*'Mark Up Validation'!$S$105</f>
        <v>0</v>
      </c>
      <c r="U3111" s="107"/>
      <c r="V3111" s="68">
        <f>V1682/1.18-V2397*'Mark Up Validation'!$S$105</f>
        <v>0</v>
      </c>
      <c r="W3111" s="107"/>
      <c r="X3111" s="68">
        <f>X1682/1.18-X2397*'Mark Up Validation'!$S$105</f>
        <v>0</v>
      </c>
      <c r="Y3111" s="107"/>
      <c r="Z3111" s="68">
        <f>Z1682/1.18-Z2397*'Mark Up Validation'!$S$105</f>
        <v>0</v>
      </c>
      <c r="AA3111" s="107"/>
      <c r="AB3111" s="68">
        <f>AB1682/1.18-AB2397*'Mark Up Validation'!$S$105</f>
        <v>0</v>
      </c>
      <c r="AC3111" s="107"/>
      <c r="AD3111" s="68">
        <f>AD1682/1.18-AD2397*'Mark Up Validation'!$S$105</f>
        <v>0</v>
      </c>
      <c r="AE3111" s="107"/>
      <c r="AF3111" s="135">
        <f>SUM(T3111,V3111,X3111,Z3111,AB3111,AD3111)</f>
        <v>0</v>
      </c>
      <c r="AG3111" s="107"/>
      <c r="AH3111" s="136">
        <f>SUM(AF3111,R3111)</f>
        <v>0</v>
      </c>
      <c r="AI3111" s="107"/>
      <c r="AJ3111" s="65"/>
      <c r="AV3111" s="56"/>
    </row>
    <row r="3112" spans="1:48" ht="13.5" customHeight="1" outlineLevel="2">
      <c r="B3112" s="82"/>
      <c r="C3112" s="425"/>
      <c r="D3112" s="425"/>
      <c r="E3112" s="634"/>
      <c r="F3112" s="635"/>
      <c r="G3112" s="428"/>
      <c r="H3112" s="635"/>
      <c r="I3112" s="428"/>
      <c r="J3112" s="635"/>
      <c r="K3112" s="636"/>
      <c r="L3112" s="635"/>
      <c r="M3112" s="636"/>
      <c r="N3112" s="635"/>
      <c r="O3112" s="636"/>
      <c r="P3112" s="635"/>
      <c r="Q3112" s="636"/>
      <c r="R3112" s="637"/>
      <c r="S3112" s="698">
        <f>SUM(R2392:R2396)/1.18-(SUM(R3107:R3111)*'Mark Up Validation'!$M$105)</f>
        <v>0</v>
      </c>
      <c r="T3112" s="635"/>
      <c r="U3112" s="636"/>
      <c r="V3112" s="635"/>
      <c r="W3112" s="636"/>
      <c r="X3112" s="635"/>
      <c r="Y3112" s="636"/>
      <c r="Z3112" s="635"/>
      <c r="AA3112" s="636"/>
      <c r="AB3112" s="635"/>
      <c r="AC3112" s="636"/>
      <c r="AD3112" s="635"/>
      <c r="AE3112" s="636"/>
      <c r="AF3112" s="637"/>
      <c r="AG3112" s="698">
        <f>SUM(AF2392:AF2396)/1.18-SUM(AF3107:AF3111)*'Mark Up Validation'!$M$175</f>
        <v>0</v>
      </c>
      <c r="AH3112" s="638"/>
      <c r="AI3112" s="698">
        <f>SUM(AH2392:AH2396)/1.18-SUM(AH3107:AH3111)*'Mark Up Validation'!$M$175</f>
        <v>0</v>
      </c>
      <c r="AJ3112" s="65"/>
      <c r="AV3112" s="56"/>
    </row>
    <row r="3113" spans="1:48" ht="13.5" customHeight="1" outlineLevel="2" thickBot="1">
      <c r="A3113" s="119"/>
      <c r="B3113" s="82"/>
      <c r="C3113" s="1228" t="s">
        <v>539</v>
      </c>
      <c r="D3113" s="1229"/>
      <c r="E3113" s="699"/>
      <c r="F3113" s="700">
        <f>SUM(F3107:F3111)</f>
        <v>0</v>
      </c>
      <c r="G3113" s="701"/>
      <c r="H3113" s="700">
        <f>SUM(H3107:H3111)</f>
        <v>0</v>
      </c>
      <c r="I3113" s="701"/>
      <c r="J3113" s="700">
        <f>SUM(J3107:J3111)</f>
        <v>0</v>
      </c>
      <c r="K3113" s="702"/>
      <c r="L3113" s="700">
        <f>SUM(L3107:L3111)</f>
        <v>0</v>
      </c>
      <c r="M3113" s="702"/>
      <c r="N3113" s="700">
        <f>SUM(N3107:N3111)</f>
        <v>0</v>
      </c>
      <c r="O3113" s="702"/>
      <c r="P3113" s="700">
        <f>SUM(P3107:P3111)</f>
        <v>0</v>
      </c>
      <c r="Q3113" s="702"/>
      <c r="R3113" s="703"/>
      <c r="S3113" s="729">
        <f>IF(S3112&gt;0,S3112/(SUM(R2392:R2396)/1.18),0)</f>
        <v>0</v>
      </c>
      <c r="T3113" s="700">
        <f>SUM(T3107:T3111)</f>
        <v>0</v>
      </c>
      <c r="U3113" s="702"/>
      <c r="V3113" s="700">
        <f>SUM(V3107:V3111)</f>
        <v>0</v>
      </c>
      <c r="W3113" s="702"/>
      <c r="X3113" s="700">
        <f>SUM(X3107:X3111)</f>
        <v>0</v>
      </c>
      <c r="Y3113" s="702"/>
      <c r="Z3113" s="700">
        <f>SUM(Z3107:Z3111)</f>
        <v>0</v>
      </c>
      <c r="AA3113" s="702"/>
      <c r="AB3113" s="700">
        <f>SUM(AB3107:AB3111)</f>
        <v>0</v>
      </c>
      <c r="AC3113" s="702"/>
      <c r="AD3113" s="700">
        <f>SUM(AD3107:AD3111)</f>
        <v>0</v>
      </c>
      <c r="AE3113" s="702"/>
      <c r="AF3113" s="705"/>
      <c r="AG3113" s="729">
        <f>IF(AG3112&gt;0,AG3112/(SUM(AF2392:AF2396)/1.18),0)</f>
        <v>0</v>
      </c>
      <c r="AH3113" s="706"/>
      <c r="AI3113" s="729">
        <f>IF(AI3112&gt;0,AI3112/(SUM(AH2392:AH2396)/1.18),0)</f>
        <v>0</v>
      </c>
      <c r="AJ3113" s="707"/>
      <c r="AV3113" s="56"/>
    </row>
    <row r="3114" spans="1:48" ht="12.75" customHeight="1" outlineLevel="2" thickBot="1">
      <c r="B3114" s="82">
        <f>B3107+1</f>
        <v>34</v>
      </c>
      <c r="C3114" s="1233">
        <f>C244</f>
        <v>0</v>
      </c>
      <c r="D3114" s="1233">
        <f>D244</f>
        <v>0</v>
      </c>
      <c r="E3114" s="83" t="str">
        <f>'Terms and Turnovers'!$J$12</f>
        <v>FLIP-FLOPS</v>
      </c>
      <c r="F3114" s="68">
        <f>F1685/1.18-F2400*'Mark Up Validation'!$M$105</f>
        <v>0</v>
      </c>
      <c r="G3114" s="106"/>
      <c r="H3114" s="68">
        <f>H1685/1.18-H2400*'Mark Up Validation'!$M$105</f>
        <v>0</v>
      </c>
      <c r="I3114" s="106"/>
      <c r="J3114" s="68">
        <f>J1685/1.18-J2400*'Mark Up Validation'!$M$105</f>
        <v>0</v>
      </c>
      <c r="K3114" s="106"/>
      <c r="L3114" s="68">
        <f>L1685/1.18-L2400*'Mark Up Validation'!$M$105</f>
        <v>0</v>
      </c>
      <c r="M3114" s="106"/>
      <c r="N3114" s="68">
        <f>N1685/1.18-N2400*'Mark Up Validation'!$M$105</f>
        <v>0</v>
      </c>
      <c r="O3114" s="106"/>
      <c r="P3114" s="68">
        <f>P1685/1.18-P2400*'Mark Up Validation'!$M$105</f>
        <v>0</v>
      </c>
      <c r="Q3114" s="106"/>
      <c r="R3114" s="129">
        <f>SUM(F3114,H3114,J3114,L3114,N3114,P3114)</f>
        <v>0</v>
      </c>
      <c r="S3114" s="106"/>
      <c r="T3114" s="68">
        <f>T1685/1.18-T2400*'Mark Up Validation'!$S$105</f>
        <v>0</v>
      </c>
      <c r="U3114" s="106"/>
      <c r="V3114" s="68">
        <f>V1685/1.18-V2400*'Mark Up Validation'!$S$105</f>
        <v>0</v>
      </c>
      <c r="W3114" s="106"/>
      <c r="X3114" s="68">
        <f>X1685/1.18-X2400*'Mark Up Validation'!$S$105</f>
        <v>0</v>
      </c>
      <c r="Y3114" s="106"/>
      <c r="Z3114" s="68">
        <f>Z1685/1.18-Z2400*'Mark Up Validation'!$S$105</f>
        <v>0</v>
      </c>
      <c r="AA3114" s="106"/>
      <c r="AB3114" s="68">
        <f>AB1685/1.18-AB2400*'Mark Up Validation'!$S$105</f>
        <v>0</v>
      </c>
      <c r="AC3114" s="106"/>
      <c r="AD3114" s="68">
        <f>AD1685/1.18-AD2400*'Mark Up Validation'!$S$105</f>
        <v>0</v>
      </c>
      <c r="AE3114" s="106"/>
      <c r="AF3114" s="129">
        <f>SUM(T3114,V3114,X3114,Z3114,AB3114,AD3114)</f>
        <v>0</v>
      </c>
      <c r="AG3114" s="106"/>
      <c r="AH3114" s="130">
        <f>SUM(AF3114,R3114)</f>
        <v>0</v>
      </c>
      <c r="AI3114" s="106"/>
      <c r="AJ3114" s="65"/>
      <c r="AV3114" s="56"/>
    </row>
    <row r="3115" spans="1:48" ht="12.75" customHeight="1" outlineLevel="2" thickBot="1">
      <c r="B3115" s="82"/>
      <c r="C3115" s="1234"/>
      <c r="D3115" s="1234"/>
      <c r="E3115" s="84" t="str">
        <f>'Terms and Turnovers'!$T$12</f>
        <v>ORIGINALS</v>
      </c>
      <c r="F3115" s="68">
        <f>F1686/1.18-F2401*'Mark Up Validation'!$M$105</f>
        <v>0</v>
      </c>
      <c r="G3115" s="728"/>
      <c r="H3115" s="68">
        <f>H1686/1.18-H2401*'Mark Up Validation'!$M$105</f>
        <v>0</v>
      </c>
      <c r="I3115" s="728"/>
      <c r="J3115" s="68">
        <f>J1686/1.18-J2401*'Mark Up Validation'!$M$105</f>
        <v>0</v>
      </c>
      <c r="K3115" s="728"/>
      <c r="L3115" s="68">
        <f>L1686/1.18-L2401*'Mark Up Validation'!$M$105</f>
        <v>0</v>
      </c>
      <c r="M3115" s="728"/>
      <c r="N3115" s="68">
        <f>N1686/1.18-N2401*'Mark Up Validation'!$M$105</f>
        <v>0</v>
      </c>
      <c r="O3115" s="728"/>
      <c r="P3115" s="68">
        <f>P1686/1.18-P2401*'Mark Up Validation'!$M$105</f>
        <v>0</v>
      </c>
      <c r="Q3115" s="728"/>
      <c r="R3115" s="132">
        <f>SUM(F3115,H3115,J3115,L3115,N3115,P3115)</f>
        <v>0</v>
      </c>
      <c r="S3115" s="728"/>
      <c r="T3115" s="68">
        <f>T1686/1.18-T2401*'Mark Up Validation'!$S$105</f>
        <v>0</v>
      </c>
      <c r="U3115" s="728"/>
      <c r="V3115" s="68">
        <f>V1686/1.18-V2401*'Mark Up Validation'!$S$105</f>
        <v>0</v>
      </c>
      <c r="W3115" s="728"/>
      <c r="X3115" s="68">
        <f>X1686/1.18-X2401*'Mark Up Validation'!$S$105</f>
        <v>0</v>
      </c>
      <c r="Y3115" s="728"/>
      <c r="Z3115" s="68">
        <f>Z1686/1.18-Z2401*'Mark Up Validation'!$S$105</f>
        <v>0</v>
      </c>
      <c r="AA3115" s="728"/>
      <c r="AB3115" s="68">
        <f>AB1686/1.18-AB2401*'Mark Up Validation'!$S$105</f>
        <v>0</v>
      </c>
      <c r="AC3115" s="728"/>
      <c r="AD3115" s="68">
        <f>AD1686/1.18-AD2401*'Mark Up Validation'!$S$105</f>
        <v>0</v>
      </c>
      <c r="AE3115" s="728"/>
      <c r="AF3115" s="132">
        <f>SUM(T3115,V3115,X3115,Z3115,AB3115,AD3115)</f>
        <v>0</v>
      </c>
      <c r="AG3115" s="728"/>
      <c r="AH3115" s="133">
        <f>SUM(AF3115,R3115)</f>
        <v>0</v>
      </c>
      <c r="AI3115" s="728"/>
      <c r="AJ3115" s="65"/>
      <c r="AV3115" s="56"/>
    </row>
    <row r="3116" spans="1:48" ht="12.75" customHeight="1" outlineLevel="2" thickBot="1">
      <c r="B3116" s="82"/>
      <c r="C3116" s="1234"/>
      <c r="D3116" s="1234"/>
      <c r="E3116" s="84" t="str">
        <f>'Terms and Turnovers'!$AD$12</f>
        <v>ACCESSORIES</v>
      </c>
      <c r="F3116" s="68">
        <f>F1687/1.18-F2402*'Mark Up Validation'!$M$105</f>
        <v>0</v>
      </c>
      <c r="G3116" s="106"/>
      <c r="H3116" s="68">
        <f>H1687/1.18-H2402*'Mark Up Validation'!$M$105</f>
        <v>0</v>
      </c>
      <c r="I3116" s="106"/>
      <c r="J3116" s="68">
        <f>J1687/1.18-J2402*'Mark Up Validation'!$M$105</f>
        <v>0</v>
      </c>
      <c r="K3116" s="106"/>
      <c r="L3116" s="68">
        <f>L1687/1.18-L2402*'Mark Up Validation'!$M$105</f>
        <v>0</v>
      </c>
      <c r="M3116" s="106"/>
      <c r="N3116" s="68">
        <f>N1687/1.18-N2402*'Mark Up Validation'!$M$105</f>
        <v>0</v>
      </c>
      <c r="O3116" s="106"/>
      <c r="P3116" s="68">
        <f>P1687/1.18-P2402*'Mark Up Validation'!$M$105</f>
        <v>0</v>
      </c>
      <c r="Q3116" s="728"/>
      <c r="R3116" s="132">
        <f>SUM(F3116,H3116,J3116,L3116,N3116,P3116)</f>
        <v>0</v>
      </c>
      <c r="S3116" s="728"/>
      <c r="T3116" s="68">
        <f>T1687/1.18-T2402*'Mark Up Validation'!$S$105</f>
        <v>0</v>
      </c>
      <c r="U3116" s="728"/>
      <c r="V3116" s="68">
        <f>V1687/1.18-V2402*'Mark Up Validation'!$S$105</f>
        <v>0</v>
      </c>
      <c r="W3116" s="728"/>
      <c r="X3116" s="68">
        <f>X1687/1.18-X2402*'Mark Up Validation'!$S$105</f>
        <v>0</v>
      </c>
      <c r="Y3116" s="728"/>
      <c r="Z3116" s="68">
        <f>Z1687/1.18-Z2402*'Mark Up Validation'!$S$105</f>
        <v>0</v>
      </c>
      <c r="AA3116" s="728"/>
      <c r="AB3116" s="68">
        <f>AB1687/1.18-AB2402*'Mark Up Validation'!$S$105</f>
        <v>0</v>
      </c>
      <c r="AC3116" s="728"/>
      <c r="AD3116" s="68">
        <f>AD1687/1.18-AD2402*'Mark Up Validation'!$S$105</f>
        <v>0</v>
      </c>
      <c r="AE3116" s="728"/>
      <c r="AF3116" s="132">
        <f>SUM(T3116,V3116,X3116,Z3116,AB3116,AD3116)</f>
        <v>0</v>
      </c>
      <c r="AG3116" s="728"/>
      <c r="AH3116" s="133">
        <f>SUM(AF3116,R3116)</f>
        <v>0</v>
      </c>
      <c r="AI3116" s="728"/>
      <c r="AJ3116" s="65"/>
      <c r="AV3116" s="56"/>
    </row>
    <row r="3117" spans="1:48" ht="12.75" customHeight="1" outlineLevel="2" thickBot="1">
      <c r="B3117" s="82"/>
      <c r="C3117" s="1234"/>
      <c r="D3117" s="1234"/>
      <c r="E3117" s="84">
        <f>'Terms and Turnovers'!$AN$12</f>
        <v>0</v>
      </c>
      <c r="F3117" s="68">
        <f>F1688/1.18-F2403*'Mark Up Validation'!$M$105</f>
        <v>0</v>
      </c>
      <c r="G3117" s="728"/>
      <c r="H3117" s="68">
        <f>H1688/1.18-H2403*'Mark Up Validation'!$M$105</f>
        <v>0</v>
      </c>
      <c r="I3117" s="728"/>
      <c r="J3117" s="68">
        <f>J1688/1.18-J2403*'Mark Up Validation'!$M$105</f>
        <v>0</v>
      </c>
      <c r="K3117" s="728"/>
      <c r="L3117" s="68">
        <f>L1688/1.18-L2403*'Mark Up Validation'!$M$105</f>
        <v>0</v>
      </c>
      <c r="M3117" s="728"/>
      <c r="N3117" s="68">
        <f>N1688/1.18-N2403*'Mark Up Validation'!$M$105</f>
        <v>0</v>
      </c>
      <c r="O3117" s="728"/>
      <c r="P3117" s="68">
        <f>P1688/1.18-P2403*'Mark Up Validation'!$M$105</f>
        <v>0</v>
      </c>
      <c r="Q3117" s="728"/>
      <c r="R3117" s="132">
        <f>SUM(F3117,H3117,J3117,L3117,N3117,P3117)</f>
        <v>0</v>
      </c>
      <c r="S3117" s="728"/>
      <c r="T3117" s="68">
        <f>T1688/1.18-T2403*'Mark Up Validation'!$S$105</f>
        <v>0</v>
      </c>
      <c r="U3117" s="728"/>
      <c r="V3117" s="68">
        <f>V1688/1.18-V2403*'Mark Up Validation'!$S$105</f>
        <v>0</v>
      </c>
      <c r="W3117" s="728"/>
      <c r="X3117" s="68">
        <f>X1688/1.18-X2403*'Mark Up Validation'!$S$105</f>
        <v>0</v>
      </c>
      <c r="Y3117" s="728"/>
      <c r="Z3117" s="68">
        <f>Z1688/1.18-Z2403*'Mark Up Validation'!$S$105</f>
        <v>0</v>
      </c>
      <c r="AA3117" s="728"/>
      <c r="AB3117" s="68">
        <f>AB1688/1.18-AB2403*'Mark Up Validation'!$S$105</f>
        <v>0</v>
      </c>
      <c r="AC3117" s="728"/>
      <c r="AD3117" s="68">
        <f>AD1688/1.18-AD2403*'Mark Up Validation'!$S$105</f>
        <v>0</v>
      </c>
      <c r="AE3117" s="728"/>
      <c r="AF3117" s="132">
        <f>SUM(T3117,V3117,X3117,Z3117,AB3117,AD3117)</f>
        <v>0</v>
      </c>
      <c r="AG3117" s="728"/>
      <c r="AH3117" s="133">
        <f>SUM(AF3117,R3117)</f>
        <v>0</v>
      </c>
      <c r="AI3117" s="728"/>
      <c r="AJ3117" s="65"/>
      <c r="AV3117" s="56"/>
    </row>
    <row r="3118" spans="1:48" ht="13.5" customHeight="1" outlineLevel="2" thickBot="1">
      <c r="B3118" s="82"/>
      <c r="C3118" s="1235"/>
      <c r="D3118" s="1235"/>
      <c r="E3118" s="85">
        <f>'Terms and Turnovers'!$AX$12</f>
        <v>0</v>
      </c>
      <c r="F3118" s="68">
        <f>F1689/1.18-F2404*'Mark Up Validation'!$M$105</f>
        <v>0</v>
      </c>
      <c r="G3118" s="106"/>
      <c r="H3118" s="68">
        <f>H1689/1.18-H2404*'Mark Up Validation'!$M$105</f>
        <v>0</v>
      </c>
      <c r="I3118" s="106"/>
      <c r="J3118" s="68">
        <f>J1689/1.18-J2404*'Mark Up Validation'!$M$105</f>
        <v>0</v>
      </c>
      <c r="K3118" s="106"/>
      <c r="L3118" s="68">
        <f>L1689/1.18-L2404*'Mark Up Validation'!$M$105</f>
        <v>0</v>
      </c>
      <c r="M3118" s="106"/>
      <c r="N3118" s="68">
        <f>N1689/1.18-N2404*'Mark Up Validation'!$M$105</f>
        <v>0</v>
      </c>
      <c r="O3118" s="106"/>
      <c r="P3118" s="68">
        <f>P1689/1.18-P2404*'Mark Up Validation'!$M$105</f>
        <v>0</v>
      </c>
      <c r="Q3118" s="107"/>
      <c r="R3118" s="135">
        <f>SUM(F3118,H3118,J3118,L3118,N3118,P3118)</f>
        <v>0</v>
      </c>
      <c r="S3118" s="107"/>
      <c r="T3118" s="68">
        <f>T1689/1.18-T2404*'Mark Up Validation'!$S$105</f>
        <v>0</v>
      </c>
      <c r="U3118" s="107"/>
      <c r="V3118" s="68">
        <f>V1689/1.18-V2404*'Mark Up Validation'!$S$105</f>
        <v>0</v>
      </c>
      <c r="W3118" s="107"/>
      <c r="X3118" s="68">
        <f>X1689/1.18-X2404*'Mark Up Validation'!$S$105</f>
        <v>0</v>
      </c>
      <c r="Y3118" s="107"/>
      <c r="Z3118" s="68">
        <f>Z1689/1.18-Z2404*'Mark Up Validation'!$S$105</f>
        <v>0</v>
      </c>
      <c r="AA3118" s="107"/>
      <c r="AB3118" s="68">
        <f>AB1689/1.18-AB2404*'Mark Up Validation'!$S$105</f>
        <v>0</v>
      </c>
      <c r="AC3118" s="107"/>
      <c r="AD3118" s="68">
        <f>AD1689/1.18-AD2404*'Mark Up Validation'!$S$105</f>
        <v>0</v>
      </c>
      <c r="AE3118" s="107"/>
      <c r="AF3118" s="135">
        <f>SUM(T3118,V3118,X3118,Z3118,AB3118,AD3118)</f>
        <v>0</v>
      </c>
      <c r="AG3118" s="107"/>
      <c r="AH3118" s="136">
        <f>SUM(AF3118,R3118)</f>
        <v>0</v>
      </c>
      <c r="AI3118" s="107"/>
      <c r="AJ3118" s="65"/>
      <c r="AV3118" s="56"/>
    </row>
    <row r="3119" spans="1:48" ht="13.5" customHeight="1" outlineLevel="2">
      <c r="B3119" s="82"/>
      <c r="C3119" s="425"/>
      <c r="D3119" s="425"/>
      <c r="E3119" s="634"/>
      <c r="F3119" s="635"/>
      <c r="G3119" s="428"/>
      <c r="H3119" s="635"/>
      <c r="I3119" s="428"/>
      <c r="J3119" s="635"/>
      <c r="K3119" s="636"/>
      <c r="L3119" s="635"/>
      <c r="M3119" s="636"/>
      <c r="N3119" s="635"/>
      <c r="O3119" s="636"/>
      <c r="P3119" s="635"/>
      <c r="Q3119" s="636"/>
      <c r="R3119" s="637"/>
      <c r="S3119" s="698">
        <f>SUM(R2399:R2403)/1.18-(SUM(R3114:R3118)*'Mark Up Validation'!$M$105)</f>
        <v>0</v>
      </c>
      <c r="T3119" s="635"/>
      <c r="U3119" s="636"/>
      <c r="V3119" s="635"/>
      <c r="W3119" s="636"/>
      <c r="X3119" s="635"/>
      <c r="Y3119" s="636"/>
      <c r="Z3119" s="635"/>
      <c r="AA3119" s="636"/>
      <c r="AB3119" s="635"/>
      <c r="AC3119" s="636"/>
      <c r="AD3119" s="635"/>
      <c r="AE3119" s="636"/>
      <c r="AF3119" s="637"/>
      <c r="AG3119" s="698">
        <f>SUM(AF2399:AF2403)/1.18-SUM(AF3114:AF3118)*'Mark Up Validation'!$M$175</f>
        <v>0</v>
      </c>
      <c r="AH3119" s="638"/>
      <c r="AI3119" s="698">
        <f>SUM(AH2399:AH2403)/1.18-SUM(AH3114:AH3118)*'Mark Up Validation'!$M$175</f>
        <v>0</v>
      </c>
      <c r="AJ3119" s="65"/>
      <c r="AV3119" s="56"/>
    </row>
    <row r="3120" spans="1:48" ht="13.5" customHeight="1" outlineLevel="2" thickBot="1">
      <c r="A3120" s="119"/>
      <c r="B3120" s="82"/>
      <c r="C3120" s="1228" t="s">
        <v>539</v>
      </c>
      <c r="D3120" s="1229"/>
      <c r="E3120" s="699"/>
      <c r="F3120" s="700">
        <f>SUM(F3114:F3118)</f>
        <v>0</v>
      </c>
      <c r="G3120" s="701"/>
      <c r="H3120" s="700">
        <f>SUM(H3114:H3118)</f>
        <v>0</v>
      </c>
      <c r="I3120" s="701"/>
      <c r="J3120" s="700">
        <f>SUM(J3114:J3118)</f>
        <v>0</v>
      </c>
      <c r="K3120" s="702"/>
      <c r="L3120" s="700">
        <f>SUM(L3114:L3118)</f>
        <v>0</v>
      </c>
      <c r="M3120" s="702"/>
      <c r="N3120" s="700">
        <f>SUM(N3114:N3118)</f>
        <v>0</v>
      </c>
      <c r="O3120" s="702"/>
      <c r="P3120" s="700">
        <f>SUM(P3114:P3118)</f>
        <v>0</v>
      </c>
      <c r="Q3120" s="702"/>
      <c r="R3120" s="703"/>
      <c r="S3120" s="729">
        <f>IF(S3119&gt;0,S3119/(SUM(R2399:R2403)/1.18),0)</f>
        <v>0</v>
      </c>
      <c r="T3120" s="700">
        <f>SUM(T3114:T3118)</f>
        <v>0</v>
      </c>
      <c r="U3120" s="702"/>
      <c r="V3120" s="700">
        <f>SUM(V3114:V3118)</f>
        <v>0</v>
      </c>
      <c r="W3120" s="702"/>
      <c r="X3120" s="700">
        <f>SUM(X3114:X3118)</f>
        <v>0</v>
      </c>
      <c r="Y3120" s="702"/>
      <c r="Z3120" s="700">
        <f>SUM(Z3114:Z3118)</f>
        <v>0</v>
      </c>
      <c r="AA3120" s="702"/>
      <c r="AB3120" s="700">
        <f>SUM(AB3114:AB3118)</f>
        <v>0</v>
      </c>
      <c r="AC3120" s="702"/>
      <c r="AD3120" s="700">
        <f>SUM(AD3114:AD3118)</f>
        <v>0</v>
      </c>
      <c r="AE3120" s="702"/>
      <c r="AF3120" s="705"/>
      <c r="AG3120" s="729">
        <f>IF(AG3119&gt;0,AG3119/(SUM(AF2399:AF2403)/1.18),0)</f>
        <v>0</v>
      </c>
      <c r="AH3120" s="706"/>
      <c r="AI3120" s="729">
        <f>IF(AI3119&gt;0,AI3119/(SUM(AH2399:AH2403)/1.18),0)</f>
        <v>0</v>
      </c>
      <c r="AJ3120" s="707"/>
      <c r="AV3120" s="56"/>
    </row>
    <row r="3121" spans="1:48" ht="12.75" customHeight="1" outlineLevel="2" thickBot="1">
      <c r="B3121" s="82">
        <f>B3114+1</f>
        <v>35</v>
      </c>
      <c r="C3121" s="1233">
        <f>C251</f>
        <v>0</v>
      </c>
      <c r="D3121" s="1233">
        <f>D251</f>
        <v>0</v>
      </c>
      <c r="E3121" s="83" t="str">
        <f>'Terms and Turnovers'!$J$12</f>
        <v>FLIP-FLOPS</v>
      </c>
      <c r="F3121" s="68">
        <f>F1692/1.18-F2407*'Mark Up Validation'!$M$105</f>
        <v>0</v>
      </c>
      <c r="G3121" s="106"/>
      <c r="H3121" s="68">
        <f>H1692/1.18-H2407*'Mark Up Validation'!$M$105</f>
        <v>0</v>
      </c>
      <c r="I3121" s="106"/>
      <c r="J3121" s="68">
        <f>J1692/1.18-J2407*'Mark Up Validation'!$M$105</f>
        <v>0</v>
      </c>
      <c r="K3121" s="106"/>
      <c r="L3121" s="68">
        <f>L1692/1.18-L2407*'Mark Up Validation'!$M$105</f>
        <v>0</v>
      </c>
      <c r="M3121" s="106"/>
      <c r="N3121" s="68">
        <f>N1692/1.18-N2407*'Mark Up Validation'!$M$105</f>
        <v>0</v>
      </c>
      <c r="O3121" s="106"/>
      <c r="P3121" s="68">
        <f>P1692/1.18-P2407*'Mark Up Validation'!$M$105</f>
        <v>0</v>
      </c>
      <c r="Q3121" s="106"/>
      <c r="R3121" s="129">
        <f>SUM(F3121,H3121,J3121,L3121,N3121,P3121)</f>
        <v>0</v>
      </c>
      <c r="S3121" s="106"/>
      <c r="T3121" s="68">
        <f>T1692/1.18-T2407*'Mark Up Validation'!$S$105</f>
        <v>0</v>
      </c>
      <c r="U3121" s="106"/>
      <c r="V3121" s="68">
        <f>V1692/1.18-V2407*'Mark Up Validation'!$S$105</f>
        <v>0</v>
      </c>
      <c r="W3121" s="106"/>
      <c r="X3121" s="68">
        <f>X1692/1.18-X2407*'Mark Up Validation'!$S$105</f>
        <v>0</v>
      </c>
      <c r="Y3121" s="106"/>
      <c r="Z3121" s="68">
        <f>Z1692/1.18-Z2407*'Mark Up Validation'!$S$105</f>
        <v>0</v>
      </c>
      <c r="AA3121" s="106"/>
      <c r="AB3121" s="68">
        <f>AB1692/1.18-AB2407*'Mark Up Validation'!$S$105</f>
        <v>0</v>
      </c>
      <c r="AC3121" s="106"/>
      <c r="AD3121" s="68">
        <f>AD1692/1.18-AD2407*'Mark Up Validation'!$S$105</f>
        <v>0</v>
      </c>
      <c r="AE3121" s="106"/>
      <c r="AF3121" s="129">
        <f>SUM(T3121,V3121,X3121,Z3121,AB3121,AD3121)</f>
        <v>0</v>
      </c>
      <c r="AG3121" s="106"/>
      <c r="AH3121" s="130">
        <f>SUM(AF3121,R3121)</f>
        <v>0</v>
      </c>
      <c r="AI3121" s="106"/>
      <c r="AJ3121" s="65"/>
      <c r="AV3121" s="56"/>
    </row>
    <row r="3122" spans="1:48" ht="12.75" customHeight="1" outlineLevel="2" thickBot="1">
      <c r="B3122" s="82"/>
      <c r="C3122" s="1234"/>
      <c r="D3122" s="1234"/>
      <c r="E3122" s="84" t="str">
        <f>'Terms and Turnovers'!$T$12</f>
        <v>ORIGINALS</v>
      </c>
      <c r="F3122" s="68">
        <f>F1693/1.18-F2408*'Mark Up Validation'!$M$105</f>
        <v>0</v>
      </c>
      <c r="G3122" s="728"/>
      <c r="H3122" s="68">
        <f>H1693/1.18-H2408*'Mark Up Validation'!$M$105</f>
        <v>0</v>
      </c>
      <c r="I3122" s="728"/>
      <c r="J3122" s="68">
        <f>J1693/1.18-J2408*'Mark Up Validation'!$M$105</f>
        <v>0</v>
      </c>
      <c r="K3122" s="728"/>
      <c r="L3122" s="68">
        <f>L1693/1.18-L2408*'Mark Up Validation'!$M$105</f>
        <v>0</v>
      </c>
      <c r="M3122" s="728"/>
      <c r="N3122" s="68">
        <f>N1693/1.18-N2408*'Mark Up Validation'!$M$105</f>
        <v>0</v>
      </c>
      <c r="O3122" s="728"/>
      <c r="P3122" s="68">
        <f>P1693/1.18-P2408*'Mark Up Validation'!$M$105</f>
        <v>0</v>
      </c>
      <c r="Q3122" s="728"/>
      <c r="R3122" s="132">
        <f>SUM(F3122,H3122,J3122,L3122,N3122,P3122)</f>
        <v>0</v>
      </c>
      <c r="S3122" s="728"/>
      <c r="T3122" s="68">
        <f>T1693/1.18-T2408*'Mark Up Validation'!$S$105</f>
        <v>0</v>
      </c>
      <c r="U3122" s="728"/>
      <c r="V3122" s="68">
        <f>V1693/1.18-V2408*'Mark Up Validation'!$S$105</f>
        <v>0</v>
      </c>
      <c r="W3122" s="728"/>
      <c r="X3122" s="68">
        <f>X1693/1.18-X2408*'Mark Up Validation'!$S$105</f>
        <v>0</v>
      </c>
      <c r="Y3122" s="728"/>
      <c r="Z3122" s="68">
        <f>Z1693/1.18-Z2408*'Mark Up Validation'!$S$105</f>
        <v>0</v>
      </c>
      <c r="AA3122" s="728"/>
      <c r="AB3122" s="68">
        <f>AB1693/1.18-AB2408*'Mark Up Validation'!$S$105</f>
        <v>0</v>
      </c>
      <c r="AC3122" s="728"/>
      <c r="AD3122" s="68">
        <f>AD1693/1.18-AD2408*'Mark Up Validation'!$S$105</f>
        <v>0</v>
      </c>
      <c r="AE3122" s="728"/>
      <c r="AF3122" s="132">
        <f>SUM(T3122,V3122,X3122,Z3122,AB3122,AD3122)</f>
        <v>0</v>
      </c>
      <c r="AG3122" s="728"/>
      <c r="AH3122" s="133">
        <f>SUM(AF3122,R3122)</f>
        <v>0</v>
      </c>
      <c r="AI3122" s="728"/>
      <c r="AJ3122" s="65"/>
      <c r="AV3122" s="56"/>
    </row>
    <row r="3123" spans="1:48" ht="12.75" customHeight="1" outlineLevel="2" thickBot="1">
      <c r="B3123" s="82"/>
      <c r="C3123" s="1234"/>
      <c r="D3123" s="1234"/>
      <c r="E3123" s="84" t="str">
        <f>'Terms and Turnovers'!$AD$12</f>
        <v>ACCESSORIES</v>
      </c>
      <c r="F3123" s="68">
        <f>F1694/1.18-F2409*'Mark Up Validation'!$M$105</f>
        <v>0</v>
      </c>
      <c r="G3123" s="106"/>
      <c r="H3123" s="68">
        <f>H1694/1.18-H2409*'Mark Up Validation'!$M$105</f>
        <v>0</v>
      </c>
      <c r="I3123" s="106"/>
      <c r="J3123" s="68">
        <f>J1694/1.18-J2409*'Mark Up Validation'!$M$105</f>
        <v>0</v>
      </c>
      <c r="K3123" s="106"/>
      <c r="L3123" s="68">
        <f>L1694/1.18-L2409*'Mark Up Validation'!$M$105</f>
        <v>0</v>
      </c>
      <c r="M3123" s="106"/>
      <c r="N3123" s="68">
        <f>N1694/1.18-N2409*'Mark Up Validation'!$M$105</f>
        <v>0</v>
      </c>
      <c r="O3123" s="106"/>
      <c r="P3123" s="68">
        <f>P1694/1.18-P2409*'Mark Up Validation'!$M$105</f>
        <v>0</v>
      </c>
      <c r="Q3123" s="728"/>
      <c r="R3123" s="132">
        <f>SUM(F3123,H3123,J3123,L3123,N3123,P3123)</f>
        <v>0</v>
      </c>
      <c r="S3123" s="728"/>
      <c r="T3123" s="68">
        <f>T1694/1.18-T2409*'Mark Up Validation'!$S$105</f>
        <v>0</v>
      </c>
      <c r="U3123" s="728"/>
      <c r="V3123" s="68">
        <f>V1694/1.18-V2409*'Mark Up Validation'!$S$105</f>
        <v>0</v>
      </c>
      <c r="W3123" s="728"/>
      <c r="X3123" s="68">
        <f>X1694/1.18-X2409*'Mark Up Validation'!$S$105</f>
        <v>0</v>
      </c>
      <c r="Y3123" s="728"/>
      <c r="Z3123" s="68">
        <f>Z1694/1.18-Z2409*'Mark Up Validation'!$S$105</f>
        <v>0</v>
      </c>
      <c r="AA3123" s="728"/>
      <c r="AB3123" s="68">
        <f>AB1694/1.18-AB2409*'Mark Up Validation'!$S$105</f>
        <v>0</v>
      </c>
      <c r="AC3123" s="728"/>
      <c r="AD3123" s="68">
        <f>AD1694/1.18-AD2409*'Mark Up Validation'!$S$105</f>
        <v>0</v>
      </c>
      <c r="AE3123" s="728"/>
      <c r="AF3123" s="132">
        <f>SUM(T3123,V3123,X3123,Z3123,AB3123,AD3123)</f>
        <v>0</v>
      </c>
      <c r="AG3123" s="728"/>
      <c r="AH3123" s="133">
        <f>SUM(AF3123,R3123)</f>
        <v>0</v>
      </c>
      <c r="AI3123" s="728"/>
      <c r="AJ3123" s="65"/>
      <c r="AV3123" s="56"/>
    </row>
    <row r="3124" spans="1:48" ht="12.75" customHeight="1" outlineLevel="2" thickBot="1">
      <c r="B3124" s="82"/>
      <c r="C3124" s="1234"/>
      <c r="D3124" s="1234"/>
      <c r="E3124" s="84">
        <f>'Terms and Turnovers'!$AN$12</f>
        <v>0</v>
      </c>
      <c r="F3124" s="68">
        <f>F1695/1.18-F2410*'Mark Up Validation'!$M$105</f>
        <v>0</v>
      </c>
      <c r="G3124" s="728"/>
      <c r="H3124" s="68">
        <f>H1695/1.18-H2410*'Mark Up Validation'!$M$105</f>
        <v>0</v>
      </c>
      <c r="I3124" s="728"/>
      <c r="J3124" s="68">
        <f>J1695/1.18-J2410*'Mark Up Validation'!$M$105</f>
        <v>0</v>
      </c>
      <c r="K3124" s="728"/>
      <c r="L3124" s="68">
        <f>L1695/1.18-L2410*'Mark Up Validation'!$M$105</f>
        <v>0</v>
      </c>
      <c r="M3124" s="728"/>
      <c r="N3124" s="68">
        <f>N1695/1.18-N2410*'Mark Up Validation'!$M$105</f>
        <v>0</v>
      </c>
      <c r="O3124" s="728"/>
      <c r="P3124" s="68">
        <f>P1695/1.18-P2410*'Mark Up Validation'!$M$105</f>
        <v>0</v>
      </c>
      <c r="Q3124" s="728"/>
      <c r="R3124" s="132">
        <f>SUM(F3124,H3124,J3124,L3124,N3124,P3124)</f>
        <v>0</v>
      </c>
      <c r="S3124" s="728"/>
      <c r="T3124" s="68">
        <f>T1695/1.18-T2410*'Mark Up Validation'!$S$105</f>
        <v>0</v>
      </c>
      <c r="U3124" s="728"/>
      <c r="V3124" s="68">
        <f>V1695/1.18-V2410*'Mark Up Validation'!$S$105</f>
        <v>0</v>
      </c>
      <c r="W3124" s="728"/>
      <c r="X3124" s="68">
        <f>X1695/1.18-X2410*'Mark Up Validation'!$S$105</f>
        <v>0</v>
      </c>
      <c r="Y3124" s="728"/>
      <c r="Z3124" s="68">
        <f>Z1695/1.18-Z2410*'Mark Up Validation'!$S$105</f>
        <v>0</v>
      </c>
      <c r="AA3124" s="728"/>
      <c r="AB3124" s="68">
        <f>AB1695/1.18-AB2410*'Mark Up Validation'!$S$105</f>
        <v>0</v>
      </c>
      <c r="AC3124" s="728"/>
      <c r="AD3124" s="68">
        <f>AD1695/1.18-AD2410*'Mark Up Validation'!$S$105</f>
        <v>0</v>
      </c>
      <c r="AE3124" s="728"/>
      <c r="AF3124" s="132">
        <f>SUM(T3124,V3124,X3124,Z3124,AB3124,AD3124)</f>
        <v>0</v>
      </c>
      <c r="AG3124" s="728"/>
      <c r="AH3124" s="133">
        <f>SUM(AF3124,R3124)</f>
        <v>0</v>
      </c>
      <c r="AI3124" s="728"/>
      <c r="AJ3124" s="65"/>
      <c r="AV3124" s="56"/>
    </row>
    <row r="3125" spans="1:48" ht="13.5" customHeight="1" outlineLevel="2" thickBot="1">
      <c r="B3125" s="82"/>
      <c r="C3125" s="1235"/>
      <c r="D3125" s="1235"/>
      <c r="E3125" s="85">
        <f>'Terms and Turnovers'!$AX$12</f>
        <v>0</v>
      </c>
      <c r="F3125" s="68">
        <f>F1696/1.18-F2411*'Mark Up Validation'!$M$105</f>
        <v>0</v>
      </c>
      <c r="G3125" s="106"/>
      <c r="H3125" s="68">
        <f>H1696/1.18-H2411*'Mark Up Validation'!$M$105</f>
        <v>0</v>
      </c>
      <c r="I3125" s="106"/>
      <c r="J3125" s="68">
        <f>J1696/1.18-J2411*'Mark Up Validation'!$M$105</f>
        <v>0</v>
      </c>
      <c r="K3125" s="106"/>
      <c r="L3125" s="68">
        <f>L1696/1.18-L2411*'Mark Up Validation'!$M$105</f>
        <v>0</v>
      </c>
      <c r="M3125" s="106"/>
      <c r="N3125" s="68">
        <f>N1696/1.18-N2411*'Mark Up Validation'!$M$105</f>
        <v>0</v>
      </c>
      <c r="O3125" s="106"/>
      <c r="P3125" s="68">
        <f>P1696/1.18-P2411*'Mark Up Validation'!$M$105</f>
        <v>0</v>
      </c>
      <c r="Q3125" s="107"/>
      <c r="R3125" s="135">
        <f>SUM(F3125,H3125,J3125,L3125,N3125,P3125)</f>
        <v>0</v>
      </c>
      <c r="S3125" s="107"/>
      <c r="T3125" s="68">
        <f>T1696/1.18-T2411*'Mark Up Validation'!$S$105</f>
        <v>0</v>
      </c>
      <c r="U3125" s="107"/>
      <c r="V3125" s="68">
        <f>V1696/1.18-V2411*'Mark Up Validation'!$S$105</f>
        <v>0</v>
      </c>
      <c r="W3125" s="107"/>
      <c r="X3125" s="68">
        <f>X1696/1.18-X2411*'Mark Up Validation'!$S$105</f>
        <v>0</v>
      </c>
      <c r="Y3125" s="107"/>
      <c r="Z3125" s="68">
        <f>Z1696/1.18-Z2411*'Mark Up Validation'!$S$105</f>
        <v>0</v>
      </c>
      <c r="AA3125" s="107"/>
      <c r="AB3125" s="68">
        <f>AB1696/1.18-AB2411*'Mark Up Validation'!$S$105</f>
        <v>0</v>
      </c>
      <c r="AC3125" s="107"/>
      <c r="AD3125" s="68">
        <f>AD1696/1.18-AD2411*'Mark Up Validation'!$S$105</f>
        <v>0</v>
      </c>
      <c r="AE3125" s="107"/>
      <c r="AF3125" s="135">
        <f>SUM(T3125,V3125,X3125,Z3125,AB3125,AD3125)</f>
        <v>0</v>
      </c>
      <c r="AG3125" s="107"/>
      <c r="AH3125" s="136">
        <f>SUM(AF3125,R3125)</f>
        <v>0</v>
      </c>
      <c r="AI3125" s="107"/>
      <c r="AJ3125" s="65"/>
      <c r="AV3125" s="56"/>
    </row>
    <row r="3126" spans="1:48" ht="13.5" customHeight="1" outlineLevel="2">
      <c r="B3126" s="82"/>
      <c r="C3126" s="425"/>
      <c r="D3126" s="425"/>
      <c r="E3126" s="634"/>
      <c r="F3126" s="635"/>
      <c r="G3126" s="428"/>
      <c r="H3126" s="635"/>
      <c r="I3126" s="428"/>
      <c r="J3126" s="635"/>
      <c r="K3126" s="636"/>
      <c r="L3126" s="635"/>
      <c r="M3126" s="636"/>
      <c r="N3126" s="635"/>
      <c r="O3126" s="636"/>
      <c r="P3126" s="635"/>
      <c r="Q3126" s="636"/>
      <c r="R3126" s="637"/>
      <c r="S3126" s="698">
        <f>SUM(R2406:R2410)/1.18-(SUM(R3121:R3125)*'Mark Up Validation'!$M$105)</f>
        <v>0</v>
      </c>
      <c r="T3126" s="635"/>
      <c r="U3126" s="636"/>
      <c r="V3126" s="635"/>
      <c r="W3126" s="636"/>
      <c r="X3126" s="635"/>
      <c r="Y3126" s="636"/>
      <c r="Z3126" s="635"/>
      <c r="AA3126" s="636"/>
      <c r="AB3126" s="635"/>
      <c r="AC3126" s="636"/>
      <c r="AD3126" s="635"/>
      <c r="AE3126" s="636"/>
      <c r="AF3126" s="637"/>
      <c r="AG3126" s="698">
        <f>SUM(AF2406:AF2410)/1.18-SUM(AF3121:AF3125)*'Mark Up Validation'!$M$175</f>
        <v>0</v>
      </c>
      <c r="AH3126" s="638"/>
      <c r="AI3126" s="698">
        <f>SUM(AH2406:AH2410)/1.18-SUM(AH3121:AH3125)*'Mark Up Validation'!$M$175</f>
        <v>0</v>
      </c>
      <c r="AJ3126" s="65"/>
      <c r="AV3126" s="56"/>
    </row>
    <row r="3127" spans="1:48" ht="13.5" customHeight="1" outlineLevel="2" thickBot="1">
      <c r="A3127" s="119"/>
      <c r="B3127" s="82"/>
      <c r="C3127" s="1228" t="s">
        <v>539</v>
      </c>
      <c r="D3127" s="1229"/>
      <c r="E3127" s="699"/>
      <c r="F3127" s="700">
        <f>SUM(F3121:F3125)</f>
        <v>0</v>
      </c>
      <c r="G3127" s="701"/>
      <c r="H3127" s="700">
        <f>SUM(H3121:H3125)</f>
        <v>0</v>
      </c>
      <c r="I3127" s="701"/>
      <c r="J3127" s="700">
        <f>SUM(J3121:J3125)</f>
        <v>0</v>
      </c>
      <c r="K3127" s="702"/>
      <c r="L3127" s="700">
        <f>SUM(L3121:L3125)</f>
        <v>0</v>
      </c>
      <c r="M3127" s="702"/>
      <c r="N3127" s="700">
        <f>SUM(N3121:N3125)</f>
        <v>0</v>
      </c>
      <c r="O3127" s="702"/>
      <c r="P3127" s="700">
        <f>SUM(P3121:P3125)</f>
        <v>0</v>
      </c>
      <c r="Q3127" s="702"/>
      <c r="R3127" s="703"/>
      <c r="S3127" s="729">
        <f>IF(S3126&gt;0,S3126/(SUM(R2406:R2410)/1.18),0)</f>
        <v>0</v>
      </c>
      <c r="T3127" s="700">
        <f>SUM(T3121:T3125)</f>
        <v>0</v>
      </c>
      <c r="U3127" s="702"/>
      <c r="V3127" s="700">
        <f>SUM(V3121:V3125)</f>
        <v>0</v>
      </c>
      <c r="W3127" s="702"/>
      <c r="X3127" s="700">
        <f>SUM(X3121:X3125)</f>
        <v>0</v>
      </c>
      <c r="Y3127" s="702"/>
      <c r="Z3127" s="700">
        <f>SUM(Z3121:Z3125)</f>
        <v>0</v>
      </c>
      <c r="AA3127" s="702"/>
      <c r="AB3127" s="700">
        <f>SUM(AB3121:AB3125)</f>
        <v>0</v>
      </c>
      <c r="AC3127" s="702"/>
      <c r="AD3127" s="700">
        <f>SUM(AD3121:AD3125)</f>
        <v>0</v>
      </c>
      <c r="AE3127" s="702"/>
      <c r="AF3127" s="705"/>
      <c r="AG3127" s="729">
        <f>IF(AG3126&gt;0,AG3126/(SUM(AF2406:AF2410)/1.18),0)</f>
        <v>0</v>
      </c>
      <c r="AH3127" s="706"/>
      <c r="AI3127" s="729">
        <f>IF(AI3126&gt;0,AI3126/(SUM(AH2406:AH2410)/1.18),0)</f>
        <v>0</v>
      </c>
      <c r="AJ3127" s="707"/>
      <c r="AV3127" s="56"/>
    </row>
    <row r="3128" spans="1:48" ht="12.75" customHeight="1" outlineLevel="1" thickBot="1">
      <c r="B3128" s="82">
        <f>B3121+1</f>
        <v>36</v>
      </c>
      <c r="C3128" s="1233">
        <f>C258</f>
        <v>0</v>
      </c>
      <c r="D3128" s="1233">
        <f>D258</f>
        <v>0</v>
      </c>
      <c r="E3128" s="83" t="str">
        <f>'Terms and Turnovers'!$J$12</f>
        <v>FLIP-FLOPS</v>
      </c>
      <c r="F3128" s="68">
        <f>F1699/1.18-F2414*'Mark Up Validation'!$M$105</f>
        <v>0</v>
      </c>
      <c r="G3128" s="106"/>
      <c r="H3128" s="68">
        <f>H1699/1.18-H2414*'Mark Up Validation'!$M$105</f>
        <v>0</v>
      </c>
      <c r="I3128" s="106"/>
      <c r="J3128" s="68">
        <f>J1699/1.18-J2414*'Mark Up Validation'!$M$105</f>
        <v>0</v>
      </c>
      <c r="K3128" s="106"/>
      <c r="L3128" s="68">
        <f>L1699/1.18-L2414*'Mark Up Validation'!$M$105</f>
        <v>0</v>
      </c>
      <c r="M3128" s="106"/>
      <c r="N3128" s="68">
        <f>N1699/1.18-N2414*'Mark Up Validation'!$M$105</f>
        <v>0</v>
      </c>
      <c r="O3128" s="106"/>
      <c r="P3128" s="68">
        <f>P1699/1.18-P2414*'Mark Up Validation'!$M$105</f>
        <v>0</v>
      </c>
      <c r="Q3128" s="106"/>
      <c r="R3128" s="129">
        <f>SUM(F3128,H3128,J3128,L3128,N3128,P3128)</f>
        <v>0</v>
      </c>
      <c r="S3128" s="106"/>
      <c r="T3128" s="68">
        <f>T1699/1.18-T2414*'Mark Up Validation'!$S$105</f>
        <v>0</v>
      </c>
      <c r="U3128" s="106"/>
      <c r="V3128" s="68">
        <f>V1699/1.18-V2414*'Mark Up Validation'!$S$105</f>
        <v>0</v>
      </c>
      <c r="W3128" s="106"/>
      <c r="X3128" s="68">
        <f>X1699/1.18-X2414*'Mark Up Validation'!$S$105</f>
        <v>0</v>
      </c>
      <c r="Y3128" s="106"/>
      <c r="Z3128" s="68">
        <f>Z1699/1.18-Z2414*'Mark Up Validation'!$S$105</f>
        <v>0</v>
      </c>
      <c r="AA3128" s="106"/>
      <c r="AB3128" s="68">
        <f>AB1699/1.18-AB2414*'Mark Up Validation'!$S$105</f>
        <v>0</v>
      </c>
      <c r="AC3128" s="106"/>
      <c r="AD3128" s="68">
        <f>AD1699/1.18-AD2414*'Mark Up Validation'!$S$105</f>
        <v>0</v>
      </c>
      <c r="AE3128" s="106"/>
      <c r="AF3128" s="129">
        <f>SUM(T3128,V3128,X3128,Z3128,AB3128,AD3128)</f>
        <v>0</v>
      </c>
      <c r="AG3128" s="106"/>
      <c r="AH3128" s="130">
        <f>SUM(AF3128,R3128)</f>
        <v>0</v>
      </c>
      <c r="AI3128" s="106"/>
      <c r="AJ3128" s="65"/>
    </row>
    <row r="3129" spans="1:48" ht="12.75" customHeight="1" outlineLevel="1" thickBot="1">
      <c r="B3129" s="82"/>
      <c r="C3129" s="1234"/>
      <c r="D3129" s="1234"/>
      <c r="E3129" s="84" t="str">
        <f>'Terms and Turnovers'!$T$12</f>
        <v>ORIGINALS</v>
      </c>
      <c r="F3129" s="68">
        <f>F1700/1.18-F2415*'Mark Up Validation'!$M$105</f>
        <v>0</v>
      </c>
      <c r="G3129" s="728"/>
      <c r="H3129" s="68">
        <f>H1700/1.18-H2415*'Mark Up Validation'!$M$105</f>
        <v>0</v>
      </c>
      <c r="I3129" s="728"/>
      <c r="J3129" s="68">
        <f>J1700/1.18-J2415*'Mark Up Validation'!$M$105</f>
        <v>0</v>
      </c>
      <c r="K3129" s="728"/>
      <c r="L3129" s="68">
        <f>L1700/1.18-L2415*'Mark Up Validation'!$M$105</f>
        <v>0</v>
      </c>
      <c r="M3129" s="728"/>
      <c r="N3129" s="68">
        <f>N1700/1.18-N2415*'Mark Up Validation'!$M$105</f>
        <v>0</v>
      </c>
      <c r="O3129" s="728"/>
      <c r="P3129" s="68">
        <f>P1700/1.18-P2415*'Mark Up Validation'!$M$105</f>
        <v>0</v>
      </c>
      <c r="Q3129" s="728"/>
      <c r="R3129" s="132">
        <f>SUM(F3129,H3129,J3129,L3129,N3129,P3129)</f>
        <v>0</v>
      </c>
      <c r="S3129" s="728"/>
      <c r="T3129" s="68">
        <f>T1700/1.18-T2415*'Mark Up Validation'!$S$105</f>
        <v>0</v>
      </c>
      <c r="U3129" s="728"/>
      <c r="V3129" s="68">
        <f>V1700/1.18-V2415*'Mark Up Validation'!$S$105</f>
        <v>0</v>
      </c>
      <c r="W3129" s="728"/>
      <c r="X3129" s="68">
        <f>X1700/1.18-X2415*'Mark Up Validation'!$S$105</f>
        <v>0</v>
      </c>
      <c r="Y3129" s="728"/>
      <c r="Z3129" s="68">
        <f>Z1700/1.18-Z2415*'Mark Up Validation'!$S$105</f>
        <v>0</v>
      </c>
      <c r="AA3129" s="728"/>
      <c r="AB3129" s="68">
        <f>AB1700/1.18-AB2415*'Mark Up Validation'!$S$105</f>
        <v>0</v>
      </c>
      <c r="AC3129" s="728"/>
      <c r="AD3129" s="68">
        <f>AD1700/1.18-AD2415*'Mark Up Validation'!$S$105</f>
        <v>0</v>
      </c>
      <c r="AE3129" s="728"/>
      <c r="AF3129" s="132">
        <f>SUM(T3129,V3129,X3129,Z3129,AB3129,AD3129)</f>
        <v>0</v>
      </c>
      <c r="AG3129" s="728"/>
      <c r="AH3129" s="133">
        <f>SUM(AF3129,R3129)</f>
        <v>0</v>
      </c>
      <c r="AI3129" s="728"/>
      <c r="AJ3129" s="65"/>
    </row>
    <row r="3130" spans="1:48" ht="12.75" customHeight="1" outlineLevel="1" thickBot="1">
      <c r="B3130" s="82"/>
      <c r="C3130" s="1234"/>
      <c r="D3130" s="1234"/>
      <c r="E3130" s="84" t="str">
        <f>'Terms and Turnovers'!$AD$12</f>
        <v>ACCESSORIES</v>
      </c>
      <c r="F3130" s="68">
        <f>F1701/1.18-F2416*'Mark Up Validation'!$M$105</f>
        <v>0</v>
      </c>
      <c r="G3130" s="106"/>
      <c r="H3130" s="68">
        <f>H1701/1.18-H2416*'Mark Up Validation'!$M$105</f>
        <v>0</v>
      </c>
      <c r="I3130" s="106"/>
      <c r="J3130" s="68">
        <f>J1701/1.18-J2416*'Mark Up Validation'!$M$105</f>
        <v>0</v>
      </c>
      <c r="K3130" s="106"/>
      <c r="L3130" s="68">
        <f>L1701/1.18-L2416*'Mark Up Validation'!$M$105</f>
        <v>0</v>
      </c>
      <c r="M3130" s="106"/>
      <c r="N3130" s="68">
        <f>N1701/1.18-N2416*'Mark Up Validation'!$M$105</f>
        <v>0</v>
      </c>
      <c r="O3130" s="106"/>
      <c r="P3130" s="68">
        <f>P1701/1.18-P2416*'Mark Up Validation'!$M$105</f>
        <v>0</v>
      </c>
      <c r="Q3130" s="728"/>
      <c r="R3130" s="132">
        <f>SUM(F3130,H3130,J3130,L3130,N3130,P3130)</f>
        <v>0</v>
      </c>
      <c r="S3130" s="728"/>
      <c r="T3130" s="68">
        <f>T1701/1.18-T2416*'Mark Up Validation'!$S$105</f>
        <v>0</v>
      </c>
      <c r="U3130" s="728"/>
      <c r="V3130" s="68">
        <f>V1701/1.18-V2416*'Mark Up Validation'!$S$105</f>
        <v>0</v>
      </c>
      <c r="W3130" s="728"/>
      <c r="X3130" s="68">
        <f>X1701/1.18-X2416*'Mark Up Validation'!$S$105</f>
        <v>0</v>
      </c>
      <c r="Y3130" s="728"/>
      <c r="Z3130" s="68">
        <f>Z1701/1.18-Z2416*'Mark Up Validation'!$S$105</f>
        <v>0</v>
      </c>
      <c r="AA3130" s="728"/>
      <c r="AB3130" s="68">
        <f>AB1701/1.18-AB2416*'Mark Up Validation'!$S$105</f>
        <v>0</v>
      </c>
      <c r="AC3130" s="728"/>
      <c r="AD3130" s="68">
        <f>AD1701/1.18-AD2416*'Mark Up Validation'!$S$105</f>
        <v>0</v>
      </c>
      <c r="AE3130" s="728"/>
      <c r="AF3130" s="132">
        <f>SUM(T3130,V3130,X3130,Z3130,AB3130,AD3130)</f>
        <v>0</v>
      </c>
      <c r="AG3130" s="728"/>
      <c r="AH3130" s="133">
        <f>SUM(AF3130,R3130)</f>
        <v>0</v>
      </c>
      <c r="AI3130" s="728"/>
      <c r="AJ3130" s="65"/>
    </row>
    <row r="3131" spans="1:48" ht="12.75" customHeight="1" outlineLevel="1" thickBot="1">
      <c r="B3131" s="82"/>
      <c r="C3131" s="1234"/>
      <c r="D3131" s="1234"/>
      <c r="E3131" s="84">
        <f>'Terms and Turnovers'!$AN$12</f>
        <v>0</v>
      </c>
      <c r="F3131" s="68">
        <f>F1702/1.18-F2417*'Mark Up Validation'!$M$105</f>
        <v>0</v>
      </c>
      <c r="G3131" s="728"/>
      <c r="H3131" s="68">
        <f>H1702/1.18-H2417*'Mark Up Validation'!$M$105</f>
        <v>0</v>
      </c>
      <c r="I3131" s="728"/>
      <c r="J3131" s="68">
        <f>J1702/1.18-J2417*'Mark Up Validation'!$M$105</f>
        <v>0</v>
      </c>
      <c r="K3131" s="728"/>
      <c r="L3131" s="68">
        <f>L1702/1.18-L2417*'Mark Up Validation'!$M$105</f>
        <v>0</v>
      </c>
      <c r="M3131" s="728"/>
      <c r="N3131" s="68">
        <f>N1702/1.18-N2417*'Mark Up Validation'!$M$105</f>
        <v>0</v>
      </c>
      <c r="O3131" s="728"/>
      <c r="P3131" s="68">
        <f>P1702/1.18-P2417*'Mark Up Validation'!$M$105</f>
        <v>0</v>
      </c>
      <c r="Q3131" s="728"/>
      <c r="R3131" s="132">
        <f>SUM(F3131,H3131,J3131,L3131,N3131,P3131)</f>
        <v>0</v>
      </c>
      <c r="S3131" s="728"/>
      <c r="T3131" s="68">
        <f>T1702/1.18-T2417*'Mark Up Validation'!$S$105</f>
        <v>0</v>
      </c>
      <c r="U3131" s="728"/>
      <c r="V3131" s="68">
        <f>V1702/1.18-V2417*'Mark Up Validation'!$S$105</f>
        <v>0</v>
      </c>
      <c r="W3131" s="728"/>
      <c r="X3131" s="68">
        <f>X1702/1.18-X2417*'Mark Up Validation'!$S$105</f>
        <v>0</v>
      </c>
      <c r="Y3131" s="728"/>
      <c r="Z3131" s="68">
        <f>Z1702/1.18-Z2417*'Mark Up Validation'!$S$105</f>
        <v>0</v>
      </c>
      <c r="AA3131" s="728"/>
      <c r="AB3131" s="68">
        <f>AB1702/1.18-AB2417*'Mark Up Validation'!$S$105</f>
        <v>0</v>
      </c>
      <c r="AC3131" s="728"/>
      <c r="AD3131" s="68">
        <f>AD1702/1.18-AD2417*'Mark Up Validation'!$S$105</f>
        <v>0</v>
      </c>
      <c r="AE3131" s="728"/>
      <c r="AF3131" s="132">
        <f>SUM(T3131,V3131,X3131,Z3131,AB3131,AD3131)</f>
        <v>0</v>
      </c>
      <c r="AG3131" s="728"/>
      <c r="AH3131" s="133">
        <f>SUM(AF3131,R3131)</f>
        <v>0</v>
      </c>
      <c r="AI3131" s="728"/>
      <c r="AJ3131" s="65"/>
    </row>
    <row r="3132" spans="1:48" ht="13.5" customHeight="1" outlineLevel="1" thickBot="1">
      <c r="B3132" s="82"/>
      <c r="C3132" s="1235"/>
      <c r="D3132" s="1235"/>
      <c r="E3132" s="85">
        <f>'Terms and Turnovers'!$AX$12</f>
        <v>0</v>
      </c>
      <c r="F3132" s="68">
        <f>F1703/1.18-F2418*'Mark Up Validation'!$M$105</f>
        <v>0</v>
      </c>
      <c r="G3132" s="106"/>
      <c r="H3132" s="68">
        <f>H1703/1.18-H2418*'Mark Up Validation'!$M$105</f>
        <v>0</v>
      </c>
      <c r="I3132" s="106"/>
      <c r="J3132" s="68">
        <f>J1703/1.18-J2418*'Mark Up Validation'!$M$105</f>
        <v>0</v>
      </c>
      <c r="K3132" s="106"/>
      <c r="L3132" s="68">
        <f>L1703/1.18-L2418*'Mark Up Validation'!$M$105</f>
        <v>0</v>
      </c>
      <c r="M3132" s="106"/>
      <c r="N3132" s="68">
        <f>N1703/1.18-N2418*'Mark Up Validation'!$M$105</f>
        <v>0</v>
      </c>
      <c r="O3132" s="106"/>
      <c r="P3132" s="68">
        <f>P1703/1.18-P2418*'Mark Up Validation'!$M$105</f>
        <v>0</v>
      </c>
      <c r="Q3132" s="107"/>
      <c r="R3132" s="135">
        <f>SUM(F3132,H3132,J3132,L3132,N3132,P3132)</f>
        <v>0</v>
      </c>
      <c r="S3132" s="107"/>
      <c r="T3132" s="68">
        <f>T1703/1.18-T2418*'Mark Up Validation'!$S$105</f>
        <v>0</v>
      </c>
      <c r="U3132" s="107"/>
      <c r="V3132" s="68">
        <f>V1703/1.18-V2418*'Mark Up Validation'!$S$105</f>
        <v>0</v>
      </c>
      <c r="W3132" s="107"/>
      <c r="X3132" s="68">
        <f>X1703/1.18-X2418*'Mark Up Validation'!$S$105</f>
        <v>0</v>
      </c>
      <c r="Y3132" s="107"/>
      <c r="Z3132" s="68">
        <f>Z1703/1.18-Z2418*'Mark Up Validation'!$S$105</f>
        <v>0</v>
      </c>
      <c r="AA3132" s="107"/>
      <c r="AB3132" s="68">
        <f>AB1703/1.18-AB2418*'Mark Up Validation'!$S$105</f>
        <v>0</v>
      </c>
      <c r="AC3132" s="107"/>
      <c r="AD3132" s="68">
        <f>AD1703/1.18-AD2418*'Mark Up Validation'!$S$105</f>
        <v>0</v>
      </c>
      <c r="AE3132" s="107"/>
      <c r="AF3132" s="135">
        <f>SUM(T3132,V3132,X3132,Z3132,AB3132,AD3132)</f>
        <v>0</v>
      </c>
      <c r="AG3132" s="107"/>
      <c r="AH3132" s="136">
        <f>SUM(AF3132,R3132)</f>
        <v>0</v>
      </c>
      <c r="AI3132" s="107"/>
      <c r="AJ3132" s="65"/>
    </row>
    <row r="3133" spans="1:48" ht="13.5" customHeight="1" outlineLevel="1">
      <c r="B3133" s="82"/>
      <c r="C3133" s="425"/>
      <c r="D3133" s="425"/>
      <c r="E3133" s="634"/>
      <c r="F3133" s="635"/>
      <c r="G3133" s="428"/>
      <c r="H3133" s="635"/>
      <c r="I3133" s="428"/>
      <c r="J3133" s="635"/>
      <c r="K3133" s="636"/>
      <c r="L3133" s="635"/>
      <c r="M3133" s="636"/>
      <c r="N3133" s="635"/>
      <c r="O3133" s="636"/>
      <c r="P3133" s="635"/>
      <c r="Q3133" s="636"/>
      <c r="R3133" s="637"/>
      <c r="S3133" s="698">
        <f>SUM(R2413:R2417)/1.18-(SUM(R3128:R3132)*'Mark Up Validation'!$M$105)</f>
        <v>0</v>
      </c>
      <c r="T3133" s="635"/>
      <c r="U3133" s="636"/>
      <c r="V3133" s="635"/>
      <c r="W3133" s="636"/>
      <c r="X3133" s="635"/>
      <c r="Y3133" s="636"/>
      <c r="Z3133" s="635"/>
      <c r="AA3133" s="636"/>
      <c r="AB3133" s="635"/>
      <c r="AC3133" s="636"/>
      <c r="AD3133" s="635"/>
      <c r="AE3133" s="636"/>
      <c r="AF3133" s="637"/>
      <c r="AG3133" s="698">
        <f>SUM(AF2413:AF2417)/1.18-SUM(AF3128:AF3132)*'Mark Up Validation'!$M$175</f>
        <v>0</v>
      </c>
      <c r="AH3133" s="638"/>
      <c r="AI3133" s="698">
        <f>SUM(AH2413:AH2417)/1.18-SUM(AH3128:AH3132)*'Mark Up Validation'!$M$175</f>
        <v>0</v>
      </c>
      <c r="AJ3133" s="65"/>
    </row>
    <row r="3134" spans="1:48" ht="13.5" customHeight="1" outlineLevel="1" thickBot="1">
      <c r="A3134" s="119"/>
      <c r="B3134" s="82"/>
      <c r="C3134" s="1228" t="s">
        <v>539</v>
      </c>
      <c r="D3134" s="1229"/>
      <c r="E3134" s="699"/>
      <c r="F3134" s="700">
        <f>SUM(F3128:F3132)</f>
        <v>0</v>
      </c>
      <c r="G3134" s="701"/>
      <c r="H3134" s="700">
        <f>SUM(H3128:H3132)</f>
        <v>0</v>
      </c>
      <c r="I3134" s="701"/>
      <c r="J3134" s="700">
        <f>SUM(J3128:J3132)</f>
        <v>0</v>
      </c>
      <c r="K3134" s="702"/>
      <c r="L3134" s="700">
        <f>SUM(L3128:L3132)</f>
        <v>0</v>
      </c>
      <c r="M3134" s="702"/>
      <c r="N3134" s="700">
        <f>SUM(N3128:N3132)</f>
        <v>0</v>
      </c>
      <c r="O3134" s="702"/>
      <c r="P3134" s="700">
        <f>SUM(P3128:P3132)</f>
        <v>0</v>
      </c>
      <c r="Q3134" s="702"/>
      <c r="R3134" s="703"/>
      <c r="S3134" s="729">
        <f>IF(S3133&gt;0,S3133/(SUM(R2413:R2417)/1.18),0)</f>
        <v>0</v>
      </c>
      <c r="T3134" s="700">
        <f>SUM(T3128:T3132)</f>
        <v>0</v>
      </c>
      <c r="U3134" s="702"/>
      <c r="V3134" s="700">
        <f>SUM(V3128:V3132)</f>
        <v>0</v>
      </c>
      <c r="W3134" s="702"/>
      <c r="X3134" s="700">
        <f>SUM(X3128:X3132)</f>
        <v>0</v>
      </c>
      <c r="Y3134" s="702"/>
      <c r="Z3134" s="700">
        <f>SUM(Z3128:Z3132)</f>
        <v>0</v>
      </c>
      <c r="AA3134" s="702"/>
      <c r="AB3134" s="700">
        <f>SUM(AB3128:AB3132)</f>
        <v>0</v>
      </c>
      <c r="AC3134" s="702"/>
      <c r="AD3134" s="700">
        <f>SUM(AD3128:AD3132)</f>
        <v>0</v>
      </c>
      <c r="AE3134" s="702"/>
      <c r="AF3134" s="705"/>
      <c r="AG3134" s="729">
        <f>IF(AG3133&gt;0,AG3133/(SUM(AF2413:AF2417)/1.18),0)</f>
        <v>0</v>
      </c>
      <c r="AH3134" s="706"/>
      <c r="AI3134" s="729">
        <f>IF(AI3133&gt;0,AI3133/(SUM(AH2413:AH2417)/1.18),0)</f>
        <v>0</v>
      </c>
      <c r="AJ3134" s="707"/>
    </row>
    <row r="3135" spans="1:48" ht="12.75" customHeight="1" outlineLevel="2" thickBot="1">
      <c r="B3135" s="82">
        <f>B3128+1</f>
        <v>37</v>
      </c>
      <c r="C3135" s="1233">
        <f>C265</f>
        <v>0</v>
      </c>
      <c r="D3135" s="1233">
        <f>D265</f>
        <v>0</v>
      </c>
      <c r="E3135" s="83" t="str">
        <f>'Terms and Turnovers'!$J$12</f>
        <v>FLIP-FLOPS</v>
      </c>
      <c r="F3135" s="68">
        <f>F1706/1.18-F2421*'Mark Up Validation'!$M$105</f>
        <v>0</v>
      </c>
      <c r="G3135" s="106"/>
      <c r="H3135" s="68">
        <f>H1706/1.18-H2421*'Mark Up Validation'!$M$105</f>
        <v>0</v>
      </c>
      <c r="I3135" s="106"/>
      <c r="J3135" s="68">
        <f>J1706/1.18-J2421*'Mark Up Validation'!$M$105</f>
        <v>0</v>
      </c>
      <c r="K3135" s="106"/>
      <c r="L3135" s="68">
        <f>L1706/1.18-L2421*'Mark Up Validation'!$M$105</f>
        <v>0</v>
      </c>
      <c r="M3135" s="106"/>
      <c r="N3135" s="68">
        <f>N1706/1.18-N2421*'Mark Up Validation'!$M$105</f>
        <v>0</v>
      </c>
      <c r="O3135" s="106"/>
      <c r="P3135" s="68">
        <f>P1706/1.18-P2421*'Mark Up Validation'!$M$105</f>
        <v>0</v>
      </c>
      <c r="Q3135" s="106"/>
      <c r="R3135" s="129">
        <f>SUM(F3135,H3135,J3135,L3135,N3135,P3135)</f>
        <v>0</v>
      </c>
      <c r="S3135" s="106"/>
      <c r="T3135" s="68">
        <f>T1706/1.18-T2421*'Mark Up Validation'!$S$105</f>
        <v>0</v>
      </c>
      <c r="U3135" s="106"/>
      <c r="V3135" s="68">
        <f>V1706/1.18-V2421*'Mark Up Validation'!$S$105</f>
        <v>0</v>
      </c>
      <c r="W3135" s="106"/>
      <c r="X3135" s="68">
        <f>X1706/1.18-X2421*'Mark Up Validation'!$S$105</f>
        <v>0</v>
      </c>
      <c r="Y3135" s="106"/>
      <c r="Z3135" s="68">
        <f>Z1706/1.18-Z2421*'Mark Up Validation'!$S$105</f>
        <v>0</v>
      </c>
      <c r="AA3135" s="106"/>
      <c r="AB3135" s="68">
        <f>AB1706/1.18-AB2421*'Mark Up Validation'!$S$105</f>
        <v>0</v>
      </c>
      <c r="AC3135" s="106"/>
      <c r="AD3135" s="68">
        <f>AD1706/1.18-AD2421*'Mark Up Validation'!$S$105</f>
        <v>0</v>
      </c>
      <c r="AE3135" s="106"/>
      <c r="AF3135" s="129">
        <f>SUM(T3135,V3135,X3135,Z3135,AB3135,AD3135)</f>
        <v>0</v>
      </c>
      <c r="AG3135" s="106"/>
      <c r="AH3135" s="130">
        <f>SUM(AF3135,R3135)</f>
        <v>0</v>
      </c>
      <c r="AI3135" s="106"/>
      <c r="AJ3135" s="65"/>
      <c r="AV3135" s="56"/>
    </row>
    <row r="3136" spans="1:48" ht="12.75" customHeight="1" outlineLevel="2" thickBot="1">
      <c r="B3136" s="82"/>
      <c r="C3136" s="1234"/>
      <c r="D3136" s="1234"/>
      <c r="E3136" s="84" t="str">
        <f>'Terms and Turnovers'!$T$12</f>
        <v>ORIGINALS</v>
      </c>
      <c r="F3136" s="68">
        <f>F1707/1.18-F2422*'Mark Up Validation'!$M$105</f>
        <v>0</v>
      </c>
      <c r="G3136" s="728"/>
      <c r="H3136" s="68">
        <f>H1707/1.18-H2422*'Mark Up Validation'!$M$105</f>
        <v>0</v>
      </c>
      <c r="I3136" s="728"/>
      <c r="J3136" s="68">
        <f>J1707/1.18-J2422*'Mark Up Validation'!$M$105</f>
        <v>0</v>
      </c>
      <c r="K3136" s="728"/>
      <c r="L3136" s="68">
        <f>L1707/1.18-L2422*'Mark Up Validation'!$M$105</f>
        <v>0</v>
      </c>
      <c r="M3136" s="728"/>
      <c r="N3136" s="68">
        <f>N1707/1.18-N2422*'Mark Up Validation'!$M$105</f>
        <v>0</v>
      </c>
      <c r="O3136" s="728"/>
      <c r="P3136" s="68">
        <f>P1707/1.18-P2422*'Mark Up Validation'!$M$105</f>
        <v>0</v>
      </c>
      <c r="Q3136" s="728"/>
      <c r="R3136" s="132">
        <f>SUM(F3136,H3136,J3136,L3136,N3136,P3136)</f>
        <v>0</v>
      </c>
      <c r="S3136" s="728"/>
      <c r="T3136" s="68">
        <f>T1707/1.18-T2422*'Mark Up Validation'!$S$105</f>
        <v>0</v>
      </c>
      <c r="U3136" s="728"/>
      <c r="V3136" s="68">
        <f>V1707/1.18-V2422*'Mark Up Validation'!$S$105</f>
        <v>0</v>
      </c>
      <c r="W3136" s="728"/>
      <c r="X3136" s="68">
        <f>X1707/1.18-X2422*'Mark Up Validation'!$S$105</f>
        <v>0</v>
      </c>
      <c r="Y3136" s="728"/>
      <c r="Z3136" s="68">
        <f>Z1707/1.18-Z2422*'Mark Up Validation'!$S$105</f>
        <v>0</v>
      </c>
      <c r="AA3136" s="728"/>
      <c r="AB3136" s="68">
        <f>AB1707/1.18-AB2422*'Mark Up Validation'!$S$105</f>
        <v>0</v>
      </c>
      <c r="AC3136" s="728"/>
      <c r="AD3136" s="68">
        <f>AD1707/1.18-AD2422*'Mark Up Validation'!$S$105</f>
        <v>0</v>
      </c>
      <c r="AE3136" s="728"/>
      <c r="AF3136" s="132">
        <f>SUM(T3136,V3136,X3136,Z3136,AB3136,AD3136)</f>
        <v>0</v>
      </c>
      <c r="AG3136" s="728"/>
      <c r="AH3136" s="133">
        <f>SUM(AF3136,R3136)</f>
        <v>0</v>
      </c>
      <c r="AI3136" s="728"/>
      <c r="AJ3136" s="65"/>
      <c r="AV3136" s="56"/>
    </row>
    <row r="3137" spans="1:48" ht="12.75" customHeight="1" outlineLevel="2" thickBot="1">
      <c r="B3137" s="82"/>
      <c r="C3137" s="1234"/>
      <c r="D3137" s="1234"/>
      <c r="E3137" s="84" t="str">
        <f>'Terms and Turnovers'!$AD$12</f>
        <v>ACCESSORIES</v>
      </c>
      <c r="F3137" s="68">
        <f>F1708/1.18-F2423*'Mark Up Validation'!$M$105</f>
        <v>0</v>
      </c>
      <c r="G3137" s="106"/>
      <c r="H3137" s="68">
        <f>H1708/1.18-H2423*'Mark Up Validation'!$M$105</f>
        <v>0</v>
      </c>
      <c r="I3137" s="106"/>
      <c r="J3137" s="68">
        <f>J1708/1.18-J2423*'Mark Up Validation'!$M$105</f>
        <v>0</v>
      </c>
      <c r="K3137" s="106"/>
      <c r="L3137" s="68">
        <f>L1708/1.18-L2423*'Mark Up Validation'!$M$105</f>
        <v>0</v>
      </c>
      <c r="M3137" s="106"/>
      <c r="N3137" s="68">
        <f>N1708/1.18-N2423*'Mark Up Validation'!$M$105</f>
        <v>0</v>
      </c>
      <c r="O3137" s="106"/>
      <c r="P3137" s="68">
        <f>P1708/1.18-P2423*'Mark Up Validation'!$M$105</f>
        <v>0</v>
      </c>
      <c r="Q3137" s="728"/>
      <c r="R3137" s="132">
        <f>SUM(F3137,H3137,J3137,L3137,N3137,P3137)</f>
        <v>0</v>
      </c>
      <c r="S3137" s="728"/>
      <c r="T3137" s="68">
        <f>T1708/1.18-T2423*'Mark Up Validation'!$S$105</f>
        <v>0</v>
      </c>
      <c r="U3137" s="728"/>
      <c r="V3137" s="68">
        <f>V1708/1.18-V2423*'Mark Up Validation'!$S$105</f>
        <v>0</v>
      </c>
      <c r="W3137" s="728"/>
      <c r="X3137" s="68">
        <f>X1708/1.18-X2423*'Mark Up Validation'!$S$105</f>
        <v>0</v>
      </c>
      <c r="Y3137" s="728"/>
      <c r="Z3137" s="68">
        <f>Z1708/1.18-Z2423*'Mark Up Validation'!$S$105</f>
        <v>0</v>
      </c>
      <c r="AA3137" s="728"/>
      <c r="AB3137" s="68">
        <f>AB1708/1.18-AB2423*'Mark Up Validation'!$S$105</f>
        <v>0</v>
      </c>
      <c r="AC3137" s="728"/>
      <c r="AD3137" s="68">
        <f>AD1708/1.18-AD2423*'Mark Up Validation'!$S$105</f>
        <v>0</v>
      </c>
      <c r="AE3137" s="728"/>
      <c r="AF3137" s="132">
        <f>SUM(T3137,V3137,X3137,Z3137,AB3137,AD3137)</f>
        <v>0</v>
      </c>
      <c r="AG3137" s="728"/>
      <c r="AH3137" s="133">
        <f>SUM(AF3137,R3137)</f>
        <v>0</v>
      </c>
      <c r="AI3137" s="728"/>
      <c r="AJ3137" s="65"/>
      <c r="AV3137" s="56"/>
    </row>
    <row r="3138" spans="1:48" ht="12.75" customHeight="1" outlineLevel="2" thickBot="1">
      <c r="B3138" s="82"/>
      <c r="C3138" s="1234"/>
      <c r="D3138" s="1234"/>
      <c r="E3138" s="84">
        <f>'Terms and Turnovers'!$AN$12</f>
        <v>0</v>
      </c>
      <c r="F3138" s="68">
        <f>F1709/1.18-F2424*'Mark Up Validation'!$M$105</f>
        <v>0</v>
      </c>
      <c r="G3138" s="728"/>
      <c r="H3138" s="68">
        <f>H1709/1.18-H2424*'Mark Up Validation'!$M$105</f>
        <v>0</v>
      </c>
      <c r="I3138" s="728"/>
      <c r="J3138" s="68">
        <f>J1709/1.18-J2424*'Mark Up Validation'!$M$105</f>
        <v>0</v>
      </c>
      <c r="K3138" s="728"/>
      <c r="L3138" s="68">
        <f>L1709/1.18-L2424*'Mark Up Validation'!$M$105</f>
        <v>0</v>
      </c>
      <c r="M3138" s="728"/>
      <c r="N3138" s="68">
        <f>N1709/1.18-N2424*'Mark Up Validation'!$M$105</f>
        <v>0</v>
      </c>
      <c r="O3138" s="728"/>
      <c r="P3138" s="68">
        <f>P1709/1.18-P2424*'Mark Up Validation'!$M$105</f>
        <v>0</v>
      </c>
      <c r="Q3138" s="728"/>
      <c r="R3138" s="132">
        <f>SUM(F3138,H3138,J3138,L3138,N3138,P3138)</f>
        <v>0</v>
      </c>
      <c r="S3138" s="728"/>
      <c r="T3138" s="68">
        <f>T1709/1.18-T2424*'Mark Up Validation'!$S$105</f>
        <v>0</v>
      </c>
      <c r="U3138" s="728"/>
      <c r="V3138" s="68">
        <f>V1709/1.18-V2424*'Mark Up Validation'!$S$105</f>
        <v>0</v>
      </c>
      <c r="W3138" s="728"/>
      <c r="X3138" s="68">
        <f>X1709/1.18-X2424*'Mark Up Validation'!$S$105</f>
        <v>0</v>
      </c>
      <c r="Y3138" s="728"/>
      <c r="Z3138" s="68">
        <f>Z1709/1.18-Z2424*'Mark Up Validation'!$S$105</f>
        <v>0</v>
      </c>
      <c r="AA3138" s="728"/>
      <c r="AB3138" s="68">
        <f>AB1709/1.18-AB2424*'Mark Up Validation'!$S$105</f>
        <v>0</v>
      </c>
      <c r="AC3138" s="728"/>
      <c r="AD3138" s="68">
        <f>AD1709/1.18-AD2424*'Mark Up Validation'!$S$105</f>
        <v>0</v>
      </c>
      <c r="AE3138" s="728"/>
      <c r="AF3138" s="132">
        <f>SUM(T3138,V3138,X3138,Z3138,AB3138,AD3138)</f>
        <v>0</v>
      </c>
      <c r="AG3138" s="728"/>
      <c r="AH3138" s="133">
        <f>SUM(AF3138,R3138)</f>
        <v>0</v>
      </c>
      <c r="AI3138" s="728"/>
      <c r="AJ3138" s="65"/>
      <c r="AV3138" s="56"/>
    </row>
    <row r="3139" spans="1:48" ht="13.5" customHeight="1" outlineLevel="2" thickBot="1">
      <c r="B3139" s="82"/>
      <c r="C3139" s="1235"/>
      <c r="D3139" s="1235"/>
      <c r="E3139" s="85">
        <f>'Terms and Turnovers'!$AX$12</f>
        <v>0</v>
      </c>
      <c r="F3139" s="68">
        <f>F1710/1.18-F2425*'Mark Up Validation'!$M$105</f>
        <v>0</v>
      </c>
      <c r="G3139" s="106"/>
      <c r="H3139" s="68">
        <f>H1710/1.18-H2425*'Mark Up Validation'!$M$105</f>
        <v>0</v>
      </c>
      <c r="I3139" s="106"/>
      <c r="J3139" s="68">
        <f>J1710/1.18-J2425*'Mark Up Validation'!$M$105</f>
        <v>0</v>
      </c>
      <c r="K3139" s="106"/>
      <c r="L3139" s="68">
        <f>L1710/1.18-L2425*'Mark Up Validation'!$M$105</f>
        <v>0</v>
      </c>
      <c r="M3139" s="106"/>
      <c r="N3139" s="68">
        <f>N1710/1.18-N2425*'Mark Up Validation'!$M$105</f>
        <v>0</v>
      </c>
      <c r="O3139" s="106"/>
      <c r="P3139" s="68">
        <f>P1710/1.18-P2425*'Mark Up Validation'!$M$105</f>
        <v>0</v>
      </c>
      <c r="Q3139" s="107"/>
      <c r="R3139" s="135">
        <f>SUM(F3139,H3139,J3139,L3139,N3139,P3139)</f>
        <v>0</v>
      </c>
      <c r="S3139" s="107"/>
      <c r="T3139" s="68">
        <f>T1710/1.18-T2425*'Mark Up Validation'!$S$105</f>
        <v>0</v>
      </c>
      <c r="U3139" s="107"/>
      <c r="V3139" s="68">
        <f>V1710/1.18-V2425*'Mark Up Validation'!$S$105</f>
        <v>0</v>
      </c>
      <c r="W3139" s="107"/>
      <c r="X3139" s="68">
        <f>X1710/1.18-X2425*'Mark Up Validation'!$S$105</f>
        <v>0</v>
      </c>
      <c r="Y3139" s="107"/>
      <c r="Z3139" s="68">
        <f>Z1710/1.18-Z2425*'Mark Up Validation'!$S$105</f>
        <v>0</v>
      </c>
      <c r="AA3139" s="107"/>
      <c r="AB3139" s="68">
        <f>AB1710/1.18-AB2425*'Mark Up Validation'!$S$105</f>
        <v>0</v>
      </c>
      <c r="AC3139" s="107"/>
      <c r="AD3139" s="68">
        <f>AD1710/1.18-AD2425*'Mark Up Validation'!$S$105</f>
        <v>0</v>
      </c>
      <c r="AE3139" s="107"/>
      <c r="AF3139" s="135">
        <f>SUM(T3139,V3139,X3139,Z3139,AB3139,AD3139)</f>
        <v>0</v>
      </c>
      <c r="AG3139" s="107"/>
      <c r="AH3139" s="136">
        <f>SUM(AF3139,R3139)</f>
        <v>0</v>
      </c>
      <c r="AI3139" s="107"/>
      <c r="AJ3139" s="65"/>
      <c r="AV3139" s="56"/>
    </row>
    <row r="3140" spans="1:48" ht="13.5" customHeight="1" outlineLevel="2">
      <c r="B3140" s="82"/>
      <c r="C3140" s="425"/>
      <c r="D3140" s="425"/>
      <c r="E3140" s="634"/>
      <c r="F3140" s="635"/>
      <c r="G3140" s="428"/>
      <c r="H3140" s="635"/>
      <c r="I3140" s="428"/>
      <c r="J3140" s="635"/>
      <c r="K3140" s="636"/>
      <c r="L3140" s="635"/>
      <c r="M3140" s="636"/>
      <c r="N3140" s="635"/>
      <c r="O3140" s="636"/>
      <c r="P3140" s="635"/>
      <c r="Q3140" s="636"/>
      <c r="R3140" s="637"/>
      <c r="S3140" s="698">
        <f>SUM(R2420:R2424)/1.18-(SUM(R3135:R3139)*'Mark Up Validation'!$M$105)</f>
        <v>0</v>
      </c>
      <c r="T3140" s="635"/>
      <c r="U3140" s="636"/>
      <c r="V3140" s="635"/>
      <c r="W3140" s="636"/>
      <c r="X3140" s="635"/>
      <c r="Y3140" s="636"/>
      <c r="Z3140" s="635"/>
      <c r="AA3140" s="636"/>
      <c r="AB3140" s="635"/>
      <c r="AC3140" s="636"/>
      <c r="AD3140" s="635"/>
      <c r="AE3140" s="636"/>
      <c r="AF3140" s="637"/>
      <c r="AG3140" s="698">
        <f>SUM(AF2420:AF2424)/1.18-SUM(AF3135:AF3139)*'Mark Up Validation'!$M$175</f>
        <v>0</v>
      </c>
      <c r="AH3140" s="638"/>
      <c r="AI3140" s="698">
        <f>SUM(AH2420:AH2424)/1.18-SUM(AH3135:AH3139)*'Mark Up Validation'!$M$175</f>
        <v>0</v>
      </c>
      <c r="AJ3140" s="65"/>
      <c r="AV3140" s="56"/>
    </row>
    <row r="3141" spans="1:48" ht="13.5" customHeight="1" outlineLevel="2" thickBot="1">
      <c r="A3141" s="119"/>
      <c r="B3141" s="82"/>
      <c r="C3141" s="1228" t="s">
        <v>539</v>
      </c>
      <c r="D3141" s="1229"/>
      <c r="E3141" s="699"/>
      <c r="F3141" s="700">
        <f>SUM(F3135:F3139)</f>
        <v>0</v>
      </c>
      <c r="G3141" s="701"/>
      <c r="H3141" s="700">
        <f>SUM(H3135:H3139)</f>
        <v>0</v>
      </c>
      <c r="I3141" s="701"/>
      <c r="J3141" s="700">
        <f>SUM(J3135:J3139)</f>
        <v>0</v>
      </c>
      <c r="K3141" s="702"/>
      <c r="L3141" s="700">
        <f>SUM(L3135:L3139)</f>
        <v>0</v>
      </c>
      <c r="M3141" s="702"/>
      <c r="N3141" s="700">
        <f>SUM(N3135:N3139)</f>
        <v>0</v>
      </c>
      <c r="O3141" s="702"/>
      <c r="P3141" s="700">
        <f>SUM(P3135:P3139)</f>
        <v>0</v>
      </c>
      <c r="Q3141" s="702"/>
      <c r="R3141" s="703"/>
      <c r="S3141" s="729">
        <f>IF(S3140&gt;0,S3140/(SUM(R2420:R2424)/1.18),0)</f>
        <v>0</v>
      </c>
      <c r="T3141" s="700">
        <f>SUM(T3135:T3139)</f>
        <v>0</v>
      </c>
      <c r="U3141" s="702"/>
      <c r="V3141" s="700">
        <f>SUM(V3135:V3139)</f>
        <v>0</v>
      </c>
      <c r="W3141" s="702"/>
      <c r="X3141" s="700">
        <f>SUM(X3135:X3139)</f>
        <v>0</v>
      </c>
      <c r="Y3141" s="702"/>
      <c r="Z3141" s="700">
        <f>SUM(Z3135:Z3139)</f>
        <v>0</v>
      </c>
      <c r="AA3141" s="702"/>
      <c r="AB3141" s="700">
        <f>SUM(AB3135:AB3139)</f>
        <v>0</v>
      </c>
      <c r="AC3141" s="702"/>
      <c r="AD3141" s="700">
        <f>SUM(AD3135:AD3139)</f>
        <v>0</v>
      </c>
      <c r="AE3141" s="702"/>
      <c r="AF3141" s="705"/>
      <c r="AG3141" s="729">
        <f>IF(AG3140&gt;0,AG3140/(SUM(AF2420:AF2424)/1.18),0)</f>
        <v>0</v>
      </c>
      <c r="AH3141" s="706"/>
      <c r="AI3141" s="729">
        <f>IF(AI3140&gt;0,AI3140/(SUM(AH2420:AH2424)/1.18),0)</f>
        <v>0</v>
      </c>
      <c r="AJ3141" s="707"/>
      <c r="AV3141" s="56"/>
    </row>
    <row r="3142" spans="1:48" ht="12.75" customHeight="1" outlineLevel="2" thickBot="1">
      <c r="B3142" s="82">
        <f>B3135+1</f>
        <v>38</v>
      </c>
      <c r="C3142" s="1233">
        <f>C272</f>
        <v>0</v>
      </c>
      <c r="D3142" s="1233">
        <f>D272</f>
        <v>0</v>
      </c>
      <c r="E3142" s="83" t="str">
        <f>'Terms and Turnovers'!$J$12</f>
        <v>FLIP-FLOPS</v>
      </c>
      <c r="F3142" s="68">
        <f>F1713/1.18-F2428*'Mark Up Validation'!$M$105</f>
        <v>0</v>
      </c>
      <c r="G3142" s="106"/>
      <c r="H3142" s="68">
        <f>H1713/1.18-H2428*'Mark Up Validation'!$M$105</f>
        <v>0</v>
      </c>
      <c r="I3142" s="106"/>
      <c r="J3142" s="68">
        <f>J1713/1.18-J2428*'Mark Up Validation'!$M$105</f>
        <v>0</v>
      </c>
      <c r="K3142" s="106"/>
      <c r="L3142" s="68">
        <f>L1713/1.18-L2428*'Mark Up Validation'!$M$105</f>
        <v>0</v>
      </c>
      <c r="M3142" s="106"/>
      <c r="N3142" s="68">
        <f>N1713/1.18-N2428*'Mark Up Validation'!$M$105</f>
        <v>0</v>
      </c>
      <c r="O3142" s="106"/>
      <c r="P3142" s="68">
        <f>P1713/1.18-P2428*'Mark Up Validation'!$M$105</f>
        <v>0</v>
      </c>
      <c r="Q3142" s="106"/>
      <c r="R3142" s="129">
        <f>SUM(F3142,H3142,J3142,L3142,N3142,P3142)</f>
        <v>0</v>
      </c>
      <c r="S3142" s="106"/>
      <c r="T3142" s="68">
        <f>T1713/1.18-T2428*'Mark Up Validation'!$S$105</f>
        <v>0</v>
      </c>
      <c r="U3142" s="106"/>
      <c r="V3142" s="68">
        <f>V1713/1.18-V2428*'Mark Up Validation'!$S$105</f>
        <v>0</v>
      </c>
      <c r="W3142" s="106"/>
      <c r="X3142" s="68">
        <f>X1713/1.18-X2428*'Mark Up Validation'!$S$105</f>
        <v>0</v>
      </c>
      <c r="Y3142" s="106"/>
      <c r="Z3142" s="68">
        <f>Z1713/1.18-Z2428*'Mark Up Validation'!$S$105</f>
        <v>0</v>
      </c>
      <c r="AA3142" s="106"/>
      <c r="AB3142" s="68">
        <f>AB1713/1.18-AB2428*'Mark Up Validation'!$S$105</f>
        <v>0</v>
      </c>
      <c r="AC3142" s="106"/>
      <c r="AD3142" s="68">
        <f>AD1713/1.18-AD2428*'Mark Up Validation'!$S$105</f>
        <v>0</v>
      </c>
      <c r="AE3142" s="106"/>
      <c r="AF3142" s="129">
        <f>SUM(T3142,V3142,X3142,Z3142,AB3142,AD3142)</f>
        <v>0</v>
      </c>
      <c r="AG3142" s="106"/>
      <c r="AH3142" s="130">
        <f>SUM(AF3142,R3142)</f>
        <v>0</v>
      </c>
      <c r="AI3142" s="106"/>
      <c r="AJ3142" s="65"/>
      <c r="AV3142" s="56"/>
    </row>
    <row r="3143" spans="1:48" ht="12.75" customHeight="1" outlineLevel="2" thickBot="1">
      <c r="B3143" s="82"/>
      <c r="C3143" s="1234"/>
      <c r="D3143" s="1234"/>
      <c r="E3143" s="84" t="str">
        <f>'Terms and Turnovers'!$T$12</f>
        <v>ORIGINALS</v>
      </c>
      <c r="F3143" s="68">
        <f>F1714/1.18-F2429*'Mark Up Validation'!$M$105</f>
        <v>0</v>
      </c>
      <c r="G3143" s="728"/>
      <c r="H3143" s="68">
        <f>H1714/1.18-H2429*'Mark Up Validation'!$M$105</f>
        <v>0</v>
      </c>
      <c r="I3143" s="728"/>
      <c r="J3143" s="68">
        <f>J1714/1.18-J2429*'Mark Up Validation'!$M$105</f>
        <v>0</v>
      </c>
      <c r="K3143" s="728"/>
      <c r="L3143" s="68">
        <f>L1714/1.18-L2429*'Mark Up Validation'!$M$105</f>
        <v>0</v>
      </c>
      <c r="M3143" s="728"/>
      <c r="N3143" s="68">
        <f>N1714/1.18-N2429*'Mark Up Validation'!$M$105</f>
        <v>0</v>
      </c>
      <c r="O3143" s="728"/>
      <c r="P3143" s="68">
        <f>P1714/1.18-P2429*'Mark Up Validation'!$M$105</f>
        <v>0</v>
      </c>
      <c r="Q3143" s="728"/>
      <c r="R3143" s="132">
        <f>SUM(F3143,H3143,J3143,L3143,N3143,P3143)</f>
        <v>0</v>
      </c>
      <c r="S3143" s="728"/>
      <c r="T3143" s="68">
        <f>T1714/1.18-T2429*'Mark Up Validation'!$S$105</f>
        <v>0</v>
      </c>
      <c r="U3143" s="728"/>
      <c r="V3143" s="68">
        <f>V1714/1.18-V2429*'Mark Up Validation'!$S$105</f>
        <v>0</v>
      </c>
      <c r="W3143" s="728"/>
      <c r="X3143" s="68">
        <f>X1714/1.18-X2429*'Mark Up Validation'!$S$105</f>
        <v>0</v>
      </c>
      <c r="Y3143" s="728"/>
      <c r="Z3143" s="68">
        <f>Z1714/1.18-Z2429*'Mark Up Validation'!$S$105</f>
        <v>0</v>
      </c>
      <c r="AA3143" s="728"/>
      <c r="AB3143" s="68">
        <f>AB1714/1.18-AB2429*'Mark Up Validation'!$S$105</f>
        <v>0</v>
      </c>
      <c r="AC3143" s="728"/>
      <c r="AD3143" s="68">
        <f>AD1714/1.18-AD2429*'Mark Up Validation'!$S$105</f>
        <v>0</v>
      </c>
      <c r="AE3143" s="728"/>
      <c r="AF3143" s="132">
        <f>SUM(T3143,V3143,X3143,Z3143,AB3143,AD3143)</f>
        <v>0</v>
      </c>
      <c r="AG3143" s="728"/>
      <c r="AH3143" s="133">
        <f>SUM(AF3143,R3143)</f>
        <v>0</v>
      </c>
      <c r="AI3143" s="728"/>
      <c r="AJ3143" s="65"/>
      <c r="AV3143" s="56"/>
    </row>
    <row r="3144" spans="1:48" ht="12.75" customHeight="1" outlineLevel="2" thickBot="1">
      <c r="B3144" s="82"/>
      <c r="C3144" s="1234"/>
      <c r="D3144" s="1234"/>
      <c r="E3144" s="84" t="str">
        <f>'Terms and Turnovers'!$AD$12</f>
        <v>ACCESSORIES</v>
      </c>
      <c r="F3144" s="68">
        <f>F1715/1.18-F2430*'Mark Up Validation'!$M$105</f>
        <v>0</v>
      </c>
      <c r="G3144" s="106"/>
      <c r="H3144" s="68">
        <f>H1715/1.18-H2430*'Mark Up Validation'!$M$105</f>
        <v>0</v>
      </c>
      <c r="I3144" s="106"/>
      <c r="J3144" s="68">
        <f>J1715/1.18-J2430*'Mark Up Validation'!$M$105</f>
        <v>0</v>
      </c>
      <c r="K3144" s="106"/>
      <c r="L3144" s="68">
        <f>L1715/1.18-L2430*'Mark Up Validation'!$M$105</f>
        <v>0</v>
      </c>
      <c r="M3144" s="106"/>
      <c r="N3144" s="68">
        <f>N1715/1.18-N2430*'Mark Up Validation'!$M$105</f>
        <v>0</v>
      </c>
      <c r="O3144" s="106"/>
      <c r="P3144" s="68">
        <f>P1715/1.18-P2430*'Mark Up Validation'!$M$105</f>
        <v>0</v>
      </c>
      <c r="Q3144" s="728"/>
      <c r="R3144" s="132">
        <f>SUM(F3144,H3144,J3144,L3144,N3144,P3144)</f>
        <v>0</v>
      </c>
      <c r="S3144" s="728"/>
      <c r="T3144" s="68">
        <f>T1715/1.18-T2430*'Mark Up Validation'!$S$105</f>
        <v>0</v>
      </c>
      <c r="U3144" s="728"/>
      <c r="V3144" s="68">
        <f>V1715/1.18-V2430*'Mark Up Validation'!$S$105</f>
        <v>0</v>
      </c>
      <c r="W3144" s="728"/>
      <c r="X3144" s="68">
        <f>X1715/1.18-X2430*'Mark Up Validation'!$S$105</f>
        <v>0</v>
      </c>
      <c r="Y3144" s="728"/>
      <c r="Z3144" s="68">
        <f>Z1715/1.18-Z2430*'Mark Up Validation'!$S$105</f>
        <v>0</v>
      </c>
      <c r="AA3144" s="728"/>
      <c r="AB3144" s="68">
        <f>AB1715/1.18-AB2430*'Mark Up Validation'!$S$105</f>
        <v>0</v>
      </c>
      <c r="AC3144" s="728"/>
      <c r="AD3144" s="68">
        <f>AD1715/1.18-AD2430*'Mark Up Validation'!$S$105</f>
        <v>0</v>
      </c>
      <c r="AE3144" s="728"/>
      <c r="AF3144" s="132">
        <f>SUM(T3144,V3144,X3144,Z3144,AB3144,AD3144)</f>
        <v>0</v>
      </c>
      <c r="AG3144" s="728"/>
      <c r="AH3144" s="133">
        <f>SUM(AF3144,R3144)</f>
        <v>0</v>
      </c>
      <c r="AI3144" s="728"/>
      <c r="AJ3144" s="65"/>
      <c r="AV3144" s="56"/>
    </row>
    <row r="3145" spans="1:48" ht="12.75" customHeight="1" outlineLevel="2" thickBot="1">
      <c r="B3145" s="82"/>
      <c r="C3145" s="1234"/>
      <c r="D3145" s="1234"/>
      <c r="E3145" s="84">
        <f>'Terms and Turnovers'!$AN$12</f>
        <v>0</v>
      </c>
      <c r="F3145" s="68">
        <f>F1716/1.18-F2431*'Mark Up Validation'!$M$105</f>
        <v>0</v>
      </c>
      <c r="G3145" s="728"/>
      <c r="H3145" s="68">
        <f>H1716/1.18-H2431*'Mark Up Validation'!$M$105</f>
        <v>0</v>
      </c>
      <c r="I3145" s="728"/>
      <c r="J3145" s="68">
        <f>J1716/1.18-J2431*'Mark Up Validation'!$M$105</f>
        <v>0</v>
      </c>
      <c r="K3145" s="728"/>
      <c r="L3145" s="68">
        <f>L1716/1.18-L2431*'Mark Up Validation'!$M$105</f>
        <v>0</v>
      </c>
      <c r="M3145" s="728"/>
      <c r="N3145" s="68">
        <f>N1716/1.18-N2431*'Mark Up Validation'!$M$105</f>
        <v>0</v>
      </c>
      <c r="O3145" s="728"/>
      <c r="P3145" s="68">
        <f>P1716/1.18-P2431*'Mark Up Validation'!$M$105</f>
        <v>0</v>
      </c>
      <c r="Q3145" s="728"/>
      <c r="R3145" s="132">
        <f>SUM(F3145,H3145,J3145,L3145,N3145,P3145)</f>
        <v>0</v>
      </c>
      <c r="S3145" s="728"/>
      <c r="T3145" s="68">
        <f>T1716/1.18-T2431*'Mark Up Validation'!$S$105</f>
        <v>0</v>
      </c>
      <c r="U3145" s="728"/>
      <c r="V3145" s="68">
        <f>V1716/1.18-V2431*'Mark Up Validation'!$S$105</f>
        <v>0</v>
      </c>
      <c r="W3145" s="728"/>
      <c r="X3145" s="68">
        <f>X1716/1.18-X2431*'Mark Up Validation'!$S$105</f>
        <v>0</v>
      </c>
      <c r="Y3145" s="728"/>
      <c r="Z3145" s="68">
        <f>Z1716/1.18-Z2431*'Mark Up Validation'!$S$105</f>
        <v>0</v>
      </c>
      <c r="AA3145" s="728"/>
      <c r="AB3145" s="68">
        <f>AB1716/1.18-AB2431*'Mark Up Validation'!$S$105</f>
        <v>0</v>
      </c>
      <c r="AC3145" s="728"/>
      <c r="AD3145" s="68">
        <f>AD1716/1.18-AD2431*'Mark Up Validation'!$S$105</f>
        <v>0</v>
      </c>
      <c r="AE3145" s="728"/>
      <c r="AF3145" s="132">
        <f>SUM(T3145,V3145,X3145,Z3145,AB3145,AD3145)</f>
        <v>0</v>
      </c>
      <c r="AG3145" s="728"/>
      <c r="AH3145" s="133">
        <f>SUM(AF3145,R3145)</f>
        <v>0</v>
      </c>
      <c r="AI3145" s="728"/>
      <c r="AJ3145" s="65"/>
      <c r="AV3145" s="56"/>
    </row>
    <row r="3146" spans="1:48" ht="13.5" customHeight="1" outlineLevel="2" thickBot="1">
      <c r="B3146" s="82"/>
      <c r="C3146" s="1235"/>
      <c r="D3146" s="1235"/>
      <c r="E3146" s="85">
        <f>'Terms and Turnovers'!$AX$12</f>
        <v>0</v>
      </c>
      <c r="F3146" s="68">
        <f>F1717/1.18-F2432*'Mark Up Validation'!$M$105</f>
        <v>0</v>
      </c>
      <c r="G3146" s="106"/>
      <c r="H3146" s="68">
        <f>H1717/1.18-H2432*'Mark Up Validation'!$M$105</f>
        <v>0</v>
      </c>
      <c r="I3146" s="106"/>
      <c r="J3146" s="68">
        <f>J1717/1.18-J2432*'Mark Up Validation'!$M$105</f>
        <v>0</v>
      </c>
      <c r="K3146" s="106"/>
      <c r="L3146" s="68">
        <f>L1717/1.18-L2432*'Mark Up Validation'!$M$105</f>
        <v>0</v>
      </c>
      <c r="M3146" s="106"/>
      <c r="N3146" s="68">
        <f>N1717/1.18-N2432*'Mark Up Validation'!$M$105</f>
        <v>0</v>
      </c>
      <c r="O3146" s="106"/>
      <c r="P3146" s="68">
        <f>P1717/1.18-P2432*'Mark Up Validation'!$M$105</f>
        <v>0</v>
      </c>
      <c r="Q3146" s="107"/>
      <c r="R3146" s="135">
        <f>SUM(F3146,H3146,J3146,L3146,N3146,P3146)</f>
        <v>0</v>
      </c>
      <c r="S3146" s="107"/>
      <c r="T3146" s="68">
        <f>T1717/1.18-T2432*'Mark Up Validation'!$S$105</f>
        <v>0</v>
      </c>
      <c r="U3146" s="107"/>
      <c r="V3146" s="68">
        <f>V1717/1.18-V2432*'Mark Up Validation'!$S$105</f>
        <v>0</v>
      </c>
      <c r="W3146" s="107"/>
      <c r="X3146" s="68">
        <f>X1717/1.18-X2432*'Mark Up Validation'!$S$105</f>
        <v>0</v>
      </c>
      <c r="Y3146" s="107"/>
      <c r="Z3146" s="68">
        <f>Z1717/1.18-Z2432*'Mark Up Validation'!$S$105</f>
        <v>0</v>
      </c>
      <c r="AA3146" s="107"/>
      <c r="AB3146" s="68">
        <f>AB1717/1.18-AB2432*'Mark Up Validation'!$S$105</f>
        <v>0</v>
      </c>
      <c r="AC3146" s="107"/>
      <c r="AD3146" s="68">
        <f>AD1717/1.18-AD2432*'Mark Up Validation'!$S$105</f>
        <v>0</v>
      </c>
      <c r="AE3146" s="107"/>
      <c r="AF3146" s="135">
        <f>SUM(T3146,V3146,X3146,Z3146,AB3146,AD3146)</f>
        <v>0</v>
      </c>
      <c r="AG3146" s="107"/>
      <c r="AH3146" s="136">
        <f>SUM(AF3146,R3146)</f>
        <v>0</v>
      </c>
      <c r="AI3146" s="107"/>
      <c r="AJ3146" s="65"/>
      <c r="AV3146" s="56"/>
    </row>
    <row r="3147" spans="1:48" ht="13.5" customHeight="1" outlineLevel="2">
      <c r="B3147" s="82"/>
      <c r="C3147" s="425"/>
      <c r="D3147" s="425"/>
      <c r="E3147" s="634"/>
      <c r="F3147" s="635"/>
      <c r="G3147" s="428"/>
      <c r="H3147" s="635"/>
      <c r="I3147" s="428"/>
      <c r="J3147" s="635"/>
      <c r="K3147" s="636"/>
      <c r="L3147" s="635"/>
      <c r="M3147" s="636"/>
      <c r="N3147" s="635"/>
      <c r="O3147" s="636"/>
      <c r="P3147" s="635"/>
      <c r="Q3147" s="636"/>
      <c r="R3147" s="637"/>
      <c r="S3147" s="698">
        <f>SUM(R2427:R2431)/1.18-(SUM(R3142:R3146)*'Mark Up Validation'!$M$105)</f>
        <v>0</v>
      </c>
      <c r="T3147" s="635"/>
      <c r="U3147" s="636"/>
      <c r="V3147" s="635"/>
      <c r="W3147" s="636"/>
      <c r="X3147" s="635"/>
      <c r="Y3147" s="636"/>
      <c r="Z3147" s="635"/>
      <c r="AA3147" s="636"/>
      <c r="AB3147" s="635"/>
      <c r="AC3147" s="636"/>
      <c r="AD3147" s="635"/>
      <c r="AE3147" s="636"/>
      <c r="AF3147" s="637"/>
      <c r="AG3147" s="698">
        <f>SUM(AF2427:AF2431)/1.18-SUM(AF3142:AF3146)*'Mark Up Validation'!$M$175</f>
        <v>0</v>
      </c>
      <c r="AH3147" s="638"/>
      <c r="AI3147" s="698">
        <f>SUM(AH2427:AH2431)/1.18-SUM(AH3142:AH3146)*'Mark Up Validation'!$M$175</f>
        <v>0</v>
      </c>
      <c r="AJ3147" s="65"/>
      <c r="AV3147" s="56"/>
    </row>
    <row r="3148" spans="1:48" ht="13.5" customHeight="1" outlineLevel="2" thickBot="1">
      <c r="A3148" s="119"/>
      <c r="B3148" s="82"/>
      <c r="C3148" s="1228" t="s">
        <v>539</v>
      </c>
      <c r="D3148" s="1229"/>
      <c r="E3148" s="699"/>
      <c r="F3148" s="700">
        <f>SUM(F3142:F3146)</f>
        <v>0</v>
      </c>
      <c r="G3148" s="701"/>
      <c r="H3148" s="700">
        <f>SUM(H3142:H3146)</f>
        <v>0</v>
      </c>
      <c r="I3148" s="701"/>
      <c r="J3148" s="700">
        <f>SUM(J3142:J3146)</f>
        <v>0</v>
      </c>
      <c r="K3148" s="702"/>
      <c r="L3148" s="700">
        <f>SUM(L3142:L3146)</f>
        <v>0</v>
      </c>
      <c r="M3148" s="702"/>
      <c r="N3148" s="700">
        <f>SUM(N3142:N3146)</f>
        <v>0</v>
      </c>
      <c r="O3148" s="702"/>
      <c r="P3148" s="700">
        <f>SUM(P3142:P3146)</f>
        <v>0</v>
      </c>
      <c r="Q3148" s="702"/>
      <c r="R3148" s="703"/>
      <c r="S3148" s="729">
        <f>IF(S3147&gt;0,S3147/(SUM(R2427:R2431)/1.18),0)</f>
        <v>0</v>
      </c>
      <c r="T3148" s="700">
        <f>SUM(T3142:T3146)</f>
        <v>0</v>
      </c>
      <c r="U3148" s="702"/>
      <c r="V3148" s="700">
        <f>SUM(V3142:V3146)</f>
        <v>0</v>
      </c>
      <c r="W3148" s="702"/>
      <c r="X3148" s="700">
        <f>SUM(X3142:X3146)</f>
        <v>0</v>
      </c>
      <c r="Y3148" s="702"/>
      <c r="Z3148" s="700">
        <f>SUM(Z3142:Z3146)</f>
        <v>0</v>
      </c>
      <c r="AA3148" s="702"/>
      <c r="AB3148" s="700">
        <f>SUM(AB3142:AB3146)</f>
        <v>0</v>
      </c>
      <c r="AC3148" s="702"/>
      <c r="AD3148" s="700">
        <f>SUM(AD3142:AD3146)</f>
        <v>0</v>
      </c>
      <c r="AE3148" s="702"/>
      <c r="AF3148" s="705"/>
      <c r="AG3148" s="729">
        <f>IF(AG3147&gt;0,AG3147/(SUM(AF2427:AF2431)/1.18),0)</f>
        <v>0</v>
      </c>
      <c r="AH3148" s="706"/>
      <c r="AI3148" s="729">
        <f>IF(AI3147&gt;0,AI3147/(SUM(AH2427:AH2431)/1.18),0)</f>
        <v>0</v>
      </c>
      <c r="AJ3148" s="707"/>
      <c r="AV3148" s="56"/>
    </row>
    <row r="3149" spans="1:48" ht="12.75" customHeight="1" outlineLevel="2" thickBot="1">
      <c r="B3149" s="82">
        <f>B3142+1</f>
        <v>39</v>
      </c>
      <c r="C3149" s="1233">
        <f>C279</f>
        <v>0</v>
      </c>
      <c r="D3149" s="1233">
        <f>D279</f>
        <v>0</v>
      </c>
      <c r="E3149" s="83" t="str">
        <f>'Terms and Turnovers'!$J$12</f>
        <v>FLIP-FLOPS</v>
      </c>
      <c r="F3149" s="68">
        <f>F1720/1.18-F2435*'Mark Up Validation'!$M$105</f>
        <v>0</v>
      </c>
      <c r="G3149" s="106"/>
      <c r="H3149" s="68">
        <f>H1720/1.18-H2435*'Mark Up Validation'!$M$105</f>
        <v>0</v>
      </c>
      <c r="I3149" s="106"/>
      <c r="J3149" s="68">
        <f>J1720/1.18-J2435*'Mark Up Validation'!$M$105</f>
        <v>0</v>
      </c>
      <c r="K3149" s="106"/>
      <c r="L3149" s="68">
        <f>L1720/1.18-L2435*'Mark Up Validation'!$M$105</f>
        <v>0</v>
      </c>
      <c r="M3149" s="106"/>
      <c r="N3149" s="68">
        <f>N1720/1.18-N2435*'Mark Up Validation'!$M$105</f>
        <v>0</v>
      </c>
      <c r="O3149" s="106"/>
      <c r="P3149" s="68">
        <f>P1720/1.18-P2435*'Mark Up Validation'!$M$105</f>
        <v>0</v>
      </c>
      <c r="Q3149" s="106"/>
      <c r="R3149" s="129">
        <f>SUM(F3149,H3149,J3149,L3149,N3149,P3149)</f>
        <v>0</v>
      </c>
      <c r="S3149" s="106"/>
      <c r="T3149" s="68">
        <f>T1720/1.18-T2435*'Mark Up Validation'!$S$105</f>
        <v>0</v>
      </c>
      <c r="U3149" s="106"/>
      <c r="V3149" s="68">
        <f>V1720/1.18-V2435*'Mark Up Validation'!$S$105</f>
        <v>0</v>
      </c>
      <c r="W3149" s="106"/>
      <c r="X3149" s="68">
        <f>X1720/1.18-X2435*'Mark Up Validation'!$S$105</f>
        <v>0</v>
      </c>
      <c r="Y3149" s="106"/>
      <c r="Z3149" s="68">
        <f>Z1720/1.18-Z2435*'Mark Up Validation'!$S$105</f>
        <v>0</v>
      </c>
      <c r="AA3149" s="106"/>
      <c r="AB3149" s="68">
        <f>AB1720/1.18-AB2435*'Mark Up Validation'!$S$105</f>
        <v>0</v>
      </c>
      <c r="AC3149" s="106"/>
      <c r="AD3149" s="68">
        <f>AD1720/1.18-AD2435*'Mark Up Validation'!$S$105</f>
        <v>0</v>
      </c>
      <c r="AE3149" s="106"/>
      <c r="AF3149" s="129">
        <f>SUM(T3149,V3149,X3149,Z3149,AB3149,AD3149)</f>
        <v>0</v>
      </c>
      <c r="AG3149" s="106"/>
      <c r="AH3149" s="130">
        <f>SUM(AF3149,R3149)</f>
        <v>0</v>
      </c>
      <c r="AI3149" s="106"/>
      <c r="AJ3149" s="65"/>
      <c r="AV3149" s="56"/>
    </row>
    <row r="3150" spans="1:48" ht="12.75" customHeight="1" outlineLevel="2" thickBot="1">
      <c r="B3150" s="82"/>
      <c r="C3150" s="1234"/>
      <c r="D3150" s="1234"/>
      <c r="E3150" s="84" t="str">
        <f>'Terms and Turnovers'!$T$12</f>
        <v>ORIGINALS</v>
      </c>
      <c r="F3150" s="68">
        <f>F1721/1.18-F2436*'Mark Up Validation'!$M$105</f>
        <v>0</v>
      </c>
      <c r="G3150" s="728"/>
      <c r="H3150" s="68">
        <f>H1721/1.18-H2436*'Mark Up Validation'!$M$105</f>
        <v>0</v>
      </c>
      <c r="I3150" s="728"/>
      <c r="J3150" s="68">
        <f>J1721/1.18-J2436*'Mark Up Validation'!$M$105</f>
        <v>0</v>
      </c>
      <c r="K3150" s="728"/>
      <c r="L3150" s="68">
        <f>L1721/1.18-L2436*'Mark Up Validation'!$M$105</f>
        <v>0</v>
      </c>
      <c r="M3150" s="728"/>
      <c r="N3150" s="68">
        <f>N1721/1.18-N2436*'Mark Up Validation'!$M$105</f>
        <v>0</v>
      </c>
      <c r="O3150" s="728"/>
      <c r="P3150" s="68">
        <f>P1721/1.18-P2436*'Mark Up Validation'!$M$105</f>
        <v>0</v>
      </c>
      <c r="Q3150" s="728"/>
      <c r="R3150" s="132">
        <f>SUM(F3150,H3150,J3150,L3150,N3150,P3150)</f>
        <v>0</v>
      </c>
      <c r="S3150" s="728"/>
      <c r="T3150" s="68">
        <f>T1721/1.18-T2436*'Mark Up Validation'!$S$105</f>
        <v>0</v>
      </c>
      <c r="U3150" s="728"/>
      <c r="V3150" s="68">
        <f>V1721/1.18-V2436*'Mark Up Validation'!$S$105</f>
        <v>0</v>
      </c>
      <c r="W3150" s="728"/>
      <c r="X3150" s="68">
        <f>X1721/1.18-X2436*'Mark Up Validation'!$S$105</f>
        <v>0</v>
      </c>
      <c r="Y3150" s="728"/>
      <c r="Z3150" s="68">
        <f>Z1721/1.18-Z2436*'Mark Up Validation'!$S$105</f>
        <v>0</v>
      </c>
      <c r="AA3150" s="728"/>
      <c r="AB3150" s="68">
        <f>AB1721/1.18-AB2436*'Mark Up Validation'!$S$105</f>
        <v>0</v>
      </c>
      <c r="AC3150" s="728"/>
      <c r="AD3150" s="68">
        <f>AD1721/1.18-AD2436*'Mark Up Validation'!$S$105</f>
        <v>0</v>
      </c>
      <c r="AE3150" s="728"/>
      <c r="AF3150" s="132">
        <f>SUM(T3150,V3150,X3150,Z3150,AB3150,AD3150)</f>
        <v>0</v>
      </c>
      <c r="AG3150" s="728"/>
      <c r="AH3150" s="133">
        <f>SUM(AF3150,R3150)</f>
        <v>0</v>
      </c>
      <c r="AI3150" s="728"/>
      <c r="AJ3150" s="65"/>
      <c r="AV3150" s="56"/>
    </row>
    <row r="3151" spans="1:48" ht="12.75" customHeight="1" outlineLevel="2" thickBot="1">
      <c r="B3151" s="82"/>
      <c r="C3151" s="1234"/>
      <c r="D3151" s="1234"/>
      <c r="E3151" s="84" t="str">
        <f>'Terms and Turnovers'!$AD$12</f>
        <v>ACCESSORIES</v>
      </c>
      <c r="F3151" s="68">
        <f>F1722/1.18-F2437*'Mark Up Validation'!$M$105</f>
        <v>0</v>
      </c>
      <c r="G3151" s="106"/>
      <c r="H3151" s="68">
        <f>H1722/1.18-H2437*'Mark Up Validation'!$M$105</f>
        <v>0</v>
      </c>
      <c r="I3151" s="106"/>
      <c r="J3151" s="68">
        <f>J1722/1.18-J2437*'Mark Up Validation'!$M$105</f>
        <v>0</v>
      </c>
      <c r="K3151" s="106"/>
      <c r="L3151" s="68">
        <f>L1722/1.18-L2437*'Mark Up Validation'!$M$105</f>
        <v>0</v>
      </c>
      <c r="M3151" s="106"/>
      <c r="N3151" s="68">
        <f>N1722/1.18-N2437*'Mark Up Validation'!$M$105</f>
        <v>0</v>
      </c>
      <c r="O3151" s="106"/>
      <c r="P3151" s="68">
        <f>P1722/1.18-P2437*'Mark Up Validation'!$M$105</f>
        <v>0</v>
      </c>
      <c r="Q3151" s="728"/>
      <c r="R3151" s="132">
        <f>SUM(F3151,H3151,J3151,L3151,N3151,P3151)</f>
        <v>0</v>
      </c>
      <c r="S3151" s="728"/>
      <c r="T3151" s="68">
        <f>T1722/1.18-T2437*'Mark Up Validation'!$S$105</f>
        <v>0</v>
      </c>
      <c r="U3151" s="728"/>
      <c r="V3151" s="68">
        <f>V1722/1.18-V2437*'Mark Up Validation'!$S$105</f>
        <v>0</v>
      </c>
      <c r="W3151" s="728"/>
      <c r="X3151" s="68">
        <f>X1722/1.18-X2437*'Mark Up Validation'!$S$105</f>
        <v>0</v>
      </c>
      <c r="Y3151" s="728"/>
      <c r="Z3151" s="68">
        <f>Z1722/1.18-Z2437*'Mark Up Validation'!$S$105</f>
        <v>0</v>
      </c>
      <c r="AA3151" s="728"/>
      <c r="AB3151" s="68">
        <f>AB1722/1.18-AB2437*'Mark Up Validation'!$S$105</f>
        <v>0</v>
      </c>
      <c r="AC3151" s="728"/>
      <c r="AD3151" s="68">
        <f>AD1722/1.18-AD2437*'Mark Up Validation'!$S$105</f>
        <v>0</v>
      </c>
      <c r="AE3151" s="728"/>
      <c r="AF3151" s="132">
        <f>SUM(T3151,V3151,X3151,Z3151,AB3151,AD3151)</f>
        <v>0</v>
      </c>
      <c r="AG3151" s="728"/>
      <c r="AH3151" s="133">
        <f>SUM(AF3151,R3151)</f>
        <v>0</v>
      </c>
      <c r="AI3151" s="728"/>
      <c r="AJ3151" s="65"/>
      <c r="AV3151" s="56"/>
    </row>
    <row r="3152" spans="1:48" ht="12.75" customHeight="1" outlineLevel="2" thickBot="1">
      <c r="B3152" s="82"/>
      <c r="C3152" s="1234"/>
      <c r="D3152" s="1234"/>
      <c r="E3152" s="84">
        <f>'Terms and Turnovers'!$AN$12</f>
        <v>0</v>
      </c>
      <c r="F3152" s="68">
        <f>F1723/1.18-F2438*'Mark Up Validation'!$M$105</f>
        <v>0</v>
      </c>
      <c r="G3152" s="728"/>
      <c r="H3152" s="68">
        <f>H1723/1.18-H2438*'Mark Up Validation'!$M$105</f>
        <v>0</v>
      </c>
      <c r="I3152" s="728"/>
      <c r="J3152" s="68">
        <f>J1723/1.18-J2438*'Mark Up Validation'!$M$105</f>
        <v>0</v>
      </c>
      <c r="K3152" s="728"/>
      <c r="L3152" s="68">
        <f>L1723/1.18-L2438*'Mark Up Validation'!$M$105</f>
        <v>0</v>
      </c>
      <c r="M3152" s="728"/>
      <c r="N3152" s="68">
        <f>N1723/1.18-N2438*'Mark Up Validation'!$M$105</f>
        <v>0</v>
      </c>
      <c r="O3152" s="728"/>
      <c r="P3152" s="68">
        <f>P1723/1.18-P2438*'Mark Up Validation'!$M$105</f>
        <v>0</v>
      </c>
      <c r="Q3152" s="728"/>
      <c r="R3152" s="132">
        <f>SUM(F3152,H3152,J3152,L3152,N3152,P3152)</f>
        <v>0</v>
      </c>
      <c r="S3152" s="728"/>
      <c r="T3152" s="68">
        <f>T1723/1.18-T2438*'Mark Up Validation'!$S$105</f>
        <v>0</v>
      </c>
      <c r="U3152" s="728"/>
      <c r="V3152" s="68">
        <f>V1723/1.18-V2438*'Mark Up Validation'!$S$105</f>
        <v>0</v>
      </c>
      <c r="W3152" s="728"/>
      <c r="X3152" s="68">
        <f>X1723/1.18-X2438*'Mark Up Validation'!$S$105</f>
        <v>0</v>
      </c>
      <c r="Y3152" s="728"/>
      <c r="Z3152" s="68">
        <f>Z1723/1.18-Z2438*'Mark Up Validation'!$S$105</f>
        <v>0</v>
      </c>
      <c r="AA3152" s="728"/>
      <c r="AB3152" s="68">
        <f>AB1723/1.18-AB2438*'Mark Up Validation'!$S$105</f>
        <v>0</v>
      </c>
      <c r="AC3152" s="728"/>
      <c r="AD3152" s="68">
        <f>AD1723/1.18-AD2438*'Mark Up Validation'!$S$105</f>
        <v>0</v>
      </c>
      <c r="AE3152" s="728"/>
      <c r="AF3152" s="132">
        <f>SUM(T3152,V3152,X3152,Z3152,AB3152,AD3152)</f>
        <v>0</v>
      </c>
      <c r="AG3152" s="728"/>
      <c r="AH3152" s="133">
        <f>SUM(AF3152,R3152)</f>
        <v>0</v>
      </c>
      <c r="AI3152" s="728"/>
      <c r="AJ3152" s="65"/>
      <c r="AV3152" s="56"/>
    </row>
    <row r="3153" spans="1:48" ht="13.5" customHeight="1" outlineLevel="2" thickBot="1">
      <c r="B3153" s="82"/>
      <c r="C3153" s="1235"/>
      <c r="D3153" s="1235"/>
      <c r="E3153" s="85">
        <f>'Terms and Turnovers'!$AX$12</f>
        <v>0</v>
      </c>
      <c r="F3153" s="68">
        <f>F1724/1.18-F2439*'Mark Up Validation'!$M$105</f>
        <v>0</v>
      </c>
      <c r="G3153" s="106"/>
      <c r="H3153" s="68">
        <f>H1724/1.18-H2439*'Mark Up Validation'!$M$105</f>
        <v>0</v>
      </c>
      <c r="I3153" s="106"/>
      <c r="J3153" s="68">
        <f>J1724/1.18-J2439*'Mark Up Validation'!$M$105</f>
        <v>0</v>
      </c>
      <c r="K3153" s="106"/>
      <c r="L3153" s="68">
        <f>L1724/1.18-L2439*'Mark Up Validation'!$M$105</f>
        <v>0</v>
      </c>
      <c r="M3153" s="106"/>
      <c r="N3153" s="68">
        <f>N1724/1.18-N2439*'Mark Up Validation'!$M$105</f>
        <v>0</v>
      </c>
      <c r="O3153" s="106"/>
      <c r="P3153" s="68">
        <f>P1724/1.18-P2439*'Mark Up Validation'!$M$105</f>
        <v>0</v>
      </c>
      <c r="Q3153" s="107"/>
      <c r="R3153" s="135">
        <f>SUM(F3153,H3153,J3153,L3153,N3153,P3153)</f>
        <v>0</v>
      </c>
      <c r="S3153" s="107"/>
      <c r="T3153" s="68">
        <f>T1724/1.18-T2439*'Mark Up Validation'!$S$105</f>
        <v>0</v>
      </c>
      <c r="U3153" s="107"/>
      <c r="V3153" s="68">
        <f>V1724/1.18-V2439*'Mark Up Validation'!$S$105</f>
        <v>0</v>
      </c>
      <c r="W3153" s="107"/>
      <c r="X3153" s="68">
        <f>X1724/1.18-X2439*'Mark Up Validation'!$S$105</f>
        <v>0</v>
      </c>
      <c r="Y3153" s="107"/>
      <c r="Z3153" s="68">
        <f>Z1724/1.18-Z2439*'Mark Up Validation'!$S$105</f>
        <v>0</v>
      </c>
      <c r="AA3153" s="107"/>
      <c r="AB3153" s="68">
        <f>AB1724/1.18-AB2439*'Mark Up Validation'!$S$105</f>
        <v>0</v>
      </c>
      <c r="AC3153" s="107"/>
      <c r="AD3153" s="68">
        <f>AD1724/1.18-AD2439*'Mark Up Validation'!$S$105</f>
        <v>0</v>
      </c>
      <c r="AE3153" s="107"/>
      <c r="AF3153" s="135">
        <f>SUM(T3153,V3153,X3153,Z3153,AB3153,AD3153)</f>
        <v>0</v>
      </c>
      <c r="AG3153" s="107"/>
      <c r="AH3153" s="136">
        <f>SUM(AF3153,R3153)</f>
        <v>0</v>
      </c>
      <c r="AI3153" s="107"/>
      <c r="AJ3153" s="65"/>
      <c r="AV3153" s="56"/>
    </row>
    <row r="3154" spans="1:48" ht="13.5" customHeight="1" outlineLevel="2">
      <c r="B3154" s="82"/>
      <c r="C3154" s="425"/>
      <c r="D3154" s="425"/>
      <c r="E3154" s="634"/>
      <c r="F3154" s="635"/>
      <c r="G3154" s="428"/>
      <c r="H3154" s="635"/>
      <c r="I3154" s="428"/>
      <c r="J3154" s="635"/>
      <c r="K3154" s="636"/>
      <c r="L3154" s="635"/>
      <c r="M3154" s="636"/>
      <c r="N3154" s="635"/>
      <c r="O3154" s="636"/>
      <c r="P3154" s="635"/>
      <c r="Q3154" s="636"/>
      <c r="R3154" s="637"/>
      <c r="S3154" s="698">
        <f>SUM(R2434:R2438)/1.18-(SUM(R3149:R3153)*'Mark Up Validation'!$M$105)</f>
        <v>0</v>
      </c>
      <c r="T3154" s="635"/>
      <c r="U3154" s="636"/>
      <c r="V3154" s="635"/>
      <c r="W3154" s="636"/>
      <c r="X3154" s="635"/>
      <c r="Y3154" s="636"/>
      <c r="Z3154" s="635"/>
      <c r="AA3154" s="636"/>
      <c r="AB3154" s="635"/>
      <c r="AC3154" s="636"/>
      <c r="AD3154" s="635"/>
      <c r="AE3154" s="636"/>
      <c r="AF3154" s="637"/>
      <c r="AG3154" s="698">
        <f>SUM(AF2434:AF2438)/1.18-SUM(AF3149:AF3153)*'Mark Up Validation'!$M$175</f>
        <v>0</v>
      </c>
      <c r="AH3154" s="638"/>
      <c r="AI3154" s="698">
        <f>SUM(AH2434:AH2438)/1.18-SUM(AH3149:AH3153)*'Mark Up Validation'!$M$175</f>
        <v>0</v>
      </c>
      <c r="AJ3154" s="65"/>
      <c r="AV3154" s="56"/>
    </row>
    <row r="3155" spans="1:48" ht="13.5" customHeight="1" outlineLevel="2" thickBot="1">
      <c r="A3155" s="119"/>
      <c r="B3155" s="82"/>
      <c r="C3155" s="1228" t="s">
        <v>539</v>
      </c>
      <c r="D3155" s="1229"/>
      <c r="E3155" s="699"/>
      <c r="F3155" s="700">
        <f>SUM(F3149:F3153)</f>
        <v>0</v>
      </c>
      <c r="G3155" s="701"/>
      <c r="H3155" s="700">
        <f>SUM(H3149:H3153)</f>
        <v>0</v>
      </c>
      <c r="I3155" s="701"/>
      <c r="J3155" s="700">
        <f>SUM(J3149:J3153)</f>
        <v>0</v>
      </c>
      <c r="K3155" s="702"/>
      <c r="L3155" s="700">
        <f>SUM(L3149:L3153)</f>
        <v>0</v>
      </c>
      <c r="M3155" s="702"/>
      <c r="N3155" s="700">
        <f>SUM(N3149:N3153)</f>
        <v>0</v>
      </c>
      <c r="O3155" s="702"/>
      <c r="P3155" s="700">
        <f>SUM(P3149:P3153)</f>
        <v>0</v>
      </c>
      <c r="Q3155" s="702"/>
      <c r="R3155" s="703"/>
      <c r="S3155" s="729">
        <f>IF(S3154&gt;0,S3154/(SUM(R2434:R2438)/1.18),0)</f>
        <v>0</v>
      </c>
      <c r="T3155" s="700">
        <f>SUM(T3149:T3153)</f>
        <v>0</v>
      </c>
      <c r="U3155" s="702"/>
      <c r="V3155" s="700">
        <f>SUM(V3149:V3153)</f>
        <v>0</v>
      </c>
      <c r="W3155" s="702"/>
      <c r="X3155" s="700">
        <f>SUM(X3149:X3153)</f>
        <v>0</v>
      </c>
      <c r="Y3155" s="702"/>
      <c r="Z3155" s="700">
        <f>SUM(Z3149:Z3153)</f>
        <v>0</v>
      </c>
      <c r="AA3155" s="702"/>
      <c r="AB3155" s="700">
        <f>SUM(AB3149:AB3153)</f>
        <v>0</v>
      </c>
      <c r="AC3155" s="702"/>
      <c r="AD3155" s="700">
        <f>SUM(AD3149:AD3153)</f>
        <v>0</v>
      </c>
      <c r="AE3155" s="702"/>
      <c r="AF3155" s="705"/>
      <c r="AG3155" s="729">
        <f>IF(AG3154&gt;0,AG3154/(SUM(AF2434:AF2438)/1.18),0)</f>
        <v>0</v>
      </c>
      <c r="AH3155" s="706"/>
      <c r="AI3155" s="729">
        <f>IF(AI3154&gt;0,AI3154/(SUM(AH2434:AH2438)/1.18),0)</f>
        <v>0</v>
      </c>
      <c r="AJ3155" s="707"/>
      <c r="AV3155" s="56"/>
    </row>
    <row r="3156" spans="1:48" ht="12.75" customHeight="1" outlineLevel="2" thickBot="1">
      <c r="B3156" s="82">
        <f>B3149+1</f>
        <v>40</v>
      </c>
      <c r="C3156" s="1233">
        <f>C286</f>
        <v>0</v>
      </c>
      <c r="D3156" s="1233">
        <f>D286</f>
        <v>0</v>
      </c>
      <c r="E3156" s="83" t="str">
        <f>'Terms and Turnovers'!$J$12</f>
        <v>FLIP-FLOPS</v>
      </c>
      <c r="F3156" s="68">
        <f>F1727/1.18-F2442*'Mark Up Validation'!$M$105</f>
        <v>0</v>
      </c>
      <c r="G3156" s="106"/>
      <c r="H3156" s="68">
        <f>H1727/1.18-H2442*'Mark Up Validation'!$M$105</f>
        <v>0</v>
      </c>
      <c r="I3156" s="106"/>
      <c r="J3156" s="68">
        <f>J1727/1.18-J2442*'Mark Up Validation'!$M$105</f>
        <v>0</v>
      </c>
      <c r="K3156" s="106"/>
      <c r="L3156" s="68">
        <f>L1727/1.18-L2442*'Mark Up Validation'!$M$105</f>
        <v>0</v>
      </c>
      <c r="M3156" s="106"/>
      <c r="N3156" s="68">
        <f>N1727/1.18-N2442*'Mark Up Validation'!$M$105</f>
        <v>0</v>
      </c>
      <c r="O3156" s="106"/>
      <c r="P3156" s="68">
        <f>P1727/1.18-P2442*'Mark Up Validation'!$M$105</f>
        <v>0</v>
      </c>
      <c r="Q3156" s="106"/>
      <c r="R3156" s="129">
        <f>SUM(F3156,H3156,J3156,L3156,N3156,P3156)</f>
        <v>0</v>
      </c>
      <c r="S3156" s="106"/>
      <c r="T3156" s="68">
        <f>T1727/1.18-T2442*'Mark Up Validation'!$S$105</f>
        <v>0</v>
      </c>
      <c r="U3156" s="106"/>
      <c r="V3156" s="68">
        <f>V1727/1.18-V2442*'Mark Up Validation'!$S$105</f>
        <v>0</v>
      </c>
      <c r="W3156" s="106"/>
      <c r="X3156" s="68">
        <f>X1727/1.18-X2442*'Mark Up Validation'!$S$105</f>
        <v>0</v>
      </c>
      <c r="Y3156" s="106"/>
      <c r="Z3156" s="68">
        <f>Z1727/1.18-Z2442*'Mark Up Validation'!$S$105</f>
        <v>0</v>
      </c>
      <c r="AA3156" s="106"/>
      <c r="AB3156" s="68">
        <f>AB1727/1.18-AB2442*'Mark Up Validation'!$S$105</f>
        <v>0</v>
      </c>
      <c r="AC3156" s="106"/>
      <c r="AD3156" s="68">
        <f>AD1727/1.18-AD2442*'Mark Up Validation'!$S$105</f>
        <v>0</v>
      </c>
      <c r="AE3156" s="106"/>
      <c r="AF3156" s="129">
        <f>SUM(T3156,V3156,X3156,Z3156,AB3156,AD3156)</f>
        <v>0</v>
      </c>
      <c r="AG3156" s="106"/>
      <c r="AH3156" s="130">
        <f>SUM(AF3156,R3156)</f>
        <v>0</v>
      </c>
      <c r="AI3156" s="106"/>
      <c r="AJ3156" s="65"/>
      <c r="AV3156" s="56"/>
    </row>
    <row r="3157" spans="1:48" ht="12.75" customHeight="1" outlineLevel="2" thickBot="1">
      <c r="B3157" s="82"/>
      <c r="C3157" s="1234"/>
      <c r="D3157" s="1234"/>
      <c r="E3157" s="84" t="str">
        <f>'Terms and Turnovers'!$T$12</f>
        <v>ORIGINALS</v>
      </c>
      <c r="F3157" s="68">
        <f>F1728/1.18-F2443*'Mark Up Validation'!$M$105</f>
        <v>0</v>
      </c>
      <c r="G3157" s="728"/>
      <c r="H3157" s="68">
        <f>H1728/1.18-H2443*'Mark Up Validation'!$M$105</f>
        <v>0</v>
      </c>
      <c r="I3157" s="728"/>
      <c r="J3157" s="68">
        <f>J1728/1.18-J2443*'Mark Up Validation'!$M$105</f>
        <v>0</v>
      </c>
      <c r="K3157" s="728"/>
      <c r="L3157" s="68">
        <f>L1728/1.18-L2443*'Mark Up Validation'!$M$105</f>
        <v>0</v>
      </c>
      <c r="M3157" s="728"/>
      <c r="N3157" s="68">
        <f>N1728/1.18-N2443*'Mark Up Validation'!$M$105</f>
        <v>0</v>
      </c>
      <c r="O3157" s="728"/>
      <c r="P3157" s="68">
        <f>P1728/1.18-P2443*'Mark Up Validation'!$M$105</f>
        <v>0</v>
      </c>
      <c r="Q3157" s="728"/>
      <c r="R3157" s="132">
        <f>SUM(F3157,H3157,J3157,L3157,N3157,P3157)</f>
        <v>0</v>
      </c>
      <c r="S3157" s="728"/>
      <c r="T3157" s="68">
        <f>T1728/1.18-T2443*'Mark Up Validation'!$S$105</f>
        <v>0</v>
      </c>
      <c r="U3157" s="728"/>
      <c r="V3157" s="68">
        <f>V1728/1.18-V2443*'Mark Up Validation'!$S$105</f>
        <v>0</v>
      </c>
      <c r="W3157" s="728"/>
      <c r="X3157" s="68">
        <f>X1728/1.18-X2443*'Mark Up Validation'!$S$105</f>
        <v>0</v>
      </c>
      <c r="Y3157" s="728"/>
      <c r="Z3157" s="68">
        <f>Z1728/1.18-Z2443*'Mark Up Validation'!$S$105</f>
        <v>0</v>
      </c>
      <c r="AA3157" s="728"/>
      <c r="AB3157" s="68">
        <f>AB1728/1.18-AB2443*'Mark Up Validation'!$S$105</f>
        <v>0</v>
      </c>
      <c r="AC3157" s="728"/>
      <c r="AD3157" s="68">
        <f>AD1728/1.18-AD2443*'Mark Up Validation'!$S$105</f>
        <v>0</v>
      </c>
      <c r="AE3157" s="728"/>
      <c r="AF3157" s="132">
        <f>SUM(T3157,V3157,X3157,Z3157,AB3157,AD3157)</f>
        <v>0</v>
      </c>
      <c r="AG3157" s="728"/>
      <c r="AH3157" s="133">
        <f>SUM(AF3157,R3157)</f>
        <v>0</v>
      </c>
      <c r="AI3157" s="728"/>
      <c r="AJ3157" s="65"/>
      <c r="AV3157" s="56"/>
    </row>
    <row r="3158" spans="1:48" ht="12.75" customHeight="1" outlineLevel="2" thickBot="1">
      <c r="B3158" s="82"/>
      <c r="C3158" s="1234"/>
      <c r="D3158" s="1234"/>
      <c r="E3158" s="84" t="str">
        <f>'Terms and Turnovers'!$AD$12</f>
        <v>ACCESSORIES</v>
      </c>
      <c r="F3158" s="68">
        <f>F1729/1.18-F2444*'Mark Up Validation'!$M$105</f>
        <v>0</v>
      </c>
      <c r="G3158" s="106"/>
      <c r="H3158" s="68">
        <f>H1729/1.18-H2444*'Mark Up Validation'!$M$105</f>
        <v>0</v>
      </c>
      <c r="I3158" s="106"/>
      <c r="J3158" s="68">
        <f>J1729/1.18-J2444*'Mark Up Validation'!$M$105</f>
        <v>0</v>
      </c>
      <c r="K3158" s="106"/>
      <c r="L3158" s="68">
        <f>L1729/1.18-L2444*'Mark Up Validation'!$M$105</f>
        <v>0</v>
      </c>
      <c r="M3158" s="106"/>
      <c r="N3158" s="68">
        <f>N1729/1.18-N2444*'Mark Up Validation'!$M$105</f>
        <v>0</v>
      </c>
      <c r="O3158" s="106"/>
      <c r="P3158" s="68">
        <f>P1729/1.18-P2444*'Mark Up Validation'!$M$105</f>
        <v>0</v>
      </c>
      <c r="Q3158" s="728"/>
      <c r="R3158" s="132">
        <f>SUM(F3158,H3158,J3158,L3158,N3158,P3158)</f>
        <v>0</v>
      </c>
      <c r="S3158" s="728"/>
      <c r="T3158" s="68">
        <f>T1729/1.18-T2444*'Mark Up Validation'!$S$105</f>
        <v>0</v>
      </c>
      <c r="U3158" s="728"/>
      <c r="V3158" s="68">
        <f>V1729/1.18-V2444*'Mark Up Validation'!$S$105</f>
        <v>0</v>
      </c>
      <c r="W3158" s="728"/>
      <c r="X3158" s="68">
        <f>X1729/1.18-X2444*'Mark Up Validation'!$S$105</f>
        <v>0</v>
      </c>
      <c r="Y3158" s="728"/>
      <c r="Z3158" s="68">
        <f>Z1729/1.18-Z2444*'Mark Up Validation'!$S$105</f>
        <v>0</v>
      </c>
      <c r="AA3158" s="728"/>
      <c r="AB3158" s="68">
        <f>AB1729/1.18-AB2444*'Mark Up Validation'!$S$105</f>
        <v>0</v>
      </c>
      <c r="AC3158" s="728"/>
      <c r="AD3158" s="68">
        <f>AD1729/1.18-AD2444*'Mark Up Validation'!$S$105</f>
        <v>0</v>
      </c>
      <c r="AE3158" s="728"/>
      <c r="AF3158" s="132">
        <f>SUM(T3158,V3158,X3158,Z3158,AB3158,AD3158)</f>
        <v>0</v>
      </c>
      <c r="AG3158" s="728"/>
      <c r="AH3158" s="133">
        <f>SUM(AF3158,R3158)</f>
        <v>0</v>
      </c>
      <c r="AI3158" s="728"/>
      <c r="AJ3158" s="65"/>
      <c r="AV3158" s="56"/>
    </row>
    <row r="3159" spans="1:48" ht="12.75" customHeight="1" outlineLevel="2" thickBot="1">
      <c r="B3159" s="82"/>
      <c r="C3159" s="1234"/>
      <c r="D3159" s="1234"/>
      <c r="E3159" s="84">
        <f>'Terms and Turnovers'!$AN$12</f>
        <v>0</v>
      </c>
      <c r="F3159" s="68">
        <f>F1730/1.18-F2445*'Mark Up Validation'!$M$105</f>
        <v>0</v>
      </c>
      <c r="G3159" s="728"/>
      <c r="H3159" s="68">
        <f>H1730/1.18-H2445*'Mark Up Validation'!$M$105</f>
        <v>0</v>
      </c>
      <c r="I3159" s="728"/>
      <c r="J3159" s="68">
        <f>J1730/1.18-J2445*'Mark Up Validation'!$M$105</f>
        <v>0</v>
      </c>
      <c r="K3159" s="728"/>
      <c r="L3159" s="68">
        <f>L1730/1.18-L2445*'Mark Up Validation'!$M$105</f>
        <v>0</v>
      </c>
      <c r="M3159" s="728"/>
      <c r="N3159" s="68">
        <f>N1730/1.18-N2445*'Mark Up Validation'!$M$105</f>
        <v>0</v>
      </c>
      <c r="O3159" s="728"/>
      <c r="P3159" s="68">
        <f>P1730/1.18-P2445*'Mark Up Validation'!$M$105</f>
        <v>0</v>
      </c>
      <c r="Q3159" s="728"/>
      <c r="R3159" s="132">
        <f>SUM(F3159,H3159,J3159,L3159,N3159,P3159)</f>
        <v>0</v>
      </c>
      <c r="S3159" s="728"/>
      <c r="T3159" s="68">
        <f>T1730/1.18-T2445*'Mark Up Validation'!$S$105</f>
        <v>0</v>
      </c>
      <c r="U3159" s="728"/>
      <c r="V3159" s="68">
        <f>V1730/1.18-V2445*'Mark Up Validation'!$S$105</f>
        <v>0</v>
      </c>
      <c r="W3159" s="728"/>
      <c r="X3159" s="68">
        <f>X1730/1.18-X2445*'Mark Up Validation'!$S$105</f>
        <v>0</v>
      </c>
      <c r="Y3159" s="728"/>
      <c r="Z3159" s="68">
        <f>Z1730/1.18-Z2445*'Mark Up Validation'!$S$105</f>
        <v>0</v>
      </c>
      <c r="AA3159" s="728"/>
      <c r="AB3159" s="68">
        <f>AB1730/1.18-AB2445*'Mark Up Validation'!$S$105</f>
        <v>0</v>
      </c>
      <c r="AC3159" s="728"/>
      <c r="AD3159" s="68">
        <f>AD1730/1.18-AD2445*'Mark Up Validation'!$S$105</f>
        <v>0</v>
      </c>
      <c r="AE3159" s="728"/>
      <c r="AF3159" s="132">
        <f>SUM(T3159,V3159,X3159,Z3159,AB3159,AD3159)</f>
        <v>0</v>
      </c>
      <c r="AG3159" s="728"/>
      <c r="AH3159" s="133">
        <f>SUM(AF3159,R3159)</f>
        <v>0</v>
      </c>
      <c r="AI3159" s="728"/>
      <c r="AJ3159" s="65"/>
      <c r="AV3159" s="56"/>
    </row>
    <row r="3160" spans="1:48" ht="13.5" customHeight="1" outlineLevel="2" thickBot="1">
      <c r="B3160" s="82"/>
      <c r="C3160" s="1235"/>
      <c r="D3160" s="1235"/>
      <c r="E3160" s="85">
        <f>'Terms and Turnovers'!$AX$12</f>
        <v>0</v>
      </c>
      <c r="F3160" s="68">
        <f>F1731/1.18-F2446*'Mark Up Validation'!$M$105</f>
        <v>0</v>
      </c>
      <c r="G3160" s="106"/>
      <c r="H3160" s="68">
        <f>H1731/1.18-H2446*'Mark Up Validation'!$M$105</f>
        <v>0</v>
      </c>
      <c r="I3160" s="106"/>
      <c r="J3160" s="68">
        <f>J1731/1.18-J2446*'Mark Up Validation'!$M$105</f>
        <v>0</v>
      </c>
      <c r="K3160" s="106"/>
      <c r="L3160" s="68">
        <f>L1731/1.18-L2446*'Mark Up Validation'!$M$105</f>
        <v>0</v>
      </c>
      <c r="M3160" s="106"/>
      <c r="N3160" s="68">
        <f>N1731/1.18-N2446*'Mark Up Validation'!$M$105</f>
        <v>0</v>
      </c>
      <c r="O3160" s="106"/>
      <c r="P3160" s="68">
        <f>P1731/1.18-P2446*'Mark Up Validation'!$M$105</f>
        <v>0</v>
      </c>
      <c r="Q3160" s="107"/>
      <c r="R3160" s="135">
        <f>SUM(F3160,H3160,J3160,L3160,N3160,P3160)</f>
        <v>0</v>
      </c>
      <c r="S3160" s="107"/>
      <c r="T3160" s="68">
        <f>T1731/1.18-T2446*'Mark Up Validation'!$S$105</f>
        <v>0</v>
      </c>
      <c r="U3160" s="107"/>
      <c r="V3160" s="68">
        <f>V1731/1.18-V2446*'Mark Up Validation'!$S$105</f>
        <v>0</v>
      </c>
      <c r="W3160" s="107"/>
      <c r="X3160" s="68">
        <f>X1731/1.18-X2446*'Mark Up Validation'!$S$105</f>
        <v>0</v>
      </c>
      <c r="Y3160" s="107"/>
      <c r="Z3160" s="68">
        <f>Z1731/1.18-Z2446*'Mark Up Validation'!$S$105</f>
        <v>0</v>
      </c>
      <c r="AA3160" s="107"/>
      <c r="AB3160" s="68">
        <f>AB1731/1.18-AB2446*'Mark Up Validation'!$S$105</f>
        <v>0</v>
      </c>
      <c r="AC3160" s="107"/>
      <c r="AD3160" s="68">
        <f>AD1731/1.18-AD2446*'Mark Up Validation'!$S$105</f>
        <v>0</v>
      </c>
      <c r="AE3160" s="107"/>
      <c r="AF3160" s="135">
        <f>SUM(T3160,V3160,X3160,Z3160,AB3160,AD3160)</f>
        <v>0</v>
      </c>
      <c r="AG3160" s="107"/>
      <c r="AH3160" s="136">
        <f>SUM(AF3160,R3160)</f>
        <v>0</v>
      </c>
      <c r="AI3160" s="107"/>
      <c r="AJ3160" s="65"/>
      <c r="AV3160" s="56"/>
    </row>
    <row r="3161" spans="1:48" ht="13.5" customHeight="1" outlineLevel="2">
      <c r="B3161" s="82"/>
      <c r="C3161" s="425"/>
      <c r="D3161" s="425"/>
      <c r="E3161" s="634"/>
      <c r="F3161" s="635"/>
      <c r="G3161" s="428"/>
      <c r="H3161" s="635"/>
      <c r="I3161" s="428"/>
      <c r="J3161" s="635"/>
      <c r="K3161" s="636"/>
      <c r="L3161" s="635"/>
      <c r="M3161" s="636"/>
      <c r="N3161" s="635"/>
      <c r="O3161" s="636"/>
      <c r="P3161" s="635"/>
      <c r="Q3161" s="636"/>
      <c r="R3161" s="637"/>
      <c r="S3161" s="698">
        <f>SUM(R2441:R2445)/1.18-(SUM(R3156:R3160)*'Mark Up Validation'!$M$105)</f>
        <v>0</v>
      </c>
      <c r="T3161" s="635"/>
      <c r="U3161" s="636"/>
      <c r="V3161" s="635"/>
      <c r="W3161" s="636"/>
      <c r="X3161" s="635"/>
      <c r="Y3161" s="636"/>
      <c r="Z3161" s="635"/>
      <c r="AA3161" s="636"/>
      <c r="AB3161" s="635"/>
      <c r="AC3161" s="636"/>
      <c r="AD3161" s="635"/>
      <c r="AE3161" s="636"/>
      <c r="AF3161" s="637"/>
      <c r="AG3161" s="698">
        <f>SUM(AF2441:AF2445)/1.18-SUM(AF3156:AF3160)*'Mark Up Validation'!$M$175</f>
        <v>0</v>
      </c>
      <c r="AH3161" s="638"/>
      <c r="AI3161" s="698">
        <f>SUM(AH2441:AH2445)/1.18-SUM(AH3156:AH3160)*'Mark Up Validation'!$M$175</f>
        <v>0</v>
      </c>
      <c r="AJ3161" s="65"/>
      <c r="AV3161" s="56"/>
    </row>
    <row r="3162" spans="1:48" ht="13.5" customHeight="1" outlineLevel="2" thickBot="1">
      <c r="A3162" s="119"/>
      <c r="B3162" s="82"/>
      <c r="C3162" s="1228" t="s">
        <v>539</v>
      </c>
      <c r="D3162" s="1229"/>
      <c r="E3162" s="699"/>
      <c r="F3162" s="700">
        <f>SUM(F3156:F3160)</f>
        <v>0</v>
      </c>
      <c r="G3162" s="701"/>
      <c r="H3162" s="700">
        <f>SUM(H3156:H3160)</f>
        <v>0</v>
      </c>
      <c r="I3162" s="701"/>
      <c r="J3162" s="700">
        <f>SUM(J3156:J3160)</f>
        <v>0</v>
      </c>
      <c r="K3162" s="702"/>
      <c r="L3162" s="700">
        <f>SUM(L3156:L3160)</f>
        <v>0</v>
      </c>
      <c r="M3162" s="702"/>
      <c r="N3162" s="700">
        <f>SUM(N3156:N3160)</f>
        <v>0</v>
      </c>
      <c r="O3162" s="702"/>
      <c r="P3162" s="700">
        <f>SUM(P3156:P3160)</f>
        <v>0</v>
      </c>
      <c r="Q3162" s="702"/>
      <c r="R3162" s="703"/>
      <c r="S3162" s="729">
        <f>IF(S3161&gt;0,S3161/(SUM(R2441:R2445)/1.18),0)</f>
        <v>0</v>
      </c>
      <c r="T3162" s="700">
        <f>SUM(T3156:T3160)</f>
        <v>0</v>
      </c>
      <c r="U3162" s="702"/>
      <c r="V3162" s="700">
        <f>SUM(V3156:V3160)</f>
        <v>0</v>
      </c>
      <c r="W3162" s="702"/>
      <c r="X3162" s="700">
        <f>SUM(X3156:X3160)</f>
        <v>0</v>
      </c>
      <c r="Y3162" s="702"/>
      <c r="Z3162" s="700">
        <f>SUM(Z3156:Z3160)</f>
        <v>0</v>
      </c>
      <c r="AA3162" s="702"/>
      <c r="AB3162" s="700">
        <f>SUM(AB3156:AB3160)</f>
        <v>0</v>
      </c>
      <c r="AC3162" s="702"/>
      <c r="AD3162" s="700">
        <f>SUM(AD3156:AD3160)</f>
        <v>0</v>
      </c>
      <c r="AE3162" s="702"/>
      <c r="AF3162" s="705"/>
      <c r="AG3162" s="729">
        <f>IF(AG3161&gt;0,AG3161/(SUM(AF2441:AF2445)/1.18),0)</f>
        <v>0</v>
      </c>
      <c r="AH3162" s="706"/>
      <c r="AI3162" s="729">
        <f>IF(AI3161&gt;0,AI3161/(SUM(AH2441:AH2445)/1.18),0)</f>
        <v>0</v>
      </c>
      <c r="AJ3162" s="707"/>
      <c r="AV3162" s="56"/>
    </row>
    <row r="3163" spans="1:48" ht="12.75" customHeight="1" outlineLevel="2" thickBot="1">
      <c r="B3163" s="82">
        <f>B3156+1</f>
        <v>41</v>
      </c>
      <c r="C3163" s="1233">
        <f>C293</f>
        <v>0</v>
      </c>
      <c r="D3163" s="1233">
        <f>D293</f>
        <v>0</v>
      </c>
      <c r="E3163" s="83" t="str">
        <f>'Terms and Turnovers'!$J$12</f>
        <v>FLIP-FLOPS</v>
      </c>
      <c r="F3163" s="68">
        <f>F1734/1.18-F2449*'Mark Up Validation'!$M$105</f>
        <v>0</v>
      </c>
      <c r="G3163" s="106"/>
      <c r="H3163" s="68">
        <f>H1734/1.18-H2449*'Mark Up Validation'!$M$105</f>
        <v>0</v>
      </c>
      <c r="I3163" s="106"/>
      <c r="J3163" s="68">
        <f>J1734/1.18-J2449*'Mark Up Validation'!$M$105</f>
        <v>0</v>
      </c>
      <c r="K3163" s="106"/>
      <c r="L3163" s="68">
        <f>L1734/1.18-L2449*'Mark Up Validation'!$M$105</f>
        <v>0</v>
      </c>
      <c r="M3163" s="106"/>
      <c r="N3163" s="68">
        <f>N1734/1.18-N2449*'Mark Up Validation'!$M$105</f>
        <v>0</v>
      </c>
      <c r="O3163" s="106"/>
      <c r="P3163" s="68">
        <f>P1734/1.18-P2449*'Mark Up Validation'!$M$105</f>
        <v>0</v>
      </c>
      <c r="Q3163" s="106"/>
      <c r="R3163" s="129">
        <f>SUM(F3163,H3163,J3163,L3163,N3163,P3163)</f>
        <v>0</v>
      </c>
      <c r="S3163" s="106"/>
      <c r="T3163" s="68">
        <f>T1734/1.18-T2449*'Mark Up Validation'!$S$105</f>
        <v>0</v>
      </c>
      <c r="U3163" s="106"/>
      <c r="V3163" s="68">
        <f>V1734/1.18-V2449*'Mark Up Validation'!$S$105</f>
        <v>0</v>
      </c>
      <c r="W3163" s="106"/>
      <c r="X3163" s="68">
        <f>X1734/1.18-X2449*'Mark Up Validation'!$S$105</f>
        <v>0</v>
      </c>
      <c r="Y3163" s="106"/>
      <c r="Z3163" s="68">
        <f>Z1734/1.18-Z2449*'Mark Up Validation'!$S$105</f>
        <v>0</v>
      </c>
      <c r="AA3163" s="106"/>
      <c r="AB3163" s="68">
        <f>AB1734/1.18-AB2449*'Mark Up Validation'!$S$105</f>
        <v>0</v>
      </c>
      <c r="AC3163" s="106"/>
      <c r="AD3163" s="68">
        <f>AD1734/1.18-AD2449*'Mark Up Validation'!$S$105</f>
        <v>0</v>
      </c>
      <c r="AE3163" s="106"/>
      <c r="AF3163" s="129">
        <f>SUM(T3163,V3163,X3163,Z3163,AB3163,AD3163)</f>
        <v>0</v>
      </c>
      <c r="AG3163" s="106"/>
      <c r="AH3163" s="130">
        <f>SUM(AF3163,R3163)</f>
        <v>0</v>
      </c>
      <c r="AI3163" s="106"/>
      <c r="AJ3163" s="65"/>
      <c r="AV3163" s="56"/>
    </row>
    <row r="3164" spans="1:48" ht="12.75" customHeight="1" outlineLevel="2" thickBot="1">
      <c r="B3164" s="82"/>
      <c r="C3164" s="1234"/>
      <c r="D3164" s="1234"/>
      <c r="E3164" s="84" t="str">
        <f>'Terms and Turnovers'!$T$12</f>
        <v>ORIGINALS</v>
      </c>
      <c r="F3164" s="68">
        <f>F1735/1.18-F2450*'Mark Up Validation'!$M$105</f>
        <v>0</v>
      </c>
      <c r="G3164" s="728"/>
      <c r="H3164" s="68">
        <f>H1735/1.18-H2450*'Mark Up Validation'!$M$105</f>
        <v>0</v>
      </c>
      <c r="I3164" s="728"/>
      <c r="J3164" s="68">
        <f>J1735/1.18-J2450*'Mark Up Validation'!$M$105</f>
        <v>0</v>
      </c>
      <c r="K3164" s="728"/>
      <c r="L3164" s="68">
        <f>L1735/1.18-L2450*'Mark Up Validation'!$M$105</f>
        <v>0</v>
      </c>
      <c r="M3164" s="728"/>
      <c r="N3164" s="68">
        <f>N1735/1.18-N2450*'Mark Up Validation'!$M$105</f>
        <v>0</v>
      </c>
      <c r="O3164" s="728"/>
      <c r="P3164" s="68">
        <f>P1735/1.18-P2450*'Mark Up Validation'!$M$105</f>
        <v>0</v>
      </c>
      <c r="Q3164" s="728"/>
      <c r="R3164" s="132">
        <f>SUM(F3164,H3164,J3164,L3164,N3164,P3164)</f>
        <v>0</v>
      </c>
      <c r="S3164" s="728"/>
      <c r="T3164" s="68">
        <f>T1735/1.18-T2450*'Mark Up Validation'!$S$105</f>
        <v>0</v>
      </c>
      <c r="U3164" s="728"/>
      <c r="V3164" s="68">
        <f>V1735/1.18-V2450*'Mark Up Validation'!$S$105</f>
        <v>0</v>
      </c>
      <c r="W3164" s="728"/>
      <c r="X3164" s="68">
        <f>X1735/1.18-X2450*'Mark Up Validation'!$S$105</f>
        <v>0</v>
      </c>
      <c r="Y3164" s="728"/>
      <c r="Z3164" s="68">
        <f>Z1735/1.18-Z2450*'Mark Up Validation'!$S$105</f>
        <v>0</v>
      </c>
      <c r="AA3164" s="728"/>
      <c r="AB3164" s="68">
        <f>AB1735/1.18-AB2450*'Mark Up Validation'!$S$105</f>
        <v>0</v>
      </c>
      <c r="AC3164" s="728"/>
      <c r="AD3164" s="68">
        <f>AD1735/1.18-AD2450*'Mark Up Validation'!$S$105</f>
        <v>0</v>
      </c>
      <c r="AE3164" s="728"/>
      <c r="AF3164" s="132">
        <f>SUM(T3164,V3164,X3164,Z3164,AB3164,AD3164)</f>
        <v>0</v>
      </c>
      <c r="AG3164" s="728"/>
      <c r="AH3164" s="133">
        <f>SUM(AF3164,R3164)</f>
        <v>0</v>
      </c>
      <c r="AI3164" s="728"/>
      <c r="AJ3164" s="65"/>
      <c r="AV3164" s="56"/>
    </row>
    <row r="3165" spans="1:48" ht="12.75" customHeight="1" outlineLevel="2" thickBot="1">
      <c r="B3165" s="82"/>
      <c r="C3165" s="1234"/>
      <c r="D3165" s="1234"/>
      <c r="E3165" s="84" t="str">
        <f>'Terms and Turnovers'!$AD$12</f>
        <v>ACCESSORIES</v>
      </c>
      <c r="F3165" s="68">
        <f>F1736/1.18-F2451*'Mark Up Validation'!$M$105</f>
        <v>0</v>
      </c>
      <c r="G3165" s="106"/>
      <c r="H3165" s="68">
        <f>H1736/1.18-H2451*'Mark Up Validation'!$M$105</f>
        <v>0</v>
      </c>
      <c r="I3165" s="106"/>
      <c r="J3165" s="68">
        <f>J1736/1.18-J2451*'Mark Up Validation'!$M$105</f>
        <v>0</v>
      </c>
      <c r="K3165" s="106"/>
      <c r="L3165" s="68">
        <f>L1736/1.18-L2451*'Mark Up Validation'!$M$105</f>
        <v>0</v>
      </c>
      <c r="M3165" s="106"/>
      <c r="N3165" s="68">
        <f>N1736/1.18-N2451*'Mark Up Validation'!$M$105</f>
        <v>0</v>
      </c>
      <c r="O3165" s="106"/>
      <c r="P3165" s="68">
        <f>P1736/1.18-P2451*'Mark Up Validation'!$M$105</f>
        <v>0</v>
      </c>
      <c r="Q3165" s="728"/>
      <c r="R3165" s="132">
        <f>SUM(F3165,H3165,J3165,L3165,N3165,P3165)</f>
        <v>0</v>
      </c>
      <c r="S3165" s="728"/>
      <c r="T3165" s="68">
        <f>T1736/1.18-T2451*'Mark Up Validation'!$S$105</f>
        <v>0</v>
      </c>
      <c r="U3165" s="728"/>
      <c r="V3165" s="68">
        <f>V1736/1.18-V2451*'Mark Up Validation'!$S$105</f>
        <v>0</v>
      </c>
      <c r="W3165" s="728"/>
      <c r="X3165" s="68">
        <f>X1736/1.18-X2451*'Mark Up Validation'!$S$105</f>
        <v>0</v>
      </c>
      <c r="Y3165" s="728"/>
      <c r="Z3165" s="68">
        <f>Z1736/1.18-Z2451*'Mark Up Validation'!$S$105</f>
        <v>0</v>
      </c>
      <c r="AA3165" s="728"/>
      <c r="AB3165" s="68">
        <f>AB1736/1.18-AB2451*'Mark Up Validation'!$S$105</f>
        <v>0</v>
      </c>
      <c r="AC3165" s="728"/>
      <c r="AD3165" s="68">
        <f>AD1736/1.18-AD2451*'Mark Up Validation'!$S$105</f>
        <v>0</v>
      </c>
      <c r="AE3165" s="728"/>
      <c r="AF3165" s="132">
        <f>SUM(T3165,V3165,X3165,Z3165,AB3165,AD3165)</f>
        <v>0</v>
      </c>
      <c r="AG3165" s="728"/>
      <c r="AH3165" s="133">
        <f>SUM(AF3165,R3165)</f>
        <v>0</v>
      </c>
      <c r="AI3165" s="728"/>
      <c r="AJ3165" s="65"/>
      <c r="AV3165" s="56"/>
    </row>
    <row r="3166" spans="1:48" ht="12.75" customHeight="1" outlineLevel="2" thickBot="1">
      <c r="B3166" s="82"/>
      <c r="C3166" s="1234"/>
      <c r="D3166" s="1234"/>
      <c r="E3166" s="84">
        <f>'Terms and Turnovers'!$AN$12</f>
        <v>0</v>
      </c>
      <c r="F3166" s="68">
        <f>F1737/1.18-F2452*'Mark Up Validation'!$M$105</f>
        <v>0</v>
      </c>
      <c r="G3166" s="728"/>
      <c r="H3166" s="68">
        <f>H1737/1.18-H2452*'Mark Up Validation'!$M$105</f>
        <v>0</v>
      </c>
      <c r="I3166" s="728"/>
      <c r="J3166" s="68">
        <f>J1737/1.18-J2452*'Mark Up Validation'!$M$105</f>
        <v>0</v>
      </c>
      <c r="K3166" s="728"/>
      <c r="L3166" s="68">
        <f>L1737/1.18-L2452*'Mark Up Validation'!$M$105</f>
        <v>0</v>
      </c>
      <c r="M3166" s="728"/>
      <c r="N3166" s="68">
        <f>N1737/1.18-N2452*'Mark Up Validation'!$M$105</f>
        <v>0</v>
      </c>
      <c r="O3166" s="728"/>
      <c r="P3166" s="68">
        <f>P1737/1.18-P2452*'Mark Up Validation'!$M$105</f>
        <v>0</v>
      </c>
      <c r="Q3166" s="728"/>
      <c r="R3166" s="132">
        <f>SUM(F3166,H3166,J3166,L3166,N3166,P3166)</f>
        <v>0</v>
      </c>
      <c r="S3166" s="728"/>
      <c r="T3166" s="68">
        <f>T1737/1.18-T2452*'Mark Up Validation'!$S$105</f>
        <v>0</v>
      </c>
      <c r="U3166" s="728"/>
      <c r="V3166" s="68">
        <f>V1737/1.18-V2452*'Mark Up Validation'!$S$105</f>
        <v>0</v>
      </c>
      <c r="W3166" s="728"/>
      <c r="X3166" s="68">
        <f>X1737/1.18-X2452*'Mark Up Validation'!$S$105</f>
        <v>0</v>
      </c>
      <c r="Y3166" s="728"/>
      <c r="Z3166" s="68">
        <f>Z1737/1.18-Z2452*'Mark Up Validation'!$S$105</f>
        <v>0</v>
      </c>
      <c r="AA3166" s="728"/>
      <c r="AB3166" s="68">
        <f>AB1737/1.18-AB2452*'Mark Up Validation'!$S$105</f>
        <v>0</v>
      </c>
      <c r="AC3166" s="728"/>
      <c r="AD3166" s="68">
        <f>AD1737/1.18-AD2452*'Mark Up Validation'!$S$105</f>
        <v>0</v>
      </c>
      <c r="AE3166" s="728"/>
      <c r="AF3166" s="132">
        <f>SUM(T3166,V3166,X3166,Z3166,AB3166,AD3166)</f>
        <v>0</v>
      </c>
      <c r="AG3166" s="728"/>
      <c r="AH3166" s="133">
        <f>SUM(AF3166,R3166)</f>
        <v>0</v>
      </c>
      <c r="AI3166" s="728"/>
      <c r="AJ3166" s="65"/>
      <c r="AV3166" s="56"/>
    </row>
    <row r="3167" spans="1:48" ht="13.5" customHeight="1" outlineLevel="2" thickBot="1">
      <c r="B3167" s="82"/>
      <c r="C3167" s="1235"/>
      <c r="D3167" s="1235"/>
      <c r="E3167" s="85">
        <f>'Terms and Turnovers'!$AX$12</f>
        <v>0</v>
      </c>
      <c r="F3167" s="68">
        <f>F1738/1.18-F2453*'Mark Up Validation'!$M$105</f>
        <v>0</v>
      </c>
      <c r="G3167" s="106"/>
      <c r="H3167" s="68">
        <f>H1738/1.18-H2453*'Mark Up Validation'!$M$105</f>
        <v>0</v>
      </c>
      <c r="I3167" s="106"/>
      <c r="J3167" s="68">
        <f>J1738/1.18-J2453*'Mark Up Validation'!$M$105</f>
        <v>0</v>
      </c>
      <c r="K3167" s="106"/>
      <c r="L3167" s="68">
        <f>L1738/1.18-L2453*'Mark Up Validation'!$M$105</f>
        <v>0</v>
      </c>
      <c r="M3167" s="106"/>
      <c r="N3167" s="68">
        <f>N1738/1.18-N2453*'Mark Up Validation'!$M$105</f>
        <v>0</v>
      </c>
      <c r="O3167" s="106"/>
      <c r="P3167" s="68">
        <f>P1738/1.18-P2453*'Mark Up Validation'!$M$105</f>
        <v>0</v>
      </c>
      <c r="Q3167" s="107"/>
      <c r="R3167" s="135">
        <f>SUM(F3167,H3167,J3167,L3167,N3167,P3167)</f>
        <v>0</v>
      </c>
      <c r="S3167" s="107"/>
      <c r="T3167" s="68">
        <f>T1738/1.18-T2453*'Mark Up Validation'!$S$105</f>
        <v>0</v>
      </c>
      <c r="U3167" s="107"/>
      <c r="V3167" s="68">
        <f>V1738/1.18-V2453*'Mark Up Validation'!$S$105</f>
        <v>0</v>
      </c>
      <c r="W3167" s="107"/>
      <c r="X3167" s="68">
        <f>X1738/1.18-X2453*'Mark Up Validation'!$S$105</f>
        <v>0</v>
      </c>
      <c r="Y3167" s="107"/>
      <c r="Z3167" s="68">
        <f>Z1738/1.18-Z2453*'Mark Up Validation'!$S$105</f>
        <v>0</v>
      </c>
      <c r="AA3167" s="107"/>
      <c r="AB3167" s="68">
        <f>AB1738/1.18-AB2453*'Mark Up Validation'!$S$105</f>
        <v>0</v>
      </c>
      <c r="AC3167" s="107"/>
      <c r="AD3167" s="68">
        <f>AD1738/1.18-AD2453*'Mark Up Validation'!$S$105</f>
        <v>0</v>
      </c>
      <c r="AE3167" s="107"/>
      <c r="AF3167" s="135">
        <f>SUM(T3167,V3167,X3167,Z3167,AB3167,AD3167)</f>
        <v>0</v>
      </c>
      <c r="AG3167" s="107"/>
      <c r="AH3167" s="136">
        <f>SUM(AF3167,R3167)</f>
        <v>0</v>
      </c>
      <c r="AI3167" s="107"/>
      <c r="AJ3167" s="65"/>
      <c r="AV3167" s="56"/>
    </row>
    <row r="3168" spans="1:48" ht="13.5" customHeight="1" outlineLevel="2">
      <c r="B3168" s="82"/>
      <c r="C3168" s="425"/>
      <c r="D3168" s="425"/>
      <c r="E3168" s="634"/>
      <c r="F3168" s="635"/>
      <c r="G3168" s="428"/>
      <c r="H3168" s="635"/>
      <c r="I3168" s="428"/>
      <c r="J3168" s="635"/>
      <c r="K3168" s="636"/>
      <c r="L3168" s="635"/>
      <c r="M3168" s="636"/>
      <c r="N3168" s="635"/>
      <c r="O3168" s="636"/>
      <c r="P3168" s="635"/>
      <c r="Q3168" s="636"/>
      <c r="R3168" s="637"/>
      <c r="S3168" s="698">
        <f>SUM(R2448:R2452)/1.18-(SUM(R3163:R3167)*'Mark Up Validation'!$M$105)</f>
        <v>0</v>
      </c>
      <c r="T3168" s="635"/>
      <c r="U3168" s="636"/>
      <c r="V3168" s="635"/>
      <c r="W3168" s="636"/>
      <c r="X3168" s="635"/>
      <c r="Y3168" s="636"/>
      <c r="Z3168" s="635"/>
      <c r="AA3168" s="636"/>
      <c r="AB3168" s="635"/>
      <c r="AC3168" s="636"/>
      <c r="AD3168" s="635"/>
      <c r="AE3168" s="636"/>
      <c r="AF3168" s="637"/>
      <c r="AG3168" s="698">
        <f>SUM(AF2448:AF2452)/1.18-SUM(AF3163:AF3167)*'Mark Up Validation'!$M$175</f>
        <v>0</v>
      </c>
      <c r="AH3168" s="638"/>
      <c r="AI3168" s="698">
        <f>SUM(AH2448:AH2452)/1.18-SUM(AH3163:AH3167)*'Mark Up Validation'!$M$175</f>
        <v>0</v>
      </c>
      <c r="AJ3168" s="65"/>
      <c r="AV3168" s="56"/>
    </row>
    <row r="3169" spans="1:48" ht="13.5" customHeight="1" outlineLevel="2" thickBot="1">
      <c r="A3169" s="119"/>
      <c r="B3169" s="82"/>
      <c r="C3169" s="1228" t="s">
        <v>539</v>
      </c>
      <c r="D3169" s="1229"/>
      <c r="E3169" s="699"/>
      <c r="F3169" s="700">
        <f>SUM(F3163:F3167)</f>
        <v>0</v>
      </c>
      <c r="G3169" s="701"/>
      <c r="H3169" s="700">
        <f>SUM(H3163:H3167)</f>
        <v>0</v>
      </c>
      <c r="I3169" s="701"/>
      <c r="J3169" s="700">
        <f>SUM(J3163:J3167)</f>
        <v>0</v>
      </c>
      <c r="K3169" s="702"/>
      <c r="L3169" s="700">
        <f>SUM(L3163:L3167)</f>
        <v>0</v>
      </c>
      <c r="M3169" s="702"/>
      <c r="N3169" s="700">
        <f>SUM(N3163:N3167)</f>
        <v>0</v>
      </c>
      <c r="O3169" s="702"/>
      <c r="P3169" s="700">
        <f>SUM(P3163:P3167)</f>
        <v>0</v>
      </c>
      <c r="Q3169" s="702"/>
      <c r="R3169" s="703"/>
      <c r="S3169" s="729">
        <f>IF(S3168&gt;0,S3168/(SUM(R2448:R2452)/1.18),0)</f>
        <v>0</v>
      </c>
      <c r="T3169" s="700">
        <f>SUM(T3163:T3167)</f>
        <v>0</v>
      </c>
      <c r="U3169" s="702"/>
      <c r="V3169" s="700">
        <f>SUM(V3163:V3167)</f>
        <v>0</v>
      </c>
      <c r="W3169" s="702"/>
      <c r="X3169" s="700">
        <f>SUM(X3163:X3167)</f>
        <v>0</v>
      </c>
      <c r="Y3169" s="702"/>
      <c r="Z3169" s="700">
        <f>SUM(Z3163:Z3167)</f>
        <v>0</v>
      </c>
      <c r="AA3169" s="702"/>
      <c r="AB3169" s="700">
        <f>SUM(AB3163:AB3167)</f>
        <v>0</v>
      </c>
      <c r="AC3169" s="702"/>
      <c r="AD3169" s="700">
        <f>SUM(AD3163:AD3167)</f>
        <v>0</v>
      </c>
      <c r="AE3169" s="702"/>
      <c r="AF3169" s="705"/>
      <c r="AG3169" s="729">
        <f>IF(AG3168&gt;0,AG3168/(SUM(AF2448:AF2452)/1.18),0)</f>
        <v>0</v>
      </c>
      <c r="AH3169" s="706"/>
      <c r="AI3169" s="729">
        <f>IF(AI3168&gt;0,AI3168/(SUM(AH2448:AH2452)/1.18),0)</f>
        <v>0</v>
      </c>
      <c r="AJ3169" s="707"/>
      <c r="AV3169" s="56"/>
    </row>
    <row r="3170" spans="1:48" ht="12.75" customHeight="1" outlineLevel="2" thickBot="1">
      <c r="B3170" s="82">
        <f>B3163+1</f>
        <v>42</v>
      </c>
      <c r="C3170" s="1233">
        <f>C300</f>
        <v>0</v>
      </c>
      <c r="D3170" s="1233">
        <f>D300</f>
        <v>0</v>
      </c>
      <c r="E3170" s="83" t="str">
        <f>'Terms and Turnovers'!$J$12</f>
        <v>FLIP-FLOPS</v>
      </c>
      <c r="F3170" s="68">
        <f>F1741/1.18-F2456*'Mark Up Validation'!$M$105</f>
        <v>0</v>
      </c>
      <c r="G3170" s="106"/>
      <c r="H3170" s="68">
        <f>H1741/1.18-H2456*'Mark Up Validation'!$M$105</f>
        <v>0</v>
      </c>
      <c r="I3170" s="106"/>
      <c r="J3170" s="68">
        <f>J1741/1.18-J2456*'Mark Up Validation'!$M$105</f>
        <v>0</v>
      </c>
      <c r="K3170" s="106"/>
      <c r="L3170" s="68">
        <f>L1741/1.18-L2456*'Mark Up Validation'!$M$105</f>
        <v>0</v>
      </c>
      <c r="M3170" s="106"/>
      <c r="N3170" s="68">
        <f>N1741/1.18-N2456*'Mark Up Validation'!$M$105</f>
        <v>0</v>
      </c>
      <c r="O3170" s="106"/>
      <c r="P3170" s="68">
        <f>P1741/1.18-P2456*'Mark Up Validation'!$M$105</f>
        <v>0</v>
      </c>
      <c r="Q3170" s="106"/>
      <c r="R3170" s="129">
        <f>SUM(F3170,H3170,J3170,L3170,N3170,P3170)</f>
        <v>0</v>
      </c>
      <c r="S3170" s="106"/>
      <c r="T3170" s="68">
        <f>T1741/1.18-T2456*'Mark Up Validation'!$S$105</f>
        <v>0</v>
      </c>
      <c r="U3170" s="106"/>
      <c r="V3170" s="68">
        <f>V1741/1.18-V2456*'Mark Up Validation'!$S$105</f>
        <v>0</v>
      </c>
      <c r="W3170" s="106"/>
      <c r="X3170" s="68">
        <f>X1741/1.18-X2456*'Mark Up Validation'!$S$105</f>
        <v>0</v>
      </c>
      <c r="Y3170" s="106"/>
      <c r="Z3170" s="68">
        <f>Z1741/1.18-Z2456*'Mark Up Validation'!$S$105</f>
        <v>0</v>
      </c>
      <c r="AA3170" s="106"/>
      <c r="AB3170" s="68">
        <f>AB1741/1.18-AB2456*'Mark Up Validation'!$S$105</f>
        <v>0</v>
      </c>
      <c r="AC3170" s="106"/>
      <c r="AD3170" s="68">
        <f>AD1741/1.18-AD2456*'Mark Up Validation'!$S$105</f>
        <v>0</v>
      </c>
      <c r="AE3170" s="106"/>
      <c r="AF3170" s="129">
        <f>SUM(T3170,V3170,X3170,Z3170,AB3170,AD3170)</f>
        <v>0</v>
      </c>
      <c r="AG3170" s="106"/>
      <c r="AH3170" s="130">
        <f>SUM(AF3170,R3170)</f>
        <v>0</v>
      </c>
      <c r="AI3170" s="106"/>
      <c r="AJ3170" s="65"/>
      <c r="AV3170" s="56"/>
    </row>
    <row r="3171" spans="1:48" ht="12.75" customHeight="1" outlineLevel="2" thickBot="1">
      <c r="B3171" s="82"/>
      <c r="C3171" s="1234"/>
      <c r="D3171" s="1234"/>
      <c r="E3171" s="84" t="str">
        <f>'Terms and Turnovers'!$T$12</f>
        <v>ORIGINALS</v>
      </c>
      <c r="F3171" s="68">
        <f>F1742/1.18-F2457*'Mark Up Validation'!$M$105</f>
        <v>0</v>
      </c>
      <c r="G3171" s="728"/>
      <c r="H3171" s="68">
        <f>H1742/1.18-H2457*'Mark Up Validation'!$M$105</f>
        <v>0</v>
      </c>
      <c r="I3171" s="728"/>
      <c r="J3171" s="68">
        <f>J1742/1.18-J2457*'Mark Up Validation'!$M$105</f>
        <v>0</v>
      </c>
      <c r="K3171" s="728"/>
      <c r="L3171" s="68">
        <f>L1742/1.18-L2457*'Mark Up Validation'!$M$105</f>
        <v>0</v>
      </c>
      <c r="M3171" s="728"/>
      <c r="N3171" s="68">
        <f>N1742/1.18-N2457*'Mark Up Validation'!$M$105</f>
        <v>0</v>
      </c>
      <c r="O3171" s="728"/>
      <c r="P3171" s="68">
        <f>P1742/1.18-P2457*'Mark Up Validation'!$M$105</f>
        <v>0</v>
      </c>
      <c r="Q3171" s="728"/>
      <c r="R3171" s="132">
        <f>SUM(F3171,H3171,J3171,L3171,N3171,P3171)</f>
        <v>0</v>
      </c>
      <c r="S3171" s="728"/>
      <c r="T3171" s="68">
        <f>T1742/1.18-T2457*'Mark Up Validation'!$S$105</f>
        <v>0</v>
      </c>
      <c r="U3171" s="728"/>
      <c r="V3171" s="68">
        <f>V1742/1.18-V2457*'Mark Up Validation'!$S$105</f>
        <v>0</v>
      </c>
      <c r="W3171" s="728"/>
      <c r="X3171" s="68">
        <f>X1742/1.18-X2457*'Mark Up Validation'!$S$105</f>
        <v>0</v>
      </c>
      <c r="Y3171" s="728"/>
      <c r="Z3171" s="68">
        <f>Z1742/1.18-Z2457*'Mark Up Validation'!$S$105</f>
        <v>0</v>
      </c>
      <c r="AA3171" s="728"/>
      <c r="AB3171" s="68">
        <f>AB1742/1.18-AB2457*'Mark Up Validation'!$S$105</f>
        <v>0</v>
      </c>
      <c r="AC3171" s="728"/>
      <c r="AD3171" s="68">
        <f>AD1742/1.18-AD2457*'Mark Up Validation'!$S$105</f>
        <v>0</v>
      </c>
      <c r="AE3171" s="728"/>
      <c r="AF3171" s="132">
        <f>SUM(T3171,V3171,X3171,Z3171,AB3171,AD3171)</f>
        <v>0</v>
      </c>
      <c r="AG3171" s="728"/>
      <c r="AH3171" s="133">
        <f>SUM(AF3171,R3171)</f>
        <v>0</v>
      </c>
      <c r="AI3171" s="728"/>
      <c r="AJ3171" s="65"/>
      <c r="AV3171" s="56"/>
    </row>
    <row r="3172" spans="1:48" ht="12.75" customHeight="1" outlineLevel="2" thickBot="1">
      <c r="B3172" s="82"/>
      <c r="C3172" s="1234"/>
      <c r="D3172" s="1234"/>
      <c r="E3172" s="84" t="str">
        <f>'Terms and Turnovers'!$AD$12</f>
        <v>ACCESSORIES</v>
      </c>
      <c r="F3172" s="68">
        <f>F1743/1.18-F2458*'Mark Up Validation'!$M$105</f>
        <v>0</v>
      </c>
      <c r="G3172" s="106"/>
      <c r="H3172" s="68">
        <f>H1743/1.18-H2458*'Mark Up Validation'!$M$105</f>
        <v>0</v>
      </c>
      <c r="I3172" s="106"/>
      <c r="J3172" s="68">
        <f>J1743/1.18-J2458*'Mark Up Validation'!$M$105</f>
        <v>0</v>
      </c>
      <c r="K3172" s="106"/>
      <c r="L3172" s="68">
        <f>L1743/1.18-L2458*'Mark Up Validation'!$M$105</f>
        <v>0</v>
      </c>
      <c r="M3172" s="106"/>
      <c r="N3172" s="68">
        <f>N1743/1.18-N2458*'Mark Up Validation'!$M$105</f>
        <v>0</v>
      </c>
      <c r="O3172" s="106"/>
      <c r="P3172" s="68">
        <f>P1743/1.18-P2458*'Mark Up Validation'!$M$105</f>
        <v>0</v>
      </c>
      <c r="Q3172" s="728"/>
      <c r="R3172" s="132">
        <f>SUM(F3172,H3172,J3172,L3172,N3172,P3172)</f>
        <v>0</v>
      </c>
      <c r="S3172" s="728"/>
      <c r="T3172" s="68">
        <f>T1743/1.18-T2458*'Mark Up Validation'!$S$105</f>
        <v>0</v>
      </c>
      <c r="U3172" s="728"/>
      <c r="V3172" s="68">
        <f>V1743/1.18-V2458*'Mark Up Validation'!$S$105</f>
        <v>0</v>
      </c>
      <c r="W3172" s="728"/>
      <c r="X3172" s="68">
        <f>X1743/1.18-X2458*'Mark Up Validation'!$S$105</f>
        <v>0</v>
      </c>
      <c r="Y3172" s="728"/>
      <c r="Z3172" s="68">
        <f>Z1743/1.18-Z2458*'Mark Up Validation'!$S$105</f>
        <v>0</v>
      </c>
      <c r="AA3172" s="728"/>
      <c r="AB3172" s="68">
        <f>AB1743/1.18-AB2458*'Mark Up Validation'!$S$105</f>
        <v>0</v>
      </c>
      <c r="AC3172" s="728"/>
      <c r="AD3172" s="68">
        <f>AD1743/1.18-AD2458*'Mark Up Validation'!$S$105</f>
        <v>0</v>
      </c>
      <c r="AE3172" s="728"/>
      <c r="AF3172" s="132">
        <f>SUM(T3172,V3172,X3172,Z3172,AB3172,AD3172)</f>
        <v>0</v>
      </c>
      <c r="AG3172" s="728"/>
      <c r="AH3172" s="133">
        <f>SUM(AF3172,R3172)</f>
        <v>0</v>
      </c>
      <c r="AI3172" s="728"/>
      <c r="AJ3172" s="65"/>
      <c r="AV3172" s="56"/>
    </row>
    <row r="3173" spans="1:48" ht="12.75" customHeight="1" outlineLevel="2" thickBot="1">
      <c r="B3173" s="82"/>
      <c r="C3173" s="1234"/>
      <c r="D3173" s="1234"/>
      <c r="E3173" s="84">
        <f>'Terms and Turnovers'!$AN$12</f>
        <v>0</v>
      </c>
      <c r="F3173" s="68">
        <f>F1744/1.18-F2459*'Mark Up Validation'!$M$105</f>
        <v>0</v>
      </c>
      <c r="G3173" s="728"/>
      <c r="H3173" s="68">
        <f>H1744/1.18-H2459*'Mark Up Validation'!$M$105</f>
        <v>0</v>
      </c>
      <c r="I3173" s="728"/>
      <c r="J3173" s="68">
        <f>J1744/1.18-J2459*'Mark Up Validation'!$M$105</f>
        <v>0</v>
      </c>
      <c r="K3173" s="728"/>
      <c r="L3173" s="68">
        <f>L1744/1.18-L2459*'Mark Up Validation'!$M$105</f>
        <v>0</v>
      </c>
      <c r="M3173" s="728"/>
      <c r="N3173" s="68">
        <f>N1744/1.18-N2459*'Mark Up Validation'!$M$105</f>
        <v>0</v>
      </c>
      <c r="O3173" s="728"/>
      <c r="P3173" s="68">
        <f>P1744/1.18-P2459*'Mark Up Validation'!$M$105</f>
        <v>0</v>
      </c>
      <c r="Q3173" s="728"/>
      <c r="R3173" s="132">
        <f>SUM(F3173,H3173,J3173,L3173,N3173,P3173)</f>
        <v>0</v>
      </c>
      <c r="S3173" s="728"/>
      <c r="T3173" s="68">
        <f>T1744/1.18-T2459*'Mark Up Validation'!$S$105</f>
        <v>0</v>
      </c>
      <c r="U3173" s="728"/>
      <c r="V3173" s="68">
        <f>V1744/1.18-V2459*'Mark Up Validation'!$S$105</f>
        <v>0</v>
      </c>
      <c r="W3173" s="728"/>
      <c r="X3173" s="68">
        <f>X1744/1.18-X2459*'Mark Up Validation'!$S$105</f>
        <v>0</v>
      </c>
      <c r="Y3173" s="728"/>
      <c r="Z3173" s="68">
        <f>Z1744/1.18-Z2459*'Mark Up Validation'!$S$105</f>
        <v>0</v>
      </c>
      <c r="AA3173" s="728"/>
      <c r="AB3173" s="68">
        <f>AB1744/1.18-AB2459*'Mark Up Validation'!$S$105</f>
        <v>0</v>
      </c>
      <c r="AC3173" s="728"/>
      <c r="AD3173" s="68">
        <f>AD1744/1.18-AD2459*'Mark Up Validation'!$S$105</f>
        <v>0</v>
      </c>
      <c r="AE3173" s="728"/>
      <c r="AF3173" s="132">
        <f>SUM(T3173,V3173,X3173,Z3173,AB3173,AD3173)</f>
        <v>0</v>
      </c>
      <c r="AG3173" s="728"/>
      <c r="AH3173" s="133">
        <f>SUM(AF3173,R3173)</f>
        <v>0</v>
      </c>
      <c r="AI3173" s="728"/>
      <c r="AJ3173" s="65"/>
      <c r="AV3173" s="56"/>
    </row>
    <row r="3174" spans="1:48" ht="13.5" customHeight="1" outlineLevel="2" thickBot="1">
      <c r="B3174" s="82"/>
      <c r="C3174" s="1235"/>
      <c r="D3174" s="1235"/>
      <c r="E3174" s="85">
        <f>'Terms and Turnovers'!$AX$12</f>
        <v>0</v>
      </c>
      <c r="F3174" s="68">
        <f>F1745/1.18-F2460*'Mark Up Validation'!$M$105</f>
        <v>0</v>
      </c>
      <c r="G3174" s="106"/>
      <c r="H3174" s="68">
        <f>H1745/1.18-H2460*'Mark Up Validation'!$M$105</f>
        <v>0</v>
      </c>
      <c r="I3174" s="106"/>
      <c r="J3174" s="68">
        <f>J1745/1.18-J2460*'Mark Up Validation'!$M$105</f>
        <v>0</v>
      </c>
      <c r="K3174" s="106"/>
      <c r="L3174" s="68">
        <f>L1745/1.18-L2460*'Mark Up Validation'!$M$105</f>
        <v>0</v>
      </c>
      <c r="M3174" s="106"/>
      <c r="N3174" s="68">
        <f>N1745/1.18-N2460*'Mark Up Validation'!$M$105</f>
        <v>0</v>
      </c>
      <c r="O3174" s="106"/>
      <c r="P3174" s="68">
        <f>P1745/1.18-P2460*'Mark Up Validation'!$M$105</f>
        <v>0</v>
      </c>
      <c r="Q3174" s="107"/>
      <c r="R3174" s="135">
        <f>SUM(F3174,H3174,J3174,L3174,N3174,P3174)</f>
        <v>0</v>
      </c>
      <c r="S3174" s="107"/>
      <c r="T3174" s="68">
        <f>T1745/1.18-T2460*'Mark Up Validation'!$S$105</f>
        <v>0</v>
      </c>
      <c r="U3174" s="107"/>
      <c r="V3174" s="68">
        <f>V1745/1.18-V2460*'Mark Up Validation'!$S$105</f>
        <v>0</v>
      </c>
      <c r="W3174" s="107"/>
      <c r="X3174" s="68">
        <f>X1745/1.18-X2460*'Mark Up Validation'!$S$105</f>
        <v>0</v>
      </c>
      <c r="Y3174" s="107"/>
      <c r="Z3174" s="68">
        <f>Z1745/1.18-Z2460*'Mark Up Validation'!$S$105</f>
        <v>0</v>
      </c>
      <c r="AA3174" s="107"/>
      <c r="AB3174" s="68">
        <f>AB1745/1.18-AB2460*'Mark Up Validation'!$S$105</f>
        <v>0</v>
      </c>
      <c r="AC3174" s="107"/>
      <c r="AD3174" s="68">
        <f>AD1745/1.18-AD2460*'Mark Up Validation'!$S$105</f>
        <v>0</v>
      </c>
      <c r="AE3174" s="107"/>
      <c r="AF3174" s="135">
        <f>SUM(T3174,V3174,X3174,Z3174,AB3174,AD3174)</f>
        <v>0</v>
      </c>
      <c r="AG3174" s="107"/>
      <c r="AH3174" s="136">
        <f>SUM(AF3174,R3174)</f>
        <v>0</v>
      </c>
      <c r="AI3174" s="107"/>
      <c r="AJ3174" s="65"/>
      <c r="AV3174" s="56"/>
    </row>
    <row r="3175" spans="1:48" ht="13.5" customHeight="1" outlineLevel="2">
      <c r="B3175" s="82"/>
      <c r="C3175" s="425"/>
      <c r="D3175" s="425"/>
      <c r="E3175" s="634"/>
      <c r="F3175" s="635"/>
      <c r="G3175" s="428"/>
      <c r="H3175" s="635"/>
      <c r="I3175" s="428"/>
      <c r="J3175" s="635"/>
      <c r="K3175" s="636"/>
      <c r="L3175" s="635"/>
      <c r="M3175" s="636"/>
      <c r="N3175" s="635"/>
      <c r="O3175" s="636"/>
      <c r="P3175" s="635"/>
      <c r="Q3175" s="636"/>
      <c r="R3175" s="637"/>
      <c r="S3175" s="698">
        <f>SUM(R2455:R2459)/1.18-(SUM(R3170:R3174)*'Mark Up Validation'!$M$105)</f>
        <v>0</v>
      </c>
      <c r="T3175" s="635"/>
      <c r="U3175" s="636"/>
      <c r="V3175" s="635"/>
      <c r="W3175" s="636"/>
      <c r="X3175" s="635"/>
      <c r="Y3175" s="636"/>
      <c r="Z3175" s="635"/>
      <c r="AA3175" s="636"/>
      <c r="AB3175" s="635"/>
      <c r="AC3175" s="636"/>
      <c r="AD3175" s="635"/>
      <c r="AE3175" s="636"/>
      <c r="AF3175" s="637"/>
      <c r="AG3175" s="698">
        <f>SUM(AF2455:AF2459)/1.18-SUM(AF3170:AF3174)*'Mark Up Validation'!$M$175</f>
        <v>0</v>
      </c>
      <c r="AH3175" s="638"/>
      <c r="AI3175" s="698">
        <f>SUM(AH2455:AH2459)/1.18-SUM(AH3170:AH3174)*'Mark Up Validation'!$M$175</f>
        <v>0</v>
      </c>
      <c r="AJ3175" s="65"/>
      <c r="AV3175" s="56"/>
    </row>
    <row r="3176" spans="1:48" ht="13.5" customHeight="1" outlineLevel="2" thickBot="1">
      <c r="A3176" s="119"/>
      <c r="B3176" s="82"/>
      <c r="C3176" s="1228" t="s">
        <v>539</v>
      </c>
      <c r="D3176" s="1229"/>
      <c r="E3176" s="699"/>
      <c r="F3176" s="700">
        <f>SUM(F3170:F3174)</f>
        <v>0</v>
      </c>
      <c r="G3176" s="701"/>
      <c r="H3176" s="700">
        <f>SUM(H3170:H3174)</f>
        <v>0</v>
      </c>
      <c r="I3176" s="701"/>
      <c r="J3176" s="700">
        <f>SUM(J3170:J3174)</f>
        <v>0</v>
      </c>
      <c r="K3176" s="702"/>
      <c r="L3176" s="700">
        <f>SUM(L3170:L3174)</f>
        <v>0</v>
      </c>
      <c r="M3176" s="702"/>
      <c r="N3176" s="700">
        <f>SUM(N3170:N3174)</f>
        <v>0</v>
      </c>
      <c r="O3176" s="702"/>
      <c r="P3176" s="700">
        <f>SUM(P3170:P3174)</f>
        <v>0</v>
      </c>
      <c r="Q3176" s="702"/>
      <c r="R3176" s="703"/>
      <c r="S3176" s="729">
        <f>IF(S3175&gt;0,S3175/(SUM(R2455:R2459)/1.18),0)</f>
        <v>0</v>
      </c>
      <c r="T3176" s="700">
        <f>SUM(T3170:T3174)</f>
        <v>0</v>
      </c>
      <c r="U3176" s="702"/>
      <c r="V3176" s="700">
        <f>SUM(V3170:V3174)</f>
        <v>0</v>
      </c>
      <c r="W3176" s="702"/>
      <c r="X3176" s="700">
        <f>SUM(X3170:X3174)</f>
        <v>0</v>
      </c>
      <c r="Y3176" s="702"/>
      <c r="Z3176" s="700">
        <f>SUM(Z3170:Z3174)</f>
        <v>0</v>
      </c>
      <c r="AA3176" s="702"/>
      <c r="AB3176" s="700">
        <f>SUM(AB3170:AB3174)</f>
        <v>0</v>
      </c>
      <c r="AC3176" s="702"/>
      <c r="AD3176" s="700">
        <f>SUM(AD3170:AD3174)</f>
        <v>0</v>
      </c>
      <c r="AE3176" s="702"/>
      <c r="AF3176" s="705"/>
      <c r="AG3176" s="729">
        <f>IF(AG3175&gt;0,AG3175/(SUM(AF2455:AF2459)/1.18),0)</f>
        <v>0</v>
      </c>
      <c r="AH3176" s="706"/>
      <c r="AI3176" s="729">
        <f>IF(AI3175&gt;0,AI3175/(SUM(AH2455:AH2459)/1.18),0)</f>
        <v>0</v>
      </c>
      <c r="AJ3176" s="707"/>
      <c r="AV3176" s="56"/>
    </row>
    <row r="3177" spans="1:48" ht="12.75" customHeight="1" outlineLevel="2" thickBot="1">
      <c r="B3177" s="82">
        <f>B3170+1</f>
        <v>43</v>
      </c>
      <c r="C3177" s="1233">
        <f>C307</f>
        <v>0</v>
      </c>
      <c r="D3177" s="1233">
        <f>D307</f>
        <v>0</v>
      </c>
      <c r="E3177" s="83" t="str">
        <f>'Terms and Turnovers'!$J$12</f>
        <v>FLIP-FLOPS</v>
      </c>
      <c r="F3177" s="68">
        <f>F1748/1.18-F2463*'Mark Up Validation'!$M$105</f>
        <v>0</v>
      </c>
      <c r="G3177" s="106"/>
      <c r="H3177" s="68">
        <f>H1748/1.18-H2463*'Mark Up Validation'!$M$105</f>
        <v>0</v>
      </c>
      <c r="I3177" s="106"/>
      <c r="J3177" s="68">
        <f>J1748/1.18-J2463*'Mark Up Validation'!$M$105</f>
        <v>0</v>
      </c>
      <c r="K3177" s="106"/>
      <c r="L3177" s="68">
        <f>L1748/1.18-L2463*'Mark Up Validation'!$M$105</f>
        <v>0</v>
      </c>
      <c r="M3177" s="106"/>
      <c r="N3177" s="68">
        <f>N1748/1.18-N2463*'Mark Up Validation'!$M$105</f>
        <v>0</v>
      </c>
      <c r="O3177" s="106"/>
      <c r="P3177" s="68">
        <f>P1748/1.18-P2463*'Mark Up Validation'!$M$105</f>
        <v>0</v>
      </c>
      <c r="Q3177" s="106"/>
      <c r="R3177" s="129">
        <f>SUM(F3177,H3177,J3177,L3177,N3177,P3177)</f>
        <v>0</v>
      </c>
      <c r="S3177" s="106"/>
      <c r="T3177" s="68">
        <f>T1748/1.18-T2463*'Mark Up Validation'!$S$105</f>
        <v>0</v>
      </c>
      <c r="U3177" s="106"/>
      <c r="V3177" s="68">
        <f>V1748/1.18-V2463*'Mark Up Validation'!$S$105</f>
        <v>0</v>
      </c>
      <c r="W3177" s="106"/>
      <c r="X3177" s="68">
        <f>X1748/1.18-X2463*'Mark Up Validation'!$S$105</f>
        <v>0</v>
      </c>
      <c r="Y3177" s="106"/>
      <c r="Z3177" s="68">
        <f>Z1748/1.18-Z2463*'Mark Up Validation'!$S$105</f>
        <v>0</v>
      </c>
      <c r="AA3177" s="106"/>
      <c r="AB3177" s="68">
        <f>AB1748/1.18-AB2463*'Mark Up Validation'!$S$105</f>
        <v>0</v>
      </c>
      <c r="AC3177" s="106"/>
      <c r="AD3177" s="68">
        <f>AD1748/1.18-AD2463*'Mark Up Validation'!$S$105</f>
        <v>0</v>
      </c>
      <c r="AE3177" s="106"/>
      <c r="AF3177" s="129">
        <f>SUM(T3177,V3177,X3177,Z3177,AB3177,AD3177)</f>
        <v>0</v>
      </c>
      <c r="AG3177" s="106"/>
      <c r="AH3177" s="130">
        <f>SUM(AF3177,R3177)</f>
        <v>0</v>
      </c>
      <c r="AI3177" s="106"/>
      <c r="AJ3177" s="65"/>
      <c r="AV3177" s="56"/>
    </row>
    <row r="3178" spans="1:48" ht="12.75" customHeight="1" outlineLevel="2" thickBot="1">
      <c r="B3178" s="82"/>
      <c r="C3178" s="1234"/>
      <c r="D3178" s="1234"/>
      <c r="E3178" s="84" t="str">
        <f>'Terms and Turnovers'!$T$12</f>
        <v>ORIGINALS</v>
      </c>
      <c r="F3178" s="68">
        <f>F1749/1.18-F2464*'Mark Up Validation'!$M$105</f>
        <v>0</v>
      </c>
      <c r="G3178" s="728"/>
      <c r="H3178" s="68">
        <f>H1749/1.18-H2464*'Mark Up Validation'!$M$105</f>
        <v>0</v>
      </c>
      <c r="I3178" s="728"/>
      <c r="J3178" s="68">
        <f>J1749/1.18-J2464*'Mark Up Validation'!$M$105</f>
        <v>0</v>
      </c>
      <c r="K3178" s="728"/>
      <c r="L3178" s="68">
        <f>L1749/1.18-L2464*'Mark Up Validation'!$M$105</f>
        <v>0</v>
      </c>
      <c r="M3178" s="728"/>
      <c r="N3178" s="68">
        <f>N1749/1.18-N2464*'Mark Up Validation'!$M$105</f>
        <v>0</v>
      </c>
      <c r="O3178" s="728"/>
      <c r="P3178" s="68">
        <f>P1749/1.18-P2464*'Mark Up Validation'!$M$105</f>
        <v>0</v>
      </c>
      <c r="Q3178" s="728"/>
      <c r="R3178" s="132">
        <f>SUM(F3178,H3178,J3178,L3178,N3178,P3178)</f>
        <v>0</v>
      </c>
      <c r="S3178" s="728"/>
      <c r="T3178" s="68">
        <f>T1749/1.18-T2464*'Mark Up Validation'!$S$105</f>
        <v>0</v>
      </c>
      <c r="U3178" s="728"/>
      <c r="V3178" s="68">
        <f>V1749/1.18-V2464*'Mark Up Validation'!$S$105</f>
        <v>0</v>
      </c>
      <c r="W3178" s="728"/>
      <c r="X3178" s="68">
        <f>X1749/1.18-X2464*'Mark Up Validation'!$S$105</f>
        <v>0</v>
      </c>
      <c r="Y3178" s="728"/>
      <c r="Z3178" s="68">
        <f>Z1749/1.18-Z2464*'Mark Up Validation'!$S$105</f>
        <v>0</v>
      </c>
      <c r="AA3178" s="728"/>
      <c r="AB3178" s="68">
        <f>AB1749/1.18-AB2464*'Mark Up Validation'!$S$105</f>
        <v>0</v>
      </c>
      <c r="AC3178" s="728"/>
      <c r="AD3178" s="68">
        <f>AD1749/1.18-AD2464*'Mark Up Validation'!$S$105</f>
        <v>0</v>
      </c>
      <c r="AE3178" s="728"/>
      <c r="AF3178" s="132">
        <f>SUM(T3178,V3178,X3178,Z3178,AB3178,AD3178)</f>
        <v>0</v>
      </c>
      <c r="AG3178" s="728"/>
      <c r="AH3178" s="133">
        <f>SUM(AF3178,R3178)</f>
        <v>0</v>
      </c>
      <c r="AI3178" s="728"/>
      <c r="AJ3178" s="65"/>
      <c r="AV3178" s="56"/>
    </row>
    <row r="3179" spans="1:48" ht="12.75" customHeight="1" outlineLevel="2" thickBot="1">
      <c r="B3179" s="82"/>
      <c r="C3179" s="1234"/>
      <c r="D3179" s="1234"/>
      <c r="E3179" s="84" t="str">
        <f>'Terms and Turnovers'!$AD$12</f>
        <v>ACCESSORIES</v>
      </c>
      <c r="F3179" s="68">
        <f>F1750/1.18-F2465*'Mark Up Validation'!$M$105</f>
        <v>0</v>
      </c>
      <c r="G3179" s="106"/>
      <c r="H3179" s="68">
        <f>H1750/1.18-H2465*'Mark Up Validation'!$M$105</f>
        <v>0</v>
      </c>
      <c r="I3179" s="106"/>
      <c r="J3179" s="68">
        <f>J1750/1.18-J2465*'Mark Up Validation'!$M$105</f>
        <v>0</v>
      </c>
      <c r="K3179" s="106"/>
      <c r="L3179" s="68">
        <f>L1750/1.18-L2465*'Mark Up Validation'!$M$105</f>
        <v>0</v>
      </c>
      <c r="M3179" s="106"/>
      <c r="N3179" s="68">
        <f>N1750/1.18-N2465*'Mark Up Validation'!$M$105</f>
        <v>0</v>
      </c>
      <c r="O3179" s="106"/>
      <c r="P3179" s="68">
        <f>P1750/1.18-P2465*'Mark Up Validation'!$M$105</f>
        <v>0</v>
      </c>
      <c r="Q3179" s="728"/>
      <c r="R3179" s="132">
        <f>SUM(F3179,H3179,J3179,L3179,N3179,P3179)</f>
        <v>0</v>
      </c>
      <c r="S3179" s="728"/>
      <c r="T3179" s="68">
        <f>T1750/1.18-T2465*'Mark Up Validation'!$S$105</f>
        <v>0</v>
      </c>
      <c r="U3179" s="728"/>
      <c r="V3179" s="68">
        <f>V1750/1.18-V2465*'Mark Up Validation'!$S$105</f>
        <v>0</v>
      </c>
      <c r="W3179" s="728"/>
      <c r="X3179" s="68">
        <f>X1750/1.18-X2465*'Mark Up Validation'!$S$105</f>
        <v>0</v>
      </c>
      <c r="Y3179" s="728"/>
      <c r="Z3179" s="68">
        <f>Z1750/1.18-Z2465*'Mark Up Validation'!$S$105</f>
        <v>0</v>
      </c>
      <c r="AA3179" s="728"/>
      <c r="AB3179" s="68">
        <f>AB1750/1.18-AB2465*'Mark Up Validation'!$S$105</f>
        <v>0</v>
      </c>
      <c r="AC3179" s="728"/>
      <c r="AD3179" s="68">
        <f>AD1750/1.18-AD2465*'Mark Up Validation'!$S$105</f>
        <v>0</v>
      </c>
      <c r="AE3179" s="728"/>
      <c r="AF3179" s="132">
        <f>SUM(T3179,V3179,X3179,Z3179,AB3179,AD3179)</f>
        <v>0</v>
      </c>
      <c r="AG3179" s="728"/>
      <c r="AH3179" s="133">
        <f>SUM(AF3179,R3179)</f>
        <v>0</v>
      </c>
      <c r="AI3179" s="728"/>
      <c r="AJ3179" s="65"/>
      <c r="AV3179" s="56"/>
    </row>
    <row r="3180" spans="1:48" ht="12.75" customHeight="1" outlineLevel="2" thickBot="1">
      <c r="B3180" s="82"/>
      <c r="C3180" s="1234"/>
      <c r="D3180" s="1234"/>
      <c r="E3180" s="84">
        <f>'Terms and Turnovers'!$AN$12</f>
        <v>0</v>
      </c>
      <c r="F3180" s="68">
        <f>F1751/1.18-F2466*'Mark Up Validation'!$M$105</f>
        <v>0</v>
      </c>
      <c r="G3180" s="728"/>
      <c r="H3180" s="68">
        <f>H1751/1.18-H2466*'Mark Up Validation'!$M$105</f>
        <v>0</v>
      </c>
      <c r="I3180" s="728"/>
      <c r="J3180" s="68">
        <f>J1751/1.18-J2466*'Mark Up Validation'!$M$105</f>
        <v>0</v>
      </c>
      <c r="K3180" s="728"/>
      <c r="L3180" s="68">
        <f>L1751/1.18-L2466*'Mark Up Validation'!$M$105</f>
        <v>0</v>
      </c>
      <c r="M3180" s="728"/>
      <c r="N3180" s="68">
        <f>N1751/1.18-N2466*'Mark Up Validation'!$M$105</f>
        <v>0</v>
      </c>
      <c r="O3180" s="728"/>
      <c r="P3180" s="68">
        <f>P1751/1.18-P2466*'Mark Up Validation'!$M$105</f>
        <v>0</v>
      </c>
      <c r="Q3180" s="728"/>
      <c r="R3180" s="132">
        <f>SUM(F3180,H3180,J3180,L3180,N3180,P3180)</f>
        <v>0</v>
      </c>
      <c r="S3180" s="728"/>
      <c r="T3180" s="68">
        <f>T1751/1.18-T2466*'Mark Up Validation'!$S$105</f>
        <v>0</v>
      </c>
      <c r="U3180" s="728"/>
      <c r="V3180" s="68">
        <f>V1751/1.18-V2466*'Mark Up Validation'!$S$105</f>
        <v>0</v>
      </c>
      <c r="W3180" s="728"/>
      <c r="X3180" s="68">
        <f>X1751/1.18-X2466*'Mark Up Validation'!$S$105</f>
        <v>0</v>
      </c>
      <c r="Y3180" s="728"/>
      <c r="Z3180" s="68">
        <f>Z1751/1.18-Z2466*'Mark Up Validation'!$S$105</f>
        <v>0</v>
      </c>
      <c r="AA3180" s="728"/>
      <c r="AB3180" s="68">
        <f>AB1751/1.18-AB2466*'Mark Up Validation'!$S$105</f>
        <v>0</v>
      </c>
      <c r="AC3180" s="728"/>
      <c r="AD3180" s="68">
        <f>AD1751/1.18-AD2466*'Mark Up Validation'!$S$105</f>
        <v>0</v>
      </c>
      <c r="AE3180" s="728"/>
      <c r="AF3180" s="132">
        <f>SUM(T3180,V3180,X3180,Z3180,AB3180,AD3180)</f>
        <v>0</v>
      </c>
      <c r="AG3180" s="728"/>
      <c r="AH3180" s="133">
        <f>SUM(AF3180,R3180)</f>
        <v>0</v>
      </c>
      <c r="AI3180" s="728"/>
      <c r="AJ3180" s="65"/>
      <c r="AV3180" s="56"/>
    </row>
    <row r="3181" spans="1:48" ht="13.5" customHeight="1" outlineLevel="2" thickBot="1">
      <c r="B3181" s="82"/>
      <c r="C3181" s="1235"/>
      <c r="D3181" s="1235"/>
      <c r="E3181" s="85">
        <f>'Terms and Turnovers'!$AX$12</f>
        <v>0</v>
      </c>
      <c r="F3181" s="68">
        <f>F1752/1.18-F2467*'Mark Up Validation'!$M$105</f>
        <v>0</v>
      </c>
      <c r="G3181" s="106"/>
      <c r="H3181" s="68">
        <f>H1752/1.18-H2467*'Mark Up Validation'!$M$105</f>
        <v>0</v>
      </c>
      <c r="I3181" s="106"/>
      <c r="J3181" s="68">
        <f>J1752/1.18-J2467*'Mark Up Validation'!$M$105</f>
        <v>0</v>
      </c>
      <c r="K3181" s="106"/>
      <c r="L3181" s="68">
        <f>L1752/1.18-L2467*'Mark Up Validation'!$M$105</f>
        <v>0</v>
      </c>
      <c r="M3181" s="106"/>
      <c r="N3181" s="68">
        <f>N1752/1.18-N2467*'Mark Up Validation'!$M$105</f>
        <v>0</v>
      </c>
      <c r="O3181" s="106"/>
      <c r="P3181" s="68">
        <f>P1752/1.18-P2467*'Mark Up Validation'!$M$105</f>
        <v>0</v>
      </c>
      <c r="Q3181" s="107"/>
      <c r="R3181" s="135">
        <f>SUM(F3181,H3181,J3181,L3181,N3181,P3181)</f>
        <v>0</v>
      </c>
      <c r="S3181" s="107"/>
      <c r="T3181" s="68">
        <f>T1752/1.18-T2467*'Mark Up Validation'!$S$105</f>
        <v>0</v>
      </c>
      <c r="U3181" s="107"/>
      <c r="V3181" s="68">
        <f>V1752/1.18-V2467*'Mark Up Validation'!$S$105</f>
        <v>0</v>
      </c>
      <c r="W3181" s="107"/>
      <c r="X3181" s="68">
        <f>X1752/1.18-X2467*'Mark Up Validation'!$S$105</f>
        <v>0</v>
      </c>
      <c r="Y3181" s="107"/>
      <c r="Z3181" s="68">
        <f>Z1752/1.18-Z2467*'Mark Up Validation'!$S$105</f>
        <v>0</v>
      </c>
      <c r="AA3181" s="107"/>
      <c r="AB3181" s="68">
        <f>AB1752/1.18-AB2467*'Mark Up Validation'!$S$105</f>
        <v>0</v>
      </c>
      <c r="AC3181" s="107"/>
      <c r="AD3181" s="68">
        <f>AD1752/1.18-AD2467*'Mark Up Validation'!$S$105</f>
        <v>0</v>
      </c>
      <c r="AE3181" s="107"/>
      <c r="AF3181" s="135">
        <f>SUM(T3181,V3181,X3181,Z3181,AB3181,AD3181)</f>
        <v>0</v>
      </c>
      <c r="AG3181" s="107"/>
      <c r="AH3181" s="136">
        <f>SUM(AF3181,R3181)</f>
        <v>0</v>
      </c>
      <c r="AI3181" s="107"/>
      <c r="AJ3181" s="65"/>
      <c r="AV3181" s="56"/>
    </row>
    <row r="3182" spans="1:48" ht="13.5" customHeight="1" outlineLevel="2">
      <c r="B3182" s="82"/>
      <c r="C3182" s="425"/>
      <c r="D3182" s="425"/>
      <c r="E3182" s="634"/>
      <c r="F3182" s="635"/>
      <c r="G3182" s="428"/>
      <c r="H3182" s="635"/>
      <c r="I3182" s="428"/>
      <c r="J3182" s="635"/>
      <c r="K3182" s="636"/>
      <c r="L3182" s="635"/>
      <c r="M3182" s="636"/>
      <c r="N3182" s="635"/>
      <c r="O3182" s="636"/>
      <c r="P3182" s="635"/>
      <c r="Q3182" s="636"/>
      <c r="R3182" s="637"/>
      <c r="S3182" s="698">
        <f>SUM(R2462:R2466)/1.18-(SUM(R3177:R3181)*'Mark Up Validation'!$M$105)</f>
        <v>0</v>
      </c>
      <c r="T3182" s="635"/>
      <c r="U3182" s="636"/>
      <c r="V3182" s="635"/>
      <c r="W3182" s="636"/>
      <c r="X3182" s="635"/>
      <c r="Y3182" s="636"/>
      <c r="Z3182" s="635"/>
      <c r="AA3182" s="636"/>
      <c r="AB3182" s="635"/>
      <c r="AC3182" s="636"/>
      <c r="AD3182" s="635"/>
      <c r="AE3182" s="636"/>
      <c r="AF3182" s="637"/>
      <c r="AG3182" s="698">
        <f>SUM(AF2462:AF2466)/1.18-SUM(AF3177:AF3181)*'Mark Up Validation'!$M$175</f>
        <v>0</v>
      </c>
      <c r="AH3182" s="638"/>
      <c r="AI3182" s="698">
        <f>SUM(AH2462:AH2466)/1.18-SUM(AH3177:AH3181)*'Mark Up Validation'!$M$175</f>
        <v>0</v>
      </c>
      <c r="AJ3182" s="65"/>
      <c r="AV3182" s="56"/>
    </row>
    <row r="3183" spans="1:48" ht="13.5" customHeight="1" outlineLevel="2" thickBot="1">
      <c r="A3183" s="119"/>
      <c r="B3183" s="82"/>
      <c r="C3183" s="1228" t="s">
        <v>539</v>
      </c>
      <c r="D3183" s="1229"/>
      <c r="E3183" s="699"/>
      <c r="F3183" s="700">
        <f>SUM(F3177:F3181)</f>
        <v>0</v>
      </c>
      <c r="G3183" s="701"/>
      <c r="H3183" s="700">
        <f>SUM(H3177:H3181)</f>
        <v>0</v>
      </c>
      <c r="I3183" s="701"/>
      <c r="J3183" s="700">
        <f>SUM(J3177:J3181)</f>
        <v>0</v>
      </c>
      <c r="K3183" s="702"/>
      <c r="L3183" s="700">
        <f>SUM(L3177:L3181)</f>
        <v>0</v>
      </c>
      <c r="M3183" s="702"/>
      <c r="N3183" s="700">
        <f>SUM(N3177:N3181)</f>
        <v>0</v>
      </c>
      <c r="O3183" s="702"/>
      <c r="P3183" s="700">
        <f>SUM(P3177:P3181)</f>
        <v>0</v>
      </c>
      <c r="Q3183" s="702"/>
      <c r="R3183" s="703"/>
      <c r="S3183" s="729">
        <f>IF(S3182&gt;0,S3182/(SUM(R2462:R2466)/1.18),0)</f>
        <v>0</v>
      </c>
      <c r="T3183" s="700">
        <f>SUM(T3177:T3181)</f>
        <v>0</v>
      </c>
      <c r="U3183" s="702"/>
      <c r="V3183" s="700">
        <f>SUM(V3177:V3181)</f>
        <v>0</v>
      </c>
      <c r="W3183" s="702"/>
      <c r="X3183" s="700">
        <f>SUM(X3177:X3181)</f>
        <v>0</v>
      </c>
      <c r="Y3183" s="702"/>
      <c r="Z3183" s="700">
        <f>SUM(Z3177:Z3181)</f>
        <v>0</v>
      </c>
      <c r="AA3183" s="702"/>
      <c r="AB3183" s="700">
        <f>SUM(AB3177:AB3181)</f>
        <v>0</v>
      </c>
      <c r="AC3183" s="702"/>
      <c r="AD3183" s="700">
        <f>SUM(AD3177:AD3181)</f>
        <v>0</v>
      </c>
      <c r="AE3183" s="702"/>
      <c r="AF3183" s="705"/>
      <c r="AG3183" s="729">
        <f>IF(AG3182&gt;0,AG3182/(SUM(AF2462:AF2466)/1.18),0)</f>
        <v>0</v>
      </c>
      <c r="AH3183" s="706"/>
      <c r="AI3183" s="729">
        <f>IF(AI3182&gt;0,AI3182/(SUM(AH2462:AH2466)/1.18),0)</f>
        <v>0</v>
      </c>
      <c r="AJ3183" s="707"/>
      <c r="AV3183" s="56"/>
    </row>
    <row r="3184" spans="1:48" ht="12.75" customHeight="1" outlineLevel="2" thickBot="1">
      <c r="B3184" s="82">
        <f>B3177+1</f>
        <v>44</v>
      </c>
      <c r="C3184" s="1233">
        <f>C314</f>
        <v>0</v>
      </c>
      <c r="D3184" s="1233">
        <f>D314</f>
        <v>0</v>
      </c>
      <c r="E3184" s="83" t="str">
        <f>'Terms and Turnovers'!$J$12</f>
        <v>FLIP-FLOPS</v>
      </c>
      <c r="F3184" s="68">
        <f>F1755/1.18-F2470*'Mark Up Validation'!$M$105</f>
        <v>0</v>
      </c>
      <c r="G3184" s="106"/>
      <c r="H3184" s="68">
        <f>H1755/1.18-H2470*'Mark Up Validation'!$M$105</f>
        <v>0</v>
      </c>
      <c r="I3184" s="106"/>
      <c r="J3184" s="68">
        <f>J1755/1.18-J2470*'Mark Up Validation'!$M$105</f>
        <v>0</v>
      </c>
      <c r="K3184" s="106"/>
      <c r="L3184" s="68">
        <f>L1755/1.18-L2470*'Mark Up Validation'!$M$105</f>
        <v>0</v>
      </c>
      <c r="M3184" s="106"/>
      <c r="N3184" s="68">
        <f>N1755/1.18-N2470*'Mark Up Validation'!$M$105</f>
        <v>0</v>
      </c>
      <c r="O3184" s="106"/>
      <c r="P3184" s="68">
        <f>P1755/1.18-P2470*'Mark Up Validation'!$M$105</f>
        <v>0</v>
      </c>
      <c r="Q3184" s="106"/>
      <c r="R3184" s="129">
        <f>SUM(F3184,H3184,J3184,L3184,N3184,P3184)</f>
        <v>0</v>
      </c>
      <c r="S3184" s="106"/>
      <c r="T3184" s="68">
        <f>T1755/1.18-T2470*'Mark Up Validation'!$S$105</f>
        <v>0</v>
      </c>
      <c r="U3184" s="106"/>
      <c r="V3184" s="68">
        <f>V1755/1.18-V2470*'Mark Up Validation'!$S$105</f>
        <v>0</v>
      </c>
      <c r="W3184" s="106"/>
      <c r="X3184" s="68">
        <f>X1755/1.18-X2470*'Mark Up Validation'!$S$105</f>
        <v>0</v>
      </c>
      <c r="Y3184" s="106"/>
      <c r="Z3184" s="68">
        <f>Z1755/1.18-Z2470*'Mark Up Validation'!$S$105</f>
        <v>0</v>
      </c>
      <c r="AA3184" s="106"/>
      <c r="AB3184" s="68">
        <f>AB1755/1.18-AB2470*'Mark Up Validation'!$S$105</f>
        <v>0</v>
      </c>
      <c r="AC3184" s="106"/>
      <c r="AD3184" s="68">
        <f>AD1755/1.18-AD2470*'Mark Up Validation'!$S$105</f>
        <v>0</v>
      </c>
      <c r="AE3184" s="106"/>
      <c r="AF3184" s="129">
        <f>SUM(T3184,V3184,X3184,Z3184,AB3184,AD3184)</f>
        <v>0</v>
      </c>
      <c r="AG3184" s="106"/>
      <c r="AH3184" s="130">
        <f>SUM(AF3184,R3184)</f>
        <v>0</v>
      </c>
      <c r="AI3184" s="106"/>
      <c r="AJ3184" s="65"/>
      <c r="AV3184" s="56"/>
    </row>
    <row r="3185" spans="1:48" ht="12.75" customHeight="1" outlineLevel="2" thickBot="1">
      <c r="B3185" s="82"/>
      <c r="C3185" s="1234"/>
      <c r="D3185" s="1234"/>
      <c r="E3185" s="84" t="str">
        <f>'Terms and Turnovers'!$T$12</f>
        <v>ORIGINALS</v>
      </c>
      <c r="F3185" s="68">
        <f>F1756/1.18-F2471*'Mark Up Validation'!$M$105</f>
        <v>0</v>
      </c>
      <c r="G3185" s="728"/>
      <c r="H3185" s="68">
        <f>H1756/1.18-H2471*'Mark Up Validation'!$M$105</f>
        <v>0</v>
      </c>
      <c r="I3185" s="728"/>
      <c r="J3185" s="68">
        <f>J1756/1.18-J2471*'Mark Up Validation'!$M$105</f>
        <v>0</v>
      </c>
      <c r="K3185" s="728"/>
      <c r="L3185" s="68">
        <f>L1756/1.18-L2471*'Mark Up Validation'!$M$105</f>
        <v>0</v>
      </c>
      <c r="M3185" s="728"/>
      <c r="N3185" s="68">
        <f>N1756/1.18-N2471*'Mark Up Validation'!$M$105</f>
        <v>0</v>
      </c>
      <c r="O3185" s="728"/>
      <c r="P3185" s="68">
        <f>P1756/1.18-P2471*'Mark Up Validation'!$M$105</f>
        <v>0</v>
      </c>
      <c r="Q3185" s="728"/>
      <c r="R3185" s="132">
        <f>SUM(F3185,H3185,J3185,L3185,N3185,P3185)</f>
        <v>0</v>
      </c>
      <c r="S3185" s="728"/>
      <c r="T3185" s="68">
        <f>T1756/1.18-T2471*'Mark Up Validation'!$S$105</f>
        <v>0</v>
      </c>
      <c r="U3185" s="728"/>
      <c r="V3185" s="68">
        <f>V1756/1.18-V2471*'Mark Up Validation'!$S$105</f>
        <v>0</v>
      </c>
      <c r="W3185" s="728"/>
      <c r="X3185" s="68">
        <f>X1756/1.18-X2471*'Mark Up Validation'!$S$105</f>
        <v>0</v>
      </c>
      <c r="Y3185" s="728"/>
      <c r="Z3185" s="68">
        <f>Z1756/1.18-Z2471*'Mark Up Validation'!$S$105</f>
        <v>0</v>
      </c>
      <c r="AA3185" s="728"/>
      <c r="AB3185" s="68">
        <f>AB1756/1.18-AB2471*'Mark Up Validation'!$S$105</f>
        <v>0</v>
      </c>
      <c r="AC3185" s="728"/>
      <c r="AD3185" s="68">
        <f>AD1756/1.18-AD2471*'Mark Up Validation'!$S$105</f>
        <v>0</v>
      </c>
      <c r="AE3185" s="728"/>
      <c r="AF3185" s="132">
        <f>SUM(T3185,V3185,X3185,Z3185,AB3185,AD3185)</f>
        <v>0</v>
      </c>
      <c r="AG3185" s="728"/>
      <c r="AH3185" s="133">
        <f>SUM(AF3185,R3185)</f>
        <v>0</v>
      </c>
      <c r="AI3185" s="728"/>
      <c r="AJ3185" s="65"/>
      <c r="AV3185" s="56"/>
    </row>
    <row r="3186" spans="1:48" ht="12.75" customHeight="1" outlineLevel="2" thickBot="1">
      <c r="B3186" s="82"/>
      <c r="C3186" s="1234"/>
      <c r="D3186" s="1234"/>
      <c r="E3186" s="84" t="str">
        <f>'Terms and Turnovers'!$AD$12</f>
        <v>ACCESSORIES</v>
      </c>
      <c r="F3186" s="68">
        <f>F1757/1.18-F2472*'Mark Up Validation'!$M$105</f>
        <v>0</v>
      </c>
      <c r="G3186" s="106"/>
      <c r="H3186" s="68">
        <f>H1757/1.18-H2472*'Mark Up Validation'!$M$105</f>
        <v>0</v>
      </c>
      <c r="I3186" s="106"/>
      <c r="J3186" s="68">
        <f>J1757/1.18-J2472*'Mark Up Validation'!$M$105</f>
        <v>0</v>
      </c>
      <c r="K3186" s="106"/>
      <c r="L3186" s="68">
        <f>L1757/1.18-L2472*'Mark Up Validation'!$M$105</f>
        <v>0</v>
      </c>
      <c r="M3186" s="106"/>
      <c r="N3186" s="68">
        <f>N1757/1.18-N2472*'Mark Up Validation'!$M$105</f>
        <v>0</v>
      </c>
      <c r="O3186" s="106"/>
      <c r="P3186" s="68">
        <f>P1757/1.18-P2472*'Mark Up Validation'!$M$105</f>
        <v>0</v>
      </c>
      <c r="Q3186" s="728"/>
      <c r="R3186" s="132">
        <f>SUM(F3186,H3186,J3186,L3186,N3186,P3186)</f>
        <v>0</v>
      </c>
      <c r="S3186" s="728"/>
      <c r="T3186" s="68">
        <f>T1757/1.18-T2472*'Mark Up Validation'!$S$105</f>
        <v>0</v>
      </c>
      <c r="U3186" s="728"/>
      <c r="V3186" s="68">
        <f>V1757/1.18-V2472*'Mark Up Validation'!$S$105</f>
        <v>0</v>
      </c>
      <c r="W3186" s="728"/>
      <c r="X3186" s="68">
        <f>X1757/1.18-X2472*'Mark Up Validation'!$S$105</f>
        <v>0</v>
      </c>
      <c r="Y3186" s="728"/>
      <c r="Z3186" s="68">
        <f>Z1757/1.18-Z2472*'Mark Up Validation'!$S$105</f>
        <v>0</v>
      </c>
      <c r="AA3186" s="728"/>
      <c r="AB3186" s="68">
        <f>AB1757/1.18-AB2472*'Mark Up Validation'!$S$105</f>
        <v>0</v>
      </c>
      <c r="AC3186" s="728"/>
      <c r="AD3186" s="68">
        <f>AD1757/1.18-AD2472*'Mark Up Validation'!$S$105</f>
        <v>0</v>
      </c>
      <c r="AE3186" s="728"/>
      <c r="AF3186" s="132">
        <f>SUM(T3186,V3186,X3186,Z3186,AB3186,AD3186)</f>
        <v>0</v>
      </c>
      <c r="AG3186" s="728"/>
      <c r="AH3186" s="133">
        <f>SUM(AF3186,R3186)</f>
        <v>0</v>
      </c>
      <c r="AI3186" s="728"/>
      <c r="AJ3186" s="65"/>
      <c r="AV3186" s="56"/>
    </row>
    <row r="3187" spans="1:48" ht="12.75" customHeight="1" outlineLevel="2" thickBot="1">
      <c r="B3187" s="82"/>
      <c r="C3187" s="1234"/>
      <c r="D3187" s="1234"/>
      <c r="E3187" s="84">
        <f>'Terms and Turnovers'!$AN$12</f>
        <v>0</v>
      </c>
      <c r="F3187" s="68">
        <f>F1758/1.18-F2473*'Mark Up Validation'!$M$105</f>
        <v>0</v>
      </c>
      <c r="G3187" s="728"/>
      <c r="H3187" s="68">
        <f>H1758/1.18-H2473*'Mark Up Validation'!$M$105</f>
        <v>0</v>
      </c>
      <c r="I3187" s="728"/>
      <c r="J3187" s="68">
        <f>J1758/1.18-J2473*'Mark Up Validation'!$M$105</f>
        <v>0</v>
      </c>
      <c r="K3187" s="728"/>
      <c r="L3187" s="68">
        <f>L1758/1.18-L2473*'Mark Up Validation'!$M$105</f>
        <v>0</v>
      </c>
      <c r="M3187" s="728"/>
      <c r="N3187" s="68">
        <f>N1758/1.18-N2473*'Mark Up Validation'!$M$105</f>
        <v>0</v>
      </c>
      <c r="O3187" s="728"/>
      <c r="P3187" s="68">
        <f>P1758/1.18-P2473*'Mark Up Validation'!$M$105</f>
        <v>0</v>
      </c>
      <c r="Q3187" s="728"/>
      <c r="R3187" s="132">
        <f>SUM(F3187,H3187,J3187,L3187,N3187,P3187)</f>
        <v>0</v>
      </c>
      <c r="S3187" s="728"/>
      <c r="T3187" s="68">
        <f>T1758/1.18-T2473*'Mark Up Validation'!$S$105</f>
        <v>0</v>
      </c>
      <c r="U3187" s="728"/>
      <c r="V3187" s="68">
        <f>V1758/1.18-V2473*'Mark Up Validation'!$S$105</f>
        <v>0</v>
      </c>
      <c r="W3187" s="728"/>
      <c r="X3187" s="68">
        <f>X1758/1.18-X2473*'Mark Up Validation'!$S$105</f>
        <v>0</v>
      </c>
      <c r="Y3187" s="728"/>
      <c r="Z3187" s="68">
        <f>Z1758/1.18-Z2473*'Mark Up Validation'!$S$105</f>
        <v>0</v>
      </c>
      <c r="AA3187" s="728"/>
      <c r="AB3187" s="68">
        <f>AB1758/1.18-AB2473*'Mark Up Validation'!$S$105</f>
        <v>0</v>
      </c>
      <c r="AC3187" s="728"/>
      <c r="AD3187" s="68">
        <f>AD1758/1.18-AD2473*'Mark Up Validation'!$S$105</f>
        <v>0</v>
      </c>
      <c r="AE3187" s="728"/>
      <c r="AF3187" s="132">
        <f>SUM(T3187,V3187,X3187,Z3187,AB3187,AD3187)</f>
        <v>0</v>
      </c>
      <c r="AG3187" s="728"/>
      <c r="AH3187" s="133">
        <f>SUM(AF3187,R3187)</f>
        <v>0</v>
      </c>
      <c r="AI3187" s="728"/>
      <c r="AJ3187" s="65"/>
      <c r="AV3187" s="56"/>
    </row>
    <row r="3188" spans="1:48" ht="13.5" customHeight="1" outlineLevel="2" thickBot="1">
      <c r="B3188" s="82"/>
      <c r="C3188" s="1235"/>
      <c r="D3188" s="1235"/>
      <c r="E3188" s="85">
        <f>'Terms and Turnovers'!$AX$12</f>
        <v>0</v>
      </c>
      <c r="F3188" s="68">
        <f>F1759/1.18-F2474*'Mark Up Validation'!$M$105</f>
        <v>0</v>
      </c>
      <c r="G3188" s="106"/>
      <c r="H3188" s="68">
        <f>H1759/1.18-H2474*'Mark Up Validation'!$M$105</f>
        <v>0</v>
      </c>
      <c r="I3188" s="106"/>
      <c r="J3188" s="68">
        <f>J1759/1.18-J2474*'Mark Up Validation'!$M$105</f>
        <v>0</v>
      </c>
      <c r="K3188" s="106"/>
      <c r="L3188" s="68">
        <f>L1759/1.18-L2474*'Mark Up Validation'!$M$105</f>
        <v>0</v>
      </c>
      <c r="M3188" s="106"/>
      <c r="N3188" s="68">
        <f>N1759/1.18-N2474*'Mark Up Validation'!$M$105</f>
        <v>0</v>
      </c>
      <c r="O3188" s="106"/>
      <c r="P3188" s="68">
        <f>P1759/1.18-P2474*'Mark Up Validation'!$M$105</f>
        <v>0</v>
      </c>
      <c r="Q3188" s="107"/>
      <c r="R3188" s="135">
        <f>SUM(F3188,H3188,J3188,L3188,N3188,P3188)</f>
        <v>0</v>
      </c>
      <c r="S3188" s="107"/>
      <c r="T3188" s="68">
        <f>T1759/1.18-T2474*'Mark Up Validation'!$S$105</f>
        <v>0</v>
      </c>
      <c r="U3188" s="107"/>
      <c r="V3188" s="68">
        <f>V1759/1.18-V2474*'Mark Up Validation'!$S$105</f>
        <v>0</v>
      </c>
      <c r="W3188" s="107"/>
      <c r="X3188" s="68">
        <f>X1759/1.18-X2474*'Mark Up Validation'!$S$105</f>
        <v>0</v>
      </c>
      <c r="Y3188" s="107"/>
      <c r="Z3188" s="68">
        <f>Z1759/1.18-Z2474*'Mark Up Validation'!$S$105</f>
        <v>0</v>
      </c>
      <c r="AA3188" s="107"/>
      <c r="AB3188" s="68">
        <f>AB1759/1.18-AB2474*'Mark Up Validation'!$S$105</f>
        <v>0</v>
      </c>
      <c r="AC3188" s="107"/>
      <c r="AD3188" s="68">
        <f>AD1759/1.18-AD2474*'Mark Up Validation'!$S$105</f>
        <v>0</v>
      </c>
      <c r="AE3188" s="107"/>
      <c r="AF3188" s="135">
        <f>SUM(T3188,V3188,X3188,Z3188,AB3188,AD3188)</f>
        <v>0</v>
      </c>
      <c r="AG3188" s="107"/>
      <c r="AH3188" s="136">
        <f>SUM(AF3188,R3188)</f>
        <v>0</v>
      </c>
      <c r="AI3188" s="107"/>
      <c r="AJ3188" s="65"/>
      <c r="AV3188" s="56"/>
    </row>
    <row r="3189" spans="1:48" ht="13.5" customHeight="1" outlineLevel="2">
      <c r="B3189" s="82"/>
      <c r="C3189" s="425"/>
      <c r="D3189" s="425"/>
      <c r="E3189" s="634"/>
      <c r="F3189" s="635"/>
      <c r="G3189" s="428"/>
      <c r="H3189" s="635"/>
      <c r="I3189" s="428"/>
      <c r="J3189" s="635"/>
      <c r="K3189" s="636"/>
      <c r="L3189" s="635"/>
      <c r="M3189" s="636"/>
      <c r="N3189" s="635"/>
      <c r="O3189" s="636"/>
      <c r="P3189" s="635"/>
      <c r="Q3189" s="636"/>
      <c r="R3189" s="637"/>
      <c r="S3189" s="698">
        <f>SUM(R2469:R2473)/1.18-(SUM(R3184:R3188)*'Mark Up Validation'!$M$105)</f>
        <v>0</v>
      </c>
      <c r="T3189" s="635"/>
      <c r="U3189" s="636"/>
      <c r="V3189" s="635"/>
      <c r="W3189" s="636"/>
      <c r="X3189" s="635"/>
      <c r="Y3189" s="636"/>
      <c r="Z3189" s="635"/>
      <c r="AA3189" s="636"/>
      <c r="AB3189" s="635"/>
      <c r="AC3189" s="636"/>
      <c r="AD3189" s="635"/>
      <c r="AE3189" s="636"/>
      <c r="AF3189" s="637"/>
      <c r="AG3189" s="698">
        <f>SUM(AF2469:AF2473)/1.18-SUM(AF3184:AF3188)*'Mark Up Validation'!$M$175</f>
        <v>0</v>
      </c>
      <c r="AH3189" s="638"/>
      <c r="AI3189" s="698">
        <f>SUM(AH2469:AH2473)/1.18-SUM(AH3184:AH3188)*'Mark Up Validation'!$M$175</f>
        <v>0</v>
      </c>
      <c r="AJ3189" s="65"/>
      <c r="AV3189" s="56"/>
    </row>
    <row r="3190" spans="1:48" ht="13.5" customHeight="1" outlineLevel="2" thickBot="1">
      <c r="A3190" s="119"/>
      <c r="B3190" s="82"/>
      <c r="C3190" s="1228" t="s">
        <v>539</v>
      </c>
      <c r="D3190" s="1229"/>
      <c r="E3190" s="699"/>
      <c r="F3190" s="700">
        <f>SUM(F3184:F3188)</f>
        <v>0</v>
      </c>
      <c r="G3190" s="701"/>
      <c r="H3190" s="700">
        <f>SUM(H3184:H3188)</f>
        <v>0</v>
      </c>
      <c r="I3190" s="701"/>
      <c r="J3190" s="700">
        <f>SUM(J3184:J3188)</f>
        <v>0</v>
      </c>
      <c r="K3190" s="702"/>
      <c r="L3190" s="700">
        <f>SUM(L3184:L3188)</f>
        <v>0</v>
      </c>
      <c r="M3190" s="702"/>
      <c r="N3190" s="700">
        <f>SUM(N3184:N3188)</f>
        <v>0</v>
      </c>
      <c r="O3190" s="702"/>
      <c r="P3190" s="700">
        <f>SUM(P3184:P3188)</f>
        <v>0</v>
      </c>
      <c r="Q3190" s="702"/>
      <c r="R3190" s="703"/>
      <c r="S3190" s="729">
        <f>IF(S3189&gt;0,S3189/(SUM(R2469:R2473)/1.18),0)</f>
        <v>0</v>
      </c>
      <c r="T3190" s="700">
        <f>SUM(T3184:T3188)</f>
        <v>0</v>
      </c>
      <c r="U3190" s="702"/>
      <c r="V3190" s="700">
        <f>SUM(V3184:V3188)</f>
        <v>0</v>
      </c>
      <c r="W3190" s="702"/>
      <c r="X3190" s="700">
        <f>SUM(X3184:X3188)</f>
        <v>0</v>
      </c>
      <c r="Y3190" s="702"/>
      <c r="Z3190" s="700">
        <f>SUM(Z3184:Z3188)</f>
        <v>0</v>
      </c>
      <c r="AA3190" s="702"/>
      <c r="AB3190" s="700">
        <f>SUM(AB3184:AB3188)</f>
        <v>0</v>
      </c>
      <c r="AC3190" s="702"/>
      <c r="AD3190" s="700">
        <f>SUM(AD3184:AD3188)</f>
        <v>0</v>
      </c>
      <c r="AE3190" s="702"/>
      <c r="AF3190" s="705"/>
      <c r="AG3190" s="729">
        <f>IF(AG3189&gt;0,AG3189/(SUM(AF2469:AF2473)/1.18),0)</f>
        <v>0</v>
      </c>
      <c r="AH3190" s="706"/>
      <c r="AI3190" s="729">
        <f>IF(AI3189&gt;0,AI3189/(SUM(AH2469:AH2473)/1.18),0)</f>
        <v>0</v>
      </c>
      <c r="AJ3190" s="707"/>
      <c r="AV3190" s="56"/>
    </row>
    <row r="3191" spans="1:48" ht="12.75" customHeight="1" outlineLevel="2" thickBot="1">
      <c r="B3191" s="82">
        <f>B3184+1</f>
        <v>45</v>
      </c>
      <c r="C3191" s="1233">
        <f>C321</f>
        <v>0</v>
      </c>
      <c r="D3191" s="1233">
        <f>D321</f>
        <v>0</v>
      </c>
      <c r="E3191" s="83" t="str">
        <f>'Terms and Turnovers'!$J$12</f>
        <v>FLIP-FLOPS</v>
      </c>
      <c r="F3191" s="68">
        <f>F1762/1.18-F2477*'Mark Up Validation'!$M$105</f>
        <v>0</v>
      </c>
      <c r="G3191" s="106"/>
      <c r="H3191" s="68">
        <f>H1762/1.18-H2477*'Mark Up Validation'!$M$105</f>
        <v>0</v>
      </c>
      <c r="I3191" s="106"/>
      <c r="J3191" s="68">
        <f>J1762/1.18-J2477*'Mark Up Validation'!$M$105</f>
        <v>0</v>
      </c>
      <c r="K3191" s="106"/>
      <c r="L3191" s="68">
        <f>L1762/1.18-L2477*'Mark Up Validation'!$M$105</f>
        <v>0</v>
      </c>
      <c r="M3191" s="106"/>
      <c r="N3191" s="68">
        <f>N1762/1.18-N2477*'Mark Up Validation'!$M$105</f>
        <v>0</v>
      </c>
      <c r="O3191" s="106"/>
      <c r="P3191" s="68">
        <f>P1762/1.18-P2477*'Mark Up Validation'!$M$105</f>
        <v>0</v>
      </c>
      <c r="Q3191" s="106"/>
      <c r="R3191" s="129">
        <f>SUM(F3191,H3191,J3191,L3191,N3191,P3191)</f>
        <v>0</v>
      </c>
      <c r="S3191" s="106"/>
      <c r="T3191" s="68">
        <f>T1762/1.18-T2477*'Mark Up Validation'!$S$105</f>
        <v>0</v>
      </c>
      <c r="U3191" s="106"/>
      <c r="V3191" s="68">
        <f>V1762/1.18-V2477*'Mark Up Validation'!$S$105</f>
        <v>0</v>
      </c>
      <c r="W3191" s="106"/>
      <c r="X3191" s="68">
        <f>X1762/1.18-X2477*'Mark Up Validation'!$S$105</f>
        <v>0</v>
      </c>
      <c r="Y3191" s="106"/>
      <c r="Z3191" s="68">
        <f>Z1762/1.18-Z2477*'Mark Up Validation'!$S$105</f>
        <v>0</v>
      </c>
      <c r="AA3191" s="106"/>
      <c r="AB3191" s="68">
        <f>AB1762/1.18-AB2477*'Mark Up Validation'!$S$105</f>
        <v>0</v>
      </c>
      <c r="AC3191" s="106"/>
      <c r="AD3191" s="68">
        <f>AD1762/1.18-AD2477*'Mark Up Validation'!$S$105</f>
        <v>0</v>
      </c>
      <c r="AE3191" s="106"/>
      <c r="AF3191" s="129">
        <f>SUM(T3191,V3191,X3191,Z3191,AB3191,AD3191)</f>
        <v>0</v>
      </c>
      <c r="AG3191" s="106"/>
      <c r="AH3191" s="130">
        <f>SUM(AF3191,R3191)</f>
        <v>0</v>
      </c>
      <c r="AI3191" s="106"/>
      <c r="AJ3191" s="65"/>
      <c r="AV3191" s="56"/>
    </row>
    <row r="3192" spans="1:48" ht="12.75" customHeight="1" outlineLevel="2" thickBot="1">
      <c r="B3192" s="82"/>
      <c r="C3192" s="1234"/>
      <c r="D3192" s="1234"/>
      <c r="E3192" s="84" t="str">
        <f>'Terms and Turnovers'!$T$12</f>
        <v>ORIGINALS</v>
      </c>
      <c r="F3192" s="68">
        <f>F1763/1.18-F2478*'Mark Up Validation'!$M$105</f>
        <v>0</v>
      </c>
      <c r="G3192" s="728"/>
      <c r="H3192" s="68">
        <f>H1763/1.18-H2478*'Mark Up Validation'!$M$105</f>
        <v>0</v>
      </c>
      <c r="I3192" s="728"/>
      <c r="J3192" s="68">
        <f>J1763/1.18-J2478*'Mark Up Validation'!$M$105</f>
        <v>0</v>
      </c>
      <c r="K3192" s="728"/>
      <c r="L3192" s="68">
        <f>L1763/1.18-L2478*'Mark Up Validation'!$M$105</f>
        <v>0</v>
      </c>
      <c r="M3192" s="728"/>
      <c r="N3192" s="68">
        <f>N1763/1.18-N2478*'Mark Up Validation'!$M$105</f>
        <v>0</v>
      </c>
      <c r="O3192" s="728"/>
      <c r="P3192" s="68">
        <f>P1763/1.18-P2478*'Mark Up Validation'!$M$105</f>
        <v>0</v>
      </c>
      <c r="Q3192" s="728"/>
      <c r="R3192" s="132">
        <f>SUM(F3192,H3192,J3192,L3192,N3192,P3192)</f>
        <v>0</v>
      </c>
      <c r="S3192" s="728"/>
      <c r="T3192" s="68">
        <f>T1763/1.18-T2478*'Mark Up Validation'!$S$105</f>
        <v>0</v>
      </c>
      <c r="U3192" s="728"/>
      <c r="V3192" s="68">
        <f>V1763/1.18-V2478*'Mark Up Validation'!$S$105</f>
        <v>0</v>
      </c>
      <c r="W3192" s="728"/>
      <c r="X3192" s="68">
        <f>X1763/1.18-X2478*'Mark Up Validation'!$S$105</f>
        <v>0</v>
      </c>
      <c r="Y3192" s="728"/>
      <c r="Z3192" s="68">
        <f>Z1763/1.18-Z2478*'Mark Up Validation'!$S$105</f>
        <v>0</v>
      </c>
      <c r="AA3192" s="728"/>
      <c r="AB3192" s="68">
        <f>AB1763/1.18-AB2478*'Mark Up Validation'!$S$105</f>
        <v>0</v>
      </c>
      <c r="AC3192" s="728"/>
      <c r="AD3192" s="68">
        <f>AD1763/1.18-AD2478*'Mark Up Validation'!$S$105</f>
        <v>0</v>
      </c>
      <c r="AE3192" s="728"/>
      <c r="AF3192" s="132">
        <f>SUM(T3192,V3192,X3192,Z3192,AB3192,AD3192)</f>
        <v>0</v>
      </c>
      <c r="AG3192" s="728"/>
      <c r="AH3192" s="133">
        <f>SUM(AF3192,R3192)</f>
        <v>0</v>
      </c>
      <c r="AI3192" s="728"/>
      <c r="AJ3192" s="65"/>
      <c r="AV3192" s="56"/>
    </row>
    <row r="3193" spans="1:48" ht="12.75" customHeight="1" outlineLevel="2" thickBot="1">
      <c r="B3193" s="82"/>
      <c r="C3193" s="1234"/>
      <c r="D3193" s="1234"/>
      <c r="E3193" s="84" t="str">
        <f>'Terms and Turnovers'!$AD$12</f>
        <v>ACCESSORIES</v>
      </c>
      <c r="F3193" s="68">
        <f>F1764/1.18-F2479*'Mark Up Validation'!$M$105</f>
        <v>0</v>
      </c>
      <c r="G3193" s="106"/>
      <c r="H3193" s="68">
        <f>H1764/1.18-H2479*'Mark Up Validation'!$M$105</f>
        <v>0</v>
      </c>
      <c r="I3193" s="106"/>
      <c r="J3193" s="68">
        <f>J1764/1.18-J2479*'Mark Up Validation'!$M$105</f>
        <v>0</v>
      </c>
      <c r="K3193" s="106"/>
      <c r="L3193" s="68">
        <f>L1764/1.18-L2479*'Mark Up Validation'!$M$105</f>
        <v>0</v>
      </c>
      <c r="M3193" s="106"/>
      <c r="N3193" s="68">
        <f>N1764/1.18-N2479*'Mark Up Validation'!$M$105</f>
        <v>0</v>
      </c>
      <c r="O3193" s="106"/>
      <c r="P3193" s="68">
        <f>P1764/1.18-P2479*'Mark Up Validation'!$M$105</f>
        <v>0</v>
      </c>
      <c r="Q3193" s="728"/>
      <c r="R3193" s="132">
        <f>SUM(F3193,H3193,J3193,L3193,N3193,P3193)</f>
        <v>0</v>
      </c>
      <c r="S3193" s="728"/>
      <c r="T3193" s="68">
        <f>T1764/1.18-T2479*'Mark Up Validation'!$S$105</f>
        <v>0</v>
      </c>
      <c r="U3193" s="728"/>
      <c r="V3193" s="68">
        <f>V1764/1.18-V2479*'Mark Up Validation'!$S$105</f>
        <v>0</v>
      </c>
      <c r="W3193" s="728"/>
      <c r="X3193" s="68">
        <f>X1764/1.18-X2479*'Mark Up Validation'!$S$105</f>
        <v>0</v>
      </c>
      <c r="Y3193" s="728"/>
      <c r="Z3193" s="68">
        <f>Z1764/1.18-Z2479*'Mark Up Validation'!$S$105</f>
        <v>0</v>
      </c>
      <c r="AA3193" s="728"/>
      <c r="AB3193" s="68">
        <f>AB1764/1.18-AB2479*'Mark Up Validation'!$S$105</f>
        <v>0</v>
      </c>
      <c r="AC3193" s="728"/>
      <c r="AD3193" s="68">
        <f>AD1764/1.18-AD2479*'Mark Up Validation'!$S$105</f>
        <v>0</v>
      </c>
      <c r="AE3193" s="728"/>
      <c r="AF3193" s="132">
        <f>SUM(T3193,V3193,X3193,Z3193,AB3193,AD3193)</f>
        <v>0</v>
      </c>
      <c r="AG3193" s="728"/>
      <c r="AH3193" s="133">
        <f>SUM(AF3193,R3193)</f>
        <v>0</v>
      </c>
      <c r="AI3193" s="728"/>
      <c r="AJ3193" s="65"/>
      <c r="AV3193" s="56"/>
    </row>
    <row r="3194" spans="1:48" ht="12.75" customHeight="1" outlineLevel="2" thickBot="1">
      <c r="B3194" s="82"/>
      <c r="C3194" s="1234"/>
      <c r="D3194" s="1234"/>
      <c r="E3194" s="84">
        <f>'Terms and Turnovers'!$AN$12</f>
        <v>0</v>
      </c>
      <c r="F3194" s="68">
        <f>F1765/1.18-F2480*'Mark Up Validation'!$M$105</f>
        <v>0</v>
      </c>
      <c r="G3194" s="728"/>
      <c r="H3194" s="68">
        <f>H1765/1.18-H2480*'Mark Up Validation'!$M$105</f>
        <v>0</v>
      </c>
      <c r="I3194" s="728"/>
      <c r="J3194" s="68">
        <f>J1765/1.18-J2480*'Mark Up Validation'!$M$105</f>
        <v>0</v>
      </c>
      <c r="K3194" s="728"/>
      <c r="L3194" s="68">
        <f>L1765/1.18-L2480*'Mark Up Validation'!$M$105</f>
        <v>0</v>
      </c>
      <c r="M3194" s="728"/>
      <c r="N3194" s="68">
        <f>N1765/1.18-N2480*'Mark Up Validation'!$M$105</f>
        <v>0</v>
      </c>
      <c r="O3194" s="728"/>
      <c r="P3194" s="68">
        <f>P1765/1.18-P2480*'Mark Up Validation'!$M$105</f>
        <v>0</v>
      </c>
      <c r="Q3194" s="728"/>
      <c r="R3194" s="132">
        <f>SUM(F3194,H3194,J3194,L3194,N3194,P3194)</f>
        <v>0</v>
      </c>
      <c r="S3194" s="728"/>
      <c r="T3194" s="68">
        <f>T1765/1.18-T2480*'Mark Up Validation'!$S$105</f>
        <v>0</v>
      </c>
      <c r="U3194" s="728"/>
      <c r="V3194" s="68">
        <f>V1765/1.18-V2480*'Mark Up Validation'!$S$105</f>
        <v>0</v>
      </c>
      <c r="W3194" s="728"/>
      <c r="X3194" s="68">
        <f>X1765/1.18-X2480*'Mark Up Validation'!$S$105</f>
        <v>0</v>
      </c>
      <c r="Y3194" s="728"/>
      <c r="Z3194" s="68">
        <f>Z1765/1.18-Z2480*'Mark Up Validation'!$S$105</f>
        <v>0</v>
      </c>
      <c r="AA3194" s="728"/>
      <c r="AB3194" s="68">
        <f>AB1765/1.18-AB2480*'Mark Up Validation'!$S$105</f>
        <v>0</v>
      </c>
      <c r="AC3194" s="728"/>
      <c r="AD3194" s="68">
        <f>AD1765/1.18-AD2480*'Mark Up Validation'!$S$105</f>
        <v>0</v>
      </c>
      <c r="AE3194" s="728"/>
      <c r="AF3194" s="132">
        <f>SUM(T3194,V3194,X3194,Z3194,AB3194,AD3194)</f>
        <v>0</v>
      </c>
      <c r="AG3194" s="728"/>
      <c r="AH3194" s="133">
        <f>SUM(AF3194,R3194)</f>
        <v>0</v>
      </c>
      <c r="AI3194" s="728"/>
      <c r="AJ3194" s="65"/>
      <c r="AV3194" s="56"/>
    </row>
    <row r="3195" spans="1:48" ht="13.5" customHeight="1" outlineLevel="2" thickBot="1">
      <c r="B3195" s="82"/>
      <c r="C3195" s="1235"/>
      <c r="D3195" s="1235"/>
      <c r="E3195" s="85">
        <f>'Terms and Turnovers'!$AX$12</f>
        <v>0</v>
      </c>
      <c r="F3195" s="68">
        <f>F1766/1.18-F2481*'Mark Up Validation'!$M$105</f>
        <v>0</v>
      </c>
      <c r="G3195" s="106"/>
      <c r="H3195" s="68">
        <f>H1766/1.18-H2481*'Mark Up Validation'!$M$105</f>
        <v>0</v>
      </c>
      <c r="I3195" s="106"/>
      <c r="J3195" s="68">
        <f>J1766/1.18-J2481*'Mark Up Validation'!$M$105</f>
        <v>0</v>
      </c>
      <c r="K3195" s="106"/>
      <c r="L3195" s="68">
        <f>L1766/1.18-L2481*'Mark Up Validation'!$M$105</f>
        <v>0</v>
      </c>
      <c r="M3195" s="106"/>
      <c r="N3195" s="68">
        <f>N1766/1.18-N2481*'Mark Up Validation'!$M$105</f>
        <v>0</v>
      </c>
      <c r="O3195" s="106"/>
      <c r="P3195" s="68">
        <f>P1766/1.18-P2481*'Mark Up Validation'!$M$105</f>
        <v>0</v>
      </c>
      <c r="Q3195" s="107"/>
      <c r="R3195" s="135">
        <f>SUM(F3195,H3195,J3195,L3195,N3195,P3195)</f>
        <v>0</v>
      </c>
      <c r="S3195" s="107"/>
      <c r="T3195" s="68">
        <f>T1766/1.18-T2481*'Mark Up Validation'!$S$105</f>
        <v>0</v>
      </c>
      <c r="U3195" s="107"/>
      <c r="V3195" s="68">
        <f>V1766/1.18-V2481*'Mark Up Validation'!$S$105</f>
        <v>0</v>
      </c>
      <c r="W3195" s="107"/>
      <c r="X3195" s="68">
        <f>X1766/1.18-X2481*'Mark Up Validation'!$S$105</f>
        <v>0</v>
      </c>
      <c r="Y3195" s="107"/>
      <c r="Z3195" s="68">
        <f>Z1766/1.18-Z2481*'Mark Up Validation'!$S$105</f>
        <v>0</v>
      </c>
      <c r="AA3195" s="107"/>
      <c r="AB3195" s="68">
        <f>AB1766/1.18-AB2481*'Mark Up Validation'!$S$105</f>
        <v>0</v>
      </c>
      <c r="AC3195" s="107"/>
      <c r="AD3195" s="68">
        <f>AD1766/1.18-AD2481*'Mark Up Validation'!$S$105</f>
        <v>0</v>
      </c>
      <c r="AE3195" s="107"/>
      <c r="AF3195" s="135">
        <f>SUM(T3195,V3195,X3195,Z3195,AB3195,AD3195)</f>
        <v>0</v>
      </c>
      <c r="AG3195" s="107"/>
      <c r="AH3195" s="136">
        <f>SUM(AF3195,R3195)</f>
        <v>0</v>
      </c>
      <c r="AI3195" s="107"/>
      <c r="AJ3195" s="65"/>
      <c r="AV3195" s="56"/>
    </row>
    <row r="3196" spans="1:48" ht="13.5" customHeight="1" outlineLevel="2">
      <c r="B3196" s="82"/>
      <c r="C3196" s="425"/>
      <c r="D3196" s="425"/>
      <c r="E3196" s="634"/>
      <c r="F3196" s="635"/>
      <c r="G3196" s="428"/>
      <c r="H3196" s="635"/>
      <c r="I3196" s="428"/>
      <c r="J3196" s="635"/>
      <c r="K3196" s="636"/>
      <c r="L3196" s="635"/>
      <c r="M3196" s="636"/>
      <c r="N3196" s="635"/>
      <c r="O3196" s="636"/>
      <c r="P3196" s="635"/>
      <c r="Q3196" s="636"/>
      <c r="R3196" s="637"/>
      <c r="S3196" s="698">
        <f>SUM(R2476:R2480)/1.18-(SUM(R3191:R3195)*'Mark Up Validation'!$M$105)</f>
        <v>0</v>
      </c>
      <c r="T3196" s="635"/>
      <c r="U3196" s="636"/>
      <c r="V3196" s="635"/>
      <c r="W3196" s="636"/>
      <c r="X3196" s="635"/>
      <c r="Y3196" s="636"/>
      <c r="Z3196" s="635"/>
      <c r="AA3196" s="636"/>
      <c r="AB3196" s="635"/>
      <c r="AC3196" s="636"/>
      <c r="AD3196" s="635"/>
      <c r="AE3196" s="636"/>
      <c r="AF3196" s="637"/>
      <c r="AG3196" s="698">
        <f>SUM(AF2476:AF2480)/1.18-SUM(AF3191:AF3195)*'Mark Up Validation'!$M$175</f>
        <v>0</v>
      </c>
      <c r="AH3196" s="638"/>
      <c r="AI3196" s="698">
        <f>SUM(AH2476:AH2480)/1.18-SUM(AH3191:AH3195)*'Mark Up Validation'!$M$175</f>
        <v>0</v>
      </c>
      <c r="AJ3196" s="65"/>
      <c r="AV3196" s="56"/>
    </row>
    <row r="3197" spans="1:48" ht="13.5" customHeight="1" outlineLevel="2" thickBot="1">
      <c r="A3197" s="119"/>
      <c r="B3197" s="82"/>
      <c r="C3197" s="1228" t="s">
        <v>539</v>
      </c>
      <c r="D3197" s="1229"/>
      <c r="E3197" s="699"/>
      <c r="F3197" s="700">
        <f>SUM(F3191:F3195)</f>
        <v>0</v>
      </c>
      <c r="G3197" s="701"/>
      <c r="H3197" s="700">
        <f>SUM(H3191:H3195)</f>
        <v>0</v>
      </c>
      <c r="I3197" s="701"/>
      <c r="J3197" s="700">
        <f>SUM(J3191:J3195)</f>
        <v>0</v>
      </c>
      <c r="K3197" s="702"/>
      <c r="L3197" s="700">
        <f>SUM(L3191:L3195)</f>
        <v>0</v>
      </c>
      <c r="M3197" s="702"/>
      <c r="N3197" s="700">
        <f>SUM(N3191:N3195)</f>
        <v>0</v>
      </c>
      <c r="O3197" s="702"/>
      <c r="P3197" s="700">
        <f>SUM(P3191:P3195)</f>
        <v>0</v>
      </c>
      <c r="Q3197" s="702"/>
      <c r="R3197" s="703"/>
      <c r="S3197" s="729">
        <f>IF(S3196&gt;0,S3196/(SUM(R2476:R2480)/1.18),0)</f>
        <v>0</v>
      </c>
      <c r="T3197" s="700">
        <f>SUM(T3191:T3195)</f>
        <v>0</v>
      </c>
      <c r="U3197" s="702"/>
      <c r="V3197" s="700">
        <f>SUM(V3191:V3195)</f>
        <v>0</v>
      </c>
      <c r="W3197" s="702"/>
      <c r="X3197" s="700">
        <f>SUM(X3191:X3195)</f>
        <v>0</v>
      </c>
      <c r="Y3197" s="702"/>
      <c r="Z3197" s="700">
        <f>SUM(Z3191:Z3195)</f>
        <v>0</v>
      </c>
      <c r="AA3197" s="702"/>
      <c r="AB3197" s="700">
        <f>SUM(AB3191:AB3195)</f>
        <v>0</v>
      </c>
      <c r="AC3197" s="702"/>
      <c r="AD3197" s="700">
        <f>SUM(AD3191:AD3195)</f>
        <v>0</v>
      </c>
      <c r="AE3197" s="702"/>
      <c r="AF3197" s="705"/>
      <c r="AG3197" s="729">
        <f>IF(AG3196&gt;0,AG3196/(SUM(AF2476:AF2480)/1.18),0)</f>
        <v>0</v>
      </c>
      <c r="AH3197" s="706"/>
      <c r="AI3197" s="729">
        <f>IF(AI3196&gt;0,AI3196/(SUM(AH2476:AH2480)/1.18),0)</f>
        <v>0</v>
      </c>
      <c r="AJ3197" s="707"/>
      <c r="AV3197" s="56"/>
    </row>
    <row r="3198" spans="1:48" ht="12.75" customHeight="1" outlineLevel="2" thickBot="1">
      <c r="B3198" s="82">
        <f>B3191+1</f>
        <v>46</v>
      </c>
      <c r="C3198" s="1233">
        <f>C328</f>
        <v>0</v>
      </c>
      <c r="D3198" s="1233">
        <f>D328</f>
        <v>0</v>
      </c>
      <c r="E3198" s="83" t="str">
        <f>'Terms and Turnovers'!$J$12</f>
        <v>FLIP-FLOPS</v>
      </c>
      <c r="F3198" s="68">
        <f>F1769/1.18-F2484*'Mark Up Validation'!$M$105</f>
        <v>0</v>
      </c>
      <c r="G3198" s="106"/>
      <c r="H3198" s="68">
        <f>H1769/1.18-H2484*'Mark Up Validation'!$M$105</f>
        <v>0</v>
      </c>
      <c r="I3198" s="106"/>
      <c r="J3198" s="68">
        <f>J1769/1.18-J2484*'Mark Up Validation'!$M$105</f>
        <v>0</v>
      </c>
      <c r="K3198" s="106"/>
      <c r="L3198" s="68">
        <f>L1769/1.18-L2484*'Mark Up Validation'!$M$105</f>
        <v>0</v>
      </c>
      <c r="M3198" s="106"/>
      <c r="N3198" s="68">
        <f>N1769/1.18-N2484*'Mark Up Validation'!$M$105</f>
        <v>0</v>
      </c>
      <c r="O3198" s="106"/>
      <c r="P3198" s="68">
        <f>P1769/1.18-P2484*'Mark Up Validation'!$M$105</f>
        <v>0</v>
      </c>
      <c r="Q3198" s="106"/>
      <c r="R3198" s="129">
        <f>SUM(F3198,H3198,J3198,L3198,N3198,P3198)</f>
        <v>0</v>
      </c>
      <c r="S3198" s="106"/>
      <c r="T3198" s="68">
        <f>T1769/1.18-T2484*'Mark Up Validation'!$S$105</f>
        <v>0</v>
      </c>
      <c r="U3198" s="106"/>
      <c r="V3198" s="68">
        <f>V1769/1.18-V2484*'Mark Up Validation'!$S$105</f>
        <v>0</v>
      </c>
      <c r="W3198" s="106"/>
      <c r="X3198" s="68">
        <f>X1769/1.18-X2484*'Mark Up Validation'!$S$105</f>
        <v>0</v>
      </c>
      <c r="Y3198" s="106"/>
      <c r="Z3198" s="68">
        <f>Z1769/1.18-Z2484*'Mark Up Validation'!$S$105</f>
        <v>0</v>
      </c>
      <c r="AA3198" s="106"/>
      <c r="AB3198" s="68">
        <f>AB1769/1.18-AB2484*'Mark Up Validation'!$S$105</f>
        <v>0</v>
      </c>
      <c r="AC3198" s="106"/>
      <c r="AD3198" s="68">
        <f>AD1769/1.18-AD2484*'Mark Up Validation'!$S$105</f>
        <v>0</v>
      </c>
      <c r="AE3198" s="106"/>
      <c r="AF3198" s="129">
        <f>SUM(T3198,V3198,X3198,Z3198,AB3198,AD3198)</f>
        <v>0</v>
      </c>
      <c r="AG3198" s="106"/>
      <c r="AH3198" s="130">
        <f>SUM(AF3198,R3198)</f>
        <v>0</v>
      </c>
      <c r="AI3198" s="106"/>
      <c r="AJ3198" s="65"/>
      <c r="AV3198" s="56"/>
    </row>
    <row r="3199" spans="1:48" ht="12.75" customHeight="1" outlineLevel="2" thickBot="1">
      <c r="B3199" s="82"/>
      <c r="C3199" s="1234"/>
      <c r="D3199" s="1234"/>
      <c r="E3199" s="84" t="str">
        <f>'Terms and Turnovers'!$T$12</f>
        <v>ORIGINALS</v>
      </c>
      <c r="F3199" s="68">
        <f>F1770/1.18-F2485*'Mark Up Validation'!$M$105</f>
        <v>0</v>
      </c>
      <c r="G3199" s="728"/>
      <c r="H3199" s="68">
        <f>H1770/1.18-H2485*'Mark Up Validation'!$M$105</f>
        <v>0</v>
      </c>
      <c r="I3199" s="728"/>
      <c r="J3199" s="68">
        <f>J1770/1.18-J2485*'Mark Up Validation'!$M$105</f>
        <v>0</v>
      </c>
      <c r="K3199" s="728"/>
      <c r="L3199" s="68">
        <f>L1770/1.18-L2485*'Mark Up Validation'!$M$105</f>
        <v>0</v>
      </c>
      <c r="M3199" s="728"/>
      <c r="N3199" s="68">
        <f>N1770/1.18-N2485*'Mark Up Validation'!$M$105</f>
        <v>0</v>
      </c>
      <c r="O3199" s="728"/>
      <c r="P3199" s="68">
        <f>P1770/1.18-P2485*'Mark Up Validation'!$M$105</f>
        <v>0</v>
      </c>
      <c r="Q3199" s="728"/>
      <c r="R3199" s="132">
        <f>SUM(F3199,H3199,J3199,L3199,N3199,P3199)</f>
        <v>0</v>
      </c>
      <c r="S3199" s="728"/>
      <c r="T3199" s="68">
        <f>T1770/1.18-T2485*'Mark Up Validation'!$S$105</f>
        <v>0</v>
      </c>
      <c r="U3199" s="728"/>
      <c r="V3199" s="68">
        <f>V1770/1.18-V2485*'Mark Up Validation'!$S$105</f>
        <v>0</v>
      </c>
      <c r="W3199" s="728"/>
      <c r="X3199" s="68">
        <f>X1770/1.18-X2485*'Mark Up Validation'!$S$105</f>
        <v>0</v>
      </c>
      <c r="Y3199" s="728"/>
      <c r="Z3199" s="68">
        <f>Z1770/1.18-Z2485*'Mark Up Validation'!$S$105</f>
        <v>0</v>
      </c>
      <c r="AA3199" s="728"/>
      <c r="AB3199" s="68">
        <f>AB1770/1.18-AB2485*'Mark Up Validation'!$S$105</f>
        <v>0</v>
      </c>
      <c r="AC3199" s="728"/>
      <c r="AD3199" s="68">
        <f>AD1770/1.18-AD2485*'Mark Up Validation'!$S$105</f>
        <v>0</v>
      </c>
      <c r="AE3199" s="728"/>
      <c r="AF3199" s="132">
        <f>SUM(T3199,V3199,X3199,Z3199,AB3199,AD3199)</f>
        <v>0</v>
      </c>
      <c r="AG3199" s="728"/>
      <c r="AH3199" s="133">
        <f>SUM(AF3199,R3199)</f>
        <v>0</v>
      </c>
      <c r="AI3199" s="728"/>
      <c r="AJ3199" s="65"/>
      <c r="AV3199" s="56"/>
    </row>
    <row r="3200" spans="1:48" ht="12.75" customHeight="1" outlineLevel="2" thickBot="1">
      <c r="B3200" s="82"/>
      <c r="C3200" s="1234"/>
      <c r="D3200" s="1234"/>
      <c r="E3200" s="84" t="str">
        <f>'Terms and Turnovers'!$AD$12</f>
        <v>ACCESSORIES</v>
      </c>
      <c r="F3200" s="68">
        <f>F1771/1.18-F2486*'Mark Up Validation'!$M$105</f>
        <v>0</v>
      </c>
      <c r="G3200" s="106"/>
      <c r="H3200" s="68">
        <f>H1771/1.18-H2486*'Mark Up Validation'!$M$105</f>
        <v>0</v>
      </c>
      <c r="I3200" s="106"/>
      <c r="J3200" s="68">
        <f>J1771/1.18-J2486*'Mark Up Validation'!$M$105</f>
        <v>0</v>
      </c>
      <c r="K3200" s="106"/>
      <c r="L3200" s="68">
        <f>L1771/1.18-L2486*'Mark Up Validation'!$M$105</f>
        <v>0</v>
      </c>
      <c r="M3200" s="106"/>
      <c r="N3200" s="68">
        <f>N1771/1.18-N2486*'Mark Up Validation'!$M$105</f>
        <v>0</v>
      </c>
      <c r="O3200" s="106"/>
      <c r="P3200" s="68">
        <f>P1771/1.18-P2486*'Mark Up Validation'!$M$105</f>
        <v>0</v>
      </c>
      <c r="Q3200" s="728"/>
      <c r="R3200" s="132">
        <f>SUM(F3200,H3200,J3200,L3200,N3200,P3200)</f>
        <v>0</v>
      </c>
      <c r="S3200" s="728"/>
      <c r="T3200" s="68">
        <f>T1771/1.18-T2486*'Mark Up Validation'!$S$105</f>
        <v>0</v>
      </c>
      <c r="U3200" s="728"/>
      <c r="V3200" s="68">
        <f>V1771/1.18-V2486*'Mark Up Validation'!$S$105</f>
        <v>0</v>
      </c>
      <c r="W3200" s="728"/>
      <c r="X3200" s="68">
        <f>X1771/1.18-X2486*'Mark Up Validation'!$S$105</f>
        <v>0</v>
      </c>
      <c r="Y3200" s="728"/>
      <c r="Z3200" s="68">
        <f>Z1771/1.18-Z2486*'Mark Up Validation'!$S$105</f>
        <v>0</v>
      </c>
      <c r="AA3200" s="728"/>
      <c r="AB3200" s="68">
        <f>AB1771/1.18-AB2486*'Mark Up Validation'!$S$105</f>
        <v>0</v>
      </c>
      <c r="AC3200" s="728"/>
      <c r="AD3200" s="68">
        <f>AD1771/1.18-AD2486*'Mark Up Validation'!$S$105</f>
        <v>0</v>
      </c>
      <c r="AE3200" s="728"/>
      <c r="AF3200" s="132">
        <f>SUM(T3200,V3200,X3200,Z3200,AB3200,AD3200)</f>
        <v>0</v>
      </c>
      <c r="AG3200" s="728"/>
      <c r="AH3200" s="133">
        <f>SUM(AF3200,R3200)</f>
        <v>0</v>
      </c>
      <c r="AI3200" s="728"/>
      <c r="AJ3200" s="65"/>
      <c r="AV3200" s="56"/>
    </row>
    <row r="3201" spans="1:48" ht="12.75" customHeight="1" outlineLevel="2" thickBot="1">
      <c r="B3201" s="82"/>
      <c r="C3201" s="1234"/>
      <c r="D3201" s="1234"/>
      <c r="E3201" s="84">
        <f>'Terms and Turnovers'!$AN$12</f>
        <v>0</v>
      </c>
      <c r="F3201" s="68">
        <f>F1772/1.18-F2487*'Mark Up Validation'!$M$105</f>
        <v>0</v>
      </c>
      <c r="G3201" s="728"/>
      <c r="H3201" s="68">
        <f>H1772/1.18-H2487*'Mark Up Validation'!$M$105</f>
        <v>0</v>
      </c>
      <c r="I3201" s="728"/>
      <c r="J3201" s="68">
        <f>J1772/1.18-J2487*'Mark Up Validation'!$M$105</f>
        <v>0</v>
      </c>
      <c r="K3201" s="728"/>
      <c r="L3201" s="68">
        <f>L1772/1.18-L2487*'Mark Up Validation'!$M$105</f>
        <v>0</v>
      </c>
      <c r="M3201" s="728"/>
      <c r="N3201" s="68">
        <f>N1772/1.18-N2487*'Mark Up Validation'!$M$105</f>
        <v>0</v>
      </c>
      <c r="O3201" s="728"/>
      <c r="P3201" s="68">
        <f>P1772/1.18-P2487*'Mark Up Validation'!$M$105</f>
        <v>0</v>
      </c>
      <c r="Q3201" s="728"/>
      <c r="R3201" s="132">
        <f>SUM(F3201,H3201,J3201,L3201,N3201,P3201)</f>
        <v>0</v>
      </c>
      <c r="S3201" s="728"/>
      <c r="T3201" s="68">
        <f>T1772/1.18-T2487*'Mark Up Validation'!$S$105</f>
        <v>0</v>
      </c>
      <c r="U3201" s="728"/>
      <c r="V3201" s="68">
        <f>V1772/1.18-V2487*'Mark Up Validation'!$S$105</f>
        <v>0</v>
      </c>
      <c r="W3201" s="728"/>
      <c r="X3201" s="68">
        <f>X1772/1.18-X2487*'Mark Up Validation'!$S$105</f>
        <v>0</v>
      </c>
      <c r="Y3201" s="728"/>
      <c r="Z3201" s="68">
        <f>Z1772/1.18-Z2487*'Mark Up Validation'!$S$105</f>
        <v>0</v>
      </c>
      <c r="AA3201" s="728"/>
      <c r="AB3201" s="68">
        <f>AB1772/1.18-AB2487*'Mark Up Validation'!$S$105</f>
        <v>0</v>
      </c>
      <c r="AC3201" s="728"/>
      <c r="AD3201" s="68">
        <f>AD1772/1.18-AD2487*'Mark Up Validation'!$S$105</f>
        <v>0</v>
      </c>
      <c r="AE3201" s="728"/>
      <c r="AF3201" s="132">
        <f>SUM(T3201,V3201,X3201,Z3201,AB3201,AD3201)</f>
        <v>0</v>
      </c>
      <c r="AG3201" s="728"/>
      <c r="AH3201" s="133">
        <f>SUM(AF3201,R3201)</f>
        <v>0</v>
      </c>
      <c r="AI3201" s="728"/>
      <c r="AJ3201" s="65"/>
      <c r="AV3201" s="56"/>
    </row>
    <row r="3202" spans="1:48" ht="13.5" customHeight="1" outlineLevel="2" thickBot="1">
      <c r="B3202" s="82"/>
      <c r="C3202" s="1235"/>
      <c r="D3202" s="1235"/>
      <c r="E3202" s="85">
        <f>'Terms and Turnovers'!$AX$12</f>
        <v>0</v>
      </c>
      <c r="F3202" s="68">
        <f>F1773/1.18-F2488*'Mark Up Validation'!$M$105</f>
        <v>0</v>
      </c>
      <c r="G3202" s="106"/>
      <c r="H3202" s="68">
        <f>H1773/1.18-H2488*'Mark Up Validation'!$M$105</f>
        <v>0</v>
      </c>
      <c r="I3202" s="106"/>
      <c r="J3202" s="68">
        <f>J1773/1.18-J2488*'Mark Up Validation'!$M$105</f>
        <v>0</v>
      </c>
      <c r="K3202" s="106"/>
      <c r="L3202" s="68">
        <f>L1773/1.18-L2488*'Mark Up Validation'!$M$105</f>
        <v>0</v>
      </c>
      <c r="M3202" s="106"/>
      <c r="N3202" s="68">
        <f>N1773/1.18-N2488*'Mark Up Validation'!$M$105</f>
        <v>0</v>
      </c>
      <c r="O3202" s="106"/>
      <c r="P3202" s="68">
        <f>P1773/1.18-P2488*'Mark Up Validation'!$M$105</f>
        <v>0</v>
      </c>
      <c r="Q3202" s="107"/>
      <c r="R3202" s="135">
        <f>SUM(F3202,H3202,J3202,L3202,N3202,P3202)</f>
        <v>0</v>
      </c>
      <c r="S3202" s="107"/>
      <c r="T3202" s="68">
        <f>T1773/1.18-T2488*'Mark Up Validation'!$S$105</f>
        <v>0</v>
      </c>
      <c r="U3202" s="107"/>
      <c r="V3202" s="68">
        <f>V1773/1.18-V2488*'Mark Up Validation'!$S$105</f>
        <v>0</v>
      </c>
      <c r="W3202" s="107"/>
      <c r="X3202" s="68">
        <f>X1773/1.18-X2488*'Mark Up Validation'!$S$105</f>
        <v>0</v>
      </c>
      <c r="Y3202" s="107"/>
      <c r="Z3202" s="68">
        <f>Z1773/1.18-Z2488*'Mark Up Validation'!$S$105</f>
        <v>0</v>
      </c>
      <c r="AA3202" s="107"/>
      <c r="AB3202" s="68">
        <f>AB1773/1.18-AB2488*'Mark Up Validation'!$S$105</f>
        <v>0</v>
      </c>
      <c r="AC3202" s="107"/>
      <c r="AD3202" s="68">
        <f>AD1773/1.18-AD2488*'Mark Up Validation'!$S$105</f>
        <v>0</v>
      </c>
      <c r="AE3202" s="107"/>
      <c r="AF3202" s="135">
        <f>SUM(T3202,V3202,X3202,Z3202,AB3202,AD3202)</f>
        <v>0</v>
      </c>
      <c r="AG3202" s="107"/>
      <c r="AH3202" s="136">
        <f>SUM(AF3202,R3202)</f>
        <v>0</v>
      </c>
      <c r="AI3202" s="107"/>
      <c r="AJ3202" s="65"/>
      <c r="AV3202" s="56"/>
    </row>
    <row r="3203" spans="1:48" ht="13.5" customHeight="1" outlineLevel="2">
      <c r="B3203" s="82"/>
      <c r="C3203" s="425"/>
      <c r="D3203" s="425"/>
      <c r="E3203" s="634"/>
      <c r="F3203" s="635"/>
      <c r="G3203" s="428"/>
      <c r="H3203" s="635"/>
      <c r="I3203" s="428"/>
      <c r="J3203" s="635"/>
      <c r="K3203" s="636"/>
      <c r="L3203" s="635"/>
      <c r="M3203" s="636"/>
      <c r="N3203" s="635"/>
      <c r="O3203" s="636"/>
      <c r="P3203" s="635"/>
      <c r="Q3203" s="636"/>
      <c r="R3203" s="637"/>
      <c r="S3203" s="698">
        <f>SUM(R2483:R2487)/1.18-(SUM(R3198:R3202)*'Mark Up Validation'!$M$105)</f>
        <v>0</v>
      </c>
      <c r="T3203" s="635"/>
      <c r="U3203" s="636"/>
      <c r="V3203" s="635"/>
      <c r="W3203" s="636"/>
      <c r="X3203" s="635"/>
      <c r="Y3203" s="636"/>
      <c r="Z3203" s="635"/>
      <c r="AA3203" s="636"/>
      <c r="AB3203" s="635"/>
      <c r="AC3203" s="636"/>
      <c r="AD3203" s="635"/>
      <c r="AE3203" s="636"/>
      <c r="AF3203" s="637"/>
      <c r="AG3203" s="698">
        <f>SUM(AF2483:AF2487)/1.18-SUM(AF3198:AF3202)*'Mark Up Validation'!$M$175</f>
        <v>0</v>
      </c>
      <c r="AH3203" s="638"/>
      <c r="AI3203" s="698">
        <f>SUM(AH2483:AH2487)/1.18-SUM(AH3198:AH3202)*'Mark Up Validation'!$M$175</f>
        <v>0</v>
      </c>
      <c r="AJ3203" s="65"/>
      <c r="AV3203" s="56"/>
    </row>
    <row r="3204" spans="1:48" ht="13.5" customHeight="1" outlineLevel="2" thickBot="1">
      <c r="A3204" s="119"/>
      <c r="B3204" s="82"/>
      <c r="C3204" s="1228" t="s">
        <v>539</v>
      </c>
      <c r="D3204" s="1229"/>
      <c r="E3204" s="699"/>
      <c r="F3204" s="700">
        <f>SUM(F3198:F3202)</f>
        <v>0</v>
      </c>
      <c r="G3204" s="701"/>
      <c r="H3204" s="700">
        <f>SUM(H3198:H3202)</f>
        <v>0</v>
      </c>
      <c r="I3204" s="701"/>
      <c r="J3204" s="700">
        <f>SUM(J3198:J3202)</f>
        <v>0</v>
      </c>
      <c r="K3204" s="702"/>
      <c r="L3204" s="700">
        <f>SUM(L3198:L3202)</f>
        <v>0</v>
      </c>
      <c r="M3204" s="702"/>
      <c r="N3204" s="700">
        <f>SUM(N3198:N3202)</f>
        <v>0</v>
      </c>
      <c r="O3204" s="702"/>
      <c r="P3204" s="700">
        <f>SUM(P3198:P3202)</f>
        <v>0</v>
      </c>
      <c r="Q3204" s="702"/>
      <c r="R3204" s="703"/>
      <c r="S3204" s="729">
        <f>IF(S3203&gt;0,S3203/(SUM(R2483:R2487)/1.18),0)</f>
        <v>0</v>
      </c>
      <c r="T3204" s="700">
        <f>SUM(T3198:T3202)</f>
        <v>0</v>
      </c>
      <c r="U3204" s="702"/>
      <c r="V3204" s="700">
        <f>SUM(V3198:V3202)</f>
        <v>0</v>
      </c>
      <c r="W3204" s="702"/>
      <c r="X3204" s="700">
        <f>SUM(X3198:X3202)</f>
        <v>0</v>
      </c>
      <c r="Y3204" s="702"/>
      <c r="Z3204" s="700">
        <f>SUM(Z3198:Z3202)</f>
        <v>0</v>
      </c>
      <c r="AA3204" s="702"/>
      <c r="AB3204" s="700">
        <f>SUM(AB3198:AB3202)</f>
        <v>0</v>
      </c>
      <c r="AC3204" s="702"/>
      <c r="AD3204" s="700">
        <f>SUM(AD3198:AD3202)</f>
        <v>0</v>
      </c>
      <c r="AE3204" s="702"/>
      <c r="AF3204" s="705"/>
      <c r="AG3204" s="729">
        <f>IF(AG3203&gt;0,AG3203/(SUM(AF2483:AF2487)/1.18),0)</f>
        <v>0</v>
      </c>
      <c r="AH3204" s="706"/>
      <c r="AI3204" s="729">
        <f>IF(AI3203&gt;0,AI3203/(SUM(AH2483:AH2487)/1.18),0)</f>
        <v>0</v>
      </c>
      <c r="AJ3204" s="707"/>
      <c r="AV3204" s="56"/>
    </row>
    <row r="3205" spans="1:48" ht="12.75" customHeight="1" outlineLevel="2" thickBot="1">
      <c r="B3205" s="82">
        <f>B3198+1</f>
        <v>47</v>
      </c>
      <c r="C3205" s="1233">
        <f>C335</f>
        <v>0</v>
      </c>
      <c r="D3205" s="1233">
        <f>D335</f>
        <v>0</v>
      </c>
      <c r="E3205" s="83" t="str">
        <f>'Terms and Turnovers'!$J$12</f>
        <v>FLIP-FLOPS</v>
      </c>
      <c r="F3205" s="68">
        <f>F1776/1.18-F2491*'Mark Up Validation'!$M$105</f>
        <v>0</v>
      </c>
      <c r="G3205" s="106"/>
      <c r="H3205" s="68">
        <f>H1776/1.18-H2491*'Mark Up Validation'!$M$105</f>
        <v>0</v>
      </c>
      <c r="I3205" s="106"/>
      <c r="J3205" s="68">
        <f>J1776/1.18-J2491*'Mark Up Validation'!$M$105</f>
        <v>0</v>
      </c>
      <c r="K3205" s="106"/>
      <c r="L3205" s="68">
        <f>L1776/1.18-L2491*'Mark Up Validation'!$M$105</f>
        <v>0</v>
      </c>
      <c r="M3205" s="106"/>
      <c r="N3205" s="68">
        <f>N1776/1.18-N2491*'Mark Up Validation'!$M$105</f>
        <v>0</v>
      </c>
      <c r="O3205" s="106"/>
      <c r="P3205" s="68">
        <f>P1776/1.18-P2491*'Mark Up Validation'!$M$105</f>
        <v>0</v>
      </c>
      <c r="Q3205" s="106"/>
      <c r="R3205" s="129">
        <f>SUM(F3205,H3205,J3205,L3205,N3205,P3205)</f>
        <v>0</v>
      </c>
      <c r="S3205" s="106"/>
      <c r="T3205" s="68">
        <f>T1776/1.18-T2491*'Mark Up Validation'!$S$105</f>
        <v>0</v>
      </c>
      <c r="U3205" s="106"/>
      <c r="V3205" s="68">
        <f>V1776/1.18-V2491*'Mark Up Validation'!$S$105</f>
        <v>0</v>
      </c>
      <c r="W3205" s="106"/>
      <c r="X3205" s="68">
        <f>X1776/1.18-X2491*'Mark Up Validation'!$S$105</f>
        <v>0</v>
      </c>
      <c r="Y3205" s="106"/>
      <c r="Z3205" s="68">
        <f>Z1776/1.18-Z2491*'Mark Up Validation'!$S$105</f>
        <v>0</v>
      </c>
      <c r="AA3205" s="106"/>
      <c r="AB3205" s="68">
        <f>AB1776/1.18-AB2491*'Mark Up Validation'!$S$105</f>
        <v>0</v>
      </c>
      <c r="AC3205" s="106"/>
      <c r="AD3205" s="68">
        <f>AD1776/1.18-AD2491*'Mark Up Validation'!$S$105</f>
        <v>0</v>
      </c>
      <c r="AE3205" s="106"/>
      <c r="AF3205" s="129">
        <f>SUM(T3205,V3205,X3205,Z3205,AB3205,AD3205)</f>
        <v>0</v>
      </c>
      <c r="AG3205" s="106"/>
      <c r="AH3205" s="130">
        <f>SUM(AF3205,R3205)</f>
        <v>0</v>
      </c>
      <c r="AI3205" s="106"/>
      <c r="AJ3205" s="65"/>
      <c r="AV3205" s="56"/>
    </row>
    <row r="3206" spans="1:48" ht="12.75" customHeight="1" outlineLevel="2" thickBot="1">
      <c r="B3206" s="82"/>
      <c r="C3206" s="1234"/>
      <c r="D3206" s="1234"/>
      <c r="E3206" s="84" t="str">
        <f>'Terms and Turnovers'!$T$12</f>
        <v>ORIGINALS</v>
      </c>
      <c r="F3206" s="68">
        <f>F1777/1.18-F2492*'Mark Up Validation'!$M$105</f>
        <v>0</v>
      </c>
      <c r="G3206" s="728"/>
      <c r="H3206" s="68">
        <f>H1777/1.18-H2492*'Mark Up Validation'!$M$105</f>
        <v>0</v>
      </c>
      <c r="I3206" s="728"/>
      <c r="J3206" s="68">
        <f>J1777/1.18-J2492*'Mark Up Validation'!$M$105</f>
        <v>0</v>
      </c>
      <c r="K3206" s="728"/>
      <c r="L3206" s="68">
        <f>L1777/1.18-L2492*'Mark Up Validation'!$M$105</f>
        <v>0</v>
      </c>
      <c r="M3206" s="728"/>
      <c r="N3206" s="68">
        <f>N1777/1.18-N2492*'Mark Up Validation'!$M$105</f>
        <v>0</v>
      </c>
      <c r="O3206" s="728"/>
      <c r="P3206" s="68">
        <f>P1777/1.18-P2492*'Mark Up Validation'!$M$105</f>
        <v>0</v>
      </c>
      <c r="Q3206" s="728"/>
      <c r="R3206" s="132">
        <f>SUM(F3206,H3206,J3206,L3206,N3206,P3206)</f>
        <v>0</v>
      </c>
      <c r="S3206" s="728"/>
      <c r="T3206" s="68">
        <f>T1777/1.18-T2492*'Mark Up Validation'!$S$105</f>
        <v>0</v>
      </c>
      <c r="U3206" s="728"/>
      <c r="V3206" s="68">
        <f>V1777/1.18-V2492*'Mark Up Validation'!$S$105</f>
        <v>0</v>
      </c>
      <c r="W3206" s="728"/>
      <c r="X3206" s="68">
        <f>X1777/1.18-X2492*'Mark Up Validation'!$S$105</f>
        <v>0</v>
      </c>
      <c r="Y3206" s="728"/>
      <c r="Z3206" s="68">
        <f>Z1777/1.18-Z2492*'Mark Up Validation'!$S$105</f>
        <v>0</v>
      </c>
      <c r="AA3206" s="728"/>
      <c r="AB3206" s="68">
        <f>AB1777/1.18-AB2492*'Mark Up Validation'!$S$105</f>
        <v>0</v>
      </c>
      <c r="AC3206" s="728"/>
      <c r="AD3206" s="68">
        <f>AD1777/1.18-AD2492*'Mark Up Validation'!$S$105</f>
        <v>0</v>
      </c>
      <c r="AE3206" s="728"/>
      <c r="AF3206" s="132">
        <f>SUM(T3206,V3206,X3206,Z3206,AB3206,AD3206)</f>
        <v>0</v>
      </c>
      <c r="AG3206" s="728"/>
      <c r="AH3206" s="133">
        <f>SUM(AF3206,R3206)</f>
        <v>0</v>
      </c>
      <c r="AI3206" s="728"/>
      <c r="AJ3206" s="65"/>
      <c r="AV3206" s="56"/>
    </row>
    <row r="3207" spans="1:48" ht="12.75" customHeight="1" outlineLevel="2" thickBot="1">
      <c r="B3207" s="82"/>
      <c r="C3207" s="1234"/>
      <c r="D3207" s="1234"/>
      <c r="E3207" s="84" t="str">
        <f>'Terms and Turnovers'!$AD$12</f>
        <v>ACCESSORIES</v>
      </c>
      <c r="F3207" s="68">
        <f>F1778/1.18-F2493*'Mark Up Validation'!$M$105</f>
        <v>0</v>
      </c>
      <c r="G3207" s="106"/>
      <c r="H3207" s="68">
        <f>H1778/1.18-H2493*'Mark Up Validation'!$M$105</f>
        <v>0</v>
      </c>
      <c r="I3207" s="106"/>
      <c r="J3207" s="68">
        <f>J1778/1.18-J2493*'Mark Up Validation'!$M$105</f>
        <v>0</v>
      </c>
      <c r="K3207" s="106"/>
      <c r="L3207" s="68">
        <f>L1778/1.18-L2493*'Mark Up Validation'!$M$105</f>
        <v>0</v>
      </c>
      <c r="M3207" s="106"/>
      <c r="N3207" s="68">
        <f>N1778/1.18-N2493*'Mark Up Validation'!$M$105</f>
        <v>0</v>
      </c>
      <c r="O3207" s="106"/>
      <c r="P3207" s="68">
        <f>P1778/1.18-P2493*'Mark Up Validation'!$M$105</f>
        <v>0</v>
      </c>
      <c r="Q3207" s="728"/>
      <c r="R3207" s="132">
        <f>SUM(F3207,H3207,J3207,L3207,N3207,P3207)</f>
        <v>0</v>
      </c>
      <c r="S3207" s="728"/>
      <c r="T3207" s="68">
        <f>T1778/1.18-T2493*'Mark Up Validation'!$S$105</f>
        <v>0</v>
      </c>
      <c r="U3207" s="728"/>
      <c r="V3207" s="68">
        <f>V1778/1.18-V2493*'Mark Up Validation'!$S$105</f>
        <v>0</v>
      </c>
      <c r="W3207" s="728"/>
      <c r="X3207" s="68">
        <f>X1778/1.18-X2493*'Mark Up Validation'!$S$105</f>
        <v>0</v>
      </c>
      <c r="Y3207" s="728"/>
      <c r="Z3207" s="68">
        <f>Z1778/1.18-Z2493*'Mark Up Validation'!$S$105</f>
        <v>0</v>
      </c>
      <c r="AA3207" s="728"/>
      <c r="AB3207" s="68">
        <f>AB1778/1.18-AB2493*'Mark Up Validation'!$S$105</f>
        <v>0</v>
      </c>
      <c r="AC3207" s="728"/>
      <c r="AD3207" s="68">
        <f>AD1778/1.18-AD2493*'Mark Up Validation'!$S$105</f>
        <v>0</v>
      </c>
      <c r="AE3207" s="728"/>
      <c r="AF3207" s="132">
        <f>SUM(T3207,V3207,X3207,Z3207,AB3207,AD3207)</f>
        <v>0</v>
      </c>
      <c r="AG3207" s="728"/>
      <c r="AH3207" s="133">
        <f>SUM(AF3207,R3207)</f>
        <v>0</v>
      </c>
      <c r="AI3207" s="728"/>
      <c r="AJ3207" s="65"/>
      <c r="AV3207" s="56"/>
    </row>
    <row r="3208" spans="1:48" ht="12.75" customHeight="1" outlineLevel="2" thickBot="1">
      <c r="B3208" s="82"/>
      <c r="C3208" s="1234"/>
      <c r="D3208" s="1234"/>
      <c r="E3208" s="84">
        <f>'Terms and Turnovers'!$AN$12</f>
        <v>0</v>
      </c>
      <c r="F3208" s="68">
        <f>F1779/1.18-F2494*'Mark Up Validation'!$M$105</f>
        <v>0</v>
      </c>
      <c r="G3208" s="728"/>
      <c r="H3208" s="68">
        <f>H1779/1.18-H2494*'Mark Up Validation'!$M$105</f>
        <v>0</v>
      </c>
      <c r="I3208" s="728"/>
      <c r="J3208" s="68">
        <f>J1779/1.18-J2494*'Mark Up Validation'!$M$105</f>
        <v>0</v>
      </c>
      <c r="K3208" s="728"/>
      <c r="L3208" s="68">
        <f>L1779/1.18-L2494*'Mark Up Validation'!$M$105</f>
        <v>0</v>
      </c>
      <c r="M3208" s="728"/>
      <c r="N3208" s="68">
        <f>N1779/1.18-N2494*'Mark Up Validation'!$M$105</f>
        <v>0</v>
      </c>
      <c r="O3208" s="728"/>
      <c r="P3208" s="68">
        <f>P1779/1.18-P2494*'Mark Up Validation'!$M$105</f>
        <v>0</v>
      </c>
      <c r="Q3208" s="728"/>
      <c r="R3208" s="132">
        <f>SUM(F3208,H3208,J3208,L3208,N3208,P3208)</f>
        <v>0</v>
      </c>
      <c r="S3208" s="728"/>
      <c r="T3208" s="68">
        <f>T1779/1.18-T2494*'Mark Up Validation'!$S$105</f>
        <v>0</v>
      </c>
      <c r="U3208" s="728"/>
      <c r="V3208" s="68">
        <f>V1779/1.18-V2494*'Mark Up Validation'!$S$105</f>
        <v>0</v>
      </c>
      <c r="W3208" s="728"/>
      <c r="X3208" s="68">
        <f>X1779/1.18-X2494*'Mark Up Validation'!$S$105</f>
        <v>0</v>
      </c>
      <c r="Y3208" s="728"/>
      <c r="Z3208" s="68">
        <f>Z1779/1.18-Z2494*'Mark Up Validation'!$S$105</f>
        <v>0</v>
      </c>
      <c r="AA3208" s="728"/>
      <c r="AB3208" s="68">
        <f>AB1779/1.18-AB2494*'Mark Up Validation'!$S$105</f>
        <v>0</v>
      </c>
      <c r="AC3208" s="728"/>
      <c r="AD3208" s="68">
        <f>AD1779/1.18-AD2494*'Mark Up Validation'!$S$105</f>
        <v>0</v>
      </c>
      <c r="AE3208" s="728"/>
      <c r="AF3208" s="132">
        <f>SUM(T3208,V3208,X3208,Z3208,AB3208,AD3208)</f>
        <v>0</v>
      </c>
      <c r="AG3208" s="728"/>
      <c r="AH3208" s="133">
        <f>SUM(AF3208,R3208)</f>
        <v>0</v>
      </c>
      <c r="AI3208" s="728"/>
      <c r="AJ3208" s="65"/>
      <c r="AV3208" s="56"/>
    </row>
    <row r="3209" spans="1:48" ht="13.5" customHeight="1" outlineLevel="2" thickBot="1">
      <c r="B3209" s="82"/>
      <c r="C3209" s="1235"/>
      <c r="D3209" s="1235"/>
      <c r="E3209" s="85">
        <f>'Terms and Turnovers'!$AX$12</f>
        <v>0</v>
      </c>
      <c r="F3209" s="68">
        <f>F1780/1.18-F2495*'Mark Up Validation'!$M$105</f>
        <v>0</v>
      </c>
      <c r="G3209" s="106"/>
      <c r="H3209" s="68">
        <f>H1780/1.18-H2495*'Mark Up Validation'!$M$105</f>
        <v>0</v>
      </c>
      <c r="I3209" s="106"/>
      <c r="J3209" s="68">
        <f>J1780/1.18-J2495*'Mark Up Validation'!$M$105</f>
        <v>0</v>
      </c>
      <c r="K3209" s="106"/>
      <c r="L3209" s="68">
        <f>L1780/1.18-L2495*'Mark Up Validation'!$M$105</f>
        <v>0</v>
      </c>
      <c r="M3209" s="106"/>
      <c r="N3209" s="68">
        <f>N1780/1.18-N2495*'Mark Up Validation'!$M$105</f>
        <v>0</v>
      </c>
      <c r="O3209" s="106"/>
      <c r="P3209" s="68">
        <f>P1780/1.18-P2495*'Mark Up Validation'!$M$105</f>
        <v>0</v>
      </c>
      <c r="Q3209" s="107"/>
      <c r="R3209" s="135">
        <f>SUM(F3209,H3209,J3209,L3209,N3209,P3209)</f>
        <v>0</v>
      </c>
      <c r="S3209" s="107"/>
      <c r="T3209" s="68">
        <f>T1780/1.18-T2495*'Mark Up Validation'!$S$105</f>
        <v>0</v>
      </c>
      <c r="U3209" s="107"/>
      <c r="V3209" s="68">
        <f>V1780/1.18-V2495*'Mark Up Validation'!$S$105</f>
        <v>0</v>
      </c>
      <c r="W3209" s="107"/>
      <c r="X3209" s="68">
        <f>X1780/1.18-X2495*'Mark Up Validation'!$S$105</f>
        <v>0</v>
      </c>
      <c r="Y3209" s="107"/>
      <c r="Z3209" s="68">
        <f>Z1780/1.18-Z2495*'Mark Up Validation'!$S$105</f>
        <v>0</v>
      </c>
      <c r="AA3209" s="107"/>
      <c r="AB3209" s="68">
        <f>AB1780/1.18-AB2495*'Mark Up Validation'!$S$105</f>
        <v>0</v>
      </c>
      <c r="AC3209" s="107"/>
      <c r="AD3209" s="68">
        <f>AD1780/1.18-AD2495*'Mark Up Validation'!$S$105</f>
        <v>0</v>
      </c>
      <c r="AE3209" s="107"/>
      <c r="AF3209" s="135">
        <f>SUM(T3209,V3209,X3209,Z3209,AB3209,AD3209)</f>
        <v>0</v>
      </c>
      <c r="AG3209" s="107"/>
      <c r="AH3209" s="136">
        <f>SUM(AF3209,R3209)</f>
        <v>0</v>
      </c>
      <c r="AI3209" s="107"/>
      <c r="AJ3209" s="65"/>
      <c r="AV3209" s="56"/>
    </row>
    <row r="3210" spans="1:48" ht="13.5" customHeight="1" outlineLevel="2">
      <c r="B3210" s="82"/>
      <c r="C3210" s="425"/>
      <c r="D3210" s="425"/>
      <c r="E3210" s="634"/>
      <c r="F3210" s="635"/>
      <c r="G3210" s="428"/>
      <c r="H3210" s="635"/>
      <c r="I3210" s="428"/>
      <c r="J3210" s="635"/>
      <c r="K3210" s="636"/>
      <c r="L3210" s="635"/>
      <c r="M3210" s="636"/>
      <c r="N3210" s="635"/>
      <c r="O3210" s="636"/>
      <c r="P3210" s="635"/>
      <c r="Q3210" s="636"/>
      <c r="R3210" s="637"/>
      <c r="S3210" s="698">
        <f>SUM(R2490:R2494)/1.18-(SUM(R3205:R3209)*'Mark Up Validation'!$M$105)</f>
        <v>0</v>
      </c>
      <c r="T3210" s="635"/>
      <c r="U3210" s="636"/>
      <c r="V3210" s="635"/>
      <c r="W3210" s="636"/>
      <c r="X3210" s="635"/>
      <c r="Y3210" s="636"/>
      <c r="Z3210" s="635"/>
      <c r="AA3210" s="636"/>
      <c r="AB3210" s="635"/>
      <c r="AC3210" s="636"/>
      <c r="AD3210" s="635"/>
      <c r="AE3210" s="636"/>
      <c r="AF3210" s="637"/>
      <c r="AG3210" s="698">
        <f>SUM(AF2490:AF2494)/1.18-SUM(AF3205:AF3209)*'Mark Up Validation'!$M$175</f>
        <v>0</v>
      </c>
      <c r="AH3210" s="638"/>
      <c r="AI3210" s="698">
        <f>SUM(AH2490:AH2494)/1.18-SUM(AH3205:AH3209)*'Mark Up Validation'!$M$175</f>
        <v>0</v>
      </c>
      <c r="AJ3210" s="65"/>
      <c r="AV3210" s="56"/>
    </row>
    <row r="3211" spans="1:48" ht="13.5" customHeight="1" outlineLevel="2" thickBot="1">
      <c r="A3211" s="119"/>
      <c r="B3211" s="82"/>
      <c r="C3211" s="1228" t="s">
        <v>539</v>
      </c>
      <c r="D3211" s="1229"/>
      <c r="E3211" s="699"/>
      <c r="F3211" s="700">
        <f>SUM(F3205:F3209)</f>
        <v>0</v>
      </c>
      <c r="G3211" s="701"/>
      <c r="H3211" s="700">
        <f>SUM(H3205:H3209)</f>
        <v>0</v>
      </c>
      <c r="I3211" s="701"/>
      <c r="J3211" s="700">
        <f>SUM(J3205:J3209)</f>
        <v>0</v>
      </c>
      <c r="K3211" s="702"/>
      <c r="L3211" s="700">
        <f>SUM(L3205:L3209)</f>
        <v>0</v>
      </c>
      <c r="M3211" s="702"/>
      <c r="N3211" s="700">
        <f>SUM(N3205:N3209)</f>
        <v>0</v>
      </c>
      <c r="O3211" s="702"/>
      <c r="P3211" s="700">
        <f>SUM(P3205:P3209)</f>
        <v>0</v>
      </c>
      <c r="Q3211" s="702"/>
      <c r="R3211" s="703"/>
      <c r="S3211" s="729">
        <f>IF(S3210&gt;0,S3210/(SUM(R2490:R2494)/1.18),0)</f>
        <v>0</v>
      </c>
      <c r="T3211" s="700">
        <f>SUM(T3205:T3209)</f>
        <v>0</v>
      </c>
      <c r="U3211" s="702"/>
      <c r="V3211" s="700">
        <f>SUM(V3205:V3209)</f>
        <v>0</v>
      </c>
      <c r="W3211" s="702"/>
      <c r="X3211" s="700">
        <f>SUM(X3205:X3209)</f>
        <v>0</v>
      </c>
      <c r="Y3211" s="702"/>
      <c r="Z3211" s="700">
        <f>SUM(Z3205:Z3209)</f>
        <v>0</v>
      </c>
      <c r="AA3211" s="702"/>
      <c r="AB3211" s="700">
        <f>SUM(AB3205:AB3209)</f>
        <v>0</v>
      </c>
      <c r="AC3211" s="702"/>
      <c r="AD3211" s="700">
        <f>SUM(AD3205:AD3209)</f>
        <v>0</v>
      </c>
      <c r="AE3211" s="702"/>
      <c r="AF3211" s="705"/>
      <c r="AG3211" s="729">
        <f>IF(AG3210&gt;0,AG3210/(SUM(AF2490:AF2494)/1.18),0)</f>
        <v>0</v>
      </c>
      <c r="AH3211" s="706"/>
      <c r="AI3211" s="729">
        <f>IF(AI3210&gt;0,AI3210/(SUM(AH2490:AH2494)/1.18),0)</f>
        <v>0</v>
      </c>
      <c r="AJ3211" s="707"/>
      <c r="AV3211" s="56"/>
    </row>
    <row r="3212" spans="1:48" ht="12.75" customHeight="1" outlineLevel="2" thickBot="1">
      <c r="B3212" s="82">
        <f>B3205+1</f>
        <v>48</v>
      </c>
      <c r="C3212" s="1233">
        <f>C342</f>
        <v>0</v>
      </c>
      <c r="D3212" s="1233">
        <f>D342</f>
        <v>0</v>
      </c>
      <c r="E3212" s="83" t="str">
        <f>'Terms and Turnovers'!$J$12</f>
        <v>FLIP-FLOPS</v>
      </c>
      <c r="F3212" s="68">
        <f>F1783/1.18-F2498*'Mark Up Validation'!$M$105</f>
        <v>0</v>
      </c>
      <c r="G3212" s="106"/>
      <c r="H3212" s="68">
        <f>H1783/1.18-H2498*'Mark Up Validation'!$M$105</f>
        <v>0</v>
      </c>
      <c r="I3212" s="106"/>
      <c r="J3212" s="68">
        <f>J1783/1.18-J2498*'Mark Up Validation'!$M$105</f>
        <v>0</v>
      </c>
      <c r="K3212" s="106"/>
      <c r="L3212" s="68">
        <f>L1783/1.18-L2498*'Mark Up Validation'!$M$105</f>
        <v>0</v>
      </c>
      <c r="M3212" s="106"/>
      <c r="N3212" s="68">
        <f>N1783/1.18-N2498*'Mark Up Validation'!$M$105</f>
        <v>0</v>
      </c>
      <c r="O3212" s="106"/>
      <c r="P3212" s="68">
        <f>P1783/1.18-P2498*'Mark Up Validation'!$M$105</f>
        <v>0</v>
      </c>
      <c r="Q3212" s="106"/>
      <c r="R3212" s="129">
        <f>SUM(F3212,H3212,J3212,L3212,N3212,P3212)</f>
        <v>0</v>
      </c>
      <c r="S3212" s="106"/>
      <c r="T3212" s="68">
        <f>T1783/1.18-T2498*'Mark Up Validation'!$S$105</f>
        <v>0</v>
      </c>
      <c r="U3212" s="106"/>
      <c r="V3212" s="68">
        <f>V1783/1.18-V2498*'Mark Up Validation'!$S$105</f>
        <v>0</v>
      </c>
      <c r="W3212" s="106"/>
      <c r="X3212" s="68">
        <f>X1783/1.18-X2498*'Mark Up Validation'!$S$105</f>
        <v>0</v>
      </c>
      <c r="Y3212" s="106"/>
      <c r="Z3212" s="68">
        <f>Z1783/1.18-Z2498*'Mark Up Validation'!$S$105</f>
        <v>0</v>
      </c>
      <c r="AA3212" s="106"/>
      <c r="AB3212" s="68">
        <f>AB1783/1.18-AB2498*'Mark Up Validation'!$S$105</f>
        <v>0</v>
      </c>
      <c r="AC3212" s="106"/>
      <c r="AD3212" s="68">
        <f>AD1783/1.18-AD2498*'Mark Up Validation'!$S$105</f>
        <v>0</v>
      </c>
      <c r="AE3212" s="106"/>
      <c r="AF3212" s="129">
        <f>SUM(T3212,V3212,X3212,Z3212,AB3212,AD3212)</f>
        <v>0</v>
      </c>
      <c r="AG3212" s="106"/>
      <c r="AH3212" s="130">
        <f>SUM(AF3212,R3212)</f>
        <v>0</v>
      </c>
      <c r="AI3212" s="106"/>
      <c r="AJ3212" s="65"/>
      <c r="AV3212" s="56"/>
    </row>
    <row r="3213" spans="1:48" ht="12.75" customHeight="1" outlineLevel="2" thickBot="1">
      <c r="B3213" s="82"/>
      <c r="C3213" s="1234"/>
      <c r="D3213" s="1234"/>
      <c r="E3213" s="84" t="str">
        <f>'Terms and Turnovers'!$T$12</f>
        <v>ORIGINALS</v>
      </c>
      <c r="F3213" s="68">
        <f>F1784/1.18-F2499*'Mark Up Validation'!$M$105</f>
        <v>0</v>
      </c>
      <c r="G3213" s="728"/>
      <c r="H3213" s="68">
        <f>H1784/1.18-H2499*'Mark Up Validation'!$M$105</f>
        <v>0</v>
      </c>
      <c r="I3213" s="728"/>
      <c r="J3213" s="68">
        <f>J1784/1.18-J2499*'Mark Up Validation'!$M$105</f>
        <v>0</v>
      </c>
      <c r="K3213" s="728"/>
      <c r="L3213" s="68">
        <f>L1784/1.18-L2499*'Mark Up Validation'!$M$105</f>
        <v>0</v>
      </c>
      <c r="M3213" s="728"/>
      <c r="N3213" s="68">
        <f>N1784/1.18-N2499*'Mark Up Validation'!$M$105</f>
        <v>0</v>
      </c>
      <c r="O3213" s="728"/>
      <c r="P3213" s="68">
        <f>P1784/1.18-P2499*'Mark Up Validation'!$M$105</f>
        <v>0</v>
      </c>
      <c r="Q3213" s="728"/>
      <c r="R3213" s="132">
        <f>SUM(F3213,H3213,J3213,L3213,N3213,P3213)</f>
        <v>0</v>
      </c>
      <c r="S3213" s="728"/>
      <c r="T3213" s="68">
        <f>T1784/1.18-T2499*'Mark Up Validation'!$S$105</f>
        <v>0</v>
      </c>
      <c r="U3213" s="728"/>
      <c r="V3213" s="68">
        <f>V1784/1.18-V2499*'Mark Up Validation'!$S$105</f>
        <v>0</v>
      </c>
      <c r="W3213" s="728"/>
      <c r="X3213" s="68">
        <f>X1784/1.18-X2499*'Mark Up Validation'!$S$105</f>
        <v>0</v>
      </c>
      <c r="Y3213" s="728"/>
      <c r="Z3213" s="68">
        <f>Z1784/1.18-Z2499*'Mark Up Validation'!$S$105</f>
        <v>0</v>
      </c>
      <c r="AA3213" s="728"/>
      <c r="AB3213" s="68">
        <f>AB1784/1.18-AB2499*'Mark Up Validation'!$S$105</f>
        <v>0</v>
      </c>
      <c r="AC3213" s="728"/>
      <c r="AD3213" s="68">
        <f>AD1784/1.18-AD2499*'Mark Up Validation'!$S$105</f>
        <v>0</v>
      </c>
      <c r="AE3213" s="728"/>
      <c r="AF3213" s="132">
        <f>SUM(T3213,V3213,X3213,Z3213,AB3213,AD3213)</f>
        <v>0</v>
      </c>
      <c r="AG3213" s="728"/>
      <c r="AH3213" s="133">
        <f>SUM(AF3213,R3213)</f>
        <v>0</v>
      </c>
      <c r="AI3213" s="728"/>
      <c r="AJ3213" s="65"/>
      <c r="AV3213" s="56"/>
    </row>
    <row r="3214" spans="1:48" ht="12.75" customHeight="1" outlineLevel="2" thickBot="1">
      <c r="B3214" s="82"/>
      <c r="C3214" s="1234"/>
      <c r="D3214" s="1234"/>
      <c r="E3214" s="84" t="str">
        <f>'Terms and Turnovers'!$AD$12</f>
        <v>ACCESSORIES</v>
      </c>
      <c r="F3214" s="68">
        <f>F1785/1.18-F2500*'Mark Up Validation'!$M$105</f>
        <v>0</v>
      </c>
      <c r="G3214" s="106"/>
      <c r="H3214" s="68">
        <f>H1785/1.18-H2500*'Mark Up Validation'!$M$105</f>
        <v>0</v>
      </c>
      <c r="I3214" s="106"/>
      <c r="J3214" s="68">
        <f>J1785/1.18-J2500*'Mark Up Validation'!$M$105</f>
        <v>0</v>
      </c>
      <c r="K3214" s="106"/>
      <c r="L3214" s="68">
        <f>L1785/1.18-L2500*'Mark Up Validation'!$M$105</f>
        <v>0</v>
      </c>
      <c r="M3214" s="106"/>
      <c r="N3214" s="68">
        <f>N1785/1.18-N2500*'Mark Up Validation'!$M$105</f>
        <v>0</v>
      </c>
      <c r="O3214" s="106"/>
      <c r="P3214" s="68">
        <f>P1785/1.18-P2500*'Mark Up Validation'!$M$105</f>
        <v>0</v>
      </c>
      <c r="Q3214" s="728"/>
      <c r="R3214" s="132">
        <f>SUM(F3214,H3214,J3214,L3214,N3214,P3214)</f>
        <v>0</v>
      </c>
      <c r="S3214" s="728"/>
      <c r="T3214" s="68">
        <f>T1785/1.18-T2500*'Mark Up Validation'!$S$105</f>
        <v>0</v>
      </c>
      <c r="U3214" s="728"/>
      <c r="V3214" s="68">
        <f>V1785/1.18-V2500*'Mark Up Validation'!$S$105</f>
        <v>0</v>
      </c>
      <c r="W3214" s="728"/>
      <c r="X3214" s="68">
        <f>X1785/1.18-X2500*'Mark Up Validation'!$S$105</f>
        <v>0</v>
      </c>
      <c r="Y3214" s="728"/>
      <c r="Z3214" s="68">
        <f>Z1785/1.18-Z2500*'Mark Up Validation'!$S$105</f>
        <v>0</v>
      </c>
      <c r="AA3214" s="728"/>
      <c r="AB3214" s="68">
        <f>AB1785/1.18-AB2500*'Mark Up Validation'!$S$105</f>
        <v>0</v>
      </c>
      <c r="AC3214" s="728"/>
      <c r="AD3214" s="68">
        <f>AD1785/1.18-AD2500*'Mark Up Validation'!$S$105</f>
        <v>0</v>
      </c>
      <c r="AE3214" s="728"/>
      <c r="AF3214" s="132">
        <f>SUM(T3214,V3214,X3214,Z3214,AB3214,AD3214)</f>
        <v>0</v>
      </c>
      <c r="AG3214" s="728"/>
      <c r="AH3214" s="133">
        <f>SUM(AF3214,R3214)</f>
        <v>0</v>
      </c>
      <c r="AI3214" s="728"/>
      <c r="AJ3214" s="65"/>
      <c r="AV3214" s="56"/>
    </row>
    <row r="3215" spans="1:48" ht="12.75" customHeight="1" outlineLevel="2" thickBot="1">
      <c r="B3215" s="82"/>
      <c r="C3215" s="1234"/>
      <c r="D3215" s="1234"/>
      <c r="E3215" s="84">
        <f>'Terms and Turnovers'!$AN$12</f>
        <v>0</v>
      </c>
      <c r="F3215" s="68">
        <f>F1786/1.18-F2501*'Mark Up Validation'!$M$105</f>
        <v>0</v>
      </c>
      <c r="G3215" s="728"/>
      <c r="H3215" s="68">
        <f>H1786/1.18-H2501*'Mark Up Validation'!$M$105</f>
        <v>0</v>
      </c>
      <c r="I3215" s="728"/>
      <c r="J3215" s="68">
        <f>J1786/1.18-J2501*'Mark Up Validation'!$M$105</f>
        <v>0</v>
      </c>
      <c r="K3215" s="728"/>
      <c r="L3215" s="68">
        <f>L1786/1.18-L2501*'Mark Up Validation'!$M$105</f>
        <v>0</v>
      </c>
      <c r="M3215" s="728"/>
      <c r="N3215" s="68">
        <f>N1786/1.18-N2501*'Mark Up Validation'!$M$105</f>
        <v>0</v>
      </c>
      <c r="O3215" s="728"/>
      <c r="P3215" s="68">
        <f>P1786/1.18-P2501*'Mark Up Validation'!$M$105</f>
        <v>0</v>
      </c>
      <c r="Q3215" s="728"/>
      <c r="R3215" s="132">
        <f>SUM(F3215,H3215,J3215,L3215,N3215,P3215)</f>
        <v>0</v>
      </c>
      <c r="S3215" s="728"/>
      <c r="T3215" s="68">
        <f>T1786/1.18-T2501*'Mark Up Validation'!$S$105</f>
        <v>0</v>
      </c>
      <c r="U3215" s="728"/>
      <c r="V3215" s="68">
        <f>V1786/1.18-V2501*'Mark Up Validation'!$S$105</f>
        <v>0</v>
      </c>
      <c r="W3215" s="728"/>
      <c r="X3215" s="68">
        <f>X1786/1.18-X2501*'Mark Up Validation'!$S$105</f>
        <v>0</v>
      </c>
      <c r="Y3215" s="728"/>
      <c r="Z3215" s="68">
        <f>Z1786/1.18-Z2501*'Mark Up Validation'!$S$105</f>
        <v>0</v>
      </c>
      <c r="AA3215" s="728"/>
      <c r="AB3215" s="68">
        <f>AB1786/1.18-AB2501*'Mark Up Validation'!$S$105</f>
        <v>0</v>
      </c>
      <c r="AC3215" s="728"/>
      <c r="AD3215" s="68">
        <f>AD1786/1.18-AD2501*'Mark Up Validation'!$S$105</f>
        <v>0</v>
      </c>
      <c r="AE3215" s="728"/>
      <c r="AF3215" s="132">
        <f>SUM(T3215,V3215,X3215,Z3215,AB3215,AD3215)</f>
        <v>0</v>
      </c>
      <c r="AG3215" s="728"/>
      <c r="AH3215" s="133">
        <f>SUM(AF3215,R3215)</f>
        <v>0</v>
      </c>
      <c r="AI3215" s="728"/>
      <c r="AJ3215" s="65"/>
      <c r="AV3215" s="56"/>
    </row>
    <row r="3216" spans="1:48" ht="13.5" customHeight="1" outlineLevel="2" thickBot="1">
      <c r="B3216" s="82"/>
      <c r="C3216" s="1235"/>
      <c r="D3216" s="1235"/>
      <c r="E3216" s="85">
        <f>'Terms and Turnovers'!$AX$12</f>
        <v>0</v>
      </c>
      <c r="F3216" s="68">
        <f>F1787/1.18-F2502*'Mark Up Validation'!$M$105</f>
        <v>0</v>
      </c>
      <c r="G3216" s="106"/>
      <c r="H3216" s="68">
        <f>H1787/1.18-H2502*'Mark Up Validation'!$M$105</f>
        <v>0</v>
      </c>
      <c r="I3216" s="106"/>
      <c r="J3216" s="68">
        <f>J1787/1.18-J2502*'Mark Up Validation'!$M$105</f>
        <v>0</v>
      </c>
      <c r="K3216" s="106"/>
      <c r="L3216" s="68">
        <f>L1787/1.18-L2502*'Mark Up Validation'!$M$105</f>
        <v>0</v>
      </c>
      <c r="M3216" s="106"/>
      <c r="N3216" s="68">
        <f>N1787/1.18-N2502*'Mark Up Validation'!$M$105</f>
        <v>0</v>
      </c>
      <c r="O3216" s="106"/>
      <c r="P3216" s="68">
        <f>P1787/1.18-P2502*'Mark Up Validation'!$M$105</f>
        <v>0</v>
      </c>
      <c r="Q3216" s="107"/>
      <c r="R3216" s="135">
        <f>SUM(F3216,H3216,J3216,L3216,N3216,P3216)</f>
        <v>0</v>
      </c>
      <c r="S3216" s="107"/>
      <c r="T3216" s="68">
        <f>T1787/1.18-T2502*'Mark Up Validation'!$S$105</f>
        <v>0</v>
      </c>
      <c r="U3216" s="107"/>
      <c r="V3216" s="68">
        <f>V1787/1.18-V2502*'Mark Up Validation'!$S$105</f>
        <v>0</v>
      </c>
      <c r="W3216" s="107"/>
      <c r="X3216" s="68">
        <f>X1787/1.18-X2502*'Mark Up Validation'!$S$105</f>
        <v>0</v>
      </c>
      <c r="Y3216" s="107"/>
      <c r="Z3216" s="68">
        <f>Z1787/1.18-Z2502*'Mark Up Validation'!$S$105</f>
        <v>0</v>
      </c>
      <c r="AA3216" s="107"/>
      <c r="AB3216" s="68">
        <f>AB1787/1.18-AB2502*'Mark Up Validation'!$S$105</f>
        <v>0</v>
      </c>
      <c r="AC3216" s="107"/>
      <c r="AD3216" s="68">
        <f>AD1787/1.18-AD2502*'Mark Up Validation'!$S$105</f>
        <v>0</v>
      </c>
      <c r="AE3216" s="107"/>
      <c r="AF3216" s="135">
        <f>SUM(T3216,V3216,X3216,Z3216,AB3216,AD3216)</f>
        <v>0</v>
      </c>
      <c r="AG3216" s="107"/>
      <c r="AH3216" s="136">
        <f>SUM(AF3216,R3216)</f>
        <v>0</v>
      </c>
      <c r="AI3216" s="107"/>
      <c r="AJ3216" s="65"/>
      <c r="AV3216" s="56"/>
    </row>
    <row r="3217" spans="1:48" ht="13.5" customHeight="1" outlineLevel="2">
      <c r="B3217" s="82"/>
      <c r="C3217" s="425"/>
      <c r="D3217" s="425"/>
      <c r="E3217" s="634"/>
      <c r="F3217" s="635"/>
      <c r="G3217" s="428"/>
      <c r="H3217" s="635"/>
      <c r="I3217" s="428"/>
      <c r="J3217" s="635"/>
      <c r="K3217" s="636"/>
      <c r="L3217" s="635"/>
      <c r="M3217" s="636"/>
      <c r="N3217" s="635"/>
      <c r="O3217" s="636"/>
      <c r="P3217" s="635"/>
      <c r="Q3217" s="636"/>
      <c r="R3217" s="637"/>
      <c r="S3217" s="698">
        <f>SUM(R2497:R2501)/1.18-(SUM(R3212:R3216)*'Mark Up Validation'!$M$105)</f>
        <v>0</v>
      </c>
      <c r="T3217" s="635"/>
      <c r="U3217" s="636"/>
      <c r="V3217" s="635"/>
      <c r="W3217" s="636"/>
      <c r="X3217" s="635"/>
      <c r="Y3217" s="636"/>
      <c r="Z3217" s="635"/>
      <c r="AA3217" s="636"/>
      <c r="AB3217" s="635"/>
      <c r="AC3217" s="636"/>
      <c r="AD3217" s="635"/>
      <c r="AE3217" s="636"/>
      <c r="AF3217" s="637"/>
      <c r="AG3217" s="698">
        <f>SUM(AF2497:AF2501)/1.18-SUM(AF3212:AF3216)*'Mark Up Validation'!$M$175</f>
        <v>0</v>
      </c>
      <c r="AH3217" s="638"/>
      <c r="AI3217" s="698">
        <f>SUM(AH2497:AH2501)/1.18-SUM(AH3212:AH3216)*'Mark Up Validation'!$M$175</f>
        <v>0</v>
      </c>
      <c r="AJ3217" s="65"/>
      <c r="AV3217" s="56"/>
    </row>
    <row r="3218" spans="1:48" ht="13.5" customHeight="1" outlineLevel="2" thickBot="1">
      <c r="A3218" s="119"/>
      <c r="B3218" s="82"/>
      <c r="C3218" s="1228" t="s">
        <v>539</v>
      </c>
      <c r="D3218" s="1229"/>
      <c r="E3218" s="699"/>
      <c r="F3218" s="700">
        <f>SUM(F3212:F3216)</f>
        <v>0</v>
      </c>
      <c r="G3218" s="701"/>
      <c r="H3218" s="700">
        <f>SUM(H3212:H3216)</f>
        <v>0</v>
      </c>
      <c r="I3218" s="701"/>
      <c r="J3218" s="700">
        <f>SUM(J3212:J3216)</f>
        <v>0</v>
      </c>
      <c r="K3218" s="702"/>
      <c r="L3218" s="700">
        <f>SUM(L3212:L3216)</f>
        <v>0</v>
      </c>
      <c r="M3218" s="702"/>
      <c r="N3218" s="700">
        <f>SUM(N3212:N3216)</f>
        <v>0</v>
      </c>
      <c r="O3218" s="702"/>
      <c r="P3218" s="700">
        <f>SUM(P3212:P3216)</f>
        <v>0</v>
      </c>
      <c r="Q3218" s="702"/>
      <c r="R3218" s="703"/>
      <c r="S3218" s="729">
        <f>IF(S3217&gt;0,S3217/(SUM(R2497:R2501)/1.18),0)</f>
        <v>0</v>
      </c>
      <c r="T3218" s="700">
        <f>SUM(T3212:T3216)</f>
        <v>0</v>
      </c>
      <c r="U3218" s="702"/>
      <c r="V3218" s="700">
        <f>SUM(V3212:V3216)</f>
        <v>0</v>
      </c>
      <c r="W3218" s="702"/>
      <c r="X3218" s="700">
        <f>SUM(X3212:X3216)</f>
        <v>0</v>
      </c>
      <c r="Y3218" s="702"/>
      <c r="Z3218" s="700">
        <f>SUM(Z3212:Z3216)</f>
        <v>0</v>
      </c>
      <c r="AA3218" s="702"/>
      <c r="AB3218" s="700">
        <f>SUM(AB3212:AB3216)</f>
        <v>0</v>
      </c>
      <c r="AC3218" s="702"/>
      <c r="AD3218" s="700">
        <f>SUM(AD3212:AD3216)</f>
        <v>0</v>
      </c>
      <c r="AE3218" s="702"/>
      <c r="AF3218" s="705"/>
      <c r="AG3218" s="729">
        <f>IF(AG3217&gt;0,AG3217/(SUM(AF2497:AF2501)/1.18),0)</f>
        <v>0</v>
      </c>
      <c r="AH3218" s="706"/>
      <c r="AI3218" s="729">
        <f>IF(AI3217&gt;0,AI3217/(SUM(AH2497:AH2501)/1.18),0)</f>
        <v>0</v>
      </c>
      <c r="AJ3218" s="707"/>
      <c r="AV3218" s="56"/>
    </row>
    <row r="3219" spans="1:48" ht="12.75" customHeight="1" outlineLevel="2" thickBot="1">
      <c r="B3219" s="82">
        <f>B3212+1</f>
        <v>49</v>
      </c>
      <c r="C3219" s="1233">
        <f>C349</f>
        <v>0</v>
      </c>
      <c r="D3219" s="1233">
        <f>D349</f>
        <v>0</v>
      </c>
      <c r="E3219" s="83" t="str">
        <f>'Terms and Turnovers'!$J$12</f>
        <v>FLIP-FLOPS</v>
      </c>
      <c r="F3219" s="68">
        <f>F1790/1.18-F2505*'Mark Up Validation'!$M$105</f>
        <v>0</v>
      </c>
      <c r="G3219" s="106"/>
      <c r="H3219" s="68">
        <f>H1790/1.18-H2505*'Mark Up Validation'!$M$105</f>
        <v>0</v>
      </c>
      <c r="I3219" s="106"/>
      <c r="J3219" s="68">
        <f>J1790/1.18-J2505*'Mark Up Validation'!$M$105</f>
        <v>0</v>
      </c>
      <c r="K3219" s="106"/>
      <c r="L3219" s="68">
        <f>L1790/1.18-L2505*'Mark Up Validation'!$M$105</f>
        <v>0</v>
      </c>
      <c r="M3219" s="106"/>
      <c r="N3219" s="68">
        <f>N1790/1.18-N2505*'Mark Up Validation'!$M$105</f>
        <v>0</v>
      </c>
      <c r="O3219" s="106"/>
      <c r="P3219" s="68">
        <f>P1790/1.18-P2505*'Mark Up Validation'!$M$105</f>
        <v>0</v>
      </c>
      <c r="Q3219" s="106"/>
      <c r="R3219" s="129">
        <f>SUM(F3219,H3219,J3219,L3219,N3219,P3219)</f>
        <v>0</v>
      </c>
      <c r="S3219" s="106"/>
      <c r="T3219" s="68">
        <f>T1790/1.18-T2505*'Mark Up Validation'!$S$105</f>
        <v>0</v>
      </c>
      <c r="U3219" s="106"/>
      <c r="V3219" s="68">
        <f>V1790/1.18-V2505*'Mark Up Validation'!$S$105</f>
        <v>0</v>
      </c>
      <c r="W3219" s="106"/>
      <c r="X3219" s="68">
        <f>X1790/1.18-X2505*'Mark Up Validation'!$S$105</f>
        <v>0</v>
      </c>
      <c r="Y3219" s="106"/>
      <c r="Z3219" s="68">
        <f>Z1790/1.18-Z2505*'Mark Up Validation'!$S$105</f>
        <v>0</v>
      </c>
      <c r="AA3219" s="106"/>
      <c r="AB3219" s="68">
        <f>AB1790/1.18-AB2505*'Mark Up Validation'!$S$105</f>
        <v>0</v>
      </c>
      <c r="AC3219" s="106"/>
      <c r="AD3219" s="68">
        <f>AD1790/1.18-AD2505*'Mark Up Validation'!$S$105</f>
        <v>0</v>
      </c>
      <c r="AE3219" s="106"/>
      <c r="AF3219" s="129">
        <f>SUM(T3219,V3219,X3219,Z3219,AB3219,AD3219)</f>
        <v>0</v>
      </c>
      <c r="AG3219" s="106"/>
      <c r="AH3219" s="130">
        <f>SUM(AF3219,R3219)</f>
        <v>0</v>
      </c>
      <c r="AI3219" s="106"/>
      <c r="AJ3219" s="65"/>
      <c r="AV3219" s="56"/>
    </row>
    <row r="3220" spans="1:48" ht="12.75" customHeight="1" outlineLevel="2" thickBot="1">
      <c r="B3220" s="82"/>
      <c r="C3220" s="1234"/>
      <c r="D3220" s="1234"/>
      <c r="E3220" s="84" t="str">
        <f>'Terms and Turnovers'!$T$12</f>
        <v>ORIGINALS</v>
      </c>
      <c r="F3220" s="68">
        <f>F1791/1.18-F2506*'Mark Up Validation'!$M$105</f>
        <v>0</v>
      </c>
      <c r="G3220" s="728"/>
      <c r="H3220" s="68">
        <f>H1791/1.18-H2506*'Mark Up Validation'!$M$105</f>
        <v>0</v>
      </c>
      <c r="I3220" s="728"/>
      <c r="J3220" s="68">
        <f>J1791/1.18-J2506*'Mark Up Validation'!$M$105</f>
        <v>0</v>
      </c>
      <c r="K3220" s="728"/>
      <c r="L3220" s="68">
        <f>L1791/1.18-L2506*'Mark Up Validation'!$M$105</f>
        <v>0</v>
      </c>
      <c r="M3220" s="728"/>
      <c r="N3220" s="68">
        <f>N1791/1.18-N2506*'Mark Up Validation'!$M$105</f>
        <v>0</v>
      </c>
      <c r="O3220" s="728"/>
      <c r="P3220" s="68">
        <f>P1791/1.18-P2506*'Mark Up Validation'!$M$105</f>
        <v>0</v>
      </c>
      <c r="Q3220" s="728"/>
      <c r="R3220" s="132">
        <f>SUM(F3220,H3220,J3220,L3220,N3220,P3220)</f>
        <v>0</v>
      </c>
      <c r="S3220" s="728"/>
      <c r="T3220" s="68">
        <f>T1791/1.18-T2506*'Mark Up Validation'!$S$105</f>
        <v>0</v>
      </c>
      <c r="U3220" s="728"/>
      <c r="V3220" s="68">
        <f>V1791/1.18-V2506*'Mark Up Validation'!$S$105</f>
        <v>0</v>
      </c>
      <c r="W3220" s="728"/>
      <c r="X3220" s="68">
        <f>X1791/1.18-X2506*'Mark Up Validation'!$S$105</f>
        <v>0</v>
      </c>
      <c r="Y3220" s="728"/>
      <c r="Z3220" s="68">
        <f>Z1791/1.18-Z2506*'Mark Up Validation'!$S$105</f>
        <v>0</v>
      </c>
      <c r="AA3220" s="728"/>
      <c r="AB3220" s="68">
        <f>AB1791/1.18-AB2506*'Mark Up Validation'!$S$105</f>
        <v>0</v>
      </c>
      <c r="AC3220" s="728"/>
      <c r="AD3220" s="68">
        <f>AD1791/1.18-AD2506*'Mark Up Validation'!$S$105</f>
        <v>0</v>
      </c>
      <c r="AE3220" s="728"/>
      <c r="AF3220" s="132">
        <f>SUM(T3220,V3220,X3220,Z3220,AB3220,AD3220)</f>
        <v>0</v>
      </c>
      <c r="AG3220" s="728"/>
      <c r="AH3220" s="133">
        <f>SUM(AF3220,R3220)</f>
        <v>0</v>
      </c>
      <c r="AI3220" s="728"/>
      <c r="AJ3220" s="65"/>
      <c r="AV3220" s="56"/>
    </row>
    <row r="3221" spans="1:48" ht="12.75" customHeight="1" outlineLevel="2" thickBot="1">
      <c r="B3221" s="82"/>
      <c r="C3221" s="1234"/>
      <c r="D3221" s="1234"/>
      <c r="E3221" s="84" t="str">
        <f>'Terms and Turnovers'!$AD$12</f>
        <v>ACCESSORIES</v>
      </c>
      <c r="F3221" s="68">
        <f>F1792/1.18-F2507*'Mark Up Validation'!$M$105</f>
        <v>0</v>
      </c>
      <c r="G3221" s="106"/>
      <c r="H3221" s="68">
        <f>H1792/1.18-H2507*'Mark Up Validation'!$M$105</f>
        <v>0</v>
      </c>
      <c r="I3221" s="106"/>
      <c r="J3221" s="68">
        <f>J1792/1.18-J2507*'Mark Up Validation'!$M$105</f>
        <v>0</v>
      </c>
      <c r="K3221" s="106"/>
      <c r="L3221" s="68">
        <f>L1792/1.18-L2507*'Mark Up Validation'!$M$105</f>
        <v>0</v>
      </c>
      <c r="M3221" s="106"/>
      <c r="N3221" s="68">
        <f>N1792/1.18-N2507*'Mark Up Validation'!$M$105</f>
        <v>0</v>
      </c>
      <c r="O3221" s="106"/>
      <c r="P3221" s="68">
        <f>P1792/1.18-P2507*'Mark Up Validation'!$M$105</f>
        <v>0</v>
      </c>
      <c r="Q3221" s="728"/>
      <c r="R3221" s="132">
        <f>SUM(F3221,H3221,J3221,L3221,N3221,P3221)</f>
        <v>0</v>
      </c>
      <c r="S3221" s="728"/>
      <c r="T3221" s="68">
        <f>T1792/1.18-T2507*'Mark Up Validation'!$S$105</f>
        <v>0</v>
      </c>
      <c r="U3221" s="728"/>
      <c r="V3221" s="68">
        <f>V1792/1.18-V2507*'Mark Up Validation'!$S$105</f>
        <v>0</v>
      </c>
      <c r="W3221" s="728"/>
      <c r="X3221" s="68">
        <f>X1792/1.18-X2507*'Mark Up Validation'!$S$105</f>
        <v>0</v>
      </c>
      <c r="Y3221" s="728"/>
      <c r="Z3221" s="68">
        <f>Z1792/1.18-Z2507*'Mark Up Validation'!$S$105</f>
        <v>0</v>
      </c>
      <c r="AA3221" s="728"/>
      <c r="AB3221" s="68">
        <f>AB1792/1.18-AB2507*'Mark Up Validation'!$S$105</f>
        <v>0</v>
      </c>
      <c r="AC3221" s="728"/>
      <c r="AD3221" s="68">
        <f>AD1792/1.18-AD2507*'Mark Up Validation'!$S$105</f>
        <v>0</v>
      </c>
      <c r="AE3221" s="728"/>
      <c r="AF3221" s="132">
        <f>SUM(T3221,V3221,X3221,Z3221,AB3221,AD3221)</f>
        <v>0</v>
      </c>
      <c r="AG3221" s="728"/>
      <c r="AH3221" s="133">
        <f>SUM(AF3221,R3221)</f>
        <v>0</v>
      </c>
      <c r="AI3221" s="728"/>
      <c r="AJ3221" s="65"/>
      <c r="AV3221" s="56"/>
    </row>
    <row r="3222" spans="1:48" ht="12.75" customHeight="1" outlineLevel="2" thickBot="1">
      <c r="B3222" s="82"/>
      <c r="C3222" s="1234"/>
      <c r="D3222" s="1234"/>
      <c r="E3222" s="84">
        <f>'Terms and Turnovers'!$AN$12</f>
        <v>0</v>
      </c>
      <c r="F3222" s="68">
        <f>F1793/1.18-F2508*'Mark Up Validation'!$M$105</f>
        <v>0</v>
      </c>
      <c r="G3222" s="728"/>
      <c r="H3222" s="68">
        <f>H1793/1.18-H2508*'Mark Up Validation'!$M$105</f>
        <v>0</v>
      </c>
      <c r="I3222" s="728"/>
      <c r="J3222" s="68">
        <f>J1793/1.18-J2508*'Mark Up Validation'!$M$105</f>
        <v>0</v>
      </c>
      <c r="K3222" s="728"/>
      <c r="L3222" s="68">
        <f>L1793/1.18-L2508*'Mark Up Validation'!$M$105</f>
        <v>0</v>
      </c>
      <c r="M3222" s="728"/>
      <c r="N3222" s="68">
        <f>N1793/1.18-N2508*'Mark Up Validation'!$M$105</f>
        <v>0</v>
      </c>
      <c r="O3222" s="728"/>
      <c r="P3222" s="68">
        <f>P1793/1.18-P2508*'Mark Up Validation'!$M$105</f>
        <v>0</v>
      </c>
      <c r="Q3222" s="728"/>
      <c r="R3222" s="132">
        <f>SUM(F3222,H3222,J3222,L3222,N3222,P3222)</f>
        <v>0</v>
      </c>
      <c r="S3222" s="728"/>
      <c r="T3222" s="68">
        <f>T1793/1.18-T2508*'Mark Up Validation'!$S$105</f>
        <v>0</v>
      </c>
      <c r="U3222" s="728"/>
      <c r="V3222" s="68">
        <f>V1793/1.18-V2508*'Mark Up Validation'!$S$105</f>
        <v>0</v>
      </c>
      <c r="W3222" s="728"/>
      <c r="X3222" s="68">
        <f>X1793/1.18-X2508*'Mark Up Validation'!$S$105</f>
        <v>0</v>
      </c>
      <c r="Y3222" s="728"/>
      <c r="Z3222" s="68">
        <f>Z1793/1.18-Z2508*'Mark Up Validation'!$S$105</f>
        <v>0</v>
      </c>
      <c r="AA3222" s="728"/>
      <c r="AB3222" s="68">
        <f>AB1793/1.18-AB2508*'Mark Up Validation'!$S$105</f>
        <v>0</v>
      </c>
      <c r="AC3222" s="728"/>
      <c r="AD3222" s="68">
        <f>AD1793/1.18-AD2508*'Mark Up Validation'!$S$105</f>
        <v>0</v>
      </c>
      <c r="AE3222" s="728"/>
      <c r="AF3222" s="132">
        <f>SUM(T3222,V3222,X3222,Z3222,AB3222,AD3222)</f>
        <v>0</v>
      </c>
      <c r="AG3222" s="728"/>
      <c r="AH3222" s="133">
        <f>SUM(AF3222,R3222)</f>
        <v>0</v>
      </c>
      <c r="AI3222" s="728"/>
      <c r="AJ3222" s="65"/>
      <c r="AV3222" s="56"/>
    </row>
    <row r="3223" spans="1:48" ht="13.5" customHeight="1" outlineLevel="2" thickBot="1">
      <c r="B3223" s="82"/>
      <c r="C3223" s="1235"/>
      <c r="D3223" s="1235"/>
      <c r="E3223" s="85">
        <f>'Terms and Turnovers'!$AX$12</f>
        <v>0</v>
      </c>
      <c r="F3223" s="68">
        <f>F1794/1.18-F2509*'Mark Up Validation'!$M$105</f>
        <v>0</v>
      </c>
      <c r="G3223" s="106"/>
      <c r="H3223" s="68">
        <f>H1794/1.18-H2509*'Mark Up Validation'!$M$105</f>
        <v>0</v>
      </c>
      <c r="I3223" s="106"/>
      <c r="J3223" s="68">
        <f>J1794/1.18-J2509*'Mark Up Validation'!$M$105</f>
        <v>0</v>
      </c>
      <c r="K3223" s="106"/>
      <c r="L3223" s="68">
        <f>L1794/1.18-L2509*'Mark Up Validation'!$M$105</f>
        <v>0</v>
      </c>
      <c r="M3223" s="106"/>
      <c r="N3223" s="68">
        <f>N1794/1.18-N2509*'Mark Up Validation'!$M$105</f>
        <v>0</v>
      </c>
      <c r="O3223" s="106"/>
      <c r="P3223" s="68">
        <f>P1794/1.18-P2509*'Mark Up Validation'!$M$105</f>
        <v>0</v>
      </c>
      <c r="Q3223" s="107"/>
      <c r="R3223" s="135">
        <f>SUM(F3223,H3223,J3223,L3223,N3223,P3223)</f>
        <v>0</v>
      </c>
      <c r="S3223" s="107"/>
      <c r="T3223" s="68">
        <f>T1794/1.18-T2509*'Mark Up Validation'!$S$105</f>
        <v>0</v>
      </c>
      <c r="U3223" s="107"/>
      <c r="V3223" s="68">
        <f>V1794/1.18-V2509*'Mark Up Validation'!$S$105</f>
        <v>0</v>
      </c>
      <c r="W3223" s="107"/>
      <c r="X3223" s="68">
        <f>X1794/1.18-X2509*'Mark Up Validation'!$S$105</f>
        <v>0</v>
      </c>
      <c r="Y3223" s="107"/>
      <c r="Z3223" s="68">
        <f>Z1794/1.18-Z2509*'Mark Up Validation'!$S$105</f>
        <v>0</v>
      </c>
      <c r="AA3223" s="107"/>
      <c r="AB3223" s="68">
        <f>AB1794/1.18-AB2509*'Mark Up Validation'!$S$105</f>
        <v>0</v>
      </c>
      <c r="AC3223" s="107"/>
      <c r="AD3223" s="68">
        <f>AD1794/1.18-AD2509*'Mark Up Validation'!$S$105</f>
        <v>0</v>
      </c>
      <c r="AE3223" s="107"/>
      <c r="AF3223" s="135">
        <f>SUM(T3223,V3223,X3223,Z3223,AB3223,AD3223)</f>
        <v>0</v>
      </c>
      <c r="AG3223" s="107"/>
      <c r="AH3223" s="136">
        <f>SUM(AF3223,R3223)</f>
        <v>0</v>
      </c>
      <c r="AI3223" s="107"/>
      <c r="AJ3223" s="65"/>
      <c r="AV3223" s="56"/>
    </row>
    <row r="3224" spans="1:48" ht="13.5" customHeight="1" outlineLevel="2">
      <c r="B3224" s="82"/>
      <c r="C3224" s="425"/>
      <c r="D3224" s="425"/>
      <c r="E3224" s="634"/>
      <c r="F3224" s="635"/>
      <c r="G3224" s="428"/>
      <c r="H3224" s="635"/>
      <c r="I3224" s="428"/>
      <c r="J3224" s="635"/>
      <c r="K3224" s="636"/>
      <c r="L3224" s="635"/>
      <c r="M3224" s="636"/>
      <c r="N3224" s="635"/>
      <c r="O3224" s="636"/>
      <c r="P3224" s="635"/>
      <c r="Q3224" s="636"/>
      <c r="R3224" s="637"/>
      <c r="S3224" s="698">
        <f>SUM(R2504:R2508)/1.18-(SUM(R3219:R3223)*'Mark Up Validation'!$M$105)</f>
        <v>0</v>
      </c>
      <c r="T3224" s="635"/>
      <c r="U3224" s="636"/>
      <c r="V3224" s="635"/>
      <c r="W3224" s="636"/>
      <c r="X3224" s="635"/>
      <c r="Y3224" s="636"/>
      <c r="Z3224" s="635"/>
      <c r="AA3224" s="636"/>
      <c r="AB3224" s="635"/>
      <c r="AC3224" s="636"/>
      <c r="AD3224" s="635"/>
      <c r="AE3224" s="636"/>
      <c r="AF3224" s="637"/>
      <c r="AG3224" s="698">
        <f>SUM(AF2504:AF2508)/1.18-SUM(AF3219:AF3223)*'Mark Up Validation'!$M$175</f>
        <v>0</v>
      </c>
      <c r="AH3224" s="638"/>
      <c r="AI3224" s="698">
        <f>SUM(AH2504:AH2508)/1.18-SUM(AH3219:AH3223)*'Mark Up Validation'!$M$175</f>
        <v>0</v>
      </c>
      <c r="AJ3224" s="65"/>
      <c r="AV3224" s="56"/>
    </row>
    <row r="3225" spans="1:48" ht="13.5" customHeight="1" outlineLevel="2" thickBot="1">
      <c r="A3225" s="119"/>
      <c r="B3225" s="82"/>
      <c r="C3225" s="1228" t="s">
        <v>539</v>
      </c>
      <c r="D3225" s="1229"/>
      <c r="E3225" s="699"/>
      <c r="F3225" s="700">
        <f>SUM(F3219:F3223)</f>
        <v>0</v>
      </c>
      <c r="G3225" s="701"/>
      <c r="H3225" s="700">
        <f>SUM(H3219:H3223)</f>
        <v>0</v>
      </c>
      <c r="I3225" s="701"/>
      <c r="J3225" s="700">
        <f>SUM(J3219:J3223)</f>
        <v>0</v>
      </c>
      <c r="K3225" s="702"/>
      <c r="L3225" s="700">
        <f>SUM(L3219:L3223)</f>
        <v>0</v>
      </c>
      <c r="M3225" s="702"/>
      <c r="N3225" s="700">
        <f>SUM(N3219:N3223)</f>
        <v>0</v>
      </c>
      <c r="O3225" s="702"/>
      <c r="P3225" s="700">
        <f>SUM(P3219:P3223)</f>
        <v>0</v>
      </c>
      <c r="Q3225" s="702"/>
      <c r="R3225" s="703"/>
      <c r="S3225" s="729">
        <f>IF(S3224&gt;0,S3224/(SUM(R2504:R2508)/1.18),0)</f>
        <v>0</v>
      </c>
      <c r="T3225" s="700">
        <f>SUM(T3219:T3223)</f>
        <v>0</v>
      </c>
      <c r="U3225" s="702"/>
      <c r="V3225" s="700">
        <f>SUM(V3219:V3223)</f>
        <v>0</v>
      </c>
      <c r="W3225" s="702"/>
      <c r="X3225" s="700">
        <f>SUM(X3219:X3223)</f>
        <v>0</v>
      </c>
      <c r="Y3225" s="702"/>
      <c r="Z3225" s="700">
        <f>SUM(Z3219:Z3223)</f>
        <v>0</v>
      </c>
      <c r="AA3225" s="702"/>
      <c r="AB3225" s="700">
        <f>SUM(AB3219:AB3223)</f>
        <v>0</v>
      </c>
      <c r="AC3225" s="702"/>
      <c r="AD3225" s="700">
        <f>SUM(AD3219:AD3223)</f>
        <v>0</v>
      </c>
      <c r="AE3225" s="702"/>
      <c r="AF3225" s="705"/>
      <c r="AG3225" s="729">
        <f>IF(AG3224&gt;0,AG3224/(SUM(AF2504:AF2508)/1.18),0)</f>
        <v>0</v>
      </c>
      <c r="AH3225" s="706"/>
      <c r="AI3225" s="729">
        <f>IF(AI3224&gt;0,AI3224/(SUM(AH2504:AH2508)/1.18),0)</f>
        <v>0</v>
      </c>
      <c r="AJ3225" s="707"/>
      <c r="AV3225" s="56"/>
    </row>
    <row r="3226" spans="1:48" ht="12.75" customHeight="1" outlineLevel="2" thickBot="1">
      <c r="B3226" s="82">
        <f>B3219+1</f>
        <v>50</v>
      </c>
      <c r="C3226" s="1233">
        <f>C356</f>
        <v>0</v>
      </c>
      <c r="D3226" s="1233">
        <f>D356</f>
        <v>0</v>
      </c>
      <c r="E3226" s="83" t="str">
        <f>'Terms and Turnovers'!$J$12</f>
        <v>FLIP-FLOPS</v>
      </c>
      <c r="F3226" s="68">
        <f>F1797/1.18-F2512*'Mark Up Validation'!$M$105</f>
        <v>0</v>
      </c>
      <c r="G3226" s="106"/>
      <c r="H3226" s="68">
        <f>H1797/1.18-H2512*'Mark Up Validation'!$M$105</f>
        <v>0</v>
      </c>
      <c r="I3226" s="106"/>
      <c r="J3226" s="68">
        <f>J1797/1.18-J2512*'Mark Up Validation'!$M$105</f>
        <v>0</v>
      </c>
      <c r="K3226" s="106"/>
      <c r="L3226" s="68">
        <f>L1797/1.18-L2512*'Mark Up Validation'!$M$105</f>
        <v>0</v>
      </c>
      <c r="M3226" s="106"/>
      <c r="N3226" s="68">
        <f>N1797/1.18-N2512*'Mark Up Validation'!$M$105</f>
        <v>0</v>
      </c>
      <c r="O3226" s="106"/>
      <c r="P3226" s="68">
        <f>P1797/1.18-P2512*'Mark Up Validation'!$M$105</f>
        <v>0</v>
      </c>
      <c r="Q3226" s="106"/>
      <c r="R3226" s="129">
        <f>SUM(F3226,H3226,J3226,L3226,N3226,P3226)</f>
        <v>0</v>
      </c>
      <c r="S3226" s="106"/>
      <c r="T3226" s="68">
        <f>T1797/1.18-T2512*'Mark Up Validation'!$S$105</f>
        <v>0</v>
      </c>
      <c r="U3226" s="106"/>
      <c r="V3226" s="68">
        <f>V1797/1.18-V2512*'Mark Up Validation'!$S$105</f>
        <v>0</v>
      </c>
      <c r="W3226" s="106"/>
      <c r="X3226" s="68">
        <f>X1797/1.18-X2512*'Mark Up Validation'!$S$105</f>
        <v>0</v>
      </c>
      <c r="Y3226" s="106"/>
      <c r="Z3226" s="68">
        <f>Z1797/1.18-Z2512*'Mark Up Validation'!$S$105</f>
        <v>0</v>
      </c>
      <c r="AA3226" s="106"/>
      <c r="AB3226" s="68">
        <f>AB1797/1.18-AB2512*'Mark Up Validation'!$S$105</f>
        <v>0</v>
      </c>
      <c r="AC3226" s="106"/>
      <c r="AD3226" s="68">
        <f>AD1797/1.18-AD2512*'Mark Up Validation'!$S$105</f>
        <v>0</v>
      </c>
      <c r="AE3226" s="106"/>
      <c r="AF3226" s="129">
        <f>SUM(T3226,V3226,X3226,Z3226,AB3226,AD3226)</f>
        <v>0</v>
      </c>
      <c r="AG3226" s="106"/>
      <c r="AH3226" s="130">
        <f>SUM(AF3226,R3226)</f>
        <v>0</v>
      </c>
      <c r="AI3226" s="106"/>
      <c r="AJ3226" s="65"/>
      <c r="AV3226" s="56"/>
    </row>
    <row r="3227" spans="1:48" ht="12.75" customHeight="1" outlineLevel="2" thickBot="1">
      <c r="B3227" s="82"/>
      <c r="C3227" s="1234"/>
      <c r="D3227" s="1234"/>
      <c r="E3227" s="84" t="str">
        <f>'Terms and Turnovers'!$T$12</f>
        <v>ORIGINALS</v>
      </c>
      <c r="F3227" s="68">
        <f>F1798/1.18-F2513*'Mark Up Validation'!$M$105</f>
        <v>0</v>
      </c>
      <c r="G3227" s="728"/>
      <c r="H3227" s="68">
        <f>H1798/1.18-H2513*'Mark Up Validation'!$M$105</f>
        <v>0</v>
      </c>
      <c r="I3227" s="728"/>
      <c r="J3227" s="68">
        <f>J1798/1.18-J2513*'Mark Up Validation'!$M$105</f>
        <v>0</v>
      </c>
      <c r="K3227" s="728"/>
      <c r="L3227" s="68">
        <f>L1798/1.18-L2513*'Mark Up Validation'!$M$105</f>
        <v>0</v>
      </c>
      <c r="M3227" s="728"/>
      <c r="N3227" s="68">
        <f>N1798/1.18-N2513*'Mark Up Validation'!$M$105</f>
        <v>0</v>
      </c>
      <c r="O3227" s="728"/>
      <c r="P3227" s="68">
        <f>P1798/1.18-P2513*'Mark Up Validation'!$M$105</f>
        <v>0</v>
      </c>
      <c r="Q3227" s="728"/>
      <c r="R3227" s="132">
        <f>SUM(F3227,H3227,J3227,L3227,N3227,P3227)</f>
        <v>0</v>
      </c>
      <c r="S3227" s="728"/>
      <c r="T3227" s="68">
        <f>T1798/1.18-T2513*'Mark Up Validation'!$S$105</f>
        <v>0</v>
      </c>
      <c r="U3227" s="728"/>
      <c r="V3227" s="68">
        <f>V1798/1.18-V2513*'Mark Up Validation'!$S$105</f>
        <v>0</v>
      </c>
      <c r="W3227" s="728"/>
      <c r="X3227" s="68">
        <f>X1798/1.18-X2513*'Mark Up Validation'!$S$105</f>
        <v>0</v>
      </c>
      <c r="Y3227" s="728"/>
      <c r="Z3227" s="68">
        <f>Z1798/1.18-Z2513*'Mark Up Validation'!$S$105</f>
        <v>0</v>
      </c>
      <c r="AA3227" s="728"/>
      <c r="AB3227" s="68">
        <f>AB1798/1.18-AB2513*'Mark Up Validation'!$S$105</f>
        <v>0</v>
      </c>
      <c r="AC3227" s="728"/>
      <c r="AD3227" s="68">
        <f>AD1798/1.18-AD2513*'Mark Up Validation'!$S$105</f>
        <v>0</v>
      </c>
      <c r="AE3227" s="728"/>
      <c r="AF3227" s="132">
        <f>SUM(T3227,V3227,X3227,Z3227,AB3227,AD3227)</f>
        <v>0</v>
      </c>
      <c r="AG3227" s="728"/>
      <c r="AH3227" s="133">
        <f>SUM(AF3227,R3227)</f>
        <v>0</v>
      </c>
      <c r="AI3227" s="728"/>
      <c r="AJ3227" s="65"/>
      <c r="AV3227" s="56"/>
    </row>
    <row r="3228" spans="1:48" ht="12.75" customHeight="1" outlineLevel="2" thickBot="1">
      <c r="B3228" s="82"/>
      <c r="C3228" s="1234"/>
      <c r="D3228" s="1234"/>
      <c r="E3228" s="84" t="str">
        <f>'Terms and Turnovers'!$AD$12</f>
        <v>ACCESSORIES</v>
      </c>
      <c r="F3228" s="68">
        <f>F1799/1.18-F2514*'Mark Up Validation'!$M$105</f>
        <v>0</v>
      </c>
      <c r="G3228" s="106"/>
      <c r="H3228" s="68">
        <f>H1799/1.18-H2514*'Mark Up Validation'!$M$105</f>
        <v>0</v>
      </c>
      <c r="I3228" s="106"/>
      <c r="J3228" s="68">
        <f>J1799/1.18-J2514*'Mark Up Validation'!$M$105</f>
        <v>0</v>
      </c>
      <c r="K3228" s="106"/>
      <c r="L3228" s="68">
        <f>L1799/1.18-L2514*'Mark Up Validation'!$M$105</f>
        <v>0</v>
      </c>
      <c r="M3228" s="106"/>
      <c r="N3228" s="68">
        <f>N1799/1.18-N2514*'Mark Up Validation'!$M$105</f>
        <v>0</v>
      </c>
      <c r="O3228" s="106"/>
      <c r="P3228" s="68">
        <f>P1799/1.18-P2514*'Mark Up Validation'!$M$105</f>
        <v>0</v>
      </c>
      <c r="Q3228" s="728"/>
      <c r="R3228" s="132">
        <f>SUM(F3228,H3228,J3228,L3228,N3228,P3228)</f>
        <v>0</v>
      </c>
      <c r="S3228" s="728"/>
      <c r="T3228" s="68">
        <f>T1799/1.18-T2514*'Mark Up Validation'!$S$105</f>
        <v>0</v>
      </c>
      <c r="U3228" s="728"/>
      <c r="V3228" s="68">
        <f>V1799/1.18-V2514*'Mark Up Validation'!$S$105</f>
        <v>0</v>
      </c>
      <c r="W3228" s="728"/>
      <c r="X3228" s="68">
        <f>X1799/1.18-X2514*'Mark Up Validation'!$S$105</f>
        <v>0</v>
      </c>
      <c r="Y3228" s="728"/>
      <c r="Z3228" s="68">
        <f>Z1799/1.18-Z2514*'Mark Up Validation'!$S$105</f>
        <v>0</v>
      </c>
      <c r="AA3228" s="728"/>
      <c r="AB3228" s="68">
        <f>AB1799/1.18-AB2514*'Mark Up Validation'!$S$105</f>
        <v>0</v>
      </c>
      <c r="AC3228" s="728"/>
      <c r="AD3228" s="68">
        <f>AD1799/1.18-AD2514*'Mark Up Validation'!$S$105</f>
        <v>0</v>
      </c>
      <c r="AE3228" s="728"/>
      <c r="AF3228" s="132">
        <f>SUM(T3228,V3228,X3228,Z3228,AB3228,AD3228)</f>
        <v>0</v>
      </c>
      <c r="AG3228" s="728"/>
      <c r="AH3228" s="133">
        <f>SUM(AF3228,R3228)</f>
        <v>0</v>
      </c>
      <c r="AI3228" s="728"/>
      <c r="AJ3228" s="65"/>
      <c r="AV3228" s="56"/>
    </row>
    <row r="3229" spans="1:48" ht="12.75" customHeight="1" outlineLevel="2" thickBot="1">
      <c r="B3229" s="82"/>
      <c r="C3229" s="1234"/>
      <c r="D3229" s="1234"/>
      <c r="E3229" s="84">
        <f>'Terms and Turnovers'!$AN$12</f>
        <v>0</v>
      </c>
      <c r="F3229" s="68">
        <f>F1800/1.18-F2515*'Mark Up Validation'!$M$105</f>
        <v>0</v>
      </c>
      <c r="G3229" s="728"/>
      <c r="H3229" s="68">
        <f>H1800/1.18-H2515*'Mark Up Validation'!$M$105</f>
        <v>0</v>
      </c>
      <c r="I3229" s="728"/>
      <c r="J3229" s="68">
        <f>J1800/1.18-J2515*'Mark Up Validation'!$M$105</f>
        <v>0</v>
      </c>
      <c r="K3229" s="728"/>
      <c r="L3229" s="68">
        <f>L1800/1.18-L2515*'Mark Up Validation'!$M$105</f>
        <v>0</v>
      </c>
      <c r="M3229" s="728"/>
      <c r="N3229" s="68">
        <f>N1800/1.18-N2515*'Mark Up Validation'!$M$105</f>
        <v>0</v>
      </c>
      <c r="O3229" s="728"/>
      <c r="P3229" s="68">
        <f>P1800/1.18-P2515*'Mark Up Validation'!$M$105</f>
        <v>0</v>
      </c>
      <c r="Q3229" s="728"/>
      <c r="R3229" s="132">
        <f>SUM(F3229,H3229,J3229,L3229,N3229,P3229)</f>
        <v>0</v>
      </c>
      <c r="S3229" s="728"/>
      <c r="T3229" s="68">
        <f>T1800/1.18-T2515*'Mark Up Validation'!$S$105</f>
        <v>0</v>
      </c>
      <c r="U3229" s="728"/>
      <c r="V3229" s="68">
        <f>V1800/1.18-V2515*'Mark Up Validation'!$S$105</f>
        <v>0</v>
      </c>
      <c r="W3229" s="728"/>
      <c r="X3229" s="68">
        <f>X1800/1.18-X2515*'Mark Up Validation'!$S$105</f>
        <v>0</v>
      </c>
      <c r="Y3229" s="728"/>
      <c r="Z3229" s="68">
        <f>Z1800/1.18-Z2515*'Mark Up Validation'!$S$105</f>
        <v>0</v>
      </c>
      <c r="AA3229" s="728"/>
      <c r="AB3229" s="68">
        <f>AB1800/1.18-AB2515*'Mark Up Validation'!$S$105</f>
        <v>0</v>
      </c>
      <c r="AC3229" s="728"/>
      <c r="AD3229" s="68">
        <f>AD1800/1.18-AD2515*'Mark Up Validation'!$S$105</f>
        <v>0</v>
      </c>
      <c r="AE3229" s="728"/>
      <c r="AF3229" s="132">
        <f>SUM(T3229,V3229,X3229,Z3229,AB3229,AD3229)</f>
        <v>0</v>
      </c>
      <c r="AG3229" s="728"/>
      <c r="AH3229" s="133">
        <f>SUM(AF3229,R3229)</f>
        <v>0</v>
      </c>
      <c r="AI3229" s="728"/>
      <c r="AJ3229" s="65"/>
      <c r="AV3229" s="56"/>
    </row>
    <row r="3230" spans="1:48" ht="13.5" customHeight="1" outlineLevel="2" thickBot="1">
      <c r="B3230" s="82"/>
      <c r="C3230" s="1235"/>
      <c r="D3230" s="1235"/>
      <c r="E3230" s="85">
        <f>'Terms and Turnovers'!$AX$12</f>
        <v>0</v>
      </c>
      <c r="F3230" s="68">
        <f>F1801/1.18-F2516*'Mark Up Validation'!$M$105</f>
        <v>0</v>
      </c>
      <c r="G3230" s="106"/>
      <c r="H3230" s="68">
        <f>H1801/1.18-H2516*'Mark Up Validation'!$M$105</f>
        <v>0</v>
      </c>
      <c r="I3230" s="106"/>
      <c r="J3230" s="68">
        <f>J1801/1.18-J2516*'Mark Up Validation'!$M$105</f>
        <v>0</v>
      </c>
      <c r="K3230" s="106"/>
      <c r="L3230" s="68">
        <f>L1801/1.18-L2516*'Mark Up Validation'!$M$105</f>
        <v>0</v>
      </c>
      <c r="M3230" s="106"/>
      <c r="N3230" s="68">
        <f>N1801/1.18-N2516*'Mark Up Validation'!$M$105</f>
        <v>0</v>
      </c>
      <c r="O3230" s="106"/>
      <c r="P3230" s="68">
        <f>P1801/1.18-P2516*'Mark Up Validation'!$M$105</f>
        <v>0</v>
      </c>
      <c r="Q3230" s="107"/>
      <c r="R3230" s="135">
        <f>SUM(F3230,H3230,J3230,L3230,N3230,P3230)</f>
        <v>0</v>
      </c>
      <c r="S3230" s="107"/>
      <c r="T3230" s="68">
        <f>T1801/1.18-T2516*'Mark Up Validation'!$S$105</f>
        <v>0</v>
      </c>
      <c r="U3230" s="107"/>
      <c r="V3230" s="68">
        <f>V1801/1.18-V2516*'Mark Up Validation'!$S$105</f>
        <v>0</v>
      </c>
      <c r="W3230" s="107"/>
      <c r="X3230" s="68">
        <f>X1801/1.18-X2516*'Mark Up Validation'!$S$105</f>
        <v>0</v>
      </c>
      <c r="Y3230" s="107"/>
      <c r="Z3230" s="68">
        <f>Z1801/1.18-Z2516*'Mark Up Validation'!$S$105</f>
        <v>0</v>
      </c>
      <c r="AA3230" s="107"/>
      <c r="AB3230" s="68">
        <f>AB1801/1.18-AB2516*'Mark Up Validation'!$S$105</f>
        <v>0</v>
      </c>
      <c r="AC3230" s="107"/>
      <c r="AD3230" s="68">
        <f>AD1801/1.18-AD2516*'Mark Up Validation'!$S$105</f>
        <v>0</v>
      </c>
      <c r="AE3230" s="107"/>
      <c r="AF3230" s="135">
        <f>SUM(T3230,V3230,X3230,Z3230,AB3230,AD3230)</f>
        <v>0</v>
      </c>
      <c r="AG3230" s="107"/>
      <c r="AH3230" s="136">
        <f>SUM(AF3230,R3230)</f>
        <v>0</v>
      </c>
      <c r="AI3230" s="107"/>
      <c r="AJ3230" s="65"/>
      <c r="AV3230" s="56"/>
    </row>
    <row r="3231" spans="1:48" ht="13.5" customHeight="1" outlineLevel="2">
      <c r="B3231" s="82"/>
      <c r="C3231" s="425"/>
      <c r="D3231" s="425"/>
      <c r="E3231" s="634"/>
      <c r="F3231" s="635"/>
      <c r="G3231" s="428"/>
      <c r="H3231" s="635"/>
      <c r="I3231" s="428"/>
      <c r="J3231" s="635"/>
      <c r="K3231" s="636"/>
      <c r="L3231" s="635"/>
      <c r="M3231" s="636"/>
      <c r="N3231" s="635"/>
      <c r="O3231" s="636"/>
      <c r="P3231" s="635"/>
      <c r="Q3231" s="636"/>
      <c r="R3231" s="637"/>
      <c r="S3231" s="698">
        <f>SUM(R2511:R2515)/1.18-(SUM(R3226:R3230)*'Mark Up Validation'!$M$105)</f>
        <v>0</v>
      </c>
      <c r="T3231" s="635"/>
      <c r="U3231" s="636"/>
      <c r="V3231" s="635"/>
      <c r="W3231" s="636"/>
      <c r="X3231" s="635"/>
      <c r="Y3231" s="636"/>
      <c r="Z3231" s="635"/>
      <c r="AA3231" s="636"/>
      <c r="AB3231" s="635"/>
      <c r="AC3231" s="636"/>
      <c r="AD3231" s="635"/>
      <c r="AE3231" s="636"/>
      <c r="AF3231" s="637"/>
      <c r="AG3231" s="698">
        <f>SUM(AF2511:AF2515)/1.18-SUM(AF3226:AF3230)*'Mark Up Validation'!$M$175</f>
        <v>0</v>
      </c>
      <c r="AH3231" s="638"/>
      <c r="AI3231" s="698">
        <f>SUM(AH2511:AH2515)/1.18-SUM(AH3226:AH3230)*'Mark Up Validation'!$M$175</f>
        <v>0</v>
      </c>
      <c r="AJ3231" s="65"/>
      <c r="AV3231" s="56"/>
    </row>
    <row r="3232" spans="1:48" ht="13.5" customHeight="1" outlineLevel="2" thickBot="1">
      <c r="A3232" s="119"/>
      <c r="B3232" s="82"/>
      <c r="C3232" s="1228" t="s">
        <v>539</v>
      </c>
      <c r="D3232" s="1229"/>
      <c r="E3232" s="699"/>
      <c r="F3232" s="700">
        <f>SUM(F3226:F3230)</f>
        <v>0</v>
      </c>
      <c r="G3232" s="701"/>
      <c r="H3232" s="700">
        <f>SUM(H3226:H3230)</f>
        <v>0</v>
      </c>
      <c r="I3232" s="701"/>
      <c r="J3232" s="700">
        <f>SUM(J3226:J3230)</f>
        <v>0</v>
      </c>
      <c r="K3232" s="702"/>
      <c r="L3232" s="700">
        <f>SUM(L3226:L3230)</f>
        <v>0</v>
      </c>
      <c r="M3232" s="702"/>
      <c r="N3232" s="700">
        <f>SUM(N3226:N3230)</f>
        <v>0</v>
      </c>
      <c r="O3232" s="702"/>
      <c r="P3232" s="700">
        <f>SUM(P3226:P3230)</f>
        <v>0</v>
      </c>
      <c r="Q3232" s="702"/>
      <c r="R3232" s="703"/>
      <c r="S3232" s="729">
        <f>IF(S3231&gt;0,S3231/(SUM(R2511:R2515)/1.18),0)</f>
        <v>0</v>
      </c>
      <c r="T3232" s="700">
        <f>SUM(T3226:T3230)</f>
        <v>0</v>
      </c>
      <c r="U3232" s="702"/>
      <c r="V3232" s="700">
        <f>SUM(V3226:V3230)</f>
        <v>0</v>
      </c>
      <c r="W3232" s="702"/>
      <c r="X3232" s="700">
        <f>SUM(X3226:X3230)</f>
        <v>0</v>
      </c>
      <c r="Y3232" s="702"/>
      <c r="Z3232" s="700">
        <f>SUM(Z3226:Z3230)</f>
        <v>0</v>
      </c>
      <c r="AA3232" s="702"/>
      <c r="AB3232" s="700">
        <f>SUM(AB3226:AB3230)</f>
        <v>0</v>
      </c>
      <c r="AC3232" s="702"/>
      <c r="AD3232" s="700">
        <f>SUM(AD3226:AD3230)</f>
        <v>0</v>
      </c>
      <c r="AE3232" s="702"/>
      <c r="AF3232" s="705"/>
      <c r="AG3232" s="729">
        <f>IF(AG3231&gt;0,AG3231/(SUM(AF2511:AF2515)/1.18),0)</f>
        <v>0</v>
      </c>
      <c r="AH3232" s="706"/>
      <c r="AI3232" s="729">
        <f>IF(AI3231&gt;0,AI3231/(SUM(AH2511:AH2515)/1.18),0)</f>
        <v>0</v>
      </c>
      <c r="AJ3232" s="707"/>
      <c r="AV3232" s="56"/>
    </row>
    <row r="3233" spans="1:48" ht="12.75" customHeight="1" outlineLevel="2" thickBot="1">
      <c r="B3233" s="82">
        <f>B3226+1</f>
        <v>51</v>
      </c>
      <c r="C3233" s="1233">
        <f>C363</f>
        <v>0</v>
      </c>
      <c r="D3233" s="1233">
        <f>D363</f>
        <v>0</v>
      </c>
      <c r="E3233" s="83" t="str">
        <f>'Terms and Turnovers'!$J$12</f>
        <v>FLIP-FLOPS</v>
      </c>
      <c r="F3233" s="68">
        <f>F1804/1.18-F2519*'Mark Up Validation'!$M$105</f>
        <v>0</v>
      </c>
      <c r="G3233" s="106"/>
      <c r="H3233" s="68">
        <f>H1804/1.18-H2519*'Mark Up Validation'!$M$105</f>
        <v>0</v>
      </c>
      <c r="I3233" s="106"/>
      <c r="J3233" s="68">
        <f>J1804/1.18-J2519*'Mark Up Validation'!$M$105</f>
        <v>0</v>
      </c>
      <c r="K3233" s="106"/>
      <c r="L3233" s="68">
        <f>L1804/1.18-L2519*'Mark Up Validation'!$M$105</f>
        <v>0</v>
      </c>
      <c r="M3233" s="106"/>
      <c r="N3233" s="68">
        <f>N1804/1.18-N2519*'Mark Up Validation'!$M$105</f>
        <v>0</v>
      </c>
      <c r="O3233" s="106"/>
      <c r="P3233" s="68">
        <f>P1804/1.18-P2519*'Mark Up Validation'!$M$105</f>
        <v>0</v>
      </c>
      <c r="Q3233" s="106"/>
      <c r="R3233" s="129">
        <f>SUM(F3233,H3233,J3233,L3233,N3233,P3233)</f>
        <v>0</v>
      </c>
      <c r="S3233" s="106"/>
      <c r="T3233" s="68">
        <f>T1804/1.18-T2519*'Mark Up Validation'!$S$105</f>
        <v>0</v>
      </c>
      <c r="U3233" s="106"/>
      <c r="V3233" s="68">
        <f>V1804/1.18-V2519*'Mark Up Validation'!$S$105</f>
        <v>0</v>
      </c>
      <c r="W3233" s="106"/>
      <c r="X3233" s="68">
        <f>X1804/1.18-X2519*'Mark Up Validation'!$S$105</f>
        <v>0</v>
      </c>
      <c r="Y3233" s="106"/>
      <c r="Z3233" s="68">
        <f>Z1804/1.18-Z2519*'Mark Up Validation'!$S$105</f>
        <v>0</v>
      </c>
      <c r="AA3233" s="106"/>
      <c r="AB3233" s="68">
        <f>AB1804/1.18-AB2519*'Mark Up Validation'!$S$105</f>
        <v>0</v>
      </c>
      <c r="AC3233" s="106"/>
      <c r="AD3233" s="68">
        <f>AD1804/1.18-AD2519*'Mark Up Validation'!$S$105</f>
        <v>0</v>
      </c>
      <c r="AE3233" s="106"/>
      <c r="AF3233" s="129">
        <f>SUM(T3233,V3233,X3233,Z3233,AB3233,AD3233)</f>
        <v>0</v>
      </c>
      <c r="AG3233" s="106"/>
      <c r="AH3233" s="130">
        <f>SUM(AF3233,R3233)</f>
        <v>0</v>
      </c>
      <c r="AI3233" s="106"/>
      <c r="AJ3233" s="65"/>
      <c r="AV3233" s="56"/>
    </row>
    <row r="3234" spans="1:48" ht="12.75" customHeight="1" outlineLevel="2" thickBot="1">
      <c r="B3234" s="82"/>
      <c r="C3234" s="1234"/>
      <c r="D3234" s="1234"/>
      <c r="E3234" s="84" t="str">
        <f>'Terms and Turnovers'!$T$12</f>
        <v>ORIGINALS</v>
      </c>
      <c r="F3234" s="68">
        <f>F1805/1.18-F2520*'Mark Up Validation'!$M$105</f>
        <v>0</v>
      </c>
      <c r="G3234" s="728"/>
      <c r="H3234" s="68">
        <f>H1805/1.18-H2520*'Mark Up Validation'!$M$105</f>
        <v>0</v>
      </c>
      <c r="I3234" s="728"/>
      <c r="J3234" s="68">
        <f>J1805/1.18-J2520*'Mark Up Validation'!$M$105</f>
        <v>0</v>
      </c>
      <c r="K3234" s="728"/>
      <c r="L3234" s="68">
        <f>L1805/1.18-L2520*'Mark Up Validation'!$M$105</f>
        <v>0</v>
      </c>
      <c r="M3234" s="728"/>
      <c r="N3234" s="68">
        <f>N1805/1.18-N2520*'Mark Up Validation'!$M$105</f>
        <v>0</v>
      </c>
      <c r="O3234" s="728"/>
      <c r="P3234" s="68">
        <f>P1805/1.18-P2520*'Mark Up Validation'!$M$105</f>
        <v>0</v>
      </c>
      <c r="Q3234" s="728"/>
      <c r="R3234" s="132">
        <f>SUM(F3234,H3234,J3234,L3234,N3234,P3234)</f>
        <v>0</v>
      </c>
      <c r="S3234" s="728"/>
      <c r="T3234" s="68">
        <f>T1805/1.18-T2520*'Mark Up Validation'!$S$105</f>
        <v>0</v>
      </c>
      <c r="U3234" s="728"/>
      <c r="V3234" s="68">
        <f>V1805/1.18-V2520*'Mark Up Validation'!$S$105</f>
        <v>0</v>
      </c>
      <c r="W3234" s="728"/>
      <c r="X3234" s="68">
        <f>X1805/1.18-X2520*'Mark Up Validation'!$S$105</f>
        <v>0</v>
      </c>
      <c r="Y3234" s="728"/>
      <c r="Z3234" s="68">
        <f>Z1805/1.18-Z2520*'Mark Up Validation'!$S$105</f>
        <v>0</v>
      </c>
      <c r="AA3234" s="728"/>
      <c r="AB3234" s="68">
        <f>AB1805/1.18-AB2520*'Mark Up Validation'!$S$105</f>
        <v>0</v>
      </c>
      <c r="AC3234" s="728"/>
      <c r="AD3234" s="68">
        <f>AD1805/1.18-AD2520*'Mark Up Validation'!$S$105</f>
        <v>0</v>
      </c>
      <c r="AE3234" s="728"/>
      <c r="AF3234" s="132">
        <f>SUM(T3234,V3234,X3234,Z3234,AB3234,AD3234)</f>
        <v>0</v>
      </c>
      <c r="AG3234" s="728"/>
      <c r="AH3234" s="133">
        <f>SUM(AF3234,R3234)</f>
        <v>0</v>
      </c>
      <c r="AI3234" s="728"/>
      <c r="AJ3234" s="65"/>
      <c r="AV3234" s="56"/>
    </row>
    <row r="3235" spans="1:48" ht="12.75" customHeight="1" outlineLevel="2" thickBot="1">
      <c r="B3235" s="82"/>
      <c r="C3235" s="1234"/>
      <c r="D3235" s="1234"/>
      <c r="E3235" s="84" t="str">
        <f>'Terms and Turnovers'!$AD$12</f>
        <v>ACCESSORIES</v>
      </c>
      <c r="F3235" s="68">
        <f>F1806/1.18-F2521*'Mark Up Validation'!$M$105</f>
        <v>0</v>
      </c>
      <c r="G3235" s="106"/>
      <c r="H3235" s="68">
        <f>H1806/1.18-H2521*'Mark Up Validation'!$M$105</f>
        <v>0</v>
      </c>
      <c r="I3235" s="106"/>
      <c r="J3235" s="68">
        <f>J1806/1.18-J2521*'Mark Up Validation'!$M$105</f>
        <v>0</v>
      </c>
      <c r="K3235" s="106"/>
      <c r="L3235" s="68">
        <f>L1806/1.18-L2521*'Mark Up Validation'!$M$105</f>
        <v>0</v>
      </c>
      <c r="M3235" s="106"/>
      <c r="N3235" s="68">
        <f>N1806/1.18-N2521*'Mark Up Validation'!$M$105</f>
        <v>0</v>
      </c>
      <c r="O3235" s="106"/>
      <c r="P3235" s="68">
        <f>P1806/1.18-P2521*'Mark Up Validation'!$M$105</f>
        <v>0</v>
      </c>
      <c r="Q3235" s="728"/>
      <c r="R3235" s="132">
        <f>SUM(F3235,H3235,J3235,L3235,N3235,P3235)</f>
        <v>0</v>
      </c>
      <c r="S3235" s="728"/>
      <c r="T3235" s="68">
        <f>T1806/1.18-T2521*'Mark Up Validation'!$S$105</f>
        <v>0</v>
      </c>
      <c r="U3235" s="728"/>
      <c r="V3235" s="68">
        <f>V1806/1.18-V2521*'Mark Up Validation'!$S$105</f>
        <v>0</v>
      </c>
      <c r="W3235" s="728"/>
      <c r="X3235" s="68">
        <f>X1806/1.18-X2521*'Mark Up Validation'!$S$105</f>
        <v>0</v>
      </c>
      <c r="Y3235" s="728"/>
      <c r="Z3235" s="68">
        <f>Z1806/1.18-Z2521*'Mark Up Validation'!$S$105</f>
        <v>0</v>
      </c>
      <c r="AA3235" s="728"/>
      <c r="AB3235" s="68">
        <f>AB1806/1.18-AB2521*'Mark Up Validation'!$S$105</f>
        <v>0</v>
      </c>
      <c r="AC3235" s="728"/>
      <c r="AD3235" s="68">
        <f>AD1806/1.18-AD2521*'Mark Up Validation'!$S$105</f>
        <v>0</v>
      </c>
      <c r="AE3235" s="728"/>
      <c r="AF3235" s="132">
        <f>SUM(T3235,V3235,X3235,Z3235,AB3235,AD3235)</f>
        <v>0</v>
      </c>
      <c r="AG3235" s="728"/>
      <c r="AH3235" s="133">
        <f>SUM(AF3235,R3235)</f>
        <v>0</v>
      </c>
      <c r="AI3235" s="728"/>
      <c r="AJ3235" s="65"/>
      <c r="AV3235" s="56"/>
    </row>
    <row r="3236" spans="1:48" ht="12.75" customHeight="1" outlineLevel="2" thickBot="1">
      <c r="B3236" s="82"/>
      <c r="C3236" s="1234"/>
      <c r="D3236" s="1234"/>
      <c r="E3236" s="84">
        <f>'Terms and Turnovers'!$AN$12</f>
        <v>0</v>
      </c>
      <c r="F3236" s="68">
        <f>F1807/1.18-F2522*'Mark Up Validation'!$M$105</f>
        <v>0</v>
      </c>
      <c r="G3236" s="728"/>
      <c r="H3236" s="68">
        <f>H1807/1.18-H2522*'Mark Up Validation'!$M$105</f>
        <v>0</v>
      </c>
      <c r="I3236" s="728"/>
      <c r="J3236" s="68">
        <f>J1807/1.18-J2522*'Mark Up Validation'!$M$105</f>
        <v>0</v>
      </c>
      <c r="K3236" s="728"/>
      <c r="L3236" s="68">
        <f>L1807/1.18-L2522*'Mark Up Validation'!$M$105</f>
        <v>0</v>
      </c>
      <c r="M3236" s="728"/>
      <c r="N3236" s="68">
        <f>N1807/1.18-N2522*'Mark Up Validation'!$M$105</f>
        <v>0</v>
      </c>
      <c r="O3236" s="728"/>
      <c r="P3236" s="68">
        <f>P1807/1.18-P2522*'Mark Up Validation'!$M$105</f>
        <v>0</v>
      </c>
      <c r="Q3236" s="728"/>
      <c r="R3236" s="132">
        <f>SUM(F3236,H3236,J3236,L3236,N3236,P3236)</f>
        <v>0</v>
      </c>
      <c r="S3236" s="728"/>
      <c r="T3236" s="68">
        <f>T1807/1.18-T2522*'Mark Up Validation'!$S$105</f>
        <v>0</v>
      </c>
      <c r="U3236" s="728"/>
      <c r="V3236" s="68">
        <f>V1807/1.18-V2522*'Mark Up Validation'!$S$105</f>
        <v>0</v>
      </c>
      <c r="W3236" s="728"/>
      <c r="X3236" s="68">
        <f>X1807/1.18-X2522*'Mark Up Validation'!$S$105</f>
        <v>0</v>
      </c>
      <c r="Y3236" s="728"/>
      <c r="Z3236" s="68">
        <f>Z1807/1.18-Z2522*'Mark Up Validation'!$S$105</f>
        <v>0</v>
      </c>
      <c r="AA3236" s="728"/>
      <c r="AB3236" s="68">
        <f>AB1807/1.18-AB2522*'Mark Up Validation'!$S$105</f>
        <v>0</v>
      </c>
      <c r="AC3236" s="728"/>
      <c r="AD3236" s="68">
        <f>AD1807/1.18-AD2522*'Mark Up Validation'!$S$105</f>
        <v>0</v>
      </c>
      <c r="AE3236" s="728"/>
      <c r="AF3236" s="132">
        <f>SUM(T3236,V3236,X3236,Z3236,AB3236,AD3236)</f>
        <v>0</v>
      </c>
      <c r="AG3236" s="728"/>
      <c r="AH3236" s="133">
        <f>SUM(AF3236,R3236)</f>
        <v>0</v>
      </c>
      <c r="AI3236" s="728"/>
      <c r="AJ3236" s="65"/>
      <c r="AV3236" s="56"/>
    </row>
    <row r="3237" spans="1:48" ht="13.5" customHeight="1" outlineLevel="2" thickBot="1">
      <c r="B3237" s="82"/>
      <c r="C3237" s="1235"/>
      <c r="D3237" s="1235"/>
      <c r="E3237" s="85">
        <f>'Terms and Turnovers'!$AX$12</f>
        <v>0</v>
      </c>
      <c r="F3237" s="68">
        <f>F1808/1.18-F2523*'Mark Up Validation'!$M$105</f>
        <v>0</v>
      </c>
      <c r="G3237" s="106"/>
      <c r="H3237" s="68">
        <f>H1808/1.18-H2523*'Mark Up Validation'!$M$105</f>
        <v>0</v>
      </c>
      <c r="I3237" s="106"/>
      <c r="J3237" s="68">
        <f>J1808/1.18-J2523*'Mark Up Validation'!$M$105</f>
        <v>0</v>
      </c>
      <c r="K3237" s="106"/>
      <c r="L3237" s="68">
        <f>L1808/1.18-L2523*'Mark Up Validation'!$M$105</f>
        <v>0</v>
      </c>
      <c r="M3237" s="106"/>
      <c r="N3237" s="68">
        <f>N1808/1.18-N2523*'Mark Up Validation'!$M$105</f>
        <v>0</v>
      </c>
      <c r="O3237" s="106"/>
      <c r="P3237" s="68">
        <f>P1808/1.18-P2523*'Mark Up Validation'!$M$105</f>
        <v>0</v>
      </c>
      <c r="Q3237" s="107"/>
      <c r="R3237" s="135">
        <f>SUM(F3237,H3237,J3237,L3237,N3237,P3237)</f>
        <v>0</v>
      </c>
      <c r="S3237" s="107"/>
      <c r="T3237" s="68">
        <f>T1808/1.18-T2523*'Mark Up Validation'!$S$105</f>
        <v>0</v>
      </c>
      <c r="U3237" s="107"/>
      <c r="V3237" s="68">
        <f>V1808/1.18-V2523*'Mark Up Validation'!$S$105</f>
        <v>0</v>
      </c>
      <c r="W3237" s="107"/>
      <c r="X3237" s="68">
        <f>X1808/1.18-X2523*'Mark Up Validation'!$S$105</f>
        <v>0</v>
      </c>
      <c r="Y3237" s="107"/>
      <c r="Z3237" s="68">
        <f>Z1808/1.18-Z2523*'Mark Up Validation'!$S$105</f>
        <v>0</v>
      </c>
      <c r="AA3237" s="107"/>
      <c r="AB3237" s="68">
        <f>AB1808/1.18-AB2523*'Mark Up Validation'!$S$105</f>
        <v>0</v>
      </c>
      <c r="AC3237" s="107"/>
      <c r="AD3237" s="68">
        <f>AD1808/1.18-AD2523*'Mark Up Validation'!$S$105</f>
        <v>0</v>
      </c>
      <c r="AE3237" s="107"/>
      <c r="AF3237" s="135">
        <f>SUM(T3237,V3237,X3237,Z3237,AB3237,AD3237)</f>
        <v>0</v>
      </c>
      <c r="AG3237" s="107"/>
      <c r="AH3237" s="136">
        <f>SUM(AF3237,R3237)</f>
        <v>0</v>
      </c>
      <c r="AI3237" s="107"/>
      <c r="AJ3237" s="65"/>
      <c r="AV3237" s="56"/>
    </row>
    <row r="3238" spans="1:48" ht="13.5" customHeight="1" outlineLevel="2">
      <c r="B3238" s="82"/>
      <c r="C3238" s="425"/>
      <c r="D3238" s="425"/>
      <c r="E3238" s="634"/>
      <c r="F3238" s="635"/>
      <c r="G3238" s="428"/>
      <c r="H3238" s="635"/>
      <c r="I3238" s="428"/>
      <c r="J3238" s="635"/>
      <c r="K3238" s="636"/>
      <c r="L3238" s="635"/>
      <c r="M3238" s="636"/>
      <c r="N3238" s="635"/>
      <c r="O3238" s="636"/>
      <c r="P3238" s="635"/>
      <c r="Q3238" s="636"/>
      <c r="R3238" s="637"/>
      <c r="S3238" s="698">
        <f>SUM(R2518:R2522)/1.18-(SUM(R3233:R3237)*'Mark Up Validation'!$M$105)</f>
        <v>0</v>
      </c>
      <c r="T3238" s="635"/>
      <c r="U3238" s="636"/>
      <c r="V3238" s="635"/>
      <c r="W3238" s="636"/>
      <c r="X3238" s="635"/>
      <c r="Y3238" s="636"/>
      <c r="Z3238" s="635"/>
      <c r="AA3238" s="636"/>
      <c r="AB3238" s="635"/>
      <c r="AC3238" s="636"/>
      <c r="AD3238" s="635"/>
      <c r="AE3238" s="636"/>
      <c r="AF3238" s="637"/>
      <c r="AG3238" s="698">
        <f>SUM(AF2518:AF2522)/1.18-SUM(AF3233:AF3237)*'Mark Up Validation'!$M$175</f>
        <v>0</v>
      </c>
      <c r="AH3238" s="638"/>
      <c r="AI3238" s="698">
        <f>SUM(AH2518:AH2522)/1.18-SUM(AH3233:AH3237)*'Mark Up Validation'!$M$175</f>
        <v>0</v>
      </c>
      <c r="AJ3238" s="65"/>
      <c r="AV3238" s="56"/>
    </row>
    <row r="3239" spans="1:48" ht="13.5" customHeight="1" outlineLevel="2" thickBot="1">
      <c r="A3239" s="119"/>
      <c r="B3239" s="82"/>
      <c r="C3239" s="1228" t="s">
        <v>539</v>
      </c>
      <c r="D3239" s="1229"/>
      <c r="E3239" s="699"/>
      <c r="F3239" s="700">
        <f>SUM(F3233:F3237)</f>
        <v>0</v>
      </c>
      <c r="G3239" s="701"/>
      <c r="H3239" s="700">
        <f>SUM(H3233:H3237)</f>
        <v>0</v>
      </c>
      <c r="I3239" s="701"/>
      <c r="J3239" s="700">
        <f>SUM(J3233:J3237)</f>
        <v>0</v>
      </c>
      <c r="K3239" s="702"/>
      <c r="L3239" s="700">
        <f>SUM(L3233:L3237)</f>
        <v>0</v>
      </c>
      <c r="M3239" s="702"/>
      <c r="N3239" s="700">
        <f>SUM(N3233:N3237)</f>
        <v>0</v>
      </c>
      <c r="O3239" s="702"/>
      <c r="P3239" s="700">
        <f>SUM(P3233:P3237)</f>
        <v>0</v>
      </c>
      <c r="Q3239" s="702"/>
      <c r="R3239" s="703"/>
      <c r="S3239" s="729">
        <f>IF(S3238&gt;0,S3238/(SUM(R2518:R2522)/1.18),0)</f>
        <v>0</v>
      </c>
      <c r="T3239" s="700">
        <f>SUM(T3233:T3237)</f>
        <v>0</v>
      </c>
      <c r="U3239" s="702"/>
      <c r="V3239" s="700">
        <f>SUM(V3233:V3237)</f>
        <v>0</v>
      </c>
      <c r="W3239" s="702"/>
      <c r="X3239" s="700">
        <f>SUM(X3233:X3237)</f>
        <v>0</v>
      </c>
      <c r="Y3239" s="702"/>
      <c r="Z3239" s="700">
        <f>SUM(Z3233:Z3237)</f>
        <v>0</v>
      </c>
      <c r="AA3239" s="702"/>
      <c r="AB3239" s="700">
        <f>SUM(AB3233:AB3237)</f>
        <v>0</v>
      </c>
      <c r="AC3239" s="702"/>
      <c r="AD3239" s="700">
        <f>SUM(AD3233:AD3237)</f>
        <v>0</v>
      </c>
      <c r="AE3239" s="702"/>
      <c r="AF3239" s="705"/>
      <c r="AG3239" s="729">
        <f>IF(AG3238&gt;0,AG3238/(SUM(AF2518:AF2522)/1.18),0)</f>
        <v>0</v>
      </c>
      <c r="AH3239" s="706"/>
      <c r="AI3239" s="729">
        <f>IF(AI3238&gt;0,AI3238/(SUM(AH2518:AH2522)/1.18),0)</f>
        <v>0</v>
      </c>
      <c r="AJ3239" s="707"/>
      <c r="AV3239" s="56"/>
    </row>
    <row r="3240" spans="1:48" ht="12.75" customHeight="1" outlineLevel="2" thickBot="1">
      <c r="B3240" s="82">
        <f>B3233+1</f>
        <v>52</v>
      </c>
      <c r="C3240" s="1233">
        <f>C370</f>
        <v>0</v>
      </c>
      <c r="D3240" s="1233">
        <f>D370</f>
        <v>0</v>
      </c>
      <c r="E3240" s="83" t="str">
        <f>'Terms and Turnovers'!$J$12</f>
        <v>FLIP-FLOPS</v>
      </c>
      <c r="F3240" s="68">
        <f>F1811/1.18-F2526*'Mark Up Validation'!$M$105</f>
        <v>0</v>
      </c>
      <c r="G3240" s="106"/>
      <c r="H3240" s="68">
        <f>H1811/1.18-H2526*'Mark Up Validation'!$M$105</f>
        <v>0</v>
      </c>
      <c r="I3240" s="106"/>
      <c r="J3240" s="68">
        <f>J1811/1.18-J2526*'Mark Up Validation'!$M$105</f>
        <v>0</v>
      </c>
      <c r="K3240" s="106"/>
      <c r="L3240" s="68">
        <f>L1811/1.18-L2526*'Mark Up Validation'!$M$105</f>
        <v>0</v>
      </c>
      <c r="M3240" s="106"/>
      <c r="N3240" s="68">
        <f>N1811/1.18-N2526*'Mark Up Validation'!$M$105</f>
        <v>0</v>
      </c>
      <c r="O3240" s="106"/>
      <c r="P3240" s="68">
        <f>P1811/1.18-P2526*'Mark Up Validation'!$M$105</f>
        <v>0</v>
      </c>
      <c r="Q3240" s="106"/>
      <c r="R3240" s="129">
        <f>SUM(F3240,H3240,J3240,L3240,N3240,P3240)</f>
        <v>0</v>
      </c>
      <c r="S3240" s="106"/>
      <c r="T3240" s="68">
        <f>T1811/1.18-T2526*'Mark Up Validation'!$S$105</f>
        <v>0</v>
      </c>
      <c r="U3240" s="106"/>
      <c r="V3240" s="68">
        <f>V1811/1.18-V2526*'Mark Up Validation'!$S$105</f>
        <v>0</v>
      </c>
      <c r="W3240" s="106"/>
      <c r="X3240" s="68">
        <f>X1811/1.18-X2526*'Mark Up Validation'!$S$105</f>
        <v>0</v>
      </c>
      <c r="Y3240" s="106"/>
      <c r="Z3240" s="68">
        <f>Z1811/1.18-Z2526*'Mark Up Validation'!$S$105</f>
        <v>0</v>
      </c>
      <c r="AA3240" s="106"/>
      <c r="AB3240" s="68">
        <f>AB1811/1.18-AB2526*'Mark Up Validation'!$S$105</f>
        <v>0</v>
      </c>
      <c r="AC3240" s="106"/>
      <c r="AD3240" s="68">
        <f>AD1811/1.18-AD2526*'Mark Up Validation'!$S$105</f>
        <v>0</v>
      </c>
      <c r="AE3240" s="106"/>
      <c r="AF3240" s="129">
        <f>SUM(T3240,V3240,X3240,Z3240,AB3240,AD3240)</f>
        <v>0</v>
      </c>
      <c r="AG3240" s="106"/>
      <c r="AH3240" s="130">
        <f>SUM(AF3240,R3240)</f>
        <v>0</v>
      </c>
      <c r="AI3240" s="106"/>
      <c r="AJ3240" s="65"/>
      <c r="AV3240" s="56"/>
    </row>
    <row r="3241" spans="1:48" ht="12.75" customHeight="1" outlineLevel="2" thickBot="1">
      <c r="B3241" s="82"/>
      <c r="C3241" s="1234"/>
      <c r="D3241" s="1234"/>
      <c r="E3241" s="84" t="str">
        <f>'Terms and Turnovers'!$T$12</f>
        <v>ORIGINALS</v>
      </c>
      <c r="F3241" s="68">
        <f>F1812/1.18-F2527*'Mark Up Validation'!$M$105</f>
        <v>0</v>
      </c>
      <c r="G3241" s="728"/>
      <c r="H3241" s="68">
        <f>H1812/1.18-H2527*'Mark Up Validation'!$M$105</f>
        <v>0</v>
      </c>
      <c r="I3241" s="728"/>
      <c r="J3241" s="68">
        <f>J1812/1.18-J2527*'Mark Up Validation'!$M$105</f>
        <v>0</v>
      </c>
      <c r="K3241" s="728"/>
      <c r="L3241" s="68">
        <f>L1812/1.18-L2527*'Mark Up Validation'!$M$105</f>
        <v>0</v>
      </c>
      <c r="M3241" s="728"/>
      <c r="N3241" s="68">
        <f>N1812/1.18-N2527*'Mark Up Validation'!$M$105</f>
        <v>0</v>
      </c>
      <c r="O3241" s="728"/>
      <c r="P3241" s="68">
        <f>P1812/1.18-P2527*'Mark Up Validation'!$M$105</f>
        <v>0</v>
      </c>
      <c r="Q3241" s="728"/>
      <c r="R3241" s="132">
        <f>SUM(F3241,H3241,J3241,L3241,N3241,P3241)</f>
        <v>0</v>
      </c>
      <c r="S3241" s="728"/>
      <c r="T3241" s="68">
        <f>T1812/1.18-T2527*'Mark Up Validation'!$S$105</f>
        <v>0</v>
      </c>
      <c r="U3241" s="728"/>
      <c r="V3241" s="68">
        <f>V1812/1.18-V2527*'Mark Up Validation'!$S$105</f>
        <v>0</v>
      </c>
      <c r="W3241" s="728"/>
      <c r="X3241" s="68">
        <f>X1812/1.18-X2527*'Mark Up Validation'!$S$105</f>
        <v>0</v>
      </c>
      <c r="Y3241" s="728"/>
      <c r="Z3241" s="68">
        <f>Z1812/1.18-Z2527*'Mark Up Validation'!$S$105</f>
        <v>0</v>
      </c>
      <c r="AA3241" s="728"/>
      <c r="AB3241" s="68">
        <f>AB1812/1.18-AB2527*'Mark Up Validation'!$S$105</f>
        <v>0</v>
      </c>
      <c r="AC3241" s="728"/>
      <c r="AD3241" s="68">
        <f>AD1812/1.18-AD2527*'Mark Up Validation'!$S$105</f>
        <v>0</v>
      </c>
      <c r="AE3241" s="728"/>
      <c r="AF3241" s="132">
        <f>SUM(T3241,V3241,X3241,Z3241,AB3241,AD3241)</f>
        <v>0</v>
      </c>
      <c r="AG3241" s="728"/>
      <c r="AH3241" s="133">
        <f>SUM(AF3241,R3241)</f>
        <v>0</v>
      </c>
      <c r="AI3241" s="728"/>
      <c r="AJ3241" s="65"/>
      <c r="AV3241" s="56"/>
    </row>
    <row r="3242" spans="1:48" ht="12.75" customHeight="1" outlineLevel="2" thickBot="1">
      <c r="B3242" s="82"/>
      <c r="C3242" s="1234"/>
      <c r="D3242" s="1234"/>
      <c r="E3242" s="84" t="str">
        <f>'Terms and Turnovers'!$AD$12</f>
        <v>ACCESSORIES</v>
      </c>
      <c r="F3242" s="68">
        <f>F1813/1.18-F2528*'Mark Up Validation'!$M$105</f>
        <v>0</v>
      </c>
      <c r="G3242" s="106"/>
      <c r="H3242" s="68">
        <f>H1813/1.18-H2528*'Mark Up Validation'!$M$105</f>
        <v>0</v>
      </c>
      <c r="I3242" s="106"/>
      <c r="J3242" s="68">
        <f>J1813/1.18-J2528*'Mark Up Validation'!$M$105</f>
        <v>0</v>
      </c>
      <c r="K3242" s="106"/>
      <c r="L3242" s="68">
        <f>L1813/1.18-L2528*'Mark Up Validation'!$M$105</f>
        <v>0</v>
      </c>
      <c r="M3242" s="106"/>
      <c r="N3242" s="68">
        <f>N1813/1.18-N2528*'Mark Up Validation'!$M$105</f>
        <v>0</v>
      </c>
      <c r="O3242" s="106"/>
      <c r="P3242" s="68">
        <f>P1813/1.18-P2528*'Mark Up Validation'!$M$105</f>
        <v>0</v>
      </c>
      <c r="Q3242" s="728"/>
      <c r="R3242" s="132">
        <f>SUM(F3242,H3242,J3242,L3242,N3242,P3242)</f>
        <v>0</v>
      </c>
      <c r="S3242" s="728"/>
      <c r="T3242" s="68">
        <f>T1813/1.18-T2528*'Mark Up Validation'!$S$105</f>
        <v>0</v>
      </c>
      <c r="U3242" s="728"/>
      <c r="V3242" s="68">
        <f>V1813/1.18-V2528*'Mark Up Validation'!$S$105</f>
        <v>0</v>
      </c>
      <c r="W3242" s="728"/>
      <c r="X3242" s="68">
        <f>X1813/1.18-X2528*'Mark Up Validation'!$S$105</f>
        <v>0</v>
      </c>
      <c r="Y3242" s="728"/>
      <c r="Z3242" s="68">
        <f>Z1813/1.18-Z2528*'Mark Up Validation'!$S$105</f>
        <v>0</v>
      </c>
      <c r="AA3242" s="728"/>
      <c r="AB3242" s="68">
        <f>AB1813/1.18-AB2528*'Mark Up Validation'!$S$105</f>
        <v>0</v>
      </c>
      <c r="AC3242" s="728"/>
      <c r="AD3242" s="68">
        <f>AD1813/1.18-AD2528*'Mark Up Validation'!$S$105</f>
        <v>0</v>
      </c>
      <c r="AE3242" s="728"/>
      <c r="AF3242" s="132">
        <f>SUM(T3242,V3242,X3242,Z3242,AB3242,AD3242)</f>
        <v>0</v>
      </c>
      <c r="AG3242" s="728"/>
      <c r="AH3242" s="133">
        <f>SUM(AF3242,R3242)</f>
        <v>0</v>
      </c>
      <c r="AI3242" s="728"/>
      <c r="AJ3242" s="65"/>
      <c r="AV3242" s="56"/>
    </row>
    <row r="3243" spans="1:48" ht="12.75" customHeight="1" outlineLevel="2" thickBot="1">
      <c r="B3243" s="82"/>
      <c r="C3243" s="1234"/>
      <c r="D3243" s="1234"/>
      <c r="E3243" s="84">
        <f>'Terms and Turnovers'!$AN$12</f>
        <v>0</v>
      </c>
      <c r="F3243" s="68">
        <f>F1814/1.18-F2529*'Mark Up Validation'!$M$105</f>
        <v>0</v>
      </c>
      <c r="G3243" s="728"/>
      <c r="H3243" s="68">
        <f>H1814/1.18-H2529*'Mark Up Validation'!$M$105</f>
        <v>0</v>
      </c>
      <c r="I3243" s="728"/>
      <c r="J3243" s="68">
        <f>J1814/1.18-J2529*'Mark Up Validation'!$M$105</f>
        <v>0</v>
      </c>
      <c r="K3243" s="728"/>
      <c r="L3243" s="68">
        <f>L1814/1.18-L2529*'Mark Up Validation'!$M$105</f>
        <v>0</v>
      </c>
      <c r="M3243" s="728"/>
      <c r="N3243" s="68">
        <f>N1814/1.18-N2529*'Mark Up Validation'!$M$105</f>
        <v>0</v>
      </c>
      <c r="O3243" s="728"/>
      <c r="P3243" s="68">
        <f>P1814/1.18-P2529*'Mark Up Validation'!$M$105</f>
        <v>0</v>
      </c>
      <c r="Q3243" s="728"/>
      <c r="R3243" s="132">
        <f>SUM(F3243,H3243,J3243,L3243,N3243,P3243)</f>
        <v>0</v>
      </c>
      <c r="S3243" s="728"/>
      <c r="T3243" s="68">
        <f>T1814/1.18-T2529*'Mark Up Validation'!$S$105</f>
        <v>0</v>
      </c>
      <c r="U3243" s="728"/>
      <c r="V3243" s="68">
        <f>V1814/1.18-V2529*'Mark Up Validation'!$S$105</f>
        <v>0</v>
      </c>
      <c r="W3243" s="728"/>
      <c r="X3243" s="68">
        <f>X1814/1.18-X2529*'Mark Up Validation'!$S$105</f>
        <v>0</v>
      </c>
      <c r="Y3243" s="728"/>
      <c r="Z3243" s="68">
        <f>Z1814/1.18-Z2529*'Mark Up Validation'!$S$105</f>
        <v>0</v>
      </c>
      <c r="AA3243" s="728"/>
      <c r="AB3243" s="68">
        <f>AB1814/1.18-AB2529*'Mark Up Validation'!$S$105</f>
        <v>0</v>
      </c>
      <c r="AC3243" s="728"/>
      <c r="AD3243" s="68">
        <f>AD1814/1.18-AD2529*'Mark Up Validation'!$S$105</f>
        <v>0</v>
      </c>
      <c r="AE3243" s="728"/>
      <c r="AF3243" s="132">
        <f>SUM(T3243,V3243,X3243,Z3243,AB3243,AD3243)</f>
        <v>0</v>
      </c>
      <c r="AG3243" s="728"/>
      <c r="AH3243" s="133">
        <f>SUM(AF3243,R3243)</f>
        <v>0</v>
      </c>
      <c r="AI3243" s="728"/>
      <c r="AJ3243" s="65"/>
      <c r="AV3243" s="56"/>
    </row>
    <row r="3244" spans="1:48" ht="13.5" customHeight="1" outlineLevel="2" thickBot="1">
      <c r="B3244" s="82"/>
      <c r="C3244" s="1235"/>
      <c r="D3244" s="1235"/>
      <c r="E3244" s="85">
        <f>'Terms and Turnovers'!$AX$12</f>
        <v>0</v>
      </c>
      <c r="F3244" s="68">
        <f>F1815/1.18-F2530*'Mark Up Validation'!$M$105</f>
        <v>0</v>
      </c>
      <c r="G3244" s="106"/>
      <c r="H3244" s="68">
        <f>H1815/1.18-H2530*'Mark Up Validation'!$M$105</f>
        <v>0</v>
      </c>
      <c r="I3244" s="106"/>
      <c r="J3244" s="68">
        <f>J1815/1.18-J2530*'Mark Up Validation'!$M$105</f>
        <v>0</v>
      </c>
      <c r="K3244" s="106"/>
      <c r="L3244" s="68">
        <f>L1815/1.18-L2530*'Mark Up Validation'!$M$105</f>
        <v>0</v>
      </c>
      <c r="M3244" s="106"/>
      <c r="N3244" s="68">
        <f>N1815/1.18-N2530*'Mark Up Validation'!$M$105</f>
        <v>0</v>
      </c>
      <c r="O3244" s="106"/>
      <c r="P3244" s="68">
        <f>P1815/1.18-P2530*'Mark Up Validation'!$M$105</f>
        <v>0</v>
      </c>
      <c r="Q3244" s="107"/>
      <c r="R3244" s="135">
        <f>SUM(F3244,H3244,J3244,L3244,N3244,P3244)</f>
        <v>0</v>
      </c>
      <c r="S3244" s="107"/>
      <c r="T3244" s="68">
        <f>T1815/1.18-T2530*'Mark Up Validation'!$S$105</f>
        <v>0</v>
      </c>
      <c r="U3244" s="107"/>
      <c r="V3244" s="68">
        <f>V1815/1.18-V2530*'Mark Up Validation'!$S$105</f>
        <v>0</v>
      </c>
      <c r="W3244" s="107"/>
      <c r="X3244" s="68">
        <f>X1815/1.18-X2530*'Mark Up Validation'!$S$105</f>
        <v>0</v>
      </c>
      <c r="Y3244" s="107"/>
      <c r="Z3244" s="68">
        <f>Z1815/1.18-Z2530*'Mark Up Validation'!$S$105</f>
        <v>0</v>
      </c>
      <c r="AA3244" s="107"/>
      <c r="AB3244" s="68">
        <f>AB1815/1.18-AB2530*'Mark Up Validation'!$S$105</f>
        <v>0</v>
      </c>
      <c r="AC3244" s="107"/>
      <c r="AD3244" s="68">
        <f>AD1815/1.18-AD2530*'Mark Up Validation'!$S$105</f>
        <v>0</v>
      </c>
      <c r="AE3244" s="107"/>
      <c r="AF3244" s="135">
        <f>SUM(T3244,V3244,X3244,Z3244,AB3244,AD3244)</f>
        <v>0</v>
      </c>
      <c r="AG3244" s="107"/>
      <c r="AH3244" s="136">
        <f>SUM(AF3244,R3244)</f>
        <v>0</v>
      </c>
      <c r="AI3244" s="107"/>
      <c r="AJ3244" s="65"/>
      <c r="AV3244" s="56"/>
    </row>
    <row r="3245" spans="1:48" ht="13.5" customHeight="1" outlineLevel="2">
      <c r="B3245" s="82"/>
      <c r="C3245" s="425"/>
      <c r="D3245" s="425"/>
      <c r="E3245" s="634"/>
      <c r="F3245" s="635"/>
      <c r="G3245" s="428"/>
      <c r="H3245" s="635"/>
      <c r="I3245" s="428"/>
      <c r="J3245" s="635"/>
      <c r="K3245" s="636"/>
      <c r="L3245" s="635"/>
      <c r="M3245" s="636"/>
      <c r="N3245" s="635"/>
      <c r="O3245" s="636"/>
      <c r="P3245" s="635"/>
      <c r="Q3245" s="636"/>
      <c r="R3245" s="637"/>
      <c r="S3245" s="698">
        <f>SUM(R2525:R2529)/1.18-(SUM(R3240:R3244)*'Mark Up Validation'!$M$105)</f>
        <v>0</v>
      </c>
      <c r="T3245" s="635"/>
      <c r="U3245" s="636"/>
      <c r="V3245" s="635"/>
      <c r="W3245" s="636"/>
      <c r="X3245" s="635"/>
      <c r="Y3245" s="636"/>
      <c r="Z3245" s="635"/>
      <c r="AA3245" s="636"/>
      <c r="AB3245" s="635"/>
      <c r="AC3245" s="636"/>
      <c r="AD3245" s="635"/>
      <c r="AE3245" s="636"/>
      <c r="AF3245" s="637"/>
      <c r="AG3245" s="698">
        <f>SUM(AF2525:AF2529)/1.18-SUM(AF3240:AF3244)*'Mark Up Validation'!$M$175</f>
        <v>0</v>
      </c>
      <c r="AH3245" s="638"/>
      <c r="AI3245" s="698">
        <f>SUM(AH2525:AH2529)/1.18-SUM(AH3240:AH3244)*'Mark Up Validation'!$M$175</f>
        <v>0</v>
      </c>
      <c r="AJ3245" s="65"/>
      <c r="AV3245" s="56"/>
    </row>
    <row r="3246" spans="1:48" ht="13.5" customHeight="1" outlineLevel="2" thickBot="1">
      <c r="A3246" s="119"/>
      <c r="B3246" s="82"/>
      <c r="C3246" s="1228" t="s">
        <v>539</v>
      </c>
      <c r="D3246" s="1229"/>
      <c r="E3246" s="699"/>
      <c r="F3246" s="700">
        <f>SUM(F3240:F3244)</f>
        <v>0</v>
      </c>
      <c r="G3246" s="701"/>
      <c r="H3246" s="700">
        <f>SUM(H3240:H3244)</f>
        <v>0</v>
      </c>
      <c r="I3246" s="701"/>
      <c r="J3246" s="700">
        <f>SUM(J3240:J3244)</f>
        <v>0</v>
      </c>
      <c r="K3246" s="702"/>
      <c r="L3246" s="700">
        <f>SUM(L3240:L3244)</f>
        <v>0</v>
      </c>
      <c r="M3246" s="702"/>
      <c r="N3246" s="700">
        <f>SUM(N3240:N3244)</f>
        <v>0</v>
      </c>
      <c r="O3246" s="702"/>
      <c r="P3246" s="700">
        <f>SUM(P3240:P3244)</f>
        <v>0</v>
      </c>
      <c r="Q3246" s="702"/>
      <c r="R3246" s="703"/>
      <c r="S3246" s="729">
        <f>IF(S3245&gt;0,S3245/(SUM(R2525:R2529)/1.18),0)</f>
        <v>0</v>
      </c>
      <c r="T3246" s="700">
        <f>SUM(T3240:T3244)</f>
        <v>0</v>
      </c>
      <c r="U3246" s="702"/>
      <c r="V3246" s="700">
        <f>SUM(V3240:V3244)</f>
        <v>0</v>
      </c>
      <c r="W3246" s="702"/>
      <c r="X3246" s="700">
        <f>SUM(X3240:X3244)</f>
        <v>0</v>
      </c>
      <c r="Y3246" s="702"/>
      <c r="Z3246" s="700">
        <f>SUM(Z3240:Z3244)</f>
        <v>0</v>
      </c>
      <c r="AA3246" s="702"/>
      <c r="AB3246" s="700">
        <f>SUM(AB3240:AB3244)</f>
        <v>0</v>
      </c>
      <c r="AC3246" s="702"/>
      <c r="AD3246" s="700">
        <f>SUM(AD3240:AD3244)</f>
        <v>0</v>
      </c>
      <c r="AE3246" s="702"/>
      <c r="AF3246" s="705"/>
      <c r="AG3246" s="729">
        <f>IF(AG3245&gt;0,AG3245/(SUM(AF2525:AF2529)/1.18),0)</f>
        <v>0</v>
      </c>
      <c r="AH3246" s="706"/>
      <c r="AI3246" s="729">
        <f>IF(AI3245&gt;0,AI3245/(SUM(AH2525:AH2529)/1.18),0)</f>
        <v>0</v>
      </c>
      <c r="AJ3246" s="707"/>
      <c r="AV3246" s="56"/>
    </row>
    <row r="3247" spans="1:48" ht="12.75" customHeight="1" outlineLevel="2" thickBot="1">
      <c r="B3247" s="82">
        <f>B3240+1</f>
        <v>53</v>
      </c>
      <c r="C3247" s="1233">
        <f>C377</f>
        <v>0</v>
      </c>
      <c r="D3247" s="1233">
        <f>D377</f>
        <v>0</v>
      </c>
      <c r="E3247" s="83" t="str">
        <f>'Terms and Turnovers'!$J$12</f>
        <v>FLIP-FLOPS</v>
      </c>
      <c r="F3247" s="68">
        <f>F1818/1.18-F2533*'Mark Up Validation'!$M$105</f>
        <v>0</v>
      </c>
      <c r="G3247" s="106"/>
      <c r="H3247" s="68">
        <f>H1818/1.18-H2533*'Mark Up Validation'!$M$105</f>
        <v>0</v>
      </c>
      <c r="I3247" s="106"/>
      <c r="J3247" s="68">
        <f>J1818/1.18-J2533*'Mark Up Validation'!$M$105</f>
        <v>0</v>
      </c>
      <c r="K3247" s="106"/>
      <c r="L3247" s="68">
        <f>L1818/1.18-L2533*'Mark Up Validation'!$M$105</f>
        <v>0</v>
      </c>
      <c r="M3247" s="106"/>
      <c r="N3247" s="68">
        <f>N1818/1.18-N2533*'Mark Up Validation'!$M$105</f>
        <v>0</v>
      </c>
      <c r="O3247" s="106"/>
      <c r="P3247" s="68">
        <f>P1818/1.18-P2533*'Mark Up Validation'!$M$105</f>
        <v>0</v>
      </c>
      <c r="Q3247" s="106"/>
      <c r="R3247" s="129">
        <f>SUM(F3247,H3247,J3247,L3247,N3247,P3247)</f>
        <v>0</v>
      </c>
      <c r="S3247" s="106"/>
      <c r="T3247" s="68">
        <f>T1818/1.18-T2533*'Mark Up Validation'!$S$105</f>
        <v>0</v>
      </c>
      <c r="U3247" s="106"/>
      <c r="V3247" s="68">
        <f>V1818/1.18-V2533*'Mark Up Validation'!$S$105</f>
        <v>0</v>
      </c>
      <c r="W3247" s="106"/>
      <c r="X3247" s="68">
        <f>X1818/1.18-X2533*'Mark Up Validation'!$S$105</f>
        <v>0</v>
      </c>
      <c r="Y3247" s="106"/>
      <c r="Z3247" s="68">
        <f>Z1818/1.18-Z2533*'Mark Up Validation'!$S$105</f>
        <v>0</v>
      </c>
      <c r="AA3247" s="106"/>
      <c r="AB3247" s="68">
        <f>AB1818/1.18-AB2533*'Mark Up Validation'!$S$105</f>
        <v>0</v>
      </c>
      <c r="AC3247" s="106"/>
      <c r="AD3247" s="68">
        <f>AD1818/1.18-AD2533*'Mark Up Validation'!$S$105</f>
        <v>0</v>
      </c>
      <c r="AE3247" s="106"/>
      <c r="AF3247" s="129">
        <f>SUM(T3247,V3247,X3247,Z3247,AB3247,AD3247)</f>
        <v>0</v>
      </c>
      <c r="AG3247" s="106"/>
      <c r="AH3247" s="130">
        <f>SUM(AF3247,R3247)</f>
        <v>0</v>
      </c>
      <c r="AI3247" s="106"/>
      <c r="AJ3247" s="65"/>
      <c r="AV3247" s="56"/>
    </row>
    <row r="3248" spans="1:48" ht="12.75" customHeight="1" outlineLevel="2" thickBot="1">
      <c r="B3248" s="82"/>
      <c r="C3248" s="1234"/>
      <c r="D3248" s="1234"/>
      <c r="E3248" s="84" t="str">
        <f>'Terms and Turnovers'!$T$12</f>
        <v>ORIGINALS</v>
      </c>
      <c r="F3248" s="68">
        <f>F1819/1.18-F2534*'Mark Up Validation'!$M$105</f>
        <v>0</v>
      </c>
      <c r="G3248" s="728"/>
      <c r="H3248" s="68">
        <f>H1819/1.18-H2534*'Mark Up Validation'!$M$105</f>
        <v>0</v>
      </c>
      <c r="I3248" s="728"/>
      <c r="J3248" s="68">
        <f>J1819/1.18-J2534*'Mark Up Validation'!$M$105</f>
        <v>0</v>
      </c>
      <c r="K3248" s="728"/>
      <c r="L3248" s="68">
        <f>L1819/1.18-L2534*'Mark Up Validation'!$M$105</f>
        <v>0</v>
      </c>
      <c r="M3248" s="728"/>
      <c r="N3248" s="68">
        <f>N1819/1.18-N2534*'Mark Up Validation'!$M$105</f>
        <v>0</v>
      </c>
      <c r="O3248" s="728"/>
      <c r="P3248" s="68">
        <f>P1819/1.18-P2534*'Mark Up Validation'!$M$105</f>
        <v>0</v>
      </c>
      <c r="Q3248" s="728"/>
      <c r="R3248" s="132">
        <f>SUM(F3248,H3248,J3248,L3248,N3248,P3248)</f>
        <v>0</v>
      </c>
      <c r="S3248" s="728"/>
      <c r="T3248" s="68">
        <f>T1819/1.18-T2534*'Mark Up Validation'!$S$105</f>
        <v>0</v>
      </c>
      <c r="U3248" s="728"/>
      <c r="V3248" s="68">
        <f>V1819/1.18-V2534*'Mark Up Validation'!$S$105</f>
        <v>0</v>
      </c>
      <c r="W3248" s="728"/>
      <c r="X3248" s="68">
        <f>X1819/1.18-X2534*'Mark Up Validation'!$S$105</f>
        <v>0</v>
      </c>
      <c r="Y3248" s="728"/>
      <c r="Z3248" s="68">
        <f>Z1819/1.18-Z2534*'Mark Up Validation'!$S$105</f>
        <v>0</v>
      </c>
      <c r="AA3248" s="728"/>
      <c r="AB3248" s="68">
        <f>AB1819/1.18-AB2534*'Mark Up Validation'!$S$105</f>
        <v>0</v>
      </c>
      <c r="AC3248" s="728"/>
      <c r="AD3248" s="68">
        <f>AD1819/1.18-AD2534*'Mark Up Validation'!$S$105</f>
        <v>0</v>
      </c>
      <c r="AE3248" s="728"/>
      <c r="AF3248" s="132">
        <f>SUM(T3248,V3248,X3248,Z3248,AB3248,AD3248)</f>
        <v>0</v>
      </c>
      <c r="AG3248" s="728"/>
      <c r="AH3248" s="133">
        <f>SUM(AF3248,R3248)</f>
        <v>0</v>
      </c>
      <c r="AI3248" s="728"/>
      <c r="AJ3248" s="65"/>
      <c r="AV3248" s="56"/>
    </row>
    <row r="3249" spans="1:48" ht="12.75" customHeight="1" outlineLevel="2" thickBot="1">
      <c r="B3249" s="82"/>
      <c r="C3249" s="1234"/>
      <c r="D3249" s="1234"/>
      <c r="E3249" s="84" t="str">
        <f>'Terms and Turnovers'!$AD$12</f>
        <v>ACCESSORIES</v>
      </c>
      <c r="F3249" s="68">
        <f>F1820/1.18-F2535*'Mark Up Validation'!$M$105</f>
        <v>0</v>
      </c>
      <c r="G3249" s="106"/>
      <c r="H3249" s="68">
        <f>H1820/1.18-H2535*'Mark Up Validation'!$M$105</f>
        <v>0</v>
      </c>
      <c r="I3249" s="106"/>
      <c r="J3249" s="68">
        <f>J1820/1.18-J2535*'Mark Up Validation'!$M$105</f>
        <v>0</v>
      </c>
      <c r="K3249" s="106"/>
      <c r="L3249" s="68">
        <f>L1820/1.18-L2535*'Mark Up Validation'!$M$105</f>
        <v>0</v>
      </c>
      <c r="M3249" s="106"/>
      <c r="N3249" s="68">
        <f>N1820/1.18-N2535*'Mark Up Validation'!$M$105</f>
        <v>0</v>
      </c>
      <c r="O3249" s="106"/>
      <c r="P3249" s="68">
        <f>P1820/1.18-P2535*'Mark Up Validation'!$M$105</f>
        <v>0</v>
      </c>
      <c r="Q3249" s="728"/>
      <c r="R3249" s="132">
        <f>SUM(F3249,H3249,J3249,L3249,N3249,P3249)</f>
        <v>0</v>
      </c>
      <c r="S3249" s="728"/>
      <c r="T3249" s="68">
        <f>T1820/1.18-T2535*'Mark Up Validation'!$S$105</f>
        <v>0</v>
      </c>
      <c r="U3249" s="728"/>
      <c r="V3249" s="68">
        <f>V1820/1.18-V2535*'Mark Up Validation'!$S$105</f>
        <v>0</v>
      </c>
      <c r="W3249" s="728"/>
      <c r="X3249" s="68">
        <f>X1820/1.18-X2535*'Mark Up Validation'!$S$105</f>
        <v>0</v>
      </c>
      <c r="Y3249" s="728"/>
      <c r="Z3249" s="68">
        <f>Z1820/1.18-Z2535*'Mark Up Validation'!$S$105</f>
        <v>0</v>
      </c>
      <c r="AA3249" s="728"/>
      <c r="AB3249" s="68">
        <f>AB1820/1.18-AB2535*'Mark Up Validation'!$S$105</f>
        <v>0</v>
      </c>
      <c r="AC3249" s="728"/>
      <c r="AD3249" s="68">
        <f>AD1820/1.18-AD2535*'Mark Up Validation'!$S$105</f>
        <v>0</v>
      </c>
      <c r="AE3249" s="728"/>
      <c r="AF3249" s="132">
        <f>SUM(T3249,V3249,X3249,Z3249,AB3249,AD3249)</f>
        <v>0</v>
      </c>
      <c r="AG3249" s="728"/>
      <c r="AH3249" s="133">
        <f>SUM(AF3249,R3249)</f>
        <v>0</v>
      </c>
      <c r="AI3249" s="728"/>
      <c r="AJ3249" s="65"/>
      <c r="AV3249" s="56"/>
    </row>
    <row r="3250" spans="1:48" ht="12.75" customHeight="1" outlineLevel="2" thickBot="1">
      <c r="B3250" s="82"/>
      <c r="C3250" s="1234"/>
      <c r="D3250" s="1234"/>
      <c r="E3250" s="84">
        <f>'Terms and Turnovers'!$AN$12</f>
        <v>0</v>
      </c>
      <c r="F3250" s="68">
        <f>F1821/1.18-F2536*'Mark Up Validation'!$M$105</f>
        <v>0</v>
      </c>
      <c r="G3250" s="728"/>
      <c r="H3250" s="68">
        <f>H1821/1.18-H2536*'Mark Up Validation'!$M$105</f>
        <v>0</v>
      </c>
      <c r="I3250" s="728"/>
      <c r="J3250" s="68">
        <f>J1821/1.18-J2536*'Mark Up Validation'!$M$105</f>
        <v>0</v>
      </c>
      <c r="K3250" s="728"/>
      <c r="L3250" s="68">
        <f>L1821/1.18-L2536*'Mark Up Validation'!$M$105</f>
        <v>0</v>
      </c>
      <c r="M3250" s="728"/>
      <c r="N3250" s="68">
        <f>N1821/1.18-N2536*'Mark Up Validation'!$M$105</f>
        <v>0</v>
      </c>
      <c r="O3250" s="728"/>
      <c r="P3250" s="68">
        <f>P1821/1.18-P2536*'Mark Up Validation'!$M$105</f>
        <v>0</v>
      </c>
      <c r="Q3250" s="728"/>
      <c r="R3250" s="132">
        <f>SUM(F3250,H3250,J3250,L3250,N3250,P3250)</f>
        <v>0</v>
      </c>
      <c r="S3250" s="728"/>
      <c r="T3250" s="68">
        <f>T1821/1.18-T2536*'Mark Up Validation'!$S$105</f>
        <v>0</v>
      </c>
      <c r="U3250" s="728"/>
      <c r="V3250" s="68">
        <f>V1821/1.18-V2536*'Mark Up Validation'!$S$105</f>
        <v>0</v>
      </c>
      <c r="W3250" s="728"/>
      <c r="X3250" s="68">
        <f>X1821/1.18-X2536*'Mark Up Validation'!$S$105</f>
        <v>0</v>
      </c>
      <c r="Y3250" s="728"/>
      <c r="Z3250" s="68">
        <f>Z1821/1.18-Z2536*'Mark Up Validation'!$S$105</f>
        <v>0</v>
      </c>
      <c r="AA3250" s="728"/>
      <c r="AB3250" s="68">
        <f>AB1821/1.18-AB2536*'Mark Up Validation'!$S$105</f>
        <v>0</v>
      </c>
      <c r="AC3250" s="728"/>
      <c r="AD3250" s="68">
        <f>AD1821/1.18-AD2536*'Mark Up Validation'!$S$105</f>
        <v>0</v>
      </c>
      <c r="AE3250" s="728"/>
      <c r="AF3250" s="132">
        <f>SUM(T3250,V3250,X3250,Z3250,AB3250,AD3250)</f>
        <v>0</v>
      </c>
      <c r="AG3250" s="728"/>
      <c r="AH3250" s="133">
        <f>SUM(AF3250,R3250)</f>
        <v>0</v>
      </c>
      <c r="AI3250" s="728"/>
      <c r="AJ3250" s="65"/>
      <c r="AV3250" s="56"/>
    </row>
    <row r="3251" spans="1:48" ht="13.5" customHeight="1" outlineLevel="2" thickBot="1">
      <c r="B3251" s="82"/>
      <c r="C3251" s="1235"/>
      <c r="D3251" s="1235"/>
      <c r="E3251" s="85">
        <f>'Terms and Turnovers'!$AX$12</f>
        <v>0</v>
      </c>
      <c r="F3251" s="68">
        <f>F1822/1.18-F2537*'Mark Up Validation'!$M$105</f>
        <v>0</v>
      </c>
      <c r="G3251" s="106"/>
      <c r="H3251" s="68">
        <f>H1822/1.18-H2537*'Mark Up Validation'!$M$105</f>
        <v>0</v>
      </c>
      <c r="I3251" s="106"/>
      <c r="J3251" s="68">
        <f>J1822/1.18-J2537*'Mark Up Validation'!$M$105</f>
        <v>0</v>
      </c>
      <c r="K3251" s="106"/>
      <c r="L3251" s="68">
        <f>L1822/1.18-L2537*'Mark Up Validation'!$M$105</f>
        <v>0</v>
      </c>
      <c r="M3251" s="106"/>
      <c r="N3251" s="68">
        <f>N1822/1.18-N2537*'Mark Up Validation'!$M$105</f>
        <v>0</v>
      </c>
      <c r="O3251" s="106"/>
      <c r="P3251" s="68">
        <f>P1822/1.18-P2537*'Mark Up Validation'!$M$105</f>
        <v>0</v>
      </c>
      <c r="Q3251" s="107"/>
      <c r="R3251" s="135">
        <f>SUM(F3251,H3251,J3251,L3251,N3251,P3251)</f>
        <v>0</v>
      </c>
      <c r="S3251" s="107"/>
      <c r="T3251" s="68">
        <f>T1822/1.18-T2537*'Mark Up Validation'!$S$105</f>
        <v>0</v>
      </c>
      <c r="U3251" s="107"/>
      <c r="V3251" s="68">
        <f>V1822/1.18-V2537*'Mark Up Validation'!$S$105</f>
        <v>0</v>
      </c>
      <c r="W3251" s="107"/>
      <c r="X3251" s="68">
        <f>X1822/1.18-X2537*'Mark Up Validation'!$S$105</f>
        <v>0</v>
      </c>
      <c r="Y3251" s="107"/>
      <c r="Z3251" s="68">
        <f>Z1822/1.18-Z2537*'Mark Up Validation'!$S$105</f>
        <v>0</v>
      </c>
      <c r="AA3251" s="107"/>
      <c r="AB3251" s="68">
        <f>AB1822/1.18-AB2537*'Mark Up Validation'!$S$105</f>
        <v>0</v>
      </c>
      <c r="AC3251" s="107"/>
      <c r="AD3251" s="68">
        <f>AD1822/1.18-AD2537*'Mark Up Validation'!$S$105</f>
        <v>0</v>
      </c>
      <c r="AE3251" s="107"/>
      <c r="AF3251" s="135">
        <f>SUM(T3251,V3251,X3251,Z3251,AB3251,AD3251)</f>
        <v>0</v>
      </c>
      <c r="AG3251" s="107"/>
      <c r="AH3251" s="136">
        <f>SUM(AF3251,R3251)</f>
        <v>0</v>
      </c>
      <c r="AI3251" s="107"/>
      <c r="AJ3251" s="65"/>
      <c r="AV3251" s="56"/>
    </row>
    <row r="3252" spans="1:48" ht="13.5" customHeight="1" outlineLevel="2">
      <c r="B3252" s="82"/>
      <c r="C3252" s="425"/>
      <c r="D3252" s="425"/>
      <c r="E3252" s="634"/>
      <c r="F3252" s="635"/>
      <c r="G3252" s="428"/>
      <c r="H3252" s="635"/>
      <c r="I3252" s="428"/>
      <c r="J3252" s="635"/>
      <c r="K3252" s="636"/>
      <c r="L3252" s="635"/>
      <c r="M3252" s="636"/>
      <c r="N3252" s="635"/>
      <c r="O3252" s="636"/>
      <c r="P3252" s="635"/>
      <c r="Q3252" s="636"/>
      <c r="R3252" s="637"/>
      <c r="S3252" s="698">
        <f>SUM(R2532:R2536)/1.18-(SUM(R3247:R3251)*'Mark Up Validation'!$M$105)</f>
        <v>0</v>
      </c>
      <c r="T3252" s="635"/>
      <c r="U3252" s="636"/>
      <c r="V3252" s="635"/>
      <c r="W3252" s="636"/>
      <c r="X3252" s="635"/>
      <c r="Y3252" s="636"/>
      <c r="Z3252" s="635"/>
      <c r="AA3252" s="636"/>
      <c r="AB3252" s="635"/>
      <c r="AC3252" s="636"/>
      <c r="AD3252" s="635"/>
      <c r="AE3252" s="636"/>
      <c r="AF3252" s="637"/>
      <c r="AG3252" s="698">
        <f>SUM(AF2532:AF2536)/1.18-SUM(AF3247:AF3251)*'Mark Up Validation'!$M$175</f>
        <v>0</v>
      </c>
      <c r="AH3252" s="638"/>
      <c r="AI3252" s="698">
        <f>SUM(AH2532:AH2536)/1.18-SUM(AH3247:AH3251)*'Mark Up Validation'!$M$175</f>
        <v>0</v>
      </c>
      <c r="AJ3252" s="65"/>
      <c r="AV3252" s="56"/>
    </row>
    <row r="3253" spans="1:48" ht="13.5" customHeight="1" outlineLevel="2" thickBot="1">
      <c r="A3253" s="119"/>
      <c r="B3253" s="82"/>
      <c r="C3253" s="1228" t="s">
        <v>539</v>
      </c>
      <c r="D3253" s="1229"/>
      <c r="E3253" s="699"/>
      <c r="F3253" s="700">
        <f>SUM(F3247:F3251)</f>
        <v>0</v>
      </c>
      <c r="G3253" s="701"/>
      <c r="H3253" s="700">
        <f>SUM(H3247:H3251)</f>
        <v>0</v>
      </c>
      <c r="I3253" s="701"/>
      <c r="J3253" s="700">
        <f>SUM(J3247:J3251)</f>
        <v>0</v>
      </c>
      <c r="K3253" s="702"/>
      <c r="L3253" s="700">
        <f>SUM(L3247:L3251)</f>
        <v>0</v>
      </c>
      <c r="M3253" s="702"/>
      <c r="N3253" s="700">
        <f>SUM(N3247:N3251)</f>
        <v>0</v>
      </c>
      <c r="O3253" s="702"/>
      <c r="P3253" s="700">
        <f>SUM(P3247:P3251)</f>
        <v>0</v>
      </c>
      <c r="Q3253" s="702"/>
      <c r="R3253" s="703"/>
      <c r="S3253" s="729">
        <f>IF(S3252&gt;0,S3252/(SUM(R2532:R2536)/1.18),0)</f>
        <v>0</v>
      </c>
      <c r="T3253" s="700">
        <f>SUM(T3247:T3251)</f>
        <v>0</v>
      </c>
      <c r="U3253" s="702"/>
      <c r="V3253" s="700">
        <f>SUM(V3247:V3251)</f>
        <v>0</v>
      </c>
      <c r="W3253" s="702"/>
      <c r="X3253" s="700">
        <f>SUM(X3247:X3251)</f>
        <v>0</v>
      </c>
      <c r="Y3253" s="702"/>
      <c r="Z3253" s="700">
        <f>SUM(Z3247:Z3251)</f>
        <v>0</v>
      </c>
      <c r="AA3253" s="702"/>
      <c r="AB3253" s="700">
        <f>SUM(AB3247:AB3251)</f>
        <v>0</v>
      </c>
      <c r="AC3253" s="702"/>
      <c r="AD3253" s="700">
        <f>SUM(AD3247:AD3251)</f>
        <v>0</v>
      </c>
      <c r="AE3253" s="702"/>
      <c r="AF3253" s="705"/>
      <c r="AG3253" s="729">
        <f>IF(AG3252&gt;0,AG3252/(SUM(AF2532:AF2536)/1.18),0)</f>
        <v>0</v>
      </c>
      <c r="AH3253" s="706"/>
      <c r="AI3253" s="729">
        <f>IF(AI3252&gt;0,AI3252/(SUM(AH2532:AH2536)/1.18),0)</f>
        <v>0</v>
      </c>
      <c r="AJ3253" s="707"/>
      <c r="AV3253" s="56"/>
    </row>
    <row r="3254" spans="1:48" ht="12.75" customHeight="1" outlineLevel="2" thickBot="1">
      <c r="B3254" s="82">
        <f>B3247+1</f>
        <v>54</v>
      </c>
      <c r="C3254" s="1233">
        <f>C384</f>
        <v>0</v>
      </c>
      <c r="D3254" s="1233">
        <f>D384</f>
        <v>0</v>
      </c>
      <c r="E3254" s="83" t="str">
        <f>'Terms and Turnovers'!$J$12</f>
        <v>FLIP-FLOPS</v>
      </c>
      <c r="F3254" s="68">
        <f>F1825/1.18-F2540*'Mark Up Validation'!$M$105</f>
        <v>0</v>
      </c>
      <c r="G3254" s="106"/>
      <c r="H3254" s="68">
        <f>H1825/1.18-H2540*'Mark Up Validation'!$M$105</f>
        <v>0</v>
      </c>
      <c r="I3254" s="106"/>
      <c r="J3254" s="68">
        <f>J1825/1.18-J2540*'Mark Up Validation'!$M$105</f>
        <v>0</v>
      </c>
      <c r="K3254" s="106"/>
      <c r="L3254" s="68">
        <f>L1825/1.18-L2540*'Mark Up Validation'!$M$105</f>
        <v>0</v>
      </c>
      <c r="M3254" s="106"/>
      <c r="N3254" s="68">
        <f>N1825/1.18-N2540*'Mark Up Validation'!$M$105</f>
        <v>0</v>
      </c>
      <c r="O3254" s="106"/>
      <c r="P3254" s="68">
        <f>P1825/1.18-P2540*'Mark Up Validation'!$M$105</f>
        <v>0</v>
      </c>
      <c r="Q3254" s="106"/>
      <c r="R3254" s="129">
        <f>SUM(F3254,H3254,J3254,L3254,N3254,P3254)</f>
        <v>0</v>
      </c>
      <c r="S3254" s="106"/>
      <c r="T3254" s="68">
        <f>T1825/1.18-T2540*'Mark Up Validation'!$S$105</f>
        <v>0</v>
      </c>
      <c r="U3254" s="106"/>
      <c r="V3254" s="68">
        <f>V1825/1.18-V2540*'Mark Up Validation'!$S$105</f>
        <v>0</v>
      </c>
      <c r="W3254" s="106"/>
      <c r="X3254" s="68">
        <f>X1825/1.18-X2540*'Mark Up Validation'!$S$105</f>
        <v>0</v>
      </c>
      <c r="Y3254" s="106"/>
      <c r="Z3254" s="68">
        <f>Z1825/1.18-Z2540*'Mark Up Validation'!$S$105</f>
        <v>0</v>
      </c>
      <c r="AA3254" s="106"/>
      <c r="AB3254" s="68">
        <f>AB1825/1.18-AB2540*'Mark Up Validation'!$S$105</f>
        <v>0</v>
      </c>
      <c r="AC3254" s="106"/>
      <c r="AD3254" s="68">
        <f>AD1825/1.18-AD2540*'Mark Up Validation'!$S$105</f>
        <v>0</v>
      </c>
      <c r="AE3254" s="106"/>
      <c r="AF3254" s="129">
        <f>SUM(T3254,V3254,X3254,Z3254,AB3254,AD3254)</f>
        <v>0</v>
      </c>
      <c r="AG3254" s="106"/>
      <c r="AH3254" s="130">
        <f>SUM(AF3254,R3254)</f>
        <v>0</v>
      </c>
      <c r="AI3254" s="106"/>
      <c r="AJ3254" s="65"/>
      <c r="AV3254" s="56"/>
    </row>
    <row r="3255" spans="1:48" ht="12.75" customHeight="1" outlineLevel="2" thickBot="1">
      <c r="B3255" s="82"/>
      <c r="C3255" s="1234"/>
      <c r="D3255" s="1234"/>
      <c r="E3255" s="84" t="str">
        <f>'Terms and Turnovers'!$T$12</f>
        <v>ORIGINALS</v>
      </c>
      <c r="F3255" s="68">
        <f>F1826/1.18-F2541*'Mark Up Validation'!$M$105</f>
        <v>0</v>
      </c>
      <c r="G3255" s="728"/>
      <c r="H3255" s="68">
        <f>H1826/1.18-H2541*'Mark Up Validation'!$M$105</f>
        <v>0</v>
      </c>
      <c r="I3255" s="728"/>
      <c r="J3255" s="68">
        <f>J1826/1.18-J2541*'Mark Up Validation'!$M$105</f>
        <v>0</v>
      </c>
      <c r="K3255" s="728"/>
      <c r="L3255" s="68">
        <f>L1826/1.18-L2541*'Mark Up Validation'!$M$105</f>
        <v>0</v>
      </c>
      <c r="M3255" s="728"/>
      <c r="N3255" s="68">
        <f>N1826/1.18-N2541*'Mark Up Validation'!$M$105</f>
        <v>0</v>
      </c>
      <c r="O3255" s="728"/>
      <c r="P3255" s="68">
        <f>P1826/1.18-P2541*'Mark Up Validation'!$M$105</f>
        <v>0</v>
      </c>
      <c r="Q3255" s="728"/>
      <c r="R3255" s="132">
        <f>SUM(F3255,H3255,J3255,L3255,N3255,P3255)</f>
        <v>0</v>
      </c>
      <c r="S3255" s="728"/>
      <c r="T3255" s="68">
        <f>T1826/1.18-T2541*'Mark Up Validation'!$S$105</f>
        <v>0</v>
      </c>
      <c r="U3255" s="728"/>
      <c r="V3255" s="68">
        <f>V1826/1.18-V2541*'Mark Up Validation'!$S$105</f>
        <v>0</v>
      </c>
      <c r="W3255" s="728"/>
      <c r="X3255" s="68">
        <f>X1826/1.18-X2541*'Mark Up Validation'!$S$105</f>
        <v>0</v>
      </c>
      <c r="Y3255" s="728"/>
      <c r="Z3255" s="68">
        <f>Z1826/1.18-Z2541*'Mark Up Validation'!$S$105</f>
        <v>0</v>
      </c>
      <c r="AA3255" s="728"/>
      <c r="AB3255" s="68">
        <f>AB1826/1.18-AB2541*'Mark Up Validation'!$S$105</f>
        <v>0</v>
      </c>
      <c r="AC3255" s="728"/>
      <c r="AD3255" s="68">
        <f>AD1826/1.18-AD2541*'Mark Up Validation'!$S$105</f>
        <v>0</v>
      </c>
      <c r="AE3255" s="728"/>
      <c r="AF3255" s="132">
        <f>SUM(T3255,V3255,X3255,Z3255,AB3255,AD3255)</f>
        <v>0</v>
      </c>
      <c r="AG3255" s="728"/>
      <c r="AH3255" s="133">
        <f>SUM(AF3255,R3255)</f>
        <v>0</v>
      </c>
      <c r="AI3255" s="728"/>
      <c r="AJ3255" s="65"/>
      <c r="AV3255" s="56"/>
    </row>
    <row r="3256" spans="1:48" ht="12.75" customHeight="1" outlineLevel="2" thickBot="1">
      <c r="B3256" s="82"/>
      <c r="C3256" s="1234"/>
      <c r="D3256" s="1234"/>
      <c r="E3256" s="84" t="str">
        <f>'Terms and Turnovers'!$AD$12</f>
        <v>ACCESSORIES</v>
      </c>
      <c r="F3256" s="68">
        <f>F1827/1.18-F2542*'Mark Up Validation'!$M$105</f>
        <v>0</v>
      </c>
      <c r="G3256" s="106"/>
      <c r="H3256" s="68">
        <f>H1827/1.18-H2542*'Mark Up Validation'!$M$105</f>
        <v>0</v>
      </c>
      <c r="I3256" s="106"/>
      <c r="J3256" s="68">
        <f>J1827/1.18-J2542*'Mark Up Validation'!$M$105</f>
        <v>0</v>
      </c>
      <c r="K3256" s="106"/>
      <c r="L3256" s="68">
        <f>L1827/1.18-L2542*'Mark Up Validation'!$M$105</f>
        <v>0</v>
      </c>
      <c r="M3256" s="106"/>
      <c r="N3256" s="68">
        <f>N1827/1.18-N2542*'Mark Up Validation'!$M$105</f>
        <v>0</v>
      </c>
      <c r="O3256" s="106"/>
      <c r="P3256" s="68">
        <f>P1827/1.18-P2542*'Mark Up Validation'!$M$105</f>
        <v>0</v>
      </c>
      <c r="Q3256" s="728"/>
      <c r="R3256" s="132">
        <f>SUM(F3256,H3256,J3256,L3256,N3256,P3256)</f>
        <v>0</v>
      </c>
      <c r="S3256" s="728"/>
      <c r="T3256" s="68">
        <f>T1827/1.18-T2542*'Mark Up Validation'!$S$105</f>
        <v>0</v>
      </c>
      <c r="U3256" s="728"/>
      <c r="V3256" s="68">
        <f>V1827/1.18-V2542*'Mark Up Validation'!$S$105</f>
        <v>0</v>
      </c>
      <c r="W3256" s="728"/>
      <c r="X3256" s="68">
        <f>X1827/1.18-X2542*'Mark Up Validation'!$S$105</f>
        <v>0</v>
      </c>
      <c r="Y3256" s="728"/>
      <c r="Z3256" s="68">
        <f>Z1827/1.18-Z2542*'Mark Up Validation'!$S$105</f>
        <v>0</v>
      </c>
      <c r="AA3256" s="728"/>
      <c r="AB3256" s="68">
        <f>AB1827/1.18-AB2542*'Mark Up Validation'!$S$105</f>
        <v>0</v>
      </c>
      <c r="AC3256" s="728"/>
      <c r="AD3256" s="68">
        <f>AD1827/1.18-AD2542*'Mark Up Validation'!$S$105</f>
        <v>0</v>
      </c>
      <c r="AE3256" s="728"/>
      <c r="AF3256" s="132">
        <f>SUM(T3256,V3256,X3256,Z3256,AB3256,AD3256)</f>
        <v>0</v>
      </c>
      <c r="AG3256" s="728"/>
      <c r="AH3256" s="133">
        <f>SUM(AF3256,R3256)</f>
        <v>0</v>
      </c>
      <c r="AI3256" s="728"/>
      <c r="AJ3256" s="65"/>
      <c r="AV3256" s="56"/>
    </row>
    <row r="3257" spans="1:48" ht="12.75" customHeight="1" outlineLevel="2" thickBot="1">
      <c r="B3257" s="82"/>
      <c r="C3257" s="1234"/>
      <c r="D3257" s="1234"/>
      <c r="E3257" s="84">
        <f>'Terms and Turnovers'!$AN$12</f>
        <v>0</v>
      </c>
      <c r="F3257" s="68">
        <f>F1828/1.18-F2543*'Mark Up Validation'!$M$105</f>
        <v>0</v>
      </c>
      <c r="G3257" s="728"/>
      <c r="H3257" s="68">
        <f>H1828/1.18-H2543*'Mark Up Validation'!$M$105</f>
        <v>0</v>
      </c>
      <c r="I3257" s="728"/>
      <c r="J3257" s="68">
        <f>J1828/1.18-J2543*'Mark Up Validation'!$M$105</f>
        <v>0</v>
      </c>
      <c r="K3257" s="728"/>
      <c r="L3257" s="68">
        <f>L1828/1.18-L2543*'Mark Up Validation'!$M$105</f>
        <v>0</v>
      </c>
      <c r="M3257" s="728"/>
      <c r="N3257" s="68">
        <f>N1828/1.18-N2543*'Mark Up Validation'!$M$105</f>
        <v>0</v>
      </c>
      <c r="O3257" s="728"/>
      <c r="P3257" s="68">
        <f>P1828/1.18-P2543*'Mark Up Validation'!$M$105</f>
        <v>0</v>
      </c>
      <c r="Q3257" s="728"/>
      <c r="R3257" s="132">
        <f>SUM(F3257,H3257,J3257,L3257,N3257,P3257)</f>
        <v>0</v>
      </c>
      <c r="S3257" s="728"/>
      <c r="T3257" s="68">
        <f>T1828/1.18-T2543*'Mark Up Validation'!$S$105</f>
        <v>0</v>
      </c>
      <c r="U3257" s="728"/>
      <c r="V3257" s="68">
        <f>V1828/1.18-V2543*'Mark Up Validation'!$S$105</f>
        <v>0</v>
      </c>
      <c r="W3257" s="728"/>
      <c r="X3257" s="68">
        <f>X1828/1.18-X2543*'Mark Up Validation'!$S$105</f>
        <v>0</v>
      </c>
      <c r="Y3257" s="728"/>
      <c r="Z3257" s="68">
        <f>Z1828/1.18-Z2543*'Mark Up Validation'!$S$105</f>
        <v>0</v>
      </c>
      <c r="AA3257" s="728"/>
      <c r="AB3257" s="68">
        <f>AB1828/1.18-AB2543*'Mark Up Validation'!$S$105</f>
        <v>0</v>
      </c>
      <c r="AC3257" s="728"/>
      <c r="AD3257" s="68">
        <f>AD1828/1.18-AD2543*'Mark Up Validation'!$S$105</f>
        <v>0</v>
      </c>
      <c r="AE3257" s="728"/>
      <c r="AF3257" s="132">
        <f>SUM(T3257,V3257,X3257,Z3257,AB3257,AD3257)</f>
        <v>0</v>
      </c>
      <c r="AG3257" s="728"/>
      <c r="AH3257" s="133">
        <f>SUM(AF3257,R3257)</f>
        <v>0</v>
      </c>
      <c r="AI3257" s="728"/>
      <c r="AJ3257" s="65"/>
      <c r="AV3257" s="56"/>
    </row>
    <row r="3258" spans="1:48" ht="13.5" customHeight="1" outlineLevel="2" thickBot="1">
      <c r="B3258" s="82"/>
      <c r="C3258" s="1235"/>
      <c r="D3258" s="1235"/>
      <c r="E3258" s="85">
        <f>'Terms and Turnovers'!$AX$12</f>
        <v>0</v>
      </c>
      <c r="F3258" s="68">
        <f>F1829/1.18-F2544*'Mark Up Validation'!$M$105</f>
        <v>0</v>
      </c>
      <c r="G3258" s="106"/>
      <c r="H3258" s="68">
        <f>H1829/1.18-H2544*'Mark Up Validation'!$M$105</f>
        <v>0</v>
      </c>
      <c r="I3258" s="106"/>
      <c r="J3258" s="68">
        <f>J1829/1.18-J2544*'Mark Up Validation'!$M$105</f>
        <v>0</v>
      </c>
      <c r="K3258" s="106"/>
      <c r="L3258" s="68">
        <f>L1829/1.18-L2544*'Mark Up Validation'!$M$105</f>
        <v>0</v>
      </c>
      <c r="M3258" s="106"/>
      <c r="N3258" s="68">
        <f>N1829/1.18-N2544*'Mark Up Validation'!$M$105</f>
        <v>0</v>
      </c>
      <c r="O3258" s="106"/>
      <c r="P3258" s="68">
        <f>P1829/1.18-P2544*'Mark Up Validation'!$M$105</f>
        <v>0</v>
      </c>
      <c r="Q3258" s="107"/>
      <c r="R3258" s="135">
        <f>SUM(F3258,H3258,J3258,L3258,N3258,P3258)</f>
        <v>0</v>
      </c>
      <c r="S3258" s="107"/>
      <c r="T3258" s="68">
        <f>T1829/1.18-T2544*'Mark Up Validation'!$S$105</f>
        <v>0</v>
      </c>
      <c r="U3258" s="107"/>
      <c r="V3258" s="68">
        <f>V1829/1.18-V2544*'Mark Up Validation'!$S$105</f>
        <v>0</v>
      </c>
      <c r="W3258" s="107"/>
      <c r="X3258" s="68">
        <f>X1829/1.18-X2544*'Mark Up Validation'!$S$105</f>
        <v>0</v>
      </c>
      <c r="Y3258" s="107"/>
      <c r="Z3258" s="68">
        <f>Z1829/1.18-Z2544*'Mark Up Validation'!$S$105</f>
        <v>0</v>
      </c>
      <c r="AA3258" s="107"/>
      <c r="AB3258" s="68">
        <f>AB1829/1.18-AB2544*'Mark Up Validation'!$S$105</f>
        <v>0</v>
      </c>
      <c r="AC3258" s="107"/>
      <c r="AD3258" s="68">
        <f>AD1829/1.18-AD2544*'Mark Up Validation'!$S$105</f>
        <v>0</v>
      </c>
      <c r="AE3258" s="107"/>
      <c r="AF3258" s="135">
        <f>SUM(T3258,V3258,X3258,Z3258,AB3258,AD3258)</f>
        <v>0</v>
      </c>
      <c r="AG3258" s="107"/>
      <c r="AH3258" s="136">
        <f>SUM(AF3258,R3258)</f>
        <v>0</v>
      </c>
      <c r="AI3258" s="107"/>
      <c r="AJ3258" s="65"/>
      <c r="AV3258" s="56"/>
    </row>
    <row r="3259" spans="1:48" ht="13.5" customHeight="1" outlineLevel="2">
      <c r="B3259" s="82"/>
      <c r="C3259" s="425"/>
      <c r="D3259" s="425"/>
      <c r="E3259" s="634"/>
      <c r="F3259" s="635"/>
      <c r="G3259" s="428"/>
      <c r="H3259" s="635"/>
      <c r="I3259" s="428"/>
      <c r="J3259" s="635"/>
      <c r="K3259" s="636"/>
      <c r="L3259" s="635"/>
      <c r="M3259" s="636"/>
      <c r="N3259" s="635"/>
      <c r="O3259" s="636"/>
      <c r="P3259" s="635"/>
      <c r="Q3259" s="636"/>
      <c r="R3259" s="637"/>
      <c r="S3259" s="698">
        <f>SUM(R2539:R2543)/1.18-(SUM(R3254:R3258)*'Mark Up Validation'!$M$105)</f>
        <v>0</v>
      </c>
      <c r="T3259" s="635"/>
      <c r="U3259" s="636"/>
      <c r="V3259" s="635"/>
      <c r="W3259" s="636"/>
      <c r="X3259" s="635"/>
      <c r="Y3259" s="636"/>
      <c r="Z3259" s="635"/>
      <c r="AA3259" s="636"/>
      <c r="AB3259" s="635"/>
      <c r="AC3259" s="636"/>
      <c r="AD3259" s="635"/>
      <c r="AE3259" s="636"/>
      <c r="AF3259" s="637"/>
      <c r="AG3259" s="698">
        <f>SUM(AF2539:AF2543)/1.18-SUM(AF3254:AF3258)*'Mark Up Validation'!$M$175</f>
        <v>0</v>
      </c>
      <c r="AH3259" s="638"/>
      <c r="AI3259" s="698">
        <f>SUM(AH2539:AH2543)/1.18-SUM(AH3254:AH3258)*'Mark Up Validation'!$M$175</f>
        <v>0</v>
      </c>
      <c r="AJ3259" s="65"/>
      <c r="AV3259" s="56"/>
    </row>
    <row r="3260" spans="1:48" ht="13.5" customHeight="1" outlineLevel="2" thickBot="1">
      <c r="A3260" s="119"/>
      <c r="B3260" s="82"/>
      <c r="C3260" s="1228" t="s">
        <v>539</v>
      </c>
      <c r="D3260" s="1229"/>
      <c r="E3260" s="699"/>
      <c r="F3260" s="700">
        <f>SUM(F3254:F3258)</f>
        <v>0</v>
      </c>
      <c r="G3260" s="701"/>
      <c r="H3260" s="700">
        <f>SUM(H3254:H3258)</f>
        <v>0</v>
      </c>
      <c r="I3260" s="701"/>
      <c r="J3260" s="700">
        <f>SUM(J3254:J3258)</f>
        <v>0</v>
      </c>
      <c r="K3260" s="702"/>
      <c r="L3260" s="700">
        <f>SUM(L3254:L3258)</f>
        <v>0</v>
      </c>
      <c r="M3260" s="702"/>
      <c r="N3260" s="700">
        <f>SUM(N3254:N3258)</f>
        <v>0</v>
      </c>
      <c r="O3260" s="702"/>
      <c r="P3260" s="700">
        <f>SUM(P3254:P3258)</f>
        <v>0</v>
      </c>
      <c r="Q3260" s="702"/>
      <c r="R3260" s="703"/>
      <c r="S3260" s="729">
        <f>IF(S3259&gt;0,S3259/(SUM(R2539:R2543)/1.18),0)</f>
        <v>0</v>
      </c>
      <c r="T3260" s="700">
        <f>SUM(T3254:T3258)</f>
        <v>0</v>
      </c>
      <c r="U3260" s="702"/>
      <c r="V3260" s="700">
        <f>SUM(V3254:V3258)</f>
        <v>0</v>
      </c>
      <c r="W3260" s="702"/>
      <c r="X3260" s="700">
        <f>SUM(X3254:X3258)</f>
        <v>0</v>
      </c>
      <c r="Y3260" s="702"/>
      <c r="Z3260" s="700">
        <f>SUM(Z3254:Z3258)</f>
        <v>0</v>
      </c>
      <c r="AA3260" s="702"/>
      <c r="AB3260" s="700">
        <f>SUM(AB3254:AB3258)</f>
        <v>0</v>
      </c>
      <c r="AC3260" s="702"/>
      <c r="AD3260" s="700">
        <f>SUM(AD3254:AD3258)</f>
        <v>0</v>
      </c>
      <c r="AE3260" s="702"/>
      <c r="AF3260" s="705"/>
      <c r="AG3260" s="729">
        <f>IF(AG3259&gt;0,AG3259/(SUM(AF2539:AF2543)/1.18),0)</f>
        <v>0</v>
      </c>
      <c r="AH3260" s="706"/>
      <c r="AI3260" s="729">
        <f>IF(AI3259&gt;0,AI3259/(SUM(AH2539:AH2543)/1.18),0)</f>
        <v>0</v>
      </c>
      <c r="AJ3260" s="707"/>
      <c r="AV3260" s="56"/>
    </row>
    <row r="3261" spans="1:48" ht="12.75" customHeight="1" outlineLevel="2" thickBot="1">
      <c r="B3261" s="82">
        <f>B3254+1</f>
        <v>55</v>
      </c>
      <c r="C3261" s="1233">
        <f>C391</f>
        <v>0</v>
      </c>
      <c r="D3261" s="1233">
        <f>D391</f>
        <v>0</v>
      </c>
      <c r="E3261" s="83" t="str">
        <f>'Terms and Turnovers'!$J$12</f>
        <v>FLIP-FLOPS</v>
      </c>
      <c r="F3261" s="68">
        <f>F1832/1.18-F2547*'Mark Up Validation'!$M$105</f>
        <v>0</v>
      </c>
      <c r="G3261" s="106"/>
      <c r="H3261" s="68">
        <f>H1832/1.18-H2547*'Mark Up Validation'!$M$105</f>
        <v>0</v>
      </c>
      <c r="I3261" s="106"/>
      <c r="J3261" s="68">
        <f>J1832/1.18-J2547*'Mark Up Validation'!$M$105</f>
        <v>0</v>
      </c>
      <c r="K3261" s="106"/>
      <c r="L3261" s="68">
        <f>L1832/1.18-L2547*'Mark Up Validation'!$M$105</f>
        <v>0</v>
      </c>
      <c r="M3261" s="106"/>
      <c r="N3261" s="68">
        <f>N1832/1.18-N2547*'Mark Up Validation'!$M$105</f>
        <v>0</v>
      </c>
      <c r="O3261" s="106"/>
      <c r="P3261" s="68">
        <f>P1832/1.18-P2547*'Mark Up Validation'!$M$105</f>
        <v>0</v>
      </c>
      <c r="Q3261" s="106"/>
      <c r="R3261" s="129">
        <f>SUM(F3261,H3261,J3261,L3261,N3261,P3261)</f>
        <v>0</v>
      </c>
      <c r="S3261" s="106"/>
      <c r="T3261" s="68">
        <f>T1832/1.18-T2547*'Mark Up Validation'!$S$105</f>
        <v>0</v>
      </c>
      <c r="U3261" s="106"/>
      <c r="V3261" s="68">
        <f>V1832/1.18-V2547*'Mark Up Validation'!$S$105</f>
        <v>0</v>
      </c>
      <c r="W3261" s="106"/>
      <c r="X3261" s="68">
        <f>X1832/1.18-X2547*'Mark Up Validation'!$S$105</f>
        <v>0</v>
      </c>
      <c r="Y3261" s="106"/>
      <c r="Z3261" s="68">
        <f>Z1832/1.18-Z2547*'Mark Up Validation'!$S$105</f>
        <v>0</v>
      </c>
      <c r="AA3261" s="106"/>
      <c r="AB3261" s="68">
        <f>AB1832/1.18-AB2547*'Mark Up Validation'!$S$105</f>
        <v>0</v>
      </c>
      <c r="AC3261" s="106"/>
      <c r="AD3261" s="68">
        <f>AD1832/1.18-AD2547*'Mark Up Validation'!$S$105</f>
        <v>0</v>
      </c>
      <c r="AE3261" s="106"/>
      <c r="AF3261" s="129">
        <f>SUM(T3261,V3261,X3261,Z3261,AB3261,AD3261)</f>
        <v>0</v>
      </c>
      <c r="AG3261" s="106"/>
      <c r="AH3261" s="130">
        <f>SUM(AF3261,R3261)</f>
        <v>0</v>
      </c>
      <c r="AI3261" s="106"/>
      <c r="AJ3261" s="65"/>
      <c r="AV3261" s="56"/>
    </row>
    <row r="3262" spans="1:48" ht="12.75" customHeight="1" outlineLevel="2" thickBot="1">
      <c r="B3262" s="82"/>
      <c r="C3262" s="1234"/>
      <c r="D3262" s="1234"/>
      <c r="E3262" s="84" t="str">
        <f>'Terms and Turnovers'!$T$12</f>
        <v>ORIGINALS</v>
      </c>
      <c r="F3262" s="68">
        <f>F1833/1.18-F2548*'Mark Up Validation'!$M$105</f>
        <v>0</v>
      </c>
      <c r="G3262" s="728"/>
      <c r="H3262" s="68">
        <f>H1833/1.18-H2548*'Mark Up Validation'!$M$105</f>
        <v>0</v>
      </c>
      <c r="I3262" s="728"/>
      <c r="J3262" s="68">
        <f>J1833/1.18-J2548*'Mark Up Validation'!$M$105</f>
        <v>0</v>
      </c>
      <c r="K3262" s="728"/>
      <c r="L3262" s="68">
        <f>L1833/1.18-L2548*'Mark Up Validation'!$M$105</f>
        <v>0</v>
      </c>
      <c r="M3262" s="728"/>
      <c r="N3262" s="68">
        <f>N1833/1.18-N2548*'Mark Up Validation'!$M$105</f>
        <v>0</v>
      </c>
      <c r="O3262" s="728"/>
      <c r="P3262" s="68">
        <f>P1833/1.18-P2548*'Mark Up Validation'!$M$105</f>
        <v>0</v>
      </c>
      <c r="Q3262" s="728"/>
      <c r="R3262" s="132">
        <f>SUM(F3262,H3262,J3262,L3262,N3262,P3262)</f>
        <v>0</v>
      </c>
      <c r="S3262" s="728"/>
      <c r="T3262" s="68">
        <f>T1833/1.18-T2548*'Mark Up Validation'!$S$105</f>
        <v>0</v>
      </c>
      <c r="U3262" s="728"/>
      <c r="V3262" s="68">
        <f>V1833/1.18-V2548*'Mark Up Validation'!$S$105</f>
        <v>0</v>
      </c>
      <c r="W3262" s="728"/>
      <c r="X3262" s="68">
        <f>X1833/1.18-X2548*'Mark Up Validation'!$S$105</f>
        <v>0</v>
      </c>
      <c r="Y3262" s="728"/>
      <c r="Z3262" s="68">
        <f>Z1833/1.18-Z2548*'Mark Up Validation'!$S$105</f>
        <v>0</v>
      </c>
      <c r="AA3262" s="728"/>
      <c r="AB3262" s="68">
        <f>AB1833/1.18-AB2548*'Mark Up Validation'!$S$105</f>
        <v>0</v>
      </c>
      <c r="AC3262" s="728"/>
      <c r="AD3262" s="68">
        <f>AD1833/1.18-AD2548*'Mark Up Validation'!$S$105</f>
        <v>0</v>
      </c>
      <c r="AE3262" s="728"/>
      <c r="AF3262" s="132">
        <f>SUM(T3262,V3262,X3262,Z3262,AB3262,AD3262)</f>
        <v>0</v>
      </c>
      <c r="AG3262" s="728"/>
      <c r="AH3262" s="133">
        <f>SUM(AF3262,R3262)</f>
        <v>0</v>
      </c>
      <c r="AI3262" s="728"/>
      <c r="AJ3262" s="65"/>
      <c r="AV3262" s="56"/>
    </row>
    <row r="3263" spans="1:48" ht="12.75" customHeight="1" outlineLevel="2" thickBot="1">
      <c r="B3263" s="82"/>
      <c r="C3263" s="1234"/>
      <c r="D3263" s="1234"/>
      <c r="E3263" s="84" t="str">
        <f>'Terms and Turnovers'!$AD$12</f>
        <v>ACCESSORIES</v>
      </c>
      <c r="F3263" s="68">
        <f>F1834/1.18-F2549*'Mark Up Validation'!$M$105</f>
        <v>0</v>
      </c>
      <c r="G3263" s="106"/>
      <c r="H3263" s="68">
        <f>H1834/1.18-H2549*'Mark Up Validation'!$M$105</f>
        <v>0</v>
      </c>
      <c r="I3263" s="106"/>
      <c r="J3263" s="68">
        <f>J1834/1.18-J2549*'Mark Up Validation'!$M$105</f>
        <v>0</v>
      </c>
      <c r="K3263" s="106"/>
      <c r="L3263" s="68">
        <f>L1834/1.18-L2549*'Mark Up Validation'!$M$105</f>
        <v>0</v>
      </c>
      <c r="M3263" s="106"/>
      <c r="N3263" s="68">
        <f>N1834/1.18-N2549*'Mark Up Validation'!$M$105</f>
        <v>0</v>
      </c>
      <c r="O3263" s="106"/>
      <c r="P3263" s="68">
        <f>P1834/1.18-P2549*'Mark Up Validation'!$M$105</f>
        <v>0</v>
      </c>
      <c r="Q3263" s="728"/>
      <c r="R3263" s="132">
        <f>SUM(F3263,H3263,J3263,L3263,N3263,P3263)</f>
        <v>0</v>
      </c>
      <c r="S3263" s="728"/>
      <c r="T3263" s="68">
        <f>T1834/1.18-T2549*'Mark Up Validation'!$S$105</f>
        <v>0</v>
      </c>
      <c r="U3263" s="728"/>
      <c r="V3263" s="68">
        <f>V1834/1.18-V2549*'Mark Up Validation'!$S$105</f>
        <v>0</v>
      </c>
      <c r="W3263" s="728"/>
      <c r="X3263" s="68">
        <f>X1834/1.18-X2549*'Mark Up Validation'!$S$105</f>
        <v>0</v>
      </c>
      <c r="Y3263" s="728"/>
      <c r="Z3263" s="68">
        <f>Z1834/1.18-Z2549*'Mark Up Validation'!$S$105</f>
        <v>0</v>
      </c>
      <c r="AA3263" s="728"/>
      <c r="AB3263" s="68">
        <f>AB1834/1.18-AB2549*'Mark Up Validation'!$S$105</f>
        <v>0</v>
      </c>
      <c r="AC3263" s="728"/>
      <c r="AD3263" s="68">
        <f>AD1834/1.18-AD2549*'Mark Up Validation'!$S$105</f>
        <v>0</v>
      </c>
      <c r="AE3263" s="728"/>
      <c r="AF3263" s="132">
        <f>SUM(T3263,V3263,X3263,Z3263,AB3263,AD3263)</f>
        <v>0</v>
      </c>
      <c r="AG3263" s="728"/>
      <c r="AH3263" s="133">
        <f>SUM(AF3263,R3263)</f>
        <v>0</v>
      </c>
      <c r="AI3263" s="728"/>
      <c r="AJ3263" s="65"/>
      <c r="AV3263" s="56"/>
    </row>
    <row r="3264" spans="1:48" ht="12.75" customHeight="1" outlineLevel="2" thickBot="1">
      <c r="B3264" s="82"/>
      <c r="C3264" s="1234"/>
      <c r="D3264" s="1234"/>
      <c r="E3264" s="84">
        <f>'Terms and Turnovers'!$AN$12</f>
        <v>0</v>
      </c>
      <c r="F3264" s="68">
        <f>F1835/1.18-F2550*'Mark Up Validation'!$M$105</f>
        <v>0</v>
      </c>
      <c r="G3264" s="728"/>
      <c r="H3264" s="68">
        <f>H1835/1.18-H2550*'Mark Up Validation'!$M$105</f>
        <v>0</v>
      </c>
      <c r="I3264" s="728"/>
      <c r="J3264" s="68">
        <f>J1835/1.18-J2550*'Mark Up Validation'!$M$105</f>
        <v>0</v>
      </c>
      <c r="K3264" s="728"/>
      <c r="L3264" s="68">
        <f>L1835/1.18-L2550*'Mark Up Validation'!$M$105</f>
        <v>0</v>
      </c>
      <c r="M3264" s="728"/>
      <c r="N3264" s="68">
        <f>N1835/1.18-N2550*'Mark Up Validation'!$M$105</f>
        <v>0</v>
      </c>
      <c r="O3264" s="728"/>
      <c r="P3264" s="68">
        <f>P1835/1.18-P2550*'Mark Up Validation'!$M$105</f>
        <v>0</v>
      </c>
      <c r="Q3264" s="728"/>
      <c r="R3264" s="132">
        <f>SUM(F3264,H3264,J3264,L3264,N3264,P3264)</f>
        <v>0</v>
      </c>
      <c r="S3264" s="728"/>
      <c r="T3264" s="68">
        <f>T1835/1.18-T2550*'Mark Up Validation'!$S$105</f>
        <v>0</v>
      </c>
      <c r="U3264" s="728"/>
      <c r="V3264" s="68">
        <f>V1835/1.18-V2550*'Mark Up Validation'!$S$105</f>
        <v>0</v>
      </c>
      <c r="W3264" s="728"/>
      <c r="X3264" s="68">
        <f>X1835/1.18-X2550*'Mark Up Validation'!$S$105</f>
        <v>0</v>
      </c>
      <c r="Y3264" s="728"/>
      <c r="Z3264" s="68">
        <f>Z1835/1.18-Z2550*'Mark Up Validation'!$S$105</f>
        <v>0</v>
      </c>
      <c r="AA3264" s="728"/>
      <c r="AB3264" s="68">
        <f>AB1835/1.18-AB2550*'Mark Up Validation'!$S$105</f>
        <v>0</v>
      </c>
      <c r="AC3264" s="728"/>
      <c r="AD3264" s="68">
        <f>AD1835/1.18-AD2550*'Mark Up Validation'!$S$105</f>
        <v>0</v>
      </c>
      <c r="AE3264" s="728"/>
      <c r="AF3264" s="132">
        <f>SUM(T3264,V3264,X3264,Z3264,AB3264,AD3264)</f>
        <v>0</v>
      </c>
      <c r="AG3264" s="728"/>
      <c r="AH3264" s="133">
        <f>SUM(AF3264,R3264)</f>
        <v>0</v>
      </c>
      <c r="AI3264" s="728"/>
      <c r="AJ3264" s="65"/>
      <c r="AV3264" s="56"/>
    </row>
    <row r="3265" spans="1:48" ht="13.5" customHeight="1" outlineLevel="2" thickBot="1">
      <c r="B3265" s="82"/>
      <c r="C3265" s="1235"/>
      <c r="D3265" s="1235"/>
      <c r="E3265" s="85">
        <f>'Terms and Turnovers'!$AX$12</f>
        <v>0</v>
      </c>
      <c r="F3265" s="68">
        <f>F1836/1.18-F2551*'Mark Up Validation'!$M$105</f>
        <v>0</v>
      </c>
      <c r="G3265" s="106"/>
      <c r="H3265" s="68">
        <f>H1836/1.18-H2551*'Mark Up Validation'!$M$105</f>
        <v>0</v>
      </c>
      <c r="I3265" s="106"/>
      <c r="J3265" s="68">
        <f>J1836/1.18-J2551*'Mark Up Validation'!$M$105</f>
        <v>0</v>
      </c>
      <c r="K3265" s="106"/>
      <c r="L3265" s="68">
        <f>L1836/1.18-L2551*'Mark Up Validation'!$M$105</f>
        <v>0</v>
      </c>
      <c r="M3265" s="106"/>
      <c r="N3265" s="68">
        <f>N1836/1.18-N2551*'Mark Up Validation'!$M$105</f>
        <v>0</v>
      </c>
      <c r="O3265" s="106"/>
      <c r="P3265" s="68">
        <f>P1836/1.18-P2551*'Mark Up Validation'!$M$105</f>
        <v>0</v>
      </c>
      <c r="Q3265" s="107"/>
      <c r="R3265" s="135">
        <f>SUM(F3265,H3265,J3265,L3265,N3265,P3265)</f>
        <v>0</v>
      </c>
      <c r="S3265" s="107"/>
      <c r="T3265" s="68">
        <f>T1836/1.18-T2551*'Mark Up Validation'!$S$105</f>
        <v>0</v>
      </c>
      <c r="U3265" s="107"/>
      <c r="V3265" s="68">
        <f>V1836/1.18-V2551*'Mark Up Validation'!$S$105</f>
        <v>0</v>
      </c>
      <c r="W3265" s="107"/>
      <c r="X3265" s="68">
        <f>X1836/1.18-X2551*'Mark Up Validation'!$S$105</f>
        <v>0</v>
      </c>
      <c r="Y3265" s="107"/>
      <c r="Z3265" s="68">
        <f>Z1836/1.18-Z2551*'Mark Up Validation'!$S$105</f>
        <v>0</v>
      </c>
      <c r="AA3265" s="107"/>
      <c r="AB3265" s="68">
        <f>AB1836/1.18-AB2551*'Mark Up Validation'!$S$105</f>
        <v>0</v>
      </c>
      <c r="AC3265" s="107"/>
      <c r="AD3265" s="68">
        <f>AD1836/1.18-AD2551*'Mark Up Validation'!$S$105</f>
        <v>0</v>
      </c>
      <c r="AE3265" s="107"/>
      <c r="AF3265" s="135">
        <f>SUM(T3265,V3265,X3265,Z3265,AB3265,AD3265)</f>
        <v>0</v>
      </c>
      <c r="AG3265" s="107"/>
      <c r="AH3265" s="136">
        <f>SUM(AF3265,R3265)</f>
        <v>0</v>
      </c>
      <c r="AI3265" s="107"/>
      <c r="AJ3265" s="65"/>
      <c r="AV3265" s="56"/>
    </row>
    <row r="3266" spans="1:48" ht="13.5" customHeight="1" outlineLevel="2">
      <c r="B3266" s="82"/>
      <c r="C3266" s="425"/>
      <c r="D3266" s="425"/>
      <c r="E3266" s="634"/>
      <c r="F3266" s="635"/>
      <c r="G3266" s="428"/>
      <c r="H3266" s="635"/>
      <c r="I3266" s="428"/>
      <c r="J3266" s="635"/>
      <c r="K3266" s="636"/>
      <c r="L3266" s="635"/>
      <c r="M3266" s="636"/>
      <c r="N3266" s="635"/>
      <c r="O3266" s="636"/>
      <c r="P3266" s="635"/>
      <c r="Q3266" s="636"/>
      <c r="R3266" s="637"/>
      <c r="S3266" s="698">
        <f>SUM(R2546:R2550)/1.18-(SUM(R3261:R3265)*'Mark Up Validation'!$M$105)</f>
        <v>0</v>
      </c>
      <c r="T3266" s="635"/>
      <c r="U3266" s="636"/>
      <c r="V3266" s="635"/>
      <c r="W3266" s="636"/>
      <c r="X3266" s="635"/>
      <c r="Y3266" s="636"/>
      <c r="Z3266" s="635"/>
      <c r="AA3266" s="636"/>
      <c r="AB3266" s="635"/>
      <c r="AC3266" s="636"/>
      <c r="AD3266" s="635"/>
      <c r="AE3266" s="636"/>
      <c r="AF3266" s="637"/>
      <c r="AG3266" s="698">
        <f>SUM(AF2546:AF2550)/1.18-SUM(AF3261:AF3265)*'Mark Up Validation'!$M$175</f>
        <v>0</v>
      </c>
      <c r="AH3266" s="638"/>
      <c r="AI3266" s="698">
        <f>SUM(AH2546:AH2550)/1.18-SUM(AH3261:AH3265)*'Mark Up Validation'!$M$175</f>
        <v>0</v>
      </c>
      <c r="AJ3266" s="65"/>
      <c r="AV3266" s="56"/>
    </row>
    <row r="3267" spans="1:48" ht="13.5" customHeight="1" outlineLevel="2" thickBot="1">
      <c r="A3267" s="119"/>
      <c r="B3267" s="82"/>
      <c r="C3267" s="1228" t="s">
        <v>539</v>
      </c>
      <c r="D3267" s="1229"/>
      <c r="E3267" s="699"/>
      <c r="F3267" s="700">
        <f>SUM(F3261:F3265)</f>
        <v>0</v>
      </c>
      <c r="G3267" s="701"/>
      <c r="H3267" s="700">
        <f>SUM(H3261:H3265)</f>
        <v>0</v>
      </c>
      <c r="I3267" s="701"/>
      <c r="J3267" s="700">
        <f>SUM(J3261:J3265)</f>
        <v>0</v>
      </c>
      <c r="K3267" s="702"/>
      <c r="L3267" s="700">
        <f>SUM(L3261:L3265)</f>
        <v>0</v>
      </c>
      <c r="M3267" s="702"/>
      <c r="N3267" s="700">
        <f>SUM(N3261:N3265)</f>
        <v>0</v>
      </c>
      <c r="O3267" s="702"/>
      <c r="P3267" s="700">
        <f>SUM(P3261:P3265)</f>
        <v>0</v>
      </c>
      <c r="Q3267" s="702"/>
      <c r="R3267" s="703"/>
      <c r="S3267" s="729">
        <f>IF(S3266&gt;0,S3266/(SUM(R2546:R2550)/1.18),0)</f>
        <v>0</v>
      </c>
      <c r="T3267" s="700">
        <f>SUM(T3261:T3265)</f>
        <v>0</v>
      </c>
      <c r="U3267" s="702"/>
      <c r="V3267" s="700">
        <f>SUM(V3261:V3265)</f>
        <v>0</v>
      </c>
      <c r="W3267" s="702"/>
      <c r="X3267" s="700">
        <f>SUM(X3261:X3265)</f>
        <v>0</v>
      </c>
      <c r="Y3267" s="702"/>
      <c r="Z3267" s="700">
        <f>SUM(Z3261:Z3265)</f>
        <v>0</v>
      </c>
      <c r="AA3267" s="702"/>
      <c r="AB3267" s="700">
        <f>SUM(AB3261:AB3265)</f>
        <v>0</v>
      </c>
      <c r="AC3267" s="702"/>
      <c r="AD3267" s="700">
        <f>SUM(AD3261:AD3265)</f>
        <v>0</v>
      </c>
      <c r="AE3267" s="702"/>
      <c r="AF3267" s="705"/>
      <c r="AG3267" s="729">
        <f>IF(AG3266&gt;0,AG3266/(SUM(AF2546:AF2550)/1.18),0)</f>
        <v>0</v>
      </c>
      <c r="AH3267" s="706"/>
      <c r="AI3267" s="729">
        <f>IF(AI3266&gt;0,AI3266/(SUM(AH2546:AH2550)/1.18),0)</f>
        <v>0</v>
      </c>
      <c r="AJ3267" s="707"/>
      <c r="AV3267" s="56"/>
    </row>
    <row r="3268" spans="1:48" ht="12.75" customHeight="1" outlineLevel="2" thickBot="1">
      <c r="B3268" s="82">
        <f>B3261+1</f>
        <v>56</v>
      </c>
      <c r="C3268" s="1233">
        <f>C398</f>
        <v>0</v>
      </c>
      <c r="D3268" s="1233">
        <f>D398</f>
        <v>0</v>
      </c>
      <c r="E3268" s="83" t="str">
        <f>'Terms and Turnovers'!$J$12</f>
        <v>FLIP-FLOPS</v>
      </c>
      <c r="F3268" s="68">
        <f>F1839/1.18-F2554*'Mark Up Validation'!$M$105</f>
        <v>0</v>
      </c>
      <c r="G3268" s="106"/>
      <c r="H3268" s="68">
        <f>H1839/1.18-H2554*'Mark Up Validation'!$M$105</f>
        <v>0</v>
      </c>
      <c r="I3268" s="106"/>
      <c r="J3268" s="68">
        <f>J1839/1.18-J2554*'Mark Up Validation'!$M$105</f>
        <v>0</v>
      </c>
      <c r="K3268" s="106"/>
      <c r="L3268" s="68">
        <f>L1839/1.18-L2554*'Mark Up Validation'!$M$105</f>
        <v>0</v>
      </c>
      <c r="M3268" s="106"/>
      <c r="N3268" s="68">
        <f>N1839/1.18-N2554*'Mark Up Validation'!$M$105</f>
        <v>0</v>
      </c>
      <c r="O3268" s="106"/>
      <c r="P3268" s="68">
        <f>P1839/1.18-P2554*'Mark Up Validation'!$M$105</f>
        <v>0</v>
      </c>
      <c r="Q3268" s="106"/>
      <c r="R3268" s="129">
        <f>SUM(F3268,H3268,J3268,L3268,N3268,P3268)</f>
        <v>0</v>
      </c>
      <c r="S3268" s="106"/>
      <c r="T3268" s="68">
        <f>T1839/1.18-T2554*'Mark Up Validation'!$S$105</f>
        <v>0</v>
      </c>
      <c r="U3268" s="106"/>
      <c r="V3268" s="68">
        <f>V1839/1.18-V2554*'Mark Up Validation'!$S$105</f>
        <v>0</v>
      </c>
      <c r="W3268" s="106"/>
      <c r="X3268" s="68">
        <f>X1839/1.18-X2554*'Mark Up Validation'!$S$105</f>
        <v>0</v>
      </c>
      <c r="Y3268" s="106"/>
      <c r="Z3268" s="68">
        <f>Z1839/1.18-Z2554*'Mark Up Validation'!$S$105</f>
        <v>0</v>
      </c>
      <c r="AA3268" s="106"/>
      <c r="AB3268" s="68">
        <f>AB1839/1.18-AB2554*'Mark Up Validation'!$S$105</f>
        <v>0</v>
      </c>
      <c r="AC3268" s="106"/>
      <c r="AD3268" s="68">
        <f>AD1839/1.18-AD2554*'Mark Up Validation'!$S$105</f>
        <v>0</v>
      </c>
      <c r="AE3268" s="106"/>
      <c r="AF3268" s="129">
        <f>SUM(T3268,V3268,X3268,Z3268,AB3268,AD3268)</f>
        <v>0</v>
      </c>
      <c r="AG3268" s="106"/>
      <c r="AH3268" s="130">
        <f>SUM(AF3268,R3268)</f>
        <v>0</v>
      </c>
      <c r="AI3268" s="106"/>
      <c r="AJ3268" s="65"/>
      <c r="AV3268" s="56"/>
    </row>
    <row r="3269" spans="1:48" ht="12.75" customHeight="1" outlineLevel="2" thickBot="1">
      <c r="B3269" s="82"/>
      <c r="C3269" s="1234"/>
      <c r="D3269" s="1234"/>
      <c r="E3269" s="84" t="str">
        <f>'Terms and Turnovers'!$T$12</f>
        <v>ORIGINALS</v>
      </c>
      <c r="F3269" s="68">
        <f>F1840/1.18-F2555*'Mark Up Validation'!$M$105</f>
        <v>0</v>
      </c>
      <c r="G3269" s="728"/>
      <c r="H3269" s="68">
        <f>H1840/1.18-H2555*'Mark Up Validation'!$M$105</f>
        <v>0</v>
      </c>
      <c r="I3269" s="728"/>
      <c r="J3269" s="68">
        <f>J1840/1.18-J2555*'Mark Up Validation'!$M$105</f>
        <v>0</v>
      </c>
      <c r="K3269" s="728"/>
      <c r="L3269" s="68">
        <f>L1840/1.18-L2555*'Mark Up Validation'!$M$105</f>
        <v>0</v>
      </c>
      <c r="M3269" s="728"/>
      <c r="N3269" s="68">
        <f>N1840/1.18-N2555*'Mark Up Validation'!$M$105</f>
        <v>0</v>
      </c>
      <c r="O3269" s="728"/>
      <c r="P3269" s="68">
        <f>P1840/1.18-P2555*'Mark Up Validation'!$M$105</f>
        <v>0</v>
      </c>
      <c r="Q3269" s="728"/>
      <c r="R3269" s="132">
        <f>SUM(F3269,H3269,J3269,L3269,N3269,P3269)</f>
        <v>0</v>
      </c>
      <c r="S3269" s="728"/>
      <c r="T3269" s="68">
        <f>T1840/1.18-T2555*'Mark Up Validation'!$S$105</f>
        <v>0</v>
      </c>
      <c r="U3269" s="728"/>
      <c r="V3269" s="68">
        <f>V1840/1.18-V2555*'Mark Up Validation'!$S$105</f>
        <v>0</v>
      </c>
      <c r="W3269" s="728"/>
      <c r="X3269" s="68">
        <f>X1840/1.18-X2555*'Mark Up Validation'!$S$105</f>
        <v>0</v>
      </c>
      <c r="Y3269" s="728"/>
      <c r="Z3269" s="68">
        <f>Z1840/1.18-Z2555*'Mark Up Validation'!$S$105</f>
        <v>0</v>
      </c>
      <c r="AA3269" s="728"/>
      <c r="AB3269" s="68">
        <f>AB1840/1.18-AB2555*'Mark Up Validation'!$S$105</f>
        <v>0</v>
      </c>
      <c r="AC3269" s="728"/>
      <c r="AD3269" s="68">
        <f>AD1840/1.18-AD2555*'Mark Up Validation'!$S$105</f>
        <v>0</v>
      </c>
      <c r="AE3269" s="728"/>
      <c r="AF3269" s="132">
        <f>SUM(T3269,V3269,X3269,Z3269,AB3269,AD3269)</f>
        <v>0</v>
      </c>
      <c r="AG3269" s="728"/>
      <c r="AH3269" s="133">
        <f>SUM(AF3269,R3269)</f>
        <v>0</v>
      </c>
      <c r="AI3269" s="728"/>
      <c r="AJ3269" s="65"/>
      <c r="AV3269" s="56"/>
    </row>
    <row r="3270" spans="1:48" ht="12.75" customHeight="1" outlineLevel="2" thickBot="1">
      <c r="B3270" s="82"/>
      <c r="C3270" s="1234"/>
      <c r="D3270" s="1234"/>
      <c r="E3270" s="84" t="str">
        <f>'Terms and Turnovers'!$AD$12</f>
        <v>ACCESSORIES</v>
      </c>
      <c r="F3270" s="68">
        <f>F1841/1.18-F2556*'Mark Up Validation'!$M$105</f>
        <v>0</v>
      </c>
      <c r="G3270" s="106"/>
      <c r="H3270" s="68">
        <f>H1841/1.18-H2556*'Mark Up Validation'!$M$105</f>
        <v>0</v>
      </c>
      <c r="I3270" s="106"/>
      <c r="J3270" s="68">
        <f>J1841/1.18-J2556*'Mark Up Validation'!$M$105</f>
        <v>0</v>
      </c>
      <c r="K3270" s="106"/>
      <c r="L3270" s="68">
        <f>L1841/1.18-L2556*'Mark Up Validation'!$M$105</f>
        <v>0</v>
      </c>
      <c r="M3270" s="106"/>
      <c r="N3270" s="68">
        <f>N1841/1.18-N2556*'Mark Up Validation'!$M$105</f>
        <v>0</v>
      </c>
      <c r="O3270" s="106"/>
      <c r="P3270" s="68">
        <f>P1841/1.18-P2556*'Mark Up Validation'!$M$105</f>
        <v>0</v>
      </c>
      <c r="Q3270" s="728"/>
      <c r="R3270" s="132">
        <f>SUM(F3270,H3270,J3270,L3270,N3270,P3270)</f>
        <v>0</v>
      </c>
      <c r="S3270" s="728"/>
      <c r="T3270" s="68">
        <f>T1841/1.18-T2556*'Mark Up Validation'!$S$105</f>
        <v>0</v>
      </c>
      <c r="U3270" s="728"/>
      <c r="V3270" s="68">
        <f>V1841/1.18-V2556*'Mark Up Validation'!$S$105</f>
        <v>0</v>
      </c>
      <c r="W3270" s="728"/>
      <c r="X3270" s="68">
        <f>X1841/1.18-X2556*'Mark Up Validation'!$S$105</f>
        <v>0</v>
      </c>
      <c r="Y3270" s="728"/>
      <c r="Z3270" s="68">
        <f>Z1841/1.18-Z2556*'Mark Up Validation'!$S$105</f>
        <v>0</v>
      </c>
      <c r="AA3270" s="728"/>
      <c r="AB3270" s="68">
        <f>AB1841/1.18-AB2556*'Mark Up Validation'!$S$105</f>
        <v>0</v>
      </c>
      <c r="AC3270" s="728"/>
      <c r="AD3270" s="68">
        <f>AD1841/1.18-AD2556*'Mark Up Validation'!$S$105</f>
        <v>0</v>
      </c>
      <c r="AE3270" s="728"/>
      <c r="AF3270" s="132">
        <f>SUM(T3270,V3270,X3270,Z3270,AB3270,AD3270)</f>
        <v>0</v>
      </c>
      <c r="AG3270" s="728"/>
      <c r="AH3270" s="133">
        <f>SUM(AF3270,R3270)</f>
        <v>0</v>
      </c>
      <c r="AI3270" s="728"/>
      <c r="AJ3270" s="65"/>
      <c r="AV3270" s="56"/>
    </row>
    <row r="3271" spans="1:48" ht="12.75" customHeight="1" outlineLevel="2" thickBot="1">
      <c r="B3271" s="82"/>
      <c r="C3271" s="1234"/>
      <c r="D3271" s="1234"/>
      <c r="E3271" s="84">
        <f>'Terms and Turnovers'!$AN$12</f>
        <v>0</v>
      </c>
      <c r="F3271" s="68">
        <f>F1842/1.18-F2557*'Mark Up Validation'!$M$105</f>
        <v>0</v>
      </c>
      <c r="G3271" s="728"/>
      <c r="H3271" s="68">
        <f>H1842/1.18-H2557*'Mark Up Validation'!$M$105</f>
        <v>0</v>
      </c>
      <c r="I3271" s="728"/>
      <c r="J3271" s="68">
        <f>J1842/1.18-J2557*'Mark Up Validation'!$M$105</f>
        <v>0</v>
      </c>
      <c r="K3271" s="728"/>
      <c r="L3271" s="68">
        <f>L1842/1.18-L2557*'Mark Up Validation'!$M$105</f>
        <v>0</v>
      </c>
      <c r="M3271" s="728"/>
      <c r="N3271" s="68">
        <f>N1842/1.18-N2557*'Mark Up Validation'!$M$105</f>
        <v>0</v>
      </c>
      <c r="O3271" s="728"/>
      <c r="P3271" s="68">
        <f>P1842/1.18-P2557*'Mark Up Validation'!$M$105</f>
        <v>0</v>
      </c>
      <c r="Q3271" s="728"/>
      <c r="R3271" s="132">
        <f>SUM(F3271,H3271,J3271,L3271,N3271,P3271)</f>
        <v>0</v>
      </c>
      <c r="S3271" s="728"/>
      <c r="T3271" s="68">
        <f>T1842/1.18-T2557*'Mark Up Validation'!$S$105</f>
        <v>0</v>
      </c>
      <c r="U3271" s="728"/>
      <c r="V3271" s="68">
        <f>V1842/1.18-V2557*'Mark Up Validation'!$S$105</f>
        <v>0</v>
      </c>
      <c r="W3271" s="728"/>
      <c r="X3271" s="68">
        <f>X1842/1.18-X2557*'Mark Up Validation'!$S$105</f>
        <v>0</v>
      </c>
      <c r="Y3271" s="728"/>
      <c r="Z3271" s="68">
        <f>Z1842/1.18-Z2557*'Mark Up Validation'!$S$105</f>
        <v>0</v>
      </c>
      <c r="AA3271" s="728"/>
      <c r="AB3271" s="68">
        <f>AB1842/1.18-AB2557*'Mark Up Validation'!$S$105</f>
        <v>0</v>
      </c>
      <c r="AC3271" s="728"/>
      <c r="AD3271" s="68">
        <f>AD1842/1.18-AD2557*'Mark Up Validation'!$S$105</f>
        <v>0</v>
      </c>
      <c r="AE3271" s="728"/>
      <c r="AF3271" s="132">
        <f>SUM(T3271,V3271,X3271,Z3271,AB3271,AD3271)</f>
        <v>0</v>
      </c>
      <c r="AG3271" s="728"/>
      <c r="AH3271" s="133">
        <f>SUM(AF3271,R3271)</f>
        <v>0</v>
      </c>
      <c r="AI3271" s="728"/>
      <c r="AJ3271" s="65"/>
      <c r="AV3271" s="56"/>
    </row>
    <row r="3272" spans="1:48" ht="13.5" customHeight="1" outlineLevel="2" thickBot="1">
      <c r="B3272" s="82"/>
      <c r="C3272" s="1235"/>
      <c r="D3272" s="1235"/>
      <c r="E3272" s="85">
        <f>'Terms and Turnovers'!$AX$12</f>
        <v>0</v>
      </c>
      <c r="F3272" s="68">
        <f>F1843/1.18-F2558*'Mark Up Validation'!$M$105</f>
        <v>0</v>
      </c>
      <c r="G3272" s="106"/>
      <c r="H3272" s="68">
        <f>H1843/1.18-H2558*'Mark Up Validation'!$M$105</f>
        <v>0</v>
      </c>
      <c r="I3272" s="106"/>
      <c r="J3272" s="68">
        <f>J1843/1.18-J2558*'Mark Up Validation'!$M$105</f>
        <v>0</v>
      </c>
      <c r="K3272" s="106"/>
      <c r="L3272" s="68">
        <f>L1843/1.18-L2558*'Mark Up Validation'!$M$105</f>
        <v>0</v>
      </c>
      <c r="M3272" s="106"/>
      <c r="N3272" s="68">
        <f>N1843/1.18-N2558*'Mark Up Validation'!$M$105</f>
        <v>0</v>
      </c>
      <c r="O3272" s="106"/>
      <c r="P3272" s="68">
        <f>P1843/1.18-P2558*'Mark Up Validation'!$M$105</f>
        <v>0</v>
      </c>
      <c r="Q3272" s="107"/>
      <c r="R3272" s="135">
        <f>SUM(F3272,H3272,J3272,L3272,N3272,P3272)</f>
        <v>0</v>
      </c>
      <c r="S3272" s="107"/>
      <c r="T3272" s="68">
        <f>T1843/1.18-T2558*'Mark Up Validation'!$S$105</f>
        <v>0</v>
      </c>
      <c r="U3272" s="107"/>
      <c r="V3272" s="68">
        <f>V1843/1.18-V2558*'Mark Up Validation'!$S$105</f>
        <v>0</v>
      </c>
      <c r="W3272" s="107"/>
      <c r="X3272" s="68">
        <f>X1843/1.18-X2558*'Mark Up Validation'!$S$105</f>
        <v>0</v>
      </c>
      <c r="Y3272" s="107"/>
      <c r="Z3272" s="68">
        <f>Z1843/1.18-Z2558*'Mark Up Validation'!$S$105</f>
        <v>0</v>
      </c>
      <c r="AA3272" s="107"/>
      <c r="AB3272" s="68">
        <f>AB1843/1.18-AB2558*'Mark Up Validation'!$S$105</f>
        <v>0</v>
      </c>
      <c r="AC3272" s="107"/>
      <c r="AD3272" s="68">
        <f>AD1843/1.18-AD2558*'Mark Up Validation'!$S$105</f>
        <v>0</v>
      </c>
      <c r="AE3272" s="107"/>
      <c r="AF3272" s="135">
        <f>SUM(T3272,V3272,X3272,Z3272,AB3272,AD3272)</f>
        <v>0</v>
      </c>
      <c r="AG3272" s="107"/>
      <c r="AH3272" s="136">
        <f>SUM(AF3272,R3272)</f>
        <v>0</v>
      </c>
      <c r="AI3272" s="107"/>
      <c r="AJ3272" s="65"/>
      <c r="AV3272" s="56"/>
    </row>
    <row r="3273" spans="1:48" ht="13.5" customHeight="1" outlineLevel="2">
      <c r="B3273" s="82"/>
      <c r="C3273" s="425"/>
      <c r="D3273" s="425"/>
      <c r="E3273" s="634"/>
      <c r="F3273" s="635"/>
      <c r="G3273" s="428"/>
      <c r="H3273" s="635"/>
      <c r="I3273" s="428"/>
      <c r="J3273" s="635"/>
      <c r="K3273" s="636"/>
      <c r="L3273" s="635"/>
      <c r="M3273" s="636"/>
      <c r="N3273" s="635"/>
      <c r="O3273" s="636"/>
      <c r="P3273" s="635"/>
      <c r="Q3273" s="636"/>
      <c r="R3273" s="637"/>
      <c r="S3273" s="698">
        <f>SUM(R2553:R2557)/1.18-(SUM(R3268:R3272)*'Mark Up Validation'!$M$105)</f>
        <v>0</v>
      </c>
      <c r="T3273" s="635"/>
      <c r="U3273" s="636"/>
      <c r="V3273" s="635"/>
      <c r="W3273" s="636"/>
      <c r="X3273" s="635"/>
      <c r="Y3273" s="636"/>
      <c r="Z3273" s="635"/>
      <c r="AA3273" s="636"/>
      <c r="AB3273" s="635"/>
      <c r="AC3273" s="636"/>
      <c r="AD3273" s="635"/>
      <c r="AE3273" s="636"/>
      <c r="AF3273" s="637"/>
      <c r="AG3273" s="698">
        <f>SUM(AF2553:AF2557)/1.18-SUM(AF3268:AF3272)*'Mark Up Validation'!$M$175</f>
        <v>0</v>
      </c>
      <c r="AH3273" s="638"/>
      <c r="AI3273" s="698">
        <f>SUM(AH2553:AH2557)/1.18-SUM(AH3268:AH3272)*'Mark Up Validation'!$M$175</f>
        <v>0</v>
      </c>
      <c r="AJ3273" s="65"/>
      <c r="AV3273" s="56"/>
    </row>
    <row r="3274" spans="1:48" ht="13.5" customHeight="1" outlineLevel="2" thickBot="1">
      <c r="A3274" s="119"/>
      <c r="B3274" s="82"/>
      <c r="C3274" s="1228" t="s">
        <v>539</v>
      </c>
      <c r="D3274" s="1229"/>
      <c r="E3274" s="699"/>
      <c r="F3274" s="700">
        <f>SUM(F3268:F3272)</f>
        <v>0</v>
      </c>
      <c r="G3274" s="701"/>
      <c r="H3274" s="700">
        <f>SUM(H3268:H3272)</f>
        <v>0</v>
      </c>
      <c r="I3274" s="701"/>
      <c r="J3274" s="700">
        <f>SUM(J3268:J3272)</f>
        <v>0</v>
      </c>
      <c r="K3274" s="702"/>
      <c r="L3274" s="700">
        <f>SUM(L3268:L3272)</f>
        <v>0</v>
      </c>
      <c r="M3274" s="702"/>
      <c r="N3274" s="700">
        <f>SUM(N3268:N3272)</f>
        <v>0</v>
      </c>
      <c r="O3274" s="702"/>
      <c r="P3274" s="700">
        <f>SUM(P3268:P3272)</f>
        <v>0</v>
      </c>
      <c r="Q3274" s="702"/>
      <c r="R3274" s="703"/>
      <c r="S3274" s="729">
        <f>IF(S3273&gt;0,S3273/(SUM(R2553:R2557)/1.18),0)</f>
        <v>0</v>
      </c>
      <c r="T3274" s="700">
        <f>SUM(T3268:T3272)</f>
        <v>0</v>
      </c>
      <c r="U3274" s="702"/>
      <c r="V3274" s="700">
        <f>SUM(V3268:V3272)</f>
        <v>0</v>
      </c>
      <c r="W3274" s="702"/>
      <c r="X3274" s="700">
        <f>SUM(X3268:X3272)</f>
        <v>0</v>
      </c>
      <c r="Y3274" s="702"/>
      <c r="Z3274" s="700">
        <f>SUM(Z3268:Z3272)</f>
        <v>0</v>
      </c>
      <c r="AA3274" s="702"/>
      <c r="AB3274" s="700">
        <f>SUM(AB3268:AB3272)</f>
        <v>0</v>
      </c>
      <c r="AC3274" s="702"/>
      <c r="AD3274" s="700">
        <f>SUM(AD3268:AD3272)</f>
        <v>0</v>
      </c>
      <c r="AE3274" s="702"/>
      <c r="AF3274" s="705"/>
      <c r="AG3274" s="729">
        <f>IF(AG3273&gt;0,AG3273/(SUM(AF2553:AF2557)/1.18),0)</f>
        <v>0</v>
      </c>
      <c r="AH3274" s="706"/>
      <c r="AI3274" s="729">
        <f>IF(AI3273&gt;0,AI3273/(SUM(AH2553:AH2557)/1.18),0)</f>
        <v>0</v>
      </c>
      <c r="AJ3274" s="707"/>
      <c r="AV3274" s="56"/>
    </row>
    <row r="3275" spans="1:48" ht="12.75" customHeight="1" outlineLevel="2" thickBot="1">
      <c r="B3275" s="82">
        <f>B3268+1</f>
        <v>57</v>
      </c>
      <c r="C3275" s="1233">
        <f>C405</f>
        <v>0</v>
      </c>
      <c r="D3275" s="1233">
        <f>D405</f>
        <v>0</v>
      </c>
      <c r="E3275" s="83" t="str">
        <f>'Terms and Turnovers'!$J$12</f>
        <v>FLIP-FLOPS</v>
      </c>
      <c r="F3275" s="68">
        <f>F1846/1.18-F2561*'Mark Up Validation'!$M$105</f>
        <v>0</v>
      </c>
      <c r="G3275" s="106"/>
      <c r="H3275" s="68">
        <f>H1846/1.18-H2561*'Mark Up Validation'!$M$105</f>
        <v>0</v>
      </c>
      <c r="I3275" s="106"/>
      <c r="J3275" s="68">
        <f>J1846/1.18-J2561*'Mark Up Validation'!$M$105</f>
        <v>0</v>
      </c>
      <c r="K3275" s="106"/>
      <c r="L3275" s="68">
        <f>L1846/1.18-L2561*'Mark Up Validation'!$M$105</f>
        <v>0</v>
      </c>
      <c r="M3275" s="106"/>
      <c r="N3275" s="68">
        <f>N1846/1.18-N2561*'Mark Up Validation'!$M$105</f>
        <v>0</v>
      </c>
      <c r="O3275" s="106"/>
      <c r="P3275" s="68">
        <f>P1846/1.18-P2561*'Mark Up Validation'!$M$105</f>
        <v>0</v>
      </c>
      <c r="Q3275" s="106"/>
      <c r="R3275" s="129">
        <f>SUM(F3275,H3275,J3275,L3275,N3275,P3275)</f>
        <v>0</v>
      </c>
      <c r="S3275" s="106"/>
      <c r="T3275" s="68">
        <f>T1846/1.18-T2561*'Mark Up Validation'!$S$105</f>
        <v>0</v>
      </c>
      <c r="U3275" s="106"/>
      <c r="V3275" s="68">
        <f>V1846/1.18-V2561*'Mark Up Validation'!$S$105</f>
        <v>0</v>
      </c>
      <c r="W3275" s="106"/>
      <c r="X3275" s="68">
        <f>X1846/1.18-X2561*'Mark Up Validation'!$S$105</f>
        <v>0</v>
      </c>
      <c r="Y3275" s="106"/>
      <c r="Z3275" s="68">
        <f>Z1846/1.18-Z2561*'Mark Up Validation'!$S$105</f>
        <v>0</v>
      </c>
      <c r="AA3275" s="106"/>
      <c r="AB3275" s="68">
        <f>AB1846/1.18-AB2561*'Mark Up Validation'!$S$105</f>
        <v>0</v>
      </c>
      <c r="AC3275" s="106"/>
      <c r="AD3275" s="68">
        <f>AD1846/1.18-AD2561*'Mark Up Validation'!$S$105</f>
        <v>0</v>
      </c>
      <c r="AE3275" s="106"/>
      <c r="AF3275" s="129">
        <f>SUM(T3275,V3275,X3275,Z3275,AB3275,AD3275)</f>
        <v>0</v>
      </c>
      <c r="AG3275" s="106"/>
      <c r="AH3275" s="130">
        <f>SUM(AF3275,R3275)</f>
        <v>0</v>
      </c>
      <c r="AI3275" s="106"/>
      <c r="AJ3275" s="65"/>
      <c r="AV3275" s="56"/>
    </row>
    <row r="3276" spans="1:48" ht="12.75" customHeight="1" outlineLevel="2" thickBot="1">
      <c r="B3276" s="82"/>
      <c r="C3276" s="1234"/>
      <c r="D3276" s="1234"/>
      <c r="E3276" s="84" t="str">
        <f>'Terms and Turnovers'!$T$12</f>
        <v>ORIGINALS</v>
      </c>
      <c r="F3276" s="68">
        <f>F1847/1.18-F2562*'Mark Up Validation'!$M$105</f>
        <v>0</v>
      </c>
      <c r="G3276" s="728"/>
      <c r="H3276" s="68">
        <f>H1847/1.18-H2562*'Mark Up Validation'!$M$105</f>
        <v>0</v>
      </c>
      <c r="I3276" s="728"/>
      <c r="J3276" s="68">
        <f>J1847/1.18-J2562*'Mark Up Validation'!$M$105</f>
        <v>0</v>
      </c>
      <c r="K3276" s="728"/>
      <c r="L3276" s="68">
        <f>L1847/1.18-L2562*'Mark Up Validation'!$M$105</f>
        <v>0</v>
      </c>
      <c r="M3276" s="728"/>
      <c r="N3276" s="68">
        <f>N1847/1.18-N2562*'Mark Up Validation'!$M$105</f>
        <v>0</v>
      </c>
      <c r="O3276" s="728"/>
      <c r="P3276" s="68">
        <f>P1847/1.18-P2562*'Mark Up Validation'!$M$105</f>
        <v>0</v>
      </c>
      <c r="Q3276" s="728"/>
      <c r="R3276" s="132">
        <f>SUM(F3276,H3276,J3276,L3276,N3276,P3276)</f>
        <v>0</v>
      </c>
      <c r="S3276" s="728"/>
      <c r="T3276" s="68">
        <f>T1847/1.18-T2562*'Mark Up Validation'!$S$105</f>
        <v>0</v>
      </c>
      <c r="U3276" s="728"/>
      <c r="V3276" s="68">
        <f>V1847/1.18-V2562*'Mark Up Validation'!$S$105</f>
        <v>0</v>
      </c>
      <c r="W3276" s="728"/>
      <c r="X3276" s="68">
        <f>X1847/1.18-X2562*'Mark Up Validation'!$S$105</f>
        <v>0</v>
      </c>
      <c r="Y3276" s="728"/>
      <c r="Z3276" s="68">
        <f>Z1847/1.18-Z2562*'Mark Up Validation'!$S$105</f>
        <v>0</v>
      </c>
      <c r="AA3276" s="728"/>
      <c r="AB3276" s="68">
        <f>AB1847/1.18-AB2562*'Mark Up Validation'!$S$105</f>
        <v>0</v>
      </c>
      <c r="AC3276" s="728"/>
      <c r="AD3276" s="68">
        <f>AD1847/1.18-AD2562*'Mark Up Validation'!$S$105</f>
        <v>0</v>
      </c>
      <c r="AE3276" s="728"/>
      <c r="AF3276" s="132">
        <f>SUM(T3276,V3276,X3276,Z3276,AB3276,AD3276)</f>
        <v>0</v>
      </c>
      <c r="AG3276" s="728"/>
      <c r="AH3276" s="133">
        <f>SUM(AF3276,R3276)</f>
        <v>0</v>
      </c>
      <c r="AI3276" s="728"/>
      <c r="AJ3276" s="65"/>
      <c r="AV3276" s="56"/>
    </row>
    <row r="3277" spans="1:48" ht="12.75" customHeight="1" outlineLevel="2" thickBot="1">
      <c r="B3277" s="82"/>
      <c r="C3277" s="1234"/>
      <c r="D3277" s="1234"/>
      <c r="E3277" s="84" t="str">
        <f>'Terms and Turnovers'!$AD$12</f>
        <v>ACCESSORIES</v>
      </c>
      <c r="F3277" s="68">
        <f>F1848/1.18-F2563*'Mark Up Validation'!$M$105</f>
        <v>0</v>
      </c>
      <c r="G3277" s="106"/>
      <c r="H3277" s="68">
        <f>H1848/1.18-H2563*'Mark Up Validation'!$M$105</f>
        <v>0</v>
      </c>
      <c r="I3277" s="106"/>
      <c r="J3277" s="68">
        <f>J1848/1.18-J2563*'Mark Up Validation'!$M$105</f>
        <v>0</v>
      </c>
      <c r="K3277" s="106"/>
      <c r="L3277" s="68">
        <f>L1848/1.18-L2563*'Mark Up Validation'!$M$105</f>
        <v>0</v>
      </c>
      <c r="M3277" s="106"/>
      <c r="N3277" s="68">
        <f>N1848/1.18-N2563*'Mark Up Validation'!$M$105</f>
        <v>0</v>
      </c>
      <c r="O3277" s="106"/>
      <c r="P3277" s="68">
        <f>P1848/1.18-P2563*'Mark Up Validation'!$M$105</f>
        <v>0</v>
      </c>
      <c r="Q3277" s="728"/>
      <c r="R3277" s="132">
        <f>SUM(F3277,H3277,J3277,L3277,N3277,P3277)</f>
        <v>0</v>
      </c>
      <c r="S3277" s="728"/>
      <c r="T3277" s="68">
        <f>T1848/1.18-T2563*'Mark Up Validation'!$S$105</f>
        <v>0</v>
      </c>
      <c r="U3277" s="728"/>
      <c r="V3277" s="68">
        <f>V1848/1.18-V2563*'Mark Up Validation'!$S$105</f>
        <v>0</v>
      </c>
      <c r="W3277" s="728"/>
      <c r="X3277" s="68">
        <f>X1848/1.18-X2563*'Mark Up Validation'!$S$105</f>
        <v>0</v>
      </c>
      <c r="Y3277" s="728"/>
      <c r="Z3277" s="68">
        <f>Z1848/1.18-Z2563*'Mark Up Validation'!$S$105</f>
        <v>0</v>
      </c>
      <c r="AA3277" s="728"/>
      <c r="AB3277" s="68">
        <f>AB1848/1.18-AB2563*'Mark Up Validation'!$S$105</f>
        <v>0</v>
      </c>
      <c r="AC3277" s="728"/>
      <c r="AD3277" s="68">
        <f>AD1848/1.18-AD2563*'Mark Up Validation'!$S$105</f>
        <v>0</v>
      </c>
      <c r="AE3277" s="728"/>
      <c r="AF3277" s="132">
        <f>SUM(T3277,V3277,X3277,Z3277,AB3277,AD3277)</f>
        <v>0</v>
      </c>
      <c r="AG3277" s="728"/>
      <c r="AH3277" s="133">
        <f>SUM(AF3277,R3277)</f>
        <v>0</v>
      </c>
      <c r="AI3277" s="728"/>
      <c r="AJ3277" s="65"/>
      <c r="AV3277" s="56"/>
    </row>
    <row r="3278" spans="1:48" ht="12.75" customHeight="1" outlineLevel="2" thickBot="1">
      <c r="B3278" s="82"/>
      <c r="C3278" s="1234"/>
      <c r="D3278" s="1234"/>
      <c r="E3278" s="84">
        <f>'Terms and Turnovers'!$AN$12</f>
        <v>0</v>
      </c>
      <c r="F3278" s="68">
        <f>F1849/1.18-F2564*'Mark Up Validation'!$M$105</f>
        <v>0</v>
      </c>
      <c r="G3278" s="728"/>
      <c r="H3278" s="68">
        <f>H1849/1.18-H2564*'Mark Up Validation'!$M$105</f>
        <v>0</v>
      </c>
      <c r="I3278" s="728"/>
      <c r="J3278" s="68">
        <f>J1849/1.18-J2564*'Mark Up Validation'!$M$105</f>
        <v>0</v>
      </c>
      <c r="K3278" s="728"/>
      <c r="L3278" s="68">
        <f>L1849/1.18-L2564*'Mark Up Validation'!$M$105</f>
        <v>0</v>
      </c>
      <c r="M3278" s="728"/>
      <c r="N3278" s="68">
        <f>N1849/1.18-N2564*'Mark Up Validation'!$M$105</f>
        <v>0</v>
      </c>
      <c r="O3278" s="728"/>
      <c r="P3278" s="68">
        <f>P1849/1.18-P2564*'Mark Up Validation'!$M$105</f>
        <v>0</v>
      </c>
      <c r="Q3278" s="728"/>
      <c r="R3278" s="132">
        <f>SUM(F3278,H3278,J3278,L3278,N3278,P3278)</f>
        <v>0</v>
      </c>
      <c r="S3278" s="728"/>
      <c r="T3278" s="68">
        <f>T1849/1.18-T2564*'Mark Up Validation'!$S$105</f>
        <v>0</v>
      </c>
      <c r="U3278" s="728"/>
      <c r="V3278" s="68">
        <f>V1849/1.18-V2564*'Mark Up Validation'!$S$105</f>
        <v>0</v>
      </c>
      <c r="W3278" s="728"/>
      <c r="X3278" s="68">
        <f>X1849/1.18-X2564*'Mark Up Validation'!$S$105</f>
        <v>0</v>
      </c>
      <c r="Y3278" s="728"/>
      <c r="Z3278" s="68">
        <f>Z1849/1.18-Z2564*'Mark Up Validation'!$S$105</f>
        <v>0</v>
      </c>
      <c r="AA3278" s="728"/>
      <c r="AB3278" s="68">
        <f>AB1849/1.18-AB2564*'Mark Up Validation'!$S$105</f>
        <v>0</v>
      </c>
      <c r="AC3278" s="728"/>
      <c r="AD3278" s="68">
        <f>AD1849/1.18-AD2564*'Mark Up Validation'!$S$105</f>
        <v>0</v>
      </c>
      <c r="AE3278" s="728"/>
      <c r="AF3278" s="132">
        <f>SUM(T3278,V3278,X3278,Z3278,AB3278,AD3278)</f>
        <v>0</v>
      </c>
      <c r="AG3278" s="728"/>
      <c r="AH3278" s="133">
        <f>SUM(AF3278,R3278)</f>
        <v>0</v>
      </c>
      <c r="AI3278" s="728"/>
      <c r="AJ3278" s="65"/>
      <c r="AV3278" s="56"/>
    </row>
    <row r="3279" spans="1:48" ht="13.5" customHeight="1" outlineLevel="2" thickBot="1">
      <c r="B3279" s="82"/>
      <c r="C3279" s="1235"/>
      <c r="D3279" s="1235"/>
      <c r="E3279" s="85">
        <f>'Terms and Turnovers'!$AX$12</f>
        <v>0</v>
      </c>
      <c r="F3279" s="68">
        <f>F1850/1.18-F2565*'Mark Up Validation'!$M$105</f>
        <v>0</v>
      </c>
      <c r="G3279" s="106"/>
      <c r="H3279" s="68">
        <f>H1850/1.18-H2565*'Mark Up Validation'!$M$105</f>
        <v>0</v>
      </c>
      <c r="I3279" s="106"/>
      <c r="J3279" s="68">
        <f>J1850/1.18-J2565*'Mark Up Validation'!$M$105</f>
        <v>0</v>
      </c>
      <c r="K3279" s="106"/>
      <c r="L3279" s="68">
        <f>L1850/1.18-L2565*'Mark Up Validation'!$M$105</f>
        <v>0</v>
      </c>
      <c r="M3279" s="106"/>
      <c r="N3279" s="68">
        <f>N1850/1.18-N2565*'Mark Up Validation'!$M$105</f>
        <v>0</v>
      </c>
      <c r="O3279" s="106"/>
      <c r="P3279" s="68">
        <f>P1850/1.18-P2565*'Mark Up Validation'!$M$105</f>
        <v>0</v>
      </c>
      <c r="Q3279" s="107"/>
      <c r="R3279" s="135">
        <f>SUM(F3279,H3279,J3279,L3279,N3279,P3279)</f>
        <v>0</v>
      </c>
      <c r="S3279" s="107"/>
      <c r="T3279" s="68">
        <f>T1850/1.18-T2565*'Mark Up Validation'!$S$105</f>
        <v>0</v>
      </c>
      <c r="U3279" s="107"/>
      <c r="V3279" s="68">
        <f>V1850/1.18-V2565*'Mark Up Validation'!$S$105</f>
        <v>0</v>
      </c>
      <c r="W3279" s="107"/>
      <c r="X3279" s="68">
        <f>X1850/1.18-X2565*'Mark Up Validation'!$S$105</f>
        <v>0</v>
      </c>
      <c r="Y3279" s="107"/>
      <c r="Z3279" s="68">
        <f>Z1850/1.18-Z2565*'Mark Up Validation'!$S$105</f>
        <v>0</v>
      </c>
      <c r="AA3279" s="107"/>
      <c r="AB3279" s="68">
        <f>AB1850/1.18-AB2565*'Mark Up Validation'!$S$105</f>
        <v>0</v>
      </c>
      <c r="AC3279" s="107"/>
      <c r="AD3279" s="68">
        <f>AD1850/1.18-AD2565*'Mark Up Validation'!$S$105</f>
        <v>0</v>
      </c>
      <c r="AE3279" s="107"/>
      <c r="AF3279" s="135">
        <f>SUM(T3279,V3279,X3279,Z3279,AB3279,AD3279)</f>
        <v>0</v>
      </c>
      <c r="AG3279" s="107"/>
      <c r="AH3279" s="136">
        <f>SUM(AF3279,R3279)</f>
        <v>0</v>
      </c>
      <c r="AI3279" s="107"/>
      <c r="AJ3279" s="65"/>
      <c r="AV3279" s="56"/>
    </row>
    <row r="3280" spans="1:48" ht="13.5" customHeight="1" outlineLevel="2">
      <c r="B3280" s="82"/>
      <c r="C3280" s="425"/>
      <c r="D3280" s="425"/>
      <c r="E3280" s="634"/>
      <c r="F3280" s="635"/>
      <c r="G3280" s="428"/>
      <c r="H3280" s="635"/>
      <c r="I3280" s="428"/>
      <c r="J3280" s="635"/>
      <c r="K3280" s="636"/>
      <c r="L3280" s="635"/>
      <c r="M3280" s="636"/>
      <c r="N3280" s="635"/>
      <c r="O3280" s="636"/>
      <c r="P3280" s="635"/>
      <c r="Q3280" s="636"/>
      <c r="R3280" s="637"/>
      <c r="S3280" s="698">
        <f>SUM(R2560:R2564)/1.18-(SUM(R3275:R3279)*'Mark Up Validation'!$M$105)</f>
        <v>0</v>
      </c>
      <c r="T3280" s="635"/>
      <c r="U3280" s="636"/>
      <c r="V3280" s="635"/>
      <c r="W3280" s="636"/>
      <c r="X3280" s="635"/>
      <c r="Y3280" s="636"/>
      <c r="Z3280" s="635"/>
      <c r="AA3280" s="636"/>
      <c r="AB3280" s="635"/>
      <c r="AC3280" s="636"/>
      <c r="AD3280" s="635"/>
      <c r="AE3280" s="636"/>
      <c r="AF3280" s="637"/>
      <c r="AG3280" s="698">
        <f>SUM(AF2560:AF2564)/1.18-SUM(AF3275:AF3279)*'Mark Up Validation'!$M$175</f>
        <v>0</v>
      </c>
      <c r="AH3280" s="638"/>
      <c r="AI3280" s="698">
        <f>SUM(AH2560:AH2564)/1.18-SUM(AH3275:AH3279)*'Mark Up Validation'!$M$175</f>
        <v>0</v>
      </c>
      <c r="AJ3280" s="65"/>
      <c r="AV3280" s="56"/>
    </row>
    <row r="3281" spans="1:48" ht="13.5" customHeight="1" outlineLevel="2" thickBot="1">
      <c r="A3281" s="119"/>
      <c r="B3281" s="82"/>
      <c r="C3281" s="1228" t="s">
        <v>539</v>
      </c>
      <c r="D3281" s="1229"/>
      <c r="E3281" s="699"/>
      <c r="F3281" s="700">
        <f>SUM(F3275:F3279)</f>
        <v>0</v>
      </c>
      <c r="G3281" s="701"/>
      <c r="H3281" s="700">
        <f>SUM(H3275:H3279)</f>
        <v>0</v>
      </c>
      <c r="I3281" s="701"/>
      <c r="J3281" s="700">
        <f>SUM(J3275:J3279)</f>
        <v>0</v>
      </c>
      <c r="K3281" s="702"/>
      <c r="L3281" s="700">
        <f>SUM(L3275:L3279)</f>
        <v>0</v>
      </c>
      <c r="M3281" s="702"/>
      <c r="N3281" s="700">
        <f>SUM(N3275:N3279)</f>
        <v>0</v>
      </c>
      <c r="O3281" s="702"/>
      <c r="P3281" s="700">
        <f>SUM(P3275:P3279)</f>
        <v>0</v>
      </c>
      <c r="Q3281" s="702"/>
      <c r="R3281" s="703"/>
      <c r="S3281" s="729">
        <f>IF(S3280&gt;0,S3280/(SUM(R2560:R2564)/1.18),0)</f>
        <v>0</v>
      </c>
      <c r="T3281" s="700">
        <f>SUM(T3275:T3279)</f>
        <v>0</v>
      </c>
      <c r="U3281" s="702"/>
      <c r="V3281" s="700">
        <f>SUM(V3275:V3279)</f>
        <v>0</v>
      </c>
      <c r="W3281" s="702"/>
      <c r="X3281" s="700">
        <f>SUM(X3275:X3279)</f>
        <v>0</v>
      </c>
      <c r="Y3281" s="702"/>
      <c r="Z3281" s="700">
        <f>SUM(Z3275:Z3279)</f>
        <v>0</v>
      </c>
      <c r="AA3281" s="702"/>
      <c r="AB3281" s="700">
        <f>SUM(AB3275:AB3279)</f>
        <v>0</v>
      </c>
      <c r="AC3281" s="702"/>
      <c r="AD3281" s="700">
        <f>SUM(AD3275:AD3279)</f>
        <v>0</v>
      </c>
      <c r="AE3281" s="702"/>
      <c r="AF3281" s="705"/>
      <c r="AG3281" s="729">
        <f>IF(AG3280&gt;0,AG3280/(SUM(AF2560:AF2564)/1.18),0)</f>
        <v>0</v>
      </c>
      <c r="AH3281" s="706"/>
      <c r="AI3281" s="729">
        <f>IF(AI3280&gt;0,AI3280/(SUM(AH2560:AH2564)/1.18),0)</f>
        <v>0</v>
      </c>
      <c r="AJ3281" s="707"/>
      <c r="AV3281" s="56"/>
    </row>
    <row r="3282" spans="1:48" ht="12.75" customHeight="1" outlineLevel="2" thickBot="1">
      <c r="B3282" s="82">
        <f>B3275+1</f>
        <v>58</v>
      </c>
      <c r="C3282" s="1233">
        <f>C412</f>
        <v>0</v>
      </c>
      <c r="D3282" s="1233">
        <f>D412</f>
        <v>0</v>
      </c>
      <c r="E3282" s="83" t="str">
        <f>'Terms and Turnovers'!$J$12</f>
        <v>FLIP-FLOPS</v>
      </c>
      <c r="F3282" s="68">
        <f>F1853/1.18-F2568*'Mark Up Validation'!$M$105</f>
        <v>0</v>
      </c>
      <c r="G3282" s="106"/>
      <c r="H3282" s="68">
        <f>H1853/1.18-H2568*'Mark Up Validation'!$M$105</f>
        <v>0</v>
      </c>
      <c r="I3282" s="106"/>
      <c r="J3282" s="68">
        <f>J1853/1.18-J2568*'Mark Up Validation'!$M$105</f>
        <v>0</v>
      </c>
      <c r="K3282" s="106"/>
      <c r="L3282" s="68">
        <f>L1853/1.18-L2568*'Mark Up Validation'!$M$105</f>
        <v>0</v>
      </c>
      <c r="M3282" s="106"/>
      <c r="N3282" s="68">
        <f>N1853/1.18-N2568*'Mark Up Validation'!$M$105</f>
        <v>0</v>
      </c>
      <c r="O3282" s="106"/>
      <c r="P3282" s="68">
        <f>P1853/1.18-P2568*'Mark Up Validation'!$M$105</f>
        <v>0</v>
      </c>
      <c r="Q3282" s="106"/>
      <c r="R3282" s="129">
        <f>SUM(F3282,H3282,J3282,L3282,N3282,P3282)</f>
        <v>0</v>
      </c>
      <c r="S3282" s="106"/>
      <c r="T3282" s="68">
        <f>T1853/1.18-T2568*'Mark Up Validation'!$S$105</f>
        <v>0</v>
      </c>
      <c r="U3282" s="106"/>
      <c r="V3282" s="68">
        <f>V1853/1.18-V2568*'Mark Up Validation'!$S$105</f>
        <v>0</v>
      </c>
      <c r="W3282" s="106"/>
      <c r="X3282" s="68">
        <f>X1853/1.18-X2568*'Mark Up Validation'!$S$105</f>
        <v>0</v>
      </c>
      <c r="Y3282" s="106"/>
      <c r="Z3282" s="68">
        <f>Z1853/1.18-Z2568*'Mark Up Validation'!$S$105</f>
        <v>0</v>
      </c>
      <c r="AA3282" s="106"/>
      <c r="AB3282" s="68">
        <f>AB1853/1.18-AB2568*'Mark Up Validation'!$S$105</f>
        <v>0</v>
      </c>
      <c r="AC3282" s="106"/>
      <c r="AD3282" s="68">
        <f>AD1853/1.18-AD2568*'Mark Up Validation'!$S$105</f>
        <v>0</v>
      </c>
      <c r="AE3282" s="106"/>
      <c r="AF3282" s="129">
        <f>SUM(T3282,V3282,X3282,Z3282,AB3282,AD3282)</f>
        <v>0</v>
      </c>
      <c r="AG3282" s="106"/>
      <c r="AH3282" s="130">
        <f>SUM(AF3282,R3282)</f>
        <v>0</v>
      </c>
      <c r="AI3282" s="106"/>
      <c r="AJ3282" s="65"/>
      <c r="AV3282" s="56"/>
    </row>
    <row r="3283" spans="1:48" ht="12.75" customHeight="1" outlineLevel="2" thickBot="1">
      <c r="B3283" s="82"/>
      <c r="C3283" s="1234"/>
      <c r="D3283" s="1234"/>
      <c r="E3283" s="84" t="str">
        <f>'Terms and Turnovers'!$T$12</f>
        <v>ORIGINALS</v>
      </c>
      <c r="F3283" s="68">
        <f>F1854/1.18-F2569*'Mark Up Validation'!$M$105</f>
        <v>0</v>
      </c>
      <c r="G3283" s="728"/>
      <c r="H3283" s="68">
        <f>H1854/1.18-H2569*'Mark Up Validation'!$M$105</f>
        <v>0</v>
      </c>
      <c r="I3283" s="728"/>
      <c r="J3283" s="68">
        <f>J1854/1.18-J2569*'Mark Up Validation'!$M$105</f>
        <v>0</v>
      </c>
      <c r="K3283" s="728"/>
      <c r="L3283" s="68">
        <f>L1854/1.18-L2569*'Mark Up Validation'!$M$105</f>
        <v>0</v>
      </c>
      <c r="M3283" s="728"/>
      <c r="N3283" s="68">
        <f>N1854/1.18-N2569*'Mark Up Validation'!$M$105</f>
        <v>0</v>
      </c>
      <c r="O3283" s="728"/>
      <c r="P3283" s="68">
        <f>P1854/1.18-P2569*'Mark Up Validation'!$M$105</f>
        <v>0</v>
      </c>
      <c r="Q3283" s="728"/>
      <c r="R3283" s="132">
        <f>SUM(F3283,H3283,J3283,L3283,N3283,P3283)</f>
        <v>0</v>
      </c>
      <c r="S3283" s="728"/>
      <c r="T3283" s="68">
        <f>T1854/1.18-T2569*'Mark Up Validation'!$S$105</f>
        <v>0</v>
      </c>
      <c r="U3283" s="728"/>
      <c r="V3283" s="68">
        <f>V1854/1.18-V2569*'Mark Up Validation'!$S$105</f>
        <v>0</v>
      </c>
      <c r="W3283" s="728"/>
      <c r="X3283" s="68">
        <f>X1854/1.18-X2569*'Mark Up Validation'!$S$105</f>
        <v>0</v>
      </c>
      <c r="Y3283" s="728"/>
      <c r="Z3283" s="68">
        <f>Z1854/1.18-Z2569*'Mark Up Validation'!$S$105</f>
        <v>0</v>
      </c>
      <c r="AA3283" s="728"/>
      <c r="AB3283" s="68">
        <f>AB1854/1.18-AB2569*'Mark Up Validation'!$S$105</f>
        <v>0</v>
      </c>
      <c r="AC3283" s="728"/>
      <c r="AD3283" s="68">
        <f>AD1854/1.18-AD2569*'Mark Up Validation'!$S$105</f>
        <v>0</v>
      </c>
      <c r="AE3283" s="728"/>
      <c r="AF3283" s="132">
        <f>SUM(T3283,V3283,X3283,Z3283,AB3283,AD3283)</f>
        <v>0</v>
      </c>
      <c r="AG3283" s="728"/>
      <c r="AH3283" s="133">
        <f>SUM(AF3283,R3283)</f>
        <v>0</v>
      </c>
      <c r="AI3283" s="728"/>
      <c r="AJ3283" s="65"/>
      <c r="AV3283" s="56"/>
    </row>
    <row r="3284" spans="1:48" ht="12.75" customHeight="1" outlineLevel="2" thickBot="1">
      <c r="B3284" s="82"/>
      <c r="C3284" s="1234"/>
      <c r="D3284" s="1234"/>
      <c r="E3284" s="84" t="str">
        <f>'Terms and Turnovers'!$AD$12</f>
        <v>ACCESSORIES</v>
      </c>
      <c r="F3284" s="68">
        <f>F1855/1.18-F2570*'Mark Up Validation'!$M$105</f>
        <v>0</v>
      </c>
      <c r="G3284" s="106"/>
      <c r="H3284" s="68">
        <f>H1855/1.18-H2570*'Mark Up Validation'!$M$105</f>
        <v>0</v>
      </c>
      <c r="I3284" s="106"/>
      <c r="J3284" s="68">
        <f>J1855/1.18-J2570*'Mark Up Validation'!$M$105</f>
        <v>0</v>
      </c>
      <c r="K3284" s="106"/>
      <c r="L3284" s="68">
        <f>L1855/1.18-L2570*'Mark Up Validation'!$M$105</f>
        <v>0</v>
      </c>
      <c r="M3284" s="106"/>
      <c r="N3284" s="68">
        <f>N1855/1.18-N2570*'Mark Up Validation'!$M$105</f>
        <v>0</v>
      </c>
      <c r="O3284" s="106"/>
      <c r="P3284" s="68">
        <f>P1855/1.18-P2570*'Mark Up Validation'!$M$105</f>
        <v>0</v>
      </c>
      <c r="Q3284" s="728"/>
      <c r="R3284" s="132">
        <f>SUM(F3284,H3284,J3284,L3284,N3284,P3284)</f>
        <v>0</v>
      </c>
      <c r="S3284" s="728"/>
      <c r="T3284" s="68">
        <f>T1855/1.18-T2570*'Mark Up Validation'!$S$105</f>
        <v>0</v>
      </c>
      <c r="U3284" s="728"/>
      <c r="V3284" s="68">
        <f>V1855/1.18-V2570*'Mark Up Validation'!$S$105</f>
        <v>0</v>
      </c>
      <c r="W3284" s="728"/>
      <c r="X3284" s="68">
        <f>X1855/1.18-X2570*'Mark Up Validation'!$S$105</f>
        <v>0</v>
      </c>
      <c r="Y3284" s="728"/>
      <c r="Z3284" s="68">
        <f>Z1855/1.18-Z2570*'Mark Up Validation'!$S$105</f>
        <v>0</v>
      </c>
      <c r="AA3284" s="728"/>
      <c r="AB3284" s="68">
        <f>AB1855/1.18-AB2570*'Mark Up Validation'!$S$105</f>
        <v>0</v>
      </c>
      <c r="AC3284" s="728"/>
      <c r="AD3284" s="68">
        <f>AD1855/1.18-AD2570*'Mark Up Validation'!$S$105</f>
        <v>0</v>
      </c>
      <c r="AE3284" s="728"/>
      <c r="AF3284" s="132">
        <f>SUM(T3284,V3284,X3284,Z3284,AB3284,AD3284)</f>
        <v>0</v>
      </c>
      <c r="AG3284" s="728"/>
      <c r="AH3284" s="133">
        <f>SUM(AF3284,R3284)</f>
        <v>0</v>
      </c>
      <c r="AI3284" s="728"/>
      <c r="AJ3284" s="65"/>
      <c r="AV3284" s="56"/>
    </row>
    <row r="3285" spans="1:48" ht="12.75" customHeight="1" outlineLevel="2" thickBot="1">
      <c r="B3285" s="82"/>
      <c r="C3285" s="1234"/>
      <c r="D3285" s="1234"/>
      <c r="E3285" s="84">
        <f>'Terms and Turnovers'!$AN$12</f>
        <v>0</v>
      </c>
      <c r="F3285" s="68">
        <f>F1856/1.18-F2571*'Mark Up Validation'!$M$105</f>
        <v>0</v>
      </c>
      <c r="G3285" s="728"/>
      <c r="H3285" s="68">
        <f>H1856/1.18-H2571*'Mark Up Validation'!$M$105</f>
        <v>0</v>
      </c>
      <c r="I3285" s="728"/>
      <c r="J3285" s="68">
        <f>J1856/1.18-J2571*'Mark Up Validation'!$M$105</f>
        <v>0</v>
      </c>
      <c r="K3285" s="728"/>
      <c r="L3285" s="68">
        <f>L1856/1.18-L2571*'Mark Up Validation'!$M$105</f>
        <v>0</v>
      </c>
      <c r="M3285" s="728"/>
      <c r="N3285" s="68">
        <f>N1856/1.18-N2571*'Mark Up Validation'!$M$105</f>
        <v>0</v>
      </c>
      <c r="O3285" s="728"/>
      <c r="P3285" s="68">
        <f>P1856/1.18-P2571*'Mark Up Validation'!$M$105</f>
        <v>0</v>
      </c>
      <c r="Q3285" s="728"/>
      <c r="R3285" s="132">
        <f>SUM(F3285,H3285,J3285,L3285,N3285,P3285)</f>
        <v>0</v>
      </c>
      <c r="S3285" s="728"/>
      <c r="T3285" s="68">
        <f>T1856/1.18-T2571*'Mark Up Validation'!$S$105</f>
        <v>0</v>
      </c>
      <c r="U3285" s="728"/>
      <c r="V3285" s="68">
        <f>V1856/1.18-V2571*'Mark Up Validation'!$S$105</f>
        <v>0</v>
      </c>
      <c r="W3285" s="728"/>
      <c r="X3285" s="68">
        <f>X1856/1.18-X2571*'Mark Up Validation'!$S$105</f>
        <v>0</v>
      </c>
      <c r="Y3285" s="728"/>
      <c r="Z3285" s="68">
        <f>Z1856/1.18-Z2571*'Mark Up Validation'!$S$105</f>
        <v>0</v>
      </c>
      <c r="AA3285" s="728"/>
      <c r="AB3285" s="68">
        <f>AB1856/1.18-AB2571*'Mark Up Validation'!$S$105</f>
        <v>0</v>
      </c>
      <c r="AC3285" s="728"/>
      <c r="AD3285" s="68">
        <f>AD1856/1.18-AD2571*'Mark Up Validation'!$S$105</f>
        <v>0</v>
      </c>
      <c r="AE3285" s="728"/>
      <c r="AF3285" s="132">
        <f>SUM(T3285,V3285,X3285,Z3285,AB3285,AD3285)</f>
        <v>0</v>
      </c>
      <c r="AG3285" s="728"/>
      <c r="AH3285" s="133">
        <f>SUM(AF3285,R3285)</f>
        <v>0</v>
      </c>
      <c r="AI3285" s="728"/>
      <c r="AJ3285" s="65"/>
      <c r="AV3285" s="56"/>
    </row>
    <row r="3286" spans="1:48" ht="13.5" customHeight="1" outlineLevel="2" thickBot="1">
      <c r="B3286" s="82"/>
      <c r="C3286" s="1235"/>
      <c r="D3286" s="1235"/>
      <c r="E3286" s="85">
        <f>'Terms and Turnovers'!$AX$12</f>
        <v>0</v>
      </c>
      <c r="F3286" s="68">
        <f>F1857/1.18-F2572*'Mark Up Validation'!$M$105</f>
        <v>0</v>
      </c>
      <c r="G3286" s="106"/>
      <c r="H3286" s="68">
        <f>H1857/1.18-H2572*'Mark Up Validation'!$M$105</f>
        <v>0</v>
      </c>
      <c r="I3286" s="106"/>
      <c r="J3286" s="68">
        <f>J1857/1.18-J2572*'Mark Up Validation'!$M$105</f>
        <v>0</v>
      </c>
      <c r="K3286" s="106"/>
      <c r="L3286" s="68">
        <f>L1857/1.18-L2572*'Mark Up Validation'!$M$105</f>
        <v>0</v>
      </c>
      <c r="M3286" s="106"/>
      <c r="N3286" s="68">
        <f>N1857/1.18-N2572*'Mark Up Validation'!$M$105</f>
        <v>0</v>
      </c>
      <c r="O3286" s="106"/>
      <c r="P3286" s="68">
        <f>P1857/1.18-P2572*'Mark Up Validation'!$M$105</f>
        <v>0</v>
      </c>
      <c r="Q3286" s="107"/>
      <c r="R3286" s="135">
        <f>SUM(F3286,H3286,J3286,L3286,N3286,P3286)</f>
        <v>0</v>
      </c>
      <c r="S3286" s="107"/>
      <c r="T3286" s="68">
        <f>T1857/1.18-T2572*'Mark Up Validation'!$S$105</f>
        <v>0</v>
      </c>
      <c r="U3286" s="107"/>
      <c r="V3286" s="68">
        <f>V1857/1.18-V2572*'Mark Up Validation'!$S$105</f>
        <v>0</v>
      </c>
      <c r="W3286" s="107"/>
      <c r="X3286" s="68">
        <f>X1857/1.18-X2572*'Mark Up Validation'!$S$105</f>
        <v>0</v>
      </c>
      <c r="Y3286" s="107"/>
      <c r="Z3286" s="68">
        <f>Z1857/1.18-Z2572*'Mark Up Validation'!$S$105</f>
        <v>0</v>
      </c>
      <c r="AA3286" s="107"/>
      <c r="AB3286" s="68">
        <f>AB1857/1.18-AB2572*'Mark Up Validation'!$S$105</f>
        <v>0</v>
      </c>
      <c r="AC3286" s="107"/>
      <c r="AD3286" s="68">
        <f>AD1857/1.18-AD2572*'Mark Up Validation'!$S$105</f>
        <v>0</v>
      </c>
      <c r="AE3286" s="107"/>
      <c r="AF3286" s="135">
        <f>SUM(T3286,V3286,X3286,Z3286,AB3286,AD3286)</f>
        <v>0</v>
      </c>
      <c r="AG3286" s="107"/>
      <c r="AH3286" s="136">
        <f>SUM(AF3286,R3286)</f>
        <v>0</v>
      </c>
      <c r="AI3286" s="107"/>
      <c r="AJ3286" s="65"/>
      <c r="AV3286" s="56"/>
    </row>
    <row r="3287" spans="1:48" ht="13.5" customHeight="1" outlineLevel="2">
      <c r="B3287" s="82"/>
      <c r="C3287" s="425"/>
      <c r="D3287" s="425"/>
      <c r="E3287" s="634"/>
      <c r="F3287" s="635"/>
      <c r="G3287" s="428"/>
      <c r="H3287" s="635"/>
      <c r="I3287" s="428"/>
      <c r="J3287" s="635"/>
      <c r="K3287" s="636"/>
      <c r="L3287" s="635"/>
      <c r="M3287" s="636"/>
      <c r="N3287" s="635"/>
      <c r="O3287" s="636"/>
      <c r="P3287" s="635"/>
      <c r="Q3287" s="636"/>
      <c r="R3287" s="637"/>
      <c r="S3287" s="698">
        <f>SUM(R2567:R2571)/1.18-(SUM(R3282:R3286)*'Mark Up Validation'!$M$105)</f>
        <v>0</v>
      </c>
      <c r="T3287" s="635"/>
      <c r="U3287" s="636"/>
      <c r="V3287" s="635"/>
      <c r="W3287" s="636"/>
      <c r="X3287" s="635"/>
      <c r="Y3287" s="636"/>
      <c r="Z3287" s="635"/>
      <c r="AA3287" s="636"/>
      <c r="AB3287" s="635"/>
      <c r="AC3287" s="636"/>
      <c r="AD3287" s="635"/>
      <c r="AE3287" s="636"/>
      <c r="AF3287" s="637"/>
      <c r="AG3287" s="698">
        <f>SUM(AF2567:AF2571)/1.18-SUM(AF3282:AF3286)*'Mark Up Validation'!$M$175</f>
        <v>0</v>
      </c>
      <c r="AH3287" s="638"/>
      <c r="AI3287" s="698">
        <f>SUM(AH2567:AH2571)/1.18-SUM(AH3282:AH3286)*'Mark Up Validation'!$M$175</f>
        <v>0</v>
      </c>
      <c r="AJ3287" s="65"/>
      <c r="AV3287" s="56"/>
    </row>
    <row r="3288" spans="1:48" ht="13.5" customHeight="1" outlineLevel="2" thickBot="1">
      <c r="A3288" s="119"/>
      <c r="B3288" s="82"/>
      <c r="C3288" s="1228" t="s">
        <v>539</v>
      </c>
      <c r="D3288" s="1229"/>
      <c r="E3288" s="699"/>
      <c r="F3288" s="700">
        <f>SUM(F3282:F3286)</f>
        <v>0</v>
      </c>
      <c r="G3288" s="701"/>
      <c r="H3288" s="700">
        <f>SUM(H3282:H3286)</f>
        <v>0</v>
      </c>
      <c r="I3288" s="701"/>
      <c r="J3288" s="700">
        <f>SUM(J3282:J3286)</f>
        <v>0</v>
      </c>
      <c r="K3288" s="702"/>
      <c r="L3288" s="700">
        <f>SUM(L3282:L3286)</f>
        <v>0</v>
      </c>
      <c r="M3288" s="702"/>
      <c r="N3288" s="700">
        <f>SUM(N3282:N3286)</f>
        <v>0</v>
      </c>
      <c r="O3288" s="702"/>
      <c r="P3288" s="700">
        <f>SUM(P3282:P3286)</f>
        <v>0</v>
      </c>
      <c r="Q3288" s="702"/>
      <c r="R3288" s="703"/>
      <c r="S3288" s="729">
        <f>IF(S3287&gt;0,S3287/(SUM(R2567:R2571)/1.18),0)</f>
        <v>0</v>
      </c>
      <c r="T3288" s="700">
        <f>SUM(T3282:T3286)</f>
        <v>0</v>
      </c>
      <c r="U3288" s="702"/>
      <c r="V3288" s="700">
        <f>SUM(V3282:V3286)</f>
        <v>0</v>
      </c>
      <c r="W3288" s="702"/>
      <c r="X3288" s="700">
        <f>SUM(X3282:X3286)</f>
        <v>0</v>
      </c>
      <c r="Y3288" s="702"/>
      <c r="Z3288" s="700">
        <f>SUM(Z3282:Z3286)</f>
        <v>0</v>
      </c>
      <c r="AA3288" s="702"/>
      <c r="AB3288" s="700">
        <f>SUM(AB3282:AB3286)</f>
        <v>0</v>
      </c>
      <c r="AC3288" s="702"/>
      <c r="AD3288" s="700">
        <f>SUM(AD3282:AD3286)</f>
        <v>0</v>
      </c>
      <c r="AE3288" s="702"/>
      <c r="AF3288" s="705"/>
      <c r="AG3288" s="729">
        <f>IF(AG3287&gt;0,AG3287/(SUM(AF2567:AF2571)/1.18),0)</f>
        <v>0</v>
      </c>
      <c r="AH3288" s="706"/>
      <c r="AI3288" s="729">
        <f>IF(AI3287&gt;0,AI3287/(SUM(AH2567:AH2571)/1.18),0)</f>
        <v>0</v>
      </c>
      <c r="AJ3288" s="707"/>
      <c r="AV3288" s="56"/>
    </row>
    <row r="3289" spans="1:48" ht="12.75" customHeight="1" outlineLevel="2" thickBot="1">
      <c r="B3289" s="82">
        <f>B3282+1</f>
        <v>59</v>
      </c>
      <c r="C3289" s="1233">
        <f>C419</f>
        <v>0</v>
      </c>
      <c r="D3289" s="1233">
        <f>D419</f>
        <v>0</v>
      </c>
      <c r="E3289" s="83" t="str">
        <f>'Terms and Turnovers'!$J$12</f>
        <v>FLIP-FLOPS</v>
      </c>
      <c r="F3289" s="68">
        <f>F1860/1.18-F2575*'Mark Up Validation'!$M$105</f>
        <v>0</v>
      </c>
      <c r="G3289" s="106"/>
      <c r="H3289" s="68">
        <f>H1860/1.18-H2575*'Mark Up Validation'!$M$105</f>
        <v>0</v>
      </c>
      <c r="I3289" s="106"/>
      <c r="J3289" s="68">
        <f>J1860/1.18-J2575*'Mark Up Validation'!$M$105</f>
        <v>0</v>
      </c>
      <c r="K3289" s="106"/>
      <c r="L3289" s="68">
        <f>L1860/1.18-L2575*'Mark Up Validation'!$M$105</f>
        <v>0</v>
      </c>
      <c r="M3289" s="106"/>
      <c r="N3289" s="68">
        <f>N1860/1.18-N2575*'Mark Up Validation'!$M$105</f>
        <v>0</v>
      </c>
      <c r="O3289" s="106"/>
      <c r="P3289" s="68">
        <f>P1860/1.18-P2575*'Mark Up Validation'!$M$105</f>
        <v>0</v>
      </c>
      <c r="Q3289" s="106"/>
      <c r="R3289" s="129">
        <f>SUM(F3289,H3289,J3289,L3289,N3289,P3289)</f>
        <v>0</v>
      </c>
      <c r="S3289" s="106"/>
      <c r="T3289" s="68">
        <f>T1860/1.18-T2575*'Mark Up Validation'!$S$105</f>
        <v>0</v>
      </c>
      <c r="U3289" s="106"/>
      <c r="V3289" s="68">
        <f>V1860/1.18-V2575*'Mark Up Validation'!$S$105</f>
        <v>0</v>
      </c>
      <c r="W3289" s="106"/>
      <c r="X3289" s="68">
        <f>X1860/1.18-X2575*'Mark Up Validation'!$S$105</f>
        <v>0</v>
      </c>
      <c r="Y3289" s="106"/>
      <c r="Z3289" s="68">
        <f>Z1860/1.18-Z2575*'Mark Up Validation'!$S$105</f>
        <v>0</v>
      </c>
      <c r="AA3289" s="106"/>
      <c r="AB3289" s="68">
        <f>AB1860/1.18-AB2575*'Mark Up Validation'!$S$105</f>
        <v>0</v>
      </c>
      <c r="AC3289" s="106"/>
      <c r="AD3289" s="68">
        <f>AD1860/1.18-AD2575*'Mark Up Validation'!$S$105</f>
        <v>0</v>
      </c>
      <c r="AE3289" s="106"/>
      <c r="AF3289" s="129">
        <f>SUM(T3289,V3289,X3289,Z3289,AB3289,AD3289)</f>
        <v>0</v>
      </c>
      <c r="AG3289" s="106"/>
      <c r="AH3289" s="130">
        <f>SUM(AF3289,R3289)</f>
        <v>0</v>
      </c>
      <c r="AI3289" s="106"/>
      <c r="AJ3289" s="65"/>
      <c r="AV3289" s="56"/>
    </row>
    <row r="3290" spans="1:48" ht="12.75" customHeight="1" outlineLevel="2" thickBot="1">
      <c r="B3290" s="82"/>
      <c r="C3290" s="1234"/>
      <c r="D3290" s="1234"/>
      <c r="E3290" s="84" t="str">
        <f>'Terms and Turnovers'!$T$12</f>
        <v>ORIGINALS</v>
      </c>
      <c r="F3290" s="68">
        <f>F1861/1.18-F2576*'Mark Up Validation'!$M$105</f>
        <v>0</v>
      </c>
      <c r="G3290" s="728"/>
      <c r="H3290" s="68">
        <f>H1861/1.18-H2576*'Mark Up Validation'!$M$105</f>
        <v>0</v>
      </c>
      <c r="I3290" s="728"/>
      <c r="J3290" s="68">
        <f>J1861/1.18-J2576*'Mark Up Validation'!$M$105</f>
        <v>0</v>
      </c>
      <c r="K3290" s="728"/>
      <c r="L3290" s="68">
        <f>L1861/1.18-L2576*'Mark Up Validation'!$M$105</f>
        <v>0</v>
      </c>
      <c r="M3290" s="728"/>
      <c r="N3290" s="68">
        <f>N1861/1.18-N2576*'Mark Up Validation'!$M$105</f>
        <v>0</v>
      </c>
      <c r="O3290" s="728"/>
      <c r="P3290" s="68">
        <f>P1861/1.18-P2576*'Mark Up Validation'!$M$105</f>
        <v>0</v>
      </c>
      <c r="Q3290" s="728"/>
      <c r="R3290" s="132">
        <f>SUM(F3290,H3290,J3290,L3290,N3290,P3290)</f>
        <v>0</v>
      </c>
      <c r="S3290" s="728"/>
      <c r="T3290" s="68">
        <f>T1861/1.18-T2576*'Mark Up Validation'!$S$105</f>
        <v>0</v>
      </c>
      <c r="U3290" s="728"/>
      <c r="V3290" s="68">
        <f>V1861/1.18-V2576*'Mark Up Validation'!$S$105</f>
        <v>0</v>
      </c>
      <c r="W3290" s="728"/>
      <c r="X3290" s="68">
        <f>X1861/1.18-X2576*'Mark Up Validation'!$S$105</f>
        <v>0</v>
      </c>
      <c r="Y3290" s="728"/>
      <c r="Z3290" s="68">
        <f>Z1861/1.18-Z2576*'Mark Up Validation'!$S$105</f>
        <v>0</v>
      </c>
      <c r="AA3290" s="728"/>
      <c r="AB3290" s="68">
        <f>AB1861/1.18-AB2576*'Mark Up Validation'!$S$105</f>
        <v>0</v>
      </c>
      <c r="AC3290" s="728"/>
      <c r="AD3290" s="68">
        <f>AD1861/1.18-AD2576*'Mark Up Validation'!$S$105</f>
        <v>0</v>
      </c>
      <c r="AE3290" s="728"/>
      <c r="AF3290" s="132">
        <f>SUM(T3290,V3290,X3290,Z3290,AB3290,AD3290)</f>
        <v>0</v>
      </c>
      <c r="AG3290" s="728"/>
      <c r="AH3290" s="133">
        <f>SUM(AF3290,R3290)</f>
        <v>0</v>
      </c>
      <c r="AI3290" s="728"/>
      <c r="AJ3290" s="65"/>
      <c r="AV3290" s="56"/>
    </row>
    <row r="3291" spans="1:48" ht="12.75" customHeight="1" outlineLevel="2" thickBot="1">
      <c r="B3291" s="82"/>
      <c r="C3291" s="1234"/>
      <c r="D3291" s="1234"/>
      <c r="E3291" s="84" t="str">
        <f>'Terms and Turnovers'!$AD$12</f>
        <v>ACCESSORIES</v>
      </c>
      <c r="F3291" s="68">
        <f>F1862/1.18-F2577*'Mark Up Validation'!$M$105</f>
        <v>0</v>
      </c>
      <c r="G3291" s="106"/>
      <c r="H3291" s="68">
        <f>H1862/1.18-H2577*'Mark Up Validation'!$M$105</f>
        <v>0</v>
      </c>
      <c r="I3291" s="106"/>
      <c r="J3291" s="68">
        <f>J1862/1.18-J2577*'Mark Up Validation'!$M$105</f>
        <v>0</v>
      </c>
      <c r="K3291" s="106"/>
      <c r="L3291" s="68">
        <f>L1862/1.18-L2577*'Mark Up Validation'!$M$105</f>
        <v>0</v>
      </c>
      <c r="M3291" s="106"/>
      <c r="N3291" s="68">
        <f>N1862/1.18-N2577*'Mark Up Validation'!$M$105</f>
        <v>0</v>
      </c>
      <c r="O3291" s="106"/>
      <c r="P3291" s="68">
        <f>P1862/1.18-P2577*'Mark Up Validation'!$M$105</f>
        <v>0</v>
      </c>
      <c r="Q3291" s="728"/>
      <c r="R3291" s="132">
        <f>SUM(F3291,H3291,J3291,L3291,N3291,P3291)</f>
        <v>0</v>
      </c>
      <c r="S3291" s="728"/>
      <c r="T3291" s="68">
        <f>T1862/1.18-T2577*'Mark Up Validation'!$S$105</f>
        <v>0</v>
      </c>
      <c r="U3291" s="728"/>
      <c r="V3291" s="68">
        <f>V1862/1.18-V2577*'Mark Up Validation'!$S$105</f>
        <v>0</v>
      </c>
      <c r="W3291" s="728"/>
      <c r="X3291" s="68">
        <f>X1862/1.18-X2577*'Mark Up Validation'!$S$105</f>
        <v>0</v>
      </c>
      <c r="Y3291" s="728"/>
      <c r="Z3291" s="68">
        <f>Z1862/1.18-Z2577*'Mark Up Validation'!$S$105</f>
        <v>0</v>
      </c>
      <c r="AA3291" s="728"/>
      <c r="AB3291" s="68">
        <f>AB1862/1.18-AB2577*'Mark Up Validation'!$S$105</f>
        <v>0</v>
      </c>
      <c r="AC3291" s="728"/>
      <c r="AD3291" s="68">
        <f>AD1862/1.18-AD2577*'Mark Up Validation'!$S$105</f>
        <v>0</v>
      </c>
      <c r="AE3291" s="728"/>
      <c r="AF3291" s="132">
        <f>SUM(T3291,V3291,X3291,Z3291,AB3291,AD3291)</f>
        <v>0</v>
      </c>
      <c r="AG3291" s="728"/>
      <c r="AH3291" s="133">
        <f>SUM(AF3291,R3291)</f>
        <v>0</v>
      </c>
      <c r="AI3291" s="728"/>
      <c r="AJ3291" s="65"/>
      <c r="AV3291" s="56"/>
    </row>
    <row r="3292" spans="1:48" ht="12.75" customHeight="1" outlineLevel="2" thickBot="1">
      <c r="B3292" s="82"/>
      <c r="C3292" s="1234"/>
      <c r="D3292" s="1234"/>
      <c r="E3292" s="84">
        <f>'Terms and Turnovers'!$AN$12</f>
        <v>0</v>
      </c>
      <c r="F3292" s="68">
        <f>F1863/1.18-F2578*'Mark Up Validation'!$M$105</f>
        <v>0</v>
      </c>
      <c r="G3292" s="728"/>
      <c r="H3292" s="68">
        <f>H1863/1.18-H2578*'Mark Up Validation'!$M$105</f>
        <v>0</v>
      </c>
      <c r="I3292" s="728"/>
      <c r="J3292" s="68">
        <f>J1863/1.18-J2578*'Mark Up Validation'!$M$105</f>
        <v>0</v>
      </c>
      <c r="K3292" s="728"/>
      <c r="L3292" s="68">
        <f>L1863/1.18-L2578*'Mark Up Validation'!$M$105</f>
        <v>0</v>
      </c>
      <c r="M3292" s="728"/>
      <c r="N3292" s="68">
        <f>N1863/1.18-N2578*'Mark Up Validation'!$M$105</f>
        <v>0</v>
      </c>
      <c r="O3292" s="728"/>
      <c r="P3292" s="68">
        <f>P1863/1.18-P2578*'Mark Up Validation'!$M$105</f>
        <v>0</v>
      </c>
      <c r="Q3292" s="728"/>
      <c r="R3292" s="132">
        <f>SUM(F3292,H3292,J3292,L3292,N3292,P3292)</f>
        <v>0</v>
      </c>
      <c r="S3292" s="728"/>
      <c r="T3292" s="68">
        <f>T1863/1.18-T2578*'Mark Up Validation'!$S$105</f>
        <v>0</v>
      </c>
      <c r="U3292" s="728"/>
      <c r="V3292" s="68">
        <f>V1863/1.18-V2578*'Mark Up Validation'!$S$105</f>
        <v>0</v>
      </c>
      <c r="W3292" s="728"/>
      <c r="X3292" s="68">
        <f>X1863/1.18-X2578*'Mark Up Validation'!$S$105</f>
        <v>0</v>
      </c>
      <c r="Y3292" s="728"/>
      <c r="Z3292" s="68">
        <f>Z1863/1.18-Z2578*'Mark Up Validation'!$S$105</f>
        <v>0</v>
      </c>
      <c r="AA3292" s="728"/>
      <c r="AB3292" s="68">
        <f>AB1863/1.18-AB2578*'Mark Up Validation'!$S$105</f>
        <v>0</v>
      </c>
      <c r="AC3292" s="728"/>
      <c r="AD3292" s="68">
        <f>AD1863/1.18-AD2578*'Mark Up Validation'!$S$105</f>
        <v>0</v>
      </c>
      <c r="AE3292" s="728"/>
      <c r="AF3292" s="132">
        <f>SUM(T3292,V3292,X3292,Z3292,AB3292,AD3292)</f>
        <v>0</v>
      </c>
      <c r="AG3292" s="728"/>
      <c r="AH3292" s="133">
        <f>SUM(AF3292,R3292)</f>
        <v>0</v>
      </c>
      <c r="AI3292" s="728"/>
      <c r="AJ3292" s="65"/>
      <c r="AV3292" s="56"/>
    </row>
    <row r="3293" spans="1:48" ht="13.5" customHeight="1" outlineLevel="2" thickBot="1">
      <c r="B3293" s="82"/>
      <c r="C3293" s="1235"/>
      <c r="D3293" s="1235"/>
      <c r="E3293" s="85">
        <f>'Terms and Turnovers'!$AX$12</f>
        <v>0</v>
      </c>
      <c r="F3293" s="68">
        <f>F1864/1.18-F2579*'Mark Up Validation'!$M$105</f>
        <v>0</v>
      </c>
      <c r="G3293" s="106"/>
      <c r="H3293" s="68">
        <f>H1864/1.18-H2579*'Mark Up Validation'!$M$105</f>
        <v>0</v>
      </c>
      <c r="I3293" s="106"/>
      <c r="J3293" s="68">
        <f>J1864/1.18-J2579*'Mark Up Validation'!$M$105</f>
        <v>0</v>
      </c>
      <c r="K3293" s="106"/>
      <c r="L3293" s="68">
        <f>L1864/1.18-L2579*'Mark Up Validation'!$M$105</f>
        <v>0</v>
      </c>
      <c r="M3293" s="106"/>
      <c r="N3293" s="68">
        <f>N1864/1.18-N2579*'Mark Up Validation'!$M$105</f>
        <v>0</v>
      </c>
      <c r="O3293" s="106"/>
      <c r="P3293" s="68">
        <f>P1864/1.18-P2579*'Mark Up Validation'!$M$105</f>
        <v>0</v>
      </c>
      <c r="Q3293" s="107"/>
      <c r="R3293" s="135">
        <f>SUM(F3293,H3293,J3293,L3293,N3293,P3293)</f>
        <v>0</v>
      </c>
      <c r="S3293" s="107"/>
      <c r="T3293" s="68">
        <f>T1864/1.18-T2579*'Mark Up Validation'!$S$105</f>
        <v>0</v>
      </c>
      <c r="U3293" s="107"/>
      <c r="V3293" s="68">
        <f>V1864/1.18-V2579*'Mark Up Validation'!$S$105</f>
        <v>0</v>
      </c>
      <c r="W3293" s="107"/>
      <c r="X3293" s="68">
        <f>X1864/1.18-X2579*'Mark Up Validation'!$S$105</f>
        <v>0</v>
      </c>
      <c r="Y3293" s="107"/>
      <c r="Z3293" s="68">
        <f>Z1864/1.18-Z2579*'Mark Up Validation'!$S$105</f>
        <v>0</v>
      </c>
      <c r="AA3293" s="107"/>
      <c r="AB3293" s="68">
        <f>AB1864/1.18-AB2579*'Mark Up Validation'!$S$105</f>
        <v>0</v>
      </c>
      <c r="AC3293" s="107"/>
      <c r="AD3293" s="68">
        <f>AD1864/1.18-AD2579*'Mark Up Validation'!$S$105</f>
        <v>0</v>
      </c>
      <c r="AE3293" s="107"/>
      <c r="AF3293" s="135">
        <f>SUM(T3293,V3293,X3293,Z3293,AB3293,AD3293)</f>
        <v>0</v>
      </c>
      <c r="AG3293" s="107"/>
      <c r="AH3293" s="136">
        <f>SUM(AF3293,R3293)</f>
        <v>0</v>
      </c>
      <c r="AI3293" s="107"/>
      <c r="AJ3293" s="65"/>
      <c r="AV3293" s="56"/>
    </row>
    <row r="3294" spans="1:48" ht="13.5" customHeight="1" outlineLevel="2">
      <c r="B3294" s="82"/>
      <c r="C3294" s="425"/>
      <c r="D3294" s="425"/>
      <c r="E3294" s="634"/>
      <c r="F3294" s="635"/>
      <c r="G3294" s="428"/>
      <c r="H3294" s="635"/>
      <c r="I3294" s="428"/>
      <c r="J3294" s="635"/>
      <c r="K3294" s="636"/>
      <c r="L3294" s="635"/>
      <c r="M3294" s="636"/>
      <c r="N3294" s="635"/>
      <c r="O3294" s="636"/>
      <c r="P3294" s="635"/>
      <c r="Q3294" s="636"/>
      <c r="R3294" s="637"/>
      <c r="S3294" s="698">
        <f>SUM(R2574:R2578)/1.18-(SUM(R3289:R3293)*'Mark Up Validation'!$M$105)</f>
        <v>0</v>
      </c>
      <c r="T3294" s="635"/>
      <c r="U3294" s="636"/>
      <c r="V3294" s="635"/>
      <c r="W3294" s="636"/>
      <c r="X3294" s="635"/>
      <c r="Y3294" s="636"/>
      <c r="Z3294" s="635"/>
      <c r="AA3294" s="636"/>
      <c r="AB3294" s="635"/>
      <c r="AC3294" s="636"/>
      <c r="AD3294" s="635"/>
      <c r="AE3294" s="636"/>
      <c r="AF3294" s="637"/>
      <c r="AG3294" s="698">
        <f>SUM(AF2574:AF2578)/1.18-SUM(AF3289:AF3293)*'Mark Up Validation'!$M$175</f>
        <v>0</v>
      </c>
      <c r="AH3294" s="638"/>
      <c r="AI3294" s="698">
        <f>SUM(AH2574:AH2578)/1.18-SUM(AH3289:AH3293)*'Mark Up Validation'!$M$175</f>
        <v>0</v>
      </c>
      <c r="AJ3294" s="65"/>
      <c r="AV3294" s="56"/>
    </row>
    <row r="3295" spans="1:48" ht="13.5" customHeight="1" outlineLevel="2" thickBot="1">
      <c r="A3295" s="119"/>
      <c r="B3295" s="82"/>
      <c r="C3295" s="1228" t="s">
        <v>539</v>
      </c>
      <c r="D3295" s="1229"/>
      <c r="E3295" s="699"/>
      <c r="F3295" s="700">
        <f>SUM(F3289:F3293)</f>
        <v>0</v>
      </c>
      <c r="G3295" s="701"/>
      <c r="H3295" s="700">
        <f>SUM(H3289:H3293)</f>
        <v>0</v>
      </c>
      <c r="I3295" s="701"/>
      <c r="J3295" s="700">
        <f>SUM(J3289:J3293)</f>
        <v>0</v>
      </c>
      <c r="K3295" s="702"/>
      <c r="L3295" s="700">
        <f>SUM(L3289:L3293)</f>
        <v>0</v>
      </c>
      <c r="M3295" s="702"/>
      <c r="N3295" s="700">
        <f>SUM(N3289:N3293)</f>
        <v>0</v>
      </c>
      <c r="O3295" s="702"/>
      <c r="P3295" s="700">
        <f>SUM(P3289:P3293)</f>
        <v>0</v>
      </c>
      <c r="Q3295" s="702"/>
      <c r="R3295" s="703"/>
      <c r="S3295" s="729">
        <f>IF(S3294&gt;0,S3294/(SUM(R2574:R2578)/1.18),0)</f>
        <v>0</v>
      </c>
      <c r="T3295" s="700">
        <f>SUM(T3289:T3293)</f>
        <v>0</v>
      </c>
      <c r="U3295" s="702"/>
      <c r="V3295" s="700">
        <f>SUM(V3289:V3293)</f>
        <v>0</v>
      </c>
      <c r="W3295" s="702"/>
      <c r="X3295" s="700">
        <f>SUM(X3289:X3293)</f>
        <v>0</v>
      </c>
      <c r="Y3295" s="702"/>
      <c r="Z3295" s="700">
        <f>SUM(Z3289:Z3293)</f>
        <v>0</v>
      </c>
      <c r="AA3295" s="702"/>
      <c r="AB3295" s="700">
        <f>SUM(AB3289:AB3293)</f>
        <v>0</v>
      </c>
      <c r="AC3295" s="702"/>
      <c r="AD3295" s="700">
        <f>SUM(AD3289:AD3293)</f>
        <v>0</v>
      </c>
      <c r="AE3295" s="702"/>
      <c r="AF3295" s="705"/>
      <c r="AG3295" s="729">
        <f>IF(AG3294&gt;0,AG3294/(SUM(AF2574:AF2578)/1.18),0)</f>
        <v>0</v>
      </c>
      <c r="AH3295" s="706"/>
      <c r="AI3295" s="729">
        <f>IF(AI3294&gt;0,AI3294/(SUM(AH2574:AH2578)/1.18),0)</f>
        <v>0</v>
      </c>
      <c r="AJ3295" s="707"/>
      <c r="AV3295" s="56"/>
    </row>
    <row r="3296" spans="1:48" ht="12.75" customHeight="1" outlineLevel="2" thickBot="1">
      <c r="B3296" s="82">
        <f>B3289+1</f>
        <v>60</v>
      </c>
      <c r="C3296" s="1233">
        <f>C426</f>
        <v>0</v>
      </c>
      <c r="D3296" s="1233">
        <f>D426</f>
        <v>0</v>
      </c>
      <c r="E3296" s="83" t="str">
        <f>'Terms and Turnovers'!$J$12</f>
        <v>FLIP-FLOPS</v>
      </c>
      <c r="F3296" s="68">
        <f>F1867/1.18-F2582*'Mark Up Validation'!$M$105</f>
        <v>0</v>
      </c>
      <c r="G3296" s="106"/>
      <c r="H3296" s="68">
        <f>H1867/1.18-H2582*'Mark Up Validation'!$M$105</f>
        <v>0</v>
      </c>
      <c r="I3296" s="106"/>
      <c r="J3296" s="68">
        <f>J1867/1.18-J2582*'Mark Up Validation'!$M$105</f>
        <v>0</v>
      </c>
      <c r="K3296" s="106"/>
      <c r="L3296" s="68">
        <f>L1867/1.18-L2582*'Mark Up Validation'!$M$105</f>
        <v>0</v>
      </c>
      <c r="M3296" s="106"/>
      <c r="N3296" s="68">
        <f>N1867/1.18-N2582*'Mark Up Validation'!$M$105</f>
        <v>0</v>
      </c>
      <c r="O3296" s="106"/>
      <c r="P3296" s="68">
        <f>P1867/1.18-P2582*'Mark Up Validation'!$M$105</f>
        <v>0</v>
      </c>
      <c r="Q3296" s="106"/>
      <c r="R3296" s="129">
        <f>SUM(F3296,H3296,J3296,L3296,N3296,P3296)</f>
        <v>0</v>
      </c>
      <c r="S3296" s="106"/>
      <c r="T3296" s="68">
        <f>T1867/1.18-T2582*'Mark Up Validation'!$S$105</f>
        <v>0</v>
      </c>
      <c r="U3296" s="106"/>
      <c r="V3296" s="68">
        <f>V1867/1.18-V2582*'Mark Up Validation'!$S$105</f>
        <v>0</v>
      </c>
      <c r="W3296" s="106"/>
      <c r="X3296" s="68">
        <f>X1867/1.18-X2582*'Mark Up Validation'!$S$105</f>
        <v>0</v>
      </c>
      <c r="Y3296" s="106"/>
      <c r="Z3296" s="68">
        <f>Z1867/1.18-Z2582*'Mark Up Validation'!$S$105</f>
        <v>0</v>
      </c>
      <c r="AA3296" s="106"/>
      <c r="AB3296" s="68">
        <f>AB1867/1.18-AB2582*'Mark Up Validation'!$S$105</f>
        <v>0</v>
      </c>
      <c r="AC3296" s="106"/>
      <c r="AD3296" s="68">
        <f>AD1867/1.18-AD2582*'Mark Up Validation'!$S$105</f>
        <v>0</v>
      </c>
      <c r="AE3296" s="106"/>
      <c r="AF3296" s="129">
        <f>SUM(T3296,V3296,X3296,Z3296,AB3296,AD3296)</f>
        <v>0</v>
      </c>
      <c r="AG3296" s="106"/>
      <c r="AH3296" s="130">
        <f>SUM(AF3296,R3296)</f>
        <v>0</v>
      </c>
      <c r="AI3296" s="106"/>
      <c r="AJ3296" s="65"/>
      <c r="AV3296" s="56"/>
    </row>
    <row r="3297" spans="1:48" ht="12.75" customHeight="1" outlineLevel="2" thickBot="1">
      <c r="B3297" s="82"/>
      <c r="C3297" s="1234"/>
      <c r="D3297" s="1234"/>
      <c r="E3297" s="84" t="str">
        <f>'Terms and Turnovers'!$T$12</f>
        <v>ORIGINALS</v>
      </c>
      <c r="F3297" s="68">
        <f>F1868/1.18-F2583*'Mark Up Validation'!$M$105</f>
        <v>0</v>
      </c>
      <c r="G3297" s="728"/>
      <c r="H3297" s="68">
        <f>H1868/1.18-H2583*'Mark Up Validation'!$M$105</f>
        <v>0</v>
      </c>
      <c r="I3297" s="728"/>
      <c r="J3297" s="68">
        <f>J1868/1.18-J2583*'Mark Up Validation'!$M$105</f>
        <v>0</v>
      </c>
      <c r="K3297" s="728"/>
      <c r="L3297" s="68">
        <f>L1868/1.18-L2583*'Mark Up Validation'!$M$105</f>
        <v>0</v>
      </c>
      <c r="M3297" s="728"/>
      <c r="N3297" s="68">
        <f>N1868/1.18-N2583*'Mark Up Validation'!$M$105</f>
        <v>0</v>
      </c>
      <c r="O3297" s="728"/>
      <c r="P3297" s="68">
        <f>P1868/1.18-P2583*'Mark Up Validation'!$M$105</f>
        <v>0</v>
      </c>
      <c r="Q3297" s="728"/>
      <c r="R3297" s="132">
        <f>SUM(F3297,H3297,J3297,L3297,N3297,P3297)</f>
        <v>0</v>
      </c>
      <c r="S3297" s="728"/>
      <c r="T3297" s="68">
        <f>T1868/1.18-T2583*'Mark Up Validation'!$S$105</f>
        <v>0</v>
      </c>
      <c r="U3297" s="728"/>
      <c r="V3297" s="68">
        <f>V1868/1.18-V2583*'Mark Up Validation'!$S$105</f>
        <v>0</v>
      </c>
      <c r="W3297" s="728"/>
      <c r="X3297" s="68">
        <f>X1868/1.18-X2583*'Mark Up Validation'!$S$105</f>
        <v>0</v>
      </c>
      <c r="Y3297" s="728"/>
      <c r="Z3297" s="68">
        <f>Z1868/1.18-Z2583*'Mark Up Validation'!$S$105</f>
        <v>0</v>
      </c>
      <c r="AA3297" s="728"/>
      <c r="AB3297" s="68">
        <f>AB1868/1.18-AB2583*'Mark Up Validation'!$S$105</f>
        <v>0</v>
      </c>
      <c r="AC3297" s="728"/>
      <c r="AD3297" s="68">
        <f>AD1868/1.18-AD2583*'Mark Up Validation'!$S$105</f>
        <v>0</v>
      </c>
      <c r="AE3297" s="728"/>
      <c r="AF3297" s="132">
        <f>SUM(T3297,V3297,X3297,Z3297,AB3297,AD3297)</f>
        <v>0</v>
      </c>
      <c r="AG3297" s="728"/>
      <c r="AH3297" s="133">
        <f>SUM(AF3297,R3297)</f>
        <v>0</v>
      </c>
      <c r="AI3297" s="728"/>
      <c r="AJ3297" s="65"/>
      <c r="AV3297" s="56"/>
    </row>
    <row r="3298" spans="1:48" ht="12.75" customHeight="1" outlineLevel="2" thickBot="1">
      <c r="B3298" s="82"/>
      <c r="C3298" s="1234"/>
      <c r="D3298" s="1234"/>
      <c r="E3298" s="84" t="str">
        <f>'Terms and Turnovers'!$AD$12</f>
        <v>ACCESSORIES</v>
      </c>
      <c r="F3298" s="68">
        <f>F1869/1.18-F2584*'Mark Up Validation'!$M$105</f>
        <v>0</v>
      </c>
      <c r="G3298" s="106"/>
      <c r="H3298" s="68">
        <f>H1869/1.18-H2584*'Mark Up Validation'!$M$105</f>
        <v>0</v>
      </c>
      <c r="I3298" s="106"/>
      <c r="J3298" s="68">
        <f>J1869/1.18-J2584*'Mark Up Validation'!$M$105</f>
        <v>0</v>
      </c>
      <c r="K3298" s="106"/>
      <c r="L3298" s="68">
        <f>L1869/1.18-L2584*'Mark Up Validation'!$M$105</f>
        <v>0</v>
      </c>
      <c r="M3298" s="106"/>
      <c r="N3298" s="68">
        <f>N1869/1.18-N2584*'Mark Up Validation'!$M$105</f>
        <v>0</v>
      </c>
      <c r="O3298" s="106"/>
      <c r="P3298" s="68">
        <f>P1869/1.18-P2584*'Mark Up Validation'!$M$105</f>
        <v>0</v>
      </c>
      <c r="Q3298" s="728"/>
      <c r="R3298" s="132">
        <f>SUM(F3298,H3298,J3298,L3298,N3298,P3298)</f>
        <v>0</v>
      </c>
      <c r="S3298" s="728"/>
      <c r="T3298" s="68">
        <f>T1869/1.18-T2584*'Mark Up Validation'!$S$105</f>
        <v>0</v>
      </c>
      <c r="U3298" s="728"/>
      <c r="V3298" s="68">
        <f>V1869/1.18-V2584*'Mark Up Validation'!$S$105</f>
        <v>0</v>
      </c>
      <c r="W3298" s="728"/>
      <c r="X3298" s="68">
        <f>X1869/1.18-X2584*'Mark Up Validation'!$S$105</f>
        <v>0</v>
      </c>
      <c r="Y3298" s="728"/>
      <c r="Z3298" s="68">
        <f>Z1869/1.18-Z2584*'Mark Up Validation'!$S$105</f>
        <v>0</v>
      </c>
      <c r="AA3298" s="728"/>
      <c r="AB3298" s="68">
        <f>AB1869/1.18-AB2584*'Mark Up Validation'!$S$105</f>
        <v>0</v>
      </c>
      <c r="AC3298" s="728"/>
      <c r="AD3298" s="68">
        <f>AD1869/1.18-AD2584*'Mark Up Validation'!$S$105</f>
        <v>0</v>
      </c>
      <c r="AE3298" s="728"/>
      <c r="AF3298" s="132">
        <f>SUM(T3298,V3298,X3298,Z3298,AB3298,AD3298)</f>
        <v>0</v>
      </c>
      <c r="AG3298" s="728"/>
      <c r="AH3298" s="133">
        <f>SUM(AF3298,R3298)</f>
        <v>0</v>
      </c>
      <c r="AI3298" s="728"/>
      <c r="AJ3298" s="65"/>
      <c r="AV3298" s="56"/>
    </row>
    <row r="3299" spans="1:48" ht="12.75" customHeight="1" outlineLevel="2" thickBot="1">
      <c r="B3299" s="82"/>
      <c r="C3299" s="1234"/>
      <c r="D3299" s="1234"/>
      <c r="E3299" s="84">
        <f>'Terms and Turnovers'!$AN$12</f>
        <v>0</v>
      </c>
      <c r="F3299" s="68">
        <f>F1870/1.18-F2585*'Mark Up Validation'!$M$105</f>
        <v>0</v>
      </c>
      <c r="G3299" s="728"/>
      <c r="H3299" s="68">
        <f>H1870/1.18-H2585*'Mark Up Validation'!$M$105</f>
        <v>0</v>
      </c>
      <c r="I3299" s="728"/>
      <c r="J3299" s="68">
        <f>J1870/1.18-J2585*'Mark Up Validation'!$M$105</f>
        <v>0</v>
      </c>
      <c r="K3299" s="728"/>
      <c r="L3299" s="68">
        <f>L1870/1.18-L2585*'Mark Up Validation'!$M$105</f>
        <v>0</v>
      </c>
      <c r="M3299" s="728"/>
      <c r="N3299" s="68">
        <f>N1870/1.18-N2585*'Mark Up Validation'!$M$105</f>
        <v>0</v>
      </c>
      <c r="O3299" s="728"/>
      <c r="P3299" s="68">
        <f>P1870/1.18-P2585*'Mark Up Validation'!$M$105</f>
        <v>0</v>
      </c>
      <c r="Q3299" s="728"/>
      <c r="R3299" s="132">
        <f>SUM(F3299,H3299,J3299,L3299,N3299,P3299)</f>
        <v>0</v>
      </c>
      <c r="S3299" s="728"/>
      <c r="T3299" s="68">
        <f>T1870/1.18-T2585*'Mark Up Validation'!$S$105</f>
        <v>0</v>
      </c>
      <c r="U3299" s="728"/>
      <c r="V3299" s="68">
        <f>V1870/1.18-V2585*'Mark Up Validation'!$S$105</f>
        <v>0</v>
      </c>
      <c r="W3299" s="728"/>
      <c r="X3299" s="68">
        <f>X1870/1.18-X2585*'Mark Up Validation'!$S$105</f>
        <v>0</v>
      </c>
      <c r="Y3299" s="728"/>
      <c r="Z3299" s="68">
        <f>Z1870/1.18-Z2585*'Mark Up Validation'!$S$105</f>
        <v>0</v>
      </c>
      <c r="AA3299" s="728"/>
      <c r="AB3299" s="68">
        <f>AB1870/1.18-AB2585*'Mark Up Validation'!$S$105</f>
        <v>0</v>
      </c>
      <c r="AC3299" s="728"/>
      <c r="AD3299" s="68">
        <f>AD1870/1.18-AD2585*'Mark Up Validation'!$S$105</f>
        <v>0</v>
      </c>
      <c r="AE3299" s="728"/>
      <c r="AF3299" s="132">
        <f>SUM(T3299,V3299,X3299,Z3299,AB3299,AD3299)</f>
        <v>0</v>
      </c>
      <c r="AG3299" s="728"/>
      <c r="AH3299" s="133">
        <f>SUM(AF3299,R3299)</f>
        <v>0</v>
      </c>
      <c r="AI3299" s="728"/>
      <c r="AJ3299" s="65"/>
      <c r="AV3299" s="56"/>
    </row>
    <row r="3300" spans="1:48" ht="13.5" customHeight="1" outlineLevel="2" thickBot="1">
      <c r="B3300" s="82"/>
      <c r="C3300" s="1235"/>
      <c r="D3300" s="1235"/>
      <c r="E3300" s="85">
        <f>'Terms and Turnovers'!$AX$12</f>
        <v>0</v>
      </c>
      <c r="F3300" s="68">
        <f>F1871/1.18-F2586*'Mark Up Validation'!$M$105</f>
        <v>0</v>
      </c>
      <c r="G3300" s="106"/>
      <c r="H3300" s="68">
        <f>H1871/1.18-H2586*'Mark Up Validation'!$M$105</f>
        <v>0</v>
      </c>
      <c r="I3300" s="106"/>
      <c r="J3300" s="68">
        <f>J1871/1.18-J2586*'Mark Up Validation'!$M$105</f>
        <v>0</v>
      </c>
      <c r="K3300" s="106"/>
      <c r="L3300" s="68">
        <f>L1871/1.18-L2586*'Mark Up Validation'!$M$105</f>
        <v>0</v>
      </c>
      <c r="M3300" s="106"/>
      <c r="N3300" s="68">
        <f>N1871/1.18-N2586*'Mark Up Validation'!$M$105</f>
        <v>0</v>
      </c>
      <c r="O3300" s="106"/>
      <c r="P3300" s="68">
        <f>P1871/1.18-P2586*'Mark Up Validation'!$M$105</f>
        <v>0</v>
      </c>
      <c r="Q3300" s="107"/>
      <c r="R3300" s="135">
        <f>SUM(F3300,H3300,J3300,L3300,N3300,P3300)</f>
        <v>0</v>
      </c>
      <c r="S3300" s="107"/>
      <c r="T3300" s="68">
        <f>T1871/1.18-T2586*'Mark Up Validation'!$S$105</f>
        <v>0</v>
      </c>
      <c r="U3300" s="107"/>
      <c r="V3300" s="68">
        <f>V1871/1.18-V2586*'Mark Up Validation'!$S$105</f>
        <v>0</v>
      </c>
      <c r="W3300" s="107"/>
      <c r="X3300" s="68">
        <f>X1871/1.18-X2586*'Mark Up Validation'!$S$105</f>
        <v>0</v>
      </c>
      <c r="Y3300" s="107"/>
      <c r="Z3300" s="68">
        <f>Z1871/1.18-Z2586*'Mark Up Validation'!$S$105</f>
        <v>0</v>
      </c>
      <c r="AA3300" s="107"/>
      <c r="AB3300" s="68">
        <f>AB1871/1.18-AB2586*'Mark Up Validation'!$S$105</f>
        <v>0</v>
      </c>
      <c r="AC3300" s="107"/>
      <c r="AD3300" s="68">
        <f>AD1871/1.18-AD2586*'Mark Up Validation'!$S$105</f>
        <v>0</v>
      </c>
      <c r="AE3300" s="107"/>
      <c r="AF3300" s="135">
        <f>SUM(T3300,V3300,X3300,Z3300,AB3300,AD3300)</f>
        <v>0</v>
      </c>
      <c r="AG3300" s="107"/>
      <c r="AH3300" s="136">
        <f>SUM(AF3300,R3300)</f>
        <v>0</v>
      </c>
      <c r="AI3300" s="107"/>
      <c r="AJ3300" s="65"/>
      <c r="AV3300" s="56"/>
    </row>
    <row r="3301" spans="1:48" ht="13.5" customHeight="1" outlineLevel="2">
      <c r="B3301" s="82"/>
      <c r="C3301" s="425"/>
      <c r="D3301" s="425"/>
      <c r="E3301" s="634"/>
      <c r="F3301" s="635"/>
      <c r="G3301" s="428"/>
      <c r="H3301" s="635"/>
      <c r="I3301" s="428"/>
      <c r="J3301" s="635"/>
      <c r="K3301" s="636"/>
      <c r="L3301" s="635"/>
      <c r="M3301" s="636"/>
      <c r="N3301" s="635"/>
      <c r="O3301" s="636"/>
      <c r="P3301" s="635"/>
      <c r="Q3301" s="636"/>
      <c r="R3301" s="637"/>
      <c r="S3301" s="698">
        <f>SUM(R2581:R2585)/1.18-(SUM(R3296:R3300)*'Mark Up Validation'!$M$105)</f>
        <v>0</v>
      </c>
      <c r="T3301" s="635"/>
      <c r="U3301" s="636"/>
      <c r="V3301" s="635"/>
      <c r="W3301" s="636"/>
      <c r="X3301" s="635"/>
      <c r="Y3301" s="636"/>
      <c r="Z3301" s="635"/>
      <c r="AA3301" s="636"/>
      <c r="AB3301" s="635"/>
      <c r="AC3301" s="636"/>
      <c r="AD3301" s="635"/>
      <c r="AE3301" s="636"/>
      <c r="AF3301" s="637"/>
      <c r="AG3301" s="698">
        <f>SUM(AF2581:AF2585)/1.18-SUM(AF3296:AF3300)*'Mark Up Validation'!$M$175</f>
        <v>0</v>
      </c>
      <c r="AH3301" s="638"/>
      <c r="AI3301" s="698">
        <f>SUM(AH2581:AH2585)/1.18-SUM(AH3296:AH3300)*'Mark Up Validation'!$M$175</f>
        <v>0</v>
      </c>
      <c r="AJ3301" s="65"/>
      <c r="AV3301" s="56"/>
    </row>
    <row r="3302" spans="1:48" ht="13.5" customHeight="1" outlineLevel="2" thickBot="1">
      <c r="A3302" s="119"/>
      <c r="B3302" s="82"/>
      <c r="C3302" s="1228" t="s">
        <v>539</v>
      </c>
      <c r="D3302" s="1229"/>
      <c r="E3302" s="699"/>
      <c r="F3302" s="700">
        <f>SUM(F3296:F3300)</f>
        <v>0</v>
      </c>
      <c r="G3302" s="701"/>
      <c r="H3302" s="700">
        <f>SUM(H3296:H3300)</f>
        <v>0</v>
      </c>
      <c r="I3302" s="701"/>
      <c r="J3302" s="700">
        <f>SUM(J3296:J3300)</f>
        <v>0</v>
      </c>
      <c r="K3302" s="702"/>
      <c r="L3302" s="700">
        <f>SUM(L3296:L3300)</f>
        <v>0</v>
      </c>
      <c r="M3302" s="702"/>
      <c r="N3302" s="700">
        <f>SUM(N3296:N3300)</f>
        <v>0</v>
      </c>
      <c r="O3302" s="702"/>
      <c r="P3302" s="700">
        <f>SUM(P3296:P3300)</f>
        <v>0</v>
      </c>
      <c r="Q3302" s="702"/>
      <c r="R3302" s="703"/>
      <c r="S3302" s="729">
        <f>IF(S3301&gt;0,S3301/(SUM(R2581:R2585)/1.18),0)</f>
        <v>0</v>
      </c>
      <c r="T3302" s="700">
        <f>SUM(T3296:T3300)</f>
        <v>0</v>
      </c>
      <c r="U3302" s="702"/>
      <c r="V3302" s="700">
        <f>SUM(V3296:V3300)</f>
        <v>0</v>
      </c>
      <c r="W3302" s="702"/>
      <c r="X3302" s="700">
        <f>SUM(X3296:X3300)</f>
        <v>0</v>
      </c>
      <c r="Y3302" s="702"/>
      <c r="Z3302" s="700">
        <f>SUM(Z3296:Z3300)</f>
        <v>0</v>
      </c>
      <c r="AA3302" s="702"/>
      <c r="AB3302" s="700">
        <f>SUM(AB3296:AB3300)</f>
        <v>0</v>
      </c>
      <c r="AC3302" s="702"/>
      <c r="AD3302" s="700">
        <f>SUM(AD3296:AD3300)</f>
        <v>0</v>
      </c>
      <c r="AE3302" s="702"/>
      <c r="AF3302" s="705"/>
      <c r="AG3302" s="729">
        <f>IF(AG3301&gt;0,AG3301/(SUM(AF2581:AF2585)/1.18),0)</f>
        <v>0</v>
      </c>
      <c r="AH3302" s="706"/>
      <c r="AI3302" s="729">
        <f>IF(AI3301&gt;0,AI3301/(SUM(AH2581:AH2585)/1.18),0)</f>
        <v>0</v>
      </c>
      <c r="AJ3302" s="707"/>
      <c r="AV3302" s="56"/>
    </row>
    <row r="3303" spans="1:48" ht="12.75" customHeight="1" outlineLevel="2" thickBot="1">
      <c r="B3303" s="82">
        <f>B3296+1</f>
        <v>61</v>
      </c>
      <c r="C3303" s="1233">
        <f>C433</f>
        <v>0</v>
      </c>
      <c r="D3303" s="1233">
        <f>D433</f>
        <v>0</v>
      </c>
      <c r="E3303" s="83" t="str">
        <f>'Terms and Turnovers'!$J$12</f>
        <v>FLIP-FLOPS</v>
      </c>
      <c r="F3303" s="68">
        <f>F1874/1.18-F2589*'Mark Up Validation'!$M$105</f>
        <v>0</v>
      </c>
      <c r="G3303" s="106"/>
      <c r="H3303" s="68">
        <f>H1874/1.18-H2589*'Mark Up Validation'!$M$105</f>
        <v>0</v>
      </c>
      <c r="I3303" s="106"/>
      <c r="J3303" s="68">
        <f>J1874/1.18-J2589*'Mark Up Validation'!$M$105</f>
        <v>0</v>
      </c>
      <c r="K3303" s="106"/>
      <c r="L3303" s="68">
        <f>L1874/1.18-L2589*'Mark Up Validation'!$M$105</f>
        <v>0</v>
      </c>
      <c r="M3303" s="106"/>
      <c r="N3303" s="68">
        <f>N1874/1.18-N2589*'Mark Up Validation'!$M$105</f>
        <v>0</v>
      </c>
      <c r="O3303" s="106"/>
      <c r="P3303" s="68">
        <f>P1874/1.18-P2589*'Mark Up Validation'!$M$105</f>
        <v>0</v>
      </c>
      <c r="Q3303" s="106"/>
      <c r="R3303" s="129">
        <f>SUM(F3303,H3303,J3303,L3303,N3303,P3303)</f>
        <v>0</v>
      </c>
      <c r="S3303" s="106"/>
      <c r="T3303" s="68">
        <f>T1874/1.18-T2589*'Mark Up Validation'!$S$105</f>
        <v>0</v>
      </c>
      <c r="U3303" s="106"/>
      <c r="V3303" s="68">
        <f>V1874/1.18-V2589*'Mark Up Validation'!$S$105</f>
        <v>0</v>
      </c>
      <c r="W3303" s="106"/>
      <c r="X3303" s="68">
        <f>X1874/1.18-X2589*'Mark Up Validation'!$S$105</f>
        <v>0</v>
      </c>
      <c r="Y3303" s="106"/>
      <c r="Z3303" s="68">
        <f>Z1874/1.18-Z2589*'Mark Up Validation'!$S$105</f>
        <v>0</v>
      </c>
      <c r="AA3303" s="106"/>
      <c r="AB3303" s="68">
        <f>AB1874/1.18-AB2589*'Mark Up Validation'!$S$105</f>
        <v>0</v>
      </c>
      <c r="AC3303" s="106"/>
      <c r="AD3303" s="68">
        <f>AD1874/1.18-AD2589*'Mark Up Validation'!$S$105</f>
        <v>0</v>
      </c>
      <c r="AE3303" s="106"/>
      <c r="AF3303" s="129">
        <f>SUM(T3303,V3303,X3303,Z3303,AB3303,AD3303)</f>
        <v>0</v>
      </c>
      <c r="AG3303" s="106"/>
      <c r="AH3303" s="130">
        <f>SUM(AF3303,R3303)</f>
        <v>0</v>
      </c>
      <c r="AI3303" s="106"/>
      <c r="AJ3303" s="65"/>
      <c r="AV3303" s="56"/>
    </row>
    <row r="3304" spans="1:48" ht="12.75" customHeight="1" outlineLevel="2" thickBot="1">
      <c r="B3304" s="82"/>
      <c r="C3304" s="1234"/>
      <c r="D3304" s="1234"/>
      <c r="E3304" s="84" t="str">
        <f>'Terms and Turnovers'!$T$12</f>
        <v>ORIGINALS</v>
      </c>
      <c r="F3304" s="68">
        <f>F1875/1.18-F2590*'Mark Up Validation'!$M$105</f>
        <v>0</v>
      </c>
      <c r="G3304" s="728"/>
      <c r="H3304" s="68">
        <f>H1875/1.18-H2590*'Mark Up Validation'!$M$105</f>
        <v>0</v>
      </c>
      <c r="I3304" s="728"/>
      <c r="J3304" s="68">
        <f>J1875/1.18-J2590*'Mark Up Validation'!$M$105</f>
        <v>0</v>
      </c>
      <c r="K3304" s="728"/>
      <c r="L3304" s="68">
        <f>L1875/1.18-L2590*'Mark Up Validation'!$M$105</f>
        <v>0</v>
      </c>
      <c r="M3304" s="728"/>
      <c r="N3304" s="68">
        <f>N1875/1.18-N2590*'Mark Up Validation'!$M$105</f>
        <v>0</v>
      </c>
      <c r="O3304" s="728"/>
      <c r="P3304" s="68">
        <f>P1875/1.18-P2590*'Mark Up Validation'!$M$105</f>
        <v>0</v>
      </c>
      <c r="Q3304" s="728"/>
      <c r="R3304" s="132">
        <f>SUM(F3304,H3304,J3304,L3304,N3304,P3304)</f>
        <v>0</v>
      </c>
      <c r="S3304" s="730"/>
      <c r="T3304" s="68">
        <f>T1875/1.18-T2590*'Mark Up Validation'!$S$105</f>
        <v>0</v>
      </c>
      <c r="U3304" s="728"/>
      <c r="V3304" s="68">
        <f>V1875/1.18-V2590*'Mark Up Validation'!$S$105</f>
        <v>0</v>
      </c>
      <c r="W3304" s="728"/>
      <c r="X3304" s="68">
        <f>X1875/1.18-X2590*'Mark Up Validation'!$S$105</f>
        <v>0</v>
      </c>
      <c r="Y3304" s="728"/>
      <c r="Z3304" s="68">
        <f>Z1875/1.18-Z2590*'Mark Up Validation'!$S$105</f>
        <v>0</v>
      </c>
      <c r="AA3304" s="728"/>
      <c r="AB3304" s="68">
        <f>AB1875/1.18-AB2590*'Mark Up Validation'!$S$105</f>
        <v>0</v>
      </c>
      <c r="AC3304" s="728"/>
      <c r="AD3304" s="68">
        <f>AD1875/1.18-AD2590*'Mark Up Validation'!$S$105</f>
        <v>0</v>
      </c>
      <c r="AE3304" s="728"/>
      <c r="AF3304" s="132">
        <f>SUM(T3304,V3304,X3304,Z3304,AB3304,AD3304)</f>
        <v>0</v>
      </c>
      <c r="AG3304" s="728"/>
      <c r="AH3304" s="133">
        <f>SUM(AF3304,R3304)</f>
        <v>0</v>
      </c>
      <c r="AI3304" s="728"/>
      <c r="AJ3304" s="65"/>
      <c r="AV3304" s="56"/>
    </row>
    <row r="3305" spans="1:48" ht="12.75" customHeight="1" outlineLevel="2" thickBot="1">
      <c r="B3305" s="82"/>
      <c r="C3305" s="1234"/>
      <c r="D3305" s="1234"/>
      <c r="E3305" s="84" t="str">
        <f>'Terms and Turnovers'!$AD$12</f>
        <v>ACCESSORIES</v>
      </c>
      <c r="F3305" s="68">
        <f>F1876/1.18-F2591*'Mark Up Validation'!$M$105</f>
        <v>0</v>
      </c>
      <c r="G3305" s="106"/>
      <c r="H3305" s="68">
        <f>H1876/1.18-H2591*'Mark Up Validation'!$M$105</f>
        <v>0</v>
      </c>
      <c r="I3305" s="106"/>
      <c r="J3305" s="68">
        <f>J1876/1.18-J2591*'Mark Up Validation'!$M$105</f>
        <v>0</v>
      </c>
      <c r="K3305" s="106"/>
      <c r="L3305" s="68">
        <f>L1876/1.18-L2591*'Mark Up Validation'!$M$105</f>
        <v>0</v>
      </c>
      <c r="M3305" s="106"/>
      <c r="N3305" s="68">
        <f>N1876/1.18-N2591*'Mark Up Validation'!$M$105</f>
        <v>0</v>
      </c>
      <c r="O3305" s="106"/>
      <c r="P3305" s="68">
        <f>P1876/1.18-P2591*'Mark Up Validation'!$M$105</f>
        <v>0</v>
      </c>
      <c r="Q3305" s="728"/>
      <c r="R3305" s="132">
        <f>SUM(F3305,H3305,J3305,L3305,N3305,P3305)</f>
        <v>0</v>
      </c>
      <c r="S3305" s="728"/>
      <c r="T3305" s="68">
        <f>T1876/1.18-T2591*'Mark Up Validation'!$S$105</f>
        <v>0</v>
      </c>
      <c r="U3305" s="728"/>
      <c r="V3305" s="68">
        <f>V1876/1.18-V2591*'Mark Up Validation'!$S$105</f>
        <v>0</v>
      </c>
      <c r="W3305" s="728"/>
      <c r="X3305" s="68">
        <f>X1876/1.18-X2591*'Mark Up Validation'!$S$105</f>
        <v>0</v>
      </c>
      <c r="Y3305" s="728"/>
      <c r="Z3305" s="68">
        <f>Z1876/1.18-Z2591*'Mark Up Validation'!$S$105</f>
        <v>0</v>
      </c>
      <c r="AA3305" s="728"/>
      <c r="AB3305" s="68">
        <f>AB1876/1.18-AB2591*'Mark Up Validation'!$S$105</f>
        <v>0</v>
      </c>
      <c r="AC3305" s="728"/>
      <c r="AD3305" s="68">
        <f>AD1876/1.18-AD2591*'Mark Up Validation'!$S$105</f>
        <v>0</v>
      </c>
      <c r="AE3305" s="728"/>
      <c r="AF3305" s="132">
        <f>SUM(T3305,V3305,X3305,Z3305,AB3305,AD3305)</f>
        <v>0</v>
      </c>
      <c r="AG3305" s="728"/>
      <c r="AH3305" s="133">
        <f>SUM(AF3305,R3305)</f>
        <v>0</v>
      </c>
      <c r="AI3305" s="728"/>
      <c r="AJ3305" s="65"/>
      <c r="AV3305" s="56"/>
    </row>
    <row r="3306" spans="1:48" ht="12.75" customHeight="1" outlineLevel="2" thickBot="1">
      <c r="B3306" s="82"/>
      <c r="C3306" s="1234"/>
      <c r="D3306" s="1234"/>
      <c r="E3306" s="84">
        <f>'Terms and Turnovers'!$AN$12</f>
        <v>0</v>
      </c>
      <c r="F3306" s="68">
        <f>F1877/1.18-F2592*'Mark Up Validation'!$M$105</f>
        <v>0</v>
      </c>
      <c r="G3306" s="728"/>
      <c r="H3306" s="68">
        <f>H1877/1.18-H2592*'Mark Up Validation'!$M$105</f>
        <v>0</v>
      </c>
      <c r="I3306" s="728"/>
      <c r="J3306" s="68">
        <f>J1877/1.18-J2592*'Mark Up Validation'!$M$105</f>
        <v>0</v>
      </c>
      <c r="K3306" s="728"/>
      <c r="L3306" s="68">
        <f>L1877/1.18-L2592*'Mark Up Validation'!$M$105</f>
        <v>0</v>
      </c>
      <c r="M3306" s="728"/>
      <c r="N3306" s="68">
        <f>N1877/1.18-N2592*'Mark Up Validation'!$M$105</f>
        <v>0</v>
      </c>
      <c r="O3306" s="728"/>
      <c r="P3306" s="68">
        <f>P1877/1.18-P2592*'Mark Up Validation'!$M$105</f>
        <v>0</v>
      </c>
      <c r="Q3306" s="728"/>
      <c r="R3306" s="132">
        <f>SUM(F3306,H3306,J3306,L3306,N3306,P3306)</f>
        <v>0</v>
      </c>
      <c r="S3306" s="728"/>
      <c r="T3306" s="68">
        <f>T1877/1.18-T2592*'Mark Up Validation'!$S$105</f>
        <v>0</v>
      </c>
      <c r="U3306" s="728"/>
      <c r="V3306" s="68">
        <f>V1877/1.18-V2592*'Mark Up Validation'!$S$105</f>
        <v>0</v>
      </c>
      <c r="W3306" s="728"/>
      <c r="X3306" s="68">
        <f>X1877/1.18-X2592*'Mark Up Validation'!$S$105</f>
        <v>0</v>
      </c>
      <c r="Y3306" s="728"/>
      <c r="Z3306" s="68">
        <f>Z1877/1.18-Z2592*'Mark Up Validation'!$S$105</f>
        <v>0</v>
      </c>
      <c r="AA3306" s="728"/>
      <c r="AB3306" s="68">
        <f>AB1877/1.18-AB2592*'Mark Up Validation'!$S$105</f>
        <v>0</v>
      </c>
      <c r="AC3306" s="728"/>
      <c r="AD3306" s="68">
        <f>AD1877/1.18-AD2592*'Mark Up Validation'!$S$105</f>
        <v>0</v>
      </c>
      <c r="AE3306" s="728"/>
      <c r="AF3306" s="132">
        <f>SUM(T3306,V3306,X3306,Z3306,AB3306,AD3306)</f>
        <v>0</v>
      </c>
      <c r="AG3306" s="728"/>
      <c r="AH3306" s="133">
        <f>SUM(AF3306,R3306)</f>
        <v>0</v>
      </c>
      <c r="AI3306" s="728"/>
      <c r="AJ3306" s="65"/>
      <c r="AV3306" s="56"/>
    </row>
    <row r="3307" spans="1:48" ht="13.5" customHeight="1" outlineLevel="2" thickBot="1">
      <c r="B3307" s="82"/>
      <c r="C3307" s="1235"/>
      <c r="D3307" s="1235"/>
      <c r="E3307" s="85">
        <f>'Terms and Turnovers'!$AX$12</f>
        <v>0</v>
      </c>
      <c r="F3307" s="68">
        <f>F1878/1.18-F2593*'Mark Up Validation'!$M$105</f>
        <v>0</v>
      </c>
      <c r="G3307" s="106"/>
      <c r="H3307" s="68">
        <f>H1878/1.18-H2593*'Mark Up Validation'!$M$105</f>
        <v>0</v>
      </c>
      <c r="I3307" s="106"/>
      <c r="J3307" s="68">
        <f>J1878/1.18-J2593*'Mark Up Validation'!$M$105</f>
        <v>0</v>
      </c>
      <c r="K3307" s="106"/>
      <c r="L3307" s="68">
        <f>L1878/1.18-L2593*'Mark Up Validation'!$M$105</f>
        <v>0</v>
      </c>
      <c r="M3307" s="106"/>
      <c r="N3307" s="68">
        <f>N1878/1.18-N2593*'Mark Up Validation'!$M$105</f>
        <v>0</v>
      </c>
      <c r="O3307" s="106"/>
      <c r="P3307" s="68">
        <f>P1878/1.18-P2593*'Mark Up Validation'!$M$105</f>
        <v>0</v>
      </c>
      <c r="Q3307" s="107"/>
      <c r="R3307" s="135">
        <f>SUM(F3307,H3307,J3307,L3307,N3307,P3307)</f>
        <v>0</v>
      </c>
      <c r="S3307" s="107"/>
      <c r="T3307" s="68">
        <f>T1878/1.18-T2593*'Mark Up Validation'!$S$105</f>
        <v>0</v>
      </c>
      <c r="U3307" s="107"/>
      <c r="V3307" s="68">
        <f>V1878/1.18-V2593*'Mark Up Validation'!$S$105</f>
        <v>0</v>
      </c>
      <c r="W3307" s="107"/>
      <c r="X3307" s="68">
        <f>X1878/1.18-X2593*'Mark Up Validation'!$S$105</f>
        <v>0</v>
      </c>
      <c r="Y3307" s="107"/>
      <c r="Z3307" s="68">
        <f>Z1878/1.18-Z2593*'Mark Up Validation'!$S$105</f>
        <v>0</v>
      </c>
      <c r="AA3307" s="107"/>
      <c r="AB3307" s="68">
        <f>AB1878/1.18-AB2593*'Mark Up Validation'!$S$105</f>
        <v>0</v>
      </c>
      <c r="AC3307" s="107"/>
      <c r="AD3307" s="68">
        <f>AD1878/1.18-AD2593*'Mark Up Validation'!$S$105</f>
        <v>0</v>
      </c>
      <c r="AE3307" s="107"/>
      <c r="AF3307" s="135">
        <f>SUM(T3307,V3307,X3307,Z3307,AB3307,AD3307)</f>
        <v>0</v>
      </c>
      <c r="AG3307" s="107"/>
      <c r="AH3307" s="136">
        <f>SUM(AF3307,R3307)</f>
        <v>0</v>
      </c>
      <c r="AI3307" s="107"/>
      <c r="AJ3307" s="65"/>
      <c r="AV3307" s="56"/>
    </row>
    <row r="3308" spans="1:48" ht="13.5" customHeight="1" outlineLevel="2">
      <c r="B3308" s="82"/>
      <c r="C3308" s="425"/>
      <c r="D3308" s="425"/>
      <c r="E3308" s="634"/>
      <c r="F3308" s="635"/>
      <c r="G3308" s="428"/>
      <c r="H3308" s="635"/>
      <c r="I3308" s="428"/>
      <c r="J3308" s="635"/>
      <c r="K3308" s="636"/>
      <c r="L3308" s="635"/>
      <c r="M3308" s="636"/>
      <c r="N3308" s="635"/>
      <c r="O3308" s="636"/>
      <c r="P3308" s="635"/>
      <c r="Q3308" s="636"/>
      <c r="R3308" s="637"/>
      <c r="S3308" s="698">
        <f>SUM(R2588:R2592)/1.18-(SUM(R3303:R3307)*'Mark Up Validation'!$M$105)</f>
        <v>0</v>
      </c>
      <c r="T3308" s="635"/>
      <c r="U3308" s="636"/>
      <c r="V3308" s="635"/>
      <c r="W3308" s="636"/>
      <c r="X3308" s="635"/>
      <c r="Y3308" s="636"/>
      <c r="Z3308" s="635"/>
      <c r="AA3308" s="636"/>
      <c r="AB3308" s="635"/>
      <c r="AC3308" s="636"/>
      <c r="AD3308" s="635"/>
      <c r="AE3308" s="636"/>
      <c r="AF3308" s="637"/>
      <c r="AG3308" s="698">
        <f>SUM(AF2588:AF2592)/1.18-SUM(AF3303:AF3307)*'Mark Up Validation'!$M$175</f>
        <v>0</v>
      </c>
      <c r="AH3308" s="638"/>
      <c r="AI3308" s="698">
        <f>SUM(AH2588:AH2592)/1.18-SUM(AH3303:AH3307)*'Mark Up Validation'!$M$175</f>
        <v>0</v>
      </c>
      <c r="AJ3308" s="65"/>
      <c r="AV3308" s="56"/>
    </row>
    <row r="3309" spans="1:48" ht="13.5" customHeight="1" outlineLevel="2" thickBot="1">
      <c r="A3309" s="119"/>
      <c r="B3309" s="82"/>
      <c r="C3309" s="1228" t="s">
        <v>539</v>
      </c>
      <c r="D3309" s="1229"/>
      <c r="E3309" s="699"/>
      <c r="F3309" s="700">
        <f>SUM(F3303:F3307)</f>
        <v>0</v>
      </c>
      <c r="G3309" s="701"/>
      <c r="H3309" s="700">
        <f>SUM(H3303:H3307)</f>
        <v>0</v>
      </c>
      <c r="I3309" s="701"/>
      <c r="J3309" s="700">
        <f>SUM(J3303:J3307)</f>
        <v>0</v>
      </c>
      <c r="K3309" s="702"/>
      <c r="L3309" s="700">
        <f>SUM(L3303:L3307)</f>
        <v>0</v>
      </c>
      <c r="M3309" s="702"/>
      <c r="N3309" s="700">
        <f>SUM(N3303:N3307)</f>
        <v>0</v>
      </c>
      <c r="O3309" s="702"/>
      <c r="P3309" s="700">
        <f>SUM(P3303:P3307)</f>
        <v>0</v>
      </c>
      <c r="Q3309" s="702"/>
      <c r="R3309" s="703"/>
      <c r="S3309" s="729">
        <f>IF(S3308&gt;0,S3308/(SUM(R2588:R2592)/1.18),0)</f>
        <v>0</v>
      </c>
      <c r="T3309" s="700">
        <f>SUM(T3303:T3307)</f>
        <v>0</v>
      </c>
      <c r="U3309" s="702"/>
      <c r="V3309" s="700">
        <f>SUM(V3303:V3307)</f>
        <v>0</v>
      </c>
      <c r="W3309" s="702"/>
      <c r="X3309" s="700">
        <f>SUM(X3303:X3307)</f>
        <v>0</v>
      </c>
      <c r="Y3309" s="702"/>
      <c r="Z3309" s="700">
        <f>SUM(Z3303:Z3307)</f>
        <v>0</v>
      </c>
      <c r="AA3309" s="702"/>
      <c r="AB3309" s="700">
        <f>SUM(AB3303:AB3307)</f>
        <v>0</v>
      </c>
      <c r="AC3309" s="702"/>
      <c r="AD3309" s="700">
        <f>SUM(AD3303:AD3307)</f>
        <v>0</v>
      </c>
      <c r="AE3309" s="702"/>
      <c r="AF3309" s="705"/>
      <c r="AG3309" s="729">
        <f>IF(AG3308&gt;0,AG3308/(SUM(AF2588:AF2592)/1.18),0)</f>
        <v>0</v>
      </c>
      <c r="AH3309" s="706"/>
      <c r="AI3309" s="729">
        <f>IF(AI3308&gt;0,AI3308/(SUM(AH2588:AH2592)/1.18),0)</f>
        <v>0</v>
      </c>
      <c r="AJ3309" s="707"/>
      <c r="AV3309" s="56"/>
    </row>
    <row r="3310" spans="1:48" ht="12.75" customHeight="1" outlineLevel="2" thickBot="1">
      <c r="B3310" s="82">
        <f>B3303+1</f>
        <v>62</v>
      </c>
      <c r="C3310" s="1233">
        <f>C440</f>
        <v>0</v>
      </c>
      <c r="D3310" s="1233">
        <f>D440</f>
        <v>0</v>
      </c>
      <c r="E3310" s="83" t="str">
        <f>'Terms and Turnovers'!$J$12</f>
        <v>FLIP-FLOPS</v>
      </c>
      <c r="F3310" s="68">
        <f>F1881/1.18-F2596*'Mark Up Validation'!$M$105</f>
        <v>0</v>
      </c>
      <c r="G3310" s="106"/>
      <c r="H3310" s="68">
        <f>H1881/1.18-H2596*'Mark Up Validation'!$M$105</f>
        <v>0</v>
      </c>
      <c r="I3310" s="106"/>
      <c r="J3310" s="68">
        <f>J1881/1.18-J2596*'Mark Up Validation'!$M$105</f>
        <v>0</v>
      </c>
      <c r="K3310" s="106"/>
      <c r="L3310" s="68">
        <f>L1881/1.18-L2596*'Mark Up Validation'!$M$105</f>
        <v>0</v>
      </c>
      <c r="M3310" s="106"/>
      <c r="N3310" s="68">
        <f>N1881/1.18-N2596*'Mark Up Validation'!$M$105</f>
        <v>0</v>
      </c>
      <c r="O3310" s="106"/>
      <c r="P3310" s="68">
        <f>P1881/1.18-P2596*'Mark Up Validation'!$M$105</f>
        <v>0</v>
      </c>
      <c r="Q3310" s="106"/>
      <c r="R3310" s="129">
        <f>SUM(F3310,H3310,J3310,L3310,N3310,P3310)</f>
        <v>0</v>
      </c>
      <c r="S3310" s="106"/>
      <c r="T3310" s="68">
        <f>T1881/1.18-T2596*'Mark Up Validation'!$S$105</f>
        <v>0</v>
      </c>
      <c r="U3310" s="106"/>
      <c r="V3310" s="68">
        <f>V1881/1.18-V2596*'Mark Up Validation'!$S$105</f>
        <v>0</v>
      </c>
      <c r="W3310" s="106"/>
      <c r="X3310" s="68">
        <f>X1881/1.18-X2596*'Mark Up Validation'!$S$105</f>
        <v>0</v>
      </c>
      <c r="Y3310" s="106"/>
      <c r="Z3310" s="68">
        <f>Z1881/1.18-Z2596*'Mark Up Validation'!$S$105</f>
        <v>0</v>
      </c>
      <c r="AA3310" s="106"/>
      <c r="AB3310" s="68">
        <f>AB1881/1.18-AB2596*'Mark Up Validation'!$S$105</f>
        <v>0</v>
      </c>
      <c r="AC3310" s="106"/>
      <c r="AD3310" s="68">
        <f>AD1881/1.18-AD2596*'Mark Up Validation'!$S$105</f>
        <v>0</v>
      </c>
      <c r="AE3310" s="106"/>
      <c r="AF3310" s="129">
        <f>SUM(T3310,V3310,X3310,Z3310,AB3310,AD3310)</f>
        <v>0</v>
      </c>
      <c r="AG3310" s="106"/>
      <c r="AH3310" s="130">
        <f>SUM(AF3310,R3310)</f>
        <v>0</v>
      </c>
      <c r="AI3310" s="106"/>
      <c r="AJ3310" s="65"/>
      <c r="AV3310" s="56"/>
    </row>
    <row r="3311" spans="1:48" ht="12.75" customHeight="1" outlineLevel="2" thickBot="1">
      <c r="B3311" s="82"/>
      <c r="C3311" s="1234"/>
      <c r="D3311" s="1234"/>
      <c r="E3311" s="84" t="str">
        <f>'Terms and Turnovers'!$T$12</f>
        <v>ORIGINALS</v>
      </c>
      <c r="F3311" s="68">
        <f>F1882/1.18-F2597*'Mark Up Validation'!$M$105</f>
        <v>0</v>
      </c>
      <c r="G3311" s="728"/>
      <c r="H3311" s="68">
        <f>H1882/1.18-H2597*'Mark Up Validation'!$M$105</f>
        <v>0</v>
      </c>
      <c r="I3311" s="728"/>
      <c r="J3311" s="68">
        <f>J1882/1.18-J2597*'Mark Up Validation'!$M$105</f>
        <v>0</v>
      </c>
      <c r="K3311" s="728"/>
      <c r="L3311" s="68">
        <f>L1882/1.18-L2597*'Mark Up Validation'!$M$105</f>
        <v>0</v>
      </c>
      <c r="M3311" s="728"/>
      <c r="N3311" s="68">
        <f>N1882/1.18-N2597*'Mark Up Validation'!$M$105</f>
        <v>0</v>
      </c>
      <c r="O3311" s="728"/>
      <c r="P3311" s="68">
        <f>P1882/1.18-P2597*'Mark Up Validation'!$M$105</f>
        <v>0</v>
      </c>
      <c r="Q3311" s="728"/>
      <c r="R3311" s="132">
        <f>SUM(F3311,H3311,J3311,L3311,N3311,P3311)</f>
        <v>0</v>
      </c>
      <c r="S3311" s="728"/>
      <c r="T3311" s="68">
        <f>T1882/1.18-T2597*'Mark Up Validation'!$S$105</f>
        <v>0</v>
      </c>
      <c r="U3311" s="728"/>
      <c r="V3311" s="68">
        <f>V1882/1.18-V2597*'Mark Up Validation'!$S$105</f>
        <v>0</v>
      </c>
      <c r="W3311" s="728"/>
      <c r="X3311" s="68">
        <f>X1882/1.18-X2597*'Mark Up Validation'!$S$105</f>
        <v>0</v>
      </c>
      <c r="Y3311" s="728"/>
      <c r="Z3311" s="68">
        <f>Z1882/1.18-Z2597*'Mark Up Validation'!$S$105</f>
        <v>0</v>
      </c>
      <c r="AA3311" s="728"/>
      <c r="AB3311" s="68">
        <f>AB1882/1.18-AB2597*'Mark Up Validation'!$S$105</f>
        <v>0</v>
      </c>
      <c r="AC3311" s="728"/>
      <c r="AD3311" s="68">
        <f>AD1882/1.18-AD2597*'Mark Up Validation'!$S$105</f>
        <v>0</v>
      </c>
      <c r="AE3311" s="728"/>
      <c r="AF3311" s="132">
        <f>SUM(T3311,V3311,X3311,Z3311,AB3311,AD3311)</f>
        <v>0</v>
      </c>
      <c r="AG3311" s="728"/>
      <c r="AH3311" s="133">
        <f>SUM(AF3311,R3311)</f>
        <v>0</v>
      </c>
      <c r="AI3311" s="728"/>
      <c r="AJ3311" s="65"/>
      <c r="AV3311" s="56"/>
    </row>
    <row r="3312" spans="1:48" ht="12.75" customHeight="1" outlineLevel="2" thickBot="1">
      <c r="B3312" s="82"/>
      <c r="C3312" s="1234"/>
      <c r="D3312" s="1234"/>
      <c r="E3312" s="84" t="str">
        <f>'Terms and Turnovers'!$AD$12</f>
        <v>ACCESSORIES</v>
      </c>
      <c r="F3312" s="68">
        <f>F1883/1.18-F2598*'Mark Up Validation'!$M$105</f>
        <v>0</v>
      </c>
      <c r="G3312" s="106"/>
      <c r="H3312" s="68">
        <f>H1883/1.18-H2598*'Mark Up Validation'!$M$105</f>
        <v>0</v>
      </c>
      <c r="I3312" s="106"/>
      <c r="J3312" s="68">
        <f>J1883/1.18-J2598*'Mark Up Validation'!$M$105</f>
        <v>0</v>
      </c>
      <c r="K3312" s="106"/>
      <c r="L3312" s="68">
        <f>L1883/1.18-L2598*'Mark Up Validation'!$M$105</f>
        <v>0</v>
      </c>
      <c r="M3312" s="106"/>
      <c r="N3312" s="68">
        <f>N1883/1.18-N2598*'Mark Up Validation'!$M$105</f>
        <v>0</v>
      </c>
      <c r="O3312" s="106"/>
      <c r="P3312" s="68">
        <f>P1883/1.18-P2598*'Mark Up Validation'!$M$105</f>
        <v>0</v>
      </c>
      <c r="Q3312" s="728"/>
      <c r="R3312" s="132">
        <f>SUM(F3312,H3312,J3312,L3312,N3312,P3312)</f>
        <v>0</v>
      </c>
      <c r="S3312" s="728"/>
      <c r="T3312" s="68">
        <f>T1883/1.18-T2598*'Mark Up Validation'!$S$105</f>
        <v>0</v>
      </c>
      <c r="U3312" s="728"/>
      <c r="V3312" s="68">
        <f>V1883/1.18-V2598*'Mark Up Validation'!$S$105</f>
        <v>0</v>
      </c>
      <c r="W3312" s="728"/>
      <c r="X3312" s="68">
        <f>X1883/1.18-X2598*'Mark Up Validation'!$S$105</f>
        <v>0</v>
      </c>
      <c r="Y3312" s="728"/>
      <c r="Z3312" s="68">
        <f>Z1883/1.18-Z2598*'Mark Up Validation'!$S$105</f>
        <v>0</v>
      </c>
      <c r="AA3312" s="728"/>
      <c r="AB3312" s="68">
        <f>AB1883/1.18-AB2598*'Mark Up Validation'!$S$105</f>
        <v>0</v>
      </c>
      <c r="AC3312" s="728"/>
      <c r="AD3312" s="68">
        <f>AD1883/1.18-AD2598*'Mark Up Validation'!$S$105</f>
        <v>0</v>
      </c>
      <c r="AE3312" s="728"/>
      <c r="AF3312" s="132">
        <f>SUM(T3312,V3312,X3312,Z3312,AB3312,AD3312)</f>
        <v>0</v>
      </c>
      <c r="AG3312" s="728"/>
      <c r="AH3312" s="133">
        <f>SUM(AF3312,R3312)</f>
        <v>0</v>
      </c>
      <c r="AI3312" s="728"/>
      <c r="AJ3312" s="65"/>
      <c r="AV3312" s="56"/>
    </row>
    <row r="3313" spans="1:48" ht="12.75" customHeight="1" outlineLevel="2" thickBot="1">
      <c r="B3313" s="82"/>
      <c r="C3313" s="1234"/>
      <c r="D3313" s="1234"/>
      <c r="E3313" s="84">
        <f>'Terms and Turnovers'!$AN$12</f>
        <v>0</v>
      </c>
      <c r="F3313" s="68">
        <f>F1884/1.18-F2599*'Mark Up Validation'!$M$105</f>
        <v>0</v>
      </c>
      <c r="G3313" s="728"/>
      <c r="H3313" s="68">
        <f>H1884/1.18-H2599*'Mark Up Validation'!$M$105</f>
        <v>0</v>
      </c>
      <c r="I3313" s="728"/>
      <c r="J3313" s="68">
        <f>J1884/1.18-J2599*'Mark Up Validation'!$M$105</f>
        <v>0</v>
      </c>
      <c r="K3313" s="728"/>
      <c r="L3313" s="68">
        <f>L1884/1.18-L2599*'Mark Up Validation'!$M$105</f>
        <v>0</v>
      </c>
      <c r="M3313" s="728"/>
      <c r="N3313" s="68">
        <f>N1884/1.18-N2599*'Mark Up Validation'!$M$105</f>
        <v>0</v>
      </c>
      <c r="O3313" s="728"/>
      <c r="P3313" s="68">
        <f>P1884/1.18-P2599*'Mark Up Validation'!$M$105</f>
        <v>0</v>
      </c>
      <c r="Q3313" s="728"/>
      <c r="R3313" s="132">
        <f>SUM(F3313,H3313,J3313,L3313,N3313,P3313)</f>
        <v>0</v>
      </c>
      <c r="S3313" s="728"/>
      <c r="T3313" s="68">
        <f>T1884/1.18-T2599*'Mark Up Validation'!$S$105</f>
        <v>0</v>
      </c>
      <c r="U3313" s="728"/>
      <c r="V3313" s="68">
        <f>V1884/1.18-V2599*'Mark Up Validation'!$S$105</f>
        <v>0</v>
      </c>
      <c r="W3313" s="728"/>
      <c r="X3313" s="68">
        <f>X1884/1.18-X2599*'Mark Up Validation'!$S$105</f>
        <v>0</v>
      </c>
      <c r="Y3313" s="728"/>
      <c r="Z3313" s="68">
        <f>Z1884/1.18-Z2599*'Mark Up Validation'!$S$105</f>
        <v>0</v>
      </c>
      <c r="AA3313" s="728"/>
      <c r="AB3313" s="68">
        <f>AB1884/1.18-AB2599*'Mark Up Validation'!$S$105</f>
        <v>0</v>
      </c>
      <c r="AC3313" s="728"/>
      <c r="AD3313" s="68">
        <f>AD1884/1.18-AD2599*'Mark Up Validation'!$S$105</f>
        <v>0</v>
      </c>
      <c r="AE3313" s="728"/>
      <c r="AF3313" s="132">
        <f>SUM(T3313,V3313,X3313,Z3313,AB3313,AD3313)</f>
        <v>0</v>
      </c>
      <c r="AG3313" s="728"/>
      <c r="AH3313" s="133">
        <f>SUM(AF3313,R3313)</f>
        <v>0</v>
      </c>
      <c r="AI3313" s="728"/>
      <c r="AJ3313" s="65"/>
      <c r="AV3313" s="56"/>
    </row>
    <row r="3314" spans="1:48" ht="13.5" customHeight="1" outlineLevel="2" thickBot="1">
      <c r="B3314" s="82"/>
      <c r="C3314" s="1235"/>
      <c r="D3314" s="1235"/>
      <c r="E3314" s="85">
        <f>'Terms and Turnovers'!$AX$12</f>
        <v>0</v>
      </c>
      <c r="F3314" s="68">
        <f>F1885/1.18-F2600*'Mark Up Validation'!$M$105</f>
        <v>0</v>
      </c>
      <c r="G3314" s="106"/>
      <c r="H3314" s="68">
        <f>H1885/1.18-H2600*'Mark Up Validation'!$M$105</f>
        <v>0</v>
      </c>
      <c r="I3314" s="106"/>
      <c r="J3314" s="68">
        <f>J1885/1.18-J2600*'Mark Up Validation'!$M$105</f>
        <v>0</v>
      </c>
      <c r="K3314" s="106"/>
      <c r="L3314" s="68">
        <f>L1885/1.18-L2600*'Mark Up Validation'!$M$105</f>
        <v>0</v>
      </c>
      <c r="M3314" s="106"/>
      <c r="N3314" s="68">
        <f>N1885/1.18-N2600*'Mark Up Validation'!$M$105</f>
        <v>0</v>
      </c>
      <c r="O3314" s="106"/>
      <c r="P3314" s="68">
        <f>P1885/1.18-P2600*'Mark Up Validation'!$M$105</f>
        <v>0</v>
      </c>
      <c r="Q3314" s="107"/>
      <c r="R3314" s="135">
        <f>SUM(F3314,H3314,J3314,L3314,N3314,P3314)</f>
        <v>0</v>
      </c>
      <c r="S3314" s="107"/>
      <c r="T3314" s="68">
        <f>T1885/1.18-T2600*'Mark Up Validation'!$S$105</f>
        <v>0</v>
      </c>
      <c r="U3314" s="107"/>
      <c r="V3314" s="68">
        <f>V1885/1.18-V2600*'Mark Up Validation'!$S$105</f>
        <v>0</v>
      </c>
      <c r="W3314" s="107"/>
      <c r="X3314" s="68">
        <f>X1885/1.18-X2600*'Mark Up Validation'!$S$105</f>
        <v>0</v>
      </c>
      <c r="Y3314" s="107"/>
      <c r="Z3314" s="68">
        <f>Z1885/1.18-Z2600*'Mark Up Validation'!$S$105</f>
        <v>0</v>
      </c>
      <c r="AA3314" s="107"/>
      <c r="AB3314" s="68">
        <f>AB1885/1.18-AB2600*'Mark Up Validation'!$S$105</f>
        <v>0</v>
      </c>
      <c r="AC3314" s="107"/>
      <c r="AD3314" s="68">
        <f>AD1885/1.18-AD2600*'Mark Up Validation'!$S$105</f>
        <v>0</v>
      </c>
      <c r="AE3314" s="107"/>
      <c r="AF3314" s="135">
        <f>SUM(T3314,V3314,X3314,Z3314,AB3314,AD3314)</f>
        <v>0</v>
      </c>
      <c r="AG3314" s="107"/>
      <c r="AH3314" s="136">
        <f>SUM(AF3314,R3314)</f>
        <v>0</v>
      </c>
      <c r="AI3314" s="107"/>
      <c r="AJ3314" s="65"/>
      <c r="AV3314" s="56"/>
    </row>
    <row r="3315" spans="1:48" ht="13.5" customHeight="1" outlineLevel="2">
      <c r="B3315" s="82"/>
      <c r="C3315" s="425"/>
      <c r="D3315" s="425"/>
      <c r="E3315" s="634"/>
      <c r="F3315" s="635"/>
      <c r="G3315" s="428"/>
      <c r="H3315" s="635"/>
      <c r="I3315" s="428"/>
      <c r="J3315" s="635"/>
      <c r="K3315" s="636"/>
      <c r="L3315" s="635"/>
      <c r="M3315" s="636"/>
      <c r="N3315" s="635"/>
      <c r="O3315" s="636"/>
      <c r="P3315" s="635"/>
      <c r="Q3315" s="636"/>
      <c r="R3315" s="637"/>
      <c r="S3315" s="698">
        <f>SUM(R2595:R2599)/1.18-(SUM(R3310:R3314)*'Mark Up Validation'!$M$105)</f>
        <v>0</v>
      </c>
      <c r="T3315" s="635"/>
      <c r="U3315" s="636"/>
      <c r="V3315" s="635"/>
      <c r="W3315" s="636"/>
      <c r="X3315" s="635"/>
      <c r="Y3315" s="636"/>
      <c r="Z3315" s="635"/>
      <c r="AA3315" s="636"/>
      <c r="AB3315" s="635"/>
      <c r="AC3315" s="636"/>
      <c r="AD3315" s="635"/>
      <c r="AE3315" s="636"/>
      <c r="AF3315" s="637"/>
      <c r="AG3315" s="698">
        <f>SUM(AF2595:AF2599)/1.18-SUM(AF3310:AF3314)*'Mark Up Validation'!$M$175</f>
        <v>0</v>
      </c>
      <c r="AH3315" s="638"/>
      <c r="AI3315" s="698">
        <f>SUM(AH2595:AH2599)/1.18-SUM(AH3310:AH3314)*'Mark Up Validation'!$M$175</f>
        <v>0</v>
      </c>
      <c r="AJ3315" s="65"/>
      <c r="AV3315" s="56"/>
    </row>
    <row r="3316" spans="1:48" ht="13.5" customHeight="1" outlineLevel="2" thickBot="1">
      <c r="A3316" s="119"/>
      <c r="B3316" s="82"/>
      <c r="C3316" s="1228" t="s">
        <v>539</v>
      </c>
      <c r="D3316" s="1229"/>
      <c r="E3316" s="699"/>
      <c r="F3316" s="700">
        <f>SUM(F3310:F3314)</f>
        <v>0</v>
      </c>
      <c r="G3316" s="701"/>
      <c r="H3316" s="700">
        <f>SUM(H3310:H3314)</f>
        <v>0</v>
      </c>
      <c r="I3316" s="701"/>
      <c r="J3316" s="700">
        <f>SUM(J3310:J3314)</f>
        <v>0</v>
      </c>
      <c r="K3316" s="702"/>
      <c r="L3316" s="700">
        <f>SUM(L3310:L3314)</f>
        <v>0</v>
      </c>
      <c r="M3316" s="702"/>
      <c r="N3316" s="700">
        <f>SUM(N3310:N3314)</f>
        <v>0</v>
      </c>
      <c r="O3316" s="702"/>
      <c r="P3316" s="700">
        <f>SUM(P3310:P3314)</f>
        <v>0</v>
      </c>
      <c r="Q3316" s="702"/>
      <c r="R3316" s="703"/>
      <c r="S3316" s="729">
        <f>IF(S3315&gt;0,S3315/(SUM(R2595:R2599)/1.18),0)</f>
        <v>0</v>
      </c>
      <c r="T3316" s="700">
        <f>SUM(T3310:T3314)</f>
        <v>0</v>
      </c>
      <c r="U3316" s="702"/>
      <c r="V3316" s="700">
        <f>SUM(V3310:V3314)</f>
        <v>0</v>
      </c>
      <c r="W3316" s="702"/>
      <c r="X3316" s="700">
        <f>SUM(X3310:X3314)</f>
        <v>0</v>
      </c>
      <c r="Y3316" s="702"/>
      <c r="Z3316" s="700">
        <f>SUM(Z3310:Z3314)</f>
        <v>0</v>
      </c>
      <c r="AA3316" s="702"/>
      <c r="AB3316" s="700">
        <f>SUM(AB3310:AB3314)</f>
        <v>0</v>
      </c>
      <c r="AC3316" s="702"/>
      <c r="AD3316" s="700">
        <f>SUM(AD3310:AD3314)</f>
        <v>0</v>
      </c>
      <c r="AE3316" s="702"/>
      <c r="AF3316" s="705"/>
      <c r="AG3316" s="729">
        <f>IF(AG3315&gt;0,AG3315/(SUM(AF2595:AF2599)/1.18),0)</f>
        <v>0</v>
      </c>
      <c r="AH3316" s="706"/>
      <c r="AI3316" s="729">
        <f>IF(AI3315&gt;0,AI3315/(SUM(AH2595:AH2599)/1.18),0)</f>
        <v>0</v>
      </c>
      <c r="AJ3316" s="707"/>
      <c r="AV3316" s="56"/>
    </row>
    <row r="3317" spans="1:48" ht="12.75" customHeight="1" outlineLevel="2" thickBot="1">
      <c r="B3317" s="82">
        <f>B3310+1</f>
        <v>63</v>
      </c>
      <c r="C3317" s="1233">
        <f>C447</f>
        <v>0</v>
      </c>
      <c r="D3317" s="1233">
        <f>D447</f>
        <v>0</v>
      </c>
      <c r="E3317" s="83" t="str">
        <f>'Terms and Turnovers'!$J$12</f>
        <v>FLIP-FLOPS</v>
      </c>
      <c r="F3317" s="68">
        <f>F1888/1.18-F2603*'Mark Up Validation'!$M$105</f>
        <v>0</v>
      </c>
      <c r="G3317" s="106"/>
      <c r="H3317" s="68">
        <f>H1888/1.18-H2603*'Mark Up Validation'!$M$105</f>
        <v>0</v>
      </c>
      <c r="I3317" s="106"/>
      <c r="J3317" s="68">
        <f>J1888/1.18-J2603*'Mark Up Validation'!$M$105</f>
        <v>0</v>
      </c>
      <c r="K3317" s="106"/>
      <c r="L3317" s="68">
        <f>L1888/1.18-L2603*'Mark Up Validation'!$M$105</f>
        <v>0</v>
      </c>
      <c r="M3317" s="106"/>
      <c r="N3317" s="68">
        <f>N1888/1.18-N2603*'Mark Up Validation'!$M$105</f>
        <v>0</v>
      </c>
      <c r="O3317" s="106"/>
      <c r="P3317" s="68">
        <f>P1888/1.18-P2603*'Mark Up Validation'!$M$105</f>
        <v>0</v>
      </c>
      <c r="Q3317" s="106"/>
      <c r="R3317" s="129">
        <f>SUM(F3317,H3317,J3317,L3317,N3317,P3317)</f>
        <v>0</v>
      </c>
      <c r="S3317" s="106"/>
      <c r="T3317" s="68">
        <f>T1888/1.18-T2603*'Mark Up Validation'!$S$105</f>
        <v>0</v>
      </c>
      <c r="U3317" s="106"/>
      <c r="V3317" s="68">
        <f>V1888/1.18-V2603*'Mark Up Validation'!$S$105</f>
        <v>0</v>
      </c>
      <c r="W3317" s="106"/>
      <c r="X3317" s="68">
        <f>X1888/1.18-X2603*'Mark Up Validation'!$S$105</f>
        <v>0</v>
      </c>
      <c r="Y3317" s="106"/>
      <c r="Z3317" s="68">
        <f>Z1888/1.18-Z2603*'Mark Up Validation'!$S$105</f>
        <v>0</v>
      </c>
      <c r="AA3317" s="106"/>
      <c r="AB3317" s="68">
        <f>AB1888/1.18-AB2603*'Mark Up Validation'!$S$105</f>
        <v>0</v>
      </c>
      <c r="AC3317" s="106"/>
      <c r="AD3317" s="68">
        <f>AD1888/1.18-AD2603*'Mark Up Validation'!$S$105</f>
        <v>0</v>
      </c>
      <c r="AE3317" s="106"/>
      <c r="AF3317" s="129">
        <f>SUM(T3317,V3317,X3317,Z3317,AB3317,AD3317)</f>
        <v>0</v>
      </c>
      <c r="AG3317" s="106"/>
      <c r="AH3317" s="130">
        <f>SUM(AF3317,R3317)</f>
        <v>0</v>
      </c>
      <c r="AI3317" s="106"/>
      <c r="AJ3317" s="65"/>
      <c r="AV3317" s="56"/>
    </row>
    <row r="3318" spans="1:48" ht="12.75" customHeight="1" outlineLevel="2" thickBot="1">
      <c r="B3318" s="82"/>
      <c r="C3318" s="1234"/>
      <c r="D3318" s="1234"/>
      <c r="E3318" s="84" t="str">
        <f>'Terms and Turnovers'!$T$12</f>
        <v>ORIGINALS</v>
      </c>
      <c r="F3318" s="68">
        <f>F1889/1.18-F2604*'Mark Up Validation'!$M$105</f>
        <v>0</v>
      </c>
      <c r="G3318" s="728"/>
      <c r="H3318" s="68">
        <f>H1889/1.18-H2604*'Mark Up Validation'!$M$105</f>
        <v>0</v>
      </c>
      <c r="I3318" s="728"/>
      <c r="J3318" s="68">
        <f>J1889/1.18-J2604*'Mark Up Validation'!$M$105</f>
        <v>0</v>
      </c>
      <c r="K3318" s="728"/>
      <c r="L3318" s="68">
        <f>L1889/1.18-L2604*'Mark Up Validation'!$M$105</f>
        <v>0</v>
      </c>
      <c r="M3318" s="728"/>
      <c r="N3318" s="68">
        <f>N1889/1.18-N2604*'Mark Up Validation'!$M$105</f>
        <v>0</v>
      </c>
      <c r="O3318" s="728"/>
      <c r="P3318" s="68">
        <f>P1889/1.18-P2604*'Mark Up Validation'!$M$105</f>
        <v>0</v>
      </c>
      <c r="Q3318" s="728"/>
      <c r="R3318" s="132">
        <f>SUM(F3318,H3318,J3318,L3318,N3318,P3318)</f>
        <v>0</v>
      </c>
      <c r="S3318" s="728"/>
      <c r="T3318" s="68">
        <f>T1889/1.18-T2604*'Mark Up Validation'!$S$105</f>
        <v>0</v>
      </c>
      <c r="U3318" s="728"/>
      <c r="V3318" s="68">
        <f>V1889/1.18-V2604*'Mark Up Validation'!$S$105</f>
        <v>0</v>
      </c>
      <c r="W3318" s="728"/>
      <c r="X3318" s="68">
        <f>X1889/1.18-X2604*'Mark Up Validation'!$S$105</f>
        <v>0</v>
      </c>
      <c r="Y3318" s="728"/>
      <c r="Z3318" s="68">
        <f>Z1889/1.18-Z2604*'Mark Up Validation'!$S$105</f>
        <v>0</v>
      </c>
      <c r="AA3318" s="728"/>
      <c r="AB3318" s="68">
        <f>AB1889/1.18-AB2604*'Mark Up Validation'!$S$105</f>
        <v>0</v>
      </c>
      <c r="AC3318" s="728"/>
      <c r="AD3318" s="68">
        <f>AD1889/1.18-AD2604*'Mark Up Validation'!$S$105</f>
        <v>0</v>
      </c>
      <c r="AE3318" s="728"/>
      <c r="AF3318" s="132">
        <f>SUM(T3318,V3318,X3318,Z3318,AB3318,AD3318)</f>
        <v>0</v>
      </c>
      <c r="AG3318" s="728"/>
      <c r="AH3318" s="133">
        <f>SUM(AF3318,R3318)</f>
        <v>0</v>
      </c>
      <c r="AI3318" s="728"/>
      <c r="AJ3318" s="65"/>
      <c r="AV3318" s="56"/>
    </row>
    <row r="3319" spans="1:48" ht="12.75" customHeight="1" outlineLevel="2" thickBot="1">
      <c r="B3319" s="82"/>
      <c r="C3319" s="1234"/>
      <c r="D3319" s="1234"/>
      <c r="E3319" s="84" t="str">
        <f>'Terms and Turnovers'!$AD$12</f>
        <v>ACCESSORIES</v>
      </c>
      <c r="F3319" s="68">
        <f>F1890/1.18-F2605*'Mark Up Validation'!$M$105</f>
        <v>0</v>
      </c>
      <c r="G3319" s="106"/>
      <c r="H3319" s="68">
        <f>H1890/1.18-H2605*'Mark Up Validation'!$M$105</f>
        <v>0</v>
      </c>
      <c r="I3319" s="106"/>
      <c r="J3319" s="68">
        <f>J1890/1.18-J2605*'Mark Up Validation'!$M$105</f>
        <v>0</v>
      </c>
      <c r="K3319" s="106"/>
      <c r="L3319" s="68">
        <f>L1890/1.18-L2605*'Mark Up Validation'!$M$105</f>
        <v>0</v>
      </c>
      <c r="M3319" s="106"/>
      <c r="N3319" s="68">
        <f>N1890/1.18-N2605*'Mark Up Validation'!$M$105</f>
        <v>0</v>
      </c>
      <c r="O3319" s="106"/>
      <c r="P3319" s="68">
        <f>P1890/1.18-P2605*'Mark Up Validation'!$M$105</f>
        <v>0</v>
      </c>
      <c r="Q3319" s="728"/>
      <c r="R3319" s="132">
        <f>SUM(F3319,H3319,J3319,L3319,N3319,P3319)</f>
        <v>0</v>
      </c>
      <c r="S3319" s="728"/>
      <c r="T3319" s="68">
        <f>T1890/1.18-T2605*'Mark Up Validation'!$S$105</f>
        <v>0</v>
      </c>
      <c r="U3319" s="728"/>
      <c r="V3319" s="68">
        <f>V1890/1.18-V2605*'Mark Up Validation'!$S$105</f>
        <v>0</v>
      </c>
      <c r="W3319" s="728"/>
      <c r="X3319" s="68">
        <f>X1890/1.18-X2605*'Mark Up Validation'!$S$105</f>
        <v>0</v>
      </c>
      <c r="Y3319" s="728"/>
      <c r="Z3319" s="68">
        <f>Z1890/1.18-Z2605*'Mark Up Validation'!$S$105</f>
        <v>0</v>
      </c>
      <c r="AA3319" s="728"/>
      <c r="AB3319" s="68">
        <f>AB1890/1.18-AB2605*'Mark Up Validation'!$S$105</f>
        <v>0</v>
      </c>
      <c r="AC3319" s="728"/>
      <c r="AD3319" s="68">
        <f>AD1890/1.18-AD2605*'Mark Up Validation'!$S$105</f>
        <v>0</v>
      </c>
      <c r="AE3319" s="728"/>
      <c r="AF3319" s="132">
        <f>SUM(T3319,V3319,X3319,Z3319,AB3319,AD3319)</f>
        <v>0</v>
      </c>
      <c r="AG3319" s="728"/>
      <c r="AH3319" s="133">
        <f>SUM(AF3319,R3319)</f>
        <v>0</v>
      </c>
      <c r="AI3319" s="728"/>
      <c r="AJ3319" s="65"/>
      <c r="AV3319" s="56"/>
    </row>
    <row r="3320" spans="1:48" ht="12.75" customHeight="1" outlineLevel="2" thickBot="1">
      <c r="B3320" s="82"/>
      <c r="C3320" s="1234"/>
      <c r="D3320" s="1234"/>
      <c r="E3320" s="84">
        <f>'Terms and Turnovers'!$AN$12</f>
        <v>0</v>
      </c>
      <c r="F3320" s="68">
        <f>F1891/1.18-F2606*'Mark Up Validation'!$M$105</f>
        <v>0</v>
      </c>
      <c r="G3320" s="728"/>
      <c r="H3320" s="68">
        <f>H1891/1.18-H2606*'Mark Up Validation'!$M$105</f>
        <v>0</v>
      </c>
      <c r="I3320" s="728"/>
      <c r="J3320" s="68">
        <f>J1891/1.18-J2606*'Mark Up Validation'!$M$105</f>
        <v>0</v>
      </c>
      <c r="K3320" s="728"/>
      <c r="L3320" s="68">
        <f>L1891/1.18-L2606*'Mark Up Validation'!$M$105</f>
        <v>0</v>
      </c>
      <c r="M3320" s="728"/>
      <c r="N3320" s="68">
        <f>N1891/1.18-N2606*'Mark Up Validation'!$M$105</f>
        <v>0</v>
      </c>
      <c r="O3320" s="728"/>
      <c r="P3320" s="68">
        <f>P1891/1.18-P2606*'Mark Up Validation'!$M$105</f>
        <v>0</v>
      </c>
      <c r="Q3320" s="728"/>
      <c r="R3320" s="132">
        <f>SUM(F3320,H3320,J3320,L3320,N3320,P3320)</f>
        <v>0</v>
      </c>
      <c r="S3320" s="728"/>
      <c r="T3320" s="68">
        <f>T1891/1.18-T2606*'Mark Up Validation'!$S$105</f>
        <v>0</v>
      </c>
      <c r="U3320" s="728"/>
      <c r="V3320" s="68">
        <f>V1891/1.18-V2606*'Mark Up Validation'!$S$105</f>
        <v>0</v>
      </c>
      <c r="W3320" s="728"/>
      <c r="X3320" s="68">
        <f>X1891/1.18-X2606*'Mark Up Validation'!$S$105</f>
        <v>0</v>
      </c>
      <c r="Y3320" s="728"/>
      <c r="Z3320" s="68">
        <f>Z1891/1.18-Z2606*'Mark Up Validation'!$S$105</f>
        <v>0</v>
      </c>
      <c r="AA3320" s="728"/>
      <c r="AB3320" s="68">
        <f>AB1891/1.18-AB2606*'Mark Up Validation'!$S$105</f>
        <v>0</v>
      </c>
      <c r="AC3320" s="728"/>
      <c r="AD3320" s="68">
        <f>AD1891/1.18-AD2606*'Mark Up Validation'!$S$105</f>
        <v>0</v>
      </c>
      <c r="AE3320" s="728"/>
      <c r="AF3320" s="132">
        <f>SUM(T3320,V3320,X3320,Z3320,AB3320,AD3320)</f>
        <v>0</v>
      </c>
      <c r="AG3320" s="728"/>
      <c r="AH3320" s="133">
        <f>SUM(AF3320,R3320)</f>
        <v>0</v>
      </c>
      <c r="AI3320" s="728"/>
      <c r="AJ3320" s="65"/>
      <c r="AV3320" s="56"/>
    </row>
    <row r="3321" spans="1:48" ht="13.5" customHeight="1" outlineLevel="2" thickBot="1">
      <c r="B3321" s="82"/>
      <c r="C3321" s="1235"/>
      <c r="D3321" s="1235"/>
      <c r="E3321" s="85">
        <f>'Terms and Turnovers'!$AX$12</f>
        <v>0</v>
      </c>
      <c r="F3321" s="68">
        <f>F1892/1.18-F2607*'Mark Up Validation'!$M$105</f>
        <v>0</v>
      </c>
      <c r="G3321" s="106"/>
      <c r="H3321" s="68">
        <f>H1892/1.18-H2607*'Mark Up Validation'!$M$105</f>
        <v>0</v>
      </c>
      <c r="I3321" s="106"/>
      <c r="J3321" s="68">
        <f>J1892/1.18-J2607*'Mark Up Validation'!$M$105</f>
        <v>0</v>
      </c>
      <c r="K3321" s="106"/>
      <c r="L3321" s="68">
        <f>L1892/1.18-L2607*'Mark Up Validation'!$M$105</f>
        <v>0</v>
      </c>
      <c r="M3321" s="106"/>
      <c r="N3321" s="68">
        <f>N1892/1.18-N2607*'Mark Up Validation'!$M$105</f>
        <v>0</v>
      </c>
      <c r="O3321" s="106"/>
      <c r="P3321" s="68">
        <f>P1892/1.18-P2607*'Mark Up Validation'!$M$105</f>
        <v>0</v>
      </c>
      <c r="Q3321" s="107"/>
      <c r="R3321" s="135">
        <f>SUM(F3321,H3321,J3321,L3321,N3321,P3321)</f>
        <v>0</v>
      </c>
      <c r="S3321" s="107"/>
      <c r="T3321" s="68">
        <f>T1892/1.18-T2607*'Mark Up Validation'!$S$105</f>
        <v>0</v>
      </c>
      <c r="U3321" s="107"/>
      <c r="V3321" s="68">
        <f>V1892/1.18-V2607*'Mark Up Validation'!$S$105</f>
        <v>0</v>
      </c>
      <c r="W3321" s="107"/>
      <c r="X3321" s="68">
        <f>X1892/1.18-X2607*'Mark Up Validation'!$S$105</f>
        <v>0</v>
      </c>
      <c r="Y3321" s="107"/>
      <c r="Z3321" s="68">
        <f>Z1892/1.18-Z2607*'Mark Up Validation'!$S$105</f>
        <v>0</v>
      </c>
      <c r="AA3321" s="107"/>
      <c r="AB3321" s="68">
        <f>AB1892/1.18-AB2607*'Mark Up Validation'!$S$105</f>
        <v>0</v>
      </c>
      <c r="AC3321" s="107"/>
      <c r="AD3321" s="68">
        <f>AD1892/1.18-AD2607*'Mark Up Validation'!$S$105</f>
        <v>0</v>
      </c>
      <c r="AE3321" s="107"/>
      <c r="AF3321" s="135">
        <f>SUM(T3321,V3321,X3321,Z3321,AB3321,AD3321)</f>
        <v>0</v>
      </c>
      <c r="AG3321" s="107"/>
      <c r="AH3321" s="136">
        <f>SUM(AF3321,R3321)</f>
        <v>0</v>
      </c>
      <c r="AI3321" s="107"/>
      <c r="AJ3321" s="65"/>
      <c r="AV3321" s="56"/>
    </row>
    <row r="3322" spans="1:48" ht="13.5" customHeight="1" outlineLevel="2">
      <c r="B3322" s="82"/>
      <c r="C3322" s="425"/>
      <c r="D3322" s="425"/>
      <c r="E3322" s="634"/>
      <c r="F3322" s="635"/>
      <c r="G3322" s="428"/>
      <c r="H3322" s="635"/>
      <c r="I3322" s="428"/>
      <c r="J3322" s="635"/>
      <c r="K3322" s="636"/>
      <c r="L3322" s="635"/>
      <c r="M3322" s="636"/>
      <c r="N3322" s="635"/>
      <c r="O3322" s="636"/>
      <c r="P3322" s="635"/>
      <c r="Q3322" s="636"/>
      <c r="R3322" s="637"/>
      <c r="S3322" s="698">
        <f>SUM(R2602:R2606)/1.18-(SUM(R3317:R3321)*'Mark Up Validation'!$M$105)</f>
        <v>0</v>
      </c>
      <c r="T3322" s="635"/>
      <c r="U3322" s="636"/>
      <c r="V3322" s="635"/>
      <c r="W3322" s="636"/>
      <c r="X3322" s="635"/>
      <c r="Y3322" s="636"/>
      <c r="Z3322" s="635"/>
      <c r="AA3322" s="636"/>
      <c r="AB3322" s="635"/>
      <c r="AC3322" s="636"/>
      <c r="AD3322" s="635"/>
      <c r="AE3322" s="636"/>
      <c r="AF3322" s="637"/>
      <c r="AG3322" s="698">
        <f>SUM(AF2602:AF2606)/1.18-SUM(AF3317:AF3321)*'Mark Up Validation'!$M$175</f>
        <v>0</v>
      </c>
      <c r="AH3322" s="638"/>
      <c r="AI3322" s="698">
        <f>SUM(AH2602:AH2606)/1.18-SUM(AH3317:AH3321)*'Mark Up Validation'!$M$175</f>
        <v>0</v>
      </c>
      <c r="AJ3322" s="65"/>
      <c r="AV3322" s="56"/>
    </row>
    <row r="3323" spans="1:48" ht="13.5" customHeight="1" outlineLevel="2" thickBot="1">
      <c r="A3323" s="119"/>
      <c r="B3323" s="82"/>
      <c r="C3323" s="1228" t="s">
        <v>539</v>
      </c>
      <c r="D3323" s="1229"/>
      <c r="E3323" s="699"/>
      <c r="F3323" s="700">
        <f>SUM(F3317:F3321)</f>
        <v>0</v>
      </c>
      <c r="G3323" s="701"/>
      <c r="H3323" s="700">
        <f>SUM(H3317:H3321)</f>
        <v>0</v>
      </c>
      <c r="I3323" s="701"/>
      <c r="J3323" s="700">
        <f>SUM(J3317:J3321)</f>
        <v>0</v>
      </c>
      <c r="K3323" s="702"/>
      <c r="L3323" s="700">
        <f>SUM(L3317:L3321)</f>
        <v>0</v>
      </c>
      <c r="M3323" s="702"/>
      <c r="N3323" s="700">
        <f>SUM(N3317:N3321)</f>
        <v>0</v>
      </c>
      <c r="O3323" s="702"/>
      <c r="P3323" s="700">
        <f>SUM(P3317:P3321)</f>
        <v>0</v>
      </c>
      <c r="Q3323" s="702"/>
      <c r="R3323" s="703"/>
      <c r="S3323" s="729">
        <f>IF(S3322&gt;0,S3322/(SUM(R2602:R2606)/1.18),0)</f>
        <v>0</v>
      </c>
      <c r="T3323" s="700">
        <f>SUM(T3317:T3321)</f>
        <v>0</v>
      </c>
      <c r="U3323" s="702"/>
      <c r="V3323" s="700">
        <f>SUM(V3317:V3321)</f>
        <v>0</v>
      </c>
      <c r="W3323" s="702"/>
      <c r="X3323" s="700">
        <f>SUM(X3317:X3321)</f>
        <v>0</v>
      </c>
      <c r="Y3323" s="702"/>
      <c r="Z3323" s="700">
        <f>SUM(Z3317:Z3321)</f>
        <v>0</v>
      </c>
      <c r="AA3323" s="702"/>
      <c r="AB3323" s="700">
        <f>SUM(AB3317:AB3321)</f>
        <v>0</v>
      </c>
      <c r="AC3323" s="702"/>
      <c r="AD3323" s="700">
        <f>SUM(AD3317:AD3321)</f>
        <v>0</v>
      </c>
      <c r="AE3323" s="702"/>
      <c r="AF3323" s="705"/>
      <c r="AG3323" s="729">
        <f>IF(AG3322&gt;0,AG3322/(SUM(AF2602:AF2606)/1.18),0)</f>
        <v>0</v>
      </c>
      <c r="AH3323" s="706"/>
      <c r="AI3323" s="729">
        <f>IF(AI3322&gt;0,AI3322/(SUM(AH2602:AH2606)/1.18),0)</f>
        <v>0</v>
      </c>
      <c r="AJ3323" s="707"/>
      <c r="AV3323" s="56"/>
    </row>
    <row r="3324" spans="1:48" ht="12.75" customHeight="1" outlineLevel="2" thickBot="1">
      <c r="B3324" s="82">
        <f>B3317+1</f>
        <v>64</v>
      </c>
      <c r="C3324" s="1233">
        <f>C454</f>
        <v>0</v>
      </c>
      <c r="D3324" s="1233">
        <f>D454</f>
        <v>0</v>
      </c>
      <c r="E3324" s="83" t="str">
        <f>'Terms and Turnovers'!$J$12</f>
        <v>FLIP-FLOPS</v>
      </c>
      <c r="F3324" s="68">
        <f>F1895/1.18-F2610*'Mark Up Validation'!$M$105</f>
        <v>0</v>
      </c>
      <c r="G3324" s="106"/>
      <c r="H3324" s="68">
        <f>H1895/1.18-H2610*'Mark Up Validation'!$M$105</f>
        <v>0</v>
      </c>
      <c r="I3324" s="106"/>
      <c r="J3324" s="68">
        <f>J1895/1.18-J2610*'Mark Up Validation'!$M$105</f>
        <v>0</v>
      </c>
      <c r="K3324" s="106"/>
      <c r="L3324" s="68">
        <f>L1895/1.18-L2610*'Mark Up Validation'!$M$105</f>
        <v>0</v>
      </c>
      <c r="M3324" s="106"/>
      <c r="N3324" s="68">
        <f>N1895/1.18-N2610*'Mark Up Validation'!$M$105</f>
        <v>0</v>
      </c>
      <c r="O3324" s="106"/>
      <c r="P3324" s="68">
        <f>P1895/1.18-P2610*'Mark Up Validation'!$M$105</f>
        <v>0</v>
      </c>
      <c r="Q3324" s="106"/>
      <c r="R3324" s="129">
        <f>SUM(F3324,H3324,J3324,L3324,N3324,P3324)</f>
        <v>0</v>
      </c>
      <c r="S3324" s="106"/>
      <c r="T3324" s="68">
        <f>T1895/1.18-T2610*'Mark Up Validation'!$S$105</f>
        <v>0</v>
      </c>
      <c r="U3324" s="106"/>
      <c r="V3324" s="68">
        <f>V1895/1.18-V2610*'Mark Up Validation'!$S$105</f>
        <v>0</v>
      </c>
      <c r="W3324" s="106"/>
      <c r="X3324" s="68">
        <f>X1895/1.18-X2610*'Mark Up Validation'!$S$105</f>
        <v>0</v>
      </c>
      <c r="Y3324" s="106"/>
      <c r="Z3324" s="68">
        <f>Z1895/1.18-Z2610*'Mark Up Validation'!$S$105</f>
        <v>0</v>
      </c>
      <c r="AA3324" s="106"/>
      <c r="AB3324" s="68">
        <f>AB1895/1.18-AB2610*'Mark Up Validation'!$S$105</f>
        <v>0</v>
      </c>
      <c r="AC3324" s="106"/>
      <c r="AD3324" s="68">
        <f>AD1895/1.18-AD2610*'Mark Up Validation'!$S$105</f>
        <v>0</v>
      </c>
      <c r="AE3324" s="106"/>
      <c r="AF3324" s="129">
        <f>SUM(T3324,V3324,X3324,Z3324,AB3324,AD3324)</f>
        <v>0</v>
      </c>
      <c r="AG3324" s="106"/>
      <c r="AH3324" s="130">
        <f>SUM(AF3324,R3324)</f>
        <v>0</v>
      </c>
      <c r="AI3324" s="106"/>
      <c r="AJ3324" s="65"/>
      <c r="AV3324" s="56"/>
    </row>
    <row r="3325" spans="1:48" ht="12.75" customHeight="1" outlineLevel="2" thickBot="1">
      <c r="B3325" s="82"/>
      <c r="C3325" s="1234"/>
      <c r="D3325" s="1234"/>
      <c r="E3325" s="84" t="str">
        <f>'Terms and Turnovers'!$T$12</f>
        <v>ORIGINALS</v>
      </c>
      <c r="F3325" s="68">
        <f>F1896/1.18-F2611*'Mark Up Validation'!$M$105</f>
        <v>0</v>
      </c>
      <c r="G3325" s="728"/>
      <c r="H3325" s="68">
        <f>H1896/1.18-H2611*'Mark Up Validation'!$M$105</f>
        <v>0</v>
      </c>
      <c r="I3325" s="728"/>
      <c r="J3325" s="68">
        <f>J1896/1.18-J2611*'Mark Up Validation'!$M$105</f>
        <v>0</v>
      </c>
      <c r="K3325" s="728"/>
      <c r="L3325" s="68">
        <f>L1896/1.18-L2611*'Mark Up Validation'!$M$105</f>
        <v>0</v>
      </c>
      <c r="M3325" s="728"/>
      <c r="N3325" s="68">
        <f>N1896/1.18-N2611*'Mark Up Validation'!$M$105</f>
        <v>0</v>
      </c>
      <c r="O3325" s="728"/>
      <c r="P3325" s="68">
        <f>P1896/1.18-P2611*'Mark Up Validation'!$M$105</f>
        <v>0</v>
      </c>
      <c r="Q3325" s="728"/>
      <c r="R3325" s="132">
        <f>SUM(F3325,H3325,J3325,L3325,N3325,P3325)</f>
        <v>0</v>
      </c>
      <c r="S3325" s="728"/>
      <c r="T3325" s="68">
        <f>T1896/1.18-T2611*'Mark Up Validation'!$S$105</f>
        <v>0</v>
      </c>
      <c r="U3325" s="728"/>
      <c r="V3325" s="68">
        <f>V1896/1.18-V2611*'Mark Up Validation'!$S$105</f>
        <v>0</v>
      </c>
      <c r="W3325" s="728"/>
      <c r="X3325" s="68">
        <f>X1896/1.18-X2611*'Mark Up Validation'!$S$105</f>
        <v>0</v>
      </c>
      <c r="Y3325" s="728"/>
      <c r="Z3325" s="68">
        <f>Z1896/1.18-Z2611*'Mark Up Validation'!$S$105</f>
        <v>0</v>
      </c>
      <c r="AA3325" s="728"/>
      <c r="AB3325" s="68">
        <f>AB1896/1.18-AB2611*'Mark Up Validation'!$S$105</f>
        <v>0</v>
      </c>
      <c r="AC3325" s="728"/>
      <c r="AD3325" s="68">
        <f>AD1896/1.18-AD2611*'Mark Up Validation'!$S$105</f>
        <v>0</v>
      </c>
      <c r="AE3325" s="728"/>
      <c r="AF3325" s="132">
        <f>SUM(T3325,V3325,X3325,Z3325,AB3325,AD3325)</f>
        <v>0</v>
      </c>
      <c r="AG3325" s="728"/>
      <c r="AH3325" s="133">
        <f>SUM(AF3325,R3325)</f>
        <v>0</v>
      </c>
      <c r="AI3325" s="728"/>
      <c r="AJ3325" s="65"/>
      <c r="AV3325" s="56"/>
    </row>
    <row r="3326" spans="1:48" ht="12.75" customHeight="1" outlineLevel="2" thickBot="1">
      <c r="B3326" s="82"/>
      <c r="C3326" s="1234"/>
      <c r="D3326" s="1234"/>
      <c r="E3326" s="84" t="str">
        <f>'Terms and Turnovers'!$AD$12</f>
        <v>ACCESSORIES</v>
      </c>
      <c r="F3326" s="68">
        <f>F1897/1.18-F2612*'Mark Up Validation'!$M$105</f>
        <v>0</v>
      </c>
      <c r="G3326" s="106"/>
      <c r="H3326" s="68">
        <f>H1897/1.18-H2612*'Mark Up Validation'!$M$105</f>
        <v>0</v>
      </c>
      <c r="I3326" s="106"/>
      <c r="J3326" s="68">
        <f>J1897/1.18-J2612*'Mark Up Validation'!$M$105</f>
        <v>0</v>
      </c>
      <c r="K3326" s="106"/>
      <c r="L3326" s="68">
        <f>L1897/1.18-L2612*'Mark Up Validation'!$M$105</f>
        <v>0</v>
      </c>
      <c r="M3326" s="106"/>
      <c r="N3326" s="68">
        <f>N1897/1.18-N2612*'Mark Up Validation'!$M$105</f>
        <v>0</v>
      </c>
      <c r="O3326" s="106"/>
      <c r="P3326" s="68">
        <f>P1897/1.18-P2612*'Mark Up Validation'!$M$105</f>
        <v>0</v>
      </c>
      <c r="Q3326" s="728"/>
      <c r="R3326" s="132">
        <f>SUM(F3326,H3326,J3326,L3326,N3326,P3326)</f>
        <v>0</v>
      </c>
      <c r="S3326" s="728"/>
      <c r="T3326" s="68">
        <f>T1897/1.18-T2612*'Mark Up Validation'!$S$105</f>
        <v>0</v>
      </c>
      <c r="U3326" s="728"/>
      <c r="V3326" s="68">
        <f>V1897/1.18-V2612*'Mark Up Validation'!$S$105</f>
        <v>0</v>
      </c>
      <c r="W3326" s="728"/>
      <c r="X3326" s="68">
        <f>X1897/1.18-X2612*'Mark Up Validation'!$S$105</f>
        <v>0</v>
      </c>
      <c r="Y3326" s="728"/>
      <c r="Z3326" s="68">
        <f>Z1897/1.18-Z2612*'Mark Up Validation'!$S$105</f>
        <v>0</v>
      </c>
      <c r="AA3326" s="728"/>
      <c r="AB3326" s="68">
        <f>AB1897/1.18-AB2612*'Mark Up Validation'!$S$105</f>
        <v>0</v>
      </c>
      <c r="AC3326" s="728"/>
      <c r="AD3326" s="68">
        <f>AD1897/1.18-AD2612*'Mark Up Validation'!$S$105</f>
        <v>0</v>
      </c>
      <c r="AE3326" s="728"/>
      <c r="AF3326" s="132">
        <f>SUM(T3326,V3326,X3326,Z3326,AB3326,AD3326)</f>
        <v>0</v>
      </c>
      <c r="AG3326" s="728"/>
      <c r="AH3326" s="133">
        <f>SUM(AF3326,R3326)</f>
        <v>0</v>
      </c>
      <c r="AI3326" s="728"/>
      <c r="AJ3326" s="65"/>
      <c r="AV3326" s="56"/>
    </row>
    <row r="3327" spans="1:48" ht="12.75" customHeight="1" outlineLevel="2" thickBot="1">
      <c r="B3327" s="82"/>
      <c r="C3327" s="1234"/>
      <c r="D3327" s="1234"/>
      <c r="E3327" s="84">
        <f>'Terms and Turnovers'!$AN$12</f>
        <v>0</v>
      </c>
      <c r="F3327" s="68">
        <f>F1898/1.18-F2613*'Mark Up Validation'!$M$105</f>
        <v>0</v>
      </c>
      <c r="G3327" s="728"/>
      <c r="H3327" s="68">
        <f>H1898/1.18-H2613*'Mark Up Validation'!$M$105</f>
        <v>0</v>
      </c>
      <c r="I3327" s="728"/>
      <c r="J3327" s="68">
        <f>J1898/1.18-J2613*'Mark Up Validation'!$M$105</f>
        <v>0</v>
      </c>
      <c r="K3327" s="728"/>
      <c r="L3327" s="68">
        <f>L1898/1.18-L2613*'Mark Up Validation'!$M$105</f>
        <v>0</v>
      </c>
      <c r="M3327" s="728"/>
      <c r="N3327" s="68">
        <f>N1898/1.18-N2613*'Mark Up Validation'!$M$105</f>
        <v>0</v>
      </c>
      <c r="O3327" s="728"/>
      <c r="P3327" s="68">
        <f>P1898/1.18-P2613*'Mark Up Validation'!$M$105</f>
        <v>0</v>
      </c>
      <c r="Q3327" s="728"/>
      <c r="R3327" s="132">
        <f>SUM(F3327,H3327,J3327,L3327,N3327,P3327)</f>
        <v>0</v>
      </c>
      <c r="S3327" s="728"/>
      <c r="T3327" s="68">
        <f>T1898/1.18-T2613*'Mark Up Validation'!$S$105</f>
        <v>0</v>
      </c>
      <c r="U3327" s="728"/>
      <c r="V3327" s="68">
        <f>V1898/1.18-V2613*'Mark Up Validation'!$S$105</f>
        <v>0</v>
      </c>
      <c r="W3327" s="728"/>
      <c r="X3327" s="68">
        <f>X1898/1.18-X2613*'Mark Up Validation'!$S$105</f>
        <v>0</v>
      </c>
      <c r="Y3327" s="728"/>
      <c r="Z3327" s="68">
        <f>Z1898/1.18-Z2613*'Mark Up Validation'!$S$105</f>
        <v>0</v>
      </c>
      <c r="AA3327" s="728"/>
      <c r="AB3327" s="68">
        <f>AB1898/1.18-AB2613*'Mark Up Validation'!$S$105</f>
        <v>0</v>
      </c>
      <c r="AC3327" s="728"/>
      <c r="AD3327" s="68">
        <f>AD1898/1.18-AD2613*'Mark Up Validation'!$S$105</f>
        <v>0</v>
      </c>
      <c r="AE3327" s="728"/>
      <c r="AF3327" s="132">
        <f>SUM(T3327,V3327,X3327,Z3327,AB3327,AD3327)</f>
        <v>0</v>
      </c>
      <c r="AG3327" s="728"/>
      <c r="AH3327" s="133">
        <f>SUM(AF3327,R3327)</f>
        <v>0</v>
      </c>
      <c r="AI3327" s="728"/>
      <c r="AJ3327" s="65"/>
      <c r="AV3327" s="56"/>
    </row>
    <row r="3328" spans="1:48" ht="13.5" customHeight="1" outlineLevel="2" thickBot="1">
      <c r="B3328" s="82"/>
      <c r="C3328" s="1235"/>
      <c r="D3328" s="1235"/>
      <c r="E3328" s="85">
        <f>'Terms and Turnovers'!$AX$12</f>
        <v>0</v>
      </c>
      <c r="F3328" s="68">
        <f>F1899/1.18-F2614*'Mark Up Validation'!$M$105</f>
        <v>0</v>
      </c>
      <c r="G3328" s="106"/>
      <c r="H3328" s="68">
        <f>H1899/1.18-H2614*'Mark Up Validation'!$M$105</f>
        <v>0</v>
      </c>
      <c r="I3328" s="106"/>
      <c r="J3328" s="68">
        <f>J1899/1.18-J2614*'Mark Up Validation'!$M$105</f>
        <v>0</v>
      </c>
      <c r="K3328" s="106"/>
      <c r="L3328" s="68">
        <f>L1899/1.18-L2614*'Mark Up Validation'!$M$105</f>
        <v>0</v>
      </c>
      <c r="M3328" s="106"/>
      <c r="N3328" s="68">
        <f>N1899/1.18-N2614*'Mark Up Validation'!$M$105</f>
        <v>0</v>
      </c>
      <c r="O3328" s="106"/>
      <c r="P3328" s="68">
        <f>P1899/1.18-P2614*'Mark Up Validation'!$M$105</f>
        <v>0</v>
      </c>
      <c r="Q3328" s="107"/>
      <c r="R3328" s="135">
        <f>SUM(F3328,H3328,J3328,L3328,N3328,P3328)</f>
        <v>0</v>
      </c>
      <c r="S3328" s="107"/>
      <c r="T3328" s="68">
        <f>T1899/1.18-T2614*'Mark Up Validation'!$S$105</f>
        <v>0</v>
      </c>
      <c r="U3328" s="107"/>
      <c r="V3328" s="68">
        <f>V1899/1.18-V2614*'Mark Up Validation'!$S$105</f>
        <v>0</v>
      </c>
      <c r="W3328" s="107"/>
      <c r="X3328" s="68">
        <f>X1899/1.18-X2614*'Mark Up Validation'!$S$105</f>
        <v>0</v>
      </c>
      <c r="Y3328" s="107"/>
      <c r="Z3328" s="68">
        <f>Z1899/1.18-Z2614*'Mark Up Validation'!$S$105</f>
        <v>0</v>
      </c>
      <c r="AA3328" s="107"/>
      <c r="AB3328" s="68">
        <f>AB1899/1.18-AB2614*'Mark Up Validation'!$S$105</f>
        <v>0</v>
      </c>
      <c r="AC3328" s="107"/>
      <c r="AD3328" s="68">
        <f>AD1899/1.18-AD2614*'Mark Up Validation'!$S$105</f>
        <v>0</v>
      </c>
      <c r="AE3328" s="107"/>
      <c r="AF3328" s="135">
        <f>SUM(T3328,V3328,X3328,Z3328,AB3328,AD3328)</f>
        <v>0</v>
      </c>
      <c r="AG3328" s="107"/>
      <c r="AH3328" s="136">
        <f>SUM(AF3328,R3328)</f>
        <v>0</v>
      </c>
      <c r="AI3328" s="107"/>
      <c r="AJ3328" s="65"/>
      <c r="AV3328" s="56"/>
    </row>
    <row r="3329" spans="1:48" ht="13.5" customHeight="1" outlineLevel="2">
      <c r="B3329" s="82"/>
      <c r="C3329" s="425"/>
      <c r="D3329" s="425"/>
      <c r="E3329" s="634"/>
      <c r="F3329" s="635"/>
      <c r="G3329" s="428"/>
      <c r="H3329" s="635"/>
      <c r="I3329" s="428"/>
      <c r="J3329" s="635"/>
      <c r="K3329" s="636"/>
      <c r="L3329" s="635"/>
      <c r="M3329" s="636"/>
      <c r="N3329" s="635"/>
      <c r="O3329" s="636"/>
      <c r="P3329" s="635"/>
      <c r="Q3329" s="636"/>
      <c r="R3329" s="637"/>
      <c r="S3329" s="698">
        <f>SUM(R2609:R2613)/1.18-(SUM(R3324:R3328)*'Mark Up Validation'!$M$105)</f>
        <v>0</v>
      </c>
      <c r="T3329" s="635"/>
      <c r="U3329" s="636"/>
      <c r="V3329" s="635"/>
      <c r="W3329" s="636"/>
      <c r="X3329" s="635"/>
      <c r="Y3329" s="636"/>
      <c r="Z3329" s="635"/>
      <c r="AA3329" s="636"/>
      <c r="AB3329" s="635"/>
      <c r="AC3329" s="636"/>
      <c r="AD3329" s="635"/>
      <c r="AE3329" s="636"/>
      <c r="AF3329" s="637"/>
      <c r="AG3329" s="698">
        <f>SUM(AF2609:AF2613)/1.18-SUM(AF3324:AF3328)*'Mark Up Validation'!$M$175</f>
        <v>0</v>
      </c>
      <c r="AH3329" s="638"/>
      <c r="AI3329" s="698">
        <f>SUM(AH2609:AH2613)/1.18-SUM(AH3324:AH3328)*'Mark Up Validation'!$M$175</f>
        <v>0</v>
      </c>
      <c r="AJ3329" s="65"/>
      <c r="AV3329" s="56"/>
    </row>
    <row r="3330" spans="1:48" ht="13.5" customHeight="1" outlineLevel="2" thickBot="1">
      <c r="A3330" s="119"/>
      <c r="B3330" s="82"/>
      <c r="C3330" s="1228" t="s">
        <v>539</v>
      </c>
      <c r="D3330" s="1229"/>
      <c r="E3330" s="699"/>
      <c r="F3330" s="700">
        <f>SUM(F3324:F3328)</f>
        <v>0</v>
      </c>
      <c r="G3330" s="701"/>
      <c r="H3330" s="700">
        <f>SUM(H3324:H3328)</f>
        <v>0</v>
      </c>
      <c r="I3330" s="701"/>
      <c r="J3330" s="700">
        <f>SUM(J3324:J3328)</f>
        <v>0</v>
      </c>
      <c r="K3330" s="702"/>
      <c r="L3330" s="700">
        <f>SUM(L3324:L3328)</f>
        <v>0</v>
      </c>
      <c r="M3330" s="702"/>
      <c r="N3330" s="700">
        <f>SUM(N3324:N3328)</f>
        <v>0</v>
      </c>
      <c r="O3330" s="702"/>
      <c r="P3330" s="700">
        <f>SUM(P3324:P3328)</f>
        <v>0</v>
      </c>
      <c r="Q3330" s="702"/>
      <c r="R3330" s="703"/>
      <c r="S3330" s="729">
        <f>IF(S3329&gt;0,S3329/(SUM(R2609:R2613)/1.18),0)</f>
        <v>0</v>
      </c>
      <c r="T3330" s="700">
        <f>SUM(T3324:T3328)</f>
        <v>0</v>
      </c>
      <c r="U3330" s="702"/>
      <c r="V3330" s="700">
        <f>SUM(V3324:V3328)</f>
        <v>0</v>
      </c>
      <c r="W3330" s="702"/>
      <c r="X3330" s="700">
        <f>SUM(X3324:X3328)</f>
        <v>0</v>
      </c>
      <c r="Y3330" s="702"/>
      <c r="Z3330" s="700">
        <f>SUM(Z3324:Z3328)</f>
        <v>0</v>
      </c>
      <c r="AA3330" s="702"/>
      <c r="AB3330" s="700">
        <f>SUM(AB3324:AB3328)</f>
        <v>0</v>
      </c>
      <c r="AC3330" s="702"/>
      <c r="AD3330" s="700">
        <f>SUM(AD3324:AD3328)</f>
        <v>0</v>
      </c>
      <c r="AE3330" s="702"/>
      <c r="AF3330" s="705"/>
      <c r="AG3330" s="729">
        <f>IF(AG3329&gt;0,AG3329/(SUM(AF2609:AF2613)/1.18),0)</f>
        <v>0</v>
      </c>
      <c r="AH3330" s="706"/>
      <c r="AI3330" s="729">
        <f>IF(AI3329&gt;0,AI3329/(SUM(AH2609:AH2613)/1.18),0)</f>
        <v>0</v>
      </c>
      <c r="AJ3330" s="707"/>
      <c r="AV3330" s="56"/>
    </row>
    <row r="3331" spans="1:48" ht="12.75" customHeight="1" outlineLevel="1" thickBot="1">
      <c r="B3331" s="82">
        <f>B3324+1</f>
        <v>65</v>
      </c>
      <c r="C3331" s="1233">
        <f>C461</f>
        <v>0</v>
      </c>
      <c r="D3331" s="1233">
        <f>D461</f>
        <v>0</v>
      </c>
      <c r="E3331" s="83" t="str">
        <f>'Terms and Turnovers'!$J$12</f>
        <v>FLIP-FLOPS</v>
      </c>
      <c r="F3331" s="68">
        <f>F1902/1.18-F2617*'Mark Up Validation'!$M$105</f>
        <v>0</v>
      </c>
      <c r="G3331" s="106"/>
      <c r="H3331" s="68">
        <f>H1902/1.18-H2617*'Mark Up Validation'!$M$105</f>
        <v>0</v>
      </c>
      <c r="I3331" s="106"/>
      <c r="J3331" s="68">
        <f>J1902/1.18-J2617*'Mark Up Validation'!$M$105</f>
        <v>0</v>
      </c>
      <c r="K3331" s="106"/>
      <c r="L3331" s="68">
        <f>L1902/1.18-L2617*'Mark Up Validation'!$M$105</f>
        <v>0</v>
      </c>
      <c r="M3331" s="106"/>
      <c r="N3331" s="68">
        <f>N1902/1.18-N2617*'Mark Up Validation'!$M$105</f>
        <v>0</v>
      </c>
      <c r="O3331" s="106"/>
      <c r="P3331" s="68">
        <f>P1902/1.18-P2617*'Mark Up Validation'!$M$105</f>
        <v>0</v>
      </c>
      <c r="Q3331" s="106"/>
      <c r="R3331" s="129">
        <f>SUM(F3331,H3331,J3331,L3331,N3331,P3331)</f>
        <v>0</v>
      </c>
      <c r="S3331" s="106"/>
      <c r="T3331" s="68">
        <f>T1902/1.18-T2617*'Mark Up Validation'!$S$105</f>
        <v>0</v>
      </c>
      <c r="U3331" s="106"/>
      <c r="V3331" s="68">
        <f>V1902/1.18-V2617*'Mark Up Validation'!$S$105</f>
        <v>0</v>
      </c>
      <c r="W3331" s="106"/>
      <c r="X3331" s="68">
        <f>X1902/1.18-X2617*'Mark Up Validation'!$S$105</f>
        <v>0</v>
      </c>
      <c r="Y3331" s="106"/>
      <c r="Z3331" s="68">
        <f>Z1902/1.18-Z2617*'Mark Up Validation'!$S$105</f>
        <v>0</v>
      </c>
      <c r="AA3331" s="106"/>
      <c r="AB3331" s="68">
        <f>AB1902/1.18-AB2617*'Mark Up Validation'!$S$105</f>
        <v>0</v>
      </c>
      <c r="AC3331" s="106"/>
      <c r="AD3331" s="68">
        <f>AD1902/1.18-AD2617*'Mark Up Validation'!$S$105</f>
        <v>0</v>
      </c>
      <c r="AE3331" s="106"/>
      <c r="AF3331" s="129">
        <f>SUM(T3331,V3331,X3331,Z3331,AB3331,AD3331)</f>
        <v>0</v>
      </c>
      <c r="AG3331" s="106"/>
      <c r="AH3331" s="130">
        <f>SUM(AF3331,R3331)</f>
        <v>0</v>
      </c>
      <c r="AI3331" s="106"/>
      <c r="AJ3331" s="65"/>
    </row>
    <row r="3332" spans="1:48" ht="12.75" customHeight="1" outlineLevel="1" thickBot="1">
      <c r="B3332" s="82"/>
      <c r="C3332" s="1234"/>
      <c r="D3332" s="1234"/>
      <c r="E3332" s="84" t="str">
        <f>'Terms and Turnovers'!$T$12</f>
        <v>ORIGINALS</v>
      </c>
      <c r="F3332" s="68">
        <f>F1903/1.18-F2618*'Mark Up Validation'!$M$105</f>
        <v>0</v>
      </c>
      <c r="G3332" s="728"/>
      <c r="H3332" s="68">
        <f>H1903/1.18-H2618*'Mark Up Validation'!$M$105</f>
        <v>0</v>
      </c>
      <c r="I3332" s="728"/>
      <c r="J3332" s="68">
        <f>J1903/1.18-J2618*'Mark Up Validation'!$M$105</f>
        <v>0</v>
      </c>
      <c r="K3332" s="728"/>
      <c r="L3332" s="68">
        <f>L1903/1.18-L2618*'Mark Up Validation'!$M$105</f>
        <v>0</v>
      </c>
      <c r="M3332" s="728"/>
      <c r="N3332" s="68">
        <f>N1903/1.18-N2618*'Mark Up Validation'!$M$105</f>
        <v>0</v>
      </c>
      <c r="O3332" s="728"/>
      <c r="P3332" s="68">
        <f>P1903/1.18-P2618*'Mark Up Validation'!$M$105</f>
        <v>0</v>
      </c>
      <c r="Q3332" s="728"/>
      <c r="R3332" s="132">
        <f>SUM(F3332,H3332,J3332,L3332,N3332,P3332)</f>
        <v>0</v>
      </c>
      <c r="S3332" s="728"/>
      <c r="T3332" s="68">
        <f>T1903/1.18-T2618*'Mark Up Validation'!$S$105</f>
        <v>0</v>
      </c>
      <c r="U3332" s="728"/>
      <c r="V3332" s="68">
        <f>V1903/1.18-V2618*'Mark Up Validation'!$S$105</f>
        <v>0</v>
      </c>
      <c r="W3332" s="728"/>
      <c r="X3332" s="68">
        <f>X1903/1.18-X2618*'Mark Up Validation'!$S$105</f>
        <v>0</v>
      </c>
      <c r="Y3332" s="728"/>
      <c r="Z3332" s="68">
        <f>Z1903/1.18-Z2618*'Mark Up Validation'!$S$105</f>
        <v>0</v>
      </c>
      <c r="AA3332" s="728"/>
      <c r="AB3332" s="68">
        <f>AB1903/1.18-AB2618*'Mark Up Validation'!$S$105</f>
        <v>0</v>
      </c>
      <c r="AC3332" s="728"/>
      <c r="AD3332" s="68">
        <f>AD1903/1.18-AD2618*'Mark Up Validation'!$S$105</f>
        <v>0</v>
      </c>
      <c r="AE3332" s="728"/>
      <c r="AF3332" s="132">
        <f>SUM(T3332,V3332,X3332,Z3332,AB3332,AD3332)</f>
        <v>0</v>
      </c>
      <c r="AG3332" s="728"/>
      <c r="AH3332" s="133">
        <f>SUM(AF3332,R3332)</f>
        <v>0</v>
      </c>
      <c r="AI3332" s="728"/>
      <c r="AJ3332" s="65"/>
    </row>
    <row r="3333" spans="1:48" ht="12.75" customHeight="1" outlineLevel="1" thickBot="1">
      <c r="B3333" s="82"/>
      <c r="C3333" s="1234"/>
      <c r="D3333" s="1234"/>
      <c r="E3333" s="84" t="str">
        <f>'Terms and Turnovers'!$AD$12</f>
        <v>ACCESSORIES</v>
      </c>
      <c r="F3333" s="68">
        <f>F1904/1.18-F2619*'Mark Up Validation'!$M$105</f>
        <v>0</v>
      </c>
      <c r="G3333" s="106"/>
      <c r="H3333" s="68">
        <f>H1904/1.18-H2619*'Mark Up Validation'!$M$105</f>
        <v>0</v>
      </c>
      <c r="I3333" s="106"/>
      <c r="J3333" s="68">
        <f>J1904/1.18-J2619*'Mark Up Validation'!$M$105</f>
        <v>0</v>
      </c>
      <c r="K3333" s="106"/>
      <c r="L3333" s="68">
        <f>L1904/1.18-L2619*'Mark Up Validation'!$M$105</f>
        <v>0</v>
      </c>
      <c r="M3333" s="106"/>
      <c r="N3333" s="68">
        <f>N1904/1.18-N2619*'Mark Up Validation'!$M$105</f>
        <v>0</v>
      </c>
      <c r="O3333" s="106"/>
      <c r="P3333" s="68">
        <f>P1904/1.18-P2619*'Mark Up Validation'!$M$105</f>
        <v>0</v>
      </c>
      <c r="Q3333" s="728"/>
      <c r="R3333" s="132">
        <f>SUM(F3333,H3333,J3333,L3333,N3333,P3333)</f>
        <v>0</v>
      </c>
      <c r="S3333" s="728"/>
      <c r="T3333" s="68">
        <f>T1904/1.18-T2619*'Mark Up Validation'!$S$105</f>
        <v>0</v>
      </c>
      <c r="U3333" s="728"/>
      <c r="V3333" s="68">
        <f>V1904/1.18-V2619*'Mark Up Validation'!$S$105</f>
        <v>0</v>
      </c>
      <c r="W3333" s="728"/>
      <c r="X3333" s="68">
        <f>X1904/1.18-X2619*'Mark Up Validation'!$S$105</f>
        <v>0</v>
      </c>
      <c r="Y3333" s="728"/>
      <c r="Z3333" s="68">
        <f>Z1904/1.18-Z2619*'Mark Up Validation'!$S$105</f>
        <v>0</v>
      </c>
      <c r="AA3333" s="728"/>
      <c r="AB3333" s="68">
        <f>AB1904/1.18-AB2619*'Mark Up Validation'!$S$105</f>
        <v>0</v>
      </c>
      <c r="AC3333" s="728"/>
      <c r="AD3333" s="68">
        <f>AD1904/1.18-AD2619*'Mark Up Validation'!$S$105</f>
        <v>0</v>
      </c>
      <c r="AE3333" s="728"/>
      <c r="AF3333" s="132">
        <f>SUM(T3333,V3333,X3333,Z3333,AB3333,AD3333)</f>
        <v>0</v>
      </c>
      <c r="AG3333" s="728"/>
      <c r="AH3333" s="133">
        <f>SUM(AF3333,R3333)</f>
        <v>0</v>
      </c>
      <c r="AI3333" s="728"/>
      <c r="AJ3333" s="65"/>
    </row>
    <row r="3334" spans="1:48" ht="12.75" customHeight="1" outlineLevel="1" thickBot="1">
      <c r="B3334" s="82"/>
      <c r="C3334" s="1234"/>
      <c r="D3334" s="1234"/>
      <c r="E3334" s="84">
        <f>'Terms and Turnovers'!$AN$12</f>
        <v>0</v>
      </c>
      <c r="F3334" s="68">
        <f>F1905/1.18-F2620*'Mark Up Validation'!$M$105</f>
        <v>0</v>
      </c>
      <c r="G3334" s="728"/>
      <c r="H3334" s="68">
        <f>H1905/1.18-H2620*'Mark Up Validation'!$M$105</f>
        <v>0</v>
      </c>
      <c r="I3334" s="728"/>
      <c r="J3334" s="68">
        <f>J1905/1.18-J2620*'Mark Up Validation'!$M$105</f>
        <v>0</v>
      </c>
      <c r="K3334" s="728"/>
      <c r="L3334" s="68">
        <f>L1905/1.18-L2620*'Mark Up Validation'!$M$105</f>
        <v>0</v>
      </c>
      <c r="M3334" s="728"/>
      <c r="N3334" s="68">
        <f>N1905/1.18-N2620*'Mark Up Validation'!$M$105</f>
        <v>0</v>
      </c>
      <c r="O3334" s="728"/>
      <c r="P3334" s="68">
        <f>P1905/1.18-P2620*'Mark Up Validation'!$M$105</f>
        <v>0</v>
      </c>
      <c r="Q3334" s="728"/>
      <c r="R3334" s="132">
        <f>SUM(F3334,H3334,J3334,L3334,N3334,P3334)</f>
        <v>0</v>
      </c>
      <c r="S3334" s="728"/>
      <c r="T3334" s="68">
        <f>T1905/1.18-T2620*'Mark Up Validation'!$S$105</f>
        <v>0</v>
      </c>
      <c r="U3334" s="728"/>
      <c r="V3334" s="68">
        <f>V1905/1.18-V2620*'Mark Up Validation'!$S$105</f>
        <v>0</v>
      </c>
      <c r="W3334" s="728"/>
      <c r="X3334" s="68">
        <f>X1905/1.18-X2620*'Mark Up Validation'!$S$105</f>
        <v>0</v>
      </c>
      <c r="Y3334" s="728"/>
      <c r="Z3334" s="68">
        <f>Z1905/1.18-Z2620*'Mark Up Validation'!$S$105</f>
        <v>0</v>
      </c>
      <c r="AA3334" s="728"/>
      <c r="AB3334" s="68">
        <f>AB1905/1.18-AB2620*'Mark Up Validation'!$S$105</f>
        <v>0</v>
      </c>
      <c r="AC3334" s="728"/>
      <c r="AD3334" s="68">
        <f>AD1905/1.18-AD2620*'Mark Up Validation'!$S$105</f>
        <v>0</v>
      </c>
      <c r="AE3334" s="728"/>
      <c r="AF3334" s="132">
        <f>SUM(T3334,V3334,X3334,Z3334,AB3334,AD3334)</f>
        <v>0</v>
      </c>
      <c r="AG3334" s="728"/>
      <c r="AH3334" s="133">
        <f>SUM(AF3334,R3334)</f>
        <v>0</v>
      </c>
      <c r="AI3334" s="728"/>
      <c r="AJ3334" s="65"/>
    </row>
    <row r="3335" spans="1:48" ht="13.5" customHeight="1" outlineLevel="1" thickBot="1">
      <c r="B3335" s="82"/>
      <c r="C3335" s="1235"/>
      <c r="D3335" s="1235"/>
      <c r="E3335" s="85">
        <f>'Terms and Turnovers'!$AX$12</f>
        <v>0</v>
      </c>
      <c r="F3335" s="68">
        <f>F1906/1.18-F2621*'Mark Up Validation'!$M$105</f>
        <v>0</v>
      </c>
      <c r="G3335" s="106"/>
      <c r="H3335" s="68">
        <f>H1906/1.18-H2621*'Mark Up Validation'!$M$105</f>
        <v>0</v>
      </c>
      <c r="I3335" s="106"/>
      <c r="J3335" s="68">
        <f>J1906/1.18-J2621*'Mark Up Validation'!$M$105</f>
        <v>0</v>
      </c>
      <c r="K3335" s="106"/>
      <c r="L3335" s="68">
        <f>L1906/1.18-L2621*'Mark Up Validation'!$M$105</f>
        <v>0</v>
      </c>
      <c r="M3335" s="106"/>
      <c r="N3335" s="68">
        <f>N1906/1.18-N2621*'Mark Up Validation'!$M$105</f>
        <v>0</v>
      </c>
      <c r="O3335" s="106"/>
      <c r="P3335" s="68">
        <f>P1906/1.18-P2621*'Mark Up Validation'!$M$105</f>
        <v>0</v>
      </c>
      <c r="Q3335" s="107"/>
      <c r="R3335" s="135">
        <f>SUM(F3335,H3335,J3335,L3335,N3335,P3335)</f>
        <v>0</v>
      </c>
      <c r="S3335" s="107"/>
      <c r="T3335" s="68">
        <f>T1906/1.18-T2621*'Mark Up Validation'!$S$105</f>
        <v>0</v>
      </c>
      <c r="U3335" s="107"/>
      <c r="V3335" s="68">
        <f>V1906/1.18-V2621*'Mark Up Validation'!$S$105</f>
        <v>0</v>
      </c>
      <c r="W3335" s="107"/>
      <c r="X3335" s="68">
        <f>X1906/1.18-X2621*'Mark Up Validation'!$S$105</f>
        <v>0</v>
      </c>
      <c r="Y3335" s="107"/>
      <c r="Z3335" s="68">
        <f>Z1906/1.18-Z2621*'Mark Up Validation'!$S$105</f>
        <v>0</v>
      </c>
      <c r="AA3335" s="107"/>
      <c r="AB3335" s="68">
        <f>AB1906/1.18-AB2621*'Mark Up Validation'!$S$105</f>
        <v>0</v>
      </c>
      <c r="AC3335" s="107"/>
      <c r="AD3335" s="68">
        <f>AD1906/1.18-AD2621*'Mark Up Validation'!$S$105</f>
        <v>0</v>
      </c>
      <c r="AE3335" s="107"/>
      <c r="AF3335" s="135">
        <f>SUM(T3335,V3335,X3335,Z3335,AB3335,AD3335)</f>
        <v>0</v>
      </c>
      <c r="AG3335" s="107"/>
      <c r="AH3335" s="136">
        <f>SUM(AF3335,R3335)</f>
        <v>0</v>
      </c>
      <c r="AI3335" s="107"/>
      <c r="AJ3335" s="65"/>
    </row>
    <row r="3336" spans="1:48" ht="13.5" customHeight="1">
      <c r="B3336" s="82"/>
      <c r="C3336" s="425"/>
      <c r="D3336" s="425"/>
      <c r="E3336" s="634"/>
      <c r="F3336" s="635"/>
      <c r="G3336" s="428"/>
      <c r="H3336" s="635"/>
      <c r="I3336" s="428"/>
      <c r="J3336" s="635"/>
      <c r="K3336" s="636"/>
      <c r="L3336" s="635"/>
      <c r="M3336" s="636"/>
      <c r="N3336" s="635"/>
      <c r="O3336" s="636"/>
      <c r="P3336" s="635"/>
      <c r="Q3336" s="636"/>
      <c r="R3336" s="637"/>
      <c r="S3336" s="698">
        <f>SUM(R2616:R2620)/1.18-(SUM(R3331:R3335)*'Mark Up Validation'!$M$105)</f>
        <v>0</v>
      </c>
      <c r="T3336" s="635"/>
      <c r="U3336" s="636"/>
      <c r="V3336" s="635"/>
      <c r="W3336" s="636"/>
      <c r="X3336" s="635"/>
      <c r="Y3336" s="636"/>
      <c r="Z3336" s="635"/>
      <c r="AA3336" s="636"/>
      <c r="AB3336" s="635"/>
      <c r="AC3336" s="636"/>
      <c r="AD3336" s="635"/>
      <c r="AE3336" s="636"/>
      <c r="AF3336" s="637"/>
      <c r="AG3336" s="698">
        <f>SUM(AF2616:AF2620)/1.18-SUM(AF3331:AF3335)*'Mark Up Validation'!$M$175</f>
        <v>0</v>
      </c>
      <c r="AH3336" s="638"/>
      <c r="AI3336" s="698">
        <f>SUM(AH2616:AH2620)/1.18-SUM(AH3331:AH3335)*'Mark Up Validation'!$M$175</f>
        <v>0</v>
      </c>
      <c r="AJ3336" s="65"/>
    </row>
    <row r="3337" spans="1:48" ht="13.5" hidden="1" customHeight="1" outlineLevel="1" thickBot="1">
      <c r="A3337" s="119"/>
      <c r="B3337" s="82"/>
      <c r="C3337" s="1228" t="s">
        <v>539</v>
      </c>
      <c r="D3337" s="1229"/>
      <c r="E3337" s="699"/>
      <c r="F3337" s="700">
        <f>SUM(F3331:F3335)</f>
        <v>0</v>
      </c>
      <c r="G3337" s="701"/>
      <c r="H3337" s="700">
        <f>SUM(H3331:H3335)</f>
        <v>0</v>
      </c>
      <c r="I3337" s="701"/>
      <c r="J3337" s="700">
        <f>SUM(J3331:J3335)</f>
        <v>0</v>
      </c>
      <c r="K3337" s="702"/>
      <c r="L3337" s="700">
        <f>SUM(L3331:L3335)</f>
        <v>0</v>
      </c>
      <c r="M3337" s="702"/>
      <c r="N3337" s="700">
        <f>SUM(N3331:N3335)</f>
        <v>0</v>
      </c>
      <c r="O3337" s="702"/>
      <c r="P3337" s="700">
        <f>SUM(P3331:P3335)</f>
        <v>0</v>
      </c>
      <c r="Q3337" s="702"/>
      <c r="R3337" s="703"/>
      <c r="S3337" s="729">
        <f>IF(S3336&gt;0,S3336/(SUM(R2616:R2620)/1.18),0)</f>
        <v>0</v>
      </c>
      <c r="T3337" s="700">
        <f>SUM(T3331:T3335)</f>
        <v>0</v>
      </c>
      <c r="U3337" s="702"/>
      <c r="V3337" s="700">
        <f>SUM(V3331:V3335)</f>
        <v>0</v>
      </c>
      <c r="W3337" s="702"/>
      <c r="X3337" s="700">
        <f>SUM(X3331:X3335)</f>
        <v>0</v>
      </c>
      <c r="Y3337" s="702"/>
      <c r="Z3337" s="700">
        <f>SUM(Z3331:Z3335)</f>
        <v>0</v>
      </c>
      <c r="AA3337" s="702"/>
      <c r="AB3337" s="700">
        <f>SUM(AB3331:AB3335)</f>
        <v>0</v>
      </c>
      <c r="AC3337" s="702"/>
      <c r="AD3337" s="700">
        <f>SUM(AD3331:AD3335)</f>
        <v>0</v>
      </c>
      <c r="AE3337" s="702"/>
      <c r="AF3337" s="705"/>
      <c r="AG3337" s="729">
        <f>IF(AG3336&gt;0,AG3336/(SUM(AF2616:AF2620)/1.18),0)</f>
        <v>0</v>
      </c>
      <c r="AH3337" s="706"/>
      <c r="AI3337" s="729">
        <f>IF(AI3336&gt;0,AI3336/(SUM(AH2616:AH2620)/1.18),0)</f>
        <v>0</v>
      </c>
      <c r="AJ3337" s="707"/>
    </row>
    <row r="3338" spans="1:48" ht="12.75" hidden="1" customHeight="1" outlineLevel="2" thickBot="1">
      <c r="B3338" s="82">
        <f>B3331+1</f>
        <v>66</v>
      </c>
      <c r="C3338" s="1233">
        <f>C468</f>
        <v>0</v>
      </c>
      <c r="D3338" s="1233">
        <f>D468</f>
        <v>0</v>
      </c>
      <c r="E3338" s="83" t="str">
        <f>'Terms and Turnovers'!$J$12</f>
        <v>FLIP-FLOPS</v>
      </c>
      <c r="F3338" s="68">
        <f>F1909/1.18-F2624*'Mark Up Validation'!$M$105</f>
        <v>0</v>
      </c>
      <c r="G3338" s="106"/>
      <c r="H3338" s="68">
        <f>H1909/1.18-H2624*'Mark Up Validation'!$M$105</f>
        <v>0</v>
      </c>
      <c r="I3338" s="106"/>
      <c r="J3338" s="68">
        <f>J1909/1.18-J2624*'Mark Up Validation'!$M$105</f>
        <v>0</v>
      </c>
      <c r="K3338" s="106"/>
      <c r="L3338" s="68">
        <f>L1909/1.18-L2624*'Mark Up Validation'!$M$105</f>
        <v>0</v>
      </c>
      <c r="M3338" s="106"/>
      <c r="N3338" s="68">
        <f>N1909/1.18-N2624*'Mark Up Validation'!$M$105</f>
        <v>0</v>
      </c>
      <c r="O3338" s="106"/>
      <c r="P3338" s="68">
        <f>P1909/1.18-P2624*'Mark Up Validation'!$M$105</f>
        <v>0</v>
      </c>
      <c r="Q3338" s="106"/>
      <c r="R3338" s="129">
        <f>SUM(F3338,H3338,J3338,L3338,N3338,P3338)</f>
        <v>0</v>
      </c>
      <c r="S3338" s="106"/>
      <c r="T3338" s="68">
        <f>T1909/1.18-T2624*'Mark Up Validation'!$S$105</f>
        <v>0</v>
      </c>
      <c r="U3338" s="106"/>
      <c r="V3338" s="68">
        <f>V1909/1.18-V2624*'Mark Up Validation'!$S$105</f>
        <v>0</v>
      </c>
      <c r="W3338" s="106"/>
      <c r="X3338" s="68">
        <f>X1909/1.18-X2624*'Mark Up Validation'!$S$105</f>
        <v>0</v>
      </c>
      <c r="Y3338" s="106"/>
      <c r="Z3338" s="68">
        <f>Z1909/1.18-Z2624*'Mark Up Validation'!$S$105</f>
        <v>0</v>
      </c>
      <c r="AA3338" s="106"/>
      <c r="AB3338" s="68">
        <f>AB1909/1.18-AB2624*'Mark Up Validation'!$S$105</f>
        <v>0</v>
      </c>
      <c r="AC3338" s="106"/>
      <c r="AD3338" s="68">
        <f>AD1909/1.18-AD2624*'Mark Up Validation'!$S$105</f>
        <v>0</v>
      </c>
      <c r="AE3338" s="106"/>
      <c r="AF3338" s="129">
        <f>SUM(T3338,V3338,X3338,Z3338,AB3338,AD3338)</f>
        <v>0</v>
      </c>
      <c r="AG3338" s="106"/>
      <c r="AH3338" s="130">
        <f>SUM(AF3338,R3338)</f>
        <v>0</v>
      </c>
      <c r="AI3338" s="106"/>
      <c r="AJ3338" s="65"/>
      <c r="AV3338" s="56"/>
    </row>
    <row r="3339" spans="1:48" ht="12.75" hidden="1" customHeight="1" outlineLevel="2" thickBot="1">
      <c r="B3339" s="82"/>
      <c r="C3339" s="1234"/>
      <c r="D3339" s="1234"/>
      <c r="E3339" s="84" t="str">
        <f>'Terms and Turnovers'!$T$12</f>
        <v>ORIGINALS</v>
      </c>
      <c r="F3339" s="68">
        <f>F1910/1.18-F2625*'Mark Up Validation'!$M$105</f>
        <v>0</v>
      </c>
      <c r="G3339" s="728"/>
      <c r="H3339" s="68">
        <f>H1910/1.18-H2625*'Mark Up Validation'!$M$105</f>
        <v>0</v>
      </c>
      <c r="I3339" s="728"/>
      <c r="J3339" s="68">
        <f>J1910/1.18-J2625*'Mark Up Validation'!$M$105</f>
        <v>0</v>
      </c>
      <c r="K3339" s="728"/>
      <c r="L3339" s="68">
        <f>L1910/1.18-L2625*'Mark Up Validation'!$M$105</f>
        <v>0</v>
      </c>
      <c r="M3339" s="728"/>
      <c r="N3339" s="68">
        <f>N1910/1.18-N2625*'Mark Up Validation'!$M$105</f>
        <v>0</v>
      </c>
      <c r="O3339" s="728"/>
      <c r="P3339" s="68">
        <f>P1910/1.18-P2625*'Mark Up Validation'!$M$105</f>
        <v>0</v>
      </c>
      <c r="Q3339" s="728"/>
      <c r="R3339" s="132">
        <f>SUM(F3339,H3339,J3339,L3339,N3339,P3339)</f>
        <v>0</v>
      </c>
      <c r="S3339" s="728"/>
      <c r="T3339" s="68">
        <f>T1910/1.18-T2625*'Mark Up Validation'!$S$105</f>
        <v>0</v>
      </c>
      <c r="U3339" s="728"/>
      <c r="V3339" s="68">
        <f>V1910/1.18-V2625*'Mark Up Validation'!$S$105</f>
        <v>0</v>
      </c>
      <c r="W3339" s="728"/>
      <c r="X3339" s="68">
        <f>X1910/1.18-X2625*'Mark Up Validation'!$S$105</f>
        <v>0</v>
      </c>
      <c r="Y3339" s="728"/>
      <c r="Z3339" s="68">
        <f>Z1910/1.18-Z2625*'Mark Up Validation'!$S$105</f>
        <v>0</v>
      </c>
      <c r="AA3339" s="728"/>
      <c r="AB3339" s="68">
        <f>AB1910/1.18-AB2625*'Mark Up Validation'!$S$105</f>
        <v>0</v>
      </c>
      <c r="AC3339" s="728"/>
      <c r="AD3339" s="68">
        <f>AD1910/1.18-AD2625*'Mark Up Validation'!$S$105</f>
        <v>0</v>
      </c>
      <c r="AE3339" s="728"/>
      <c r="AF3339" s="132">
        <f>SUM(T3339,V3339,X3339,Z3339,AB3339,AD3339)</f>
        <v>0</v>
      </c>
      <c r="AG3339" s="728"/>
      <c r="AH3339" s="133">
        <f>SUM(AF3339,R3339)</f>
        <v>0</v>
      </c>
      <c r="AI3339" s="728"/>
      <c r="AJ3339" s="65"/>
      <c r="AV3339" s="56"/>
    </row>
    <row r="3340" spans="1:48" ht="12.75" hidden="1" customHeight="1" outlineLevel="2" thickBot="1">
      <c r="B3340" s="82"/>
      <c r="C3340" s="1234"/>
      <c r="D3340" s="1234"/>
      <c r="E3340" s="84" t="str">
        <f>'Terms and Turnovers'!$AD$12</f>
        <v>ACCESSORIES</v>
      </c>
      <c r="F3340" s="68">
        <f>F1911/1.18-F2626*'Mark Up Validation'!$M$105</f>
        <v>0</v>
      </c>
      <c r="G3340" s="106"/>
      <c r="H3340" s="68">
        <f>H1911/1.18-H2626*'Mark Up Validation'!$M$105</f>
        <v>0</v>
      </c>
      <c r="I3340" s="106"/>
      <c r="J3340" s="68">
        <f>J1911/1.18-J2626*'Mark Up Validation'!$M$105</f>
        <v>0</v>
      </c>
      <c r="K3340" s="106"/>
      <c r="L3340" s="68">
        <f>L1911/1.18-L2626*'Mark Up Validation'!$M$105</f>
        <v>0</v>
      </c>
      <c r="M3340" s="106"/>
      <c r="N3340" s="68">
        <f>N1911/1.18-N2626*'Mark Up Validation'!$M$105</f>
        <v>0</v>
      </c>
      <c r="O3340" s="106"/>
      <c r="P3340" s="68">
        <f>P1911/1.18-P2626*'Mark Up Validation'!$M$105</f>
        <v>0</v>
      </c>
      <c r="Q3340" s="728"/>
      <c r="R3340" s="132">
        <f>SUM(F3340,H3340,J3340,L3340,N3340,P3340)</f>
        <v>0</v>
      </c>
      <c r="S3340" s="728"/>
      <c r="T3340" s="68">
        <f>T1911/1.18-T2626*'Mark Up Validation'!$S$105</f>
        <v>0</v>
      </c>
      <c r="U3340" s="728"/>
      <c r="V3340" s="68">
        <f>V1911/1.18-V2626*'Mark Up Validation'!$S$105</f>
        <v>0</v>
      </c>
      <c r="W3340" s="728"/>
      <c r="X3340" s="68">
        <f>X1911/1.18-X2626*'Mark Up Validation'!$S$105</f>
        <v>0</v>
      </c>
      <c r="Y3340" s="728"/>
      <c r="Z3340" s="68">
        <f>Z1911/1.18-Z2626*'Mark Up Validation'!$S$105</f>
        <v>0</v>
      </c>
      <c r="AA3340" s="728"/>
      <c r="AB3340" s="68">
        <f>AB1911/1.18-AB2626*'Mark Up Validation'!$S$105</f>
        <v>0</v>
      </c>
      <c r="AC3340" s="728"/>
      <c r="AD3340" s="68">
        <f>AD1911/1.18-AD2626*'Mark Up Validation'!$S$105</f>
        <v>0</v>
      </c>
      <c r="AE3340" s="728"/>
      <c r="AF3340" s="132">
        <f>SUM(T3340,V3340,X3340,Z3340,AB3340,AD3340)</f>
        <v>0</v>
      </c>
      <c r="AG3340" s="728"/>
      <c r="AH3340" s="133">
        <f>SUM(AF3340,R3340)</f>
        <v>0</v>
      </c>
      <c r="AI3340" s="728"/>
      <c r="AJ3340" s="65"/>
      <c r="AV3340" s="56"/>
    </row>
    <row r="3341" spans="1:48" ht="12.75" hidden="1" customHeight="1" outlineLevel="2" thickBot="1">
      <c r="B3341" s="82"/>
      <c r="C3341" s="1234"/>
      <c r="D3341" s="1234"/>
      <c r="E3341" s="84">
        <f>'Terms and Turnovers'!$AN$12</f>
        <v>0</v>
      </c>
      <c r="F3341" s="68">
        <f>F1912/1.18-F2627*'Mark Up Validation'!$M$105</f>
        <v>0</v>
      </c>
      <c r="G3341" s="728"/>
      <c r="H3341" s="68">
        <f>H1912/1.18-H2627*'Mark Up Validation'!$M$105</f>
        <v>0</v>
      </c>
      <c r="I3341" s="728"/>
      <c r="J3341" s="68">
        <f>J1912/1.18-J2627*'Mark Up Validation'!$M$105</f>
        <v>0</v>
      </c>
      <c r="K3341" s="728"/>
      <c r="L3341" s="68">
        <f>L1912/1.18-L2627*'Mark Up Validation'!$M$105</f>
        <v>0</v>
      </c>
      <c r="M3341" s="728"/>
      <c r="N3341" s="68">
        <f>N1912/1.18-N2627*'Mark Up Validation'!$M$105</f>
        <v>0</v>
      </c>
      <c r="O3341" s="728"/>
      <c r="P3341" s="68">
        <f>P1912/1.18-P2627*'Mark Up Validation'!$M$105</f>
        <v>0</v>
      </c>
      <c r="Q3341" s="728"/>
      <c r="R3341" s="132">
        <f>SUM(F3341,H3341,J3341,L3341,N3341,P3341)</f>
        <v>0</v>
      </c>
      <c r="S3341" s="728"/>
      <c r="T3341" s="68">
        <f>T1912/1.18-T2627*'Mark Up Validation'!$S$105</f>
        <v>0</v>
      </c>
      <c r="U3341" s="728"/>
      <c r="V3341" s="68">
        <f>V1912/1.18-V2627*'Mark Up Validation'!$S$105</f>
        <v>0</v>
      </c>
      <c r="W3341" s="728"/>
      <c r="X3341" s="68">
        <f>X1912/1.18-X2627*'Mark Up Validation'!$S$105</f>
        <v>0</v>
      </c>
      <c r="Y3341" s="728"/>
      <c r="Z3341" s="68">
        <f>Z1912/1.18-Z2627*'Mark Up Validation'!$S$105</f>
        <v>0</v>
      </c>
      <c r="AA3341" s="728"/>
      <c r="AB3341" s="68">
        <f>AB1912/1.18-AB2627*'Mark Up Validation'!$S$105</f>
        <v>0</v>
      </c>
      <c r="AC3341" s="728"/>
      <c r="AD3341" s="68">
        <f>AD1912/1.18-AD2627*'Mark Up Validation'!$S$105</f>
        <v>0</v>
      </c>
      <c r="AE3341" s="728"/>
      <c r="AF3341" s="132">
        <f>SUM(T3341,V3341,X3341,Z3341,AB3341,AD3341)</f>
        <v>0</v>
      </c>
      <c r="AG3341" s="728"/>
      <c r="AH3341" s="133">
        <f>SUM(AF3341,R3341)</f>
        <v>0</v>
      </c>
      <c r="AI3341" s="728"/>
      <c r="AJ3341" s="65"/>
      <c r="AV3341" s="56"/>
    </row>
    <row r="3342" spans="1:48" ht="13.5" hidden="1" customHeight="1" outlineLevel="2" thickBot="1">
      <c r="B3342" s="82"/>
      <c r="C3342" s="1235"/>
      <c r="D3342" s="1235"/>
      <c r="E3342" s="85">
        <f>'Terms and Turnovers'!$AX$12</f>
        <v>0</v>
      </c>
      <c r="F3342" s="68">
        <f>F1913/1.18-F2628*'Mark Up Validation'!$M$105</f>
        <v>0</v>
      </c>
      <c r="G3342" s="106"/>
      <c r="H3342" s="68">
        <f>H1913/1.18-H2628*'Mark Up Validation'!$M$105</f>
        <v>0</v>
      </c>
      <c r="I3342" s="106"/>
      <c r="J3342" s="68">
        <f>J1913/1.18-J2628*'Mark Up Validation'!$M$105</f>
        <v>0</v>
      </c>
      <c r="K3342" s="106"/>
      <c r="L3342" s="68">
        <f>L1913/1.18-L2628*'Mark Up Validation'!$M$105</f>
        <v>0</v>
      </c>
      <c r="M3342" s="106"/>
      <c r="N3342" s="68">
        <f>N1913/1.18-N2628*'Mark Up Validation'!$M$105</f>
        <v>0</v>
      </c>
      <c r="O3342" s="106"/>
      <c r="P3342" s="68">
        <f>P1913/1.18-P2628*'Mark Up Validation'!$M$105</f>
        <v>0</v>
      </c>
      <c r="Q3342" s="107"/>
      <c r="R3342" s="135">
        <f>SUM(F3342,H3342,J3342,L3342,N3342,P3342)</f>
        <v>0</v>
      </c>
      <c r="S3342" s="107"/>
      <c r="T3342" s="68">
        <f>T1913/1.18-T2628*'Mark Up Validation'!$S$105</f>
        <v>0</v>
      </c>
      <c r="U3342" s="107"/>
      <c r="V3342" s="68">
        <f>V1913/1.18-V2628*'Mark Up Validation'!$S$105</f>
        <v>0</v>
      </c>
      <c r="W3342" s="107"/>
      <c r="X3342" s="68">
        <f>X1913/1.18-X2628*'Mark Up Validation'!$S$105</f>
        <v>0</v>
      </c>
      <c r="Y3342" s="107"/>
      <c r="Z3342" s="68">
        <f>Z1913/1.18-Z2628*'Mark Up Validation'!$S$105</f>
        <v>0</v>
      </c>
      <c r="AA3342" s="107"/>
      <c r="AB3342" s="68">
        <f>AB1913/1.18-AB2628*'Mark Up Validation'!$S$105</f>
        <v>0</v>
      </c>
      <c r="AC3342" s="107"/>
      <c r="AD3342" s="68">
        <f>AD1913/1.18-AD2628*'Mark Up Validation'!$S$105</f>
        <v>0</v>
      </c>
      <c r="AE3342" s="107"/>
      <c r="AF3342" s="135">
        <f>SUM(T3342,V3342,X3342,Z3342,AB3342,AD3342)</f>
        <v>0</v>
      </c>
      <c r="AG3342" s="107"/>
      <c r="AH3342" s="136">
        <f>SUM(AF3342,R3342)</f>
        <v>0</v>
      </c>
      <c r="AI3342" s="107"/>
      <c r="AJ3342" s="65"/>
      <c r="AV3342" s="56"/>
    </row>
    <row r="3343" spans="1:48" ht="13.5" hidden="1" customHeight="1" outlineLevel="2">
      <c r="B3343" s="82"/>
      <c r="C3343" s="425"/>
      <c r="D3343" s="425"/>
      <c r="E3343" s="634"/>
      <c r="F3343" s="635"/>
      <c r="G3343" s="428"/>
      <c r="H3343" s="635"/>
      <c r="I3343" s="428"/>
      <c r="J3343" s="635"/>
      <c r="K3343" s="636"/>
      <c r="L3343" s="635"/>
      <c r="M3343" s="636"/>
      <c r="N3343" s="635"/>
      <c r="O3343" s="636"/>
      <c r="P3343" s="635"/>
      <c r="Q3343" s="636"/>
      <c r="R3343" s="637"/>
      <c r="S3343" s="698">
        <f>SUM(R2623:R2627)/1.18-(SUM(R3338:R3342)*'Mark Up Validation'!$M$105)</f>
        <v>0</v>
      </c>
      <c r="T3343" s="635"/>
      <c r="U3343" s="636"/>
      <c r="V3343" s="635"/>
      <c r="W3343" s="636"/>
      <c r="X3343" s="635"/>
      <c r="Y3343" s="636"/>
      <c r="Z3343" s="635"/>
      <c r="AA3343" s="636"/>
      <c r="AB3343" s="635"/>
      <c r="AC3343" s="636"/>
      <c r="AD3343" s="635"/>
      <c r="AE3343" s="636"/>
      <c r="AF3343" s="637"/>
      <c r="AG3343" s="698">
        <f>SUM(AF2623:AF2627)/1.18-SUM(AF3338:AF3342)*'Mark Up Validation'!$M$175</f>
        <v>0</v>
      </c>
      <c r="AH3343" s="638"/>
      <c r="AI3343" s="698">
        <f>SUM(AH2623:AH2627)/1.18-SUM(AH3338:AH3342)*'Mark Up Validation'!$M$175</f>
        <v>0</v>
      </c>
      <c r="AJ3343" s="65"/>
      <c r="AV3343" s="56"/>
    </row>
    <row r="3344" spans="1:48" ht="13.5" hidden="1" customHeight="1" outlineLevel="2" thickBot="1">
      <c r="A3344" s="119"/>
      <c r="B3344" s="82"/>
      <c r="C3344" s="1228" t="s">
        <v>539</v>
      </c>
      <c r="D3344" s="1229"/>
      <c r="E3344" s="699"/>
      <c r="F3344" s="700">
        <f>SUM(F3338:F3342)</f>
        <v>0</v>
      </c>
      <c r="G3344" s="701"/>
      <c r="H3344" s="700">
        <f>SUM(H3338:H3342)</f>
        <v>0</v>
      </c>
      <c r="I3344" s="701"/>
      <c r="J3344" s="700">
        <f>SUM(J3338:J3342)</f>
        <v>0</v>
      </c>
      <c r="K3344" s="702"/>
      <c r="L3344" s="700">
        <f>SUM(L3338:L3342)</f>
        <v>0</v>
      </c>
      <c r="M3344" s="702"/>
      <c r="N3344" s="700">
        <f>SUM(N3338:N3342)</f>
        <v>0</v>
      </c>
      <c r="O3344" s="702"/>
      <c r="P3344" s="700">
        <f>SUM(P3338:P3342)</f>
        <v>0</v>
      </c>
      <c r="Q3344" s="702"/>
      <c r="R3344" s="703"/>
      <c r="S3344" s="729">
        <f>IF(S3343&gt;0,S3343/(SUM(R2623:R2627)/1.18),0)</f>
        <v>0</v>
      </c>
      <c r="T3344" s="700">
        <f>SUM(T3338:T3342)</f>
        <v>0</v>
      </c>
      <c r="U3344" s="702"/>
      <c r="V3344" s="700">
        <f>SUM(V3338:V3342)</f>
        <v>0</v>
      </c>
      <c r="W3344" s="702"/>
      <c r="X3344" s="700">
        <f>SUM(X3338:X3342)</f>
        <v>0</v>
      </c>
      <c r="Y3344" s="702"/>
      <c r="Z3344" s="700">
        <f>SUM(Z3338:Z3342)</f>
        <v>0</v>
      </c>
      <c r="AA3344" s="702"/>
      <c r="AB3344" s="700">
        <f>SUM(AB3338:AB3342)</f>
        <v>0</v>
      </c>
      <c r="AC3344" s="702"/>
      <c r="AD3344" s="700">
        <f>SUM(AD3338:AD3342)</f>
        <v>0</v>
      </c>
      <c r="AE3344" s="702"/>
      <c r="AF3344" s="705"/>
      <c r="AG3344" s="729">
        <f>IF(AG3343&gt;0,AG3343/(SUM(AF2623:AF2627)/1.18),0)</f>
        <v>0</v>
      </c>
      <c r="AH3344" s="706"/>
      <c r="AI3344" s="729">
        <f>IF(AI3343&gt;0,AI3343/(SUM(AH2623:AH2627)/1.18),0)</f>
        <v>0</v>
      </c>
      <c r="AJ3344" s="707"/>
      <c r="AV3344" s="56"/>
    </row>
    <row r="3345" spans="1:48" ht="12.75" hidden="1" customHeight="1" outlineLevel="2" thickBot="1">
      <c r="B3345" s="82">
        <f>B3338+1</f>
        <v>67</v>
      </c>
      <c r="C3345" s="1233">
        <f>C475</f>
        <v>0</v>
      </c>
      <c r="D3345" s="1233">
        <f>D475</f>
        <v>0</v>
      </c>
      <c r="E3345" s="83" t="str">
        <f>'Terms and Turnovers'!$J$12</f>
        <v>FLIP-FLOPS</v>
      </c>
      <c r="F3345" s="68">
        <f>F1916/1.18-F2631*'Mark Up Validation'!$M$105</f>
        <v>0</v>
      </c>
      <c r="G3345" s="106"/>
      <c r="H3345" s="68">
        <f>H1916/1.18-H2631*'Mark Up Validation'!$M$105</f>
        <v>0</v>
      </c>
      <c r="I3345" s="106"/>
      <c r="J3345" s="68">
        <f>J1916/1.18-J2631*'Mark Up Validation'!$M$105</f>
        <v>0</v>
      </c>
      <c r="K3345" s="106"/>
      <c r="L3345" s="68">
        <f>L1916/1.18-L2631*'Mark Up Validation'!$M$105</f>
        <v>0</v>
      </c>
      <c r="M3345" s="106"/>
      <c r="N3345" s="68">
        <f>N1916/1.18-N2631*'Mark Up Validation'!$M$105</f>
        <v>0</v>
      </c>
      <c r="O3345" s="106"/>
      <c r="P3345" s="68">
        <f>P1916/1.18-P2631*'Mark Up Validation'!$M$105</f>
        <v>0</v>
      </c>
      <c r="Q3345" s="106"/>
      <c r="R3345" s="129">
        <f>SUM(F3345,H3345,J3345,L3345,N3345,P3345)</f>
        <v>0</v>
      </c>
      <c r="S3345" s="106"/>
      <c r="T3345" s="68">
        <f>T1916/1.18-T2631*'Mark Up Validation'!$S$105</f>
        <v>0</v>
      </c>
      <c r="U3345" s="106"/>
      <c r="V3345" s="68">
        <f>V1916/1.18-V2631*'Mark Up Validation'!$S$105</f>
        <v>0</v>
      </c>
      <c r="W3345" s="106"/>
      <c r="X3345" s="68">
        <f>X1916/1.18-X2631*'Mark Up Validation'!$S$105</f>
        <v>0</v>
      </c>
      <c r="Y3345" s="106"/>
      <c r="Z3345" s="68">
        <f>Z1916/1.18-Z2631*'Mark Up Validation'!$S$105</f>
        <v>0</v>
      </c>
      <c r="AA3345" s="106"/>
      <c r="AB3345" s="68">
        <f>AB1916/1.18-AB2631*'Mark Up Validation'!$S$105</f>
        <v>0</v>
      </c>
      <c r="AC3345" s="106"/>
      <c r="AD3345" s="68">
        <f>AD1916/1.18-AD2631*'Mark Up Validation'!$S$105</f>
        <v>0</v>
      </c>
      <c r="AE3345" s="106"/>
      <c r="AF3345" s="129">
        <f>SUM(T3345,V3345,X3345,Z3345,AB3345,AD3345)</f>
        <v>0</v>
      </c>
      <c r="AG3345" s="106"/>
      <c r="AH3345" s="130">
        <f>SUM(AF3345,R3345)</f>
        <v>0</v>
      </c>
      <c r="AI3345" s="106"/>
      <c r="AJ3345" s="65"/>
      <c r="AV3345" s="56"/>
    </row>
    <row r="3346" spans="1:48" ht="12.75" hidden="1" customHeight="1" outlineLevel="2" thickBot="1">
      <c r="B3346" s="82"/>
      <c r="C3346" s="1234"/>
      <c r="D3346" s="1234"/>
      <c r="E3346" s="84" t="str">
        <f>'Terms and Turnovers'!$T$12</f>
        <v>ORIGINALS</v>
      </c>
      <c r="F3346" s="68">
        <f>F1917/1.18-F2632*'Mark Up Validation'!$M$105</f>
        <v>0</v>
      </c>
      <c r="G3346" s="728"/>
      <c r="H3346" s="68">
        <f>H1917/1.18-H2632*'Mark Up Validation'!$M$105</f>
        <v>0</v>
      </c>
      <c r="I3346" s="728"/>
      <c r="J3346" s="68">
        <f>J1917/1.18-J2632*'Mark Up Validation'!$M$105</f>
        <v>0</v>
      </c>
      <c r="K3346" s="728"/>
      <c r="L3346" s="68">
        <f>L1917/1.18-L2632*'Mark Up Validation'!$M$105</f>
        <v>0</v>
      </c>
      <c r="M3346" s="728"/>
      <c r="N3346" s="68">
        <f>N1917/1.18-N2632*'Mark Up Validation'!$M$105</f>
        <v>0</v>
      </c>
      <c r="O3346" s="728"/>
      <c r="P3346" s="68">
        <f>P1917/1.18-P2632*'Mark Up Validation'!$M$105</f>
        <v>0</v>
      </c>
      <c r="Q3346" s="728"/>
      <c r="R3346" s="132">
        <f>SUM(F3346,H3346,J3346,L3346,N3346,P3346)</f>
        <v>0</v>
      </c>
      <c r="S3346" s="728"/>
      <c r="T3346" s="68">
        <f>T1917/1.18-T2632*'Mark Up Validation'!$S$105</f>
        <v>0</v>
      </c>
      <c r="U3346" s="728"/>
      <c r="V3346" s="68">
        <f>V1917/1.18-V2632*'Mark Up Validation'!$S$105</f>
        <v>0</v>
      </c>
      <c r="W3346" s="728"/>
      <c r="X3346" s="68">
        <f>X1917/1.18-X2632*'Mark Up Validation'!$S$105</f>
        <v>0</v>
      </c>
      <c r="Y3346" s="728"/>
      <c r="Z3346" s="68">
        <f>Z1917/1.18-Z2632*'Mark Up Validation'!$S$105</f>
        <v>0</v>
      </c>
      <c r="AA3346" s="728"/>
      <c r="AB3346" s="68">
        <f>AB1917/1.18-AB2632*'Mark Up Validation'!$S$105</f>
        <v>0</v>
      </c>
      <c r="AC3346" s="728"/>
      <c r="AD3346" s="68">
        <f>AD1917/1.18-AD2632*'Mark Up Validation'!$S$105</f>
        <v>0</v>
      </c>
      <c r="AE3346" s="728"/>
      <c r="AF3346" s="132">
        <f>SUM(T3346,V3346,X3346,Z3346,AB3346,AD3346)</f>
        <v>0</v>
      </c>
      <c r="AG3346" s="728"/>
      <c r="AH3346" s="133">
        <f>SUM(AF3346,R3346)</f>
        <v>0</v>
      </c>
      <c r="AI3346" s="728"/>
      <c r="AJ3346" s="65"/>
      <c r="AV3346" s="56"/>
    </row>
    <row r="3347" spans="1:48" ht="12.75" hidden="1" customHeight="1" outlineLevel="2" thickBot="1">
      <c r="B3347" s="82"/>
      <c r="C3347" s="1234"/>
      <c r="D3347" s="1234"/>
      <c r="E3347" s="84" t="str">
        <f>'Terms and Turnovers'!$AD$12</f>
        <v>ACCESSORIES</v>
      </c>
      <c r="F3347" s="68">
        <f>F1918/1.18-F2633*'Mark Up Validation'!$M$105</f>
        <v>0</v>
      </c>
      <c r="G3347" s="106"/>
      <c r="H3347" s="68">
        <f>H1918/1.18-H2633*'Mark Up Validation'!$M$105</f>
        <v>0</v>
      </c>
      <c r="I3347" s="106"/>
      <c r="J3347" s="68">
        <f>J1918/1.18-J2633*'Mark Up Validation'!$M$105</f>
        <v>0</v>
      </c>
      <c r="K3347" s="106"/>
      <c r="L3347" s="68">
        <f>L1918/1.18-L2633*'Mark Up Validation'!$M$105</f>
        <v>0</v>
      </c>
      <c r="M3347" s="106"/>
      <c r="N3347" s="68">
        <f>N1918/1.18-N2633*'Mark Up Validation'!$M$105</f>
        <v>0</v>
      </c>
      <c r="O3347" s="106"/>
      <c r="P3347" s="68">
        <f>P1918/1.18-P2633*'Mark Up Validation'!$M$105</f>
        <v>0</v>
      </c>
      <c r="Q3347" s="728"/>
      <c r="R3347" s="132">
        <f>SUM(F3347,H3347,J3347,L3347,N3347,P3347)</f>
        <v>0</v>
      </c>
      <c r="S3347" s="728"/>
      <c r="T3347" s="68">
        <f>T1918/1.18-T2633*'Mark Up Validation'!$S$105</f>
        <v>0</v>
      </c>
      <c r="U3347" s="728"/>
      <c r="V3347" s="68">
        <f>V1918/1.18-V2633*'Mark Up Validation'!$S$105</f>
        <v>0</v>
      </c>
      <c r="W3347" s="728"/>
      <c r="X3347" s="68">
        <f>X1918/1.18-X2633*'Mark Up Validation'!$S$105</f>
        <v>0</v>
      </c>
      <c r="Y3347" s="728"/>
      <c r="Z3347" s="68">
        <f>Z1918/1.18-Z2633*'Mark Up Validation'!$S$105</f>
        <v>0</v>
      </c>
      <c r="AA3347" s="728"/>
      <c r="AB3347" s="68">
        <f>AB1918/1.18-AB2633*'Mark Up Validation'!$S$105</f>
        <v>0</v>
      </c>
      <c r="AC3347" s="728"/>
      <c r="AD3347" s="68">
        <f>AD1918/1.18-AD2633*'Mark Up Validation'!$S$105</f>
        <v>0</v>
      </c>
      <c r="AE3347" s="728"/>
      <c r="AF3347" s="132">
        <f>SUM(T3347,V3347,X3347,Z3347,AB3347,AD3347)</f>
        <v>0</v>
      </c>
      <c r="AG3347" s="728"/>
      <c r="AH3347" s="133">
        <f>SUM(AF3347,R3347)</f>
        <v>0</v>
      </c>
      <c r="AI3347" s="728"/>
      <c r="AJ3347" s="65"/>
      <c r="AV3347" s="56"/>
    </row>
    <row r="3348" spans="1:48" ht="12.75" hidden="1" customHeight="1" outlineLevel="2" thickBot="1">
      <c r="B3348" s="82"/>
      <c r="C3348" s="1234"/>
      <c r="D3348" s="1234"/>
      <c r="E3348" s="84">
        <f>'Terms and Turnovers'!$AN$12</f>
        <v>0</v>
      </c>
      <c r="F3348" s="68">
        <f>F1919/1.18-F2634*'Mark Up Validation'!$M$105</f>
        <v>0</v>
      </c>
      <c r="G3348" s="728"/>
      <c r="H3348" s="68">
        <f>H1919/1.18-H2634*'Mark Up Validation'!$M$105</f>
        <v>0</v>
      </c>
      <c r="I3348" s="728"/>
      <c r="J3348" s="68">
        <f>J1919/1.18-J2634*'Mark Up Validation'!$M$105</f>
        <v>0</v>
      </c>
      <c r="K3348" s="728"/>
      <c r="L3348" s="68">
        <f>L1919/1.18-L2634*'Mark Up Validation'!$M$105</f>
        <v>0</v>
      </c>
      <c r="M3348" s="728"/>
      <c r="N3348" s="68">
        <f>N1919/1.18-N2634*'Mark Up Validation'!$M$105</f>
        <v>0</v>
      </c>
      <c r="O3348" s="728"/>
      <c r="P3348" s="68">
        <f>P1919/1.18-P2634*'Mark Up Validation'!$M$105</f>
        <v>0</v>
      </c>
      <c r="Q3348" s="728"/>
      <c r="R3348" s="132">
        <f>SUM(F3348,H3348,J3348,L3348,N3348,P3348)</f>
        <v>0</v>
      </c>
      <c r="S3348" s="728"/>
      <c r="T3348" s="68">
        <f>T1919/1.18-T2634*'Mark Up Validation'!$S$105</f>
        <v>0</v>
      </c>
      <c r="U3348" s="728"/>
      <c r="V3348" s="68">
        <f>V1919/1.18-V2634*'Mark Up Validation'!$S$105</f>
        <v>0</v>
      </c>
      <c r="W3348" s="728"/>
      <c r="X3348" s="68">
        <f>X1919/1.18-X2634*'Mark Up Validation'!$S$105</f>
        <v>0</v>
      </c>
      <c r="Y3348" s="728"/>
      <c r="Z3348" s="68">
        <f>Z1919/1.18-Z2634*'Mark Up Validation'!$S$105</f>
        <v>0</v>
      </c>
      <c r="AA3348" s="728"/>
      <c r="AB3348" s="68">
        <f>AB1919/1.18-AB2634*'Mark Up Validation'!$S$105</f>
        <v>0</v>
      </c>
      <c r="AC3348" s="728"/>
      <c r="AD3348" s="68">
        <f>AD1919/1.18-AD2634*'Mark Up Validation'!$S$105</f>
        <v>0</v>
      </c>
      <c r="AE3348" s="728"/>
      <c r="AF3348" s="132">
        <f>SUM(T3348,V3348,X3348,Z3348,AB3348,AD3348)</f>
        <v>0</v>
      </c>
      <c r="AG3348" s="728"/>
      <c r="AH3348" s="133">
        <f>SUM(AF3348,R3348)</f>
        <v>0</v>
      </c>
      <c r="AI3348" s="728"/>
      <c r="AJ3348" s="65"/>
      <c r="AV3348" s="56"/>
    </row>
    <row r="3349" spans="1:48" ht="13.5" hidden="1" customHeight="1" outlineLevel="2" thickBot="1">
      <c r="B3349" s="82"/>
      <c r="C3349" s="1235"/>
      <c r="D3349" s="1235"/>
      <c r="E3349" s="85">
        <f>'Terms and Turnovers'!$AX$12</f>
        <v>0</v>
      </c>
      <c r="F3349" s="68">
        <f>F1920/1.18-F2635*'Mark Up Validation'!$M$105</f>
        <v>0</v>
      </c>
      <c r="G3349" s="106"/>
      <c r="H3349" s="68">
        <f>H1920/1.18-H2635*'Mark Up Validation'!$M$105</f>
        <v>0</v>
      </c>
      <c r="I3349" s="106"/>
      <c r="J3349" s="68">
        <f>J1920/1.18-J2635*'Mark Up Validation'!$M$105</f>
        <v>0</v>
      </c>
      <c r="K3349" s="106"/>
      <c r="L3349" s="68">
        <f>L1920/1.18-L2635*'Mark Up Validation'!$M$105</f>
        <v>0</v>
      </c>
      <c r="M3349" s="106"/>
      <c r="N3349" s="68">
        <f>N1920/1.18-N2635*'Mark Up Validation'!$M$105</f>
        <v>0</v>
      </c>
      <c r="O3349" s="106"/>
      <c r="P3349" s="68">
        <f>P1920/1.18-P2635*'Mark Up Validation'!$M$105</f>
        <v>0</v>
      </c>
      <c r="Q3349" s="107"/>
      <c r="R3349" s="135">
        <f>SUM(F3349,H3349,J3349,L3349,N3349,P3349)</f>
        <v>0</v>
      </c>
      <c r="S3349" s="107"/>
      <c r="T3349" s="68">
        <f>T1920/1.18-T2635*'Mark Up Validation'!$S$105</f>
        <v>0</v>
      </c>
      <c r="U3349" s="107"/>
      <c r="V3349" s="68">
        <f>V1920/1.18-V2635*'Mark Up Validation'!$S$105</f>
        <v>0</v>
      </c>
      <c r="W3349" s="107"/>
      <c r="X3349" s="68">
        <f>X1920/1.18-X2635*'Mark Up Validation'!$S$105</f>
        <v>0</v>
      </c>
      <c r="Y3349" s="107"/>
      <c r="Z3349" s="68">
        <f>Z1920/1.18-Z2635*'Mark Up Validation'!$S$105</f>
        <v>0</v>
      </c>
      <c r="AA3349" s="107"/>
      <c r="AB3349" s="68">
        <f>AB1920/1.18-AB2635*'Mark Up Validation'!$S$105</f>
        <v>0</v>
      </c>
      <c r="AC3349" s="107"/>
      <c r="AD3349" s="68">
        <f>AD1920/1.18-AD2635*'Mark Up Validation'!$S$105</f>
        <v>0</v>
      </c>
      <c r="AE3349" s="107"/>
      <c r="AF3349" s="135">
        <f>SUM(T3349,V3349,X3349,Z3349,AB3349,AD3349)</f>
        <v>0</v>
      </c>
      <c r="AG3349" s="107"/>
      <c r="AH3349" s="136">
        <f>SUM(AF3349,R3349)</f>
        <v>0</v>
      </c>
      <c r="AI3349" s="107"/>
      <c r="AJ3349" s="65"/>
      <c r="AV3349" s="56"/>
    </row>
    <row r="3350" spans="1:48" ht="13.5" hidden="1" customHeight="1" outlineLevel="2">
      <c r="B3350" s="82"/>
      <c r="C3350" s="425"/>
      <c r="D3350" s="425"/>
      <c r="E3350" s="634"/>
      <c r="F3350" s="635"/>
      <c r="G3350" s="428"/>
      <c r="H3350" s="635"/>
      <c r="I3350" s="428"/>
      <c r="J3350" s="635"/>
      <c r="K3350" s="636"/>
      <c r="L3350" s="635"/>
      <c r="M3350" s="636"/>
      <c r="N3350" s="635"/>
      <c r="O3350" s="636"/>
      <c r="P3350" s="635"/>
      <c r="Q3350" s="636"/>
      <c r="R3350" s="637"/>
      <c r="S3350" s="698">
        <f>SUM(R2630:R2634)/1.18-(SUM(R3345:R3349)*'Mark Up Validation'!$M$105)</f>
        <v>0</v>
      </c>
      <c r="T3350" s="635"/>
      <c r="U3350" s="636"/>
      <c r="V3350" s="635"/>
      <c r="W3350" s="636"/>
      <c r="X3350" s="635"/>
      <c r="Y3350" s="636"/>
      <c r="Z3350" s="635"/>
      <c r="AA3350" s="636"/>
      <c r="AB3350" s="635"/>
      <c r="AC3350" s="636"/>
      <c r="AD3350" s="635"/>
      <c r="AE3350" s="636"/>
      <c r="AF3350" s="637"/>
      <c r="AG3350" s="698">
        <f>SUM(AF2630:AF2634)/1.18-SUM(AF3345:AF3349)*'Mark Up Validation'!$M$175</f>
        <v>0</v>
      </c>
      <c r="AH3350" s="638"/>
      <c r="AI3350" s="698">
        <f>SUM(AH2630:AH2634)/1.18-SUM(AH3345:AH3349)*'Mark Up Validation'!$M$175</f>
        <v>0</v>
      </c>
      <c r="AJ3350" s="65"/>
      <c r="AV3350" s="56"/>
    </row>
    <row r="3351" spans="1:48" ht="13.5" hidden="1" customHeight="1" outlineLevel="2" thickBot="1">
      <c r="A3351" s="119"/>
      <c r="B3351" s="82"/>
      <c r="C3351" s="1228" t="s">
        <v>539</v>
      </c>
      <c r="D3351" s="1229"/>
      <c r="E3351" s="699"/>
      <c r="F3351" s="700">
        <f>SUM(F3345:F3349)</f>
        <v>0</v>
      </c>
      <c r="G3351" s="701"/>
      <c r="H3351" s="700">
        <f>SUM(H3345:H3349)</f>
        <v>0</v>
      </c>
      <c r="I3351" s="701"/>
      <c r="J3351" s="700">
        <f>SUM(J3345:J3349)</f>
        <v>0</v>
      </c>
      <c r="K3351" s="702"/>
      <c r="L3351" s="700">
        <f>SUM(L3345:L3349)</f>
        <v>0</v>
      </c>
      <c r="M3351" s="702"/>
      <c r="N3351" s="700">
        <f>SUM(N3345:N3349)</f>
        <v>0</v>
      </c>
      <c r="O3351" s="702"/>
      <c r="P3351" s="700">
        <f>SUM(P3345:P3349)</f>
        <v>0</v>
      </c>
      <c r="Q3351" s="702"/>
      <c r="R3351" s="703"/>
      <c r="S3351" s="729">
        <f>IF(S3350&gt;0,S3350/(SUM(R2630:R2634)/1.18),0)</f>
        <v>0</v>
      </c>
      <c r="T3351" s="700">
        <f>SUM(T3345:T3349)</f>
        <v>0</v>
      </c>
      <c r="U3351" s="702"/>
      <c r="V3351" s="700">
        <f>SUM(V3345:V3349)</f>
        <v>0</v>
      </c>
      <c r="W3351" s="702"/>
      <c r="X3351" s="700">
        <f>SUM(X3345:X3349)</f>
        <v>0</v>
      </c>
      <c r="Y3351" s="702"/>
      <c r="Z3351" s="700">
        <f>SUM(Z3345:Z3349)</f>
        <v>0</v>
      </c>
      <c r="AA3351" s="702"/>
      <c r="AB3351" s="700">
        <f>SUM(AB3345:AB3349)</f>
        <v>0</v>
      </c>
      <c r="AC3351" s="702"/>
      <c r="AD3351" s="700">
        <f>SUM(AD3345:AD3349)</f>
        <v>0</v>
      </c>
      <c r="AE3351" s="702"/>
      <c r="AF3351" s="705"/>
      <c r="AG3351" s="729">
        <f>IF(AG3350&gt;0,AG3350/(SUM(AF2630:AF2634)/1.18),0)</f>
        <v>0</v>
      </c>
      <c r="AH3351" s="706"/>
      <c r="AI3351" s="729">
        <f>IF(AI3350&gt;0,AI3350/(SUM(AH2630:AH2634)/1.18),0)</f>
        <v>0</v>
      </c>
      <c r="AJ3351" s="707"/>
      <c r="AV3351" s="56"/>
    </row>
    <row r="3352" spans="1:48" ht="12.75" hidden="1" customHeight="1" outlineLevel="2" thickBot="1">
      <c r="B3352" s="82">
        <f>B3345+1</f>
        <v>68</v>
      </c>
      <c r="C3352" s="1233">
        <f>C482</f>
        <v>0</v>
      </c>
      <c r="D3352" s="1233">
        <f>D482</f>
        <v>0</v>
      </c>
      <c r="E3352" s="83" t="str">
        <f>'Terms and Turnovers'!$J$12</f>
        <v>FLIP-FLOPS</v>
      </c>
      <c r="F3352" s="68">
        <f>F1923/1.18-F2638*'Mark Up Validation'!$M$105</f>
        <v>0</v>
      </c>
      <c r="G3352" s="106"/>
      <c r="H3352" s="68">
        <f>H1923/1.18-H2638*'Mark Up Validation'!$M$105</f>
        <v>0</v>
      </c>
      <c r="I3352" s="106"/>
      <c r="J3352" s="68">
        <f>J1923/1.18-J2638*'Mark Up Validation'!$M$105</f>
        <v>0</v>
      </c>
      <c r="K3352" s="106"/>
      <c r="L3352" s="68">
        <f>L1923/1.18-L2638*'Mark Up Validation'!$M$105</f>
        <v>0</v>
      </c>
      <c r="M3352" s="106"/>
      <c r="N3352" s="68">
        <f>N1923/1.18-N2638*'Mark Up Validation'!$M$105</f>
        <v>0</v>
      </c>
      <c r="O3352" s="106"/>
      <c r="P3352" s="68">
        <f>P1923/1.18-P2638*'Mark Up Validation'!$M$105</f>
        <v>0</v>
      </c>
      <c r="Q3352" s="106"/>
      <c r="R3352" s="129">
        <f>SUM(F3352,H3352,J3352,L3352,N3352,P3352)</f>
        <v>0</v>
      </c>
      <c r="S3352" s="106"/>
      <c r="T3352" s="68">
        <f>T1923/1.18-T2638*'Mark Up Validation'!$S$105</f>
        <v>0</v>
      </c>
      <c r="U3352" s="106"/>
      <c r="V3352" s="68">
        <f>V1923/1.18-V2638*'Mark Up Validation'!$S$105</f>
        <v>0</v>
      </c>
      <c r="W3352" s="106"/>
      <c r="X3352" s="68">
        <f>X1923/1.18-X2638*'Mark Up Validation'!$S$105</f>
        <v>0</v>
      </c>
      <c r="Y3352" s="106"/>
      <c r="Z3352" s="68">
        <f>Z1923/1.18-Z2638*'Mark Up Validation'!$S$105</f>
        <v>0</v>
      </c>
      <c r="AA3352" s="106"/>
      <c r="AB3352" s="68">
        <f>AB1923/1.18-AB2638*'Mark Up Validation'!$S$105</f>
        <v>0</v>
      </c>
      <c r="AC3352" s="106"/>
      <c r="AD3352" s="68">
        <f>AD1923/1.18-AD2638*'Mark Up Validation'!$S$105</f>
        <v>0</v>
      </c>
      <c r="AE3352" s="106"/>
      <c r="AF3352" s="129">
        <f>SUM(T3352,V3352,X3352,Z3352,AB3352,AD3352)</f>
        <v>0</v>
      </c>
      <c r="AG3352" s="106"/>
      <c r="AH3352" s="130">
        <f>SUM(AF3352,R3352)</f>
        <v>0</v>
      </c>
      <c r="AI3352" s="106"/>
      <c r="AJ3352" s="65"/>
      <c r="AV3352" s="56"/>
    </row>
    <row r="3353" spans="1:48" ht="12.75" hidden="1" customHeight="1" outlineLevel="2" thickBot="1">
      <c r="B3353" s="82"/>
      <c r="C3353" s="1234"/>
      <c r="D3353" s="1234"/>
      <c r="E3353" s="84" t="str">
        <f>'Terms and Turnovers'!$T$12</f>
        <v>ORIGINALS</v>
      </c>
      <c r="F3353" s="68">
        <f>F1924/1.18-F2639*'Mark Up Validation'!$M$105</f>
        <v>0</v>
      </c>
      <c r="G3353" s="728"/>
      <c r="H3353" s="68">
        <f>H1924/1.18-H2639*'Mark Up Validation'!$M$105</f>
        <v>0</v>
      </c>
      <c r="I3353" s="728"/>
      <c r="J3353" s="68">
        <f>J1924/1.18-J2639*'Mark Up Validation'!$M$105</f>
        <v>0</v>
      </c>
      <c r="K3353" s="728"/>
      <c r="L3353" s="68">
        <f>L1924/1.18-L2639*'Mark Up Validation'!$M$105</f>
        <v>0</v>
      </c>
      <c r="M3353" s="728"/>
      <c r="N3353" s="68">
        <f>N1924/1.18-N2639*'Mark Up Validation'!$M$105</f>
        <v>0</v>
      </c>
      <c r="O3353" s="728"/>
      <c r="P3353" s="68">
        <f>P1924/1.18-P2639*'Mark Up Validation'!$M$105</f>
        <v>0</v>
      </c>
      <c r="Q3353" s="728"/>
      <c r="R3353" s="132">
        <f>SUM(F3353,H3353,J3353,L3353,N3353,P3353)</f>
        <v>0</v>
      </c>
      <c r="S3353" s="728"/>
      <c r="T3353" s="68">
        <f>T1924/1.18-T2639*'Mark Up Validation'!$S$105</f>
        <v>0</v>
      </c>
      <c r="U3353" s="728"/>
      <c r="V3353" s="68">
        <f>V1924/1.18-V2639*'Mark Up Validation'!$S$105</f>
        <v>0</v>
      </c>
      <c r="W3353" s="728"/>
      <c r="X3353" s="68">
        <f>X1924/1.18-X2639*'Mark Up Validation'!$S$105</f>
        <v>0</v>
      </c>
      <c r="Y3353" s="728"/>
      <c r="Z3353" s="68">
        <f>Z1924/1.18-Z2639*'Mark Up Validation'!$S$105</f>
        <v>0</v>
      </c>
      <c r="AA3353" s="728"/>
      <c r="AB3353" s="68">
        <f>AB1924/1.18-AB2639*'Mark Up Validation'!$S$105</f>
        <v>0</v>
      </c>
      <c r="AC3353" s="728"/>
      <c r="AD3353" s="68">
        <f>AD1924/1.18-AD2639*'Mark Up Validation'!$S$105</f>
        <v>0</v>
      </c>
      <c r="AE3353" s="728"/>
      <c r="AF3353" s="132">
        <f>SUM(T3353,V3353,X3353,Z3353,AB3353,AD3353)</f>
        <v>0</v>
      </c>
      <c r="AG3353" s="728"/>
      <c r="AH3353" s="133">
        <f>SUM(AF3353,R3353)</f>
        <v>0</v>
      </c>
      <c r="AI3353" s="728"/>
      <c r="AJ3353" s="65"/>
      <c r="AV3353" s="56"/>
    </row>
    <row r="3354" spans="1:48" ht="12.75" hidden="1" customHeight="1" outlineLevel="2" thickBot="1">
      <c r="B3354" s="82"/>
      <c r="C3354" s="1234"/>
      <c r="D3354" s="1234"/>
      <c r="E3354" s="84" t="str">
        <f>'Terms and Turnovers'!$AD$12</f>
        <v>ACCESSORIES</v>
      </c>
      <c r="F3354" s="68">
        <f>F1925/1.18-F2640*'Mark Up Validation'!$M$105</f>
        <v>0</v>
      </c>
      <c r="G3354" s="106"/>
      <c r="H3354" s="68">
        <f>H1925/1.18-H2640*'Mark Up Validation'!$M$105</f>
        <v>0</v>
      </c>
      <c r="I3354" s="106"/>
      <c r="J3354" s="68">
        <f>J1925/1.18-J2640*'Mark Up Validation'!$M$105</f>
        <v>0</v>
      </c>
      <c r="K3354" s="106"/>
      <c r="L3354" s="68">
        <f>L1925/1.18-L2640*'Mark Up Validation'!$M$105</f>
        <v>0</v>
      </c>
      <c r="M3354" s="106"/>
      <c r="N3354" s="68">
        <f>N1925/1.18-N2640*'Mark Up Validation'!$M$105</f>
        <v>0</v>
      </c>
      <c r="O3354" s="106"/>
      <c r="P3354" s="68">
        <f>P1925/1.18-P2640*'Mark Up Validation'!$M$105</f>
        <v>0</v>
      </c>
      <c r="Q3354" s="728"/>
      <c r="R3354" s="132">
        <f>SUM(F3354,H3354,J3354,L3354,N3354,P3354)</f>
        <v>0</v>
      </c>
      <c r="S3354" s="728"/>
      <c r="T3354" s="68">
        <f>T1925/1.18-T2640*'Mark Up Validation'!$S$105</f>
        <v>0</v>
      </c>
      <c r="U3354" s="728"/>
      <c r="V3354" s="68">
        <f>V1925/1.18-V2640*'Mark Up Validation'!$S$105</f>
        <v>0</v>
      </c>
      <c r="W3354" s="728"/>
      <c r="X3354" s="68">
        <f>X1925/1.18-X2640*'Mark Up Validation'!$S$105</f>
        <v>0</v>
      </c>
      <c r="Y3354" s="728"/>
      <c r="Z3354" s="68">
        <f>Z1925/1.18-Z2640*'Mark Up Validation'!$S$105</f>
        <v>0</v>
      </c>
      <c r="AA3354" s="728"/>
      <c r="AB3354" s="68">
        <f>AB1925/1.18-AB2640*'Mark Up Validation'!$S$105</f>
        <v>0</v>
      </c>
      <c r="AC3354" s="728"/>
      <c r="AD3354" s="68">
        <f>AD1925/1.18-AD2640*'Mark Up Validation'!$S$105</f>
        <v>0</v>
      </c>
      <c r="AE3354" s="728"/>
      <c r="AF3354" s="132">
        <f>SUM(T3354,V3354,X3354,Z3354,AB3354,AD3354)</f>
        <v>0</v>
      </c>
      <c r="AG3354" s="728"/>
      <c r="AH3354" s="133">
        <f>SUM(AF3354,R3354)</f>
        <v>0</v>
      </c>
      <c r="AI3354" s="728"/>
      <c r="AJ3354" s="65"/>
      <c r="AV3354" s="56"/>
    </row>
    <row r="3355" spans="1:48" ht="12.75" hidden="1" customHeight="1" outlineLevel="2" thickBot="1">
      <c r="B3355" s="82"/>
      <c r="C3355" s="1234"/>
      <c r="D3355" s="1234"/>
      <c r="E3355" s="84">
        <f>'Terms and Turnovers'!$AN$12</f>
        <v>0</v>
      </c>
      <c r="F3355" s="68">
        <f>F1926/1.18-F2641*'Mark Up Validation'!$M$105</f>
        <v>0</v>
      </c>
      <c r="G3355" s="728"/>
      <c r="H3355" s="68">
        <f>H1926/1.18-H2641*'Mark Up Validation'!$M$105</f>
        <v>0</v>
      </c>
      <c r="I3355" s="728"/>
      <c r="J3355" s="68">
        <f>J1926/1.18-J2641*'Mark Up Validation'!$M$105</f>
        <v>0</v>
      </c>
      <c r="K3355" s="728"/>
      <c r="L3355" s="68">
        <f>L1926/1.18-L2641*'Mark Up Validation'!$M$105</f>
        <v>0</v>
      </c>
      <c r="M3355" s="728"/>
      <c r="N3355" s="68">
        <f>N1926/1.18-N2641*'Mark Up Validation'!$M$105</f>
        <v>0</v>
      </c>
      <c r="O3355" s="728"/>
      <c r="P3355" s="68">
        <f>P1926/1.18-P2641*'Mark Up Validation'!$M$105</f>
        <v>0</v>
      </c>
      <c r="Q3355" s="728"/>
      <c r="R3355" s="132">
        <f>SUM(F3355,H3355,J3355,L3355,N3355,P3355)</f>
        <v>0</v>
      </c>
      <c r="S3355" s="728"/>
      <c r="T3355" s="68">
        <f>T1926/1.18-T2641*'Mark Up Validation'!$S$105</f>
        <v>0</v>
      </c>
      <c r="U3355" s="728"/>
      <c r="V3355" s="68">
        <f>V1926/1.18-V2641*'Mark Up Validation'!$S$105</f>
        <v>0</v>
      </c>
      <c r="W3355" s="728"/>
      <c r="X3355" s="68">
        <f>X1926/1.18-X2641*'Mark Up Validation'!$S$105</f>
        <v>0</v>
      </c>
      <c r="Y3355" s="728"/>
      <c r="Z3355" s="68">
        <f>Z1926/1.18-Z2641*'Mark Up Validation'!$S$105</f>
        <v>0</v>
      </c>
      <c r="AA3355" s="728"/>
      <c r="AB3355" s="68">
        <f>AB1926/1.18-AB2641*'Mark Up Validation'!$S$105</f>
        <v>0</v>
      </c>
      <c r="AC3355" s="728"/>
      <c r="AD3355" s="68">
        <f>AD1926/1.18-AD2641*'Mark Up Validation'!$S$105</f>
        <v>0</v>
      </c>
      <c r="AE3355" s="728"/>
      <c r="AF3355" s="132">
        <f>SUM(T3355,V3355,X3355,Z3355,AB3355,AD3355)</f>
        <v>0</v>
      </c>
      <c r="AG3355" s="728"/>
      <c r="AH3355" s="133">
        <f>SUM(AF3355,R3355)</f>
        <v>0</v>
      </c>
      <c r="AI3355" s="728"/>
      <c r="AJ3355" s="65"/>
      <c r="AV3355" s="56"/>
    </row>
    <row r="3356" spans="1:48" ht="13.5" hidden="1" customHeight="1" outlineLevel="2" thickBot="1">
      <c r="B3356" s="82"/>
      <c r="C3356" s="1235"/>
      <c r="D3356" s="1235"/>
      <c r="E3356" s="85">
        <f>'Terms and Turnovers'!$AX$12</f>
        <v>0</v>
      </c>
      <c r="F3356" s="68">
        <f>F1927/1.18-F2642*'Mark Up Validation'!$M$105</f>
        <v>0</v>
      </c>
      <c r="G3356" s="106"/>
      <c r="H3356" s="68">
        <f>H1927/1.18-H2642*'Mark Up Validation'!$M$105</f>
        <v>0</v>
      </c>
      <c r="I3356" s="106"/>
      <c r="J3356" s="68">
        <f>J1927/1.18-J2642*'Mark Up Validation'!$M$105</f>
        <v>0</v>
      </c>
      <c r="K3356" s="106"/>
      <c r="L3356" s="68">
        <f>L1927/1.18-L2642*'Mark Up Validation'!$M$105</f>
        <v>0</v>
      </c>
      <c r="M3356" s="106"/>
      <c r="N3356" s="68">
        <f>N1927/1.18-N2642*'Mark Up Validation'!$M$105</f>
        <v>0</v>
      </c>
      <c r="O3356" s="106"/>
      <c r="P3356" s="68">
        <f>P1927/1.18-P2642*'Mark Up Validation'!$M$105</f>
        <v>0</v>
      </c>
      <c r="Q3356" s="107"/>
      <c r="R3356" s="135">
        <f>SUM(F3356,H3356,J3356,L3356,N3356,P3356)</f>
        <v>0</v>
      </c>
      <c r="S3356" s="107"/>
      <c r="T3356" s="68">
        <f>T1927/1.18-T2642*'Mark Up Validation'!$S$105</f>
        <v>0</v>
      </c>
      <c r="U3356" s="107"/>
      <c r="V3356" s="68">
        <f>V1927/1.18-V2642*'Mark Up Validation'!$S$105</f>
        <v>0</v>
      </c>
      <c r="W3356" s="107"/>
      <c r="X3356" s="68">
        <f>X1927/1.18-X2642*'Mark Up Validation'!$S$105</f>
        <v>0</v>
      </c>
      <c r="Y3356" s="107"/>
      <c r="Z3356" s="68">
        <f>Z1927/1.18-Z2642*'Mark Up Validation'!$S$105</f>
        <v>0</v>
      </c>
      <c r="AA3356" s="107"/>
      <c r="AB3356" s="68">
        <f>AB1927/1.18-AB2642*'Mark Up Validation'!$S$105</f>
        <v>0</v>
      </c>
      <c r="AC3356" s="107"/>
      <c r="AD3356" s="68">
        <f>AD1927/1.18-AD2642*'Mark Up Validation'!$S$105</f>
        <v>0</v>
      </c>
      <c r="AE3356" s="107"/>
      <c r="AF3356" s="135">
        <f>SUM(T3356,V3356,X3356,Z3356,AB3356,AD3356)</f>
        <v>0</v>
      </c>
      <c r="AG3356" s="107"/>
      <c r="AH3356" s="136">
        <f>SUM(AF3356,R3356)</f>
        <v>0</v>
      </c>
      <c r="AI3356" s="107"/>
      <c r="AJ3356" s="65"/>
      <c r="AV3356" s="56"/>
    </row>
    <row r="3357" spans="1:48" ht="13.5" hidden="1" customHeight="1" outlineLevel="2">
      <c r="B3357" s="82"/>
      <c r="C3357" s="425"/>
      <c r="D3357" s="425"/>
      <c r="E3357" s="634"/>
      <c r="F3357" s="635"/>
      <c r="G3357" s="428"/>
      <c r="H3357" s="635"/>
      <c r="I3357" s="428"/>
      <c r="J3357" s="635"/>
      <c r="K3357" s="636"/>
      <c r="L3357" s="635"/>
      <c r="M3357" s="636"/>
      <c r="N3357" s="635"/>
      <c r="O3357" s="636"/>
      <c r="P3357" s="635"/>
      <c r="Q3357" s="636"/>
      <c r="R3357" s="637"/>
      <c r="S3357" s="698">
        <f>SUM(R2637:R2641)/1.18-(SUM(R3352:R3356)*'Mark Up Validation'!$M$105)</f>
        <v>0</v>
      </c>
      <c r="T3357" s="635"/>
      <c r="U3357" s="636"/>
      <c r="V3357" s="635"/>
      <c r="W3357" s="636"/>
      <c r="X3357" s="635"/>
      <c r="Y3357" s="636"/>
      <c r="Z3357" s="635"/>
      <c r="AA3357" s="636"/>
      <c r="AB3357" s="635"/>
      <c r="AC3357" s="636"/>
      <c r="AD3357" s="635"/>
      <c r="AE3357" s="636"/>
      <c r="AF3357" s="637"/>
      <c r="AG3357" s="698">
        <f>SUM(AF2637:AF2641)/1.18-SUM(AF3352:AF3356)*'Mark Up Validation'!$M$175</f>
        <v>0</v>
      </c>
      <c r="AH3357" s="638"/>
      <c r="AI3357" s="698">
        <f>SUM(AH2637:AH2641)/1.18-SUM(AH3352:AH3356)*'Mark Up Validation'!$M$175</f>
        <v>0</v>
      </c>
      <c r="AJ3357" s="65"/>
      <c r="AV3357" s="56"/>
    </row>
    <row r="3358" spans="1:48" ht="13.5" hidden="1" customHeight="1" outlineLevel="2" thickBot="1">
      <c r="A3358" s="119"/>
      <c r="B3358" s="82"/>
      <c r="C3358" s="1228" t="s">
        <v>539</v>
      </c>
      <c r="D3358" s="1229"/>
      <c r="E3358" s="699"/>
      <c r="F3358" s="700">
        <f>SUM(F3352:F3356)</f>
        <v>0</v>
      </c>
      <c r="G3358" s="701"/>
      <c r="H3358" s="700">
        <f>SUM(H3352:H3356)</f>
        <v>0</v>
      </c>
      <c r="I3358" s="701"/>
      <c r="J3358" s="700">
        <f>SUM(J3352:J3356)</f>
        <v>0</v>
      </c>
      <c r="K3358" s="702"/>
      <c r="L3358" s="700">
        <f>SUM(L3352:L3356)</f>
        <v>0</v>
      </c>
      <c r="M3358" s="702"/>
      <c r="N3358" s="700">
        <f>SUM(N3352:N3356)</f>
        <v>0</v>
      </c>
      <c r="O3358" s="702"/>
      <c r="P3358" s="700">
        <f>SUM(P3352:P3356)</f>
        <v>0</v>
      </c>
      <c r="Q3358" s="702"/>
      <c r="R3358" s="703"/>
      <c r="S3358" s="729">
        <f>IF(S3357&gt;0,S3357/(SUM(R2637:R2641)/1.18),0)</f>
        <v>0</v>
      </c>
      <c r="T3358" s="700">
        <f>SUM(T3352:T3356)</f>
        <v>0</v>
      </c>
      <c r="U3358" s="702"/>
      <c r="V3358" s="700">
        <f>SUM(V3352:V3356)</f>
        <v>0</v>
      </c>
      <c r="W3358" s="702"/>
      <c r="X3358" s="700">
        <f>SUM(X3352:X3356)</f>
        <v>0</v>
      </c>
      <c r="Y3358" s="702"/>
      <c r="Z3358" s="700">
        <f>SUM(Z3352:Z3356)</f>
        <v>0</v>
      </c>
      <c r="AA3358" s="702"/>
      <c r="AB3358" s="700">
        <f>SUM(AB3352:AB3356)</f>
        <v>0</v>
      </c>
      <c r="AC3358" s="702"/>
      <c r="AD3358" s="700">
        <f>SUM(AD3352:AD3356)</f>
        <v>0</v>
      </c>
      <c r="AE3358" s="702"/>
      <c r="AF3358" s="705"/>
      <c r="AG3358" s="729">
        <f>IF(AG3357&gt;0,AG3357/(SUM(AF2637:AF2641)/1.18),0)</f>
        <v>0</v>
      </c>
      <c r="AH3358" s="706"/>
      <c r="AI3358" s="729">
        <f>IF(AI3357&gt;0,AI3357/(SUM(AH2637:AH2641)/1.18),0)</f>
        <v>0</v>
      </c>
      <c r="AJ3358" s="707"/>
      <c r="AV3358" s="56"/>
    </row>
    <row r="3359" spans="1:48" ht="12.75" hidden="1" customHeight="1" outlineLevel="2" thickBot="1">
      <c r="B3359" s="82">
        <f>B3352+1</f>
        <v>69</v>
      </c>
      <c r="C3359" s="1233">
        <f>C489</f>
        <v>0</v>
      </c>
      <c r="D3359" s="1233">
        <f>D489</f>
        <v>0</v>
      </c>
      <c r="E3359" s="83" t="str">
        <f>'Terms and Turnovers'!$J$12</f>
        <v>FLIP-FLOPS</v>
      </c>
      <c r="F3359" s="68">
        <f>F1930/1.18-F2645*'Mark Up Validation'!$M$105</f>
        <v>0</v>
      </c>
      <c r="G3359" s="106"/>
      <c r="H3359" s="68">
        <f>H1930/1.18-H2645*'Mark Up Validation'!$M$105</f>
        <v>0</v>
      </c>
      <c r="I3359" s="106"/>
      <c r="J3359" s="68">
        <f>J1930/1.18-J2645*'Mark Up Validation'!$M$105</f>
        <v>0</v>
      </c>
      <c r="K3359" s="106"/>
      <c r="L3359" s="68">
        <f>L1930/1.18-L2645*'Mark Up Validation'!$M$105</f>
        <v>0</v>
      </c>
      <c r="M3359" s="106"/>
      <c r="N3359" s="68">
        <f>N1930/1.18-N2645*'Mark Up Validation'!$M$105</f>
        <v>0</v>
      </c>
      <c r="O3359" s="106"/>
      <c r="P3359" s="68">
        <f>P1930/1.18-P2645*'Mark Up Validation'!$M$105</f>
        <v>0</v>
      </c>
      <c r="Q3359" s="106"/>
      <c r="R3359" s="129">
        <f>SUM(F3359,H3359,J3359,L3359,N3359,P3359)</f>
        <v>0</v>
      </c>
      <c r="S3359" s="106"/>
      <c r="T3359" s="68">
        <f>T1930/1.18-T2645*'Mark Up Validation'!$S$105</f>
        <v>0</v>
      </c>
      <c r="U3359" s="106"/>
      <c r="V3359" s="68">
        <f>V1930/1.18-V2645*'Mark Up Validation'!$S$105</f>
        <v>0</v>
      </c>
      <c r="W3359" s="106"/>
      <c r="X3359" s="68">
        <f>X1930/1.18-X2645*'Mark Up Validation'!$S$105</f>
        <v>0</v>
      </c>
      <c r="Y3359" s="106"/>
      <c r="Z3359" s="68">
        <f>Z1930/1.18-Z2645*'Mark Up Validation'!$S$105</f>
        <v>0</v>
      </c>
      <c r="AA3359" s="106"/>
      <c r="AB3359" s="68">
        <f>AB1930/1.18-AB2645*'Mark Up Validation'!$S$105</f>
        <v>0</v>
      </c>
      <c r="AC3359" s="106"/>
      <c r="AD3359" s="68">
        <f>AD1930/1.18-AD2645*'Mark Up Validation'!$S$105</f>
        <v>0</v>
      </c>
      <c r="AE3359" s="106"/>
      <c r="AF3359" s="129">
        <f>SUM(T3359,V3359,X3359,Z3359,AB3359,AD3359)</f>
        <v>0</v>
      </c>
      <c r="AG3359" s="106"/>
      <c r="AH3359" s="130">
        <f>SUM(AF3359,R3359)</f>
        <v>0</v>
      </c>
      <c r="AI3359" s="106"/>
      <c r="AJ3359" s="65"/>
      <c r="AV3359" s="56"/>
    </row>
    <row r="3360" spans="1:48" ht="12.75" hidden="1" customHeight="1" outlineLevel="2" thickBot="1">
      <c r="B3360" s="82"/>
      <c r="C3360" s="1234"/>
      <c r="D3360" s="1234"/>
      <c r="E3360" s="84" t="str">
        <f>'Terms and Turnovers'!$T$12</f>
        <v>ORIGINALS</v>
      </c>
      <c r="F3360" s="68">
        <f>F1931/1.18-F2646*'Mark Up Validation'!$M$105</f>
        <v>0</v>
      </c>
      <c r="G3360" s="728"/>
      <c r="H3360" s="68">
        <f>H1931/1.18-H2646*'Mark Up Validation'!$M$105</f>
        <v>0</v>
      </c>
      <c r="I3360" s="728"/>
      <c r="J3360" s="68">
        <f>J1931/1.18-J2646*'Mark Up Validation'!$M$105</f>
        <v>0</v>
      </c>
      <c r="K3360" s="728"/>
      <c r="L3360" s="68">
        <f>L1931/1.18-L2646*'Mark Up Validation'!$M$105</f>
        <v>0</v>
      </c>
      <c r="M3360" s="728"/>
      <c r="N3360" s="68">
        <f>N1931/1.18-N2646*'Mark Up Validation'!$M$105</f>
        <v>0</v>
      </c>
      <c r="O3360" s="728"/>
      <c r="P3360" s="68">
        <f>P1931/1.18-P2646*'Mark Up Validation'!$M$105</f>
        <v>0</v>
      </c>
      <c r="Q3360" s="728"/>
      <c r="R3360" s="132">
        <f>SUM(F3360,H3360,J3360,L3360,N3360,P3360)</f>
        <v>0</v>
      </c>
      <c r="S3360" s="728"/>
      <c r="T3360" s="68">
        <f>T1931/1.18-T2646*'Mark Up Validation'!$S$105</f>
        <v>0</v>
      </c>
      <c r="U3360" s="728"/>
      <c r="V3360" s="68">
        <f>V1931/1.18-V2646*'Mark Up Validation'!$S$105</f>
        <v>0</v>
      </c>
      <c r="W3360" s="728"/>
      <c r="X3360" s="68">
        <f>X1931/1.18-X2646*'Mark Up Validation'!$S$105</f>
        <v>0</v>
      </c>
      <c r="Y3360" s="728"/>
      <c r="Z3360" s="68">
        <f>Z1931/1.18-Z2646*'Mark Up Validation'!$S$105</f>
        <v>0</v>
      </c>
      <c r="AA3360" s="728"/>
      <c r="AB3360" s="68">
        <f>AB1931/1.18-AB2646*'Mark Up Validation'!$S$105</f>
        <v>0</v>
      </c>
      <c r="AC3360" s="728"/>
      <c r="AD3360" s="68">
        <f>AD1931/1.18-AD2646*'Mark Up Validation'!$S$105</f>
        <v>0</v>
      </c>
      <c r="AE3360" s="728"/>
      <c r="AF3360" s="132">
        <f>SUM(T3360,V3360,X3360,Z3360,AB3360,AD3360)</f>
        <v>0</v>
      </c>
      <c r="AG3360" s="728"/>
      <c r="AH3360" s="133">
        <f>SUM(AF3360,R3360)</f>
        <v>0</v>
      </c>
      <c r="AI3360" s="728"/>
      <c r="AJ3360" s="65"/>
      <c r="AV3360" s="56"/>
    </row>
    <row r="3361" spans="1:48" ht="12.75" hidden="1" customHeight="1" outlineLevel="2" thickBot="1">
      <c r="B3361" s="82"/>
      <c r="C3361" s="1234"/>
      <c r="D3361" s="1234"/>
      <c r="E3361" s="84" t="str">
        <f>'Terms and Turnovers'!$AD$12</f>
        <v>ACCESSORIES</v>
      </c>
      <c r="F3361" s="68">
        <f>F1932/1.18-F2647*'Mark Up Validation'!$M$105</f>
        <v>0</v>
      </c>
      <c r="G3361" s="106"/>
      <c r="H3361" s="68">
        <f>H1932/1.18-H2647*'Mark Up Validation'!$M$105</f>
        <v>0</v>
      </c>
      <c r="I3361" s="106"/>
      <c r="J3361" s="68">
        <f>J1932/1.18-J2647*'Mark Up Validation'!$M$105</f>
        <v>0</v>
      </c>
      <c r="K3361" s="106"/>
      <c r="L3361" s="68">
        <f>L1932/1.18-L2647*'Mark Up Validation'!$M$105</f>
        <v>0</v>
      </c>
      <c r="M3361" s="106"/>
      <c r="N3361" s="68">
        <f>N1932/1.18-N2647*'Mark Up Validation'!$M$105</f>
        <v>0</v>
      </c>
      <c r="O3361" s="106"/>
      <c r="P3361" s="68">
        <f>P1932/1.18-P2647*'Mark Up Validation'!$M$105</f>
        <v>0</v>
      </c>
      <c r="Q3361" s="728"/>
      <c r="R3361" s="132">
        <f>SUM(F3361,H3361,J3361,L3361,N3361,P3361)</f>
        <v>0</v>
      </c>
      <c r="S3361" s="728"/>
      <c r="T3361" s="68">
        <f>T1932/1.18-T2647*'Mark Up Validation'!$S$105</f>
        <v>0</v>
      </c>
      <c r="U3361" s="728"/>
      <c r="V3361" s="68">
        <f>V1932/1.18-V2647*'Mark Up Validation'!$S$105</f>
        <v>0</v>
      </c>
      <c r="W3361" s="728"/>
      <c r="X3361" s="68">
        <f>X1932/1.18-X2647*'Mark Up Validation'!$S$105</f>
        <v>0</v>
      </c>
      <c r="Y3361" s="728"/>
      <c r="Z3361" s="68">
        <f>Z1932/1.18-Z2647*'Mark Up Validation'!$S$105</f>
        <v>0</v>
      </c>
      <c r="AA3361" s="728"/>
      <c r="AB3361" s="68">
        <f>AB1932/1.18-AB2647*'Mark Up Validation'!$S$105</f>
        <v>0</v>
      </c>
      <c r="AC3361" s="728"/>
      <c r="AD3361" s="68">
        <f>AD1932/1.18-AD2647*'Mark Up Validation'!$S$105</f>
        <v>0</v>
      </c>
      <c r="AE3361" s="728"/>
      <c r="AF3361" s="132">
        <f>SUM(T3361,V3361,X3361,Z3361,AB3361,AD3361)</f>
        <v>0</v>
      </c>
      <c r="AG3361" s="728"/>
      <c r="AH3361" s="133">
        <f>SUM(AF3361,R3361)</f>
        <v>0</v>
      </c>
      <c r="AI3361" s="728"/>
      <c r="AJ3361" s="65"/>
      <c r="AV3361" s="56"/>
    </row>
    <row r="3362" spans="1:48" ht="12.75" hidden="1" customHeight="1" outlineLevel="2" thickBot="1">
      <c r="B3362" s="82"/>
      <c r="C3362" s="1234"/>
      <c r="D3362" s="1234"/>
      <c r="E3362" s="84">
        <f>'Terms and Turnovers'!$AN$12</f>
        <v>0</v>
      </c>
      <c r="F3362" s="68">
        <f>F1933/1.18-F2648*'Mark Up Validation'!$M$105</f>
        <v>0</v>
      </c>
      <c r="G3362" s="728"/>
      <c r="H3362" s="68">
        <f>H1933/1.18-H2648*'Mark Up Validation'!$M$105</f>
        <v>0</v>
      </c>
      <c r="I3362" s="728"/>
      <c r="J3362" s="68">
        <f>J1933/1.18-J2648*'Mark Up Validation'!$M$105</f>
        <v>0</v>
      </c>
      <c r="K3362" s="728"/>
      <c r="L3362" s="68">
        <f>L1933/1.18-L2648*'Mark Up Validation'!$M$105</f>
        <v>0</v>
      </c>
      <c r="M3362" s="728"/>
      <c r="N3362" s="68">
        <f>N1933/1.18-N2648*'Mark Up Validation'!$M$105</f>
        <v>0</v>
      </c>
      <c r="O3362" s="728"/>
      <c r="P3362" s="68">
        <f>P1933/1.18-P2648*'Mark Up Validation'!$M$105</f>
        <v>0</v>
      </c>
      <c r="Q3362" s="728"/>
      <c r="R3362" s="132">
        <f>SUM(F3362,H3362,J3362,L3362,N3362,P3362)</f>
        <v>0</v>
      </c>
      <c r="S3362" s="728"/>
      <c r="T3362" s="68">
        <f>T1933/1.18-T2648*'Mark Up Validation'!$S$105</f>
        <v>0</v>
      </c>
      <c r="U3362" s="728"/>
      <c r="V3362" s="68">
        <f>V1933/1.18-V2648*'Mark Up Validation'!$S$105</f>
        <v>0</v>
      </c>
      <c r="W3362" s="728"/>
      <c r="X3362" s="68">
        <f>X1933/1.18-X2648*'Mark Up Validation'!$S$105</f>
        <v>0</v>
      </c>
      <c r="Y3362" s="728"/>
      <c r="Z3362" s="68">
        <f>Z1933/1.18-Z2648*'Mark Up Validation'!$S$105</f>
        <v>0</v>
      </c>
      <c r="AA3362" s="728"/>
      <c r="AB3362" s="68">
        <f>AB1933/1.18-AB2648*'Mark Up Validation'!$S$105</f>
        <v>0</v>
      </c>
      <c r="AC3362" s="728"/>
      <c r="AD3362" s="68">
        <f>AD1933/1.18-AD2648*'Mark Up Validation'!$S$105</f>
        <v>0</v>
      </c>
      <c r="AE3362" s="728"/>
      <c r="AF3362" s="132">
        <f>SUM(T3362,V3362,X3362,Z3362,AB3362,AD3362)</f>
        <v>0</v>
      </c>
      <c r="AG3362" s="728"/>
      <c r="AH3362" s="133">
        <f>SUM(AF3362,R3362)</f>
        <v>0</v>
      </c>
      <c r="AI3362" s="728"/>
      <c r="AJ3362" s="65"/>
      <c r="AV3362" s="56"/>
    </row>
    <row r="3363" spans="1:48" ht="13.5" hidden="1" customHeight="1" outlineLevel="2" thickBot="1">
      <c r="B3363" s="82"/>
      <c r="C3363" s="1235"/>
      <c r="D3363" s="1235"/>
      <c r="E3363" s="85">
        <f>'Terms and Turnovers'!$AX$12</f>
        <v>0</v>
      </c>
      <c r="F3363" s="68">
        <f>F1934/1.18-F2649*'Mark Up Validation'!$M$105</f>
        <v>0</v>
      </c>
      <c r="G3363" s="106"/>
      <c r="H3363" s="68">
        <f>H1934/1.18-H2649*'Mark Up Validation'!$M$105</f>
        <v>0</v>
      </c>
      <c r="I3363" s="106"/>
      <c r="J3363" s="68">
        <f>J1934/1.18-J2649*'Mark Up Validation'!$M$105</f>
        <v>0</v>
      </c>
      <c r="K3363" s="106"/>
      <c r="L3363" s="68">
        <f>L1934/1.18-L2649*'Mark Up Validation'!$M$105</f>
        <v>0</v>
      </c>
      <c r="M3363" s="106"/>
      <c r="N3363" s="68">
        <f>N1934/1.18-N2649*'Mark Up Validation'!$M$105</f>
        <v>0</v>
      </c>
      <c r="O3363" s="106"/>
      <c r="P3363" s="68">
        <f>P1934/1.18-P2649*'Mark Up Validation'!$M$105</f>
        <v>0</v>
      </c>
      <c r="Q3363" s="107"/>
      <c r="R3363" s="135">
        <f>SUM(F3363,H3363,J3363,L3363,N3363,P3363)</f>
        <v>0</v>
      </c>
      <c r="S3363" s="107"/>
      <c r="T3363" s="68">
        <f>T1934/1.18-T2649*'Mark Up Validation'!$S$105</f>
        <v>0</v>
      </c>
      <c r="U3363" s="107"/>
      <c r="V3363" s="68">
        <f>V1934/1.18-V2649*'Mark Up Validation'!$S$105</f>
        <v>0</v>
      </c>
      <c r="W3363" s="107"/>
      <c r="X3363" s="68">
        <f>X1934/1.18-X2649*'Mark Up Validation'!$S$105</f>
        <v>0</v>
      </c>
      <c r="Y3363" s="107"/>
      <c r="Z3363" s="68">
        <f>Z1934/1.18-Z2649*'Mark Up Validation'!$S$105</f>
        <v>0</v>
      </c>
      <c r="AA3363" s="107"/>
      <c r="AB3363" s="68">
        <f>AB1934/1.18-AB2649*'Mark Up Validation'!$S$105</f>
        <v>0</v>
      </c>
      <c r="AC3363" s="107"/>
      <c r="AD3363" s="68">
        <f>AD1934/1.18-AD2649*'Mark Up Validation'!$S$105</f>
        <v>0</v>
      </c>
      <c r="AE3363" s="107"/>
      <c r="AF3363" s="135">
        <f>SUM(T3363,V3363,X3363,Z3363,AB3363,AD3363)</f>
        <v>0</v>
      </c>
      <c r="AG3363" s="107"/>
      <c r="AH3363" s="136">
        <f>SUM(AF3363,R3363)</f>
        <v>0</v>
      </c>
      <c r="AI3363" s="107"/>
      <c r="AJ3363" s="65"/>
      <c r="AV3363" s="56"/>
    </row>
    <row r="3364" spans="1:48" ht="13.5" hidden="1" customHeight="1" outlineLevel="2">
      <c r="B3364" s="82"/>
      <c r="C3364" s="425"/>
      <c r="D3364" s="425"/>
      <c r="E3364" s="634"/>
      <c r="F3364" s="635"/>
      <c r="G3364" s="428"/>
      <c r="H3364" s="635"/>
      <c r="I3364" s="428"/>
      <c r="J3364" s="635"/>
      <c r="K3364" s="636"/>
      <c r="L3364" s="635"/>
      <c r="M3364" s="636"/>
      <c r="N3364" s="635"/>
      <c r="O3364" s="636"/>
      <c r="P3364" s="635"/>
      <c r="Q3364" s="636"/>
      <c r="R3364" s="637"/>
      <c r="S3364" s="698">
        <f>SUM(R2644:R2648)/1.18-(SUM(R3359:R3363)*'Mark Up Validation'!$M$105)</f>
        <v>0</v>
      </c>
      <c r="T3364" s="635"/>
      <c r="U3364" s="636"/>
      <c r="V3364" s="635"/>
      <c r="W3364" s="636"/>
      <c r="X3364" s="635"/>
      <c r="Y3364" s="636"/>
      <c r="Z3364" s="635"/>
      <c r="AA3364" s="636"/>
      <c r="AB3364" s="635"/>
      <c r="AC3364" s="636"/>
      <c r="AD3364" s="635"/>
      <c r="AE3364" s="636"/>
      <c r="AF3364" s="637"/>
      <c r="AG3364" s="698">
        <f>SUM(AF2644:AF2648)/1.18-SUM(AF3359:AF3363)*'Mark Up Validation'!$M$175</f>
        <v>0</v>
      </c>
      <c r="AH3364" s="638"/>
      <c r="AI3364" s="698">
        <f>SUM(AH2644:AH2648)/1.18-SUM(AH3359:AH3363)*'Mark Up Validation'!$M$175</f>
        <v>0</v>
      </c>
      <c r="AJ3364" s="65"/>
      <c r="AV3364" s="56"/>
    </row>
    <row r="3365" spans="1:48" ht="13.5" hidden="1" customHeight="1" outlineLevel="2" thickBot="1">
      <c r="A3365" s="119"/>
      <c r="B3365" s="82"/>
      <c r="C3365" s="1228" t="s">
        <v>539</v>
      </c>
      <c r="D3365" s="1229"/>
      <c r="E3365" s="699"/>
      <c r="F3365" s="700">
        <f>SUM(F3359:F3363)</f>
        <v>0</v>
      </c>
      <c r="G3365" s="701"/>
      <c r="H3365" s="700">
        <f>SUM(H3359:H3363)</f>
        <v>0</v>
      </c>
      <c r="I3365" s="701"/>
      <c r="J3365" s="700">
        <f>SUM(J3359:J3363)</f>
        <v>0</v>
      </c>
      <c r="K3365" s="702"/>
      <c r="L3365" s="700">
        <f>SUM(L3359:L3363)</f>
        <v>0</v>
      </c>
      <c r="M3365" s="702"/>
      <c r="N3365" s="700">
        <f>SUM(N3359:N3363)</f>
        <v>0</v>
      </c>
      <c r="O3365" s="702"/>
      <c r="P3365" s="700">
        <f>SUM(P3359:P3363)</f>
        <v>0</v>
      </c>
      <c r="Q3365" s="702"/>
      <c r="R3365" s="703"/>
      <c r="S3365" s="729">
        <f>IF(S3364&gt;0,S3364/(SUM(R2644:R2648)/1.18),0)</f>
        <v>0</v>
      </c>
      <c r="T3365" s="700">
        <f>SUM(T3359:T3363)</f>
        <v>0</v>
      </c>
      <c r="U3365" s="702"/>
      <c r="V3365" s="700">
        <f>SUM(V3359:V3363)</f>
        <v>0</v>
      </c>
      <c r="W3365" s="702"/>
      <c r="X3365" s="700">
        <f>SUM(X3359:X3363)</f>
        <v>0</v>
      </c>
      <c r="Y3365" s="702"/>
      <c r="Z3365" s="700">
        <f>SUM(Z3359:Z3363)</f>
        <v>0</v>
      </c>
      <c r="AA3365" s="702"/>
      <c r="AB3365" s="700">
        <f>SUM(AB3359:AB3363)</f>
        <v>0</v>
      </c>
      <c r="AC3365" s="702"/>
      <c r="AD3365" s="700">
        <f>SUM(AD3359:AD3363)</f>
        <v>0</v>
      </c>
      <c r="AE3365" s="702"/>
      <c r="AF3365" s="705"/>
      <c r="AG3365" s="729">
        <f>IF(AG3364&gt;0,AG3364/(SUM(AF2644:AF2648)/1.18),0)</f>
        <v>0</v>
      </c>
      <c r="AH3365" s="706"/>
      <c r="AI3365" s="729">
        <f>IF(AI3364&gt;0,AI3364/(SUM(AH2644:AH2648)/1.18),0)</f>
        <v>0</v>
      </c>
      <c r="AJ3365" s="707"/>
      <c r="AV3365" s="56"/>
    </row>
    <row r="3366" spans="1:48" ht="12.75" hidden="1" customHeight="1" outlineLevel="2" thickBot="1">
      <c r="B3366" s="82">
        <f>B3359+1</f>
        <v>70</v>
      </c>
      <c r="C3366" s="1233">
        <f>C496</f>
        <v>0</v>
      </c>
      <c r="D3366" s="1233">
        <f>D496</f>
        <v>0</v>
      </c>
      <c r="E3366" s="83" t="str">
        <f>'Terms and Turnovers'!$J$12</f>
        <v>FLIP-FLOPS</v>
      </c>
      <c r="F3366" s="68">
        <f>F1937/1.18-F2652*'Mark Up Validation'!$M$105</f>
        <v>0</v>
      </c>
      <c r="G3366" s="106"/>
      <c r="H3366" s="68">
        <f>H1937/1.18-H2652*'Mark Up Validation'!$M$105</f>
        <v>0</v>
      </c>
      <c r="I3366" s="106"/>
      <c r="J3366" s="68">
        <f>J1937/1.18-J2652*'Mark Up Validation'!$M$105</f>
        <v>0</v>
      </c>
      <c r="K3366" s="106"/>
      <c r="L3366" s="68">
        <f>L1937/1.18-L2652*'Mark Up Validation'!$M$105</f>
        <v>0</v>
      </c>
      <c r="M3366" s="106"/>
      <c r="N3366" s="68">
        <f>N1937/1.18-N2652*'Mark Up Validation'!$M$105</f>
        <v>0</v>
      </c>
      <c r="O3366" s="106"/>
      <c r="P3366" s="68">
        <f>P1937/1.18-P2652*'Mark Up Validation'!$M$105</f>
        <v>0</v>
      </c>
      <c r="Q3366" s="106"/>
      <c r="R3366" s="129">
        <f>SUM(F3366,H3366,J3366,L3366,N3366,P3366)</f>
        <v>0</v>
      </c>
      <c r="S3366" s="106"/>
      <c r="T3366" s="68">
        <f>T1937/1.18-T2652*'Mark Up Validation'!$S$105</f>
        <v>0</v>
      </c>
      <c r="U3366" s="106"/>
      <c r="V3366" s="68">
        <f>V1937/1.18-V2652*'Mark Up Validation'!$S$105</f>
        <v>0</v>
      </c>
      <c r="W3366" s="106"/>
      <c r="X3366" s="68">
        <f>X1937/1.18-X2652*'Mark Up Validation'!$S$105</f>
        <v>0</v>
      </c>
      <c r="Y3366" s="106"/>
      <c r="Z3366" s="68">
        <f>Z1937/1.18-Z2652*'Mark Up Validation'!$S$105</f>
        <v>0</v>
      </c>
      <c r="AA3366" s="106"/>
      <c r="AB3366" s="68">
        <f>AB1937/1.18-AB2652*'Mark Up Validation'!$S$105</f>
        <v>0</v>
      </c>
      <c r="AC3366" s="106"/>
      <c r="AD3366" s="68">
        <f>AD1937/1.18-AD2652*'Mark Up Validation'!$S$105</f>
        <v>0</v>
      </c>
      <c r="AE3366" s="106"/>
      <c r="AF3366" s="129">
        <f>SUM(T3366,V3366,X3366,Z3366,AB3366,AD3366)</f>
        <v>0</v>
      </c>
      <c r="AG3366" s="106"/>
      <c r="AH3366" s="130">
        <f>SUM(AF3366,R3366)</f>
        <v>0</v>
      </c>
      <c r="AI3366" s="106"/>
      <c r="AJ3366" s="65"/>
      <c r="AV3366" s="56"/>
    </row>
    <row r="3367" spans="1:48" ht="12.75" hidden="1" customHeight="1" outlineLevel="2" thickBot="1">
      <c r="B3367" s="82"/>
      <c r="C3367" s="1234"/>
      <c r="D3367" s="1234"/>
      <c r="E3367" s="84" t="str">
        <f>'Terms and Turnovers'!$T$12</f>
        <v>ORIGINALS</v>
      </c>
      <c r="F3367" s="68">
        <f>F1938/1.18-F2653*'Mark Up Validation'!$M$105</f>
        <v>0</v>
      </c>
      <c r="G3367" s="728"/>
      <c r="H3367" s="68">
        <f>H1938/1.18-H2653*'Mark Up Validation'!$M$105</f>
        <v>0</v>
      </c>
      <c r="I3367" s="728"/>
      <c r="J3367" s="68">
        <f>J1938/1.18-J2653*'Mark Up Validation'!$M$105</f>
        <v>0</v>
      </c>
      <c r="K3367" s="728"/>
      <c r="L3367" s="68">
        <f>L1938/1.18-L2653*'Mark Up Validation'!$M$105</f>
        <v>0</v>
      </c>
      <c r="M3367" s="728"/>
      <c r="N3367" s="68">
        <f>N1938/1.18-N2653*'Mark Up Validation'!$M$105</f>
        <v>0</v>
      </c>
      <c r="O3367" s="728"/>
      <c r="P3367" s="68">
        <f>P1938/1.18-P2653*'Mark Up Validation'!$M$105</f>
        <v>0</v>
      </c>
      <c r="Q3367" s="728"/>
      <c r="R3367" s="132">
        <f>SUM(F3367,H3367,J3367,L3367,N3367,P3367)</f>
        <v>0</v>
      </c>
      <c r="S3367" s="728"/>
      <c r="T3367" s="68">
        <f>T1938/1.18-T2653*'Mark Up Validation'!$S$105</f>
        <v>0</v>
      </c>
      <c r="U3367" s="728"/>
      <c r="V3367" s="68">
        <f>V1938/1.18-V2653*'Mark Up Validation'!$S$105</f>
        <v>0</v>
      </c>
      <c r="W3367" s="728"/>
      <c r="X3367" s="68">
        <f>X1938/1.18-X2653*'Mark Up Validation'!$S$105</f>
        <v>0</v>
      </c>
      <c r="Y3367" s="728"/>
      <c r="Z3367" s="68">
        <f>Z1938/1.18-Z2653*'Mark Up Validation'!$S$105</f>
        <v>0</v>
      </c>
      <c r="AA3367" s="728"/>
      <c r="AB3367" s="68">
        <f>AB1938/1.18-AB2653*'Mark Up Validation'!$S$105</f>
        <v>0</v>
      </c>
      <c r="AC3367" s="728"/>
      <c r="AD3367" s="68">
        <f>AD1938/1.18-AD2653*'Mark Up Validation'!$S$105</f>
        <v>0</v>
      </c>
      <c r="AE3367" s="728"/>
      <c r="AF3367" s="132">
        <f>SUM(T3367,V3367,X3367,Z3367,AB3367,AD3367)</f>
        <v>0</v>
      </c>
      <c r="AG3367" s="728"/>
      <c r="AH3367" s="133">
        <f>SUM(AF3367,R3367)</f>
        <v>0</v>
      </c>
      <c r="AI3367" s="728"/>
      <c r="AJ3367" s="65"/>
      <c r="AV3367" s="56"/>
    </row>
    <row r="3368" spans="1:48" ht="12.75" hidden="1" customHeight="1" outlineLevel="2" thickBot="1">
      <c r="B3368" s="82"/>
      <c r="C3368" s="1234"/>
      <c r="D3368" s="1234"/>
      <c r="E3368" s="84" t="str">
        <f>'Terms and Turnovers'!$AD$12</f>
        <v>ACCESSORIES</v>
      </c>
      <c r="F3368" s="68">
        <f>F1939/1.18-F2654*'Mark Up Validation'!$M$105</f>
        <v>0</v>
      </c>
      <c r="G3368" s="106"/>
      <c r="H3368" s="68">
        <f>H1939/1.18-H2654*'Mark Up Validation'!$M$105</f>
        <v>0</v>
      </c>
      <c r="I3368" s="106"/>
      <c r="J3368" s="68">
        <f>J1939/1.18-J2654*'Mark Up Validation'!$M$105</f>
        <v>0</v>
      </c>
      <c r="K3368" s="106"/>
      <c r="L3368" s="68">
        <f>L1939/1.18-L2654*'Mark Up Validation'!$M$105</f>
        <v>0</v>
      </c>
      <c r="M3368" s="106"/>
      <c r="N3368" s="68">
        <f>N1939/1.18-N2654*'Mark Up Validation'!$M$105</f>
        <v>0</v>
      </c>
      <c r="O3368" s="106"/>
      <c r="P3368" s="68">
        <f>P1939/1.18-P2654*'Mark Up Validation'!$M$105</f>
        <v>0</v>
      </c>
      <c r="Q3368" s="728"/>
      <c r="R3368" s="132">
        <f>SUM(F3368,H3368,J3368,L3368,N3368,P3368)</f>
        <v>0</v>
      </c>
      <c r="S3368" s="728"/>
      <c r="T3368" s="68">
        <f>T1939/1.18-T2654*'Mark Up Validation'!$S$105</f>
        <v>0</v>
      </c>
      <c r="U3368" s="728"/>
      <c r="V3368" s="68">
        <f>V1939/1.18-V2654*'Mark Up Validation'!$S$105</f>
        <v>0</v>
      </c>
      <c r="W3368" s="728"/>
      <c r="X3368" s="68">
        <f>X1939/1.18-X2654*'Mark Up Validation'!$S$105</f>
        <v>0</v>
      </c>
      <c r="Y3368" s="728"/>
      <c r="Z3368" s="68">
        <f>Z1939/1.18-Z2654*'Mark Up Validation'!$S$105</f>
        <v>0</v>
      </c>
      <c r="AA3368" s="728"/>
      <c r="AB3368" s="68">
        <f>AB1939/1.18-AB2654*'Mark Up Validation'!$S$105</f>
        <v>0</v>
      </c>
      <c r="AC3368" s="728"/>
      <c r="AD3368" s="68">
        <f>AD1939/1.18-AD2654*'Mark Up Validation'!$S$105</f>
        <v>0</v>
      </c>
      <c r="AE3368" s="728"/>
      <c r="AF3368" s="132">
        <f>SUM(T3368,V3368,X3368,Z3368,AB3368,AD3368)</f>
        <v>0</v>
      </c>
      <c r="AG3368" s="728"/>
      <c r="AH3368" s="133">
        <f>SUM(AF3368,R3368)</f>
        <v>0</v>
      </c>
      <c r="AI3368" s="728"/>
      <c r="AJ3368" s="65"/>
      <c r="AV3368" s="56"/>
    </row>
    <row r="3369" spans="1:48" ht="12.75" hidden="1" customHeight="1" outlineLevel="2" thickBot="1">
      <c r="B3369" s="82"/>
      <c r="C3369" s="1234"/>
      <c r="D3369" s="1234"/>
      <c r="E3369" s="84">
        <f>'Terms and Turnovers'!$AN$12</f>
        <v>0</v>
      </c>
      <c r="F3369" s="68">
        <f>F1940/1.18-F2655*'Mark Up Validation'!$M$105</f>
        <v>0</v>
      </c>
      <c r="G3369" s="728"/>
      <c r="H3369" s="68">
        <f>H1940/1.18-H2655*'Mark Up Validation'!$M$105</f>
        <v>0</v>
      </c>
      <c r="I3369" s="728"/>
      <c r="J3369" s="68">
        <f>J1940/1.18-J2655*'Mark Up Validation'!$M$105</f>
        <v>0</v>
      </c>
      <c r="K3369" s="728"/>
      <c r="L3369" s="68">
        <f>L1940/1.18-L2655*'Mark Up Validation'!$M$105</f>
        <v>0</v>
      </c>
      <c r="M3369" s="728"/>
      <c r="N3369" s="68">
        <f>N1940/1.18-N2655*'Mark Up Validation'!$M$105</f>
        <v>0</v>
      </c>
      <c r="O3369" s="728"/>
      <c r="P3369" s="68">
        <f>P1940/1.18-P2655*'Mark Up Validation'!$M$105</f>
        <v>0</v>
      </c>
      <c r="Q3369" s="728"/>
      <c r="R3369" s="132">
        <f>SUM(F3369,H3369,J3369,L3369,N3369,P3369)</f>
        <v>0</v>
      </c>
      <c r="S3369" s="728"/>
      <c r="T3369" s="68">
        <f>T1940/1.18-T2655*'Mark Up Validation'!$S$105</f>
        <v>0</v>
      </c>
      <c r="U3369" s="728"/>
      <c r="V3369" s="68">
        <f>V1940/1.18-V2655*'Mark Up Validation'!$S$105</f>
        <v>0</v>
      </c>
      <c r="W3369" s="728"/>
      <c r="X3369" s="68">
        <f>X1940/1.18-X2655*'Mark Up Validation'!$S$105</f>
        <v>0</v>
      </c>
      <c r="Y3369" s="728"/>
      <c r="Z3369" s="68">
        <f>Z1940/1.18-Z2655*'Mark Up Validation'!$S$105</f>
        <v>0</v>
      </c>
      <c r="AA3369" s="728"/>
      <c r="AB3369" s="68">
        <f>AB1940/1.18-AB2655*'Mark Up Validation'!$S$105</f>
        <v>0</v>
      </c>
      <c r="AC3369" s="728"/>
      <c r="AD3369" s="68">
        <f>AD1940/1.18-AD2655*'Mark Up Validation'!$S$105</f>
        <v>0</v>
      </c>
      <c r="AE3369" s="728"/>
      <c r="AF3369" s="132">
        <f>SUM(T3369,V3369,X3369,Z3369,AB3369,AD3369)</f>
        <v>0</v>
      </c>
      <c r="AG3369" s="728"/>
      <c r="AH3369" s="133">
        <f>SUM(AF3369,R3369)</f>
        <v>0</v>
      </c>
      <c r="AI3369" s="728"/>
      <c r="AJ3369" s="65"/>
      <c r="AV3369" s="56"/>
    </row>
    <row r="3370" spans="1:48" ht="13.5" hidden="1" customHeight="1" outlineLevel="2" thickBot="1">
      <c r="B3370" s="82"/>
      <c r="C3370" s="1235"/>
      <c r="D3370" s="1235"/>
      <c r="E3370" s="85">
        <f>'Terms and Turnovers'!$AX$12</f>
        <v>0</v>
      </c>
      <c r="F3370" s="68">
        <f>F1941/1.18-F2656*'Mark Up Validation'!$M$105</f>
        <v>0</v>
      </c>
      <c r="G3370" s="106"/>
      <c r="H3370" s="68">
        <f>H1941/1.18-H2656*'Mark Up Validation'!$M$105</f>
        <v>0</v>
      </c>
      <c r="I3370" s="106"/>
      <c r="J3370" s="68">
        <f>J1941/1.18-J2656*'Mark Up Validation'!$M$105</f>
        <v>0</v>
      </c>
      <c r="K3370" s="106"/>
      <c r="L3370" s="68">
        <f>L1941/1.18-L2656*'Mark Up Validation'!$M$105</f>
        <v>0</v>
      </c>
      <c r="M3370" s="106"/>
      <c r="N3370" s="68">
        <f>N1941/1.18-N2656*'Mark Up Validation'!$M$105</f>
        <v>0</v>
      </c>
      <c r="O3370" s="106"/>
      <c r="P3370" s="68">
        <f>P1941/1.18-P2656*'Mark Up Validation'!$M$105</f>
        <v>0</v>
      </c>
      <c r="Q3370" s="107"/>
      <c r="R3370" s="135">
        <f>SUM(F3370,H3370,J3370,L3370,N3370,P3370)</f>
        <v>0</v>
      </c>
      <c r="S3370" s="107"/>
      <c r="T3370" s="68">
        <f>T1941/1.18-T2656*'Mark Up Validation'!$S$105</f>
        <v>0</v>
      </c>
      <c r="U3370" s="107"/>
      <c r="V3370" s="68">
        <f>V1941/1.18-V2656*'Mark Up Validation'!$S$105</f>
        <v>0</v>
      </c>
      <c r="W3370" s="107"/>
      <c r="X3370" s="68">
        <f>X1941/1.18-X2656*'Mark Up Validation'!$S$105</f>
        <v>0</v>
      </c>
      <c r="Y3370" s="107"/>
      <c r="Z3370" s="68">
        <f>Z1941/1.18-Z2656*'Mark Up Validation'!$S$105</f>
        <v>0</v>
      </c>
      <c r="AA3370" s="107"/>
      <c r="AB3370" s="68">
        <f>AB1941/1.18-AB2656*'Mark Up Validation'!$S$105</f>
        <v>0</v>
      </c>
      <c r="AC3370" s="107"/>
      <c r="AD3370" s="68">
        <f>AD1941/1.18-AD2656*'Mark Up Validation'!$S$105</f>
        <v>0</v>
      </c>
      <c r="AE3370" s="107"/>
      <c r="AF3370" s="135">
        <f>SUM(T3370,V3370,X3370,Z3370,AB3370,AD3370)</f>
        <v>0</v>
      </c>
      <c r="AG3370" s="107"/>
      <c r="AH3370" s="136">
        <f>SUM(AF3370,R3370)</f>
        <v>0</v>
      </c>
      <c r="AI3370" s="107"/>
      <c r="AJ3370" s="65"/>
      <c r="AV3370" s="56"/>
    </row>
    <row r="3371" spans="1:48" ht="13.5" hidden="1" customHeight="1" outlineLevel="2">
      <c r="B3371" s="82"/>
      <c r="C3371" s="425"/>
      <c r="D3371" s="425"/>
      <c r="E3371" s="634"/>
      <c r="F3371" s="635"/>
      <c r="G3371" s="428"/>
      <c r="H3371" s="635"/>
      <c r="I3371" s="428"/>
      <c r="J3371" s="635"/>
      <c r="K3371" s="636"/>
      <c r="L3371" s="635"/>
      <c r="M3371" s="636"/>
      <c r="N3371" s="635"/>
      <c r="O3371" s="636"/>
      <c r="P3371" s="635"/>
      <c r="Q3371" s="636"/>
      <c r="R3371" s="637"/>
      <c r="S3371" s="698">
        <f>SUM(R2651:R2655)/1.18-(SUM(R3366:R3370)*'Mark Up Validation'!$M$105)</f>
        <v>0</v>
      </c>
      <c r="T3371" s="635"/>
      <c r="U3371" s="636"/>
      <c r="V3371" s="635"/>
      <c r="W3371" s="636"/>
      <c r="X3371" s="635"/>
      <c r="Y3371" s="636"/>
      <c r="Z3371" s="635"/>
      <c r="AA3371" s="636"/>
      <c r="AB3371" s="635"/>
      <c r="AC3371" s="636"/>
      <c r="AD3371" s="635"/>
      <c r="AE3371" s="636"/>
      <c r="AF3371" s="637"/>
      <c r="AG3371" s="698">
        <f>SUM(AF2651:AF2655)/1.18-SUM(AF3366:AF3370)*'Mark Up Validation'!$M$175</f>
        <v>0</v>
      </c>
      <c r="AH3371" s="638"/>
      <c r="AI3371" s="698">
        <f>SUM(AH2651:AH2655)/1.18-SUM(AH3366:AH3370)*'Mark Up Validation'!$M$175</f>
        <v>0</v>
      </c>
      <c r="AJ3371" s="65"/>
      <c r="AV3371" s="56"/>
    </row>
    <row r="3372" spans="1:48" ht="13.5" hidden="1" customHeight="1" outlineLevel="2" thickBot="1">
      <c r="A3372" s="119"/>
      <c r="B3372" s="82"/>
      <c r="C3372" s="1228" t="s">
        <v>539</v>
      </c>
      <c r="D3372" s="1229"/>
      <c r="E3372" s="699"/>
      <c r="F3372" s="700">
        <f>SUM(F3366:F3370)</f>
        <v>0</v>
      </c>
      <c r="G3372" s="701"/>
      <c r="H3372" s="700">
        <f>SUM(H3366:H3370)</f>
        <v>0</v>
      </c>
      <c r="I3372" s="701"/>
      <c r="J3372" s="700">
        <f>SUM(J3366:J3370)</f>
        <v>0</v>
      </c>
      <c r="K3372" s="702"/>
      <c r="L3372" s="700">
        <f>SUM(L3366:L3370)</f>
        <v>0</v>
      </c>
      <c r="M3372" s="702"/>
      <c r="N3372" s="700">
        <f>SUM(N3366:N3370)</f>
        <v>0</v>
      </c>
      <c r="O3372" s="702"/>
      <c r="P3372" s="700">
        <f>SUM(P3366:P3370)</f>
        <v>0</v>
      </c>
      <c r="Q3372" s="702"/>
      <c r="R3372" s="703"/>
      <c r="S3372" s="729">
        <f>IF(S3371&gt;0,S3371/(SUM(R2651:R2655)/1.18),0)</f>
        <v>0</v>
      </c>
      <c r="T3372" s="700">
        <f>SUM(T3366:T3370)</f>
        <v>0</v>
      </c>
      <c r="U3372" s="702"/>
      <c r="V3372" s="700">
        <f>SUM(V3366:V3370)</f>
        <v>0</v>
      </c>
      <c r="W3372" s="702"/>
      <c r="X3372" s="700">
        <f>SUM(X3366:X3370)</f>
        <v>0</v>
      </c>
      <c r="Y3372" s="702"/>
      <c r="Z3372" s="700">
        <f>SUM(Z3366:Z3370)</f>
        <v>0</v>
      </c>
      <c r="AA3372" s="702"/>
      <c r="AB3372" s="700">
        <f>SUM(AB3366:AB3370)</f>
        <v>0</v>
      </c>
      <c r="AC3372" s="702"/>
      <c r="AD3372" s="700">
        <f>SUM(AD3366:AD3370)</f>
        <v>0</v>
      </c>
      <c r="AE3372" s="702"/>
      <c r="AF3372" s="705"/>
      <c r="AG3372" s="729">
        <f>IF(AG3371&gt;0,AG3371/(SUM(AF2651:AF2655)/1.18),0)</f>
        <v>0</v>
      </c>
      <c r="AH3372" s="706"/>
      <c r="AI3372" s="729">
        <f>IF(AI3371&gt;0,AI3371/(SUM(AH2651:AH2655)/1.18),0)</f>
        <v>0</v>
      </c>
      <c r="AJ3372" s="707"/>
      <c r="AV3372" s="56"/>
    </row>
    <row r="3373" spans="1:48" ht="12.75" hidden="1" customHeight="1" outlineLevel="2" thickBot="1">
      <c r="B3373" s="82">
        <f>B3366+1</f>
        <v>71</v>
      </c>
      <c r="C3373" s="1233">
        <f>C503</f>
        <v>0</v>
      </c>
      <c r="D3373" s="1233">
        <f>D503</f>
        <v>0</v>
      </c>
      <c r="E3373" s="83" t="str">
        <f>'Terms and Turnovers'!$J$12</f>
        <v>FLIP-FLOPS</v>
      </c>
      <c r="F3373" s="68">
        <f>F1944/1.18-F2659*'Mark Up Validation'!$M$105</f>
        <v>0</v>
      </c>
      <c r="G3373" s="106"/>
      <c r="H3373" s="68">
        <f>H1944/1.18-H2659*'Mark Up Validation'!$M$105</f>
        <v>0</v>
      </c>
      <c r="I3373" s="106"/>
      <c r="J3373" s="68">
        <f>J1944/1.18-J2659*'Mark Up Validation'!$M$105</f>
        <v>0</v>
      </c>
      <c r="K3373" s="106"/>
      <c r="L3373" s="68">
        <f>L1944/1.18-L2659*'Mark Up Validation'!$M$105</f>
        <v>0</v>
      </c>
      <c r="M3373" s="106"/>
      <c r="N3373" s="68">
        <f>N1944/1.18-N2659*'Mark Up Validation'!$M$105</f>
        <v>0</v>
      </c>
      <c r="O3373" s="106"/>
      <c r="P3373" s="68">
        <f>P1944/1.18-P2659*'Mark Up Validation'!$M$105</f>
        <v>0</v>
      </c>
      <c r="Q3373" s="106"/>
      <c r="R3373" s="129">
        <f>SUM(F3373,H3373,J3373,L3373,N3373,P3373)</f>
        <v>0</v>
      </c>
      <c r="S3373" s="106"/>
      <c r="T3373" s="68">
        <f>T1944/1.18-T2659*'Mark Up Validation'!$S$105</f>
        <v>0</v>
      </c>
      <c r="U3373" s="106"/>
      <c r="V3373" s="68">
        <f>V1944/1.18-V2659*'Mark Up Validation'!$S$105</f>
        <v>0</v>
      </c>
      <c r="W3373" s="106"/>
      <c r="X3373" s="68">
        <f>X1944/1.18-X2659*'Mark Up Validation'!$S$105</f>
        <v>0</v>
      </c>
      <c r="Y3373" s="106"/>
      <c r="Z3373" s="68">
        <f>Z1944/1.18-Z2659*'Mark Up Validation'!$S$105</f>
        <v>0</v>
      </c>
      <c r="AA3373" s="106"/>
      <c r="AB3373" s="68">
        <f>AB1944/1.18-AB2659*'Mark Up Validation'!$S$105</f>
        <v>0</v>
      </c>
      <c r="AC3373" s="106"/>
      <c r="AD3373" s="68">
        <f>AD1944/1.18-AD2659*'Mark Up Validation'!$S$105</f>
        <v>0</v>
      </c>
      <c r="AE3373" s="106"/>
      <c r="AF3373" s="129">
        <f>SUM(T3373,V3373,X3373,Z3373,AB3373,AD3373)</f>
        <v>0</v>
      </c>
      <c r="AG3373" s="106"/>
      <c r="AH3373" s="130">
        <f>SUM(AF3373,R3373)</f>
        <v>0</v>
      </c>
      <c r="AI3373" s="106"/>
      <c r="AJ3373" s="65"/>
      <c r="AV3373" s="56"/>
    </row>
    <row r="3374" spans="1:48" ht="12.75" hidden="1" customHeight="1" outlineLevel="2" thickBot="1">
      <c r="B3374" s="82"/>
      <c r="C3374" s="1234"/>
      <c r="D3374" s="1234"/>
      <c r="E3374" s="84" t="str">
        <f>'Terms and Turnovers'!$T$12</f>
        <v>ORIGINALS</v>
      </c>
      <c r="F3374" s="68">
        <f>F1945/1.18-F2660*'Mark Up Validation'!$M$105</f>
        <v>0</v>
      </c>
      <c r="G3374" s="728"/>
      <c r="H3374" s="68">
        <f>H1945/1.18-H2660*'Mark Up Validation'!$M$105</f>
        <v>0</v>
      </c>
      <c r="I3374" s="728"/>
      <c r="J3374" s="68">
        <f>J1945/1.18-J2660*'Mark Up Validation'!$M$105</f>
        <v>0</v>
      </c>
      <c r="K3374" s="728"/>
      <c r="L3374" s="68">
        <f>L1945/1.18-L2660*'Mark Up Validation'!$M$105</f>
        <v>0</v>
      </c>
      <c r="M3374" s="728"/>
      <c r="N3374" s="68">
        <f>N1945/1.18-N2660*'Mark Up Validation'!$M$105</f>
        <v>0</v>
      </c>
      <c r="O3374" s="728"/>
      <c r="P3374" s="68">
        <f>P1945/1.18-P2660*'Mark Up Validation'!$M$105</f>
        <v>0</v>
      </c>
      <c r="Q3374" s="728"/>
      <c r="R3374" s="132">
        <f>SUM(F3374,H3374,J3374,L3374,N3374,P3374)</f>
        <v>0</v>
      </c>
      <c r="S3374" s="728"/>
      <c r="T3374" s="68">
        <f>T1945/1.18-T2660*'Mark Up Validation'!$S$105</f>
        <v>0</v>
      </c>
      <c r="U3374" s="728"/>
      <c r="V3374" s="68">
        <f>V1945/1.18-V2660*'Mark Up Validation'!$S$105</f>
        <v>0</v>
      </c>
      <c r="W3374" s="728"/>
      <c r="X3374" s="68">
        <f>X1945/1.18-X2660*'Mark Up Validation'!$S$105</f>
        <v>0</v>
      </c>
      <c r="Y3374" s="728"/>
      <c r="Z3374" s="68">
        <f>Z1945/1.18-Z2660*'Mark Up Validation'!$S$105</f>
        <v>0</v>
      </c>
      <c r="AA3374" s="728"/>
      <c r="AB3374" s="68">
        <f>AB1945/1.18-AB2660*'Mark Up Validation'!$S$105</f>
        <v>0</v>
      </c>
      <c r="AC3374" s="728"/>
      <c r="AD3374" s="68">
        <f>AD1945/1.18-AD2660*'Mark Up Validation'!$S$105</f>
        <v>0</v>
      </c>
      <c r="AE3374" s="728"/>
      <c r="AF3374" s="132">
        <f>SUM(T3374,V3374,X3374,Z3374,AB3374,AD3374)</f>
        <v>0</v>
      </c>
      <c r="AG3374" s="728"/>
      <c r="AH3374" s="133">
        <f>SUM(AF3374,R3374)</f>
        <v>0</v>
      </c>
      <c r="AI3374" s="728"/>
      <c r="AJ3374" s="65"/>
      <c r="AV3374" s="56"/>
    </row>
    <row r="3375" spans="1:48" ht="12.75" hidden="1" customHeight="1" outlineLevel="2" thickBot="1">
      <c r="B3375" s="82"/>
      <c r="C3375" s="1234"/>
      <c r="D3375" s="1234"/>
      <c r="E3375" s="84" t="str">
        <f>'Terms and Turnovers'!$AD$12</f>
        <v>ACCESSORIES</v>
      </c>
      <c r="F3375" s="68">
        <f>F1946/1.18-F2661*'Mark Up Validation'!$M$105</f>
        <v>0</v>
      </c>
      <c r="G3375" s="106"/>
      <c r="H3375" s="68">
        <f>H1946/1.18-H2661*'Mark Up Validation'!$M$105</f>
        <v>0</v>
      </c>
      <c r="I3375" s="106"/>
      <c r="J3375" s="68">
        <f>J1946/1.18-J2661*'Mark Up Validation'!$M$105</f>
        <v>0</v>
      </c>
      <c r="K3375" s="106"/>
      <c r="L3375" s="68">
        <f>L1946/1.18-L2661*'Mark Up Validation'!$M$105</f>
        <v>0</v>
      </c>
      <c r="M3375" s="106"/>
      <c r="N3375" s="68">
        <f>N1946/1.18-N2661*'Mark Up Validation'!$M$105</f>
        <v>0</v>
      </c>
      <c r="O3375" s="106"/>
      <c r="P3375" s="68">
        <f>P1946/1.18-P2661*'Mark Up Validation'!$M$105</f>
        <v>0</v>
      </c>
      <c r="Q3375" s="728"/>
      <c r="R3375" s="132">
        <f>SUM(F3375,H3375,J3375,L3375,N3375,P3375)</f>
        <v>0</v>
      </c>
      <c r="S3375" s="728"/>
      <c r="T3375" s="68">
        <f>T1946/1.18-T2661*'Mark Up Validation'!$S$105</f>
        <v>0</v>
      </c>
      <c r="U3375" s="728"/>
      <c r="V3375" s="68">
        <f>V1946/1.18-V2661*'Mark Up Validation'!$S$105</f>
        <v>0</v>
      </c>
      <c r="W3375" s="728"/>
      <c r="X3375" s="68">
        <f>X1946/1.18-X2661*'Mark Up Validation'!$S$105</f>
        <v>0</v>
      </c>
      <c r="Y3375" s="728"/>
      <c r="Z3375" s="68">
        <f>Z1946/1.18-Z2661*'Mark Up Validation'!$S$105</f>
        <v>0</v>
      </c>
      <c r="AA3375" s="728"/>
      <c r="AB3375" s="68">
        <f>AB1946/1.18-AB2661*'Mark Up Validation'!$S$105</f>
        <v>0</v>
      </c>
      <c r="AC3375" s="728"/>
      <c r="AD3375" s="68">
        <f>AD1946/1.18-AD2661*'Mark Up Validation'!$S$105</f>
        <v>0</v>
      </c>
      <c r="AE3375" s="728"/>
      <c r="AF3375" s="132">
        <f>SUM(T3375,V3375,X3375,Z3375,AB3375,AD3375)</f>
        <v>0</v>
      </c>
      <c r="AG3375" s="728"/>
      <c r="AH3375" s="133">
        <f>SUM(AF3375,R3375)</f>
        <v>0</v>
      </c>
      <c r="AI3375" s="728"/>
      <c r="AJ3375" s="65"/>
      <c r="AV3375" s="56"/>
    </row>
    <row r="3376" spans="1:48" ht="12.75" hidden="1" customHeight="1" outlineLevel="2" thickBot="1">
      <c r="B3376" s="82"/>
      <c r="C3376" s="1234"/>
      <c r="D3376" s="1234"/>
      <c r="E3376" s="84">
        <f>'Terms and Turnovers'!$AN$12</f>
        <v>0</v>
      </c>
      <c r="F3376" s="68">
        <f>F1947/1.18-F2662*'Mark Up Validation'!$M$105</f>
        <v>0</v>
      </c>
      <c r="G3376" s="728"/>
      <c r="H3376" s="68">
        <f>H1947/1.18-H2662*'Mark Up Validation'!$M$105</f>
        <v>0</v>
      </c>
      <c r="I3376" s="728"/>
      <c r="J3376" s="68">
        <f>J1947/1.18-J2662*'Mark Up Validation'!$M$105</f>
        <v>0</v>
      </c>
      <c r="K3376" s="728"/>
      <c r="L3376" s="68">
        <f>L1947/1.18-L2662*'Mark Up Validation'!$M$105</f>
        <v>0</v>
      </c>
      <c r="M3376" s="728"/>
      <c r="N3376" s="68">
        <f>N1947/1.18-N2662*'Mark Up Validation'!$M$105</f>
        <v>0</v>
      </c>
      <c r="O3376" s="728"/>
      <c r="P3376" s="68">
        <f>P1947/1.18-P2662*'Mark Up Validation'!$M$105</f>
        <v>0</v>
      </c>
      <c r="Q3376" s="728"/>
      <c r="R3376" s="132">
        <f>SUM(F3376,H3376,J3376,L3376,N3376,P3376)</f>
        <v>0</v>
      </c>
      <c r="S3376" s="728"/>
      <c r="T3376" s="68">
        <f>T1947/1.18-T2662*'Mark Up Validation'!$S$105</f>
        <v>0</v>
      </c>
      <c r="U3376" s="728"/>
      <c r="V3376" s="68">
        <f>V1947/1.18-V2662*'Mark Up Validation'!$S$105</f>
        <v>0</v>
      </c>
      <c r="W3376" s="728"/>
      <c r="X3376" s="68">
        <f>X1947/1.18-X2662*'Mark Up Validation'!$S$105</f>
        <v>0</v>
      </c>
      <c r="Y3376" s="728"/>
      <c r="Z3376" s="68">
        <f>Z1947/1.18-Z2662*'Mark Up Validation'!$S$105</f>
        <v>0</v>
      </c>
      <c r="AA3376" s="728"/>
      <c r="AB3376" s="68">
        <f>AB1947/1.18-AB2662*'Mark Up Validation'!$S$105</f>
        <v>0</v>
      </c>
      <c r="AC3376" s="728"/>
      <c r="AD3376" s="68">
        <f>AD1947/1.18-AD2662*'Mark Up Validation'!$S$105</f>
        <v>0</v>
      </c>
      <c r="AE3376" s="728"/>
      <c r="AF3376" s="132">
        <f>SUM(T3376,V3376,X3376,Z3376,AB3376,AD3376)</f>
        <v>0</v>
      </c>
      <c r="AG3376" s="728"/>
      <c r="AH3376" s="133">
        <f>SUM(AF3376,R3376)</f>
        <v>0</v>
      </c>
      <c r="AI3376" s="728"/>
      <c r="AJ3376" s="65"/>
      <c r="AV3376" s="56"/>
    </row>
    <row r="3377" spans="1:48" ht="13.5" hidden="1" customHeight="1" outlineLevel="2" thickBot="1">
      <c r="B3377" s="82"/>
      <c r="C3377" s="1235"/>
      <c r="D3377" s="1235"/>
      <c r="E3377" s="85">
        <f>'Terms and Turnovers'!$AX$12</f>
        <v>0</v>
      </c>
      <c r="F3377" s="68">
        <f>F1948/1.18-F2663*'Mark Up Validation'!$M$105</f>
        <v>0</v>
      </c>
      <c r="G3377" s="106"/>
      <c r="H3377" s="68">
        <f>H1948/1.18-H2663*'Mark Up Validation'!$M$105</f>
        <v>0</v>
      </c>
      <c r="I3377" s="106"/>
      <c r="J3377" s="68">
        <f>J1948/1.18-J2663*'Mark Up Validation'!$M$105</f>
        <v>0</v>
      </c>
      <c r="K3377" s="106"/>
      <c r="L3377" s="68">
        <f>L1948/1.18-L2663*'Mark Up Validation'!$M$105</f>
        <v>0</v>
      </c>
      <c r="M3377" s="106"/>
      <c r="N3377" s="68">
        <f>N1948/1.18-N2663*'Mark Up Validation'!$M$105</f>
        <v>0</v>
      </c>
      <c r="O3377" s="106"/>
      <c r="P3377" s="68">
        <f>P1948/1.18-P2663*'Mark Up Validation'!$M$105</f>
        <v>0</v>
      </c>
      <c r="Q3377" s="107"/>
      <c r="R3377" s="135">
        <f>SUM(F3377,H3377,J3377,L3377,N3377,P3377)</f>
        <v>0</v>
      </c>
      <c r="S3377" s="107"/>
      <c r="T3377" s="68">
        <f>T1948/1.18-T2663*'Mark Up Validation'!$S$105</f>
        <v>0</v>
      </c>
      <c r="U3377" s="107"/>
      <c r="V3377" s="68">
        <f>V1948/1.18-V2663*'Mark Up Validation'!$S$105</f>
        <v>0</v>
      </c>
      <c r="W3377" s="107"/>
      <c r="X3377" s="68">
        <f>X1948/1.18-X2663*'Mark Up Validation'!$S$105</f>
        <v>0</v>
      </c>
      <c r="Y3377" s="107"/>
      <c r="Z3377" s="68">
        <f>Z1948/1.18-Z2663*'Mark Up Validation'!$S$105</f>
        <v>0</v>
      </c>
      <c r="AA3377" s="107"/>
      <c r="AB3377" s="68">
        <f>AB1948/1.18-AB2663*'Mark Up Validation'!$S$105</f>
        <v>0</v>
      </c>
      <c r="AC3377" s="107"/>
      <c r="AD3377" s="68">
        <f>AD1948/1.18-AD2663*'Mark Up Validation'!$S$105</f>
        <v>0</v>
      </c>
      <c r="AE3377" s="107"/>
      <c r="AF3377" s="135">
        <f>SUM(T3377,V3377,X3377,Z3377,AB3377,AD3377)</f>
        <v>0</v>
      </c>
      <c r="AG3377" s="107"/>
      <c r="AH3377" s="136">
        <f>SUM(AF3377,R3377)</f>
        <v>0</v>
      </c>
      <c r="AI3377" s="107"/>
      <c r="AJ3377" s="65"/>
      <c r="AV3377" s="56"/>
    </row>
    <row r="3378" spans="1:48" ht="13.5" hidden="1" customHeight="1" outlineLevel="2">
      <c r="B3378" s="82"/>
      <c r="C3378" s="425"/>
      <c r="D3378" s="425"/>
      <c r="E3378" s="634"/>
      <c r="F3378" s="635"/>
      <c r="G3378" s="428"/>
      <c r="H3378" s="635"/>
      <c r="I3378" s="428"/>
      <c r="J3378" s="635"/>
      <c r="K3378" s="636"/>
      <c r="L3378" s="635"/>
      <c r="M3378" s="636"/>
      <c r="N3378" s="635"/>
      <c r="O3378" s="636"/>
      <c r="P3378" s="635"/>
      <c r="Q3378" s="636"/>
      <c r="R3378" s="637"/>
      <c r="S3378" s="698">
        <f>SUM(R2658:R2662)/1.18-(SUM(R3373:R3377)*'Mark Up Validation'!$M$105)</f>
        <v>0</v>
      </c>
      <c r="T3378" s="635"/>
      <c r="U3378" s="636"/>
      <c r="V3378" s="635"/>
      <c r="W3378" s="636"/>
      <c r="X3378" s="635"/>
      <c r="Y3378" s="636"/>
      <c r="Z3378" s="635"/>
      <c r="AA3378" s="636"/>
      <c r="AB3378" s="635"/>
      <c r="AC3378" s="636"/>
      <c r="AD3378" s="635"/>
      <c r="AE3378" s="636"/>
      <c r="AF3378" s="637"/>
      <c r="AG3378" s="698">
        <f>SUM(AF2658:AF2662)/1.18-SUM(AF3373:AF3377)*'Mark Up Validation'!$M$175</f>
        <v>0</v>
      </c>
      <c r="AH3378" s="638"/>
      <c r="AI3378" s="698">
        <f>SUM(AH2658:AH2662)/1.18-SUM(AH3373:AH3377)*'Mark Up Validation'!$M$175</f>
        <v>0</v>
      </c>
      <c r="AJ3378" s="65"/>
      <c r="AV3378" s="56"/>
    </row>
    <row r="3379" spans="1:48" ht="13.5" hidden="1" customHeight="1" outlineLevel="2" thickBot="1">
      <c r="A3379" s="119"/>
      <c r="B3379" s="82"/>
      <c r="C3379" s="1228" t="s">
        <v>539</v>
      </c>
      <c r="D3379" s="1229"/>
      <c r="E3379" s="699"/>
      <c r="F3379" s="700">
        <f>SUM(F3373:F3377)</f>
        <v>0</v>
      </c>
      <c r="G3379" s="701"/>
      <c r="H3379" s="700">
        <f>SUM(H3373:H3377)</f>
        <v>0</v>
      </c>
      <c r="I3379" s="701"/>
      <c r="J3379" s="700">
        <f>SUM(J3373:J3377)</f>
        <v>0</v>
      </c>
      <c r="K3379" s="702"/>
      <c r="L3379" s="700">
        <f>SUM(L3373:L3377)</f>
        <v>0</v>
      </c>
      <c r="M3379" s="702"/>
      <c r="N3379" s="700">
        <f>SUM(N3373:N3377)</f>
        <v>0</v>
      </c>
      <c r="O3379" s="702"/>
      <c r="P3379" s="700">
        <f>SUM(P3373:P3377)</f>
        <v>0</v>
      </c>
      <c r="Q3379" s="702"/>
      <c r="R3379" s="703"/>
      <c r="S3379" s="729">
        <f>IF(S3378&gt;0,S3378/(SUM(R2658:R2662)/1.18),0)</f>
        <v>0</v>
      </c>
      <c r="T3379" s="700">
        <f>SUM(T3373:T3377)</f>
        <v>0</v>
      </c>
      <c r="U3379" s="702"/>
      <c r="V3379" s="700">
        <f>SUM(V3373:V3377)</f>
        <v>0</v>
      </c>
      <c r="W3379" s="702"/>
      <c r="X3379" s="700">
        <f>SUM(X3373:X3377)</f>
        <v>0</v>
      </c>
      <c r="Y3379" s="702"/>
      <c r="Z3379" s="700">
        <f>SUM(Z3373:Z3377)</f>
        <v>0</v>
      </c>
      <c r="AA3379" s="702"/>
      <c r="AB3379" s="700">
        <f>SUM(AB3373:AB3377)</f>
        <v>0</v>
      </c>
      <c r="AC3379" s="702"/>
      <c r="AD3379" s="700">
        <f>SUM(AD3373:AD3377)</f>
        <v>0</v>
      </c>
      <c r="AE3379" s="702"/>
      <c r="AF3379" s="705"/>
      <c r="AG3379" s="729">
        <f>IF(AG3378&gt;0,AG3378/(SUM(AF2658:AF2662)/1.18),0)</f>
        <v>0</v>
      </c>
      <c r="AH3379" s="706"/>
      <c r="AI3379" s="729">
        <f>IF(AI3378&gt;0,AI3378/(SUM(AH2658:AH2662)/1.18),0)</f>
        <v>0</v>
      </c>
      <c r="AJ3379" s="707"/>
      <c r="AV3379" s="56"/>
    </row>
    <row r="3380" spans="1:48" ht="12.75" hidden="1" customHeight="1" outlineLevel="2" thickBot="1">
      <c r="B3380" s="82">
        <f>B3373+1</f>
        <v>72</v>
      </c>
      <c r="C3380" s="1233">
        <f>C510</f>
        <v>0</v>
      </c>
      <c r="D3380" s="1233">
        <f>D510</f>
        <v>0</v>
      </c>
      <c r="E3380" s="83" t="str">
        <f>'Terms and Turnovers'!$J$12</f>
        <v>FLIP-FLOPS</v>
      </c>
      <c r="F3380" s="68">
        <f>F1951/1.18-F2666*'Mark Up Validation'!$M$105</f>
        <v>0</v>
      </c>
      <c r="G3380" s="106"/>
      <c r="H3380" s="68">
        <f>H1951/1.18-H2666*'Mark Up Validation'!$M$105</f>
        <v>0</v>
      </c>
      <c r="I3380" s="106"/>
      <c r="J3380" s="68">
        <f>J1951/1.18-J2666*'Mark Up Validation'!$M$105</f>
        <v>0</v>
      </c>
      <c r="K3380" s="106"/>
      <c r="L3380" s="68">
        <f>L1951/1.18-L2666*'Mark Up Validation'!$M$105</f>
        <v>0</v>
      </c>
      <c r="M3380" s="106"/>
      <c r="N3380" s="68">
        <f>N1951/1.18-N2666*'Mark Up Validation'!$M$105</f>
        <v>0</v>
      </c>
      <c r="O3380" s="106"/>
      <c r="P3380" s="68">
        <f>P1951/1.18-P2666*'Mark Up Validation'!$M$105</f>
        <v>0</v>
      </c>
      <c r="Q3380" s="106"/>
      <c r="R3380" s="129">
        <f>SUM(F3380,H3380,J3380,L3380,N3380,P3380)</f>
        <v>0</v>
      </c>
      <c r="S3380" s="106"/>
      <c r="T3380" s="68">
        <f>T1951/1.18-T2666*'Mark Up Validation'!$S$105</f>
        <v>0</v>
      </c>
      <c r="U3380" s="106"/>
      <c r="V3380" s="68">
        <f>V1951/1.18-V2666*'Mark Up Validation'!$S$105</f>
        <v>0</v>
      </c>
      <c r="W3380" s="106"/>
      <c r="X3380" s="68">
        <f>X1951/1.18-X2666*'Mark Up Validation'!$S$105</f>
        <v>0</v>
      </c>
      <c r="Y3380" s="106"/>
      <c r="Z3380" s="68">
        <f>Z1951/1.18-Z2666*'Mark Up Validation'!$S$105</f>
        <v>0</v>
      </c>
      <c r="AA3380" s="106"/>
      <c r="AB3380" s="68">
        <f>AB1951/1.18-AB2666*'Mark Up Validation'!$S$105</f>
        <v>0</v>
      </c>
      <c r="AC3380" s="106"/>
      <c r="AD3380" s="68">
        <f>AD1951/1.18-AD2666*'Mark Up Validation'!$S$105</f>
        <v>0</v>
      </c>
      <c r="AE3380" s="106"/>
      <c r="AF3380" s="129">
        <f>SUM(T3380,V3380,X3380,Z3380,AB3380,AD3380)</f>
        <v>0</v>
      </c>
      <c r="AG3380" s="106"/>
      <c r="AH3380" s="130">
        <f>SUM(AF3380,R3380)</f>
        <v>0</v>
      </c>
      <c r="AI3380" s="106"/>
      <c r="AJ3380" s="65"/>
      <c r="AV3380" s="56"/>
    </row>
    <row r="3381" spans="1:48" ht="12.75" hidden="1" customHeight="1" outlineLevel="2" thickBot="1">
      <c r="B3381" s="82"/>
      <c r="C3381" s="1234"/>
      <c r="D3381" s="1234"/>
      <c r="E3381" s="84" t="str">
        <f>'Terms and Turnovers'!$T$12</f>
        <v>ORIGINALS</v>
      </c>
      <c r="F3381" s="68">
        <f>F1952/1.18-F2667*'Mark Up Validation'!$M$105</f>
        <v>0</v>
      </c>
      <c r="G3381" s="728"/>
      <c r="H3381" s="68">
        <f>H1952/1.18-H2667*'Mark Up Validation'!$M$105</f>
        <v>0</v>
      </c>
      <c r="I3381" s="728"/>
      <c r="J3381" s="68">
        <f>J1952/1.18-J2667*'Mark Up Validation'!$M$105</f>
        <v>0</v>
      </c>
      <c r="K3381" s="728"/>
      <c r="L3381" s="68">
        <f>L1952/1.18-L2667*'Mark Up Validation'!$M$105</f>
        <v>0</v>
      </c>
      <c r="M3381" s="728"/>
      <c r="N3381" s="68">
        <f>N1952/1.18-N2667*'Mark Up Validation'!$M$105</f>
        <v>0</v>
      </c>
      <c r="O3381" s="728"/>
      <c r="P3381" s="68">
        <f>P1952/1.18-P2667*'Mark Up Validation'!$M$105</f>
        <v>0</v>
      </c>
      <c r="Q3381" s="728"/>
      <c r="R3381" s="132">
        <f>SUM(F3381,H3381,J3381,L3381,N3381,P3381)</f>
        <v>0</v>
      </c>
      <c r="S3381" s="728"/>
      <c r="T3381" s="68">
        <f>T1952/1.18-T2667*'Mark Up Validation'!$S$105</f>
        <v>0</v>
      </c>
      <c r="U3381" s="728"/>
      <c r="V3381" s="68">
        <f>V1952/1.18-V2667*'Mark Up Validation'!$S$105</f>
        <v>0</v>
      </c>
      <c r="W3381" s="728"/>
      <c r="X3381" s="68">
        <f>X1952/1.18-X2667*'Mark Up Validation'!$S$105</f>
        <v>0</v>
      </c>
      <c r="Y3381" s="728"/>
      <c r="Z3381" s="68">
        <f>Z1952/1.18-Z2667*'Mark Up Validation'!$S$105</f>
        <v>0</v>
      </c>
      <c r="AA3381" s="728"/>
      <c r="AB3381" s="68">
        <f>AB1952/1.18-AB2667*'Mark Up Validation'!$S$105</f>
        <v>0</v>
      </c>
      <c r="AC3381" s="728"/>
      <c r="AD3381" s="68">
        <f>AD1952/1.18-AD2667*'Mark Up Validation'!$S$105</f>
        <v>0</v>
      </c>
      <c r="AE3381" s="728"/>
      <c r="AF3381" s="132">
        <f>SUM(T3381,V3381,X3381,Z3381,AB3381,AD3381)</f>
        <v>0</v>
      </c>
      <c r="AG3381" s="728"/>
      <c r="AH3381" s="133">
        <f>SUM(AF3381,R3381)</f>
        <v>0</v>
      </c>
      <c r="AI3381" s="728"/>
      <c r="AJ3381" s="65"/>
      <c r="AV3381" s="56"/>
    </row>
    <row r="3382" spans="1:48" ht="12.75" hidden="1" customHeight="1" outlineLevel="2" thickBot="1">
      <c r="B3382" s="82"/>
      <c r="C3382" s="1234"/>
      <c r="D3382" s="1234"/>
      <c r="E3382" s="84" t="str">
        <f>'Terms and Turnovers'!$AD$12</f>
        <v>ACCESSORIES</v>
      </c>
      <c r="F3382" s="68">
        <f>F1953/1.18-F2668*'Mark Up Validation'!$M$105</f>
        <v>0</v>
      </c>
      <c r="G3382" s="106"/>
      <c r="H3382" s="68">
        <f>H1953/1.18-H2668*'Mark Up Validation'!$M$105</f>
        <v>0</v>
      </c>
      <c r="I3382" s="106"/>
      <c r="J3382" s="68">
        <f>J1953/1.18-J2668*'Mark Up Validation'!$M$105</f>
        <v>0</v>
      </c>
      <c r="K3382" s="106"/>
      <c r="L3382" s="68">
        <f>L1953/1.18-L2668*'Mark Up Validation'!$M$105</f>
        <v>0</v>
      </c>
      <c r="M3382" s="106"/>
      <c r="N3382" s="68">
        <f>N1953/1.18-N2668*'Mark Up Validation'!$M$105</f>
        <v>0</v>
      </c>
      <c r="O3382" s="106"/>
      <c r="P3382" s="68">
        <f>P1953/1.18-P2668*'Mark Up Validation'!$M$105</f>
        <v>0</v>
      </c>
      <c r="Q3382" s="728"/>
      <c r="R3382" s="132">
        <f>SUM(F3382,H3382,J3382,L3382,N3382,P3382)</f>
        <v>0</v>
      </c>
      <c r="S3382" s="728"/>
      <c r="T3382" s="68">
        <f>T1953/1.18-T2668*'Mark Up Validation'!$S$105</f>
        <v>0</v>
      </c>
      <c r="U3382" s="728"/>
      <c r="V3382" s="68">
        <f>V1953/1.18-V2668*'Mark Up Validation'!$S$105</f>
        <v>0</v>
      </c>
      <c r="W3382" s="728"/>
      <c r="X3382" s="68">
        <f>X1953/1.18-X2668*'Mark Up Validation'!$S$105</f>
        <v>0</v>
      </c>
      <c r="Y3382" s="728"/>
      <c r="Z3382" s="68">
        <f>Z1953/1.18-Z2668*'Mark Up Validation'!$S$105</f>
        <v>0</v>
      </c>
      <c r="AA3382" s="728"/>
      <c r="AB3382" s="68">
        <f>AB1953/1.18-AB2668*'Mark Up Validation'!$S$105</f>
        <v>0</v>
      </c>
      <c r="AC3382" s="728"/>
      <c r="AD3382" s="68">
        <f>AD1953/1.18-AD2668*'Mark Up Validation'!$S$105</f>
        <v>0</v>
      </c>
      <c r="AE3382" s="728"/>
      <c r="AF3382" s="132">
        <f>SUM(T3382,V3382,X3382,Z3382,AB3382,AD3382)</f>
        <v>0</v>
      </c>
      <c r="AG3382" s="728"/>
      <c r="AH3382" s="133">
        <f>SUM(AF3382,R3382)</f>
        <v>0</v>
      </c>
      <c r="AI3382" s="728"/>
      <c r="AJ3382" s="65"/>
      <c r="AV3382" s="56"/>
    </row>
    <row r="3383" spans="1:48" ht="12.75" hidden="1" customHeight="1" outlineLevel="2" thickBot="1">
      <c r="B3383" s="82"/>
      <c r="C3383" s="1234"/>
      <c r="D3383" s="1234"/>
      <c r="E3383" s="84">
        <f>'Terms and Turnovers'!$AN$12</f>
        <v>0</v>
      </c>
      <c r="F3383" s="68">
        <f>F1954/1.18-F2669*'Mark Up Validation'!$M$105</f>
        <v>0</v>
      </c>
      <c r="G3383" s="728"/>
      <c r="H3383" s="68">
        <f>H1954/1.18-H2669*'Mark Up Validation'!$M$105</f>
        <v>0</v>
      </c>
      <c r="I3383" s="728"/>
      <c r="J3383" s="68">
        <f>J1954/1.18-J2669*'Mark Up Validation'!$M$105</f>
        <v>0</v>
      </c>
      <c r="K3383" s="728"/>
      <c r="L3383" s="68">
        <f>L1954/1.18-L2669*'Mark Up Validation'!$M$105</f>
        <v>0</v>
      </c>
      <c r="M3383" s="728"/>
      <c r="N3383" s="68">
        <f>N1954/1.18-N2669*'Mark Up Validation'!$M$105</f>
        <v>0</v>
      </c>
      <c r="O3383" s="728"/>
      <c r="P3383" s="68">
        <f>P1954/1.18-P2669*'Mark Up Validation'!$M$105</f>
        <v>0</v>
      </c>
      <c r="Q3383" s="728"/>
      <c r="R3383" s="132">
        <f>SUM(F3383,H3383,J3383,L3383,N3383,P3383)</f>
        <v>0</v>
      </c>
      <c r="S3383" s="728"/>
      <c r="T3383" s="68">
        <f>T1954/1.18-T2669*'Mark Up Validation'!$S$105</f>
        <v>0</v>
      </c>
      <c r="U3383" s="728"/>
      <c r="V3383" s="68">
        <f>V1954/1.18-V2669*'Mark Up Validation'!$S$105</f>
        <v>0</v>
      </c>
      <c r="W3383" s="728"/>
      <c r="X3383" s="68">
        <f>X1954/1.18-X2669*'Mark Up Validation'!$S$105</f>
        <v>0</v>
      </c>
      <c r="Y3383" s="728"/>
      <c r="Z3383" s="68">
        <f>Z1954/1.18-Z2669*'Mark Up Validation'!$S$105</f>
        <v>0</v>
      </c>
      <c r="AA3383" s="728"/>
      <c r="AB3383" s="68">
        <f>AB1954/1.18-AB2669*'Mark Up Validation'!$S$105</f>
        <v>0</v>
      </c>
      <c r="AC3383" s="728"/>
      <c r="AD3383" s="68">
        <f>AD1954/1.18-AD2669*'Mark Up Validation'!$S$105</f>
        <v>0</v>
      </c>
      <c r="AE3383" s="728"/>
      <c r="AF3383" s="132">
        <f>SUM(T3383,V3383,X3383,Z3383,AB3383,AD3383)</f>
        <v>0</v>
      </c>
      <c r="AG3383" s="728"/>
      <c r="AH3383" s="133">
        <f>SUM(AF3383,R3383)</f>
        <v>0</v>
      </c>
      <c r="AI3383" s="728"/>
      <c r="AJ3383" s="65"/>
      <c r="AV3383" s="56"/>
    </row>
    <row r="3384" spans="1:48" ht="13.5" hidden="1" customHeight="1" outlineLevel="2" thickBot="1">
      <c r="B3384" s="82"/>
      <c r="C3384" s="1235"/>
      <c r="D3384" s="1235"/>
      <c r="E3384" s="85">
        <f>'Terms and Turnovers'!$AX$12</f>
        <v>0</v>
      </c>
      <c r="F3384" s="68">
        <f>F1955/1.18-F2670*'Mark Up Validation'!$M$105</f>
        <v>0</v>
      </c>
      <c r="G3384" s="106"/>
      <c r="H3384" s="68">
        <f>H1955/1.18-H2670*'Mark Up Validation'!$M$105</f>
        <v>0</v>
      </c>
      <c r="I3384" s="106"/>
      <c r="J3384" s="68">
        <f>J1955/1.18-J2670*'Mark Up Validation'!$M$105</f>
        <v>0</v>
      </c>
      <c r="K3384" s="106"/>
      <c r="L3384" s="68">
        <f>L1955/1.18-L2670*'Mark Up Validation'!$M$105</f>
        <v>0</v>
      </c>
      <c r="M3384" s="106"/>
      <c r="N3384" s="68">
        <f>N1955/1.18-N2670*'Mark Up Validation'!$M$105</f>
        <v>0</v>
      </c>
      <c r="O3384" s="106"/>
      <c r="P3384" s="68">
        <f>P1955/1.18-P2670*'Mark Up Validation'!$M$105</f>
        <v>0</v>
      </c>
      <c r="Q3384" s="107"/>
      <c r="R3384" s="135">
        <f>SUM(F3384,H3384,J3384,L3384,N3384,P3384)</f>
        <v>0</v>
      </c>
      <c r="S3384" s="107"/>
      <c r="T3384" s="68">
        <f>T1955/1.18-T2670*'Mark Up Validation'!$S$105</f>
        <v>0</v>
      </c>
      <c r="U3384" s="107"/>
      <c r="V3384" s="68">
        <f>V1955/1.18-V2670*'Mark Up Validation'!$S$105</f>
        <v>0</v>
      </c>
      <c r="W3384" s="107"/>
      <c r="X3384" s="68">
        <f>X1955/1.18-X2670*'Mark Up Validation'!$S$105</f>
        <v>0</v>
      </c>
      <c r="Y3384" s="107"/>
      <c r="Z3384" s="68">
        <f>Z1955/1.18-Z2670*'Mark Up Validation'!$S$105</f>
        <v>0</v>
      </c>
      <c r="AA3384" s="107"/>
      <c r="AB3384" s="68">
        <f>AB1955/1.18-AB2670*'Mark Up Validation'!$S$105</f>
        <v>0</v>
      </c>
      <c r="AC3384" s="107"/>
      <c r="AD3384" s="68">
        <f>AD1955/1.18-AD2670*'Mark Up Validation'!$S$105</f>
        <v>0</v>
      </c>
      <c r="AE3384" s="107"/>
      <c r="AF3384" s="135">
        <f>SUM(T3384,V3384,X3384,Z3384,AB3384,AD3384)</f>
        <v>0</v>
      </c>
      <c r="AG3384" s="107"/>
      <c r="AH3384" s="136">
        <f>SUM(AF3384,R3384)</f>
        <v>0</v>
      </c>
      <c r="AI3384" s="107"/>
      <c r="AJ3384" s="65"/>
      <c r="AV3384" s="56"/>
    </row>
    <row r="3385" spans="1:48" ht="13.5" hidden="1" customHeight="1" outlineLevel="2">
      <c r="B3385" s="82"/>
      <c r="C3385" s="425"/>
      <c r="D3385" s="425"/>
      <c r="E3385" s="634"/>
      <c r="F3385" s="635"/>
      <c r="G3385" s="428"/>
      <c r="H3385" s="635"/>
      <c r="I3385" s="428"/>
      <c r="J3385" s="635"/>
      <c r="K3385" s="636"/>
      <c r="L3385" s="635"/>
      <c r="M3385" s="636"/>
      <c r="N3385" s="635"/>
      <c r="O3385" s="636"/>
      <c r="P3385" s="635"/>
      <c r="Q3385" s="636"/>
      <c r="R3385" s="637"/>
      <c r="S3385" s="698">
        <f>SUM(R2665:R2669)/1.18-(SUM(R3380:R3384)*'Mark Up Validation'!$M$105)</f>
        <v>0</v>
      </c>
      <c r="T3385" s="635"/>
      <c r="U3385" s="636"/>
      <c r="V3385" s="635"/>
      <c r="W3385" s="636"/>
      <c r="X3385" s="635"/>
      <c r="Y3385" s="636"/>
      <c r="Z3385" s="635"/>
      <c r="AA3385" s="636"/>
      <c r="AB3385" s="635"/>
      <c r="AC3385" s="636"/>
      <c r="AD3385" s="635"/>
      <c r="AE3385" s="636"/>
      <c r="AF3385" s="637"/>
      <c r="AG3385" s="698">
        <f>SUM(AF2665:AF2669)/1.18-SUM(AF3380:AF3384)*'Mark Up Validation'!$M$175</f>
        <v>0</v>
      </c>
      <c r="AH3385" s="638"/>
      <c r="AI3385" s="698">
        <f>SUM(AH2665:AH2669)/1.18-SUM(AH3380:AH3384)*'Mark Up Validation'!$M$175</f>
        <v>0</v>
      </c>
      <c r="AJ3385" s="65"/>
      <c r="AV3385" s="56"/>
    </row>
    <row r="3386" spans="1:48" ht="13.5" hidden="1" customHeight="1" outlineLevel="2" thickBot="1">
      <c r="A3386" s="119"/>
      <c r="B3386" s="82"/>
      <c r="C3386" s="1228" t="s">
        <v>539</v>
      </c>
      <c r="D3386" s="1229"/>
      <c r="E3386" s="699"/>
      <c r="F3386" s="700">
        <f>SUM(F3380:F3384)</f>
        <v>0</v>
      </c>
      <c r="G3386" s="701"/>
      <c r="H3386" s="700">
        <f>SUM(H3380:H3384)</f>
        <v>0</v>
      </c>
      <c r="I3386" s="701"/>
      <c r="J3386" s="700">
        <f>SUM(J3380:J3384)</f>
        <v>0</v>
      </c>
      <c r="K3386" s="702"/>
      <c r="L3386" s="700">
        <f>SUM(L3380:L3384)</f>
        <v>0</v>
      </c>
      <c r="M3386" s="702"/>
      <c r="N3386" s="700">
        <f>SUM(N3380:N3384)</f>
        <v>0</v>
      </c>
      <c r="O3386" s="702"/>
      <c r="P3386" s="700">
        <f>SUM(P3380:P3384)</f>
        <v>0</v>
      </c>
      <c r="Q3386" s="702"/>
      <c r="R3386" s="703"/>
      <c r="S3386" s="729">
        <f>IF(S3385&gt;0,S3385/(SUM(R2665:R2669)/1.18),0)</f>
        <v>0</v>
      </c>
      <c r="T3386" s="700">
        <f>SUM(T3380:T3384)</f>
        <v>0</v>
      </c>
      <c r="U3386" s="702"/>
      <c r="V3386" s="700">
        <f>SUM(V3380:V3384)</f>
        <v>0</v>
      </c>
      <c r="W3386" s="702"/>
      <c r="X3386" s="700">
        <f>SUM(X3380:X3384)</f>
        <v>0</v>
      </c>
      <c r="Y3386" s="702"/>
      <c r="Z3386" s="700">
        <f>SUM(Z3380:Z3384)</f>
        <v>0</v>
      </c>
      <c r="AA3386" s="702"/>
      <c r="AB3386" s="700">
        <f>SUM(AB3380:AB3384)</f>
        <v>0</v>
      </c>
      <c r="AC3386" s="702"/>
      <c r="AD3386" s="700">
        <f>SUM(AD3380:AD3384)</f>
        <v>0</v>
      </c>
      <c r="AE3386" s="702"/>
      <c r="AF3386" s="705"/>
      <c r="AG3386" s="729">
        <f>IF(AG3385&gt;0,AG3385/(SUM(AF2665:AF2669)/1.18),0)</f>
        <v>0</v>
      </c>
      <c r="AH3386" s="706"/>
      <c r="AI3386" s="729">
        <f>IF(AI3385&gt;0,AI3385/(SUM(AH2665:AH2669)/1.18),0)</f>
        <v>0</v>
      </c>
      <c r="AJ3386" s="707"/>
      <c r="AV3386" s="56"/>
    </row>
    <row r="3387" spans="1:48" ht="12.75" hidden="1" customHeight="1" outlineLevel="2" thickBot="1">
      <c r="B3387" s="82">
        <f>B3380+1</f>
        <v>73</v>
      </c>
      <c r="C3387" s="1233">
        <f>C517</f>
        <v>0</v>
      </c>
      <c r="D3387" s="1233">
        <f>D517</f>
        <v>0</v>
      </c>
      <c r="E3387" s="83" t="str">
        <f>'Terms and Turnovers'!$J$12</f>
        <v>FLIP-FLOPS</v>
      </c>
      <c r="F3387" s="68">
        <f>F1958/1.18-F2673*'Mark Up Validation'!$M$105</f>
        <v>0</v>
      </c>
      <c r="G3387" s="106"/>
      <c r="H3387" s="68">
        <f>H1958/1.18-H2673*'Mark Up Validation'!$M$105</f>
        <v>0</v>
      </c>
      <c r="I3387" s="106"/>
      <c r="J3387" s="68">
        <f>J1958/1.18-J2673*'Mark Up Validation'!$M$105</f>
        <v>0</v>
      </c>
      <c r="K3387" s="106"/>
      <c r="L3387" s="68">
        <f>L1958/1.18-L2673*'Mark Up Validation'!$M$105</f>
        <v>0</v>
      </c>
      <c r="M3387" s="106"/>
      <c r="N3387" s="68">
        <f>N1958/1.18-N2673*'Mark Up Validation'!$M$105</f>
        <v>0</v>
      </c>
      <c r="O3387" s="106"/>
      <c r="P3387" s="68">
        <f>P1958/1.18-P2673*'Mark Up Validation'!$M$105</f>
        <v>0</v>
      </c>
      <c r="Q3387" s="106"/>
      <c r="R3387" s="129">
        <f>SUM(F3387,H3387,J3387,L3387,N3387,P3387)</f>
        <v>0</v>
      </c>
      <c r="S3387" s="106"/>
      <c r="T3387" s="68">
        <f>T1958/1.18-T2673*'Mark Up Validation'!$S$105</f>
        <v>0</v>
      </c>
      <c r="U3387" s="106"/>
      <c r="V3387" s="68">
        <f>V1958/1.18-V2673*'Mark Up Validation'!$S$105</f>
        <v>0</v>
      </c>
      <c r="W3387" s="106"/>
      <c r="X3387" s="68">
        <f>X1958/1.18-X2673*'Mark Up Validation'!$S$105</f>
        <v>0</v>
      </c>
      <c r="Y3387" s="106"/>
      <c r="Z3387" s="68">
        <f>Z1958/1.18-Z2673*'Mark Up Validation'!$S$105</f>
        <v>0</v>
      </c>
      <c r="AA3387" s="106"/>
      <c r="AB3387" s="68">
        <f>AB1958/1.18-AB2673*'Mark Up Validation'!$S$105</f>
        <v>0</v>
      </c>
      <c r="AC3387" s="106"/>
      <c r="AD3387" s="68">
        <f>AD1958/1.18-AD2673*'Mark Up Validation'!$S$105</f>
        <v>0</v>
      </c>
      <c r="AE3387" s="106"/>
      <c r="AF3387" s="129">
        <f>SUM(T3387,V3387,X3387,Z3387,AB3387,AD3387)</f>
        <v>0</v>
      </c>
      <c r="AG3387" s="106"/>
      <c r="AH3387" s="130">
        <f>SUM(AF3387,R3387)</f>
        <v>0</v>
      </c>
      <c r="AI3387" s="106"/>
      <c r="AJ3387" s="65"/>
      <c r="AV3387" s="56"/>
    </row>
    <row r="3388" spans="1:48" ht="12.75" hidden="1" customHeight="1" outlineLevel="2" thickBot="1">
      <c r="B3388" s="82"/>
      <c r="C3388" s="1234"/>
      <c r="D3388" s="1234"/>
      <c r="E3388" s="84" t="str">
        <f>'Terms and Turnovers'!$T$12</f>
        <v>ORIGINALS</v>
      </c>
      <c r="F3388" s="68">
        <f>F1959/1.18-F2674*'Mark Up Validation'!$M$105</f>
        <v>0</v>
      </c>
      <c r="G3388" s="728"/>
      <c r="H3388" s="68">
        <f>H1959/1.18-H2674*'Mark Up Validation'!$M$105</f>
        <v>0</v>
      </c>
      <c r="I3388" s="728"/>
      <c r="J3388" s="68">
        <f>J1959/1.18-J2674*'Mark Up Validation'!$M$105</f>
        <v>0</v>
      </c>
      <c r="K3388" s="728"/>
      <c r="L3388" s="68">
        <f>L1959/1.18-L2674*'Mark Up Validation'!$M$105</f>
        <v>0</v>
      </c>
      <c r="M3388" s="728"/>
      <c r="N3388" s="68">
        <f>N1959/1.18-N2674*'Mark Up Validation'!$M$105</f>
        <v>0</v>
      </c>
      <c r="O3388" s="728"/>
      <c r="P3388" s="68">
        <f>P1959/1.18-P2674*'Mark Up Validation'!$M$105</f>
        <v>0</v>
      </c>
      <c r="Q3388" s="728"/>
      <c r="R3388" s="132">
        <f>SUM(F3388,H3388,J3388,L3388,N3388,P3388)</f>
        <v>0</v>
      </c>
      <c r="S3388" s="728"/>
      <c r="T3388" s="68">
        <f>T1959/1.18-T2674*'Mark Up Validation'!$S$105</f>
        <v>0</v>
      </c>
      <c r="U3388" s="728"/>
      <c r="V3388" s="68">
        <f>V1959/1.18-V2674*'Mark Up Validation'!$S$105</f>
        <v>0</v>
      </c>
      <c r="W3388" s="728"/>
      <c r="X3388" s="68">
        <f>X1959/1.18-X2674*'Mark Up Validation'!$S$105</f>
        <v>0</v>
      </c>
      <c r="Y3388" s="728"/>
      <c r="Z3388" s="68">
        <f>Z1959/1.18-Z2674*'Mark Up Validation'!$S$105</f>
        <v>0</v>
      </c>
      <c r="AA3388" s="728"/>
      <c r="AB3388" s="68">
        <f>AB1959/1.18-AB2674*'Mark Up Validation'!$S$105</f>
        <v>0</v>
      </c>
      <c r="AC3388" s="728"/>
      <c r="AD3388" s="68">
        <f>AD1959/1.18-AD2674*'Mark Up Validation'!$S$105</f>
        <v>0</v>
      </c>
      <c r="AE3388" s="728"/>
      <c r="AF3388" s="132">
        <f>SUM(T3388,V3388,X3388,Z3388,AB3388,AD3388)</f>
        <v>0</v>
      </c>
      <c r="AG3388" s="728"/>
      <c r="AH3388" s="133">
        <f>SUM(AF3388,R3388)</f>
        <v>0</v>
      </c>
      <c r="AI3388" s="728"/>
      <c r="AJ3388" s="65"/>
      <c r="AV3388" s="56"/>
    </row>
    <row r="3389" spans="1:48" ht="12.75" hidden="1" customHeight="1" outlineLevel="2" thickBot="1">
      <c r="B3389" s="82"/>
      <c r="C3389" s="1234"/>
      <c r="D3389" s="1234"/>
      <c r="E3389" s="84" t="str">
        <f>'Terms and Turnovers'!$AD$12</f>
        <v>ACCESSORIES</v>
      </c>
      <c r="F3389" s="68">
        <f>F1960/1.18-F2675*'Mark Up Validation'!$M$105</f>
        <v>0</v>
      </c>
      <c r="G3389" s="106"/>
      <c r="H3389" s="68">
        <f>H1960/1.18-H2675*'Mark Up Validation'!$M$105</f>
        <v>0</v>
      </c>
      <c r="I3389" s="106"/>
      <c r="J3389" s="68">
        <f>J1960/1.18-J2675*'Mark Up Validation'!$M$105</f>
        <v>0</v>
      </c>
      <c r="K3389" s="106"/>
      <c r="L3389" s="68">
        <f>L1960/1.18-L2675*'Mark Up Validation'!$M$105</f>
        <v>0</v>
      </c>
      <c r="M3389" s="106"/>
      <c r="N3389" s="68">
        <f>N1960/1.18-N2675*'Mark Up Validation'!$M$105</f>
        <v>0</v>
      </c>
      <c r="O3389" s="106"/>
      <c r="P3389" s="68">
        <f>P1960/1.18-P2675*'Mark Up Validation'!$M$105</f>
        <v>0</v>
      </c>
      <c r="Q3389" s="728"/>
      <c r="R3389" s="132">
        <f>SUM(F3389,H3389,J3389,L3389,N3389,P3389)</f>
        <v>0</v>
      </c>
      <c r="S3389" s="728"/>
      <c r="T3389" s="68">
        <f>T1960/1.18-T2675*'Mark Up Validation'!$S$105</f>
        <v>0</v>
      </c>
      <c r="U3389" s="728"/>
      <c r="V3389" s="68">
        <f>V1960/1.18-V2675*'Mark Up Validation'!$S$105</f>
        <v>0</v>
      </c>
      <c r="W3389" s="728"/>
      <c r="X3389" s="68">
        <f>X1960/1.18-X2675*'Mark Up Validation'!$S$105</f>
        <v>0</v>
      </c>
      <c r="Y3389" s="728"/>
      <c r="Z3389" s="68">
        <f>Z1960/1.18-Z2675*'Mark Up Validation'!$S$105</f>
        <v>0</v>
      </c>
      <c r="AA3389" s="728"/>
      <c r="AB3389" s="68">
        <f>AB1960/1.18-AB2675*'Mark Up Validation'!$S$105</f>
        <v>0</v>
      </c>
      <c r="AC3389" s="728"/>
      <c r="AD3389" s="68">
        <f>AD1960/1.18-AD2675*'Mark Up Validation'!$S$105</f>
        <v>0</v>
      </c>
      <c r="AE3389" s="728"/>
      <c r="AF3389" s="132">
        <f>SUM(T3389,V3389,X3389,Z3389,AB3389,AD3389)</f>
        <v>0</v>
      </c>
      <c r="AG3389" s="728"/>
      <c r="AH3389" s="133">
        <f>SUM(AF3389,R3389)</f>
        <v>0</v>
      </c>
      <c r="AI3389" s="728"/>
      <c r="AJ3389" s="65"/>
      <c r="AV3389" s="56"/>
    </row>
    <row r="3390" spans="1:48" ht="12.75" hidden="1" customHeight="1" outlineLevel="2" thickBot="1">
      <c r="B3390" s="82"/>
      <c r="C3390" s="1234"/>
      <c r="D3390" s="1234"/>
      <c r="E3390" s="84">
        <f>'Terms and Turnovers'!$AN$12</f>
        <v>0</v>
      </c>
      <c r="F3390" s="68">
        <f>F1961/1.18-F2676*'Mark Up Validation'!$M$105</f>
        <v>0</v>
      </c>
      <c r="G3390" s="728"/>
      <c r="H3390" s="68">
        <f>H1961/1.18-H2676*'Mark Up Validation'!$M$105</f>
        <v>0</v>
      </c>
      <c r="I3390" s="728"/>
      <c r="J3390" s="68">
        <f>J1961/1.18-J2676*'Mark Up Validation'!$M$105</f>
        <v>0</v>
      </c>
      <c r="K3390" s="728"/>
      <c r="L3390" s="68">
        <f>L1961/1.18-L2676*'Mark Up Validation'!$M$105</f>
        <v>0</v>
      </c>
      <c r="M3390" s="728"/>
      <c r="N3390" s="68">
        <f>N1961/1.18-N2676*'Mark Up Validation'!$M$105</f>
        <v>0</v>
      </c>
      <c r="O3390" s="728"/>
      <c r="P3390" s="68">
        <f>P1961/1.18-P2676*'Mark Up Validation'!$M$105</f>
        <v>0</v>
      </c>
      <c r="Q3390" s="728"/>
      <c r="R3390" s="132">
        <f>SUM(F3390,H3390,J3390,L3390,N3390,P3390)</f>
        <v>0</v>
      </c>
      <c r="S3390" s="728"/>
      <c r="T3390" s="68">
        <f>T1961/1.18-T2676*'Mark Up Validation'!$S$105</f>
        <v>0</v>
      </c>
      <c r="U3390" s="728"/>
      <c r="V3390" s="68">
        <f>V1961/1.18-V2676*'Mark Up Validation'!$S$105</f>
        <v>0</v>
      </c>
      <c r="W3390" s="728"/>
      <c r="X3390" s="68">
        <f>X1961/1.18-X2676*'Mark Up Validation'!$S$105</f>
        <v>0</v>
      </c>
      <c r="Y3390" s="728"/>
      <c r="Z3390" s="68">
        <f>Z1961/1.18-Z2676*'Mark Up Validation'!$S$105</f>
        <v>0</v>
      </c>
      <c r="AA3390" s="728"/>
      <c r="AB3390" s="68">
        <f>AB1961/1.18-AB2676*'Mark Up Validation'!$S$105</f>
        <v>0</v>
      </c>
      <c r="AC3390" s="728"/>
      <c r="AD3390" s="68">
        <f>AD1961/1.18-AD2676*'Mark Up Validation'!$S$105</f>
        <v>0</v>
      </c>
      <c r="AE3390" s="728"/>
      <c r="AF3390" s="132">
        <f>SUM(T3390,V3390,X3390,Z3390,AB3390,AD3390)</f>
        <v>0</v>
      </c>
      <c r="AG3390" s="728"/>
      <c r="AH3390" s="133">
        <f>SUM(AF3390,R3390)</f>
        <v>0</v>
      </c>
      <c r="AI3390" s="728"/>
      <c r="AJ3390" s="65"/>
      <c r="AV3390" s="56"/>
    </row>
    <row r="3391" spans="1:48" ht="13.5" hidden="1" customHeight="1" outlineLevel="2" thickBot="1">
      <c r="B3391" s="82"/>
      <c r="C3391" s="1235"/>
      <c r="D3391" s="1235"/>
      <c r="E3391" s="85">
        <f>'Terms and Turnovers'!$AX$12</f>
        <v>0</v>
      </c>
      <c r="F3391" s="68">
        <f>F1962/1.18-F2677*'Mark Up Validation'!$M$105</f>
        <v>0</v>
      </c>
      <c r="G3391" s="106"/>
      <c r="H3391" s="68">
        <f>H1962/1.18-H2677*'Mark Up Validation'!$M$105</f>
        <v>0</v>
      </c>
      <c r="I3391" s="106"/>
      <c r="J3391" s="68">
        <f>J1962/1.18-J2677*'Mark Up Validation'!$M$105</f>
        <v>0</v>
      </c>
      <c r="K3391" s="106"/>
      <c r="L3391" s="68">
        <f>L1962/1.18-L2677*'Mark Up Validation'!$M$105</f>
        <v>0</v>
      </c>
      <c r="M3391" s="106"/>
      <c r="N3391" s="68">
        <f>N1962/1.18-N2677*'Mark Up Validation'!$M$105</f>
        <v>0</v>
      </c>
      <c r="O3391" s="106"/>
      <c r="P3391" s="68">
        <f>P1962/1.18-P2677*'Mark Up Validation'!$M$105</f>
        <v>0</v>
      </c>
      <c r="Q3391" s="107"/>
      <c r="R3391" s="135">
        <f>SUM(F3391,H3391,J3391,L3391,N3391,P3391)</f>
        <v>0</v>
      </c>
      <c r="S3391" s="107"/>
      <c r="T3391" s="68">
        <f>T1962/1.18-T2677*'Mark Up Validation'!$S$105</f>
        <v>0</v>
      </c>
      <c r="U3391" s="107"/>
      <c r="V3391" s="68">
        <f>V1962/1.18-V2677*'Mark Up Validation'!$S$105</f>
        <v>0</v>
      </c>
      <c r="W3391" s="107"/>
      <c r="X3391" s="68">
        <f>X1962/1.18-X2677*'Mark Up Validation'!$S$105</f>
        <v>0</v>
      </c>
      <c r="Y3391" s="107"/>
      <c r="Z3391" s="68">
        <f>Z1962/1.18-Z2677*'Mark Up Validation'!$S$105</f>
        <v>0</v>
      </c>
      <c r="AA3391" s="107"/>
      <c r="AB3391" s="68">
        <f>AB1962/1.18-AB2677*'Mark Up Validation'!$S$105</f>
        <v>0</v>
      </c>
      <c r="AC3391" s="107"/>
      <c r="AD3391" s="68">
        <f>AD1962/1.18-AD2677*'Mark Up Validation'!$S$105</f>
        <v>0</v>
      </c>
      <c r="AE3391" s="107"/>
      <c r="AF3391" s="135">
        <f>SUM(T3391,V3391,X3391,Z3391,AB3391,AD3391)</f>
        <v>0</v>
      </c>
      <c r="AG3391" s="107"/>
      <c r="AH3391" s="136">
        <f>SUM(AF3391,R3391)</f>
        <v>0</v>
      </c>
      <c r="AI3391" s="107"/>
      <c r="AJ3391" s="65"/>
      <c r="AV3391" s="56"/>
    </row>
    <row r="3392" spans="1:48" ht="13.5" hidden="1" customHeight="1" outlineLevel="2">
      <c r="B3392" s="82"/>
      <c r="C3392" s="425"/>
      <c r="D3392" s="425"/>
      <c r="E3392" s="634"/>
      <c r="F3392" s="635"/>
      <c r="G3392" s="428"/>
      <c r="H3392" s="635"/>
      <c r="I3392" s="428"/>
      <c r="J3392" s="635"/>
      <c r="K3392" s="636"/>
      <c r="L3392" s="635"/>
      <c r="M3392" s="636"/>
      <c r="N3392" s="635"/>
      <c r="O3392" s="636"/>
      <c r="P3392" s="635"/>
      <c r="Q3392" s="636"/>
      <c r="R3392" s="637"/>
      <c r="S3392" s="698">
        <f>SUM(R2672:R2676)/1.18-(SUM(R3387:R3391)*'Mark Up Validation'!$M$105)</f>
        <v>0</v>
      </c>
      <c r="T3392" s="635"/>
      <c r="U3392" s="636"/>
      <c r="V3392" s="635"/>
      <c r="W3392" s="636"/>
      <c r="X3392" s="635"/>
      <c r="Y3392" s="636"/>
      <c r="Z3392" s="635"/>
      <c r="AA3392" s="636"/>
      <c r="AB3392" s="635"/>
      <c r="AC3392" s="636"/>
      <c r="AD3392" s="635"/>
      <c r="AE3392" s="636"/>
      <c r="AF3392" s="637"/>
      <c r="AG3392" s="698">
        <f>SUM(AF2672:AF2676)/1.18-SUM(AF3387:AF3391)*'Mark Up Validation'!$M$175</f>
        <v>0</v>
      </c>
      <c r="AH3392" s="638"/>
      <c r="AI3392" s="698">
        <f>SUM(AH2672:AH2676)/1.18-SUM(AH3387:AH3391)*'Mark Up Validation'!$M$175</f>
        <v>0</v>
      </c>
      <c r="AJ3392" s="65"/>
      <c r="AV3392" s="56"/>
    </row>
    <row r="3393" spans="1:48" ht="13.5" hidden="1" customHeight="1" outlineLevel="2" thickBot="1">
      <c r="A3393" s="119"/>
      <c r="B3393" s="82"/>
      <c r="C3393" s="1228" t="s">
        <v>539</v>
      </c>
      <c r="D3393" s="1229"/>
      <c r="E3393" s="699"/>
      <c r="F3393" s="700">
        <f>SUM(F3387:F3391)</f>
        <v>0</v>
      </c>
      <c r="G3393" s="701"/>
      <c r="H3393" s="700">
        <f>SUM(H3387:H3391)</f>
        <v>0</v>
      </c>
      <c r="I3393" s="701"/>
      <c r="J3393" s="700">
        <f>SUM(J3387:J3391)</f>
        <v>0</v>
      </c>
      <c r="K3393" s="702"/>
      <c r="L3393" s="700">
        <f>SUM(L3387:L3391)</f>
        <v>0</v>
      </c>
      <c r="M3393" s="702"/>
      <c r="N3393" s="700">
        <f>SUM(N3387:N3391)</f>
        <v>0</v>
      </c>
      <c r="O3393" s="702"/>
      <c r="P3393" s="700">
        <f>SUM(P3387:P3391)</f>
        <v>0</v>
      </c>
      <c r="Q3393" s="702"/>
      <c r="R3393" s="703"/>
      <c r="S3393" s="729">
        <f>IF(S3392&gt;0,S3392/(SUM(R2672:R2676)/1.18),0)</f>
        <v>0</v>
      </c>
      <c r="T3393" s="700">
        <f>SUM(T3387:T3391)</f>
        <v>0</v>
      </c>
      <c r="U3393" s="702"/>
      <c r="V3393" s="700">
        <f>SUM(V3387:V3391)</f>
        <v>0</v>
      </c>
      <c r="W3393" s="702"/>
      <c r="X3393" s="700">
        <f>SUM(X3387:X3391)</f>
        <v>0</v>
      </c>
      <c r="Y3393" s="702"/>
      <c r="Z3393" s="700">
        <f>SUM(Z3387:Z3391)</f>
        <v>0</v>
      </c>
      <c r="AA3393" s="702"/>
      <c r="AB3393" s="700">
        <f>SUM(AB3387:AB3391)</f>
        <v>0</v>
      </c>
      <c r="AC3393" s="702"/>
      <c r="AD3393" s="700">
        <f>SUM(AD3387:AD3391)</f>
        <v>0</v>
      </c>
      <c r="AE3393" s="702"/>
      <c r="AF3393" s="705"/>
      <c r="AG3393" s="729">
        <f>IF(AG3392&gt;0,AG3392/(SUM(AF2672:AF2676)/1.18),0)</f>
        <v>0</v>
      </c>
      <c r="AH3393" s="706"/>
      <c r="AI3393" s="729">
        <f>IF(AI3392&gt;0,AI3392/(SUM(AH2672:AH2676)/1.18),0)</f>
        <v>0</v>
      </c>
      <c r="AJ3393" s="707"/>
      <c r="AV3393" s="56"/>
    </row>
    <row r="3394" spans="1:48" ht="12.75" hidden="1" customHeight="1" outlineLevel="2" thickBot="1">
      <c r="B3394" s="82">
        <f>B3387+1</f>
        <v>74</v>
      </c>
      <c r="C3394" s="1233">
        <f>C524</f>
        <v>0</v>
      </c>
      <c r="D3394" s="1233">
        <f>D524</f>
        <v>0</v>
      </c>
      <c r="E3394" s="83" t="str">
        <f>'Terms and Turnovers'!$J$12</f>
        <v>FLIP-FLOPS</v>
      </c>
      <c r="F3394" s="68">
        <f>F1965/1.18-F2680*'Mark Up Validation'!$M$105</f>
        <v>0</v>
      </c>
      <c r="G3394" s="106"/>
      <c r="H3394" s="68">
        <f>H1965/1.18-H2680*'Mark Up Validation'!$M$105</f>
        <v>0</v>
      </c>
      <c r="I3394" s="106"/>
      <c r="J3394" s="68">
        <f>J1965/1.18-J2680*'Mark Up Validation'!$M$105</f>
        <v>0</v>
      </c>
      <c r="K3394" s="106"/>
      <c r="L3394" s="68">
        <f>L1965/1.18-L2680*'Mark Up Validation'!$M$105</f>
        <v>0</v>
      </c>
      <c r="M3394" s="106"/>
      <c r="N3394" s="68">
        <f>N1965/1.18-N2680*'Mark Up Validation'!$M$105</f>
        <v>0</v>
      </c>
      <c r="O3394" s="106"/>
      <c r="P3394" s="68">
        <f>P1965/1.18-P2680*'Mark Up Validation'!$M$105</f>
        <v>0</v>
      </c>
      <c r="Q3394" s="106"/>
      <c r="R3394" s="129">
        <f>SUM(F3394,H3394,J3394,L3394,N3394,P3394)</f>
        <v>0</v>
      </c>
      <c r="S3394" s="106"/>
      <c r="T3394" s="68">
        <f>T1965/1.18-T2680*'Mark Up Validation'!$S$105</f>
        <v>0</v>
      </c>
      <c r="U3394" s="106"/>
      <c r="V3394" s="68">
        <f>V1965/1.18-V2680*'Mark Up Validation'!$S$105</f>
        <v>0</v>
      </c>
      <c r="W3394" s="106"/>
      <c r="X3394" s="68">
        <f>X1965/1.18-X2680*'Mark Up Validation'!$S$105</f>
        <v>0</v>
      </c>
      <c r="Y3394" s="106"/>
      <c r="Z3394" s="68">
        <f>Z1965/1.18-Z2680*'Mark Up Validation'!$S$105</f>
        <v>0</v>
      </c>
      <c r="AA3394" s="106"/>
      <c r="AB3394" s="68">
        <f>AB1965/1.18-AB2680*'Mark Up Validation'!$S$105</f>
        <v>0</v>
      </c>
      <c r="AC3394" s="106"/>
      <c r="AD3394" s="68">
        <f>AD1965/1.18-AD2680*'Mark Up Validation'!$S$105</f>
        <v>0</v>
      </c>
      <c r="AE3394" s="106"/>
      <c r="AF3394" s="129">
        <f>SUM(T3394,V3394,X3394,Z3394,AB3394,AD3394)</f>
        <v>0</v>
      </c>
      <c r="AG3394" s="106"/>
      <c r="AH3394" s="130">
        <f>SUM(AF3394,R3394)</f>
        <v>0</v>
      </c>
      <c r="AI3394" s="106"/>
      <c r="AJ3394" s="65"/>
      <c r="AV3394" s="56"/>
    </row>
    <row r="3395" spans="1:48" ht="12.75" hidden="1" customHeight="1" outlineLevel="2" thickBot="1">
      <c r="B3395" s="82"/>
      <c r="C3395" s="1234"/>
      <c r="D3395" s="1234"/>
      <c r="E3395" s="84" t="str">
        <f>'Terms and Turnovers'!$T$12</f>
        <v>ORIGINALS</v>
      </c>
      <c r="F3395" s="68">
        <f>F1966/1.18-F2681*'Mark Up Validation'!$M$105</f>
        <v>0</v>
      </c>
      <c r="G3395" s="728"/>
      <c r="H3395" s="68">
        <f>H1966/1.18-H2681*'Mark Up Validation'!$M$105</f>
        <v>0</v>
      </c>
      <c r="I3395" s="728"/>
      <c r="J3395" s="68">
        <f>J1966/1.18-J2681*'Mark Up Validation'!$M$105</f>
        <v>0</v>
      </c>
      <c r="K3395" s="728"/>
      <c r="L3395" s="68">
        <f>L1966/1.18-L2681*'Mark Up Validation'!$M$105</f>
        <v>0</v>
      </c>
      <c r="M3395" s="728"/>
      <c r="N3395" s="68">
        <f>N1966/1.18-N2681*'Mark Up Validation'!$M$105</f>
        <v>0</v>
      </c>
      <c r="O3395" s="728"/>
      <c r="P3395" s="68">
        <f>P1966/1.18-P2681*'Mark Up Validation'!$M$105</f>
        <v>0</v>
      </c>
      <c r="Q3395" s="728"/>
      <c r="R3395" s="132">
        <f>SUM(F3395,H3395,J3395,L3395,N3395,P3395)</f>
        <v>0</v>
      </c>
      <c r="S3395" s="728"/>
      <c r="T3395" s="68">
        <f>T1966/1.18-T2681*'Mark Up Validation'!$S$105</f>
        <v>0</v>
      </c>
      <c r="U3395" s="728"/>
      <c r="V3395" s="68">
        <f>V1966/1.18-V2681*'Mark Up Validation'!$S$105</f>
        <v>0</v>
      </c>
      <c r="W3395" s="728"/>
      <c r="X3395" s="68">
        <f>X1966/1.18-X2681*'Mark Up Validation'!$S$105</f>
        <v>0</v>
      </c>
      <c r="Y3395" s="728"/>
      <c r="Z3395" s="68">
        <f>Z1966/1.18-Z2681*'Mark Up Validation'!$S$105</f>
        <v>0</v>
      </c>
      <c r="AA3395" s="728"/>
      <c r="AB3395" s="68">
        <f>AB1966/1.18-AB2681*'Mark Up Validation'!$S$105</f>
        <v>0</v>
      </c>
      <c r="AC3395" s="728"/>
      <c r="AD3395" s="68">
        <f>AD1966/1.18-AD2681*'Mark Up Validation'!$S$105</f>
        <v>0</v>
      </c>
      <c r="AE3395" s="728"/>
      <c r="AF3395" s="132">
        <f>SUM(T3395,V3395,X3395,Z3395,AB3395,AD3395)</f>
        <v>0</v>
      </c>
      <c r="AG3395" s="728"/>
      <c r="AH3395" s="133">
        <f>SUM(AF3395,R3395)</f>
        <v>0</v>
      </c>
      <c r="AI3395" s="728"/>
      <c r="AJ3395" s="65"/>
      <c r="AV3395" s="56"/>
    </row>
    <row r="3396" spans="1:48" ht="12.75" hidden="1" customHeight="1" outlineLevel="2" thickBot="1">
      <c r="B3396" s="82"/>
      <c r="C3396" s="1234"/>
      <c r="D3396" s="1234"/>
      <c r="E3396" s="84" t="str">
        <f>'Terms and Turnovers'!$AD$12</f>
        <v>ACCESSORIES</v>
      </c>
      <c r="F3396" s="68">
        <f>F1967/1.18-F2682*'Mark Up Validation'!$M$105</f>
        <v>0</v>
      </c>
      <c r="G3396" s="106"/>
      <c r="H3396" s="68">
        <f>H1967/1.18-H2682*'Mark Up Validation'!$M$105</f>
        <v>0</v>
      </c>
      <c r="I3396" s="106"/>
      <c r="J3396" s="68">
        <f>J1967/1.18-J2682*'Mark Up Validation'!$M$105</f>
        <v>0</v>
      </c>
      <c r="K3396" s="106"/>
      <c r="L3396" s="68">
        <f>L1967/1.18-L2682*'Mark Up Validation'!$M$105</f>
        <v>0</v>
      </c>
      <c r="M3396" s="106"/>
      <c r="N3396" s="68">
        <f>N1967/1.18-N2682*'Mark Up Validation'!$M$105</f>
        <v>0</v>
      </c>
      <c r="O3396" s="106"/>
      <c r="P3396" s="68">
        <f>P1967/1.18-P2682*'Mark Up Validation'!$M$105</f>
        <v>0</v>
      </c>
      <c r="Q3396" s="728"/>
      <c r="R3396" s="132">
        <f>SUM(F3396,H3396,J3396,L3396,N3396,P3396)</f>
        <v>0</v>
      </c>
      <c r="S3396" s="728"/>
      <c r="T3396" s="68">
        <f>T1967/1.18-T2682*'Mark Up Validation'!$S$105</f>
        <v>0</v>
      </c>
      <c r="U3396" s="728"/>
      <c r="V3396" s="68">
        <f>V1967/1.18-V2682*'Mark Up Validation'!$S$105</f>
        <v>0</v>
      </c>
      <c r="W3396" s="728"/>
      <c r="X3396" s="68">
        <f>X1967/1.18-X2682*'Mark Up Validation'!$S$105</f>
        <v>0</v>
      </c>
      <c r="Y3396" s="728"/>
      <c r="Z3396" s="68">
        <f>Z1967/1.18-Z2682*'Mark Up Validation'!$S$105</f>
        <v>0</v>
      </c>
      <c r="AA3396" s="728"/>
      <c r="AB3396" s="68">
        <f>AB1967/1.18-AB2682*'Mark Up Validation'!$S$105</f>
        <v>0</v>
      </c>
      <c r="AC3396" s="728"/>
      <c r="AD3396" s="68">
        <f>AD1967/1.18-AD2682*'Mark Up Validation'!$S$105</f>
        <v>0</v>
      </c>
      <c r="AE3396" s="728"/>
      <c r="AF3396" s="132">
        <f>SUM(T3396,V3396,X3396,Z3396,AB3396,AD3396)</f>
        <v>0</v>
      </c>
      <c r="AG3396" s="728"/>
      <c r="AH3396" s="133">
        <f>SUM(AF3396,R3396)</f>
        <v>0</v>
      </c>
      <c r="AI3396" s="728"/>
      <c r="AJ3396" s="65"/>
      <c r="AV3396" s="56"/>
    </row>
    <row r="3397" spans="1:48" ht="12.75" hidden="1" customHeight="1" outlineLevel="2" thickBot="1">
      <c r="B3397" s="82"/>
      <c r="C3397" s="1234"/>
      <c r="D3397" s="1234"/>
      <c r="E3397" s="84">
        <f>'Terms and Turnovers'!$AN$12</f>
        <v>0</v>
      </c>
      <c r="F3397" s="68">
        <f>F1968/1.18-F2683*'Mark Up Validation'!$M$105</f>
        <v>0</v>
      </c>
      <c r="G3397" s="728"/>
      <c r="H3397" s="68">
        <f>H1968/1.18-H2683*'Mark Up Validation'!$M$105</f>
        <v>0</v>
      </c>
      <c r="I3397" s="728"/>
      <c r="J3397" s="68">
        <f>J1968/1.18-J2683*'Mark Up Validation'!$M$105</f>
        <v>0</v>
      </c>
      <c r="K3397" s="728"/>
      <c r="L3397" s="68">
        <f>L1968/1.18-L2683*'Mark Up Validation'!$M$105</f>
        <v>0</v>
      </c>
      <c r="M3397" s="728"/>
      <c r="N3397" s="68">
        <f>N1968/1.18-N2683*'Mark Up Validation'!$M$105</f>
        <v>0</v>
      </c>
      <c r="O3397" s="728"/>
      <c r="P3397" s="68">
        <f>P1968/1.18-P2683*'Mark Up Validation'!$M$105</f>
        <v>0</v>
      </c>
      <c r="Q3397" s="728"/>
      <c r="R3397" s="132">
        <f>SUM(F3397,H3397,J3397,L3397,N3397,P3397)</f>
        <v>0</v>
      </c>
      <c r="S3397" s="728"/>
      <c r="T3397" s="68">
        <f>T1968/1.18-T2683*'Mark Up Validation'!$S$105</f>
        <v>0</v>
      </c>
      <c r="U3397" s="728"/>
      <c r="V3397" s="68">
        <f>V1968/1.18-V2683*'Mark Up Validation'!$S$105</f>
        <v>0</v>
      </c>
      <c r="W3397" s="728"/>
      <c r="X3397" s="68">
        <f>X1968/1.18-X2683*'Mark Up Validation'!$S$105</f>
        <v>0</v>
      </c>
      <c r="Y3397" s="728"/>
      <c r="Z3397" s="68">
        <f>Z1968/1.18-Z2683*'Mark Up Validation'!$S$105</f>
        <v>0</v>
      </c>
      <c r="AA3397" s="728"/>
      <c r="AB3397" s="68">
        <f>AB1968/1.18-AB2683*'Mark Up Validation'!$S$105</f>
        <v>0</v>
      </c>
      <c r="AC3397" s="728"/>
      <c r="AD3397" s="68">
        <f>AD1968/1.18-AD2683*'Mark Up Validation'!$S$105</f>
        <v>0</v>
      </c>
      <c r="AE3397" s="728"/>
      <c r="AF3397" s="132">
        <f>SUM(T3397,V3397,X3397,Z3397,AB3397,AD3397)</f>
        <v>0</v>
      </c>
      <c r="AG3397" s="728"/>
      <c r="AH3397" s="133">
        <f>SUM(AF3397,R3397)</f>
        <v>0</v>
      </c>
      <c r="AI3397" s="728"/>
      <c r="AJ3397" s="65"/>
      <c r="AV3397" s="56"/>
    </row>
    <row r="3398" spans="1:48" ht="13.5" hidden="1" customHeight="1" outlineLevel="2" thickBot="1">
      <c r="B3398" s="82"/>
      <c r="C3398" s="1235"/>
      <c r="D3398" s="1235"/>
      <c r="E3398" s="85">
        <f>'Terms and Turnovers'!$AX$12</f>
        <v>0</v>
      </c>
      <c r="F3398" s="68">
        <f>F1969/1.18-F2684*'Mark Up Validation'!$M$105</f>
        <v>0</v>
      </c>
      <c r="G3398" s="106"/>
      <c r="H3398" s="68">
        <f>H1969/1.18-H2684*'Mark Up Validation'!$M$105</f>
        <v>0</v>
      </c>
      <c r="I3398" s="106"/>
      <c r="J3398" s="68">
        <f>J1969/1.18-J2684*'Mark Up Validation'!$M$105</f>
        <v>0</v>
      </c>
      <c r="K3398" s="106"/>
      <c r="L3398" s="68">
        <f>L1969/1.18-L2684*'Mark Up Validation'!$M$105</f>
        <v>0</v>
      </c>
      <c r="M3398" s="106"/>
      <c r="N3398" s="68">
        <f>N1969/1.18-N2684*'Mark Up Validation'!$M$105</f>
        <v>0</v>
      </c>
      <c r="O3398" s="106"/>
      <c r="P3398" s="68">
        <f>P1969/1.18-P2684*'Mark Up Validation'!$M$105</f>
        <v>0</v>
      </c>
      <c r="Q3398" s="107"/>
      <c r="R3398" s="135">
        <f>SUM(F3398,H3398,J3398,L3398,N3398,P3398)</f>
        <v>0</v>
      </c>
      <c r="S3398" s="107"/>
      <c r="T3398" s="68">
        <f>T1969/1.18-T2684*'Mark Up Validation'!$S$105</f>
        <v>0</v>
      </c>
      <c r="U3398" s="107"/>
      <c r="V3398" s="68">
        <f>V1969/1.18-V2684*'Mark Up Validation'!$S$105</f>
        <v>0</v>
      </c>
      <c r="W3398" s="107"/>
      <c r="X3398" s="68">
        <f>X1969/1.18-X2684*'Mark Up Validation'!$S$105</f>
        <v>0</v>
      </c>
      <c r="Y3398" s="107"/>
      <c r="Z3398" s="68">
        <f>Z1969/1.18-Z2684*'Mark Up Validation'!$S$105</f>
        <v>0</v>
      </c>
      <c r="AA3398" s="107"/>
      <c r="AB3398" s="68">
        <f>AB1969/1.18-AB2684*'Mark Up Validation'!$S$105</f>
        <v>0</v>
      </c>
      <c r="AC3398" s="107"/>
      <c r="AD3398" s="68">
        <f>AD1969/1.18-AD2684*'Mark Up Validation'!$S$105</f>
        <v>0</v>
      </c>
      <c r="AE3398" s="107"/>
      <c r="AF3398" s="135">
        <f>SUM(T3398,V3398,X3398,Z3398,AB3398,AD3398)</f>
        <v>0</v>
      </c>
      <c r="AG3398" s="107"/>
      <c r="AH3398" s="136">
        <f>SUM(AF3398,R3398)</f>
        <v>0</v>
      </c>
      <c r="AI3398" s="107"/>
      <c r="AJ3398" s="65"/>
      <c r="AV3398" s="56"/>
    </row>
    <row r="3399" spans="1:48" ht="13.5" hidden="1" customHeight="1" outlineLevel="2">
      <c r="B3399" s="82"/>
      <c r="C3399" s="425"/>
      <c r="D3399" s="425"/>
      <c r="E3399" s="634"/>
      <c r="F3399" s="635"/>
      <c r="G3399" s="428"/>
      <c r="H3399" s="635"/>
      <c r="I3399" s="428"/>
      <c r="J3399" s="635"/>
      <c r="K3399" s="636"/>
      <c r="L3399" s="635"/>
      <c r="M3399" s="636"/>
      <c r="N3399" s="635"/>
      <c r="O3399" s="636"/>
      <c r="P3399" s="635"/>
      <c r="Q3399" s="636"/>
      <c r="R3399" s="637"/>
      <c r="S3399" s="698">
        <f>SUM(R2679:R2683)/1.18-(SUM(R3394:R3398)*'Mark Up Validation'!$M$105)</f>
        <v>0</v>
      </c>
      <c r="T3399" s="635"/>
      <c r="U3399" s="636"/>
      <c r="V3399" s="635"/>
      <c r="W3399" s="636"/>
      <c r="X3399" s="635"/>
      <c r="Y3399" s="636"/>
      <c r="Z3399" s="635"/>
      <c r="AA3399" s="636"/>
      <c r="AB3399" s="635"/>
      <c r="AC3399" s="636"/>
      <c r="AD3399" s="635"/>
      <c r="AE3399" s="636"/>
      <c r="AF3399" s="637"/>
      <c r="AG3399" s="698">
        <f>SUM(AF2679:AF2683)/1.18-SUM(AF3394:AF3398)*'Mark Up Validation'!$M$175</f>
        <v>0</v>
      </c>
      <c r="AH3399" s="638"/>
      <c r="AI3399" s="698">
        <f>SUM(AH2679:AH2683)/1.18-SUM(AH3394:AH3398)*'Mark Up Validation'!$M$175</f>
        <v>0</v>
      </c>
      <c r="AJ3399" s="65"/>
      <c r="AV3399" s="56"/>
    </row>
    <row r="3400" spans="1:48" ht="13.5" hidden="1" customHeight="1" outlineLevel="2" thickBot="1">
      <c r="A3400" s="119"/>
      <c r="B3400" s="82"/>
      <c r="C3400" s="1228" t="s">
        <v>539</v>
      </c>
      <c r="D3400" s="1229"/>
      <c r="E3400" s="699"/>
      <c r="F3400" s="700">
        <f>SUM(F3394:F3398)</f>
        <v>0</v>
      </c>
      <c r="G3400" s="701"/>
      <c r="H3400" s="700">
        <f>SUM(H3394:H3398)</f>
        <v>0</v>
      </c>
      <c r="I3400" s="701"/>
      <c r="J3400" s="700">
        <f>SUM(J3394:J3398)</f>
        <v>0</v>
      </c>
      <c r="K3400" s="702"/>
      <c r="L3400" s="700">
        <f>SUM(L3394:L3398)</f>
        <v>0</v>
      </c>
      <c r="M3400" s="702"/>
      <c r="N3400" s="700">
        <f>SUM(N3394:N3398)</f>
        <v>0</v>
      </c>
      <c r="O3400" s="702"/>
      <c r="P3400" s="700">
        <f>SUM(P3394:P3398)</f>
        <v>0</v>
      </c>
      <c r="Q3400" s="702"/>
      <c r="R3400" s="703"/>
      <c r="S3400" s="729">
        <f>IF(S3399&gt;0,S3399/(SUM(R2679:R2683)/1.18),0)</f>
        <v>0</v>
      </c>
      <c r="T3400" s="700">
        <f>SUM(T3394:T3398)</f>
        <v>0</v>
      </c>
      <c r="U3400" s="702"/>
      <c r="V3400" s="700">
        <f>SUM(V3394:V3398)</f>
        <v>0</v>
      </c>
      <c r="W3400" s="702"/>
      <c r="X3400" s="700">
        <f>SUM(X3394:X3398)</f>
        <v>0</v>
      </c>
      <c r="Y3400" s="702"/>
      <c r="Z3400" s="700">
        <f>SUM(Z3394:Z3398)</f>
        <v>0</v>
      </c>
      <c r="AA3400" s="702"/>
      <c r="AB3400" s="700">
        <f>SUM(AB3394:AB3398)</f>
        <v>0</v>
      </c>
      <c r="AC3400" s="702"/>
      <c r="AD3400" s="700">
        <f>SUM(AD3394:AD3398)</f>
        <v>0</v>
      </c>
      <c r="AE3400" s="702"/>
      <c r="AF3400" s="705"/>
      <c r="AG3400" s="729">
        <f>IF(AG3399&gt;0,AG3399/(SUM(AF2679:AF2683)/1.18),0)</f>
        <v>0</v>
      </c>
      <c r="AH3400" s="706"/>
      <c r="AI3400" s="729">
        <f>IF(AI3399&gt;0,AI3399/(SUM(AH2679:AH2683)/1.18),0)</f>
        <v>0</v>
      </c>
      <c r="AJ3400" s="707"/>
      <c r="AV3400" s="56"/>
    </row>
    <row r="3401" spans="1:48" ht="12.75" hidden="1" customHeight="1" outlineLevel="2" thickBot="1">
      <c r="B3401" s="82">
        <f>B3394+1</f>
        <v>75</v>
      </c>
      <c r="C3401" s="1233">
        <f>C531</f>
        <v>0</v>
      </c>
      <c r="D3401" s="1233">
        <f>D531</f>
        <v>0</v>
      </c>
      <c r="E3401" s="83" t="str">
        <f>'Terms and Turnovers'!$J$12</f>
        <v>FLIP-FLOPS</v>
      </c>
      <c r="F3401" s="68">
        <f>F1972/1.18-F2687*'Mark Up Validation'!$M$105</f>
        <v>0</v>
      </c>
      <c r="G3401" s="106"/>
      <c r="H3401" s="68">
        <f>H1972/1.18-H2687*'Mark Up Validation'!$M$105</f>
        <v>0</v>
      </c>
      <c r="I3401" s="106"/>
      <c r="J3401" s="68">
        <f>J1972/1.18-J2687*'Mark Up Validation'!$M$105</f>
        <v>0</v>
      </c>
      <c r="K3401" s="106"/>
      <c r="L3401" s="68">
        <f>L1972/1.18-L2687*'Mark Up Validation'!$M$105</f>
        <v>0</v>
      </c>
      <c r="M3401" s="106"/>
      <c r="N3401" s="68">
        <f>N1972/1.18-N2687*'Mark Up Validation'!$M$105</f>
        <v>0</v>
      </c>
      <c r="O3401" s="106"/>
      <c r="P3401" s="68">
        <f>P1972/1.18-P2687*'Mark Up Validation'!$M$105</f>
        <v>0</v>
      </c>
      <c r="Q3401" s="106"/>
      <c r="R3401" s="129">
        <f>SUM(F3401,H3401,J3401,L3401,N3401,P3401)</f>
        <v>0</v>
      </c>
      <c r="S3401" s="106"/>
      <c r="T3401" s="68">
        <f>T1972/1.18-T2687*'Mark Up Validation'!$S$105</f>
        <v>0</v>
      </c>
      <c r="U3401" s="106"/>
      <c r="V3401" s="68">
        <f>V1972/1.18-V2687*'Mark Up Validation'!$S$105</f>
        <v>0</v>
      </c>
      <c r="W3401" s="106"/>
      <c r="X3401" s="68">
        <f>X1972/1.18-X2687*'Mark Up Validation'!$S$105</f>
        <v>0</v>
      </c>
      <c r="Y3401" s="106"/>
      <c r="Z3401" s="68">
        <f>Z1972/1.18-Z2687*'Mark Up Validation'!$S$105</f>
        <v>0</v>
      </c>
      <c r="AA3401" s="106"/>
      <c r="AB3401" s="68">
        <f>AB1972/1.18-AB2687*'Mark Up Validation'!$S$105</f>
        <v>0</v>
      </c>
      <c r="AC3401" s="106"/>
      <c r="AD3401" s="68">
        <f>AD1972/1.18-AD2687*'Mark Up Validation'!$S$105</f>
        <v>0</v>
      </c>
      <c r="AE3401" s="106"/>
      <c r="AF3401" s="129">
        <f>SUM(T3401,V3401,X3401,Z3401,AB3401,AD3401)</f>
        <v>0</v>
      </c>
      <c r="AG3401" s="106"/>
      <c r="AH3401" s="130">
        <f>SUM(AF3401,R3401)</f>
        <v>0</v>
      </c>
      <c r="AI3401" s="106"/>
      <c r="AJ3401" s="65"/>
      <c r="AV3401" s="56"/>
    </row>
    <row r="3402" spans="1:48" ht="12.75" hidden="1" customHeight="1" outlineLevel="2" thickBot="1">
      <c r="B3402" s="82"/>
      <c r="C3402" s="1234"/>
      <c r="D3402" s="1234"/>
      <c r="E3402" s="84" t="str">
        <f>'Terms and Turnovers'!$T$12</f>
        <v>ORIGINALS</v>
      </c>
      <c r="F3402" s="68">
        <f>F1973/1.18-F2688*'Mark Up Validation'!$M$105</f>
        <v>0</v>
      </c>
      <c r="G3402" s="728"/>
      <c r="H3402" s="68">
        <f>H1973/1.18-H2688*'Mark Up Validation'!$M$105</f>
        <v>0</v>
      </c>
      <c r="I3402" s="728"/>
      <c r="J3402" s="68">
        <f>J1973/1.18-J2688*'Mark Up Validation'!$M$105</f>
        <v>0</v>
      </c>
      <c r="K3402" s="728"/>
      <c r="L3402" s="68">
        <f>L1973/1.18-L2688*'Mark Up Validation'!$M$105</f>
        <v>0</v>
      </c>
      <c r="M3402" s="728"/>
      <c r="N3402" s="68">
        <f>N1973/1.18-N2688*'Mark Up Validation'!$M$105</f>
        <v>0</v>
      </c>
      <c r="O3402" s="728"/>
      <c r="P3402" s="68">
        <f>P1973/1.18-P2688*'Mark Up Validation'!$M$105</f>
        <v>0</v>
      </c>
      <c r="Q3402" s="728"/>
      <c r="R3402" s="132">
        <f>SUM(F3402,H3402,J3402,L3402,N3402,P3402)</f>
        <v>0</v>
      </c>
      <c r="S3402" s="728"/>
      <c r="T3402" s="68">
        <f>T1973/1.18-T2688*'Mark Up Validation'!$S$105</f>
        <v>0</v>
      </c>
      <c r="U3402" s="728"/>
      <c r="V3402" s="68">
        <f>V1973/1.18-V2688*'Mark Up Validation'!$S$105</f>
        <v>0</v>
      </c>
      <c r="W3402" s="728"/>
      <c r="X3402" s="68">
        <f>X1973/1.18-X2688*'Mark Up Validation'!$S$105</f>
        <v>0</v>
      </c>
      <c r="Y3402" s="728"/>
      <c r="Z3402" s="68">
        <f>Z1973/1.18-Z2688*'Mark Up Validation'!$S$105</f>
        <v>0</v>
      </c>
      <c r="AA3402" s="728"/>
      <c r="AB3402" s="68">
        <f>AB1973/1.18-AB2688*'Mark Up Validation'!$S$105</f>
        <v>0</v>
      </c>
      <c r="AC3402" s="728"/>
      <c r="AD3402" s="68">
        <f>AD1973/1.18-AD2688*'Mark Up Validation'!$S$105</f>
        <v>0</v>
      </c>
      <c r="AE3402" s="728"/>
      <c r="AF3402" s="132">
        <f>SUM(T3402,V3402,X3402,Z3402,AB3402,AD3402)</f>
        <v>0</v>
      </c>
      <c r="AG3402" s="728"/>
      <c r="AH3402" s="133">
        <f>SUM(AF3402,R3402)</f>
        <v>0</v>
      </c>
      <c r="AI3402" s="728"/>
      <c r="AJ3402" s="65"/>
      <c r="AV3402" s="56"/>
    </row>
    <row r="3403" spans="1:48" ht="12.75" hidden="1" customHeight="1" outlineLevel="2" thickBot="1">
      <c r="B3403" s="82"/>
      <c r="C3403" s="1234"/>
      <c r="D3403" s="1234"/>
      <c r="E3403" s="84" t="str">
        <f>'Terms and Turnovers'!$AD$12</f>
        <v>ACCESSORIES</v>
      </c>
      <c r="F3403" s="68">
        <f>F1974/1.18-F2689*'Mark Up Validation'!$M$105</f>
        <v>0</v>
      </c>
      <c r="G3403" s="106"/>
      <c r="H3403" s="68">
        <f>H1974/1.18-H2689*'Mark Up Validation'!$M$105</f>
        <v>0</v>
      </c>
      <c r="I3403" s="106"/>
      <c r="J3403" s="68">
        <f>J1974/1.18-J2689*'Mark Up Validation'!$M$105</f>
        <v>0</v>
      </c>
      <c r="K3403" s="106"/>
      <c r="L3403" s="68">
        <f>L1974/1.18-L2689*'Mark Up Validation'!$M$105</f>
        <v>0</v>
      </c>
      <c r="M3403" s="106"/>
      <c r="N3403" s="68">
        <f>N1974/1.18-N2689*'Mark Up Validation'!$M$105</f>
        <v>0</v>
      </c>
      <c r="O3403" s="106"/>
      <c r="P3403" s="68">
        <f>P1974/1.18-P2689*'Mark Up Validation'!$M$105</f>
        <v>0</v>
      </c>
      <c r="Q3403" s="728"/>
      <c r="R3403" s="132">
        <f>SUM(F3403,H3403,J3403,L3403,N3403,P3403)</f>
        <v>0</v>
      </c>
      <c r="S3403" s="728"/>
      <c r="T3403" s="68">
        <f>T1974/1.18-T2689*'Mark Up Validation'!$S$105</f>
        <v>0</v>
      </c>
      <c r="U3403" s="728"/>
      <c r="V3403" s="68">
        <f>V1974/1.18-V2689*'Mark Up Validation'!$S$105</f>
        <v>0</v>
      </c>
      <c r="W3403" s="728"/>
      <c r="X3403" s="68">
        <f>X1974/1.18-X2689*'Mark Up Validation'!$S$105</f>
        <v>0</v>
      </c>
      <c r="Y3403" s="728"/>
      <c r="Z3403" s="68">
        <f>Z1974/1.18-Z2689*'Mark Up Validation'!$S$105</f>
        <v>0</v>
      </c>
      <c r="AA3403" s="728"/>
      <c r="AB3403" s="68">
        <f>AB1974/1.18-AB2689*'Mark Up Validation'!$S$105</f>
        <v>0</v>
      </c>
      <c r="AC3403" s="728"/>
      <c r="AD3403" s="68">
        <f>AD1974/1.18-AD2689*'Mark Up Validation'!$S$105</f>
        <v>0</v>
      </c>
      <c r="AE3403" s="728"/>
      <c r="AF3403" s="132">
        <f>SUM(T3403,V3403,X3403,Z3403,AB3403,AD3403)</f>
        <v>0</v>
      </c>
      <c r="AG3403" s="728"/>
      <c r="AH3403" s="133">
        <f>SUM(AF3403,R3403)</f>
        <v>0</v>
      </c>
      <c r="AI3403" s="728"/>
      <c r="AJ3403" s="65"/>
      <c r="AV3403" s="56"/>
    </row>
    <row r="3404" spans="1:48" ht="12.75" hidden="1" customHeight="1" outlineLevel="2" thickBot="1">
      <c r="B3404" s="82"/>
      <c r="C3404" s="1234"/>
      <c r="D3404" s="1234"/>
      <c r="E3404" s="84">
        <f>'Terms and Turnovers'!$AN$12</f>
        <v>0</v>
      </c>
      <c r="F3404" s="68">
        <f>F1975/1.18-F2690*'Mark Up Validation'!$M$105</f>
        <v>0</v>
      </c>
      <c r="G3404" s="728"/>
      <c r="H3404" s="68">
        <f>H1975/1.18-H2690*'Mark Up Validation'!$M$105</f>
        <v>0</v>
      </c>
      <c r="I3404" s="728"/>
      <c r="J3404" s="68">
        <f>J1975/1.18-J2690*'Mark Up Validation'!$M$105</f>
        <v>0</v>
      </c>
      <c r="K3404" s="728"/>
      <c r="L3404" s="68">
        <f>L1975/1.18-L2690*'Mark Up Validation'!$M$105</f>
        <v>0</v>
      </c>
      <c r="M3404" s="728"/>
      <c r="N3404" s="68">
        <f>N1975/1.18-N2690*'Mark Up Validation'!$M$105</f>
        <v>0</v>
      </c>
      <c r="O3404" s="728"/>
      <c r="P3404" s="68">
        <f>P1975/1.18-P2690*'Mark Up Validation'!$M$105</f>
        <v>0</v>
      </c>
      <c r="Q3404" s="728"/>
      <c r="R3404" s="132">
        <f>SUM(F3404,H3404,J3404,L3404,N3404,P3404)</f>
        <v>0</v>
      </c>
      <c r="S3404" s="728"/>
      <c r="T3404" s="68">
        <f>T1975/1.18-T2690*'Mark Up Validation'!$S$105</f>
        <v>0</v>
      </c>
      <c r="U3404" s="728"/>
      <c r="V3404" s="68">
        <f>V1975/1.18-V2690*'Mark Up Validation'!$S$105</f>
        <v>0</v>
      </c>
      <c r="W3404" s="728"/>
      <c r="X3404" s="68">
        <f>X1975/1.18-X2690*'Mark Up Validation'!$S$105</f>
        <v>0</v>
      </c>
      <c r="Y3404" s="728"/>
      <c r="Z3404" s="68">
        <f>Z1975/1.18-Z2690*'Mark Up Validation'!$S$105</f>
        <v>0</v>
      </c>
      <c r="AA3404" s="728"/>
      <c r="AB3404" s="68">
        <f>AB1975/1.18-AB2690*'Mark Up Validation'!$S$105</f>
        <v>0</v>
      </c>
      <c r="AC3404" s="728"/>
      <c r="AD3404" s="68">
        <f>AD1975/1.18-AD2690*'Mark Up Validation'!$S$105</f>
        <v>0</v>
      </c>
      <c r="AE3404" s="728"/>
      <c r="AF3404" s="132">
        <f>SUM(T3404,V3404,X3404,Z3404,AB3404,AD3404)</f>
        <v>0</v>
      </c>
      <c r="AG3404" s="728"/>
      <c r="AH3404" s="133">
        <f>SUM(AF3404,R3404)</f>
        <v>0</v>
      </c>
      <c r="AI3404" s="728"/>
      <c r="AJ3404" s="65"/>
      <c r="AV3404" s="56"/>
    </row>
    <row r="3405" spans="1:48" ht="13.5" hidden="1" customHeight="1" outlineLevel="2" thickBot="1">
      <c r="B3405" s="82"/>
      <c r="C3405" s="1235"/>
      <c r="D3405" s="1235"/>
      <c r="E3405" s="85">
        <f>'Terms and Turnovers'!$AX$12</f>
        <v>0</v>
      </c>
      <c r="F3405" s="68">
        <f>F1976/1.18-F2691*'Mark Up Validation'!$M$105</f>
        <v>0</v>
      </c>
      <c r="G3405" s="106"/>
      <c r="H3405" s="68">
        <f>H1976/1.18-H2691*'Mark Up Validation'!$M$105</f>
        <v>0</v>
      </c>
      <c r="I3405" s="106"/>
      <c r="J3405" s="68">
        <f>J1976/1.18-J2691*'Mark Up Validation'!$M$105</f>
        <v>0</v>
      </c>
      <c r="K3405" s="106"/>
      <c r="L3405" s="68">
        <f>L1976/1.18-L2691*'Mark Up Validation'!$M$105</f>
        <v>0</v>
      </c>
      <c r="M3405" s="106"/>
      <c r="N3405" s="68">
        <f>N1976/1.18-N2691*'Mark Up Validation'!$M$105</f>
        <v>0</v>
      </c>
      <c r="O3405" s="106"/>
      <c r="P3405" s="68">
        <f>P1976/1.18-P2691*'Mark Up Validation'!$M$105</f>
        <v>0</v>
      </c>
      <c r="Q3405" s="107"/>
      <c r="R3405" s="135">
        <f>SUM(F3405,H3405,J3405,L3405,N3405,P3405)</f>
        <v>0</v>
      </c>
      <c r="S3405" s="107"/>
      <c r="T3405" s="68">
        <f>T1976/1.18-T2691*'Mark Up Validation'!$S$105</f>
        <v>0</v>
      </c>
      <c r="U3405" s="107"/>
      <c r="V3405" s="68">
        <f>V1976/1.18-V2691*'Mark Up Validation'!$S$105</f>
        <v>0</v>
      </c>
      <c r="W3405" s="107"/>
      <c r="X3405" s="68">
        <f>X1976/1.18-X2691*'Mark Up Validation'!$S$105</f>
        <v>0</v>
      </c>
      <c r="Y3405" s="107"/>
      <c r="Z3405" s="68">
        <f>Z1976/1.18-Z2691*'Mark Up Validation'!$S$105</f>
        <v>0</v>
      </c>
      <c r="AA3405" s="107"/>
      <c r="AB3405" s="68">
        <f>AB1976/1.18-AB2691*'Mark Up Validation'!$S$105</f>
        <v>0</v>
      </c>
      <c r="AC3405" s="107"/>
      <c r="AD3405" s="68">
        <f>AD1976/1.18-AD2691*'Mark Up Validation'!$S$105</f>
        <v>0</v>
      </c>
      <c r="AE3405" s="107"/>
      <c r="AF3405" s="135">
        <f>SUM(T3405,V3405,X3405,Z3405,AB3405,AD3405)</f>
        <v>0</v>
      </c>
      <c r="AG3405" s="107"/>
      <c r="AH3405" s="136">
        <f>SUM(AF3405,R3405)</f>
        <v>0</v>
      </c>
      <c r="AI3405" s="107"/>
      <c r="AJ3405" s="65"/>
      <c r="AV3405" s="56"/>
    </row>
    <row r="3406" spans="1:48" ht="13.5" hidden="1" customHeight="1" outlineLevel="2">
      <c r="B3406" s="82"/>
      <c r="C3406" s="425"/>
      <c r="D3406" s="425"/>
      <c r="E3406" s="634"/>
      <c r="F3406" s="635"/>
      <c r="G3406" s="428"/>
      <c r="H3406" s="635"/>
      <c r="I3406" s="428"/>
      <c r="J3406" s="635"/>
      <c r="K3406" s="636"/>
      <c r="L3406" s="635"/>
      <c r="M3406" s="636"/>
      <c r="N3406" s="635"/>
      <c r="O3406" s="636"/>
      <c r="P3406" s="635"/>
      <c r="Q3406" s="636"/>
      <c r="R3406" s="637"/>
      <c r="S3406" s="698">
        <f>SUM(R2686:R2690)/1.18-(SUM(R3401:R3405)*'Mark Up Validation'!$M$105)</f>
        <v>0</v>
      </c>
      <c r="T3406" s="635"/>
      <c r="U3406" s="636"/>
      <c r="V3406" s="635"/>
      <c r="W3406" s="636"/>
      <c r="X3406" s="635"/>
      <c r="Y3406" s="636"/>
      <c r="Z3406" s="635"/>
      <c r="AA3406" s="636"/>
      <c r="AB3406" s="635"/>
      <c r="AC3406" s="636"/>
      <c r="AD3406" s="635"/>
      <c r="AE3406" s="636"/>
      <c r="AF3406" s="637"/>
      <c r="AG3406" s="698">
        <f>SUM(AF2686:AF2690)/1.18-SUM(AF3401:AF3405)*'Mark Up Validation'!$M$175</f>
        <v>0</v>
      </c>
      <c r="AH3406" s="638"/>
      <c r="AI3406" s="698">
        <f>SUM(AH2686:AH2690)/1.18-SUM(AH3401:AH3405)*'Mark Up Validation'!$M$175</f>
        <v>0</v>
      </c>
      <c r="AJ3406" s="65"/>
      <c r="AV3406" s="56"/>
    </row>
    <row r="3407" spans="1:48" ht="13.5" hidden="1" customHeight="1" outlineLevel="2" thickBot="1">
      <c r="A3407" s="119"/>
      <c r="B3407" s="82"/>
      <c r="C3407" s="1228" t="s">
        <v>539</v>
      </c>
      <c r="D3407" s="1229"/>
      <c r="E3407" s="699"/>
      <c r="F3407" s="700">
        <f>SUM(F3401:F3405)</f>
        <v>0</v>
      </c>
      <c r="G3407" s="701"/>
      <c r="H3407" s="700">
        <f>SUM(H3401:H3405)</f>
        <v>0</v>
      </c>
      <c r="I3407" s="701"/>
      <c r="J3407" s="700">
        <f>SUM(J3401:J3405)</f>
        <v>0</v>
      </c>
      <c r="K3407" s="702"/>
      <c r="L3407" s="700">
        <f>SUM(L3401:L3405)</f>
        <v>0</v>
      </c>
      <c r="M3407" s="702"/>
      <c r="N3407" s="700">
        <f>SUM(N3401:N3405)</f>
        <v>0</v>
      </c>
      <c r="O3407" s="702"/>
      <c r="P3407" s="700">
        <f>SUM(P3401:P3405)</f>
        <v>0</v>
      </c>
      <c r="Q3407" s="702"/>
      <c r="R3407" s="703"/>
      <c r="S3407" s="729">
        <f>IF(S3406&gt;0,S3406/(SUM(R2686:R2690)/1.18),0)</f>
        <v>0</v>
      </c>
      <c r="T3407" s="700">
        <f>SUM(T3401:T3405)</f>
        <v>0</v>
      </c>
      <c r="U3407" s="702"/>
      <c r="V3407" s="700">
        <f>SUM(V3401:V3405)</f>
        <v>0</v>
      </c>
      <c r="W3407" s="702"/>
      <c r="X3407" s="700">
        <f>SUM(X3401:X3405)</f>
        <v>0</v>
      </c>
      <c r="Y3407" s="702"/>
      <c r="Z3407" s="700">
        <f>SUM(Z3401:Z3405)</f>
        <v>0</v>
      </c>
      <c r="AA3407" s="702"/>
      <c r="AB3407" s="700">
        <f>SUM(AB3401:AB3405)</f>
        <v>0</v>
      </c>
      <c r="AC3407" s="702"/>
      <c r="AD3407" s="700">
        <f>SUM(AD3401:AD3405)</f>
        <v>0</v>
      </c>
      <c r="AE3407" s="702"/>
      <c r="AF3407" s="705"/>
      <c r="AG3407" s="729">
        <f>IF(AG3406&gt;0,AG3406/(SUM(AF2686:AF2690)/1.18),0)</f>
        <v>0</v>
      </c>
      <c r="AH3407" s="706"/>
      <c r="AI3407" s="729">
        <f>IF(AI3406&gt;0,AI3406/(SUM(AH2686:AH2690)/1.18),0)</f>
        <v>0</v>
      </c>
      <c r="AJ3407" s="707"/>
      <c r="AV3407" s="56"/>
    </row>
    <row r="3408" spans="1:48" ht="12.75" hidden="1" customHeight="1" outlineLevel="2" thickBot="1">
      <c r="B3408" s="82">
        <f>B3401+1</f>
        <v>76</v>
      </c>
      <c r="C3408" s="1233">
        <f>C538</f>
        <v>0</v>
      </c>
      <c r="D3408" s="1233">
        <f>D538</f>
        <v>0</v>
      </c>
      <c r="E3408" s="83" t="str">
        <f>'Terms and Turnovers'!$J$12</f>
        <v>FLIP-FLOPS</v>
      </c>
      <c r="F3408" s="68">
        <f>F1979/1.18-F2694*'Mark Up Validation'!$M$105</f>
        <v>0</v>
      </c>
      <c r="G3408" s="106"/>
      <c r="H3408" s="68">
        <f>H1979/1.18-H2694*'Mark Up Validation'!$M$105</f>
        <v>0</v>
      </c>
      <c r="I3408" s="106"/>
      <c r="J3408" s="68">
        <f>J1979/1.18-J2694*'Mark Up Validation'!$M$105</f>
        <v>0</v>
      </c>
      <c r="K3408" s="106"/>
      <c r="L3408" s="68">
        <f>L1979/1.18-L2694*'Mark Up Validation'!$M$105</f>
        <v>0</v>
      </c>
      <c r="M3408" s="106"/>
      <c r="N3408" s="68">
        <f>N1979/1.18-N2694*'Mark Up Validation'!$M$105</f>
        <v>0</v>
      </c>
      <c r="O3408" s="106"/>
      <c r="P3408" s="68">
        <f>P1979/1.18-P2694*'Mark Up Validation'!$M$105</f>
        <v>0</v>
      </c>
      <c r="Q3408" s="106"/>
      <c r="R3408" s="129">
        <f>SUM(F3408,H3408,J3408,L3408,N3408,P3408)</f>
        <v>0</v>
      </c>
      <c r="S3408" s="106"/>
      <c r="T3408" s="68">
        <f>T1979/1.18-T2694*'Mark Up Validation'!$S$105</f>
        <v>0</v>
      </c>
      <c r="U3408" s="106"/>
      <c r="V3408" s="68">
        <f>V1979/1.18-V2694*'Mark Up Validation'!$S$105</f>
        <v>0</v>
      </c>
      <c r="W3408" s="106"/>
      <c r="X3408" s="68">
        <f>X1979/1.18-X2694*'Mark Up Validation'!$S$105</f>
        <v>0</v>
      </c>
      <c r="Y3408" s="106"/>
      <c r="Z3408" s="68">
        <f>Z1979/1.18-Z2694*'Mark Up Validation'!$S$105</f>
        <v>0</v>
      </c>
      <c r="AA3408" s="106"/>
      <c r="AB3408" s="68">
        <f>AB1979/1.18-AB2694*'Mark Up Validation'!$S$105</f>
        <v>0</v>
      </c>
      <c r="AC3408" s="106"/>
      <c r="AD3408" s="68">
        <f>AD1979/1.18-AD2694*'Mark Up Validation'!$S$105</f>
        <v>0</v>
      </c>
      <c r="AE3408" s="106"/>
      <c r="AF3408" s="129">
        <f>SUM(T3408,V3408,X3408,Z3408,AB3408,AD3408)</f>
        <v>0</v>
      </c>
      <c r="AG3408" s="106"/>
      <c r="AH3408" s="130">
        <f>SUM(AF3408,R3408)</f>
        <v>0</v>
      </c>
      <c r="AI3408" s="106"/>
      <c r="AJ3408" s="65"/>
      <c r="AV3408" s="56"/>
    </row>
    <row r="3409" spans="1:48" ht="12.75" hidden="1" customHeight="1" outlineLevel="2" thickBot="1">
      <c r="B3409" s="82"/>
      <c r="C3409" s="1234"/>
      <c r="D3409" s="1234"/>
      <c r="E3409" s="84" t="str">
        <f>'Terms and Turnovers'!$T$12</f>
        <v>ORIGINALS</v>
      </c>
      <c r="F3409" s="68">
        <f>F1980/1.18-F2695*'Mark Up Validation'!$M$105</f>
        <v>0</v>
      </c>
      <c r="G3409" s="728"/>
      <c r="H3409" s="68">
        <f>H1980/1.18-H2695*'Mark Up Validation'!$M$105</f>
        <v>0</v>
      </c>
      <c r="I3409" s="728"/>
      <c r="J3409" s="68">
        <f>J1980/1.18-J2695*'Mark Up Validation'!$M$105</f>
        <v>0</v>
      </c>
      <c r="K3409" s="728"/>
      <c r="L3409" s="68">
        <f>L1980/1.18-L2695*'Mark Up Validation'!$M$105</f>
        <v>0</v>
      </c>
      <c r="M3409" s="728"/>
      <c r="N3409" s="68">
        <f>N1980/1.18-N2695*'Mark Up Validation'!$M$105</f>
        <v>0</v>
      </c>
      <c r="O3409" s="728"/>
      <c r="P3409" s="68">
        <f>P1980/1.18-P2695*'Mark Up Validation'!$M$105</f>
        <v>0</v>
      </c>
      <c r="Q3409" s="728"/>
      <c r="R3409" s="132">
        <f>SUM(F3409,H3409,J3409,L3409,N3409,P3409)</f>
        <v>0</v>
      </c>
      <c r="S3409" s="728"/>
      <c r="T3409" s="68">
        <f>T1980/1.18-T2695*'Mark Up Validation'!$S$105</f>
        <v>0</v>
      </c>
      <c r="U3409" s="728"/>
      <c r="V3409" s="68">
        <f>V1980/1.18-V2695*'Mark Up Validation'!$S$105</f>
        <v>0</v>
      </c>
      <c r="W3409" s="728"/>
      <c r="X3409" s="68">
        <f>X1980/1.18-X2695*'Mark Up Validation'!$S$105</f>
        <v>0</v>
      </c>
      <c r="Y3409" s="728"/>
      <c r="Z3409" s="68">
        <f>Z1980/1.18-Z2695*'Mark Up Validation'!$S$105</f>
        <v>0</v>
      </c>
      <c r="AA3409" s="728"/>
      <c r="AB3409" s="68">
        <f>AB1980/1.18-AB2695*'Mark Up Validation'!$S$105</f>
        <v>0</v>
      </c>
      <c r="AC3409" s="728"/>
      <c r="AD3409" s="68">
        <f>AD1980/1.18-AD2695*'Mark Up Validation'!$S$105</f>
        <v>0</v>
      </c>
      <c r="AE3409" s="728"/>
      <c r="AF3409" s="132">
        <f>SUM(T3409,V3409,X3409,Z3409,AB3409,AD3409)</f>
        <v>0</v>
      </c>
      <c r="AG3409" s="728"/>
      <c r="AH3409" s="133">
        <f>SUM(AF3409,R3409)</f>
        <v>0</v>
      </c>
      <c r="AI3409" s="728"/>
      <c r="AJ3409" s="65"/>
      <c r="AV3409" s="56"/>
    </row>
    <row r="3410" spans="1:48" ht="12.75" hidden="1" customHeight="1" outlineLevel="2" thickBot="1">
      <c r="B3410" s="82"/>
      <c r="C3410" s="1234"/>
      <c r="D3410" s="1234"/>
      <c r="E3410" s="84" t="str">
        <f>'Terms and Turnovers'!$AD$12</f>
        <v>ACCESSORIES</v>
      </c>
      <c r="F3410" s="68">
        <f>F1981/1.18-F2696*'Mark Up Validation'!$M$105</f>
        <v>0</v>
      </c>
      <c r="G3410" s="106"/>
      <c r="H3410" s="68">
        <f>H1981/1.18-H2696*'Mark Up Validation'!$M$105</f>
        <v>0</v>
      </c>
      <c r="I3410" s="106"/>
      <c r="J3410" s="68">
        <f>J1981/1.18-J2696*'Mark Up Validation'!$M$105</f>
        <v>0</v>
      </c>
      <c r="K3410" s="106"/>
      <c r="L3410" s="68">
        <f>L1981/1.18-L2696*'Mark Up Validation'!$M$105</f>
        <v>0</v>
      </c>
      <c r="M3410" s="106"/>
      <c r="N3410" s="68">
        <f>N1981/1.18-N2696*'Mark Up Validation'!$M$105</f>
        <v>0</v>
      </c>
      <c r="O3410" s="106"/>
      <c r="P3410" s="68">
        <f>P1981/1.18-P2696*'Mark Up Validation'!$M$105</f>
        <v>0</v>
      </c>
      <c r="Q3410" s="728"/>
      <c r="R3410" s="132">
        <f>SUM(F3410,H3410,J3410,L3410,N3410,P3410)</f>
        <v>0</v>
      </c>
      <c r="S3410" s="728"/>
      <c r="T3410" s="68">
        <f>T1981/1.18-T2696*'Mark Up Validation'!$S$105</f>
        <v>0</v>
      </c>
      <c r="U3410" s="728"/>
      <c r="V3410" s="68">
        <f>V1981/1.18-V2696*'Mark Up Validation'!$S$105</f>
        <v>0</v>
      </c>
      <c r="W3410" s="728"/>
      <c r="X3410" s="68">
        <f>X1981/1.18-X2696*'Mark Up Validation'!$S$105</f>
        <v>0</v>
      </c>
      <c r="Y3410" s="728"/>
      <c r="Z3410" s="68">
        <f>Z1981/1.18-Z2696*'Mark Up Validation'!$S$105</f>
        <v>0</v>
      </c>
      <c r="AA3410" s="728"/>
      <c r="AB3410" s="68">
        <f>AB1981/1.18-AB2696*'Mark Up Validation'!$S$105</f>
        <v>0</v>
      </c>
      <c r="AC3410" s="728"/>
      <c r="AD3410" s="68">
        <f>AD1981/1.18-AD2696*'Mark Up Validation'!$S$105</f>
        <v>0</v>
      </c>
      <c r="AE3410" s="728"/>
      <c r="AF3410" s="132">
        <f>SUM(T3410,V3410,X3410,Z3410,AB3410,AD3410)</f>
        <v>0</v>
      </c>
      <c r="AG3410" s="728"/>
      <c r="AH3410" s="133">
        <f>SUM(AF3410,R3410)</f>
        <v>0</v>
      </c>
      <c r="AI3410" s="728"/>
      <c r="AJ3410" s="65"/>
      <c r="AV3410" s="56"/>
    </row>
    <row r="3411" spans="1:48" ht="12.75" hidden="1" customHeight="1" outlineLevel="2" thickBot="1">
      <c r="B3411" s="82"/>
      <c r="C3411" s="1234"/>
      <c r="D3411" s="1234"/>
      <c r="E3411" s="84">
        <f>'Terms and Turnovers'!$AN$12</f>
        <v>0</v>
      </c>
      <c r="F3411" s="68">
        <f>F1982/1.18-F2697*'Mark Up Validation'!$M$105</f>
        <v>0</v>
      </c>
      <c r="G3411" s="728"/>
      <c r="H3411" s="68">
        <f>H1982/1.18-H2697*'Mark Up Validation'!$M$105</f>
        <v>0</v>
      </c>
      <c r="I3411" s="728"/>
      <c r="J3411" s="68">
        <f>J1982/1.18-J2697*'Mark Up Validation'!$M$105</f>
        <v>0</v>
      </c>
      <c r="K3411" s="728"/>
      <c r="L3411" s="68">
        <f>L1982/1.18-L2697*'Mark Up Validation'!$M$105</f>
        <v>0</v>
      </c>
      <c r="M3411" s="728"/>
      <c r="N3411" s="68">
        <f>N1982/1.18-N2697*'Mark Up Validation'!$M$105</f>
        <v>0</v>
      </c>
      <c r="O3411" s="728"/>
      <c r="P3411" s="68">
        <f>P1982/1.18-P2697*'Mark Up Validation'!$M$105</f>
        <v>0</v>
      </c>
      <c r="Q3411" s="728"/>
      <c r="R3411" s="132">
        <f>SUM(F3411,H3411,J3411,L3411,N3411,P3411)</f>
        <v>0</v>
      </c>
      <c r="S3411" s="728"/>
      <c r="T3411" s="68">
        <f>T1982/1.18-T2697*'Mark Up Validation'!$S$105</f>
        <v>0</v>
      </c>
      <c r="U3411" s="728"/>
      <c r="V3411" s="68">
        <f>V1982/1.18-V2697*'Mark Up Validation'!$S$105</f>
        <v>0</v>
      </c>
      <c r="W3411" s="728"/>
      <c r="X3411" s="68">
        <f>X1982/1.18-X2697*'Mark Up Validation'!$S$105</f>
        <v>0</v>
      </c>
      <c r="Y3411" s="728"/>
      <c r="Z3411" s="68">
        <f>Z1982/1.18-Z2697*'Mark Up Validation'!$S$105</f>
        <v>0</v>
      </c>
      <c r="AA3411" s="728"/>
      <c r="AB3411" s="68">
        <f>AB1982/1.18-AB2697*'Mark Up Validation'!$S$105</f>
        <v>0</v>
      </c>
      <c r="AC3411" s="728"/>
      <c r="AD3411" s="68">
        <f>AD1982/1.18-AD2697*'Mark Up Validation'!$S$105</f>
        <v>0</v>
      </c>
      <c r="AE3411" s="728"/>
      <c r="AF3411" s="132">
        <f>SUM(T3411,V3411,X3411,Z3411,AB3411,AD3411)</f>
        <v>0</v>
      </c>
      <c r="AG3411" s="728"/>
      <c r="AH3411" s="133">
        <f>SUM(AF3411,R3411)</f>
        <v>0</v>
      </c>
      <c r="AI3411" s="728"/>
      <c r="AJ3411" s="65"/>
      <c r="AV3411" s="56"/>
    </row>
    <row r="3412" spans="1:48" ht="13.5" hidden="1" customHeight="1" outlineLevel="2" thickBot="1">
      <c r="B3412" s="82"/>
      <c r="C3412" s="1235"/>
      <c r="D3412" s="1235"/>
      <c r="E3412" s="85">
        <f>'Terms and Turnovers'!$AX$12</f>
        <v>0</v>
      </c>
      <c r="F3412" s="68">
        <f>F1983/1.18-F2698*'Mark Up Validation'!$M$105</f>
        <v>0</v>
      </c>
      <c r="G3412" s="106"/>
      <c r="H3412" s="68">
        <f>H1983/1.18-H2698*'Mark Up Validation'!$M$105</f>
        <v>0</v>
      </c>
      <c r="I3412" s="106"/>
      <c r="J3412" s="68">
        <f>J1983/1.18-J2698*'Mark Up Validation'!$M$105</f>
        <v>0</v>
      </c>
      <c r="K3412" s="106"/>
      <c r="L3412" s="68">
        <f>L1983/1.18-L2698*'Mark Up Validation'!$M$105</f>
        <v>0</v>
      </c>
      <c r="M3412" s="106"/>
      <c r="N3412" s="68">
        <f>N1983/1.18-N2698*'Mark Up Validation'!$M$105</f>
        <v>0</v>
      </c>
      <c r="O3412" s="106"/>
      <c r="P3412" s="68">
        <f>P1983/1.18-P2698*'Mark Up Validation'!$M$105</f>
        <v>0</v>
      </c>
      <c r="Q3412" s="107"/>
      <c r="R3412" s="135">
        <f>SUM(F3412,H3412,J3412,L3412,N3412,P3412)</f>
        <v>0</v>
      </c>
      <c r="S3412" s="107"/>
      <c r="T3412" s="68">
        <f>T1983/1.18-T2698*'Mark Up Validation'!$S$105</f>
        <v>0</v>
      </c>
      <c r="U3412" s="107"/>
      <c r="V3412" s="68">
        <f>V1983/1.18-V2698*'Mark Up Validation'!$S$105</f>
        <v>0</v>
      </c>
      <c r="W3412" s="107"/>
      <c r="X3412" s="68">
        <f>X1983/1.18-X2698*'Mark Up Validation'!$S$105</f>
        <v>0</v>
      </c>
      <c r="Y3412" s="107"/>
      <c r="Z3412" s="68">
        <f>Z1983/1.18-Z2698*'Mark Up Validation'!$S$105</f>
        <v>0</v>
      </c>
      <c r="AA3412" s="107"/>
      <c r="AB3412" s="68">
        <f>AB1983/1.18-AB2698*'Mark Up Validation'!$S$105</f>
        <v>0</v>
      </c>
      <c r="AC3412" s="107"/>
      <c r="AD3412" s="68">
        <f>AD1983/1.18-AD2698*'Mark Up Validation'!$S$105</f>
        <v>0</v>
      </c>
      <c r="AE3412" s="107"/>
      <c r="AF3412" s="135">
        <f>SUM(T3412,V3412,X3412,Z3412,AB3412,AD3412)</f>
        <v>0</v>
      </c>
      <c r="AG3412" s="107"/>
      <c r="AH3412" s="136">
        <f>SUM(AF3412,R3412)</f>
        <v>0</v>
      </c>
      <c r="AI3412" s="107"/>
      <c r="AJ3412" s="65"/>
      <c r="AV3412" s="56"/>
    </row>
    <row r="3413" spans="1:48" ht="13.5" hidden="1" customHeight="1" outlineLevel="2">
      <c r="B3413" s="82"/>
      <c r="C3413" s="425"/>
      <c r="D3413" s="425"/>
      <c r="E3413" s="634"/>
      <c r="F3413" s="635"/>
      <c r="G3413" s="428"/>
      <c r="H3413" s="635"/>
      <c r="I3413" s="428"/>
      <c r="J3413" s="635"/>
      <c r="K3413" s="636"/>
      <c r="L3413" s="635"/>
      <c r="M3413" s="636"/>
      <c r="N3413" s="635"/>
      <c r="O3413" s="636"/>
      <c r="P3413" s="635"/>
      <c r="Q3413" s="636"/>
      <c r="R3413" s="637"/>
      <c r="S3413" s="698">
        <f>SUM(R2693:R2697)/1.18-(SUM(R3408:R3412)*'Mark Up Validation'!$M$105)</f>
        <v>0</v>
      </c>
      <c r="T3413" s="635"/>
      <c r="U3413" s="636"/>
      <c r="V3413" s="635"/>
      <c r="W3413" s="636"/>
      <c r="X3413" s="635"/>
      <c r="Y3413" s="636"/>
      <c r="Z3413" s="635"/>
      <c r="AA3413" s="636"/>
      <c r="AB3413" s="635"/>
      <c r="AC3413" s="636"/>
      <c r="AD3413" s="635"/>
      <c r="AE3413" s="636"/>
      <c r="AF3413" s="637"/>
      <c r="AG3413" s="698">
        <f>SUM(AF2693:AF2697)/1.18-SUM(AF3408:AF3412)*'Mark Up Validation'!$M$175</f>
        <v>0</v>
      </c>
      <c r="AH3413" s="638"/>
      <c r="AI3413" s="698">
        <f>SUM(AH2693:AH2697)/1.18-SUM(AH3408:AH3412)*'Mark Up Validation'!$M$175</f>
        <v>0</v>
      </c>
      <c r="AJ3413" s="65"/>
      <c r="AV3413" s="56"/>
    </row>
    <row r="3414" spans="1:48" ht="13.5" hidden="1" customHeight="1" outlineLevel="2" thickBot="1">
      <c r="A3414" s="119"/>
      <c r="B3414" s="82"/>
      <c r="C3414" s="1228" t="s">
        <v>539</v>
      </c>
      <c r="D3414" s="1229"/>
      <c r="E3414" s="699"/>
      <c r="F3414" s="700">
        <f>SUM(F3408:F3412)</f>
        <v>0</v>
      </c>
      <c r="G3414" s="701"/>
      <c r="H3414" s="700">
        <f>SUM(H3408:H3412)</f>
        <v>0</v>
      </c>
      <c r="I3414" s="701"/>
      <c r="J3414" s="700">
        <f>SUM(J3408:J3412)</f>
        <v>0</v>
      </c>
      <c r="K3414" s="702"/>
      <c r="L3414" s="700">
        <f>SUM(L3408:L3412)</f>
        <v>0</v>
      </c>
      <c r="M3414" s="702"/>
      <c r="N3414" s="700">
        <f>SUM(N3408:N3412)</f>
        <v>0</v>
      </c>
      <c r="O3414" s="702"/>
      <c r="P3414" s="700">
        <f>SUM(P3408:P3412)</f>
        <v>0</v>
      </c>
      <c r="Q3414" s="702"/>
      <c r="R3414" s="703"/>
      <c r="S3414" s="729">
        <f>IF(S3413&gt;0,S3413/(SUM(R2693:R2697)/1.18),0)</f>
        <v>0</v>
      </c>
      <c r="T3414" s="700">
        <f>SUM(T3408:T3412)</f>
        <v>0</v>
      </c>
      <c r="U3414" s="702"/>
      <c r="V3414" s="700">
        <f>SUM(V3408:V3412)</f>
        <v>0</v>
      </c>
      <c r="W3414" s="702"/>
      <c r="X3414" s="700">
        <f>SUM(X3408:X3412)</f>
        <v>0</v>
      </c>
      <c r="Y3414" s="702"/>
      <c r="Z3414" s="700">
        <f>SUM(Z3408:Z3412)</f>
        <v>0</v>
      </c>
      <c r="AA3414" s="702"/>
      <c r="AB3414" s="700">
        <f>SUM(AB3408:AB3412)</f>
        <v>0</v>
      </c>
      <c r="AC3414" s="702"/>
      <c r="AD3414" s="700">
        <f>SUM(AD3408:AD3412)</f>
        <v>0</v>
      </c>
      <c r="AE3414" s="702"/>
      <c r="AF3414" s="705"/>
      <c r="AG3414" s="729">
        <f>IF(AG3413&gt;0,AG3413/(SUM(AF2693:AF2697)/1.18),0)</f>
        <v>0</v>
      </c>
      <c r="AH3414" s="706"/>
      <c r="AI3414" s="729">
        <f>IF(AI3413&gt;0,AI3413/(SUM(AH2693:AH2697)/1.18),0)</f>
        <v>0</v>
      </c>
      <c r="AJ3414" s="707"/>
      <c r="AV3414" s="56"/>
    </row>
    <row r="3415" spans="1:48" ht="12.75" hidden="1" customHeight="1" outlineLevel="2" thickBot="1">
      <c r="B3415" s="82">
        <f>B3408+1</f>
        <v>77</v>
      </c>
      <c r="C3415" s="1233">
        <f>C545</f>
        <v>0</v>
      </c>
      <c r="D3415" s="1233">
        <f>D545</f>
        <v>0</v>
      </c>
      <c r="E3415" s="83" t="str">
        <f>'Terms and Turnovers'!$J$12</f>
        <v>FLIP-FLOPS</v>
      </c>
      <c r="F3415" s="68">
        <f>F1986/1.18-F2701*'Mark Up Validation'!$M$105</f>
        <v>0</v>
      </c>
      <c r="G3415" s="106"/>
      <c r="H3415" s="68">
        <f>H1986/1.18-H2701*'Mark Up Validation'!$M$105</f>
        <v>0</v>
      </c>
      <c r="I3415" s="106"/>
      <c r="J3415" s="68">
        <f>J1986/1.18-J2701*'Mark Up Validation'!$M$105</f>
        <v>0</v>
      </c>
      <c r="K3415" s="106"/>
      <c r="L3415" s="68">
        <f>L1986/1.18-L2701*'Mark Up Validation'!$M$105</f>
        <v>0</v>
      </c>
      <c r="M3415" s="106"/>
      <c r="N3415" s="68">
        <f>N1986/1.18-N2701*'Mark Up Validation'!$M$105</f>
        <v>0</v>
      </c>
      <c r="O3415" s="106"/>
      <c r="P3415" s="68">
        <f>P1986/1.18-P2701*'Mark Up Validation'!$M$105</f>
        <v>0</v>
      </c>
      <c r="Q3415" s="106"/>
      <c r="R3415" s="129">
        <f>SUM(F3415,H3415,J3415,L3415,N3415,P3415)</f>
        <v>0</v>
      </c>
      <c r="S3415" s="106"/>
      <c r="T3415" s="68">
        <f>T1986/1.18-T2701*'Mark Up Validation'!$S$105</f>
        <v>0</v>
      </c>
      <c r="U3415" s="106"/>
      <c r="V3415" s="68">
        <f>V1986/1.18-V2701*'Mark Up Validation'!$S$105</f>
        <v>0</v>
      </c>
      <c r="W3415" s="106"/>
      <c r="X3415" s="68">
        <f>X1986/1.18-X2701*'Mark Up Validation'!$S$105</f>
        <v>0</v>
      </c>
      <c r="Y3415" s="106"/>
      <c r="Z3415" s="68">
        <f>Z1986/1.18-Z2701*'Mark Up Validation'!$S$105</f>
        <v>0</v>
      </c>
      <c r="AA3415" s="106"/>
      <c r="AB3415" s="68">
        <f>AB1986/1.18-AB2701*'Mark Up Validation'!$S$105</f>
        <v>0</v>
      </c>
      <c r="AC3415" s="106"/>
      <c r="AD3415" s="68">
        <f>AD1986/1.18-AD2701*'Mark Up Validation'!$S$105</f>
        <v>0</v>
      </c>
      <c r="AE3415" s="106"/>
      <c r="AF3415" s="129">
        <f>SUM(T3415,V3415,X3415,Z3415,AB3415,AD3415)</f>
        <v>0</v>
      </c>
      <c r="AG3415" s="106"/>
      <c r="AH3415" s="130">
        <f>SUM(AF3415,R3415)</f>
        <v>0</v>
      </c>
      <c r="AI3415" s="106"/>
      <c r="AJ3415" s="65"/>
      <c r="AV3415" s="56"/>
    </row>
    <row r="3416" spans="1:48" ht="12.75" hidden="1" customHeight="1" outlineLevel="2" thickBot="1">
      <c r="B3416" s="82"/>
      <c r="C3416" s="1234"/>
      <c r="D3416" s="1234"/>
      <c r="E3416" s="84" t="str">
        <f>'Terms and Turnovers'!$T$12</f>
        <v>ORIGINALS</v>
      </c>
      <c r="F3416" s="68">
        <f>F1987/1.18-F2702*'Mark Up Validation'!$M$105</f>
        <v>0</v>
      </c>
      <c r="G3416" s="728"/>
      <c r="H3416" s="68">
        <f>H1987/1.18-H2702*'Mark Up Validation'!$M$105</f>
        <v>0</v>
      </c>
      <c r="I3416" s="728"/>
      <c r="J3416" s="68">
        <f>J1987/1.18-J2702*'Mark Up Validation'!$M$105</f>
        <v>0</v>
      </c>
      <c r="K3416" s="728"/>
      <c r="L3416" s="68">
        <f>L1987/1.18-L2702*'Mark Up Validation'!$M$105</f>
        <v>0</v>
      </c>
      <c r="M3416" s="728"/>
      <c r="N3416" s="68">
        <f>N1987/1.18-N2702*'Mark Up Validation'!$M$105</f>
        <v>0</v>
      </c>
      <c r="O3416" s="728"/>
      <c r="P3416" s="68">
        <f>P1987/1.18-P2702*'Mark Up Validation'!$M$105</f>
        <v>0</v>
      </c>
      <c r="Q3416" s="728"/>
      <c r="R3416" s="132">
        <f>SUM(F3416,H3416,J3416,L3416,N3416,P3416)</f>
        <v>0</v>
      </c>
      <c r="S3416" s="728"/>
      <c r="T3416" s="68">
        <f>T1987/1.18-T2702*'Mark Up Validation'!$S$105</f>
        <v>0</v>
      </c>
      <c r="U3416" s="728"/>
      <c r="V3416" s="68">
        <f>V1987/1.18-V2702*'Mark Up Validation'!$S$105</f>
        <v>0</v>
      </c>
      <c r="W3416" s="728"/>
      <c r="X3416" s="68">
        <f>X1987/1.18-X2702*'Mark Up Validation'!$S$105</f>
        <v>0</v>
      </c>
      <c r="Y3416" s="728"/>
      <c r="Z3416" s="68">
        <f>Z1987/1.18-Z2702*'Mark Up Validation'!$S$105</f>
        <v>0</v>
      </c>
      <c r="AA3416" s="728"/>
      <c r="AB3416" s="68">
        <f>AB1987/1.18-AB2702*'Mark Up Validation'!$S$105</f>
        <v>0</v>
      </c>
      <c r="AC3416" s="728"/>
      <c r="AD3416" s="68">
        <f>AD1987/1.18-AD2702*'Mark Up Validation'!$S$105</f>
        <v>0</v>
      </c>
      <c r="AE3416" s="728"/>
      <c r="AF3416" s="132">
        <f>SUM(T3416,V3416,X3416,Z3416,AB3416,AD3416)</f>
        <v>0</v>
      </c>
      <c r="AG3416" s="728"/>
      <c r="AH3416" s="133">
        <f>SUM(AF3416,R3416)</f>
        <v>0</v>
      </c>
      <c r="AI3416" s="728"/>
      <c r="AJ3416" s="65"/>
      <c r="AV3416" s="56"/>
    </row>
    <row r="3417" spans="1:48" ht="12.75" hidden="1" customHeight="1" outlineLevel="2" thickBot="1">
      <c r="B3417" s="82"/>
      <c r="C3417" s="1234"/>
      <c r="D3417" s="1234"/>
      <c r="E3417" s="84" t="str">
        <f>'Terms and Turnovers'!$AD$12</f>
        <v>ACCESSORIES</v>
      </c>
      <c r="F3417" s="68">
        <f>F1988/1.18-F2703*'Mark Up Validation'!$M$105</f>
        <v>0</v>
      </c>
      <c r="G3417" s="106"/>
      <c r="H3417" s="68">
        <f>H1988/1.18-H2703*'Mark Up Validation'!$M$105</f>
        <v>0</v>
      </c>
      <c r="I3417" s="106"/>
      <c r="J3417" s="68">
        <f>J1988/1.18-J2703*'Mark Up Validation'!$M$105</f>
        <v>0</v>
      </c>
      <c r="K3417" s="106"/>
      <c r="L3417" s="68">
        <f>L1988/1.18-L2703*'Mark Up Validation'!$M$105</f>
        <v>0</v>
      </c>
      <c r="M3417" s="106"/>
      <c r="N3417" s="68">
        <f>N1988/1.18-N2703*'Mark Up Validation'!$M$105</f>
        <v>0</v>
      </c>
      <c r="O3417" s="106"/>
      <c r="P3417" s="68">
        <f>P1988/1.18-P2703*'Mark Up Validation'!$M$105</f>
        <v>0</v>
      </c>
      <c r="Q3417" s="728"/>
      <c r="R3417" s="132">
        <f>SUM(F3417,H3417,J3417,L3417,N3417,P3417)</f>
        <v>0</v>
      </c>
      <c r="S3417" s="728"/>
      <c r="T3417" s="68">
        <f>T1988/1.18-T2703*'Mark Up Validation'!$S$105</f>
        <v>0</v>
      </c>
      <c r="U3417" s="728"/>
      <c r="V3417" s="68">
        <f>V1988/1.18-V2703*'Mark Up Validation'!$S$105</f>
        <v>0</v>
      </c>
      <c r="W3417" s="728"/>
      <c r="X3417" s="68">
        <f>X1988/1.18-X2703*'Mark Up Validation'!$S$105</f>
        <v>0</v>
      </c>
      <c r="Y3417" s="728"/>
      <c r="Z3417" s="68">
        <f>Z1988/1.18-Z2703*'Mark Up Validation'!$S$105</f>
        <v>0</v>
      </c>
      <c r="AA3417" s="728"/>
      <c r="AB3417" s="68">
        <f>AB1988/1.18-AB2703*'Mark Up Validation'!$S$105</f>
        <v>0</v>
      </c>
      <c r="AC3417" s="728"/>
      <c r="AD3417" s="68">
        <f>AD1988/1.18-AD2703*'Mark Up Validation'!$S$105</f>
        <v>0</v>
      </c>
      <c r="AE3417" s="728"/>
      <c r="AF3417" s="132">
        <f>SUM(T3417,V3417,X3417,Z3417,AB3417,AD3417)</f>
        <v>0</v>
      </c>
      <c r="AG3417" s="728"/>
      <c r="AH3417" s="133">
        <f>SUM(AF3417,R3417)</f>
        <v>0</v>
      </c>
      <c r="AI3417" s="728"/>
      <c r="AJ3417" s="65"/>
      <c r="AV3417" s="56"/>
    </row>
    <row r="3418" spans="1:48" ht="12.75" hidden="1" customHeight="1" outlineLevel="2" thickBot="1">
      <c r="B3418" s="82"/>
      <c r="C3418" s="1234"/>
      <c r="D3418" s="1234"/>
      <c r="E3418" s="84">
        <f>'Terms and Turnovers'!$AN$12</f>
        <v>0</v>
      </c>
      <c r="F3418" s="68">
        <f>F1989/1.18-F2704*'Mark Up Validation'!$M$105</f>
        <v>0</v>
      </c>
      <c r="G3418" s="728"/>
      <c r="H3418" s="68">
        <f>H1989/1.18-H2704*'Mark Up Validation'!$M$105</f>
        <v>0</v>
      </c>
      <c r="I3418" s="728"/>
      <c r="J3418" s="68">
        <f>J1989/1.18-J2704*'Mark Up Validation'!$M$105</f>
        <v>0</v>
      </c>
      <c r="K3418" s="728"/>
      <c r="L3418" s="68">
        <f>L1989/1.18-L2704*'Mark Up Validation'!$M$105</f>
        <v>0</v>
      </c>
      <c r="M3418" s="728"/>
      <c r="N3418" s="68">
        <f>N1989/1.18-N2704*'Mark Up Validation'!$M$105</f>
        <v>0</v>
      </c>
      <c r="O3418" s="728"/>
      <c r="P3418" s="68">
        <f>P1989/1.18-P2704*'Mark Up Validation'!$M$105</f>
        <v>0</v>
      </c>
      <c r="Q3418" s="728"/>
      <c r="R3418" s="132">
        <f>SUM(F3418,H3418,J3418,L3418,N3418,P3418)</f>
        <v>0</v>
      </c>
      <c r="S3418" s="728"/>
      <c r="T3418" s="68">
        <f>T1989/1.18-T2704*'Mark Up Validation'!$S$105</f>
        <v>0</v>
      </c>
      <c r="U3418" s="728"/>
      <c r="V3418" s="68">
        <f>V1989/1.18-V2704*'Mark Up Validation'!$S$105</f>
        <v>0</v>
      </c>
      <c r="W3418" s="728"/>
      <c r="X3418" s="68">
        <f>X1989/1.18-X2704*'Mark Up Validation'!$S$105</f>
        <v>0</v>
      </c>
      <c r="Y3418" s="728"/>
      <c r="Z3418" s="68">
        <f>Z1989/1.18-Z2704*'Mark Up Validation'!$S$105</f>
        <v>0</v>
      </c>
      <c r="AA3418" s="728"/>
      <c r="AB3418" s="68">
        <f>AB1989/1.18-AB2704*'Mark Up Validation'!$S$105</f>
        <v>0</v>
      </c>
      <c r="AC3418" s="728"/>
      <c r="AD3418" s="68">
        <f>AD1989/1.18-AD2704*'Mark Up Validation'!$S$105</f>
        <v>0</v>
      </c>
      <c r="AE3418" s="728"/>
      <c r="AF3418" s="132">
        <f>SUM(T3418,V3418,X3418,Z3418,AB3418,AD3418)</f>
        <v>0</v>
      </c>
      <c r="AG3418" s="728"/>
      <c r="AH3418" s="133">
        <f>SUM(AF3418,R3418)</f>
        <v>0</v>
      </c>
      <c r="AI3418" s="728"/>
      <c r="AJ3418" s="65"/>
      <c r="AV3418" s="56"/>
    </row>
    <row r="3419" spans="1:48" ht="13.5" hidden="1" customHeight="1" outlineLevel="2" thickBot="1">
      <c r="B3419" s="82"/>
      <c r="C3419" s="1235"/>
      <c r="D3419" s="1235"/>
      <c r="E3419" s="85">
        <f>'Terms and Turnovers'!$AX$12</f>
        <v>0</v>
      </c>
      <c r="F3419" s="68">
        <f>F1990/1.18-F2705*'Mark Up Validation'!$M$105</f>
        <v>0</v>
      </c>
      <c r="G3419" s="106"/>
      <c r="H3419" s="68">
        <f>H1990/1.18-H2705*'Mark Up Validation'!$M$105</f>
        <v>0</v>
      </c>
      <c r="I3419" s="106"/>
      <c r="J3419" s="68">
        <f>J1990/1.18-J2705*'Mark Up Validation'!$M$105</f>
        <v>0</v>
      </c>
      <c r="K3419" s="106"/>
      <c r="L3419" s="68">
        <f>L1990/1.18-L2705*'Mark Up Validation'!$M$105</f>
        <v>0</v>
      </c>
      <c r="M3419" s="106"/>
      <c r="N3419" s="68">
        <f>N1990/1.18-N2705*'Mark Up Validation'!$M$105</f>
        <v>0</v>
      </c>
      <c r="O3419" s="106"/>
      <c r="P3419" s="68">
        <f>P1990/1.18-P2705*'Mark Up Validation'!$M$105</f>
        <v>0</v>
      </c>
      <c r="Q3419" s="107"/>
      <c r="R3419" s="135">
        <f>SUM(F3419,H3419,J3419,L3419,N3419,P3419)</f>
        <v>0</v>
      </c>
      <c r="S3419" s="107"/>
      <c r="T3419" s="68">
        <f>T1990/1.18-T2705*'Mark Up Validation'!$S$105</f>
        <v>0</v>
      </c>
      <c r="U3419" s="107"/>
      <c r="V3419" s="68">
        <f>V1990/1.18-V2705*'Mark Up Validation'!$S$105</f>
        <v>0</v>
      </c>
      <c r="W3419" s="107"/>
      <c r="X3419" s="68">
        <f>X1990/1.18-X2705*'Mark Up Validation'!$S$105</f>
        <v>0</v>
      </c>
      <c r="Y3419" s="107"/>
      <c r="Z3419" s="68">
        <f>Z1990/1.18-Z2705*'Mark Up Validation'!$S$105</f>
        <v>0</v>
      </c>
      <c r="AA3419" s="107"/>
      <c r="AB3419" s="68">
        <f>AB1990/1.18-AB2705*'Mark Up Validation'!$S$105</f>
        <v>0</v>
      </c>
      <c r="AC3419" s="107"/>
      <c r="AD3419" s="68">
        <f>AD1990/1.18-AD2705*'Mark Up Validation'!$S$105</f>
        <v>0</v>
      </c>
      <c r="AE3419" s="107"/>
      <c r="AF3419" s="135">
        <f>SUM(T3419,V3419,X3419,Z3419,AB3419,AD3419)</f>
        <v>0</v>
      </c>
      <c r="AG3419" s="107"/>
      <c r="AH3419" s="136">
        <f>SUM(AF3419,R3419)</f>
        <v>0</v>
      </c>
      <c r="AI3419" s="107"/>
      <c r="AJ3419" s="65"/>
      <c r="AV3419" s="56"/>
    </row>
    <row r="3420" spans="1:48" ht="13.5" hidden="1" customHeight="1" outlineLevel="2">
      <c r="B3420" s="82"/>
      <c r="C3420" s="425"/>
      <c r="D3420" s="425"/>
      <c r="E3420" s="634"/>
      <c r="F3420" s="635"/>
      <c r="G3420" s="428"/>
      <c r="H3420" s="635"/>
      <c r="I3420" s="428"/>
      <c r="J3420" s="635"/>
      <c r="K3420" s="636"/>
      <c r="L3420" s="635"/>
      <c r="M3420" s="636"/>
      <c r="N3420" s="635"/>
      <c r="O3420" s="636"/>
      <c r="P3420" s="635"/>
      <c r="Q3420" s="636"/>
      <c r="R3420" s="637"/>
      <c r="S3420" s="698">
        <f>SUM(R2700:R2704)/1.18-(SUM(R3415:R3419)*'Mark Up Validation'!$M$105)</f>
        <v>0</v>
      </c>
      <c r="T3420" s="635"/>
      <c r="U3420" s="636"/>
      <c r="V3420" s="635"/>
      <c r="W3420" s="636"/>
      <c r="X3420" s="635"/>
      <c r="Y3420" s="636"/>
      <c r="Z3420" s="635"/>
      <c r="AA3420" s="636"/>
      <c r="AB3420" s="635"/>
      <c r="AC3420" s="636"/>
      <c r="AD3420" s="635"/>
      <c r="AE3420" s="636"/>
      <c r="AF3420" s="637"/>
      <c r="AG3420" s="698">
        <f>SUM(AF2700:AF2704)/1.18-SUM(AF3415:AF3419)*'Mark Up Validation'!$M$175</f>
        <v>0</v>
      </c>
      <c r="AH3420" s="638"/>
      <c r="AI3420" s="698">
        <f>SUM(AH2700:AH2704)/1.18-SUM(AH3415:AH3419)*'Mark Up Validation'!$M$175</f>
        <v>0</v>
      </c>
      <c r="AJ3420" s="65"/>
      <c r="AV3420" s="56"/>
    </row>
    <row r="3421" spans="1:48" ht="13.5" hidden="1" customHeight="1" outlineLevel="2" thickBot="1">
      <c r="A3421" s="119"/>
      <c r="B3421" s="82"/>
      <c r="C3421" s="1228" t="s">
        <v>539</v>
      </c>
      <c r="D3421" s="1229"/>
      <c r="E3421" s="699"/>
      <c r="F3421" s="700">
        <f>SUM(F3415:F3419)</f>
        <v>0</v>
      </c>
      <c r="G3421" s="701"/>
      <c r="H3421" s="700">
        <f>SUM(H3415:H3419)</f>
        <v>0</v>
      </c>
      <c r="I3421" s="701"/>
      <c r="J3421" s="700">
        <f>SUM(J3415:J3419)</f>
        <v>0</v>
      </c>
      <c r="K3421" s="702"/>
      <c r="L3421" s="700">
        <f>SUM(L3415:L3419)</f>
        <v>0</v>
      </c>
      <c r="M3421" s="702"/>
      <c r="N3421" s="700">
        <f>SUM(N3415:N3419)</f>
        <v>0</v>
      </c>
      <c r="O3421" s="702"/>
      <c r="P3421" s="700">
        <f>SUM(P3415:P3419)</f>
        <v>0</v>
      </c>
      <c r="Q3421" s="702"/>
      <c r="R3421" s="703"/>
      <c r="S3421" s="729">
        <f>IF(S3420&gt;0,S3420/(SUM(R2700:R2704)/1.18),0)</f>
        <v>0</v>
      </c>
      <c r="T3421" s="700">
        <f>SUM(T3415:T3419)</f>
        <v>0</v>
      </c>
      <c r="U3421" s="702"/>
      <c r="V3421" s="700">
        <f>SUM(V3415:V3419)</f>
        <v>0</v>
      </c>
      <c r="W3421" s="702"/>
      <c r="X3421" s="700">
        <f>SUM(X3415:X3419)</f>
        <v>0</v>
      </c>
      <c r="Y3421" s="702"/>
      <c r="Z3421" s="700">
        <f>SUM(Z3415:Z3419)</f>
        <v>0</v>
      </c>
      <c r="AA3421" s="702"/>
      <c r="AB3421" s="700">
        <f>SUM(AB3415:AB3419)</f>
        <v>0</v>
      </c>
      <c r="AC3421" s="702"/>
      <c r="AD3421" s="700">
        <f>SUM(AD3415:AD3419)</f>
        <v>0</v>
      </c>
      <c r="AE3421" s="702"/>
      <c r="AF3421" s="705"/>
      <c r="AG3421" s="729">
        <f>IF(AG3420&gt;0,AG3420/(SUM(AF2700:AF2704)/1.18),0)</f>
        <v>0</v>
      </c>
      <c r="AH3421" s="706"/>
      <c r="AI3421" s="729">
        <f>IF(AI3420&gt;0,AI3420/(SUM(AH2700:AH2704)/1.18),0)</f>
        <v>0</v>
      </c>
      <c r="AJ3421" s="707"/>
      <c r="AV3421" s="56"/>
    </row>
    <row r="3422" spans="1:48" ht="12.75" hidden="1" customHeight="1" outlineLevel="2" thickBot="1">
      <c r="B3422" s="82">
        <f>B3415+1</f>
        <v>78</v>
      </c>
      <c r="C3422" s="1233">
        <f>C552</f>
        <v>0</v>
      </c>
      <c r="D3422" s="1233">
        <f>D552</f>
        <v>0</v>
      </c>
      <c r="E3422" s="83" t="str">
        <f>'Terms and Turnovers'!$J$12</f>
        <v>FLIP-FLOPS</v>
      </c>
      <c r="F3422" s="68">
        <f>F1993/1.18-F2708*'Mark Up Validation'!$M$105</f>
        <v>0</v>
      </c>
      <c r="G3422" s="106"/>
      <c r="H3422" s="68">
        <f>H1993/1.18-H2708*'Mark Up Validation'!$M$105</f>
        <v>0</v>
      </c>
      <c r="I3422" s="106"/>
      <c r="J3422" s="68">
        <f>J1993/1.18-J2708*'Mark Up Validation'!$M$105</f>
        <v>0</v>
      </c>
      <c r="K3422" s="106"/>
      <c r="L3422" s="68">
        <f>L1993/1.18-L2708*'Mark Up Validation'!$M$105</f>
        <v>0</v>
      </c>
      <c r="M3422" s="106"/>
      <c r="N3422" s="68">
        <f>N1993/1.18-N2708*'Mark Up Validation'!$M$105</f>
        <v>0</v>
      </c>
      <c r="O3422" s="106"/>
      <c r="P3422" s="68">
        <f>P1993/1.18-P2708*'Mark Up Validation'!$M$105</f>
        <v>0</v>
      </c>
      <c r="Q3422" s="106"/>
      <c r="R3422" s="129">
        <f>SUM(F3422,H3422,J3422,L3422,N3422,P3422)</f>
        <v>0</v>
      </c>
      <c r="S3422" s="106"/>
      <c r="T3422" s="68">
        <f>T1993/1.18-T2708*'Mark Up Validation'!$S$105</f>
        <v>0</v>
      </c>
      <c r="U3422" s="106"/>
      <c r="V3422" s="68">
        <f>V1993/1.18-V2708*'Mark Up Validation'!$S$105</f>
        <v>0</v>
      </c>
      <c r="W3422" s="106"/>
      <c r="X3422" s="68">
        <f>X1993/1.18-X2708*'Mark Up Validation'!$S$105</f>
        <v>0</v>
      </c>
      <c r="Y3422" s="106"/>
      <c r="Z3422" s="68">
        <f>Z1993/1.18-Z2708*'Mark Up Validation'!$S$105</f>
        <v>0</v>
      </c>
      <c r="AA3422" s="106"/>
      <c r="AB3422" s="68">
        <f>AB1993/1.18-AB2708*'Mark Up Validation'!$S$105</f>
        <v>0</v>
      </c>
      <c r="AC3422" s="106"/>
      <c r="AD3422" s="68">
        <f>AD1993/1.18-AD2708*'Mark Up Validation'!$S$105</f>
        <v>0</v>
      </c>
      <c r="AE3422" s="106"/>
      <c r="AF3422" s="129">
        <f>SUM(T3422,V3422,X3422,Z3422,AB3422,AD3422)</f>
        <v>0</v>
      </c>
      <c r="AG3422" s="106"/>
      <c r="AH3422" s="130">
        <f>SUM(AF3422,R3422)</f>
        <v>0</v>
      </c>
      <c r="AI3422" s="106"/>
      <c r="AJ3422" s="65"/>
      <c r="AV3422" s="56"/>
    </row>
    <row r="3423" spans="1:48" ht="12.75" hidden="1" customHeight="1" outlineLevel="2" thickBot="1">
      <c r="B3423" s="82"/>
      <c r="C3423" s="1234"/>
      <c r="D3423" s="1234"/>
      <c r="E3423" s="84" t="str">
        <f>'Terms and Turnovers'!$T$12</f>
        <v>ORIGINALS</v>
      </c>
      <c r="F3423" s="68">
        <f>F1994/1.18-F2709*'Mark Up Validation'!$M$105</f>
        <v>0</v>
      </c>
      <c r="G3423" s="728"/>
      <c r="H3423" s="68">
        <f>H1994/1.18-H2709*'Mark Up Validation'!$M$105</f>
        <v>0</v>
      </c>
      <c r="I3423" s="728"/>
      <c r="J3423" s="68">
        <f>J1994/1.18-J2709*'Mark Up Validation'!$M$105</f>
        <v>0</v>
      </c>
      <c r="K3423" s="728"/>
      <c r="L3423" s="68">
        <f>L1994/1.18-L2709*'Mark Up Validation'!$M$105</f>
        <v>0</v>
      </c>
      <c r="M3423" s="728"/>
      <c r="N3423" s="68">
        <f>N1994/1.18-N2709*'Mark Up Validation'!$M$105</f>
        <v>0</v>
      </c>
      <c r="O3423" s="728"/>
      <c r="P3423" s="68">
        <f>P1994/1.18-P2709*'Mark Up Validation'!$M$105</f>
        <v>0</v>
      </c>
      <c r="Q3423" s="728"/>
      <c r="R3423" s="132">
        <f>SUM(F3423,H3423,J3423,L3423,N3423,P3423)</f>
        <v>0</v>
      </c>
      <c r="S3423" s="728"/>
      <c r="T3423" s="68">
        <f>T1994/1.18-T2709*'Mark Up Validation'!$S$105</f>
        <v>0</v>
      </c>
      <c r="U3423" s="728"/>
      <c r="V3423" s="68">
        <f>V1994/1.18-V2709*'Mark Up Validation'!$S$105</f>
        <v>0</v>
      </c>
      <c r="W3423" s="728"/>
      <c r="X3423" s="68">
        <f>X1994/1.18-X2709*'Mark Up Validation'!$S$105</f>
        <v>0</v>
      </c>
      <c r="Y3423" s="728"/>
      <c r="Z3423" s="68">
        <f>Z1994/1.18-Z2709*'Mark Up Validation'!$S$105</f>
        <v>0</v>
      </c>
      <c r="AA3423" s="728"/>
      <c r="AB3423" s="68">
        <f>AB1994/1.18-AB2709*'Mark Up Validation'!$S$105</f>
        <v>0</v>
      </c>
      <c r="AC3423" s="728"/>
      <c r="AD3423" s="68">
        <f>AD1994/1.18-AD2709*'Mark Up Validation'!$S$105</f>
        <v>0</v>
      </c>
      <c r="AE3423" s="728"/>
      <c r="AF3423" s="132">
        <f>SUM(T3423,V3423,X3423,Z3423,AB3423,AD3423)</f>
        <v>0</v>
      </c>
      <c r="AG3423" s="728"/>
      <c r="AH3423" s="133">
        <f>SUM(AF3423,R3423)</f>
        <v>0</v>
      </c>
      <c r="AI3423" s="728"/>
      <c r="AJ3423" s="65"/>
      <c r="AV3423" s="56"/>
    </row>
    <row r="3424" spans="1:48" ht="12.75" hidden="1" customHeight="1" outlineLevel="2" thickBot="1">
      <c r="B3424" s="82"/>
      <c r="C3424" s="1234"/>
      <c r="D3424" s="1234"/>
      <c r="E3424" s="84" t="str">
        <f>'Terms and Turnovers'!$AD$12</f>
        <v>ACCESSORIES</v>
      </c>
      <c r="F3424" s="68">
        <f>F1995/1.18-F2710*'Mark Up Validation'!$M$105</f>
        <v>0</v>
      </c>
      <c r="G3424" s="106"/>
      <c r="H3424" s="68">
        <f>H1995/1.18-H2710*'Mark Up Validation'!$M$105</f>
        <v>0</v>
      </c>
      <c r="I3424" s="106"/>
      <c r="J3424" s="68">
        <f>J1995/1.18-J2710*'Mark Up Validation'!$M$105</f>
        <v>0</v>
      </c>
      <c r="K3424" s="106"/>
      <c r="L3424" s="68">
        <f>L1995/1.18-L2710*'Mark Up Validation'!$M$105</f>
        <v>0</v>
      </c>
      <c r="M3424" s="106"/>
      <c r="N3424" s="68">
        <f>N1995/1.18-N2710*'Mark Up Validation'!$M$105</f>
        <v>0</v>
      </c>
      <c r="O3424" s="106"/>
      <c r="P3424" s="68">
        <f>P1995/1.18-P2710*'Mark Up Validation'!$M$105</f>
        <v>0</v>
      </c>
      <c r="Q3424" s="728"/>
      <c r="R3424" s="132">
        <f>SUM(F3424,H3424,J3424,L3424,N3424,P3424)</f>
        <v>0</v>
      </c>
      <c r="S3424" s="728"/>
      <c r="T3424" s="68">
        <f>T1995/1.18-T2710*'Mark Up Validation'!$S$105</f>
        <v>0</v>
      </c>
      <c r="U3424" s="728"/>
      <c r="V3424" s="68">
        <f>V1995/1.18-V2710*'Mark Up Validation'!$S$105</f>
        <v>0</v>
      </c>
      <c r="W3424" s="728"/>
      <c r="X3424" s="68">
        <f>X1995/1.18-X2710*'Mark Up Validation'!$S$105</f>
        <v>0</v>
      </c>
      <c r="Y3424" s="728"/>
      <c r="Z3424" s="68">
        <f>Z1995/1.18-Z2710*'Mark Up Validation'!$S$105</f>
        <v>0</v>
      </c>
      <c r="AA3424" s="728"/>
      <c r="AB3424" s="68">
        <f>AB1995/1.18-AB2710*'Mark Up Validation'!$S$105</f>
        <v>0</v>
      </c>
      <c r="AC3424" s="728"/>
      <c r="AD3424" s="68">
        <f>AD1995/1.18-AD2710*'Mark Up Validation'!$S$105</f>
        <v>0</v>
      </c>
      <c r="AE3424" s="728"/>
      <c r="AF3424" s="132">
        <f>SUM(T3424,V3424,X3424,Z3424,AB3424,AD3424)</f>
        <v>0</v>
      </c>
      <c r="AG3424" s="728"/>
      <c r="AH3424" s="133">
        <f>SUM(AF3424,R3424)</f>
        <v>0</v>
      </c>
      <c r="AI3424" s="728"/>
      <c r="AJ3424" s="65"/>
      <c r="AV3424" s="56"/>
    </row>
    <row r="3425" spans="1:48" ht="12.75" hidden="1" customHeight="1" outlineLevel="2" thickBot="1">
      <c r="B3425" s="82"/>
      <c r="C3425" s="1234"/>
      <c r="D3425" s="1234"/>
      <c r="E3425" s="84">
        <f>'Terms and Turnovers'!$AN$12</f>
        <v>0</v>
      </c>
      <c r="F3425" s="68">
        <f>F1996/1.18-F2711*'Mark Up Validation'!$M$105</f>
        <v>0</v>
      </c>
      <c r="G3425" s="728"/>
      <c r="H3425" s="68">
        <f>H1996/1.18-H2711*'Mark Up Validation'!$M$105</f>
        <v>0</v>
      </c>
      <c r="I3425" s="728"/>
      <c r="J3425" s="68">
        <f>J1996/1.18-J2711*'Mark Up Validation'!$M$105</f>
        <v>0</v>
      </c>
      <c r="K3425" s="728"/>
      <c r="L3425" s="68">
        <f>L1996/1.18-L2711*'Mark Up Validation'!$M$105</f>
        <v>0</v>
      </c>
      <c r="M3425" s="728"/>
      <c r="N3425" s="68">
        <f>N1996/1.18-N2711*'Mark Up Validation'!$M$105</f>
        <v>0</v>
      </c>
      <c r="O3425" s="728"/>
      <c r="P3425" s="68">
        <f>P1996/1.18-P2711*'Mark Up Validation'!$M$105</f>
        <v>0</v>
      </c>
      <c r="Q3425" s="728"/>
      <c r="R3425" s="132">
        <f>SUM(F3425,H3425,J3425,L3425,N3425,P3425)</f>
        <v>0</v>
      </c>
      <c r="S3425" s="728"/>
      <c r="T3425" s="68">
        <f>T1996/1.18-T2711*'Mark Up Validation'!$S$105</f>
        <v>0</v>
      </c>
      <c r="U3425" s="728"/>
      <c r="V3425" s="68">
        <f>V1996/1.18-V2711*'Mark Up Validation'!$S$105</f>
        <v>0</v>
      </c>
      <c r="W3425" s="728"/>
      <c r="X3425" s="68">
        <f>X1996/1.18-X2711*'Mark Up Validation'!$S$105</f>
        <v>0</v>
      </c>
      <c r="Y3425" s="728"/>
      <c r="Z3425" s="68">
        <f>Z1996/1.18-Z2711*'Mark Up Validation'!$S$105</f>
        <v>0</v>
      </c>
      <c r="AA3425" s="728"/>
      <c r="AB3425" s="68">
        <f>AB1996/1.18-AB2711*'Mark Up Validation'!$S$105</f>
        <v>0</v>
      </c>
      <c r="AC3425" s="728"/>
      <c r="AD3425" s="68">
        <f>AD1996/1.18-AD2711*'Mark Up Validation'!$S$105</f>
        <v>0</v>
      </c>
      <c r="AE3425" s="728"/>
      <c r="AF3425" s="132">
        <f>SUM(T3425,V3425,X3425,Z3425,AB3425,AD3425)</f>
        <v>0</v>
      </c>
      <c r="AG3425" s="728"/>
      <c r="AH3425" s="133">
        <f>SUM(AF3425,R3425)</f>
        <v>0</v>
      </c>
      <c r="AI3425" s="728"/>
      <c r="AJ3425" s="65"/>
      <c r="AV3425" s="56"/>
    </row>
    <row r="3426" spans="1:48" ht="13.5" hidden="1" customHeight="1" outlineLevel="2" thickBot="1">
      <c r="B3426" s="82"/>
      <c r="C3426" s="1235"/>
      <c r="D3426" s="1235"/>
      <c r="E3426" s="85">
        <f>'Terms and Turnovers'!$AX$12</f>
        <v>0</v>
      </c>
      <c r="F3426" s="68">
        <f>F1997/1.18-F2712*'Mark Up Validation'!$M$105</f>
        <v>0</v>
      </c>
      <c r="G3426" s="106"/>
      <c r="H3426" s="68">
        <f>H1997/1.18-H2712*'Mark Up Validation'!$M$105</f>
        <v>0</v>
      </c>
      <c r="I3426" s="106"/>
      <c r="J3426" s="68">
        <f>J1997/1.18-J2712*'Mark Up Validation'!$M$105</f>
        <v>0</v>
      </c>
      <c r="K3426" s="106"/>
      <c r="L3426" s="68">
        <f>L1997/1.18-L2712*'Mark Up Validation'!$M$105</f>
        <v>0</v>
      </c>
      <c r="M3426" s="106"/>
      <c r="N3426" s="68">
        <f>N1997/1.18-N2712*'Mark Up Validation'!$M$105</f>
        <v>0</v>
      </c>
      <c r="O3426" s="106"/>
      <c r="P3426" s="68">
        <f>P1997/1.18-P2712*'Mark Up Validation'!$M$105</f>
        <v>0</v>
      </c>
      <c r="Q3426" s="107"/>
      <c r="R3426" s="135">
        <f>SUM(F3426,H3426,J3426,L3426,N3426,P3426)</f>
        <v>0</v>
      </c>
      <c r="S3426" s="107"/>
      <c r="T3426" s="68">
        <f>T1997/1.18-T2712*'Mark Up Validation'!$S$105</f>
        <v>0</v>
      </c>
      <c r="U3426" s="107"/>
      <c r="V3426" s="68">
        <f>V1997/1.18-V2712*'Mark Up Validation'!$S$105</f>
        <v>0</v>
      </c>
      <c r="W3426" s="107"/>
      <c r="X3426" s="68">
        <f>X1997/1.18-X2712*'Mark Up Validation'!$S$105</f>
        <v>0</v>
      </c>
      <c r="Y3426" s="107"/>
      <c r="Z3426" s="68">
        <f>Z1997/1.18-Z2712*'Mark Up Validation'!$S$105</f>
        <v>0</v>
      </c>
      <c r="AA3426" s="107"/>
      <c r="AB3426" s="68">
        <f>AB1997/1.18-AB2712*'Mark Up Validation'!$S$105</f>
        <v>0</v>
      </c>
      <c r="AC3426" s="107"/>
      <c r="AD3426" s="68">
        <f>AD1997/1.18-AD2712*'Mark Up Validation'!$S$105</f>
        <v>0</v>
      </c>
      <c r="AE3426" s="107"/>
      <c r="AF3426" s="135">
        <f>SUM(T3426,V3426,X3426,Z3426,AB3426,AD3426)</f>
        <v>0</v>
      </c>
      <c r="AG3426" s="107"/>
      <c r="AH3426" s="136">
        <f>SUM(AF3426,R3426)</f>
        <v>0</v>
      </c>
      <c r="AI3426" s="107"/>
      <c r="AJ3426" s="65"/>
      <c r="AV3426" s="56"/>
    </row>
    <row r="3427" spans="1:48" ht="13.5" hidden="1" customHeight="1" outlineLevel="2">
      <c r="B3427" s="82"/>
      <c r="C3427" s="425"/>
      <c r="D3427" s="425"/>
      <c r="E3427" s="634"/>
      <c r="F3427" s="635"/>
      <c r="G3427" s="428"/>
      <c r="H3427" s="635"/>
      <c r="I3427" s="428"/>
      <c r="J3427" s="635"/>
      <c r="K3427" s="636"/>
      <c r="L3427" s="635"/>
      <c r="M3427" s="636"/>
      <c r="N3427" s="635"/>
      <c r="O3427" s="636"/>
      <c r="P3427" s="635"/>
      <c r="Q3427" s="636"/>
      <c r="R3427" s="637"/>
      <c r="S3427" s="698">
        <f>SUM(R2707:R2711)/1.18-(SUM(R3422:R3426)*'Mark Up Validation'!$M$105)</f>
        <v>0</v>
      </c>
      <c r="T3427" s="635"/>
      <c r="U3427" s="636"/>
      <c r="V3427" s="635"/>
      <c r="W3427" s="636"/>
      <c r="X3427" s="635"/>
      <c r="Y3427" s="636"/>
      <c r="Z3427" s="635"/>
      <c r="AA3427" s="636"/>
      <c r="AB3427" s="635"/>
      <c r="AC3427" s="636"/>
      <c r="AD3427" s="635"/>
      <c r="AE3427" s="636"/>
      <c r="AF3427" s="637"/>
      <c r="AG3427" s="698">
        <f>SUM(AF2707:AF2711)/1.18-SUM(AF3422:AF3426)*'Mark Up Validation'!$M$175</f>
        <v>0</v>
      </c>
      <c r="AH3427" s="638"/>
      <c r="AI3427" s="698">
        <f>SUM(AH2707:AH2711)/1.18-SUM(AH3422:AH3426)*'Mark Up Validation'!$M$175</f>
        <v>0</v>
      </c>
      <c r="AJ3427" s="65"/>
      <c r="AV3427" s="56"/>
    </row>
    <row r="3428" spans="1:48" ht="13.5" hidden="1" customHeight="1" outlineLevel="2" thickBot="1">
      <c r="A3428" s="119"/>
      <c r="B3428" s="82"/>
      <c r="C3428" s="1228" t="s">
        <v>539</v>
      </c>
      <c r="D3428" s="1229"/>
      <c r="E3428" s="699"/>
      <c r="F3428" s="700">
        <f>SUM(F3422:F3426)</f>
        <v>0</v>
      </c>
      <c r="G3428" s="701"/>
      <c r="H3428" s="700">
        <f>SUM(H3422:H3426)</f>
        <v>0</v>
      </c>
      <c r="I3428" s="701"/>
      <c r="J3428" s="700">
        <f>SUM(J3422:J3426)</f>
        <v>0</v>
      </c>
      <c r="K3428" s="702"/>
      <c r="L3428" s="700">
        <f>SUM(L3422:L3426)</f>
        <v>0</v>
      </c>
      <c r="M3428" s="702"/>
      <c r="N3428" s="700">
        <f>SUM(N3422:N3426)</f>
        <v>0</v>
      </c>
      <c r="O3428" s="702"/>
      <c r="P3428" s="700">
        <f>SUM(P3422:P3426)</f>
        <v>0</v>
      </c>
      <c r="Q3428" s="702"/>
      <c r="R3428" s="703"/>
      <c r="S3428" s="729">
        <f>IF(S3427&gt;0,S3427/(SUM(R2707:R2711)/1.18),0)</f>
        <v>0</v>
      </c>
      <c r="T3428" s="700">
        <f>SUM(T3422:T3426)</f>
        <v>0</v>
      </c>
      <c r="U3428" s="702"/>
      <c r="V3428" s="700">
        <f>SUM(V3422:V3426)</f>
        <v>0</v>
      </c>
      <c r="W3428" s="702"/>
      <c r="X3428" s="700">
        <f>SUM(X3422:X3426)</f>
        <v>0</v>
      </c>
      <c r="Y3428" s="702"/>
      <c r="Z3428" s="700">
        <f>SUM(Z3422:Z3426)</f>
        <v>0</v>
      </c>
      <c r="AA3428" s="702"/>
      <c r="AB3428" s="700">
        <f>SUM(AB3422:AB3426)</f>
        <v>0</v>
      </c>
      <c r="AC3428" s="702"/>
      <c r="AD3428" s="700">
        <f>SUM(AD3422:AD3426)</f>
        <v>0</v>
      </c>
      <c r="AE3428" s="702"/>
      <c r="AF3428" s="705"/>
      <c r="AG3428" s="729">
        <f>IF(AG3427&gt;0,AG3427/(SUM(AF2707:AF2711)/1.18),0)</f>
        <v>0</v>
      </c>
      <c r="AH3428" s="706"/>
      <c r="AI3428" s="729">
        <f>IF(AI3427&gt;0,AI3427/(SUM(AH2707:AH2711)/1.18),0)</f>
        <v>0</v>
      </c>
      <c r="AJ3428" s="707"/>
      <c r="AV3428" s="56"/>
    </row>
    <row r="3429" spans="1:48" ht="12.75" hidden="1" customHeight="1" outlineLevel="2" thickBot="1">
      <c r="B3429" s="82">
        <f>B3422+1</f>
        <v>79</v>
      </c>
      <c r="C3429" s="1233">
        <f>C559</f>
        <v>0</v>
      </c>
      <c r="D3429" s="1233">
        <f>D559</f>
        <v>0</v>
      </c>
      <c r="E3429" s="83" t="str">
        <f>'Terms and Turnovers'!$J$12</f>
        <v>FLIP-FLOPS</v>
      </c>
      <c r="F3429" s="68">
        <f>F2000/1.18-F2715*'Mark Up Validation'!$M$105</f>
        <v>0</v>
      </c>
      <c r="G3429" s="106"/>
      <c r="H3429" s="68">
        <f>H2000/1.18-H2715*'Mark Up Validation'!$M$105</f>
        <v>0</v>
      </c>
      <c r="I3429" s="106"/>
      <c r="J3429" s="68">
        <f>J2000/1.18-J2715*'Mark Up Validation'!$M$105</f>
        <v>0</v>
      </c>
      <c r="K3429" s="106"/>
      <c r="L3429" s="68">
        <f>L2000/1.18-L2715*'Mark Up Validation'!$M$105</f>
        <v>0</v>
      </c>
      <c r="M3429" s="106"/>
      <c r="N3429" s="68">
        <f>N2000/1.18-N2715*'Mark Up Validation'!$M$105</f>
        <v>0</v>
      </c>
      <c r="O3429" s="106"/>
      <c r="P3429" s="68">
        <f>P2000/1.18-P2715*'Mark Up Validation'!$M$105</f>
        <v>0</v>
      </c>
      <c r="Q3429" s="106"/>
      <c r="R3429" s="129">
        <f>SUM(F3429,H3429,J3429,L3429,N3429,P3429)</f>
        <v>0</v>
      </c>
      <c r="S3429" s="106"/>
      <c r="T3429" s="68">
        <f>T2000/1.18-T2715*'Mark Up Validation'!$S$105</f>
        <v>0</v>
      </c>
      <c r="U3429" s="106"/>
      <c r="V3429" s="68">
        <f>V2000/1.18-V2715*'Mark Up Validation'!$S$105</f>
        <v>0</v>
      </c>
      <c r="W3429" s="106"/>
      <c r="X3429" s="68">
        <f>X2000/1.18-X2715*'Mark Up Validation'!$S$105</f>
        <v>0</v>
      </c>
      <c r="Y3429" s="106"/>
      <c r="Z3429" s="68">
        <f>Z2000/1.18-Z2715*'Mark Up Validation'!$S$105</f>
        <v>0</v>
      </c>
      <c r="AA3429" s="106"/>
      <c r="AB3429" s="68">
        <f>AB2000/1.18-AB2715*'Mark Up Validation'!$S$105</f>
        <v>0</v>
      </c>
      <c r="AC3429" s="106"/>
      <c r="AD3429" s="68">
        <f>AD2000/1.18-AD2715*'Mark Up Validation'!$S$105</f>
        <v>0</v>
      </c>
      <c r="AE3429" s="106"/>
      <c r="AF3429" s="129">
        <f>SUM(T3429,V3429,X3429,Z3429,AB3429,AD3429)</f>
        <v>0</v>
      </c>
      <c r="AG3429" s="106"/>
      <c r="AH3429" s="130">
        <f>SUM(AF3429,R3429)</f>
        <v>0</v>
      </c>
      <c r="AI3429" s="106"/>
      <c r="AJ3429" s="65"/>
      <c r="AV3429" s="56"/>
    </row>
    <row r="3430" spans="1:48" ht="12.75" hidden="1" customHeight="1" outlineLevel="2" thickBot="1">
      <c r="B3430" s="82"/>
      <c r="C3430" s="1234"/>
      <c r="D3430" s="1234"/>
      <c r="E3430" s="84" t="str">
        <f>'Terms and Turnovers'!$T$12</f>
        <v>ORIGINALS</v>
      </c>
      <c r="F3430" s="68">
        <f>F2001/1.18-F2716*'Mark Up Validation'!$M$105</f>
        <v>0</v>
      </c>
      <c r="G3430" s="728"/>
      <c r="H3430" s="68">
        <f>H2001/1.18-H2716*'Mark Up Validation'!$M$105</f>
        <v>0</v>
      </c>
      <c r="I3430" s="728"/>
      <c r="J3430" s="68">
        <f>J2001/1.18-J2716*'Mark Up Validation'!$M$105</f>
        <v>0</v>
      </c>
      <c r="K3430" s="728"/>
      <c r="L3430" s="68">
        <f>L2001/1.18-L2716*'Mark Up Validation'!$M$105</f>
        <v>0</v>
      </c>
      <c r="M3430" s="728"/>
      <c r="N3430" s="68">
        <f>N2001/1.18-N2716*'Mark Up Validation'!$M$105</f>
        <v>0</v>
      </c>
      <c r="O3430" s="728"/>
      <c r="P3430" s="68">
        <f>P2001/1.18-P2716*'Mark Up Validation'!$M$105</f>
        <v>0</v>
      </c>
      <c r="Q3430" s="728"/>
      <c r="R3430" s="132">
        <f>SUM(F3430,H3430,J3430,L3430,N3430,P3430)</f>
        <v>0</v>
      </c>
      <c r="S3430" s="728"/>
      <c r="T3430" s="68">
        <f>T2001/1.18-T2716*'Mark Up Validation'!$S$105</f>
        <v>0</v>
      </c>
      <c r="U3430" s="728"/>
      <c r="V3430" s="68">
        <f>V2001/1.18-V2716*'Mark Up Validation'!$S$105</f>
        <v>0</v>
      </c>
      <c r="W3430" s="728"/>
      <c r="X3430" s="68">
        <f>X2001/1.18-X2716*'Mark Up Validation'!$S$105</f>
        <v>0</v>
      </c>
      <c r="Y3430" s="728"/>
      <c r="Z3430" s="68">
        <f>Z2001/1.18-Z2716*'Mark Up Validation'!$S$105</f>
        <v>0</v>
      </c>
      <c r="AA3430" s="728"/>
      <c r="AB3430" s="68">
        <f>AB2001/1.18-AB2716*'Mark Up Validation'!$S$105</f>
        <v>0</v>
      </c>
      <c r="AC3430" s="728"/>
      <c r="AD3430" s="68">
        <f>AD2001/1.18-AD2716*'Mark Up Validation'!$S$105</f>
        <v>0</v>
      </c>
      <c r="AE3430" s="728"/>
      <c r="AF3430" s="132">
        <f>SUM(T3430,V3430,X3430,Z3430,AB3430,AD3430)</f>
        <v>0</v>
      </c>
      <c r="AG3430" s="728"/>
      <c r="AH3430" s="133">
        <f>SUM(AF3430,R3430)</f>
        <v>0</v>
      </c>
      <c r="AI3430" s="728"/>
      <c r="AJ3430" s="65"/>
      <c r="AV3430" s="56"/>
    </row>
    <row r="3431" spans="1:48" ht="12.75" hidden="1" customHeight="1" outlineLevel="2" thickBot="1">
      <c r="B3431" s="82"/>
      <c r="C3431" s="1234"/>
      <c r="D3431" s="1234"/>
      <c r="E3431" s="84" t="str">
        <f>'Terms and Turnovers'!$AD$12</f>
        <v>ACCESSORIES</v>
      </c>
      <c r="F3431" s="68">
        <f>F2002/1.18-F2717*'Mark Up Validation'!$M$105</f>
        <v>0</v>
      </c>
      <c r="G3431" s="106"/>
      <c r="H3431" s="68">
        <f>H2002/1.18-H2717*'Mark Up Validation'!$M$105</f>
        <v>0</v>
      </c>
      <c r="I3431" s="106"/>
      <c r="J3431" s="68">
        <f>J2002/1.18-J2717*'Mark Up Validation'!$M$105</f>
        <v>0</v>
      </c>
      <c r="K3431" s="106"/>
      <c r="L3431" s="68">
        <f>L2002/1.18-L2717*'Mark Up Validation'!$M$105</f>
        <v>0</v>
      </c>
      <c r="M3431" s="106"/>
      <c r="N3431" s="68">
        <f>N2002/1.18-N2717*'Mark Up Validation'!$M$105</f>
        <v>0</v>
      </c>
      <c r="O3431" s="106"/>
      <c r="P3431" s="68">
        <f>P2002/1.18-P2717*'Mark Up Validation'!$M$105</f>
        <v>0</v>
      </c>
      <c r="Q3431" s="728"/>
      <c r="R3431" s="132">
        <f>SUM(F3431,H3431,J3431,L3431,N3431,P3431)</f>
        <v>0</v>
      </c>
      <c r="S3431" s="728"/>
      <c r="T3431" s="68">
        <f>T2002/1.18-T2717*'Mark Up Validation'!$S$105</f>
        <v>0</v>
      </c>
      <c r="U3431" s="728"/>
      <c r="V3431" s="68">
        <f>V2002/1.18-V2717*'Mark Up Validation'!$S$105</f>
        <v>0</v>
      </c>
      <c r="W3431" s="728"/>
      <c r="X3431" s="68">
        <f>X2002/1.18-X2717*'Mark Up Validation'!$S$105</f>
        <v>0</v>
      </c>
      <c r="Y3431" s="728"/>
      <c r="Z3431" s="68">
        <f>Z2002/1.18-Z2717*'Mark Up Validation'!$S$105</f>
        <v>0</v>
      </c>
      <c r="AA3431" s="728"/>
      <c r="AB3431" s="68">
        <f>AB2002/1.18-AB2717*'Mark Up Validation'!$S$105</f>
        <v>0</v>
      </c>
      <c r="AC3431" s="728"/>
      <c r="AD3431" s="68">
        <f>AD2002/1.18-AD2717*'Mark Up Validation'!$S$105</f>
        <v>0</v>
      </c>
      <c r="AE3431" s="728"/>
      <c r="AF3431" s="132">
        <f>SUM(T3431,V3431,X3431,Z3431,AB3431,AD3431)</f>
        <v>0</v>
      </c>
      <c r="AG3431" s="728"/>
      <c r="AH3431" s="133">
        <f>SUM(AF3431,R3431)</f>
        <v>0</v>
      </c>
      <c r="AI3431" s="728"/>
      <c r="AJ3431" s="65"/>
      <c r="AV3431" s="56"/>
    </row>
    <row r="3432" spans="1:48" ht="12.75" hidden="1" customHeight="1" outlineLevel="2" thickBot="1">
      <c r="B3432" s="82"/>
      <c r="C3432" s="1234"/>
      <c r="D3432" s="1234"/>
      <c r="E3432" s="84">
        <f>'Terms and Turnovers'!$AN$12</f>
        <v>0</v>
      </c>
      <c r="F3432" s="68">
        <f>F2003/1.18-F2718*'Mark Up Validation'!$M$105</f>
        <v>0</v>
      </c>
      <c r="G3432" s="728"/>
      <c r="H3432" s="68">
        <f>H2003/1.18-H2718*'Mark Up Validation'!$M$105</f>
        <v>0</v>
      </c>
      <c r="I3432" s="728"/>
      <c r="J3432" s="68">
        <f>J2003/1.18-J2718*'Mark Up Validation'!$M$105</f>
        <v>0</v>
      </c>
      <c r="K3432" s="728"/>
      <c r="L3432" s="68">
        <f>L2003/1.18-L2718*'Mark Up Validation'!$M$105</f>
        <v>0</v>
      </c>
      <c r="M3432" s="728"/>
      <c r="N3432" s="68">
        <f>N2003/1.18-N2718*'Mark Up Validation'!$M$105</f>
        <v>0</v>
      </c>
      <c r="O3432" s="728"/>
      <c r="P3432" s="68">
        <f>P2003/1.18-P2718*'Mark Up Validation'!$M$105</f>
        <v>0</v>
      </c>
      <c r="Q3432" s="728"/>
      <c r="R3432" s="132">
        <f>SUM(F3432,H3432,J3432,L3432,N3432,P3432)</f>
        <v>0</v>
      </c>
      <c r="S3432" s="728"/>
      <c r="T3432" s="68">
        <f>T2003/1.18-T2718*'Mark Up Validation'!$S$105</f>
        <v>0</v>
      </c>
      <c r="U3432" s="728"/>
      <c r="V3432" s="68">
        <f>V2003/1.18-V2718*'Mark Up Validation'!$S$105</f>
        <v>0</v>
      </c>
      <c r="W3432" s="728"/>
      <c r="X3432" s="68">
        <f>X2003/1.18-X2718*'Mark Up Validation'!$S$105</f>
        <v>0</v>
      </c>
      <c r="Y3432" s="728"/>
      <c r="Z3432" s="68">
        <f>Z2003/1.18-Z2718*'Mark Up Validation'!$S$105</f>
        <v>0</v>
      </c>
      <c r="AA3432" s="728"/>
      <c r="AB3432" s="68">
        <f>AB2003/1.18-AB2718*'Mark Up Validation'!$S$105</f>
        <v>0</v>
      </c>
      <c r="AC3432" s="728"/>
      <c r="AD3432" s="68">
        <f>AD2003/1.18-AD2718*'Mark Up Validation'!$S$105</f>
        <v>0</v>
      </c>
      <c r="AE3432" s="728"/>
      <c r="AF3432" s="132">
        <f>SUM(T3432,V3432,X3432,Z3432,AB3432,AD3432)</f>
        <v>0</v>
      </c>
      <c r="AG3432" s="728"/>
      <c r="AH3432" s="133">
        <f>SUM(AF3432,R3432)</f>
        <v>0</v>
      </c>
      <c r="AI3432" s="728"/>
      <c r="AJ3432" s="65"/>
      <c r="AV3432" s="56"/>
    </row>
    <row r="3433" spans="1:48" ht="13.5" hidden="1" customHeight="1" outlineLevel="2" thickBot="1">
      <c r="B3433" s="82"/>
      <c r="C3433" s="1235"/>
      <c r="D3433" s="1235"/>
      <c r="E3433" s="85">
        <f>'Terms and Turnovers'!$AX$12</f>
        <v>0</v>
      </c>
      <c r="F3433" s="68">
        <f>F2004/1.18-F2719*'Mark Up Validation'!$M$105</f>
        <v>0</v>
      </c>
      <c r="G3433" s="106"/>
      <c r="H3433" s="68">
        <f>H2004/1.18-H2719*'Mark Up Validation'!$M$105</f>
        <v>0</v>
      </c>
      <c r="I3433" s="106"/>
      <c r="J3433" s="68">
        <f>J2004/1.18-J2719*'Mark Up Validation'!$M$105</f>
        <v>0</v>
      </c>
      <c r="K3433" s="106"/>
      <c r="L3433" s="68">
        <f>L2004/1.18-L2719*'Mark Up Validation'!$M$105</f>
        <v>0</v>
      </c>
      <c r="M3433" s="106"/>
      <c r="N3433" s="68">
        <f>N2004/1.18-N2719*'Mark Up Validation'!$M$105</f>
        <v>0</v>
      </c>
      <c r="O3433" s="106"/>
      <c r="P3433" s="68">
        <f>P2004/1.18-P2719*'Mark Up Validation'!$M$105</f>
        <v>0</v>
      </c>
      <c r="Q3433" s="107"/>
      <c r="R3433" s="135">
        <f>SUM(F3433,H3433,J3433,L3433,N3433,P3433)</f>
        <v>0</v>
      </c>
      <c r="S3433" s="107"/>
      <c r="T3433" s="68">
        <f>T2004/1.18-T2719*'Mark Up Validation'!$S$105</f>
        <v>0</v>
      </c>
      <c r="U3433" s="107"/>
      <c r="V3433" s="68">
        <f>V2004/1.18-V2719*'Mark Up Validation'!$S$105</f>
        <v>0</v>
      </c>
      <c r="W3433" s="107"/>
      <c r="X3433" s="68">
        <f>X2004/1.18-X2719*'Mark Up Validation'!$S$105</f>
        <v>0</v>
      </c>
      <c r="Y3433" s="107"/>
      <c r="Z3433" s="68">
        <f>Z2004/1.18-Z2719*'Mark Up Validation'!$S$105</f>
        <v>0</v>
      </c>
      <c r="AA3433" s="107"/>
      <c r="AB3433" s="68">
        <f>AB2004/1.18-AB2719*'Mark Up Validation'!$S$105</f>
        <v>0</v>
      </c>
      <c r="AC3433" s="107"/>
      <c r="AD3433" s="68">
        <f>AD2004/1.18-AD2719*'Mark Up Validation'!$S$105</f>
        <v>0</v>
      </c>
      <c r="AE3433" s="107"/>
      <c r="AF3433" s="135">
        <f>SUM(T3433,V3433,X3433,Z3433,AB3433,AD3433)</f>
        <v>0</v>
      </c>
      <c r="AG3433" s="107"/>
      <c r="AH3433" s="136">
        <f>SUM(AF3433,R3433)</f>
        <v>0</v>
      </c>
      <c r="AI3433" s="107"/>
      <c r="AJ3433" s="65"/>
      <c r="AV3433" s="56"/>
    </row>
    <row r="3434" spans="1:48" ht="13.5" hidden="1" customHeight="1" outlineLevel="2">
      <c r="B3434" s="82"/>
      <c r="C3434" s="425"/>
      <c r="D3434" s="425"/>
      <c r="E3434" s="634"/>
      <c r="F3434" s="635"/>
      <c r="G3434" s="428"/>
      <c r="H3434" s="635"/>
      <c r="I3434" s="428"/>
      <c r="J3434" s="635"/>
      <c r="K3434" s="636"/>
      <c r="L3434" s="635"/>
      <c r="M3434" s="636"/>
      <c r="N3434" s="635"/>
      <c r="O3434" s="636"/>
      <c r="P3434" s="635"/>
      <c r="Q3434" s="636"/>
      <c r="R3434" s="637"/>
      <c r="S3434" s="698">
        <f>SUM(R2714:R2718)/1.18-(SUM(R3429:R3433)*'Mark Up Validation'!$M$105)</f>
        <v>0</v>
      </c>
      <c r="T3434" s="635"/>
      <c r="U3434" s="636"/>
      <c r="V3434" s="635"/>
      <c r="W3434" s="636"/>
      <c r="X3434" s="635"/>
      <c r="Y3434" s="636"/>
      <c r="Z3434" s="635"/>
      <c r="AA3434" s="636"/>
      <c r="AB3434" s="635"/>
      <c r="AC3434" s="636"/>
      <c r="AD3434" s="635"/>
      <c r="AE3434" s="636"/>
      <c r="AF3434" s="637"/>
      <c r="AG3434" s="698">
        <f>SUM(AF2714:AF2718)/1.18-SUM(AF3429:AF3433)*'Mark Up Validation'!$M$175</f>
        <v>0</v>
      </c>
      <c r="AH3434" s="638"/>
      <c r="AI3434" s="698">
        <f>SUM(AH2714:AH2718)/1.18-SUM(AH3429:AH3433)*'Mark Up Validation'!$M$175</f>
        <v>0</v>
      </c>
      <c r="AJ3434" s="65"/>
      <c r="AV3434" s="56"/>
    </row>
    <row r="3435" spans="1:48" ht="13.5" hidden="1" customHeight="1" outlineLevel="2" thickBot="1">
      <c r="A3435" s="119"/>
      <c r="B3435" s="82"/>
      <c r="C3435" s="1228" t="s">
        <v>539</v>
      </c>
      <c r="D3435" s="1229"/>
      <c r="E3435" s="699"/>
      <c r="F3435" s="700">
        <f>SUM(F3429:F3433)</f>
        <v>0</v>
      </c>
      <c r="G3435" s="701"/>
      <c r="H3435" s="700">
        <f>SUM(H3429:H3433)</f>
        <v>0</v>
      </c>
      <c r="I3435" s="701"/>
      <c r="J3435" s="700">
        <f>SUM(J3429:J3433)</f>
        <v>0</v>
      </c>
      <c r="K3435" s="702"/>
      <c r="L3435" s="700">
        <f>SUM(L3429:L3433)</f>
        <v>0</v>
      </c>
      <c r="M3435" s="702"/>
      <c r="N3435" s="700">
        <f>SUM(N3429:N3433)</f>
        <v>0</v>
      </c>
      <c r="O3435" s="702"/>
      <c r="P3435" s="700">
        <f>SUM(P3429:P3433)</f>
        <v>0</v>
      </c>
      <c r="Q3435" s="702"/>
      <c r="R3435" s="703"/>
      <c r="S3435" s="729">
        <f>IF(S3434&gt;0,S3434/(SUM(R2714:R2718)/1.18),0)</f>
        <v>0</v>
      </c>
      <c r="T3435" s="700">
        <f>SUM(T3429:T3433)</f>
        <v>0</v>
      </c>
      <c r="U3435" s="702"/>
      <c r="V3435" s="700">
        <f>SUM(V3429:V3433)</f>
        <v>0</v>
      </c>
      <c r="W3435" s="702"/>
      <c r="X3435" s="700">
        <f>SUM(X3429:X3433)</f>
        <v>0</v>
      </c>
      <c r="Y3435" s="702"/>
      <c r="Z3435" s="700">
        <f>SUM(Z3429:Z3433)</f>
        <v>0</v>
      </c>
      <c r="AA3435" s="702"/>
      <c r="AB3435" s="700">
        <f>SUM(AB3429:AB3433)</f>
        <v>0</v>
      </c>
      <c r="AC3435" s="702"/>
      <c r="AD3435" s="700">
        <f>SUM(AD3429:AD3433)</f>
        <v>0</v>
      </c>
      <c r="AE3435" s="702"/>
      <c r="AF3435" s="705"/>
      <c r="AG3435" s="729">
        <f>IF(AG3434&gt;0,AG3434/(SUM(AF2714:AF2718)/1.18),0)</f>
        <v>0</v>
      </c>
      <c r="AH3435" s="706"/>
      <c r="AI3435" s="729">
        <f>IF(AI3434&gt;0,AI3434/(SUM(AH2714:AH2718)/1.18),0)</f>
        <v>0</v>
      </c>
      <c r="AJ3435" s="707"/>
      <c r="AV3435" s="56"/>
    </row>
    <row r="3436" spans="1:48" ht="12.75" hidden="1" customHeight="1" outlineLevel="2" thickBot="1">
      <c r="B3436" s="82">
        <f>B3429+1</f>
        <v>80</v>
      </c>
      <c r="C3436" s="1233">
        <f>C566</f>
        <v>0</v>
      </c>
      <c r="D3436" s="1233">
        <f>D566</f>
        <v>0</v>
      </c>
      <c r="E3436" s="83" t="str">
        <f>'Terms and Turnovers'!$J$12</f>
        <v>FLIP-FLOPS</v>
      </c>
      <c r="F3436" s="68">
        <f>F2007/1.18-F2722*'Mark Up Validation'!$M$105</f>
        <v>0</v>
      </c>
      <c r="G3436" s="106"/>
      <c r="H3436" s="68">
        <f>H2007/1.18-H2722*'Mark Up Validation'!$M$105</f>
        <v>0</v>
      </c>
      <c r="I3436" s="106"/>
      <c r="J3436" s="68">
        <f>J2007/1.18-J2722*'Mark Up Validation'!$M$105</f>
        <v>0</v>
      </c>
      <c r="K3436" s="106"/>
      <c r="L3436" s="68">
        <f>L2007/1.18-L2722*'Mark Up Validation'!$M$105</f>
        <v>0</v>
      </c>
      <c r="M3436" s="106"/>
      <c r="N3436" s="68">
        <f>N2007/1.18-N2722*'Mark Up Validation'!$M$105</f>
        <v>0</v>
      </c>
      <c r="O3436" s="106"/>
      <c r="P3436" s="68">
        <f>P2007/1.18-P2722*'Mark Up Validation'!$M$105</f>
        <v>0</v>
      </c>
      <c r="Q3436" s="106"/>
      <c r="R3436" s="129">
        <f>SUM(F3436,H3436,J3436,L3436,N3436,P3436)</f>
        <v>0</v>
      </c>
      <c r="S3436" s="106"/>
      <c r="T3436" s="68">
        <f>T2007/1.18-T2722*'Mark Up Validation'!$S$105</f>
        <v>0</v>
      </c>
      <c r="U3436" s="106"/>
      <c r="V3436" s="68">
        <f>V2007/1.18-V2722*'Mark Up Validation'!$S$105</f>
        <v>0</v>
      </c>
      <c r="W3436" s="106"/>
      <c r="X3436" s="68">
        <f>X2007/1.18-X2722*'Mark Up Validation'!$S$105</f>
        <v>0</v>
      </c>
      <c r="Y3436" s="106"/>
      <c r="Z3436" s="68">
        <f>Z2007/1.18-Z2722*'Mark Up Validation'!$S$105</f>
        <v>0</v>
      </c>
      <c r="AA3436" s="106"/>
      <c r="AB3436" s="68">
        <f>AB2007/1.18-AB2722*'Mark Up Validation'!$S$105</f>
        <v>0</v>
      </c>
      <c r="AC3436" s="106"/>
      <c r="AD3436" s="68">
        <f>AD2007/1.18-AD2722*'Mark Up Validation'!$S$105</f>
        <v>0</v>
      </c>
      <c r="AE3436" s="106"/>
      <c r="AF3436" s="129">
        <f>SUM(T3436,V3436,X3436,Z3436,AB3436,AD3436)</f>
        <v>0</v>
      </c>
      <c r="AG3436" s="106"/>
      <c r="AH3436" s="130">
        <f>SUM(AF3436,R3436)</f>
        <v>0</v>
      </c>
      <c r="AI3436" s="106"/>
      <c r="AJ3436" s="65"/>
      <c r="AV3436" s="56"/>
    </row>
    <row r="3437" spans="1:48" ht="12.75" hidden="1" customHeight="1" outlineLevel="2" thickBot="1">
      <c r="B3437" s="82"/>
      <c r="C3437" s="1234"/>
      <c r="D3437" s="1234"/>
      <c r="E3437" s="84" t="str">
        <f>'Terms and Turnovers'!$T$12</f>
        <v>ORIGINALS</v>
      </c>
      <c r="F3437" s="68">
        <f>F2008/1.18-F2723*'Mark Up Validation'!$M$105</f>
        <v>0</v>
      </c>
      <c r="G3437" s="728"/>
      <c r="H3437" s="68">
        <f>H2008/1.18-H2723*'Mark Up Validation'!$M$105</f>
        <v>0</v>
      </c>
      <c r="I3437" s="728"/>
      <c r="J3437" s="68">
        <f>J2008/1.18-J2723*'Mark Up Validation'!$M$105</f>
        <v>0</v>
      </c>
      <c r="K3437" s="728"/>
      <c r="L3437" s="68">
        <f>L2008/1.18-L2723*'Mark Up Validation'!$M$105</f>
        <v>0</v>
      </c>
      <c r="M3437" s="728"/>
      <c r="N3437" s="68">
        <f>N2008/1.18-N2723*'Mark Up Validation'!$M$105</f>
        <v>0</v>
      </c>
      <c r="O3437" s="728"/>
      <c r="P3437" s="68">
        <f>P2008/1.18-P2723*'Mark Up Validation'!$M$105</f>
        <v>0</v>
      </c>
      <c r="Q3437" s="728"/>
      <c r="R3437" s="132">
        <f>SUM(F3437,H3437,J3437,L3437,N3437,P3437)</f>
        <v>0</v>
      </c>
      <c r="S3437" s="728"/>
      <c r="T3437" s="68">
        <f>T2008/1.18-T2723*'Mark Up Validation'!$S$105</f>
        <v>0</v>
      </c>
      <c r="U3437" s="728"/>
      <c r="V3437" s="68">
        <f>V2008/1.18-V2723*'Mark Up Validation'!$S$105</f>
        <v>0</v>
      </c>
      <c r="W3437" s="728"/>
      <c r="X3437" s="68">
        <f>X2008/1.18-X2723*'Mark Up Validation'!$S$105</f>
        <v>0</v>
      </c>
      <c r="Y3437" s="728"/>
      <c r="Z3437" s="68">
        <f>Z2008/1.18-Z2723*'Mark Up Validation'!$S$105</f>
        <v>0</v>
      </c>
      <c r="AA3437" s="728"/>
      <c r="AB3437" s="68">
        <f>AB2008/1.18-AB2723*'Mark Up Validation'!$S$105</f>
        <v>0</v>
      </c>
      <c r="AC3437" s="728"/>
      <c r="AD3437" s="68">
        <f>AD2008/1.18-AD2723*'Mark Up Validation'!$S$105</f>
        <v>0</v>
      </c>
      <c r="AE3437" s="728"/>
      <c r="AF3437" s="132">
        <f>SUM(T3437,V3437,X3437,Z3437,AB3437,AD3437)</f>
        <v>0</v>
      </c>
      <c r="AG3437" s="728"/>
      <c r="AH3437" s="133">
        <f>SUM(AF3437,R3437)</f>
        <v>0</v>
      </c>
      <c r="AI3437" s="728"/>
      <c r="AJ3437" s="65"/>
      <c r="AV3437" s="56"/>
    </row>
    <row r="3438" spans="1:48" ht="12.75" hidden="1" customHeight="1" outlineLevel="2" thickBot="1">
      <c r="B3438" s="82"/>
      <c r="C3438" s="1234"/>
      <c r="D3438" s="1234"/>
      <c r="E3438" s="84" t="str">
        <f>'Terms and Turnovers'!$AD$12</f>
        <v>ACCESSORIES</v>
      </c>
      <c r="F3438" s="68">
        <f>F2009/1.18-F2724*'Mark Up Validation'!$M$105</f>
        <v>0</v>
      </c>
      <c r="G3438" s="106"/>
      <c r="H3438" s="68">
        <f>H2009/1.18-H2724*'Mark Up Validation'!$M$105</f>
        <v>0</v>
      </c>
      <c r="I3438" s="106"/>
      <c r="J3438" s="68">
        <f>J2009/1.18-J2724*'Mark Up Validation'!$M$105</f>
        <v>0</v>
      </c>
      <c r="K3438" s="106"/>
      <c r="L3438" s="68">
        <f>L2009/1.18-L2724*'Mark Up Validation'!$M$105</f>
        <v>0</v>
      </c>
      <c r="M3438" s="106"/>
      <c r="N3438" s="68">
        <f>N2009/1.18-N2724*'Mark Up Validation'!$M$105</f>
        <v>0</v>
      </c>
      <c r="O3438" s="106"/>
      <c r="P3438" s="68">
        <f>P2009/1.18-P2724*'Mark Up Validation'!$M$105</f>
        <v>0</v>
      </c>
      <c r="Q3438" s="728"/>
      <c r="R3438" s="132">
        <f>SUM(F3438,H3438,J3438,L3438,N3438,P3438)</f>
        <v>0</v>
      </c>
      <c r="S3438" s="728"/>
      <c r="T3438" s="68">
        <f>T2009/1.18-T2724*'Mark Up Validation'!$S$105</f>
        <v>0</v>
      </c>
      <c r="U3438" s="728"/>
      <c r="V3438" s="68">
        <f>V2009/1.18-V2724*'Mark Up Validation'!$S$105</f>
        <v>0</v>
      </c>
      <c r="W3438" s="728"/>
      <c r="X3438" s="68">
        <f>X2009/1.18-X2724*'Mark Up Validation'!$S$105</f>
        <v>0</v>
      </c>
      <c r="Y3438" s="728"/>
      <c r="Z3438" s="68">
        <f>Z2009/1.18-Z2724*'Mark Up Validation'!$S$105</f>
        <v>0</v>
      </c>
      <c r="AA3438" s="728"/>
      <c r="AB3438" s="68">
        <f>AB2009/1.18-AB2724*'Mark Up Validation'!$S$105</f>
        <v>0</v>
      </c>
      <c r="AC3438" s="728"/>
      <c r="AD3438" s="68">
        <f>AD2009/1.18-AD2724*'Mark Up Validation'!$S$105</f>
        <v>0</v>
      </c>
      <c r="AE3438" s="728"/>
      <c r="AF3438" s="132">
        <f>SUM(T3438,V3438,X3438,Z3438,AB3438,AD3438)</f>
        <v>0</v>
      </c>
      <c r="AG3438" s="728"/>
      <c r="AH3438" s="133">
        <f>SUM(AF3438,R3438)</f>
        <v>0</v>
      </c>
      <c r="AI3438" s="728"/>
      <c r="AJ3438" s="65"/>
      <c r="AV3438" s="56"/>
    </row>
    <row r="3439" spans="1:48" ht="12.75" hidden="1" customHeight="1" outlineLevel="2" thickBot="1">
      <c r="B3439" s="82"/>
      <c r="C3439" s="1234"/>
      <c r="D3439" s="1234"/>
      <c r="E3439" s="84">
        <f>'Terms and Turnovers'!$AN$12</f>
        <v>0</v>
      </c>
      <c r="F3439" s="68">
        <f>F2010/1.18-F2725*'Mark Up Validation'!$M$105</f>
        <v>0</v>
      </c>
      <c r="G3439" s="728"/>
      <c r="H3439" s="68">
        <f>H2010/1.18-H2725*'Mark Up Validation'!$M$105</f>
        <v>0</v>
      </c>
      <c r="I3439" s="728"/>
      <c r="J3439" s="68">
        <f>J2010/1.18-J2725*'Mark Up Validation'!$M$105</f>
        <v>0</v>
      </c>
      <c r="K3439" s="728"/>
      <c r="L3439" s="68">
        <f>L2010/1.18-L2725*'Mark Up Validation'!$M$105</f>
        <v>0</v>
      </c>
      <c r="M3439" s="728"/>
      <c r="N3439" s="68">
        <f>N2010/1.18-N2725*'Mark Up Validation'!$M$105</f>
        <v>0</v>
      </c>
      <c r="O3439" s="728"/>
      <c r="P3439" s="68">
        <f>P2010/1.18-P2725*'Mark Up Validation'!$M$105</f>
        <v>0</v>
      </c>
      <c r="Q3439" s="728"/>
      <c r="R3439" s="132">
        <f>SUM(F3439,H3439,J3439,L3439,N3439,P3439)</f>
        <v>0</v>
      </c>
      <c r="S3439" s="728"/>
      <c r="T3439" s="68">
        <f>T2010/1.18-T2725*'Mark Up Validation'!$S$105</f>
        <v>0</v>
      </c>
      <c r="U3439" s="728"/>
      <c r="V3439" s="68">
        <f>V2010/1.18-V2725*'Mark Up Validation'!$S$105</f>
        <v>0</v>
      </c>
      <c r="W3439" s="728"/>
      <c r="X3439" s="68">
        <f>X2010/1.18-X2725*'Mark Up Validation'!$S$105</f>
        <v>0</v>
      </c>
      <c r="Y3439" s="728"/>
      <c r="Z3439" s="68">
        <f>Z2010/1.18-Z2725*'Mark Up Validation'!$S$105</f>
        <v>0</v>
      </c>
      <c r="AA3439" s="728"/>
      <c r="AB3439" s="68">
        <f>AB2010/1.18-AB2725*'Mark Up Validation'!$S$105</f>
        <v>0</v>
      </c>
      <c r="AC3439" s="728"/>
      <c r="AD3439" s="68">
        <f>AD2010/1.18-AD2725*'Mark Up Validation'!$S$105</f>
        <v>0</v>
      </c>
      <c r="AE3439" s="728"/>
      <c r="AF3439" s="132">
        <f>SUM(T3439,V3439,X3439,Z3439,AB3439,AD3439)</f>
        <v>0</v>
      </c>
      <c r="AG3439" s="728"/>
      <c r="AH3439" s="133">
        <f>SUM(AF3439,R3439)</f>
        <v>0</v>
      </c>
      <c r="AI3439" s="728"/>
      <c r="AJ3439" s="65"/>
      <c r="AV3439" s="56"/>
    </row>
    <row r="3440" spans="1:48" ht="13.5" hidden="1" customHeight="1" outlineLevel="2" thickBot="1">
      <c r="B3440" s="82"/>
      <c r="C3440" s="1235"/>
      <c r="D3440" s="1235"/>
      <c r="E3440" s="85">
        <f>'Terms and Turnovers'!$AX$12</f>
        <v>0</v>
      </c>
      <c r="F3440" s="68">
        <f>F2011/1.18-F2726*'Mark Up Validation'!$M$105</f>
        <v>0</v>
      </c>
      <c r="G3440" s="106"/>
      <c r="H3440" s="68">
        <f>H2011/1.18-H2726*'Mark Up Validation'!$M$105</f>
        <v>0</v>
      </c>
      <c r="I3440" s="106"/>
      <c r="J3440" s="68">
        <f>J2011/1.18-J2726*'Mark Up Validation'!$M$105</f>
        <v>0</v>
      </c>
      <c r="K3440" s="106"/>
      <c r="L3440" s="68">
        <f>L2011/1.18-L2726*'Mark Up Validation'!$M$105</f>
        <v>0</v>
      </c>
      <c r="M3440" s="106"/>
      <c r="N3440" s="68">
        <f>N2011/1.18-N2726*'Mark Up Validation'!$M$105</f>
        <v>0</v>
      </c>
      <c r="O3440" s="106"/>
      <c r="P3440" s="68">
        <f>P2011/1.18-P2726*'Mark Up Validation'!$M$105</f>
        <v>0</v>
      </c>
      <c r="Q3440" s="107"/>
      <c r="R3440" s="135">
        <f>SUM(F3440,H3440,J3440,L3440,N3440,P3440)</f>
        <v>0</v>
      </c>
      <c r="S3440" s="107"/>
      <c r="T3440" s="68">
        <f>T2011/1.18-T2726*'Mark Up Validation'!$S$105</f>
        <v>0</v>
      </c>
      <c r="U3440" s="107"/>
      <c r="V3440" s="68">
        <f>V2011/1.18-V2726*'Mark Up Validation'!$S$105</f>
        <v>0</v>
      </c>
      <c r="W3440" s="107"/>
      <c r="X3440" s="68">
        <f>X2011/1.18-X2726*'Mark Up Validation'!$S$105</f>
        <v>0</v>
      </c>
      <c r="Y3440" s="107"/>
      <c r="Z3440" s="68">
        <f>Z2011/1.18-Z2726*'Mark Up Validation'!$S$105</f>
        <v>0</v>
      </c>
      <c r="AA3440" s="107"/>
      <c r="AB3440" s="68">
        <f>AB2011/1.18-AB2726*'Mark Up Validation'!$S$105</f>
        <v>0</v>
      </c>
      <c r="AC3440" s="107"/>
      <c r="AD3440" s="68">
        <f>AD2011/1.18-AD2726*'Mark Up Validation'!$S$105</f>
        <v>0</v>
      </c>
      <c r="AE3440" s="107"/>
      <c r="AF3440" s="135">
        <f>SUM(T3440,V3440,X3440,Z3440,AB3440,AD3440)</f>
        <v>0</v>
      </c>
      <c r="AG3440" s="107"/>
      <c r="AH3440" s="136">
        <f>SUM(AF3440,R3440)</f>
        <v>0</v>
      </c>
      <c r="AI3440" s="107"/>
      <c r="AJ3440" s="65"/>
      <c r="AV3440" s="56"/>
    </row>
    <row r="3441" spans="1:48" ht="13.5" hidden="1" customHeight="1" outlineLevel="2">
      <c r="B3441" s="82"/>
      <c r="C3441" s="425"/>
      <c r="D3441" s="425"/>
      <c r="E3441" s="634"/>
      <c r="F3441" s="635"/>
      <c r="G3441" s="428"/>
      <c r="H3441" s="635"/>
      <c r="I3441" s="428"/>
      <c r="J3441" s="635"/>
      <c r="K3441" s="636"/>
      <c r="L3441" s="635"/>
      <c r="M3441" s="636"/>
      <c r="N3441" s="635"/>
      <c r="O3441" s="636"/>
      <c r="P3441" s="635"/>
      <c r="Q3441" s="636"/>
      <c r="R3441" s="637"/>
      <c r="S3441" s="698">
        <f>SUM(R2721:R2725)/1.18-(SUM(R3436:R3440)*'Mark Up Validation'!$M$105)</f>
        <v>0</v>
      </c>
      <c r="T3441" s="635"/>
      <c r="U3441" s="636"/>
      <c r="V3441" s="635"/>
      <c r="W3441" s="636"/>
      <c r="X3441" s="635"/>
      <c r="Y3441" s="636"/>
      <c r="Z3441" s="635"/>
      <c r="AA3441" s="636"/>
      <c r="AB3441" s="635"/>
      <c r="AC3441" s="636"/>
      <c r="AD3441" s="635"/>
      <c r="AE3441" s="636"/>
      <c r="AF3441" s="637"/>
      <c r="AG3441" s="698">
        <f>SUM(AF2721:AF2725)/1.18-SUM(AF3436:AF3440)*'Mark Up Validation'!$M$175</f>
        <v>0</v>
      </c>
      <c r="AH3441" s="638"/>
      <c r="AI3441" s="698">
        <f>SUM(AH2721:AH2725)/1.18-SUM(AH3436:AH3440)*'Mark Up Validation'!$M$175</f>
        <v>0</v>
      </c>
      <c r="AJ3441" s="65"/>
      <c r="AV3441" s="56"/>
    </row>
    <row r="3442" spans="1:48" ht="13.5" hidden="1" customHeight="1" outlineLevel="2" thickBot="1">
      <c r="A3442" s="119"/>
      <c r="B3442" s="82"/>
      <c r="C3442" s="1228" t="s">
        <v>539</v>
      </c>
      <c r="D3442" s="1229"/>
      <c r="E3442" s="699"/>
      <c r="F3442" s="700">
        <f>SUM(F3436:F3440)</f>
        <v>0</v>
      </c>
      <c r="G3442" s="701"/>
      <c r="H3442" s="700">
        <f>SUM(H3436:H3440)</f>
        <v>0</v>
      </c>
      <c r="I3442" s="701"/>
      <c r="J3442" s="700">
        <f>SUM(J3436:J3440)</f>
        <v>0</v>
      </c>
      <c r="K3442" s="702"/>
      <c r="L3442" s="700">
        <f>SUM(L3436:L3440)</f>
        <v>0</v>
      </c>
      <c r="M3442" s="702"/>
      <c r="N3442" s="700">
        <f>SUM(N3436:N3440)</f>
        <v>0</v>
      </c>
      <c r="O3442" s="702"/>
      <c r="P3442" s="700">
        <f>SUM(P3436:P3440)</f>
        <v>0</v>
      </c>
      <c r="Q3442" s="702"/>
      <c r="R3442" s="703"/>
      <c r="S3442" s="729">
        <f>IF(S3441&gt;0,S3441/(SUM(R2721:R2725)/1.18),0)</f>
        <v>0</v>
      </c>
      <c r="T3442" s="700">
        <f>SUM(T3436:T3440)</f>
        <v>0</v>
      </c>
      <c r="U3442" s="702"/>
      <c r="V3442" s="700">
        <f>SUM(V3436:V3440)</f>
        <v>0</v>
      </c>
      <c r="W3442" s="702"/>
      <c r="X3442" s="700">
        <f>SUM(X3436:X3440)</f>
        <v>0</v>
      </c>
      <c r="Y3442" s="702"/>
      <c r="Z3442" s="700">
        <f>SUM(Z3436:Z3440)</f>
        <v>0</v>
      </c>
      <c r="AA3442" s="702"/>
      <c r="AB3442" s="700">
        <f>SUM(AB3436:AB3440)</f>
        <v>0</v>
      </c>
      <c r="AC3442" s="702"/>
      <c r="AD3442" s="700">
        <f>SUM(AD3436:AD3440)</f>
        <v>0</v>
      </c>
      <c r="AE3442" s="702"/>
      <c r="AF3442" s="705"/>
      <c r="AG3442" s="729">
        <f>IF(AG3441&gt;0,AG3441/(SUM(AF2721:AF2725)/1.18),0)</f>
        <v>0</v>
      </c>
      <c r="AH3442" s="706"/>
      <c r="AI3442" s="729">
        <f>IF(AI3441&gt;0,AI3441/(SUM(AH2721:AH2725)/1.18),0)</f>
        <v>0</v>
      </c>
      <c r="AJ3442" s="707"/>
      <c r="AV3442" s="56"/>
    </row>
    <row r="3443" spans="1:48" ht="12.75" hidden="1" customHeight="1" outlineLevel="2" thickBot="1">
      <c r="B3443" s="82">
        <f>B3436+1</f>
        <v>81</v>
      </c>
      <c r="C3443" s="1233">
        <f>C573</f>
        <v>0</v>
      </c>
      <c r="D3443" s="1233">
        <f>D573</f>
        <v>0</v>
      </c>
      <c r="E3443" s="83" t="str">
        <f>'Terms and Turnovers'!$J$12</f>
        <v>FLIP-FLOPS</v>
      </c>
      <c r="F3443" s="68">
        <f>F2014/1.18-F2729*'Mark Up Validation'!$M$105</f>
        <v>0</v>
      </c>
      <c r="G3443" s="106"/>
      <c r="H3443" s="68">
        <f>H2014/1.18-H2729*'Mark Up Validation'!$M$105</f>
        <v>0</v>
      </c>
      <c r="I3443" s="106"/>
      <c r="J3443" s="68">
        <f>J2014/1.18-J2729*'Mark Up Validation'!$M$105</f>
        <v>0</v>
      </c>
      <c r="K3443" s="106"/>
      <c r="L3443" s="68">
        <f>L2014/1.18-L2729*'Mark Up Validation'!$M$105</f>
        <v>0</v>
      </c>
      <c r="M3443" s="106"/>
      <c r="N3443" s="68">
        <f>N2014/1.18-N2729*'Mark Up Validation'!$M$105</f>
        <v>0</v>
      </c>
      <c r="O3443" s="106"/>
      <c r="P3443" s="68">
        <f>P2014/1.18-P2729*'Mark Up Validation'!$M$105</f>
        <v>0</v>
      </c>
      <c r="Q3443" s="106"/>
      <c r="R3443" s="129">
        <f>SUM(F3443,H3443,J3443,L3443,N3443,P3443)</f>
        <v>0</v>
      </c>
      <c r="S3443" s="106"/>
      <c r="T3443" s="68">
        <f>T2014/1.18-T2729*'Mark Up Validation'!$S$105</f>
        <v>0</v>
      </c>
      <c r="U3443" s="106"/>
      <c r="V3443" s="68">
        <f>V2014/1.18-V2729*'Mark Up Validation'!$S$105</f>
        <v>0</v>
      </c>
      <c r="W3443" s="106"/>
      <c r="X3443" s="68">
        <f>X2014/1.18-X2729*'Mark Up Validation'!$S$105</f>
        <v>0</v>
      </c>
      <c r="Y3443" s="106"/>
      <c r="Z3443" s="68">
        <f>Z2014/1.18-Z2729*'Mark Up Validation'!$S$105</f>
        <v>0</v>
      </c>
      <c r="AA3443" s="106"/>
      <c r="AB3443" s="68">
        <f>AB2014/1.18-AB2729*'Mark Up Validation'!$S$105</f>
        <v>0</v>
      </c>
      <c r="AC3443" s="106"/>
      <c r="AD3443" s="68">
        <f>AD2014/1.18-AD2729*'Mark Up Validation'!$S$105</f>
        <v>0</v>
      </c>
      <c r="AE3443" s="106"/>
      <c r="AF3443" s="129">
        <f>SUM(T3443,V3443,X3443,Z3443,AB3443,AD3443)</f>
        <v>0</v>
      </c>
      <c r="AG3443" s="106"/>
      <c r="AH3443" s="130">
        <f>SUM(AF3443,R3443)</f>
        <v>0</v>
      </c>
      <c r="AI3443" s="106"/>
      <c r="AJ3443" s="65"/>
      <c r="AV3443" s="56"/>
    </row>
    <row r="3444" spans="1:48" ht="12.75" hidden="1" customHeight="1" outlineLevel="2" thickBot="1">
      <c r="B3444" s="82"/>
      <c r="C3444" s="1234"/>
      <c r="D3444" s="1234"/>
      <c r="E3444" s="84" t="str">
        <f>'Terms and Turnovers'!$T$12</f>
        <v>ORIGINALS</v>
      </c>
      <c r="F3444" s="68">
        <f>F2015/1.18-F2730*'Mark Up Validation'!$M$105</f>
        <v>0</v>
      </c>
      <c r="G3444" s="728"/>
      <c r="H3444" s="68">
        <f>H2015/1.18-H2730*'Mark Up Validation'!$M$105</f>
        <v>0</v>
      </c>
      <c r="I3444" s="728"/>
      <c r="J3444" s="68">
        <f>J2015/1.18-J2730*'Mark Up Validation'!$M$105</f>
        <v>0</v>
      </c>
      <c r="K3444" s="728"/>
      <c r="L3444" s="68">
        <f>L2015/1.18-L2730*'Mark Up Validation'!$M$105</f>
        <v>0</v>
      </c>
      <c r="M3444" s="728"/>
      <c r="N3444" s="68">
        <f>N2015/1.18-N2730*'Mark Up Validation'!$M$105</f>
        <v>0</v>
      </c>
      <c r="O3444" s="728"/>
      <c r="P3444" s="68">
        <f>P2015/1.18-P2730*'Mark Up Validation'!$M$105</f>
        <v>0</v>
      </c>
      <c r="Q3444" s="728"/>
      <c r="R3444" s="132">
        <f>SUM(F3444,H3444,J3444,L3444,N3444,P3444)</f>
        <v>0</v>
      </c>
      <c r="S3444" s="728"/>
      <c r="T3444" s="68">
        <f>T2015/1.18-T2730*'Mark Up Validation'!$S$105</f>
        <v>0</v>
      </c>
      <c r="U3444" s="728"/>
      <c r="V3444" s="68">
        <f>V2015/1.18-V2730*'Mark Up Validation'!$S$105</f>
        <v>0</v>
      </c>
      <c r="W3444" s="728"/>
      <c r="X3444" s="68">
        <f>X2015/1.18-X2730*'Mark Up Validation'!$S$105</f>
        <v>0</v>
      </c>
      <c r="Y3444" s="728"/>
      <c r="Z3444" s="68">
        <f>Z2015/1.18-Z2730*'Mark Up Validation'!$S$105</f>
        <v>0</v>
      </c>
      <c r="AA3444" s="728"/>
      <c r="AB3444" s="68">
        <f>AB2015/1.18-AB2730*'Mark Up Validation'!$S$105</f>
        <v>0</v>
      </c>
      <c r="AC3444" s="728"/>
      <c r="AD3444" s="68">
        <f>AD2015/1.18-AD2730*'Mark Up Validation'!$S$105</f>
        <v>0</v>
      </c>
      <c r="AE3444" s="728"/>
      <c r="AF3444" s="132">
        <f>SUM(T3444,V3444,X3444,Z3444,AB3444,AD3444)</f>
        <v>0</v>
      </c>
      <c r="AG3444" s="728"/>
      <c r="AH3444" s="133">
        <f>SUM(AF3444,R3444)</f>
        <v>0</v>
      </c>
      <c r="AI3444" s="728"/>
      <c r="AJ3444" s="65"/>
      <c r="AV3444" s="56"/>
    </row>
    <row r="3445" spans="1:48" ht="12.75" hidden="1" customHeight="1" outlineLevel="2" thickBot="1">
      <c r="B3445" s="82"/>
      <c r="C3445" s="1234"/>
      <c r="D3445" s="1234"/>
      <c r="E3445" s="84" t="str">
        <f>'Terms and Turnovers'!$AD$12</f>
        <v>ACCESSORIES</v>
      </c>
      <c r="F3445" s="68">
        <f>F2016/1.18-F2731*'Mark Up Validation'!$M$105</f>
        <v>0</v>
      </c>
      <c r="G3445" s="106"/>
      <c r="H3445" s="68">
        <f>H2016/1.18-H2731*'Mark Up Validation'!$M$105</f>
        <v>0</v>
      </c>
      <c r="I3445" s="106"/>
      <c r="J3445" s="68">
        <f>J2016/1.18-J2731*'Mark Up Validation'!$M$105</f>
        <v>0</v>
      </c>
      <c r="K3445" s="106"/>
      <c r="L3445" s="68">
        <f>L2016/1.18-L2731*'Mark Up Validation'!$M$105</f>
        <v>0</v>
      </c>
      <c r="M3445" s="106"/>
      <c r="N3445" s="68">
        <f>N2016/1.18-N2731*'Mark Up Validation'!$M$105</f>
        <v>0</v>
      </c>
      <c r="O3445" s="106"/>
      <c r="P3445" s="68">
        <f>P2016/1.18-P2731*'Mark Up Validation'!$M$105</f>
        <v>0</v>
      </c>
      <c r="Q3445" s="728"/>
      <c r="R3445" s="132">
        <f>SUM(F3445,H3445,J3445,L3445,N3445,P3445)</f>
        <v>0</v>
      </c>
      <c r="S3445" s="728"/>
      <c r="T3445" s="68">
        <f>T2016/1.18-T2731*'Mark Up Validation'!$S$105</f>
        <v>0</v>
      </c>
      <c r="U3445" s="728"/>
      <c r="V3445" s="68">
        <f>V2016/1.18-V2731*'Mark Up Validation'!$S$105</f>
        <v>0</v>
      </c>
      <c r="W3445" s="728"/>
      <c r="X3445" s="68">
        <f>X2016/1.18-X2731*'Mark Up Validation'!$S$105</f>
        <v>0</v>
      </c>
      <c r="Y3445" s="728"/>
      <c r="Z3445" s="68">
        <f>Z2016/1.18-Z2731*'Mark Up Validation'!$S$105</f>
        <v>0</v>
      </c>
      <c r="AA3445" s="728"/>
      <c r="AB3445" s="68">
        <f>AB2016/1.18-AB2731*'Mark Up Validation'!$S$105</f>
        <v>0</v>
      </c>
      <c r="AC3445" s="728"/>
      <c r="AD3445" s="68">
        <f>AD2016/1.18-AD2731*'Mark Up Validation'!$S$105</f>
        <v>0</v>
      </c>
      <c r="AE3445" s="728"/>
      <c r="AF3445" s="132">
        <f>SUM(T3445,V3445,X3445,Z3445,AB3445,AD3445)</f>
        <v>0</v>
      </c>
      <c r="AG3445" s="728"/>
      <c r="AH3445" s="133">
        <f>SUM(AF3445,R3445)</f>
        <v>0</v>
      </c>
      <c r="AI3445" s="728"/>
      <c r="AJ3445" s="65"/>
      <c r="AV3445" s="56"/>
    </row>
    <row r="3446" spans="1:48" ht="12.75" hidden="1" customHeight="1" outlineLevel="2" thickBot="1">
      <c r="B3446" s="82"/>
      <c r="C3446" s="1234"/>
      <c r="D3446" s="1234"/>
      <c r="E3446" s="84">
        <f>'Terms and Turnovers'!$AN$12</f>
        <v>0</v>
      </c>
      <c r="F3446" s="68">
        <f>F2017/1.18-F2732*'Mark Up Validation'!$M$105</f>
        <v>0</v>
      </c>
      <c r="G3446" s="728"/>
      <c r="H3446" s="68">
        <f>H2017/1.18-H2732*'Mark Up Validation'!$M$105</f>
        <v>0</v>
      </c>
      <c r="I3446" s="728"/>
      <c r="J3446" s="68">
        <f>J2017/1.18-J2732*'Mark Up Validation'!$M$105</f>
        <v>0</v>
      </c>
      <c r="K3446" s="728"/>
      <c r="L3446" s="68">
        <f>L2017/1.18-L2732*'Mark Up Validation'!$M$105</f>
        <v>0</v>
      </c>
      <c r="M3446" s="728"/>
      <c r="N3446" s="68">
        <f>N2017/1.18-N2732*'Mark Up Validation'!$M$105</f>
        <v>0</v>
      </c>
      <c r="O3446" s="728"/>
      <c r="P3446" s="68">
        <f>P2017/1.18-P2732*'Mark Up Validation'!$M$105</f>
        <v>0</v>
      </c>
      <c r="Q3446" s="728"/>
      <c r="R3446" s="132">
        <f>SUM(F3446,H3446,J3446,L3446,N3446,P3446)</f>
        <v>0</v>
      </c>
      <c r="S3446" s="728"/>
      <c r="T3446" s="68">
        <f>T2017/1.18-T2732*'Mark Up Validation'!$S$105</f>
        <v>0</v>
      </c>
      <c r="U3446" s="728"/>
      <c r="V3446" s="68">
        <f>V2017/1.18-V2732*'Mark Up Validation'!$S$105</f>
        <v>0</v>
      </c>
      <c r="W3446" s="728"/>
      <c r="X3446" s="68">
        <f>X2017/1.18-X2732*'Mark Up Validation'!$S$105</f>
        <v>0</v>
      </c>
      <c r="Y3446" s="728"/>
      <c r="Z3446" s="68">
        <f>Z2017/1.18-Z2732*'Mark Up Validation'!$S$105</f>
        <v>0</v>
      </c>
      <c r="AA3446" s="728"/>
      <c r="AB3446" s="68">
        <f>AB2017/1.18-AB2732*'Mark Up Validation'!$S$105</f>
        <v>0</v>
      </c>
      <c r="AC3446" s="728"/>
      <c r="AD3446" s="68">
        <f>AD2017/1.18-AD2732*'Mark Up Validation'!$S$105</f>
        <v>0</v>
      </c>
      <c r="AE3446" s="728"/>
      <c r="AF3446" s="132">
        <f>SUM(T3446,V3446,X3446,Z3446,AB3446,AD3446)</f>
        <v>0</v>
      </c>
      <c r="AG3446" s="728"/>
      <c r="AH3446" s="133">
        <f>SUM(AF3446,R3446)</f>
        <v>0</v>
      </c>
      <c r="AI3446" s="728"/>
      <c r="AJ3446" s="65"/>
      <c r="AV3446" s="56"/>
    </row>
    <row r="3447" spans="1:48" ht="13.5" hidden="1" customHeight="1" outlineLevel="2" thickBot="1">
      <c r="B3447" s="82"/>
      <c r="C3447" s="1235"/>
      <c r="D3447" s="1235"/>
      <c r="E3447" s="85">
        <f>'Terms and Turnovers'!$AX$12</f>
        <v>0</v>
      </c>
      <c r="F3447" s="68">
        <f>F2018/1.18-F2733*'Mark Up Validation'!$M$105</f>
        <v>0</v>
      </c>
      <c r="G3447" s="106"/>
      <c r="H3447" s="68">
        <f>H2018/1.18-H2733*'Mark Up Validation'!$M$105</f>
        <v>0</v>
      </c>
      <c r="I3447" s="106"/>
      <c r="J3447" s="68">
        <f>J2018/1.18-J2733*'Mark Up Validation'!$M$105</f>
        <v>0</v>
      </c>
      <c r="K3447" s="106"/>
      <c r="L3447" s="68">
        <f>L2018/1.18-L2733*'Mark Up Validation'!$M$105</f>
        <v>0</v>
      </c>
      <c r="M3447" s="106"/>
      <c r="N3447" s="68">
        <f>N2018/1.18-N2733*'Mark Up Validation'!$M$105</f>
        <v>0</v>
      </c>
      <c r="O3447" s="106"/>
      <c r="P3447" s="68">
        <f>P2018/1.18-P2733*'Mark Up Validation'!$M$105</f>
        <v>0</v>
      </c>
      <c r="Q3447" s="107"/>
      <c r="R3447" s="135">
        <f>SUM(F3447,H3447,J3447,L3447,N3447,P3447)</f>
        <v>0</v>
      </c>
      <c r="S3447" s="107"/>
      <c r="T3447" s="68">
        <f>T2018/1.18-T2733*'Mark Up Validation'!$S$105</f>
        <v>0</v>
      </c>
      <c r="U3447" s="107"/>
      <c r="V3447" s="68">
        <f>V2018/1.18-V2733*'Mark Up Validation'!$S$105</f>
        <v>0</v>
      </c>
      <c r="W3447" s="107"/>
      <c r="X3447" s="68">
        <f>X2018/1.18-X2733*'Mark Up Validation'!$S$105</f>
        <v>0</v>
      </c>
      <c r="Y3447" s="107"/>
      <c r="Z3447" s="68">
        <f>Z2018/1.18-Z2733*'Mark Up Validation'!$S$105</f>
        <v>0</v>
      </c>
      <c r="AA3447" s="107"/>
      <c r="AB3447" s="68">
        <f>AB2018/1.18-AB2733*'Mark Up Validation'!$S$105</f>
        <v>0</v>
      </c>
      <c r="AC3447" s="107"/>
      <c r="AD3447" s="68">
        <f>AD2018/1.18-AD2733*'Mark Up Validation'!$S$105</f>
        <v>0</v>
      </c>
      <c r="AE3447" s="107"/>
      <c r="AF3447" s="135">
        <f>SUM(T3447,V3447,X3447,Z3447,AB3447,AD3447)</f>
        <v>0</v>
      </c>
      <c r="AG3447" s="107"/>
      <c r="AH3447" s="136">
        <f>SUM(AF3447,R3447)</f>
        <v>0</v>
      </c>
      <c r="AI3447" s="107"/>
      <c r="AJ3447" s="65"/>
      <c r="AV3447" s="56"/>
    </row>
    <row r="3448" spans="1:48" ht="13.5" hidden="1" customHeight="1" outlineLevel="2">
      <c r="B3448" s="82"/>
      <c r="C3448" s="425"/>
      <c r="D3448" s="425"/>
      <c r="E3448" s="634"/>
      <c r="F3448" s="635"/>
      <c r="G3448" s="428"/>
      <c r="H3448" s="635"/>
      <c r="I3448" s="428"/>
      <c r="J3448" s="635"/>
      <c r="K3448" s="636"/>
      <c r="L3448" s="635"/>
      <c r="M3448" s="636"/>
      <c r="N3448" s="635"/>
      <c r="O3448" s="636"/>
      <c r="P3448" s="635"/>
      <c r="Q3448" s="636"/>
      <c r="R3448" s="637"/>
      <c r="S3448" s="698">
        <f>SUM(R2728:R2732)/1.18-(SUM(R3443:R3447)*'Mark Up Validation'!$M$105)</f>
        <v>0</v>
      </c>
      <c r="T3448" s="635"/>
      <c r="U3448" s="636"/>
      <c r="V3448" s="635"/>
      <c r="W3448" s="636"/>
      <c r="X3448" s="635"/>
      <c r="Y3448" s="636"/>
      <c r="Z3448" s="635"/>
      <c r="AA3448" s="636"/>
      <c r="AB3448" s="635"/>
      <c r="AC3448" s="636"/>
      <c r="AD3448" s="635"/>
      <c r="AE3448" s="636"/>
      <c r="AF3448" s="637"/>
      <c r="AG3448" s="698">
        <f>SUM(AF2728:AF2732)/1.18-SUM(AF3443:AF3447)*'Mark Up Validation'!$M$175</f>
        <v>0</v>
      </c>
      <c r="AH3448" s="638"/>
      <c r="AI3448" s="698">
        <f>SUM(AH2728:AH2732)/1.18-SUM(AH3443:AH3447)*'Mark Up Validation'!$M$175</f>
        <v>0</v>
      </c>
      <c r="AJ3448" s="65"/>
      <c r="AV3448" s="56"/>
    </row>
    <row r="3449" spans="1:48" ht="13.5" hidden="1" customHeight="1" outlineLevel="2" thickBot="1">
      <c r="A3449" s="119"/>
      <c r="B3449" s="82"/>
      <c r="C3449" s="1228" t="s">
        <v>539</v>
      </c>
      <c r="D3449" s="1229"/>
      <c r="E3449" s="699"/>
      <c r="F3449" s="700">
        <f>SUM(F3443:F3447)</f>
        <v>0</v>
      </c>
      <c r="G3449" s="701"/>
      <c r="H3449" s="700">
        <f>SUM(H3443:H3447)</f>
        <v>0</v>
      </c>
      <c r="I3449" s="701"/>
      <c r="J3449" s="700">
        <f>SUM(J3443:J3447)</f>
        <v>0</v>
      </c>
      <c r="K3449" s="702"/>
      <c r="L3449" s="700">
        <f>SUM(L3443:L3447)</f>
        <v>0</v>
      </c>
      <c r="M3449" s="702"/>
      <c r="N3449" s="700">
        <f>SUM(N3443:N3447)</f>
        <v>0</v>
      </c>
      <c r="O3449" s="702"/>
      <c r="P3449" s="700">
        <f>SUM(P3443:P3447)</f>
        <v>0</v>
      </c>
      <c r="Q3449" s="702"/>
      <c r="R3449" s="703"/>
      <c r="S3449" s="729">
        <f>IF(S3448&gt;0,S3448/(SUM(R2728:R2732)/1.18),0)</f>
        <v>0</v>
      </c>
      <c r="T3449" s="700">
        <f>SUM(T3443:T3447)</f>
        <v>0</v>
      </c>
      <c r="U3449" s="702"/>
      <c r="V3449" s="700">
        <f>SUM(V3443:V3447)</f>
        <v>0</v>
      </c>
      <c r="W3449" s="702"/>
      <c r="X3449" s="700">
        <f>SUM(X3443:X3447)</f>
        <v>0</v>
      </c>
      <c r="Y3449" s="702"/>
      <c r="Z3449" s="700">
        <f>SUM(Z3443:Z3447)</f>
        <v>0</v>
      </c>
      <c r="AA3449" s="702"/>
      <c r="AB3449" s="700">
        <f>SUM(AB3443:AB3447)</f>
        <v>0</v>
      </c>
      <c r="AC3449" s="702"/>
      <c r="AD3449" s="700">
        <f>SUM(AD3443:AD3447)</f>
        <v>0</v>
      </c>
      <c r="AE3449" s="702"/>
      <c r="AF3449" s="705"/>
      <c r="AG3449" s="729">
        <f>IF(AG3448&gt;0,AG3448/(SUM(AF2728:AF2732)/1.18),0)</f>
        <v>0</v>
      </c>
      <c r="AH3449" s="706"/>
      <c r="AI3449" s="729">
        <f>IF(AI3448&gt;0,AI3448/(SUM(AH2728:AH2732)/1.18),0)</f>
        <v>0</v>
      </c>
      <c r="AJ3449" s="707"/>
      <c r="AV3449" s="56"/>
    </row>
    <row r="3450" spans="1:48" ht="12.75" hidden="1" customHeight="1" outlineLevel="2" thickBot="1">
      <c r="B3450" s="82">
        <f>B3443+1</f>
        <v>82</v>
      </c>
      <c r="C3450" s="1233">
        <f>C580</f>
        <v>0</v>
      </c>
      <c r="D3450" s="1233">
        <f>D580</f>
        <v>0</v>
      </c>
      <c r="E3450" s="83" t="str">
        <f>'Terms and Turnovers'!$J$12</f>
        <v>FLIP-FLOPS</v>
      </c>
      <c r="F3450" s="68">
        <f>F2021/1.18-F2736*'Mark Up Validation'!$M$105</f>
        <v>0</v>
      </c>
      <c r="G3450" s="106"/>
      <c r="H3450" s="68">
        <f>H2021/1.18-H2736*'Mark Up Validation'!$M$105</f>
        <v>0</v>
      </c>
      <c r="I3450" s="106"/>
      <c r="J3450" s="68">
        <f>J2021/1.18-J2736*'Mark Up Validation'!$M$105</f>
        <v>0</v>
      </c>
      <c r="K3450" s="106"/>
      <c r="L3450" s="68">
        <f>L2021/1.18-L2736*'Mark Up Validation'!$M$105</f>
        <v>0</v>
      </c>
      <c r="M3450" s="106"/>
      <c r="N3450" s="68">
        <f>N2021/1.18-N2736*'Mark Up Validation'!$M$105</f>
        <v>0</v>
      </c>
      <c r="O3450" s="106"/>
      <c r="P3450" s="68">
        <f>P2021/1.18-P2736*'Mark Up Validation'!$M$105</f>
        <v>0</v>
      </c>
      <c r="Q3450" s="106"/>
      <c r="R3450" s="129">
        <f>SUM(F3450,H3450,J3450,L3450,N3450,P3450)</f>
        <v>0</v>
      </c>
      <c r="S3450" s="106"/>
      <c r="T3450" s="68">
        <f>T2021/1.18-T2736*'Mark Up Validation'!$S$105</f>
        <v>0</v>
      </c>
      <c r="U3450" s="106"/>
      <c r="V3450" s="68">
        <f>V2021/1.18-V2736*'Mark Up Validation'!$S$105</f>
        <v>0</v>
      </c>
      <c r="W3450" s="106"/>
      <c r="X3450" s="68">
        <f>X2021/1.18-X2736*'Mark Up Validation'!$S$105</f>
        <v>0</v>
      </c>
      <c r="Y3450" s="106"/>
      <c r="Z3450" s="68">
        <f>Z2021/1.18-Z2736*'Mark Up Validation'!$S$105</f>
        <v>0</v>
      </c>
      <c r="AA3450" s="106"/>
      <c r="AB3450" s="68">
        <f>AB2021/1.18-AB2736*'Mark Up Validation'!$S$105</f>
        <v>0</v>
      </c>
      <c r="AC3450" s="106"/>
      <c r="AD3450" s="68">
        <f>AD2021/1.18-AD2736*'Mark Up Validation'!$S$105</f>
        <v>0</v>
      </c>
      <c r="AE3450" s="106"/>
      <c r="AF3450" s="129">
        <f>SUM(T3450,V3450,X3450,Z3450,AB3450,AD3450)</f>
        <v>0</v>
      </c>
      <c r="AG3450" s="106"/>
      <c r="AH3450" s="130">
        <f>SUM(AF3450,R3450)</f>
        <v>0</v>
      </c>
      <c r="AI3450" s="106"/>
      <c r="AJ3450" s="65"/>
      <c r="AV3450" s="56"/>
    </row>
    <row r="3451" spans="1:48" ht="12.75" hidden="1" customHeight="1" outlineLevel="2" thickBot="1">
      <c r="B3451" s="82"/>
      <c r="C3451" s="1234"/>
      <c r="D3451" s="1234"/>
      <c r="E3451" s="84" t="str">
        <f>'Terms and Turnovers'!$T$12</f>
        <v>ORIGINALS</v>
      </c>
      <c r="F3451" s="68">
        <f>F2022/1.18-F2737*'Mark Up Validation'!$M$105</f>
        <v>0</v>
      </c>
      <c r="G3451" s="728"/>
      <c r="H3451" s="68">
        <f>H2022/1.18-H2737*'Mark Up Validation'!$M$105</f>
        <v>0</v>
      </c>
      <c r="I3451" s="728"/>
      <c r="J3451" s="68">
        <f>J2022/1.18-J2737*'Mark Up Validation'!$M$105</f>
        <v>0</v>
      </c>
      <c r="K3451" s="728"/>
      <c r="L3451" s="68">
        <f>L2022/1.18-L2737*'Mark Up Validation'!$M$105</f>
        <v>0</v>
      </c>
      <c r="M3451" s="728"/>
      <c r="N3451" s="68">
        <f>N2022/1.18-N2737*'Mark Up Validation'!$M$105</f>
        <v>0</v>
      </c>
      <c r="O3451" s="728"/>
      <c r="P3451" s="68">
        <f>P2022/1.18-P2737*'Mark Up Validation'!$M$105</f>
        <v>0</v>
      </c>
      <c r="Q3451" s="728"/>
      <c r="R3451" s="132">
        <f>SUM(F3451,H3451,J3451,L3451,N3451,P3451)</f>
        <v>0</v>
      </c>
      <c r="S3451" s="728"/>
      <c r="T3451" s="68">
        <f>T2022/1.18-T2737*'Mark Up Validation'!$S$105</f>
        <v>0</v>
      </c>
      <c r="U3451" s="728"/>
      <c r="V3451" s="68">
        <f>V2022/1.18-V2737*'Mark Up Validation'!$S$105</f>
        <v>0</v>
      </c>
      <c r="W3451" s="728"/>
      <c r="X3451" s="68">
        <f>X2022/1.18-X2737*'Mark Up Validation'!$S$105</f>
        <v>0</v>
      </c>
      <c r="Y3451" s="728"/>
      <c r="Z3451" s="68">
        <f>Z2022/1.18-Z2737*'Mark Up Validation'!$S$105</f>
        <v>0</v>
      </c>
      <c r="AA3451" s="728"/>
      <c r="AB3451" s="68">
        <f>AB2022/1.18-AB2737*'Mark Up Validation'!$S$105</f>
        <v>0</v>
      </c>
      <c r="AC3451" s="728"/>
      <c r="AD3451" s="68">
        <f>AD2022/1.18-AD2737*'Mark Up Validation'!$S$105</f>
        <v>0</v>
      </c>
      <c r="AE3451" s="728"/>
      <c r="AF3451" s="132">
        <f>SUM(T3451,V3451,X3451,Z3451,AB3451,AD3451)</f>
        <v>0</v>
      </c>
      <c r="AG3451" s="728"/>
      <c r="AH3451" s="133">
        <f>SUM(AF3451,R3451)</f>
        <v>0</v>
      </c>
      <c r="AI3451" s="728"/>
      <c r="AJ3451" s="65"/>
      <c r="AV3451" s="56"/>
    </row>
    <row r="3452" spans="1:48" ht="12.75" hidden="1" customHeight="1" outlineLevel="2" thickBot="1">
      <c r="B3452" s="82"/>
      <c r="C3452" s="1234"/>
      <c r="D3452" s="1234"/>
      <c r="E3452" s="84" t="str">
        <f>'Terms and Turnovers'!$AD$12</f>
        <v>ACCESSORIES</v>
      </c>
      <c r="F3452" s="68">
        <f>F2023/1.18-F2738*'Mark Up Validation'!$M$105</f>
        <v>0</v>
      </c>
      <c r="G3452" s="106"/>
      <c r="H3452" s="68">
        <f>H2023/1.18-H2738*'Mark Up Validation'!$M$105</f>
        <v>0</v>
      </c>
      <c r="I3452" s="106"/>
      <c r="J3452" s="68">
        <f>J2023/1.18-J2738*'Mark Up Validation'!$M$105</f>
        <v>0</v>
      </c>
      <c r="K3452" s="106"/>
      <c r="L3452" s="68">
        <f>L2023/1.18-L2738*'Mark Up Validation'!$M$105</f>
        <v>0</v>
      </c>
      <c r="M3452" s="106"/>
      <c r="N3452" s="68">
        <f>N2023/1.18-N2738*'Mark Up Validation'!$M$105</f>
        <v>0</v>
      </c>
      <c r="O3452" s="106"/>
      <c r="P3452" s="68">
        <f>P2023/1.18-P2738*'Mark Up Validation'!$M$105</f>
        <v>0</v>
      </c>
      <c r="Q3452" s="728"/>
      <c r="R3452" s="132">
        <f>SUM(F3452,H3452,J3452,L3452,N3452,P3452)</f>
        <v>0</v>
      </c>
      <c r="S3452" s="728"/>
      <c r="T3452" s="68">
        <f>T2023/1.18-T2738*'Mark Up Validation'!$S$105</f>
        <v>0</v>
      </c>
      <c r="U3452" s="728"/>
      <c r="V3452" s="68">
        <f>V2023/1.18-V2738*'Mark Up Validation'!$S$105</f>
        <v>0</v>
      </c>
      <c r="W3452" s="728"/>
      <c r="X3452" s="68">
        <f>X2023/1.18-X2738*'Mark Up Validation'!$S$105</f>
        <v>0</v>
      </c>
      <c r="Y3452" s="728"/>
      <c r="Z3452" s="68">
        <f>Z2023/1.18-Z2738*'Mark Up Validation'!$S$105</f>
        <v>0</v>
      </c>
      <c r="AA3452" s="728"/>
      <c r="AB3452" s="68">
        <f>AB2023/1.18-AB2738*'Mark Up Validation'!$S$105</f>
        <v>0</v>
      </c>
      <c r="AC3452" s="728"/>
      <c r="AD3452" s="68">
        <f>AD2023/1.18-AD2738*'Mark Up Validation'!$S$105</f>
        <v>0</v>
      </c>
      <c r="AE3452" s="728"/>
      <c r="AF3452" s="132">
        <f>SUM(T3452,V3452,X3452,Z3452,AB3452,AD3452)</f>
        <v>0</v>
      </c>
      <c r="AG3452" s="728"/>
      <c r="AH3452" s="133">
        <f>SUM(AF3452,R3452)</f>
        <v>0</v>
      </c>
      <c r="AI3452" s="728"/>
      <c r="AJ3452" s="65"/>
      <c r="AV3452" s="56"/>
    </row>
    <row r="3453" spans="1:48" ht="12.75" hidden="1" customHeight="1" outlineLevel="2" thickBot="1">
      <c r="B3453" s="82"/>
      <c r="C3453" s="1234"/>
      <c r="D3453" s="1234"/>
      <c r="E3453" s="84">
        <f>'Terms and Turnovers'!$AN$12</f>
        <v>0</v>
      </c>
      <c r="F3453" s="68">
        <f>F2025/1.18-F2739*'Mark Up Validation'!$M$105</f>
        <v>0</v>
      </c>
      <c r="G3453" s="728"/>
      <c r="H3453" s="68">
        <f>H2025/1.18-H2739*'Mark Up Validation'!$M$105</f>
        <v>0</v>
      </c>
      <c r="I3453" s="728"/>
      <c r="J3453" s="68">
        <f>J2025/1.18-J2739*'Mark Up Validation'!$M$105</f>
        <v>0</v>
      </c>
      <c r="K3453" s="728"/>
      <c r="L3453" s="68">
        <f>L2025/1.18-L2739*'Mark Up Validation'!$M$105</f>
        <v>0</v>
      </c>
      <c r="M3453" s="728"/>
      <c r="N3453" s="68">
        <f>N2025/1.18-N2739*'Mark Up Validation'!$M$105</f>
        <v>0</v>
      </c>
      <c r="O3453" s="728"/>
      <c r="P3453" s="68">
        <f>P2025/1.18-P2739*'Mark Up Validation'!$M$105</f>
        <v>0</v>
      </c>
      <c r="Q3453" s="728"/>
      <c r="R3453" s="132">
        <f>SUM(F3453,H3453,J3453,L3453,N3453,P3453)</f>
        <v>0</v>
      </c>
      <c r="S3453" s="728"/>
      <c r="T3453" s="68">
        <f>T2025/1.18-T2739*'Mark Up Validation'!$S$105</f>
        <v>0</v>
      </c>
      <c r="U3453" s="728"/>
      <c r="V3453" s="68">
        <f>V2025/1.18-V2739*'Mark Up Validation'!$S$105</f>
        <v>0</v>
      </c>
      <c r="W3453" s="728"/>
      <c r="X3453" s="68">
        <f>X2025/1.18-X2739*'Mark Up Validation'!$S$105</f>
        <v>0</v>
      </c>
      <c r="Y3453" s="728"/>
      <c r="Z3453" s="68">
        <f>Z2025/1.18-Z2739*'Mark Up Validation'!$S$105</f>
        <v>0</v>
      </c>
      <c r="AA3453" s="728"/>
      <c r="AB3453" s="68">
        <f>AB2025/1.18-AB2739*'Mark Up Validation'!$S$105</f>
        <v>0</v>
      </c>
      <c r="AC3453" s="728"/>
      <c r="AD3453" s="68">
        <f>AD2025/1.18-AD2739*'Mark Up Validation'!$S$105</f>
        <v>0</v>
      </c>
      <c r="AE3453" s="728"/>
      <c r="AF3453" s="132">
        <f>SUM(T3453,V3453,X3453,Z3453,AB3453,AD3453)</f>
        <v>0</v>
      </c>
      <c r="AG3453" s="728"/>
      <c r="AH3453" s="133">
        <f>SUM(AF3453,R3453)</f>
        <v>0</v>
      </c>
      <c r="AI3453" s="728"/>
      <c r="AJ3453" s="65"/>
      <c r="AV3453" s="56"/>
    </row>
    <row r="3454" spans="1:48" ht="13.5" hidden="1" customHeight="1" outlineLevel="2" thickBot="1">
      <c r="B3454" s="82"/>
      <c r="C3454" s="1235"/>
      <c r="D3454" s="1235"/>
      <c r="E3454" s="85">
        <f>'Terms and Turnovers'!$AX$12</f>
        <v>0</v>
      </c>
      <c r="F3454" s="68">
        <f>F2025/1.18-F2740*'Mark Up Validation'!$M$105</f>
        <v>0</v>
      </c>
      <c r="G3454" s="106"/>
      <c r="H3454" s="68">
        <f>H2025/1.18-H2740*'Mark Up Validation'!$M$105</f>
        <v>0</v>
      </c>
      <c r="I3454" s="106"/>
      <c r="J3454" s="68">
        <f>J2025/1.18-J2740*'Mark Up Validation'!$M$105</f>
        <v>0</v>
      </c>
      <c r="K3454" s="106"/>
      <c r="L3454" s="68">
        <f>L2025/1.18-L2740*'Mark Up Validation'!$M$105</f>
        <v>0</v>
      </c>
      <c r="M3454" s="106"/>
      <c r="N3454" s="68">
        <f>N2025/1.18-N2740*'Mark Up Validation'!$M$105</f>
        <v>0</v>
      </c>
      <c r="O3454" s="106"/>
      <c r="P3454" s="68">
        <f>P2025/1.18-P2740*'Mark Up Validation'!$M$105</f>
        <v>0</v>
      </c>
      <c r="Q3454" s="107"/>
      <c r="R3454" s="135">
        <f>SUM(F3454,H3454,J3454,L3454,N3454,P3454)</f>
        <v>0</v>
      </c>
      <c r="S3454" s="107"/>
      <c r="T3454" s="68">
        <f>T2025/1.18-T2740*'Mark Up Validation'!$S$105</f>
        <v>0</v>
      </c>
      <c r="U3454" s="107"/>
      <c r="V3454" s="68">
        <f>V2025/1.18-V2740*'Mark Up Validation'!$S$105</f>
        <v>0</v>
      </c>
      <c r="W3454" s="107"/>
      <c r="X3454" s="68">
        <f>X2025/1.18-X2740*'Mark Up Validation'!$S$105</f>
        <v>0</v>
      </c>
      <c r="Y3454" s="107"/>
      <c r="Z3454" s="68">
        <f>Z2025/1.18-Z2740*'Mark Up Validation'!$S$105</f>
        <v>0</v>
      </c>
      <c r="AA3454" s="107"/>
      <c r="AB3454" s="68">
        <f>AB2025/1.18-AB2740*'Mark Up Validation'!$S$105</f>
        <v>0</v>
      </c>
      <c r="AC3454" s="107"/>
      <c r="AD3454" s="68">
        <f>AD2025/1.18-AD2740*'Mark Up Validation'!$S$105</f>
        <v>0</v>
      </c>
      <c r="AE3454" s="107"/>
      <c r="AF3454" s="135">
        <f>SUM(T3454,V3454,X3454,Z3454,AB3454,AD3454)</f>
        <v>0</v>
      </c>
      <c r="AG3454" s="107"/>
      <c r="AH3454" s="136">
        <f>SUM(AF3454,R3454)</f>
        <v>0</v>
      </c>
      <c r="AI3454" s="107"/>
      <c r="AJ3454" s="65"/>
      <c r="AV3454" s="56"/>
    </row>
    <row r="3455" spans="1:48" ht="13.5" hidden="1" customHeight="1" outlineLevel="2">
      <c r="B3455" s="82"/>
      <c r="C3455" s="425"/>
      <c r="D3455" s="425"/>
      <c r="E3455" s="634"/>
      <c r="F3455" s="635"/>
      <c r="G3455" s="428"/>
      <c r="H3455" s="635"/>
      <c r="I3455" s="428"/>
      <c r="J3455" s="635"/>
      <c r="K3455" s="636"/>
      <c r="L3455" s="635"/>
      <c r="M3455" s="636"/>
      <c r="N3455" s="635"/>
      <c r="O3455" s="636"/>
      <c r="P3455" s="635"/>
      <c r="Q3455" s="636"/>
      <c r="R3455" s="637"/>
      <c r="S3455" s="698">
        <f>SUM(R2735:R2739)/1.18-(SUM(R3450:R3454)*'Mark Up Validation'!$M$105)</f>
        <v>0</v>
      </c>
      <c r="T3455" s="635"/>
      <c r="U3455" s="636"/>
      <c r="V3455" s="635"/>
      <c r="W3455" s="636"/>
      <c r="X3455" s="635"/>
      <c r="Y3455" s="636"/>
      <c r="Z3455" s="635"/>
      <c r="AA3455" s="636"/>
      <c r="AB3455" s="635"/>
      <c r="AC3455" s="636"/>
      <c r="AD3455" s="635"/>
      <c r="AE3455" s="636"/>
      <c r="AF3455" s="637"/>
      <c r="AG3455" s="698">
        <f>SUM(AF2735:AF2739)/1.18-SUM(AF3450:AF3454)*'Mark Up Validation'!$M$175</f>
        <v>0</v>
      </c>
      <c r="AH3455" s="638"/>
      <c r="AI3455" s="698">
        <f>SUM(AH2735:AH2739)/1.18-SUM(AH3450:AH3454)*'Mark Up Validation'!$M$175</f>
        <v>0</v>
      </c>
      <c r="AJ3455" s="65"/>
      <c r="AV3455" s="56"/>
    </row>
    <row r="3456" spans="1:48" ht="13.5" hidden="1" customHeight="1" outlineLevel="2" thickBot="1">
      <c r="A3456" s="119"/>
      <c r="B3456" s="82"/>
      <c r="C3456" s="1228" t="s">
        <v>539</v>
      </c>
      <c r="D3456" s="1229"/>
      <c r="E3456" s="699"/>
      <c r="F3456" s="700">
        <f>SUM(F3450:F3454)</f>
        <v>0</v>
      </c>
      <c r="G3456" s="701"/>
      <c r="H3456" s="700">
        <f>SUM(H3450:H3454)</f>
        <v>0</v>
      </c>
      <c r="I3456" s="701"/>
      <c r="J3456" s="700">
        <f>SUM(J3450:J3454)</f>
        <v>0</v>
      </c>
      <c r="K3456" s="702"/>
      <c r="L3456" s="700">
        <f>SUM(L3450:L3454)</f>
        <v>0</v>
      </c>
      <c r="M3456" s="702"/>
      <c r="N3456" s="700">
        <f>SUM(N3450:N3454)</f>
        <v>0</v>
      </c>
      <c r="O3456" s="702"/>
      <c r="P3456" s="700">
        <f>SUM(P3450:P3454)</f>
        <v>0</v>
      </c>
      <c r="Q3456" s="702"/>
      <c r="R3456" s="703"/>
      <c r="S3456" s="729">
        <f>IF(S3455&gt;0,S3455/(SUM(R2735:R2739)/1.18),0)</f>
        <v>0</v>
      </c>
      <c r="T3456" s="700">
        <f>SUM(T3450:T3454)</f>
        <v>0</v>
      </c>
      <c r="U3456" s="702"/>
      <c r="V3456" s="700">
        <f>SUM(V3450:V3454)</f>
        <v>0</v>
      </c>
      <c r="W3456" s="702"/>
      <c r="X3456" s="700">
        <f>SUM(X3450:X3454)</f>
        <v>0</v>
      </c>
      <c r="Y3456" s="702"/>
      <c r="Z3456" s="700">
        <f>SUM(Z3450:Z3454)</f>
        <v>0</v>
      </c>
      <c r="AA3456" s="702"/>
      <c r="AB3456" s="700">
        <f>SUM(AB3450:AB3454)</f>
        <v>0</v>
      </c>
      <c r="AC3456" s="702"/>
      <c r="AD3456" s="700">
        <f>SUM(AD3450:AD3454)</f>
        <v>0</v>
      </c>
      <c r="AE3456" s="702"/>
      <c r="AF3456" s="705"/>
      <c r="AG3456" s="729">
        <f>IF(AG3455&gt;0,AG3455/(SUM(AF2735:AF2739)/1.18),0)</f>
        <v>0</v>
      </c>
      <c r="AH3456" s="706"/>
      <c r="AI3456" s="729">
        <f>IF(AI3455&gt;0,AI3455/(SUM(AH2735:AH2739)/1.18),0)</f>
        <v>0</v>
      </c>
      <c r="AJ3456" s="707"/>
      <c r="AV3456" s="56"/>
    </row>
    <row r="3457" spans="1:48" ht="12.75" hidden="1" customHeight="1" outlineLevel="2" thickBot="1">
      <c r="B3457" s="82">
        <f>B3450+1</f>
        <v>83</v>
      </c>
      <c r="C3457" s="1233">
        <f>C587</f>
        <v>0</v>
      </c>
      <c r="D3457" s="1233">
        <f>D587</f>
        <v>0</v>
      </c>
      <c r="E3457" s="83" t="str">
        <f>'Terms and Turnovers'!$J$12</f>
        <v>FLIP-FLOPS</v>
      </c>
      <c r="F3457" s="68">
        <f>F2028/1.18-F2743*'Mark Up Validation'!$M$105</f>
        <v>0</v>
      </c>
      <c r="G3457" s="106"/>
      <c r="H3457" s="68">
        <f>H2028/1.18-H2743*'Mark Up Validation'!$M$105</f>
        <v>0</v>
      </c>
      <c r="I3457" s="106"/>
      <c r="J3457" s="68">
        <f>J2028/1.18-J2743*'Mark Up Validation'!$M$105</f>
        <v>0</v>
      </c>
      <c r="K3457" s="106"/>
      <c r="L3457" s="68">
        <f>L2028/1.18-L2743*'Mark Up Validation'!$M$105</f>
        <v>0</v>
      </c>
      <c r="M3457" s="106"/>
      <c r="N3457" s="68">
        <f>N2028/1.18-N2743*'Mark Up Validation'!$M$105</f>
        <v>0</v>
      </c>
      <c r="O3457" s="106"/>
      <c r="P3457" s="68">
        <f>P2028/1.18-P2743*'Mark Up Validation'!$M$105</f>
        <v>0</v>
      </c>
      <c r="Q3457" s="106"/>
      <c r="R3457" s="129">
        <f>SUM(F3457,H3457,J3457,L3457,N3457,P3457)</f>
        <v>0</v>
      </c>
      <c r="S3457" s="106"/>
      <c r="T3457" s="68">
        <f>T2028/1.18-T2743*'Mark Up Validation'!$S$105</f>
        <v>0</v>
      </c>
      <c r="U3457" s="106"/>
      <c r="V3457" s="68">
        <f>V2028/1.18-V2743*'Mark Up Validation'!$S$105</f>
        <v>0</v>
      </c>
      <c r="W3457" s="106"/>
      <c r="X3457" s="68">
        <f>X2028/1.18-X2743*'Mark Up Validation'!$S$105</f>
        <v>0</v>
      </c>
      <c r="Y3457" s="106"/>
      <c r="Z3457" s="68">
        <f>Z2028/1.18-Z2743*'Mark Up Validation'!$S$105</f>
        <v>0</v>
      </c>
      <c r="AA3457" s="106"/>
      <c r="AB3457" s="68">
        <f>AB2028/1.18-AB2743*'Mark Up Validation'!$S$105</f>
        <v>0</v>
      </c>
      <c r="AC3457" s="106"/>
      <c r="AD3457" s="68">
        <f>AD2028/1.18-AD2743*'Mark Up Validation'!$S$105</f>
        <v>0</v>
      </c>
      <c r="AE3457" s="106"/>
      <c r="AF3457" s="129">
        <f>SUM(T3457,V3457,X3457,Z3457,AB3457,AD3457)</f>
        <v>0</v>
      </c>
      <c r="AG3457" s="106"/>
      <c r="AH3457" s="130">
        <f>SUM(AF3457,R3457)</f>
        <v>0</v>
      </c>
      <c r="AI3457" s="106"/>
      <c r="AJ3457" s="65"/>
      <c r="AV3457" s="56"/>
    </row>
    <row r="3458" spans="1:48" ht="12.75" hidden="1" customHeight="1" outlineLevel="2" thickBot="1">
      <c r="B3458" s="82"/>
      <c r="C3458" s="1234"/>
      <c r="D3458" s="1234"/>
      <c r="E3458" s="84" t="str">
        <f>'Terms and Turnovers'!$T$12</f>
        <v>ORIGINALS</v>
      </c>
      <c r="F3458" s="68">
        <f>F2029/1.18-F2744*'Mark Up Validation'!$M$105</f>
        <v>0</v>
      </c>
      <c r="G3458" s="728"/>
      <c r="H3458" s="68">
        <f>H2029/1.18-H2744*'Mark Up Validation'!$M$105</f>
        <v>0</v>
      </c>
      <c r="I3458" s="728"/>
      <c r="J3458" s="68">
        <f>J2029/1.18-J2744*'Mark Up Validation'!$M$105</f>
        <v>0</v>
      </c>
      <c r="K3458" s="728"/>
      <c r="L3458" s="68">
        <f>L2029/1.18-L2744*'Mark Up Validation'!$M$105</f>
        <v>0</v>
      </c>
      <c r="M3458" s="728"/>
      <c r="N3458" s="68">
        <f>N2029/1.18-N2744*'Mark Up Validation'!$M$105</f>
        <v>0</v>
      </c>
      <c r="O3458" s="728"/>
      <c r="P3458" s="68">
        <f>P2029/1.18-P2744*'Mark Up Validation'!$M$105</f>
        <v>0</v>
      </c>
      <c r="Q3458" s="728"/>
      <c r="R3458" s="132">
        <f>SUM(F3458,H3458,J3458,L3458,N3458,P3458)</f>
        <v>0</v>
      </c>
      <c r="S3458" s="728"/>
      <c r="T3458" s="68">
        <f>T2029/1.18-T2744*'Mark Up Validation'!$S$105</f>
        <v>0</v>
      </c>
      <c r="U3458" s="728"/>
      <c r="V3458" s="68">
        <f>V2029/1.18-V2744*'Mark Up Validation'!$S$105</f>
        <v>0</v>
      </c>
      <c r="W3458" s="728"/>
      <c r="X3458" s="68">
        <f>X2029/1.18-X2744*'Mark Up Validation'!$S$105</f>
        <v>0</v>
      </c>
      <c r="Y3458" s="728"/>
      <c r="Z3458" s="68">
        <f>Z2029/1.18-Z2744*'Mark Up Validation'!$S$105</f>
        <v>0</v>
      </c>
      <c r="AA3458" s="728"/>
      <c r="AB3458" s="68">
        <f>AB2029/1.18-AB2744*'Mark Up Validation'!$S$105</f>
        <v>0</v>
      </c>
      <c r="AC3458" s="728"/>
      <c r="AD3458" s="68">
        <f>AD2029/1.18-AD2744*'Mark Up Validation'!$S$105</f>
        <v>0</v>
      </c>
      <c r="AE3458" s="728"/>
      <c r="AF3458" s="132">
        <f>SUM(T3458,V3458,X3458,Z3458,AB3458,AD3458)</f>
        <v>0</v>
      </c>
      <c r="AG3458" s="728"/>
      <c r="AH3458" s="133">
        <f>SUM(AF3458,R3458)</f>
        <v>0</v>
      </c>
      <c r="AI3458" s="728"/>
      <c r="AJ3458" s="65"/>
      <c r="AV3458" s="56"/>
    </row>
    <row r="3459" spans="1:48" ht="12.75" hidden="1" customHeight="1" outlineLevel="2" thickBot="1">
      <c r="B3459" s="82"/>
      <c r="C3459" s="1234"/>
      <c r="D3459" s="1234"/>
      <c r="E3459" s="84" t="str">
        <f>'Terms and Turnovers'!$AD$12</f>
        <v>ACCESSORIES</v>
      </c>
      <c r="F3459" s="68">
        <f>F2030/1.18-F2745*'Mark Up Validation'!$M$105</f>
        <v>0</v>
      </c>
      <c r="G3459" s="106"/>
      <c r="H3459" s="68">
        <f>H2030/1.18-H2745*'Mark Up Validation'!$M$105</f>
        <v>0</v>
      </c>
      <c r="I3459" s="106"/>
      <c r="J3459" s="68">
        <f>J2030/1.18-J2745*'Mark Up Validation'!$M$105</f>
        <v>0</v>
      </c>
      <c r="K3459" s="106"/>
      <c r="L3459" s="68">
        <f>L2030/1.18-L2745*'Mark Up Validation'!$M$105</f>
        <v>0</v>
      </c>
      <c r="M3459" s="106"/>
      <c r="N3459" s="68">
        <f>N2030/1.18-N2745*'Mark Up Validation'!$M$105</f>
        <v>0</v>
      </c>
      <c r="O3459" s="106"/>
      <c r="P3459" s="68">
        <f>P2030/1.18-P2745*'Mark Up Validation'!$M$105</f>
        <v>0</v>
      </c>
      <c r="Q3459" s="728"/>
      <c r="R3459" s="132">
        <f>SUM(F3459,H3459,J3459,L3459,N3459,P3459)</f>
        <v>0</v>
      </c>
      <c r="S3459" s="728"/>
      <c r="T3459" s="68">
        <f>T2030/1.18-T2745*'Mark Up Validation'!$S$105</f>
        <v>0</v>
      </c>
      <c r="U3459" s="728"/>
      <c r="V3459" s="68">
        <f>V2030/1.18-V2745*'Mark Up Validation'!$S$105</f>
        <v>0</v>
      </c>
      <c r="W3459" s="728"/>
      <c r="X3459" s="68">
        <f>X2030/1.18-X2745*'Mark Up Validation'!$S$105</f>
        <v>0</v>
      </c>
      <c r="Y3459" s="728"/>
      <c r="Z3459" s="68">
        <f>Z2030/1.18-Z2745*'Mark Up Validation'!$S$105</f>
        <v>0</v>
      </c>
      <c r="AA3459" s="728"/>
      <c r="AB3459" s="68">
        <f>AB2030/1.18-AB2745*'Mark Up Validation'!$S$105</f>
        <v>0</v>
      </c>
      <c r="AC3459" s="728"/>
      <c r="AD3459" s="68">
        <f>AD2030/1.18-AD2745*'Mark Up Validation'!$S$105</f>
        <v>0</v>
      </c>
      <c r="AE3459" s="728"/>
      <c r="AF3459" s="132">
        <f>SUM(T3459,V3459,X3459,Z3459,AB3459,AD3459)</f>
        <v>0</v>
      </c>
      <c r="AG3459" s="728"/>
      <c r="AH3459" s="133">
        <f>SUM(AF3459,R3459)</f>
        <v>0</v>
      </c>
      <c r="AI3459" s="728"/>
      <c r="AJ3459" s="65"/>
      <c r="AV3459" s="56"/>
    </row>
    <row r="3460" spans="1:48" ht="12.75" hidden="1" customHeight="1" outlineLevel="2" thickBot="1">
      <c r="B3460" s="82"/>
      <c r="C3460" s="1234"/>
      <c r="D3460" s="1234"/>
      <c r="E3460" s="84">
        <f>'Terms and Turnovers'!$AN$12</f>
        <v>0</v>
      </c>
      <c r="F3460" s="68">
        <f>F2031/1.18-F2746*'Mark Up Validation'!$M$105</f>
        <v>0</v>
      </c>
      <c r="G3460" s="728"/>
      <c r="H3460" s="68">
        <f>H2031/1.18-H2746*'Mark Up Validation'!$M$105</f>
        <v>0</v>
      </c>
      <c r="I3460" s="728"/>
      <c r="J3460" s="68">
        <f>J2031/1.18-J2746*'Mark Up Validation'!$M$105</f>
        <v>0</v>
      </c>
      <c r="K3460" s="728"/>
      <c r="L3460" s="68">
        <f>L2031/1.18-L2746*'Mark Up Validation'!$M$105</f>
        <v>0</v>
      </c>
      <c r="M3460" s="728"/>
      <c r="N3460" s="68">
        <f>N2031/1.18-N2746*'Mark Up Validation'!$M$105</f>
        <v>0</v>
      </c>
      <c r="O3460" s="728"/>
      <c r="P3460" s="68">
        <f>P2031/1.18-P2746*'Mark Up Validation'!$M$105</f>
        <v>0</v>
      </c>
      <c r="Q3460" s="728"/>
      <c r="R3460" s="132">
        <f>SUM(F3460,H3460,J3460,L3460,N3460,P3460)</f>
        <v>0</v>
      </c>
      <c r="S3460" s="728"/>
      <c r="T3460" s="68">
        <f>T2031/1.18-T2746*'Mark Up Validation'!$S$105</f>
        <v>0</v>
      </c>
      <c r="U3460" s="728"/>
      <c r="V3460" s="68">
        <f>V2031/1.18-V2746*'Mark Up Validation'!$S$105</f>
        <v>0</v>
      </c>
      <c r="W3460" s="728"/>
      <c r="X3460" s="68">
        <f>X2031/1.18-X2746*'Mark Up Validation'!$S$105</f>
        <v>0</v>
      </c>
      <c r="Y3460" s="728"/>
      <c r="Z3460" s="68">
        <f>Z2031/1.18-Z2746*'Mark Up Validation'!$S$105</f>
        <v>0</v>
      </c>
      <c r="AA3460" s="728"/>
      <c r="AB3460" s="68">
        <f>AB2031/1.18-AB2746*'Mark Up Validation'!$S$105</f>
        <v>0</v>
      </c>
      <c r="AC3460" s="728"/>
      <c r="AD3460" s="68">
        <f>AD2031/1.18-AD2746*'Mark Up Validation'!$S$105</f>
        <v>0</v>
      </c>
      <c r="AE3460" s="728"/>
      <c r="AF3460" s="132">
        <f>SUM(T3460,V3460,X3460,Z3460,AB3460,AD3460)</f>
        <v>0</v>
      </c>
      <c r="AG3460" s="728"/>
      <c r="AH3460" s="133">
        <f>SUM(AF3460,R3460)</f>
        <v>0</v>
      </c>
      <c r="AI3460" s="728"/>
      <c r="AJ3460" s="65"/>
      <c r="AV3460" s="56"/>
    </row>
    <row r="3461" spans="1:48" ht="13.5" hidden="1" customHeight="1" outlineLevel="2" thickBot="1">
      <c r="B3461" s="82"/>
      <c r="C3461" s="1235"/>
      <c r="D3461" s="1235"/>
      <c r="E3461" s="85">
        <f>'Terms and Turnovers'!$AX$12</f>
        <v>0</v>
      </c>
      <c r="F3461" s="68">
        <f>F2032/1.18-F2747*'Mark Up Validation'!$M$105</f>
        <v>0</v>
      </c>
      <c r="G3461" s="106"/>
      <c r="H3461" s="68">
        <f>H2032/1.18-H2747*'Mark Up Validation'!$M$105</f>
        <v>0</v>
      </c>
      <c r="I3461" s="106"/>
      <c r="J3461" s="68">
        <f>J2032/1.18-J2747*'Mark Up Validation'!$M$105</f>
        <v>0</v>
      </c>
      <c r="K3461" s="106"/>
      <c r="L3461" s="68">
        <f>L2032/1.18-L2747*'Mark Up Validation'!$M$105</f>
        <v>0</v>
      </c>
      <c r="M3461" s="106"/>
      <c r="N3461" s="68">
        <f>N2032/1.18-N2747*'Mark Up Validation'!$M$105</f>
        <v>0</v>
      </c>
      <c r="O3461" s="106"/>
      <c r="P3461" s="68">
        <f>P2032/1.18-P2747*'Mark Up Validation'!$M$105</f>
        <v>0</v>
      </c>
      <c r="Q3461" s="107"/>
      <c r="R3461" s="135">
        <f>SUM(F3461,H3461,J3461,L3461,N3461,P3461)</f>
        <v>0</v>
      </c>
      <c r="S3461" s="107"/>
      <c r="T3461" s="68">
        <f>T2032/1.18-T2747*'Mark Up Validation'!$S$105</f>
        <v>0</v>
      </c>
      <c r="U3461" s="107"/>
      <c r="V3461" s="68">
        <f>V2032/1.18-V2747*'Mark Up Validation'!$S$105</f>
        <v>0</v>
      </c>
      <c r="W3461" s="107"/>
      <c r="X3461" s="68">
        <f>X2032/1.18-X2747*'Mark Up Validation'!$S$105</f>
        <v>0</v>
      </c>
      <c r="Y3461" s="107"/>
      <c r="Z3461" s="68">
        <f>Z2032/1.18-Z2747*'Mark Up Validation'!$S$105</f>
        <v>0</v>
      </c>
      <c r="AA3461" s="107"/>
      <c r="AB3461" s="68">
        <f>AB2032/1.18-AB2747*'Mark Up Validation'!$S$105</f>
        <v>0</v>
      </c>
      <c r="AC3461" s="107"/>
      <c r="AD3461" s="68">
        <f>AD2032/1.18-AD2747*'Mark Up Validation'!$S$105</f>
        <v>0</v>
      </c>
      <c r="AE3461" s="107"/>
      <c r="AF3461" s="135">
        <f>SUM(T3461,V3461,X3461,Z3461,AB3461,AD3461)</f>
        <v>0</v>
      </c>
      <c r="AG3461" s="107"/>
      <c r="AH3461" s="136">
        <f>SUM(AF3461,R3461)</f>
        <v>0</v>
      </c>
      <c r="AI3461" s="107"/>
      <c r="AJ3461" s="65"/>
      <c r="AV3461" s="56"/>
    </row>
    <row r="3462" spans="1:48" ht="13.5" hidden="1" customHeight="1" outlineLevel="2">
      <c r="B3462" s="82"/>
      <c r="C3462" s="425"/>
      <c r="D3462" s="425"/>
      <c r="E3462" s="634"/>
      <c r="F3462" s="635"/>
      <c r="G3462" s="428"/>
      <c r="H3462" s="635"/>
      <c r="I3462" s="428"/>
      <c r="J3462" s="635"/>
      <c r="K3462" s="636"/>
      <c r="L3462" s="635"/>
      <c r="M3462" s="636"/>
      <c r="N3462" s="635"/>
      <c r="O3462" s="636"/>
      <c r="P3462" s="635"/>
      <c r="Q3462" s="636"/>
      <c r="R3462" s="637"/>
      <c r="S3462" s="698">
        <f>SUM(R2742:R2746)/1.18-(SUM(R3457:R3461)*'Mark Up Validation'!$M$105)</f>
        <v>0</v>
      </c>
      <c r="T3462" s="635"/>
      <c r="U3462" s="636"/>
      <c r="V3462" s="635"/>
      <c r="W3462" s="636"/>
      <c r="X3462" s="635"/>
      <c r="Y3462" s="636"/>
      <c r="Z3462" s="635"/>
      <c r="AA3462" s="636"/>
      <c r="AB3462" s="635"/>
      <c r="AC3462" s="636"/>
      <c r="AD3462" s="635"/>
      <c r="AE3462" s="636"/>
      <c r="AF3462" s="637"/>
      <c r="AG3462" s="698">
        <f>SUM(AF2742:AF2746)/1.18-SUM(AF3457:AF3461)*'Mark Up Validation'!$M$175</f>
        <v>0</v>
      </c>
      <c r="AH3462" s="638"/>
      <c r="AI3462" s="698">
        <f>SUM(AH2742:AH2746)/1.18-SUM(AH3457:AH3461)*'Mark Up Validation'!$M$175</f>
        <v>0</v>
      </c>
      <c r="AJ3462" s="65"/>
      <c r="AV3462" s="56"/>
    </row>
    <row r="3463" spans="1:48" ht="13.5" hidden="1" customHeight="1" outlineLevel="2" thickBot="1">
      <c r="A3463" s="119"/>
      <c r="B3463" s="82"/>
      <c r="C3463" s="1228" t="s">
        <v>539</v>
      </c>
      <c r="D3463" s="1229"/>
      <c r="E3463" s="699"/>
      <c r="F3463" s="700">
        <f>SUM(F3457:F3461)</f>
        <v>0</v>
      </c>
      <c r="G3463" s="701"/>
      <c r="H3463" s="700">
        <f>SUM(H3457:H3461)</f>
        <v>0</v>
      </c>
      <c r="I3463" s="701"/>
      <c r="J3463" s="700">
        <f>SUM(J3457:J3461)</f>
        <v>0</v>
      </c>
      <c r="K3463" s="702"/>
      <c r="L3463" s="700">
        <f>SUM(L3457:L3461)</f>
        <v>0</v>
      </c>
      <c r="M3463" s="702"/>
      <c r="N3463" s="700">
        <f>SUM(N3457:N3461)</f>
        <v>0</v>
      </c>
      <c r="O3463" s="702"/>
      <c r="P3463" s="700">
        <f>SUM(P3457:P3461)</f>
        <v>0</v>
      </c>
      <c r="Q3463" s="702"/>
      <c r="R3463" s="703"/>
      <c r="S3463" s="729">
        <f>IF(S3462&gt;0,S3462/(SUM(R2742:R2746)/1.18),0)</f>
        <v>0</v>
      </c>
      <c r="T3463" s="700">
        <f>SUM(T3457:T3461)</f>
        <v>0</v>
      </c>
      <c r="U3463" s="702"/>
      <c r="V3463" s="700">
        <f>SUM(V3457:V3461)</f>
        <v>0</v>
      </c>
      <c r="W3463" s="702"/>
      <c r="X3463" s="700">
        <f>SUM(X3457:X3461)</f>
        <v>0</v>
      </c>
      <c r="Y3463" s="702"/>
      <c r="Z3463" s="700">
        <f>SUM(Z3457:Z3461)</f>
        <v>0</v>
      </c>
      <c r="AA3463" s="702"/>
      <c r="AB3463" s="700">
        <f>SUM(AB3457:AB3461)</f>
        <v>0</v>
      </c>
      <c r="AC3463" s="702"/>
      <c r="AD3463" s="700">
        <f>SUM(AD3457:AD3461)</f>
        <v>0</v>
      </c>
      <c r="AE3463" s="702"/>
      <c r="AF3463" s="705"/>
      <c r="AG3463" s="729">
        <f>IF(AG3462&gt;0,AG3462/(SUM(AF2742:AF2746)/1.18),0)</f>
        <v>0</v>
      </c>
      <c r="AH3463" s="706"/>
      <c r="AI3463" s="729">
        <f>IF(AI3462&gt;0,AI3462/(SUM(AH2742:AH2746)/1.18),0)</f>
        <v>0</v>
      </c>
      <c r="AJ3463" s="707"/>
      <c r="AV3463" s="56"/>
    </row>
    <row r="3464" spans="1:48" ht="12.75" hidden="1" customHeight="1" outlineLevel="2" thickBot="1">
      <c r="B3464" s="82">
        <f>B3457+1</f>
        <v>84</v>
      </c>
      <c r="C3464" s="1233">
        <f>C594</f>
        <v>0</v>
      </c>
      <c r="D3464" s="1233">
        <f>D594</f>
        <v>0</v>
      </c>
      <c r="E3464" s="83" t="str">
        <f>'Terms and Turnovers'!$J$12</f>
        <v>FLIP-FLOPS</v>
      </c>
      <c r="F3464" s="68">
        <f>F2035/1.18-F2750*'Mark Up Validation'!$M$105</f>
        <v>0</v>
      </c>
      <c r="G3464" s="106"/>
      <c r="H3464" s="68">
        <f>H2035/1.18-H2750*'Mark Up Validation'!$M$105</f>
        <v>0</v>
      </c>
      <c r="I3464" s="106"/>
      <c r="J3464" s="68">
        <f>J2035/1.18-J2750*'Mark Up Validation'!$M$105</f>
        <v>0</v>
      </c>
      <c r="K3464" s="106"/>
      <c r="L3464" s="68">
        <f>L2035/1.18-L2750*'Mark Up Validation'!$M$105</f>
        <v>0</v>
      </c>
      <c r="M3464" s="106"/>
      <c r="N3464" s="68">
        <f>N2035/1.18-N2750*'Mark Up Validation'!$M$105</f>
        <v>0</v>
      </c>
      <c r="O3464" s="106"/>
      <c r="P3464" s="68">
        <f>P2035/1.18-P2750*'Mark Up Validation'!$M$105</f>
        <v>0</v>
      </c>
      <c r="Q3464" s="106"/>
      <c r="R3464" s="129">
        <f>SUM(F3464,H3464,J3464,L3464,N3464,P3464)</f>
        <v>0</v>
      </c>
      <c r="S3464" s="106"/>
      <c r="T3464" s="68">
        <f>T2035/1.18-T2750*'Mark Up Validation'!$S$105</f>
        <v>0</v>
      </c>
      <c r="U3464" s="106"/>
      <c r="V3464" s="68">
        <f>V2035/1.18-V2750*'Mark Up Validation'!$S$105</f>
        <v>0</v>
      </c>
      <c r="W3464" s="106"/>
      <c r="X3464" s="68">
        <f>X2035/1.18-X2750*'Mark Up Validation'!$S$105</f>
        <v>0</v>
      </c>
      <c r="Y3464" s="106"/>
      <c r="Z3464" s="68">
        <f>Z2035/1.18-Z2750*'Mark Up Validation'!$S$105</f>
        <v>0</v>
      </c>
      <c r="AA3464" s="106"/>
      <c r="AB3464" s="68">
        <f>AB2035/1.18-AB2750*'Mark Up Validation'!$S$105</f>
        <v>0</v>
      </c>
      <c r="AC3464" s="106"/>
      <c r="AD3464" s="68">
        <f>AD2035/1.18-AD2750*'Mark Up Validation'!$S$105</f>
        <v>0</v>
      </c>
      <c r="AE3464" s="106"/>
      <c r="AF3464" s="129">
        <f>SUM(T3464,V3464,X3464,Z3464,AB3464,AD3464)</f>
        <v>0</v>
      </c>
      <c r="AG3464" s="106"/>
      <c r="AH3464" s="130">
        <f>SUM(AF3464,R3464)</f>
        <v>0</v>
      </c>
      <c r="AI3464" s="106"/>
      <c r="AJ3464" s="65"/>
      <c r="AV3464" s="56"/>
    </row>
    <row r="3465" spans="1:48" ht="12.75" hidden="1" customHeight="1" outlineLevel="2" thickBot="1">
      <c r="B3465" s="82"/>
      <c r="C3465" s="1234"/>
      <c r="D3465" s="1234"/>
      <c r="E3465" s="84" t="str">
        <f>'Terms and Turnovers'!$T$12</f>
        <v>ORIGINALS</v>
      </c>
      <c r="F3465" s="68">
        <f>F2036/1.18-F2751*'Mark Up Validation'!$M$105</f>
        <v>0</v>
      </c>
      <c r="G3465" s="728"/>
      <c r="H3465" s="68">
        <f>H2036/1.18-H2751*'Mark Up Validation'!$M$105</f>
        <v>0</v>
      </c>
      <c r="I3465" s="728"/>
      <c r="J3465" s="68">
        <f>J2036/1.18-J2751*'Mark Up Validation'!$M$105</f>
        <v>0</v>
      </c>
      <c r="K3465" s="728"/>
      <c r="L3465" s="68">
        <f>L2036/1.18-L2751*'Mark Up Validation'!$M$105</f>
        <v>0</v>
      </c>
      <c r="M3465" s="728"/>
      <c r="N3465" s="68">
        <f>N2036/1.18-N2751*'Mark Up Validation'!$M$105</f>
        <v>0</v>
      </c>
      <c r="O3465" s="728"/>
      <c r="P3465" s="68">
        <f>P2036/1.18-P2751*'Mark Up Validation'!$M$105</f>
        <v>0</v>
      </c>
      <c r="Q3465" s="728"/>
      <c r="R3465" s="132">
        <f>SUM(F3465,H3465,J3465,L3465,N3465,P3465)</f>
        <v>0</v>
      </c>
      <c r="S3465" s="728"/>
      <c r="T3465" s="68">
        <f>T2036/1.18-T2751*'Mark Up Validation'!$S$105</f>
        <v>0</v>
      </c>
      <c r="U3465" s="728"/>
      <c r="V3465" s="68">
        <f>V2036/1.18-V2751*'Mark Up Validation'!$S$105</f>
        <v>0</v>
      </c>
      <c r="W3465" s="728"/>
      <c r="X3465" s="68">
        <f>X2036/1.18-X2751*'Mark Up Validation'!$S$105</f>
        <v>0</v>
      </c>
      <c r="Y3465" s="728"/>
      <c r="Z3465" s="68">
        <f>Z2036/1.18-Z2751*'Mark Up Validation'!$S$105</f>
        <v>0</v>
      </c>
      <c r="AA3465" s="728"/>
      <c r="AB3465" s="68">
        <f>AB2036/1.18-AB2751*'Mark Up Validation'!$S$105</f>
        <v>0</v>
      </c>
      <c r="AC3465" s="728"/>
      <c r="AD3465" s="68">
        <f>AD2036/1.18-AD2751*'Mark Up Validation'!$S$105</f>
        <v>0</v>
      </c>
      <c r="AE3465" s="728"/>
      <c r="AF3465" s="132">
        <f>SUM(T3465,V3465,X3465,Z3465,AB3465,AD3465)</f>
        <v>0</v>
      </c>
      <c r="AG3465" s="728"/>
      <c r="AH3465" s="133">
        <f>SUM(AF3465,R3465)</f>
        <v>0</v>
      </c>
      <c r="AI3465" s="728"/>
      <c r="AJ3465" s="65"/>
      <c r="AV3465" s="56"/>
    </row>
    <row r="3466" spans="1:48" ht="12.75" hidden="1" customHeight="1" outlineLevel="2" thickBot="1">
      <c r="B3466" s="82"/>
      <c r="C3466" s="1234"/>
      <c r="D3466" s="1234"/>
      <c r="E3466" s="84" t="str">
        <f>'Terms and Turnovers'!$AD$12</f>
        <v>ACCESSORIES</v>
      </c>
      <c r="F3466" s="68">
        <f>F2037/1.18-F2752*'Mark Up Validation'!$M$105</f>
        <v>0</v>
      </c>
      <c r="G3466" s="106"/>
      <c r="H3466" s="68">
        <f>H2037/1.18-H2752*'Mark Up Validation'!$M$105</f>
        <v>0</v>
      </c>
      <c r="I3466" s="106"/>
      <c r="J3466" s="68">
        <f>J2037/1.18-J2752*'Mark Up Validation'!$M$105</f>
        <v>0</v>
      </c>
      <c r="K3466" s="106"/>
      <c r="L3466" s="68">
        <f>L2037/1.18-L2752*'Mark Up Validation'!$M$105</f>
        <v>0</v>
      </c>
      <c r="M3466" s="106"/>
      <c r="N3466" s="68">
        <f>N2037/1.18-N2752*'Mark Up Validation'!$M$105</f>
        <v>0</v>
      </c>
      <c r="O3466" s="106"/>
      <c r="P3466" s="68">
        <f>P2037/1.18-P2752*'Mark Up Validation'!$M$105</f>
        <v>0</v>
      </c>
      <c r="Q3466" s="728"/>
      <c r="R3466" s="132">
        <f>SUM(F3466,H3466,J3466,L3466,N3466,P3466)</f>
        <v>0</v>
      </c>
      <c r="S3466" s="728"/>
      <c r="T3466" s="68">
        <f>T2037/1.18-T2752*'Mark Up Validation'!$S$105</f>
        <v>0</v>
      </c>
      <c r="U3466" s="728"/>
      <c r="V3466" s="68">
        <f>V2037/1.18-V2752*'Mark Up Validation'!$S$105</f>
        <v>0</v>
      </c>
      <c r="W3466" s="728"/>
      <c r="X3466" s="68">
        <f>X2037/1.18-X2752*'Mark Up Validation'!$S$105</f>
        <v>0</v>
      </c>
      <c r="Y3466" s="728"/>
      <c r="Z3466" s="68">
        <f>Z2037/1.18-Z2752*'Mark Up Validation'!$S$105</f>
        <v>0</v>
      </c>
      <c r="AA3466" s="728"/>
      <c r="AB3466" s="68">
        <f>AB2037/1.18-AB2752*'Mark Up Validation'!$S$105</f>
        <v>0</v>
      </c>
      <c r="AC3466" s="728"/>
      <c r="AD3466" s="68">
        <f>AD2037/1.18-AD2752*'Mark Up Validation'!$S$105</f>
        <v>0</v>
      </c>
      <c r="AE3466" s="728"/>
      <c r="AF3466" s="132">
        <f>SUM(T3466,V3466,X3466,Z3466,AB3466,AD3466)</f>
        <v>0</v>
      </c>
      <c r="AG3466" s="728"/>
      <c r="AH3466" s="133">
        <f>SUM(AF3466,R3466)</f>
        <v>0</v>
      </c>
      <c r="AI3466" s="728"/>
      <c r="AJ3466" s="65"/>
      <c r="AV3466" s="56"/>
    </row>
    <row r="3467" spans="1:48" ht="12.75" hidden="1" customHeight="1" outlineLevel="2" thickBot="1">
      <c r="B3467" s="82"/>
      <c r="C3467" s="1234"/>
      <c r="D3467" s="1234"/>
      <c r="E3467" s="84">
        <f>'Terms and Turnovers'!$AN$12</f>
        <v>0</v>
      </c>
      <c r="F3467" s="68">
        <f>F2038/1.18-F2753*'Mark Up Validation'!$M$105</f>
        <v>0</v>
      </c>
      <c r="G3467" s="728"/>
      <c r="H3467" s="68">
        <f>H2038/1.18-H2753*'Mark Up Validation'!$M$105</f>
        <v>0</v>
      </c>
      <c r="I3467" s="728"/>
      <c r="J3467" s="68">
        <f>J2038/1.18-J2753*'Mark Up Validation'!$M$105</f>
        <v>0</v>
      </c>
      <c r="K3467" s="728"/>
      <c r="L3467" s="68">
        <f>L2038/1.18-L2753*'Mark Up Validation'!$M$105</f>
        <v>0</v>
      </c>
      <c r="M3467" s="728"/>
      <c r="N3467" s="68">
        <f>N2038/1.18-N2753*'Mark Up Validation'!$M$105</f>
        <v>0</v>
      </c>
      <c r="O3467" s="728"/>
      <c r="P3467" s="68">
        <f>P2038/1.18-P2753*'Mark Up Validation'!$M$105</f>
        <v>0</v>
      </c>
      <c r="Q3467" s="728"/>
      <c r="R3467" s="132">
        <f>SUM(F3467,H3467,J3467,L3467,N3467,P3467)</f>
        <v>0</v>
      </c>
      <c r="S3467" s="728"/>
      <c r="T3467" s="68">
        <f>T2038/1.18-T2753*'Mark Up Validation'!$S$105</f>
        <v>0</v>
      </c>
      <c r="U3467" s="728"/>
      <c r="V3467" s="68">
        <f>V2038/1.18-V2753*'Mark Up Validation'!$S$105</f>
        <v>0</v>
      </c>
      <c r="W3467" s="728"/>
      <c r="X3467" s="68">
        <f>X2038/1.18-X2753*'Mark Up Validation'!$S$105</f>
        <v>0</v>
      </c>
      <c r="Y3467" s="728"/>
      <c r="Z3467" s="68">
        <f>Z2038/1.18-Z2753*'Mark Up Validation'!$S$105</f>
        <v>0</v>
      </c>
      <c r="AA3467" s="728"/>
      <c r="AB3467" s="68">
        <f>AB2038/1.18-AB2753*'Mark Up Validation'!$S$105</f>
        <v>0</v>
      </c>
      <c r="AC3467" s="728"/>
      <c r="AD3467" s="68">
        <f>AD2038/1.18-AD2753*'Mark Up Validation'!$S$105</f>
        <v>0</v>
      </c>
      <c r="AE3467" s="728"/>
      <c r="AF3467" s="132">
        <f>SUM(T3467,V3467,X3467,Z3467,AB3467,AD3467)</f>
        <v>0</v>
      </c>
      <c r="AG3467" s="728"/>
      <c r="AH3467" s="133">
        <f>SUM(AF3467,R3467)</f>
        <v>0</v>
      </c>
      <c r="AI3467" s="728"/>
      <c r="AJ3467" s="65"/>
      <c r="AV3467" s="56"/>
    </row>
    <row r="3468" spans="1:48" ht="13.5" hidden="1" customHeight="1" outlineLevel="2" thickBot="1">
      <c r="B3468" s="82"/>
      <c r="C3468" s="1235"/>
      <c r="D3468" s="1235"/>
      <c r="E3468" s="85">
        <f>'Terms and Turnovers'!$AX$12</f>
        <v>0</v>
      </c>
      <c r="F3468" s="68">
        <f>F2039/1.18-F2754*'Mark Up Validation'!$M$105</f>
        <v>0</v>
      </c>
      <c r="G3468" s="106"/>
      <c r="H3468" s="68">
        <f>H2039/1.18-H2754*'Mark Up Validation'!$M$105</f>
        <v>0</v>
      </c>
      <c r="I3468" s="106"/>
      <c r="J3468" s="68">
        <f>J2039/1.18-J2754*'Mark Up Validation'!$M$105</f>
        <v>0</v>
      </c>
      <c r="K3468" s="106"/>
      <c r="L3468" s="68">
        <f>L2039/1.18-L2754*'Mark Up Validation'!$M$105</f>
        <v>0</v>
      </c>
      <c r="M3468" s="106"/>
      <c r="N3468" s="68">
        <f>N2039/1.18-N2754*'Mark Up Validation'!$M$105</f>
        <v>0</v>
      </c>
      <c r="O3468" s="106"/>
      <c r="P3468" s="68">
        <f>P2039/1.18-P2754*'Mark Up Validation'!$M$105</f>
        <v>0</v>
      </c>
      <c r="Q3468" s="107"/>
      <c r="R3468" s="135">
        <f>SUM(F3468,H3468,J3468,L3468,N3468,P3468)</f>
        <v>0</v>
      </c>
      <c r="S3468" s="107"/>
      <c r="T3468" s="68">
        <f>T2039/1.18-T2754*'Mark Up Validation'!$S$105</f>
        <v>0</v>
      </c>
      <c r="U3468" s="107"/>
      <c r="V3468" s="68">
        <f>V2039/1.18-V2754*'Mark Up Validation'!$S$105</f>
        <v>0</v>
      </c>
      <c r="W3468" s="107"/>
      <c r="X3468" s="68">
        <f>X2039/1.18-X2754*'Mark Up Validation'!$S$105</f>
        <v>0</v>
      </c>
      <c r="Y3468" s="107"/>
      <c r="Z3468" s="68">
        <f>Z2039/1.18-Z2754*'Mark Up Validation'!$S$105</f>
        <v>0</v>
      </c>
      <c r="AA3468" s="107"/>
      <c r="AB3468" s="68">
        <f>AB2039/1.18-AB2754*'Mark Up Validation'!$S$105</f>
        <v>0</v>
      </c>
      <c r="AC3468" s="107"/>
      <c r="AD3468" s="68">
        <f>AD2039/1.18-AD2754*'Mark Up Validation'!$S$105</f>
        <v>0</v>
      </c>
      <c r="AE3468" s="107"/>
      <c r="AF3468" s="135">
        <f>SUM(T3468,V3468,X3468,Z3468,AB3468,AD3468)</f>
        <v>0</v>
      </c>
      <c r="AG3468" s="107"/>
      <c r="AH3468" s="136">
        <f>SUM(AF3468,R3468)</f>
        <v>0</v>
      </c>
      <c r="AI3468" s="107"/>
      <c r="AJ3468" s="65"/>
      <c r="AV3468" s="56"/>
    </row>
    <row r="3469" spans="1:48" ht="13.5" hidden="1" customHeight="1" outlineLevel="2">
      <c r="B3469" s="82"/>
      <c r="C3469" s="425"/>
      <c r="D3469" s="425"/>
      <c r="E3469" s="634"/>
      <c r="F3469" s="635"/>
      <c r="G3469" s="428"/>
      <c r="H3469" s="635"/>
      <c r="I3469" s="428"/>
      <c r="J3469" s="635"/>
      <c r="K3469" s="636"/>
      <c r="L3469" s="635"/>
      <c r="M3469" s="636"/>
      <c r="N3469" s="635"/>
      <c r="O3469" s="636"/>
      <c r="P3469" s="635"/>
      <c r="Q3469" s="636"/>
      <c r="R3469" s="637"/>
      <c r="S3469" s="698">
        <f>SUM(R2749:R2753)/1.18-(SUM(R3464:R3468)*'Mark Up Validation'!$M$105)</f>
        <v>0</v>
      </c>
      <c r="T3469" s="635"/>
      <c r="U3469" s="636"/>
      <c r="V3469" s="635"/>
      <c r="W3469" s="636"/>
      <c r="X3469" s="635"/>
      <c r="Y3469" s="636"/>
      <c r="Z3469" s="635"/>
      <c r="AA3469" s="636"/>
      <c r="AB3469" s="635"/>
      <c r="AC3469" s="636"/>
      <c r="AD3469" s="635"/>
      <c r="AE3469" s="636"/>
      <c r="AF3469" s="637"/>
      <c r="AG3469" s="698">
        <f>SUM(AF2749:AF2753)/1.18-SUM(AF3464:AF3468)*'Mark Up Validation'!$M$175</f>
        <v>0</v>
      </c>
      <c r="AH3469" s="638"/>
      <c r="AI3469" s="698">
        <f>SUM(AH2749:AH2753)/1.18-SUM(AH3464:AH3468)*'Mark Up Validation'!$M$175</f>
        <v>0</v>
      </c>
      <c r="AJ3469" s="65"/>
      <c r="AV3469" s="56"/>
    </row>
    <row r="3470" spans="1:48" ht="13.5" hidden="1" customHeight="1" outlineLevel="2" thickBot="1">
      <c r="A3470" s="119"/>
      <c r="B3470" s="82"/>
      <c r="C3470" s="1228" t="s">
        <v>539</v>
      </c>
      <c r="D3470" s="1229"/>
      <c r="E3470" s="699"/>
      <c r="F3470" s="700">
        <f>SUM(F3464:F3468)</f>
        <v>0</v>
      </c>
      <c r="G3470" s="701"/>
      <c r="H3470" s="700">
        <f>SUM(H3464:H3468)</f>
        <v>0</v>
      </c>
      <c r="I3470" s="701"/>
      <c r="J3470" s="700">
        <f>SUM(J3464:J3468)</f>
        <v>0</v>
      </c>
      <c r="K3470" s="702"/>
      <c r="L3470" s="700">
        <f>SUM(L3464:L3468)</f>
        <v>0</v>
      </c>
      <c r="M3470" s="702"/>
      <c r="N3470" s="700">
        <f>SUM(N3464:N3468)</f>
        <v>0</v>
      </c>
      <c r="O3470" s="702"/>
      <c r="P3470" s="700">
        <f>SUM(P3464:P3468)</f>
        <v>0</v>
      </c>
      <c r="Q3470" s="702"/>
      <c r="R3470" s="703"/>
      <c r="S3470" s="729">
        <f>IF(S3469&gt;0,S3469/(SUM(R2749:R2753)/1.18),0)</f>
        <v>0</v>
      </c>
      <c r="T3470" s="700">
        <f>SUM(T3464:T3468)</f>
        <v>0</v>
      </c>
      <c r="U3470" s="702"/>
      <c r="V3470" s="700">
        <f>SUM(V3464:V3468)</f>
        <v>0</v>
      </c>
      <c r="W3470" s="702"/>
      <c r="X3470" s="700">
        <f>SUM(X3464:X3468)</f>
        <v>0</v>
      </c>
      <c r="Y3470" s="702"/>
      <c r="Z3470" s="700">
        <f>SUM(Z3464:Z3468)</f>
        <v>0</v>
      </c>
      <c r="AA3470" s="702"/>
      <c r="AB3470" s="700">
        <f>SUM(AB3464:AB3468)</f>
        <v>0</v>
      </c>
      <c r="AC3470" s="702"/>
      <c r="AD3470" s="700">
        <f>SUM(AD3464:AD3468)</f>
        <v>0</v>
      </c>
      <c r="AE3470" s="702"/>
      <c r="AF3470" s="705"/>
      <c r="AG3470" s="729">
        <f>IF(AG3469&gt;0,AG3469/(SUM(AF2749:AF2753)/1.18),0)</f>
        <v>0</v>
      </c>
      <c r="AH3470" s="706"/>
      <c r="AI3470" s="729">
        <f>IF(AI3469&gt;0,AI3469/(SUM(AH2749:AH2753)/1.18),0)</f>
        <v>0</v>
      </c>
      <c r="AJ3470" s="707"/>
      <c r="AV3470" s="56"/>
    </row>
    <row r="3471" spans="1:48" ht="12.75" hidden="1" customHeight="1" outlineLevel="2" thickBot="1">
      <c r="B3471" s="82">
        <f>B3464+1</f>
        <v>85</v>
      </c>
      <c r="C3471" s="1233">
        <f>C601</f>
        <v>0</v>
      </c>
      <c r="D3471" s="1233">
        <f>D601</f>
        <v>0</v>
      </c>
      <c r="E3471" s="83" t="str">
        <f>'Terms and Turnovers'!$J$12</f>
        <v>FLIP-FLOPS</v>
      </c>
      <c r="F3471" s="68">
        <f>F2042/1.18-F2757*'Mark Up Validation'!$M$105</f>
        <v>0</v>
      </c>
      <c r="G3471" s="106"/>
      <c r="H3471" s="68">
        <f>H2042/1.18-H2757*'Mark Up Validation'!$M$105</f>
        <v>0</v>
      </c>
      <c r="I3471" s="106"/>
      <c r="J3471" s="68">
        <f>J2042/1.18-J2757*'Mark Up Validation'!$M$105</f>
        <v>0</v>
      </c>
      <c r="K3471" s="106"/>
      <c r="L3471" s="68">
        <f>L2042/1.18-L2757*'Mark Up Validation'!$M$105</f>
        <v>0</v>
      </c>
      <c r="M3471" s="106"/>
      <c r="N3471" s="68">
        <f>N2042/1.18-N2757*'Mark Up Validation'!$M$105</f>
        <v>0</v>
      </c>
      <c r="O3471" s="106"/>
      <c r="P3471" s="68">
        <f>P2042/1.18-P2757*'Mark Up Validation'!$M$105</f>
        <v>0</v>
      </c>
      <c r="Q3471" s="106"/>
      <c r="R3471" s="129">
        <f>SUM(F3471,H3471,J3471,L3471,N3471,P3471)</f>
        <v>0</v>
      </c>
      <c r="S3471" s="106"/>
      <c r="T3471" s="68">
        <f>T2042/1.18-T2757*'Mark Up Validation'!$S$105</f>
        <v>0</v>
      </c>
      <c r="U3471" s="106"/>
      <c r="V3471" s="68">
        <f>V2042/1.18-V2757*'Mark Up Validation'!$S$105</f>
        <v>0</v>
      </c>
      <c r="W3471" s="106"/>
      <c r="X3471" s="68">
        <f>X2042/1.18-X2757*'Mark Up Validation'!$S$105</f>
        <v>0</v>
      </c>
      <c r="Y3471" s="106"/>
      <c r="Z3471" s="68">
        <f>Z2042/1.18-Z2757*'Mark Up Validation'!$S$105</f>
        <v>0</v>
      </c>
      <c r="AA3471" s="106"/>
      <c r="AB3471" s="68">
        <f>AB2042/1.18-AB2757*'Mark Up Validation'!$S$105</f>
        <v>0</v>
      </c>
      <c r="AC3471" s="106"/>
      <c r="AD3471" s="68">
        <f>AD2042/1.18-AD2757*'Mark Up Validation'!$S$105</f>
        <v>0</v>
      </c>
      <c r="AE3471" s="106"/>
      <c r="AF3471" s="129">
        <f>SUM(T3471,V3471,X3471,Z3471,AB3471,AD3471)</f>
        <v>0</v>
      </c>
      <c r="AG3471" s="106"/>
      <c r="AH3471" s="130">
        <f>SUM(AF3471,R3471)</f>
        <v>0</v>
      </c>
      <c r="AI3471" s="106"/>
      <c r="AJ3471" s="65"/>
      <c r="AV3471" s="56"/>
    </row>
    <row r="3472" spans="1:48" ht="12.75" hidden="1" customHeight="1" outlineLevel="2" thickBot="1">
      <c r="B3472" s="82"/>
      <c r="C3472" s="1234"/>
      <c r="D3472" s="1234"/>
      <c r="E3472" s="84" t="str">
        <f>'Terms and Turnovers'!$T$12</f>
        <v>ORIGINALS</v>
      </c>
      <c r="F3472" s="68">
        <f>F2043/1.18-F2758*'Mark Up Validation'!$M$105</f>
        <v>0</v>
      </c>
      <c r="G3472" s="728"/>
      <c r="H3472" s="68">
        <f>H2043/1.18-H2758*'Mark Up Validation'!$M$105</f>
        <v>0</v>
      </c>
      <c r="I3472" s="728"/>
      <c r="J3472" s="68">
        <f>J2043/1.18-J2758*'Mark Up Validation'!$M$105</f>
        <v>0</v>
      </c>
      <c r="K3472" s="728"/>
      <c r="L3472" s="68">
        <f>L2043/1.18-L2758*'Mark Up Validation'!$M$105</f>
        <v>0</v>
      </c>
      <c r="M3472" s="728"/>
      <c r="N3472" s="68">
        <f>N2043/1.18-N2758*'Mark Up Validation'!$M$105</f>
        <v>0</v>
      </c>
      <c r="O3472" s="728"/>
      <c r="P3472" s="68">
        <f>P2043/1.18-P2758*'Mark Up Validation'!$M$105</f>
        <v>0</v>
      </c>
      <c r="Q3472" s="728"/>
      <c r="R3472" s="132">
        <f>SUM(F3472,H3472,J3472,L3472,N3472,P3472)</f>
        <v>0</v>
      </c>
      <c r="S3472" s="728"/>
      <c r="T3472" s="68">
        <f>T2043/1.18-T2758*'Mark Up Validation'!$S$105</f>
        <v>0</v>
      </c>
      <c r="U3472" s="728"/>
      <c r="V3472" s="68">
        <f>V2043/1.18-V2758*'Mark Up Validation'!$S$105</f>
        <v>0</v>
      </c>
      <c r="W3472" s="728"/>
      <c r="X3472" s="68">
        <f>X2043/1.18-X2758*'Mark Up Validation'!$S$105</f>
        <v>0</v>
      </c>
      <c r="Y3472" s="728"/>
      <c r="Z3472" s="68">
        <f>Z2043/1.18-Z2758*'Mark Up Validation'!$S$105</f>
        <v>0</v>
      </c>
      <c r="AA3472" s="728"/>
      <c r="AB3472" s="68">
        <f>AB2043/1.18-AB2758*'Mark Up Validation'!$S$105</f>
        <v>0</v>
      </c>
      <c r="AC3472" s="728"/>
      <c r="AD3472" s="68">
        <f>AD2043/1.18-AD2758*'Mark Up Validation'!$S$105</f>
        <v>0</v>
      </c>
      <c r="AE3472" s="728"/>
      <c r="AF3472" s="132">
        <f>SUM(T3472,V3472,X3472,Z3472,AB3472,AD3472)</f>
        <v>0</v>
      </c>
      <c r="AG3472" s="728"/>
      <c r="AH3472" s="133">
        <f>SUM(AF3472,R3472)</f>
        <v>0</v>
      </c>
      <c r="AI3472" s="728"/>
      <c r="AJ3472" s="65"/>
      <c r="AV3472" s="56"/>
    </row>
    <row r="3473" spans="1:48" ht="12.75" hidden="1" customHeight="1" outlineLevel="2" thickBot="1">
      <c r="B3473" s="82"/>
      <c r="C3473" s="1234"/>
      <c r="D3473" s="1234"/>
      <c r="E3473" s="84" t="str">
        <f>'Terms and Turnovers'!$AD$12</f>
        <v>ACCESSORIES</v>
      </c>
      <c r="F3473" s="68">
        <f>F2044/1.18-F2759*'Mark Up Validation'!$M$105</f>
        <v>0</v>
      </c>
      <c r="G3473" s="106"/>
      <c r="H3473" s="68">
        <f>H2044/1.18-H2759*'Mark Up Validation'!$M$105</f>
        <v>0</v>
      </c>
      <c r="I3473" s="106"/>
      <c r="J3473" s="68">
        <f>J2044/1.18-J2759*'Mark Up Validation'!$M$105</f>
        <v>0</v>
      </c>
      <c r="K3473" s="106"/>
      <c r="L3473" s="68">
        <f>L2044/1.18-L2759*'Mark Up Validation'!$M$105</f>
        <v>0</v>
      </c>
      <c r="M3473" s="106"/>
      <c r="N3473" s="68">
        <f>N2044/1.18-N2759*'Mark Up Validation'!$M$105</f>
        <v>0</v>
      </c>
      <c r="O3473" s="106"/>
      <c r="P3473" s="68">
        <f>P2044/1.18-P2759*'Mark Up Validation'!$M$105</f>
        <v>0</v>
      </c>
      <c r="Q3473" s="728"/>
      <c r="R3473" s="132">
        <f>SUM(F3473,H3473,J3473,L3473,N3473,P3473)</f>
        <v>0</v>
      </c>
      <c r="S3473" s="728"/>
      <c r="T3473" s="68">
        <f>T2044/1.18-T2759*'Mark Up Validation'!$S$105</f>
        <v>0</v>
      </c>
      <c r="U3473" s="728"/>
      <c r="V3473" s="68">
        <f>V2044/1.18-V2759*'Mark Up Validation'!$S$105</f>
        <v>0</v>
      </c>
      <c r="W3473" s="728"/>
      <c r="X3473" s="68">
        <f>X2044/1.18-X2759*'Mark Up Validation'!$S$105</f>
        <v>0</v>
      </c>
      <c r="Y3473" s="728"/>
      <c r="Z3473" s="68">
        <f>Z2044/1.18-Z2759*'Mark Up Validation'!$S$105</f>
        <v>0</v>
      </c>
      <c r="AA3473" s="728"/>
      <c r="AB3473" s="68">
        <f>AB2044/1.18-AB2759*'Mark Up Validation'!$S$105</f>
        <v>0</v>
      </c>
      <c r="AC3473" s="728"/>
      <c r="AD3473" s="68">
        <f>AD2044/1.18-AD2759*'Mark Up Validation'!$S$105</f>
        <v>0</v>
      </c>
      <c r="AE3473" s="728"/>
      <c r="AF3473" s="132">
        <f>SUM(T3473,V3473,X3473,Z3473,AB3473,AD3473)</f>
        <v>0</v>
      </c>
      <c r="AG3473" s="728"/>
      <c r="AH3473" s="133">
        <f>SUM(AF3473,R3473)</f>
        <v>0</v>
      </c>
      <c r="AI3473" s="728"/>
      <c r="AJ3473" s="65"/>
      <c r="AV3473" s="56"/>
    </row>
    <row r="3474" spans="1:48" ht="12.75" hidden="1" customHeight="1" outlineLevel="2" thickBot="1">
      <c r="B3474" s="82"/>
      <c r="C3474" s="1234"/>
      <c r="D3474" s="1234"/>
      <c r="E3474" s="84">
        <f>'Terms and Turnovers'!$AN$12</f>
        <v>0</v>
      </c>
      <c r="F3474" s="68">
        <f>F2045/1.18-F2760*'Mark Up Validation'!$M$105</f>
        <v>0</v>
      </c>
      <c r="G3474" s="728"/>
      <c r="H3474" s="68">
        <f>H2045/1.18-H2760*'Mark Up Validation'!$M$105</f>
        <v>0</v>
      </c>
      <c r="I3474" s="728"/>
      <c r="J3474" s="68">
        <f>J2045/1.18-J2760*'Mark Up Validation'!$M$105</f>
        <v>0</v>
      </c>
      <c r="K3474" s="728"/>
      <c r="L3474" s="68">
        <f>L2045/1.18-L2760*'Mark Up Validation'!$M$105</f>
        <v>0</v>
      </c>
      <c r="M3474" s="728"/>
      <c r="N3474" s="68">
        <f>N2045/1.18-N2760*'Mark Up Validation'!$M$105</f>
        <v>0</v>
      </c>
      <c r="O3474" s="728"/>
      <c r="P3474" s="68">
        <f>P2045/1.18-P2760*'Mark Up Validation'!$M$105</f>
        <v>0</v>
      </c>
      <c r="Q3474" s="728"/>
      <c r="R3474" s="132">
        <f>SUM(F3474,H3474,J3474,L3474,N3474,P3474)</f>
        <v>0</v>
      </c>
      <c r="S3474" s="728"/>
      <c r="T3474" s="68">
        <f>T2045/1.18-T2760*'Mark Up Validation'!$S$105</f>
        <v>0</v>
      </c>
      <c r="U3474" s="728"/>
      <c r="V3474" s="68">
        <f>V2045/1.18-V2760*'Mark Up Validation'!$S$105</f>
        <v>0</v>
      </c>
      <c r="W3474" s="728"/>
      <c r="X3474" s="68">
        <f>X2045/1.18-X2760*'Mark Up Validation'!$S$105</f>
        <v>0</v>
      </c>
      <c r="Y3474" s="728"/>
      <c r="Z3474" s="68">
        <f>Z2045/1.18-Z2760*'Mark Up Validation'!$S$105</f>
        <v>0</v>
      </c>
      <c r="AA3474" s="728"/>
      <c r="AB3474" s="68">
        <f>AB2045/1.18-AB2760*'Mark Up Validation'!$S$105</f>
        <v>0</v>
      </c>
      <c r="AC3474" s="728"/>
      <c r="AD3474" s="68">
        <f>AD2045/1.18-AD2760*'Mark Up Validation'!$S$105</f>
        <v>0</v>
      </c>
      <c r="AE3474" s="728"/>
      <c r="AF3474" s="132">
        <f>SUM(T3474,V3474,X3474,Z3474,AB3474,AD3474)</f>
        <v>0</v>
      </c>
      <c r="AG3474" s="728"/>
      <c r="AH3474" s="133">
        <f>SUM(AF3474,R3474)</f>
        <v>0</v>
      </c>
      <c r="AI3474" s="728"/>
      <c r="AJ3474" s="65"/>
      <c r="AV3474" s="56"/>
    </row>
    <row r="3475" spans="1:48" ht="13.5" hidden="1" customHeight="1" outlineLevel="2" thickBot="1">
      <c r="B3475" s="82"/>
      <c r="C3475" s="1235"/>
      <c r="D3475" s="1235"/>
      <c r="E3475" s="85">
        <f>'Terms and Turnovers'!$AX$12</f>
        <v>0</v>
      </c>
      <c r="F3475" s="68">
        <f>F2046/1.18-F2761*'Mark Up Validation'!$M$105</f>
        <v>0</v>
      </c>
      <c r="G3475" s="106"/>
      <c r="H3475" s="68">
        <f>H2046/1.18-H2761*'Mark Up Validation'!$M$105</f>
        <v>0</v>
      </c>
      <c r="I3475" s="106"/>
      <c r="J3475" s="68">
        <f>J2046/1.18-J2761*'Mark Up Validation'!$M$105</f>
        <v>0</v>
      </c>
      <c r="K3475" s="106"/>
      <c r="L3475" s="68">
        <f>L2046/1.18-L2761*'Mark Up Validation'!$M$105</f>
        <v>0</v>
      </c>
      <c r="M3475" s="106"/>
      <c r="N3475" s="68">
        <f>N2046/1.18-N2761*'Mark Up Validation'!$M$105</f>
        <v>0</v>
      </c>
      <c r="O3475" s="106"/>
      <c r="P3475" s="68">
        <f>P2046/1.18-P2761*'Mark Up Validation'!$M$105</f>
        <v>0</v>
      </c>
      <c r="Q3475" s="107"/>
      <c r="R3475" s="135">
        <f>SUM(F3475,H3475,J3475,L3475,N3475,P3475)</f>
        <v>0</v>
      </c>
      <c r="S3475" s="107"/>
      <c r="T3475" s="68">
        <f>T2046/1.18-T2761*'Mark Up Validation'!$S$105</f>
        <v>0</v>
      </c>
      <c r="U3475" s="107"/>
      <c r="V3475" s="68">
        <f>V2046/1.18-V2761*'Mark Up Validation'!$S$105</f>
        <v>0</v>
      </c>
      <c r="W3475" s="107"/>
      <c r="X3475" s="68">
        <f>X2046/1.18-X2761*'Mark Up Validation'!$S$105</f>
        <v>0</v>
      </c>
      <c r="Y3475" s="107"/>
      <c r="Z3475" s="68">
        <f>Z2046/1.18-Z2761*'Mark Up Validation'!$S$105</f>
        <v>0</v>
      </c>
      <c r="AA3475" s="107"/>
      <c r="AB3475" s="68">
        <f>AB2046/1.18-AB2761*'Mark Up Validation'!$S$105</f>
        <v>0</v>
      </c>
      <c r="AC3475" s="107"/>
      <c r="AD3475" s="68">
        <f>AD2046/1.18-AD2761*'Mark Up Validation'!$S$105</f>
        <v>0</v>
      </c>
      <c r="AE3475" s="107"/>
      <c r="AF3475" s="135">
        <f>SUM(T3475,V3475,X3475,Z3475,AB3475,AD3475)</f>
        <v>0</v>
      </c>
      <c r="AG3475" s="107"/>
      <c r="AH3475" s="136">
        <f>SUM(AF3475,R3475)</f>
        <v>0</v>
      </c>
      <c r="AI3475" s="107"/>
      <c r="AJ3475" s="65"/>
      <c r="AV3475" s="56"/>
    </row>
    <row r="3476" spans="1:48" ht="13.5" hidden="1" customHeight="1" outlineLevel="2">
      <c r="B3476" s="82"/>
      <c r="C3476" s="425"/>
      <c r="D3476" s="425"/>
      <c r="E3476" s="634"/>
      <c r="F3476" s="635"/>
      <c r="G3476" s="428"/>
      <c r="H3476" s="635"/>
      <c r="I3476" s="428"/>
      <c r="J3476" s="635"/>
      <c r="K3476" s="636"/>
      <c r="L3476" s="635"/>
      <c r="M3476" s="636"/>
      <c r="N3476" s="635"/>
      <c r="O3476" s="636"/>
      <c r="P3476" s="635"/>
      <c r="Q3476" s="636"/>
      <c r="R3476" s="637"/>
      <c r="S3476" s="698">
        <f>SUM(R2756:R2760)/1.18-(SUM(R3471:R3475)*'Mark Up Validation'!$M$105)</f>
        <v>0</v>
      </c>
      <c r="T3476" s="635"/>
      <c r="U3476" s="636"/>
      <c r="V3476" s="635"/>
      <c r="W3476" s="636"/>
      <c r="X3476" s="635"/>
      <c r="Y3476" s="636"/>
      <c r="Z3476" s="635"/>
      <c r="AA3476" s="636"/>
      <c r="AB3476" s="635"/>
      <c r="AC3476" s="636"/>
      <c r="AD3476" s="635"/>
      <c r="AE3476" s="636"/>
      <c r="AF3476" s="637"/>
      <c r="AG3476" s="698">
        <f>SUM(AF2756:AF2760)/1.18-SUM(AF3471:AF3475)*'Mark Up Validation'!$M$175</f>
        <v>0</v>
      </c>
      <c r="AH3476" s="638"/>
      <c r="AI3476" s="698">
        <f>SUM(AH2756:AH2760)/1.18-SUM(AH3471:AH3475)*'Mark Up Validation'!$M$175</f>
        <v>0</v>
      </c>
      <c r="AJ3476" s="65"/>
      <c r="AV3476" s="56"/>
    </row>
    <row r="3477" spans="1:48" ht="13.5" hidden="1" customHeight="1" outlineLevel="2" thickBot="1">
      <c r="A3477" s="119"/>
      <c r="B3477" s="82"/>
      <c r="C3477" s="1228" t="s">
        <v>539</v>
      </c>
      <c r="D3477" s="1229"/>
      <c r="E3477" s="699"/>
      <c r="F3477" s="700">
        <f>SUM(F3471:F3475)</f>
        <v>0</v>
      </c>
      <c r="G3477" s="701"/>
      <c r="H3477" s="700">
        <f>SUM(H3471:H3475)</f>
        <v>0</v>
      </c>
      <c r="I3477" s="701"/>
      <c r="J3477" s="700">
        <f>SUM(J3471:J3475)</f>
        <v>0</v>
      </c>
      <c r="K3477" s="702"/>
      <c r="L3477" s="700">
        <f>SUM(L3471:L3475)</f>
        <v>0</v>
      </c>
      <c r="M3477" s="702"/>
      <c r="N3477" s="700">
        <f>SUM(N3471:N3475)</f>
        <v>0</v>
      </c>
      <c r="O3477" s="702"/>
      <c r="P3477" s="700">
        <f>SUM(P3471:P3475)</f>
        <v>0</v>
      </c>
      <c r="Q3477" s="702"/>
      <c r="R3477" s="703"/>
      <c r="S3477" s="729">
        <f>IF(S3476&gt;0,S3476/(SUM(R2756:R2760)/1.18),0)</f>
        <v>0</v>
      </c>
      <c r="T3477" s="700">
        <f>SUM(T3471:T3475)</f>
        <v>0</v>
      </c>
      <c r="U3477" s="702"/>
      <c r="V3477" s="700">
        <f>SUM(V3471:V3475)</f>
        <v>0</v>
      </c>
      <c r="W3477" s="702"/>
      <c r="X3477" s="700">
        <f>SUM(X3471:X3475)</f>
        <v>0</v>
      </c>
      <c r="Y3477" s="702"/>
      <c r="Z3477" s="700">
        <f>SUM(Z3471:Z3475)</f>
        <v>0</v>
      </c>
      <c r="AA3477" s="702"/>
      <c r="AB3477" s="700">
        <f>SUM(AB3471:AB3475)</f>
        <v>0</v>
      </c>
      <c r="AC3477" s="702"/>
      <c r="AD3477" s="700">
        <f>SUM(AD3471:AD3475)</f>
        <v>0</v>
      </c>
      <c r="AE3477" s="702"/>
      <c r="AF3477" s="705"/>
      <c r="AG3477" s="729">
        <f>IF(AG3476&gt;0,AG3476/(SUM(AF2756:AF2760)/1.18),0)</f>
        <v>0</v>
      </c>
      <c r="AH3477" s="706"/>
      <c r="AI3477" s="729">
        <f>IF(AI3476&gt;0,AI3476/(SUM(AH2756:AH2760)/1.18),0)</f>
        <v>0</v>
      </c>
      <c r="AJ3477" s="707"/>
      <c r="AV3477" s="56"/>
    </row>
    <row r="3478" spans="1:48" ht="12.75" hidden="1" customHeight="1" outlineLevel="2" thickBot="1">
      <c r="B3478" s="82">
        <f>B3471+1</f>
        <v>86</v>
      </c>
      <c r="C3478" s="1233">
        <f>C608</f>
        <v>0</v>
      </c>
      <c r="D3478" s="1233">
        <f>D608</f>
        <v>0</v>
      </c>
      <c r="E3478" s="83" t="str">
        <f>'Terms and Turnovers'!$J$12</f>
        <v>FLIP-FLOPS</v>
      </c>
      <c r="F3478" s="68">
        <f>F2049/1.18-F2764*'Mark Up Validation'!$M$105</f>
        <v>0</v>
      </c>
      <c r="G3478" s="106"/>
      <c r="H3478" s="68">
        <f>H2049/1.18-H2764*'Mark Up Validation'!$M$105</f>
        <v>0</v>
      </c>
      <c r="I3478" s="106"/>
      <c r="J3478" s="68">
        <f>J2049/1.18-J2764*'Mark Up Validation'!$M$105</f>
        <v>0</v>
      </c>
      <c r="K3478" s="106"/>
      <c r="L3478" s="68">
        <f>L2049/1.18-L2764*'Mark Up Validation'!$M$105</f>
        <v>0</v>
      </c>
      <c r="M3478" s="106"/>
      <c r="N3478" s="68">
        <f>N2049/1.18-N2764*'Mark Up Validation'!$M$105</f>
        <v>0</v>
      </c>
      <c r="O3478" s="106"/>
      <c r="P3478" s="68">
        <f>P2049/1.18-P2764*'Mark Up Validation'!$M$105</f>
        <v>0</v>
      </c>
      <c r="Q3478" s="106"/>
      <c r="R3478" s="129">
        <f>SUM(F3478,H3478,J3478,L3478,N3478,P3478)</f>
        <v>0</v>
      </c>
      <c r="S3478" s="106"/>
      <c r="T3478" s="68">
        <f>T2049/1.18-T2764*'Mark Up Validation'!$S$105</f>
        <v>0</v>
      </c>
      <c r="U3478" s="106"/>
      <c r="V3478" s="68">
        <f>V2049/1.18-V2764*'Mark Up Validation'!$S$105</f>
        <v>0</v>
      </c>
      <c r="W3478" s="106"/>
      <c r="X3478" s="68">
        <f>X2049/1.18-X2764*'Mark Up Validation'!$S$105</f>
        <v>0</v>
      </c>
      <c r="Y3478" s="106"/>
      <c r="Z3478" s="68">
        <f>Z2049/1.18-Z2764*'Mark Up Validation'!$S$105</f>
        <v>0</v>
      </c>
      <c r="AA3478" s="106"/>
      <c r="AB3478" s="68">
        <f>AB2049/1.18-AB2764*'Mark Up Validation'!$S$105</f>
        <v>0</v>
      </c>
      <c r="AC3478" s="106"/>
      <c r="AD3478" s="68">
        <f>AD2049/1.18-AD2764*'Mark Up Validation'!$S$105</f>
        <v>0</v>
      </c>
      <c r="AE3478" s="106"/>
      <c r="AF3478" s="129">
        <f>SUM(T3478,V3478,X3478,Z3478,AB3478,AD3478)</f>
        <v>0</v>
      </c>
      <c r="AG3478" s="106"/>
      <c r="AH3478" s="130">
        <f>SUM(AF3478,R3478)</f>
        <v>0</v>
      </c>
      <c r="AI3478" s="106"/>
      <c r="AJ3478" s="65"/>
      <c r="AV3478" s="56"/>
    </row>
    <row r="3479" spans="1:48" ht="12.75" hidden="1" customHeight="1" outlineLevel="2" thickBot="1">
      <c r="B3479" s="82"/>
      <c r="C3479" s="1234"/>
      <c r="D3479" s="1234"/>
      <c r="E3479" s="84" t="str">
        <f>'Terms and Turnovers'!$T$12</f>
        <v>ORIGINALS</v>
      </c>
      <c r="F3479" s="68">
        <f>F2050/1.18-F2765*'Mark Up Validation'!$M$105</f>
        <v>0</v>
      </c>
      <c r="G3479" s="728"/>
      <c r="H3479" s="68">
        <f>H2050/1.18-H2765*'Mark Up Validation'!$M$105</f>
        <v>0</v>
      </c>
      <c r="I3479" s="728"/>
      <c r="J3479" s="68">
        <f>J2050/1.18-J2765*'Mark Up Validation'!$M$105</f>
        <v>0</v>
      </c>
      <c r="K3479" s="728"/>
      <c r="L3479" s="68">
        <f>L2050/1.18-L2765*'Mark Up Validation'!$M$105</f>
        <v>0</v>
      </c>
      <c r="M3479" s="728"/>
      <c r="N3479" s="68">
        <f>N2050/1.18-N2765*'Mark Up Validation'!$M$105</f>
        <v>0</v>
      </c>
      <c r="O3479" s="728"/>
      <c r="P3479" s="68">
        <f>P2050/1.18-P2765*'Mark Up Validation'!$M$105</f>
        <v>0</v>
      </c>
      <c r="Q3479" s="728"/>
      <c r="R3479" s="132">
        <f>SUM(F3479,H3479,J3479,L3479,N3479,P3479)</f>
        <v>0</v>
      </c>
      <c r="S3479" s="728"/>
      <c r="T3479" s="68">
        <f>T2050/1.18-T2765*'Mark Up Validation'!$S$105</f>
        <v>0</v>
      </c>
      <c r="U3479" s="728"/>
      <c r="V3479" s="68">
        <f>V2050/1.18-V2765*'Mark Up Validation'!$S$105</f>
        <v>0</v>
      </c>
      <c r="W3479" s="728"/>
      <c r="X3479" s="68">
        <f>X2050/1.18-X2765*'Mark Up Validation'!$S$105</f>
        <v>0</v>
      </c>
      <c r="Y3479" s="728"/>
      <c r="Z3479" s="68">
        <f>Z2050/1.18-Z2765*'Mark Up Validation'!$S$105</f>
        <v>0</v>
      </c>
      <c r="AA3479" s="728"/>
      <c r="AB3479" s="68">
        <f>AB2050/1.18-AB2765*'Mark Up Validation'!$S$105</f>
        <v>0</v>
      </c>
      <c r="AC3479" s="728"/>
      <c r="AD3479" s="68">
        <f>AD2050/1.18-AD2765*'Mark Up Validation'!$S$105</f>
        <v>0</v>
      </c>
      <c r="AE3479" s="728"/>
      <c r="AF3479" s="132">
        <f>SUM(T3479,V3479,X3479,Z3479,AB3479,AD3479)</f>
        <v>0</v>
      </c>
      <c r="AG3479" s="728"/>
      <c r="AH3479" s="133">
        <f>SUM(AF3479,R3479)</f>
        <v>0</v>
      </c>
      <c r="AI3479" s="728"/>
      <c r="AJ3479" s="65"/>
      <c r="AV3479" s="56"/>
    </row>
    <row r="3480" spans="1:48" ht="12.75" hidden="1" customHeight="1" outlineLevel="2" thickBot="1">
      <c r="B3480" s="82"/>
      <c r="C3480" s="1234"/>
      <c r="D3480" s="1234"/>
      <c r="E3480" s="84" t="str">
        <f>'Terms and Turnovers'!$AD$12</f>
        <v>ACCESSORIES</v>
      </c>
      <c r="F3480" s="68">
        <f>F2051/1.18-F2766*'Mark Up Validation'!$M$105</f>
        <v>0</v>
      </c>
      <c r="G3480" s="106"/>
      <c r="H3480" s="68">
        <f>H2051/1.18-H2766*'Mark Up Validation'!$M$105</f>
        <v>0</v>
      </c>
      <c r="I3480" s="106"/>
      <c r="J3480" s="68">
        <f>J2051/1.18-J2766*'Mark Up Validation'!$M$105</f>
        <v>0</v>
      </c>
      <c r="K3480" s="106"/>
      <c r="L3480" s="68">
        <f>L2051/1.18-L2766*'Mark Up Validation'!$M$105</f>
        <v>0</v>
      </c>
      <c r="M3480" s="106"/>
      <c r="N3480" s="68">
        <f>N2051/1.18-N2766*'Mark Up Validation'!$M$105</f>
        <v>0</v>
      </c>
      <c r="O3480" s="106"/>
      <c r="P3480" s="68">
        <f>P2051/1.18-P2766*'Mark Up Validation'!$M$105</f>
        <v>0</v>
      </c>
      <c r="Q3480" s="728"/>
      <c r="R3480" s="132">
        <f>SUM(F3480,H3480,J3480,L3480,N3480,P3480)</f>
        <v>0</v>
      </c>
      <c r="S3480" s="728"/>
      <c r="T3480" s="68">
        <f>T2051/1.18-T2766*'Mark Up Validation'!$S$105</f>
        <v>0</v>
      </c>
      <c r="U3480" s="728"/>
      <c r="V3480" s="68">
        <f>V2051/1.18-V2766*'Mark Up Validation'!$S$105</f>
        <v>0</v>
      </c>
      <c r="W3480" s="728"/>
      <c r="X3480" s="68">
        <f>X2051/1.18-X2766*'Mark Up Validation'!$S$105</f>
        <v>0</v>
      </c>
      <c r="Y3480" s="728"/>
      <c r="Z3480" s="68">
        <f>Z2051/1.18-Z2766*'Mark Up Validation'!$S$105</f>
        <v>0</v>
      </c>
      <c r="AA3480" s="728"/>
      <c r="AB3480" s="68">
        <f>AB2051/1.18-AB2766*'Mark Up Validation'!$S$105</f>
        <v>0</v>
      </c>
      <c r="AC3480" s="728"/>
      <c r="AD3480" s="68">
        <f>AD2051/1.18-AD2766*'Mark Up Validation'!$S$105</f>
        <v>0</v>
      </c>
      <c r="AE3480" s="728"/>
      <c r="AF3480" s="132">
        <f>SUM(T3480,V3480,X3480,Z3480,AB3480,AD3480)</f>
        <v>0</v>
      </c>
      <c r="AG3480" s="728"/>
      <c r="AH3480" s="133">
        <f>SUM(AF3480,R3480)</f>
        <v>0</v>
      </c>
      <c r="AI3480" s="728"/>
      <c r="AJ3480" s="65"/>
      <c r="AV3480" s="56"/>
    </row>
    <row r="3481" spans="1:48" ht="12.75" hidden="1" customHeight="1" outlineLevel="2" thickBot="1">
      <c r="B3481" s="82"/>
      <c r="C3481" s="1234"/>
      <c r="D3481" s="1234"/>
      <c r="E3481" s="84">
        <f>'Terms and Turnovers'!$AN$12</f>
        <v>0</v>
      </c>
      <c r="F3481" s="68">
        <f>F2052/1.18-F2767*'Mark Up Validation'!$M$105</f>
        <v>0</v>
      </c>
      <c r="G3481" s="728"/>
      <c r="H3481" s="68">
        <f>H2052/1.18-H2767*'Mark Up Validation'!$M$105</f>
        <v>0</v>
      </c>
      <c r="I3481" s="728"/>
      <c r="J3481" s="68">
        <f>J2052/1.18-J2767*'Mark Up Validation'!$M$105</f>
        <v>0</v>
      </c>
      <c r="K3481" s="728"/>
      <c r="L3481" s="68">
        <f>L2052/1.18-L2767*'Mark Up Validation'!$M$105</f>
        <v>0</v>
      </c>
      <c r="M3481" s="728"/>
      <c r="N3481" s="68">
        <f>N2052/1.18-N2767*'Mark Up Validation'!$M$105</f>
        <v>0</v>
      </c>
      <c r="O3481" s="728"/>
      <c r="P3481" s="68">
        <f>P2052/1.18-P2767*'Mark Up Validation'!$M$105</f>
        <v>0</v>
      </c>
      <c r="Q3481" s="728"/>
      <c r="R3481" s="132">
        <f>SUM(F3481,H3481,J3481,L3481,N3481,P3481)</f>
        <v>0</v>
      </c>
      <c r="S3481" s="728"/>
      <c r="T3481" s="68">
        <f>T2052/1.18-T2767*'Mark Up Validation'!$S$105</f>
        <v>0</v>
      </c>
      <c r="U3481" s="728"/>
      <c r="V3481" s="68">
        <f>V2052/1.18-V2767*'Mark Up Validation'!$S$105</f>
        <v>0</v>
      </c>
      <c r="W3481" s="728"/>
      <c r="X3481" s="68">
        <f>X2052/1.18-X2767*'Mark Up Validation'!$S$105</f>
        <v>0</v>
      </c>
      <c r="Y3481" s="728"/>
      <c r="Z3481" s="68">
        <f>Z2052/1.18-Z2767*'Mark Up Validation'!$S$105</f>
        <v>0</v>
      </c>
      <c r="AA3481" s="728"/>
      <c r="AB3481" s="68">
        <f>AB2052/1.18-AB2767*'Mark Up Validation'!$S$105</f>
        <v>0</v>
      </c>
      <c r="AC3481" s="728"/>
      <c r="AD3481" s="68">
        <f>AD2052/1.18-AD2767*'Mark Up Validation'!$S$105</f>
        <v>0</v>
      </c>
      <c r="AE3481" s="728"/>
      <c r="AF3481" s="132">
        <f>SUM(T3481,V3481,X3481,Z3481,AB3481,AD3481)</f>
        <v>0</v>
      </c>
      <c r="AG3481" s="728"/>
      <c r="AH3481" s="133">
        <f>SUM(AF3481,R3481)</f>
        <v>0</v>
      </c>
      <c r="AI3481" s="728"/>
      <c r="AJ3481" s="65"/>
      <c r="AV3481" s="56"/>
    </row>
    <row r="3482" spans="1:48" ht="13.5" hidden="1" customHeight="1" outlineLevel="2" thickBot="1">
      <c r="B3482" s="82"/>
      <c r="C3482" s="1235"/>
      <c r="D3482" s="1235"/>
      <c r="E3482" s="85">
        <f>'Terms and Turnovers'!$AX$12</f>
        <v>0</v>
      </c>
      <c r="F3482" s="68">
        <f>F2053/1.18-F2768*'Mark Up Validation'!$M$105</f>
        <v>0</v>
      </c>
      <c r="G3482" s="106"/>
      <c r="H3482" s="68">
        <f>H2053/1.18-H2768*'Mark Up Validation'!$M$105</f>
        <v>0</v>
      </c>
      <c r="I3482" s="106"/>
      <c r="J3482" s="68">
        <f>J2053/1.18-J2768*'Mark Up Validation'!$M$105</f>
        <v>0</v>
      </c>
      <c r="K3482" s="106"/>
      <c r="L3482" s="68">
        <f>L2053/1.18-L2768*'Mark Up Validation'!$M$105</f>
        <v>0</v>
      </c>
      <c r="M3482" s="106"/>
      <c r="N3482" s="68">
        <f>N2053/1.18-N2768*'Mark Up Validation'!$M$105</f>
        <v>0</v>
      </c>
      <c r="O3482" s="106"/>
      <c r="P3482" s="68">
        <f>P2053/1.18-P2768*'Mark Up Validation'!$M$105</f>
        <v>0</v>
      </c>
      <c r="Q3482" s="107"/>
      <c r="R3482" s="135">
        <f>SUM(F3482,H3482,J3482,L3482,N3482,P3482)</f>
        <v>0</v>
      </c>
      <c r="S3482" s="107"/>
      <c r="T3482" s="68">
        <f>T2053/1.18-T2768*'Mark Up Validation'!$S$105</f>
        <v>0</v>
      </c>
      <c r="U3482" s="107"/>
      <c r="V3482" s="68">
        <f>V2053/1.18-V2768*'Mark Up Validation'!$S$105</f>
        <v>0</v>
      </c>
      <c r="W3482" s="107"/>
      <c r="X3482" s="68">
        <f>X2053/1.18-X2768*'Mark Up Validation'!$S$105</f>
        <v>0</v>
      </c>
      <c r="Y3482" s="107"/>
      <c r="Z3482" s="68">
        <f>Z2053/1.18-Z2768*'Mark Up Validation'!$S$105</f>
        <v>0</v>
      </c>
      <c r="AA3482" s="107"/>
      <c r="AB3482" s="68">
        <f>AB2053/1.18-AB2768*'Mark Up Validation'!$S$105</f>
        <v>0</v>
      </c>
      <c r="AC3482" s="107"/>
      <c r="AD3482" s="68">
        <f>AD2053/1.18-AD2768*'Mark Up Validation'!$S$105</f>
        <v>0</v>
      </c>
      <c r="AE3482" s="107"/>
      <c r="AF3482" s="135">
        <f>SUM(T3482,V3482,X3482,Z3482,AB3482,AD3482)</f>
        <v>0</v>
      </c>
      <c r="AG3482" s="107"/>
      <c r="AH3482" s="136">
        <f>SUM(AF3482,R3482)</f>
        <v>0</v>
      </c>
      <c r="AI3482" s="107"/>
      <c r="AJ3482" s="65"/>
      <c r="AV3482" s="56"/>
    </row>
    <row r="3483" spans="1:48" ht="13.5" hidden="1" customHeight="1" outlineLevel="2">
      <c r="B3483" s="82"/>
      <c r="C3483" s="425"/>
      <c r="D3483" s="425"/>
      <c r="E3483" s="634"/>
      <c r="F3483" s="635"/>
      <c r="G3483" s="428"/>
      <c r="H3483" s="635"/>
      <c r="I3483" s="428"/>
      <c r="J3483" s="635"/>
      <c r="K3483" s="636"/>
      <c r="L3483" s="635"/>
      <c r="M3483" s="636"/>
      <c r="N3483" s="635"/>
      <c r="O3483" s="636"/>
      <c r="P3483" s="635"/>
      <c r="Q3483" s="636"/>
      <c r="R3483" s="637"/>
      <c r="S3483" s="698">
        <f>SUM(R2763:R2767)/1.18-(SUM(R3478:R3482)*'Mark Up Validation'!$M$105)</f>
        <v>0</v>
      </c>
      <c r="T3483" s="635"/>
      <c r="U3483" s="636"/>
      <c r="V3483" s="635"/>
      <c r="W3483" s="636"/>
      <c r="X3483" s="635"/>
      <c r="Y3483" s="636"/>
      <c r="Z3483" s="635"/>
      <c r="AA3483" s="636"/>
      <c r="AB3483" s="635"/>
      <c r="AC3483" s="636"/>
      <c r="AD3483" s="635"/>
      <c r="AE3483" s="636"/>
      <c r="AF3483" s="637"/>
      <c r="AG3483" s="698">
        <f>SUM(AF2763:AF2767)/1.18-SUM(AF3478:AF3482)*'Mark Up Validation'!$M$175</f>
        <v>0</v>
      </c>
      <c r="AH3483" s="638"/>
      <c r="AI3483" s="698">
        <f>SUM(AH2763:AH2767)/1.18-SUM(AH3478:AH3482)*'Mark Up Validation'!$M$175</f>
        <v>0</v>
      </c>
      <c r="AJ3483" s="65"/>
      <c r="AV3483" s="56"/>
    </row>
    <row r="3484" spans="1:48" ht="13.5" hidden="1" customHeight="1" outlineLevel="2" thickBot="1">
      <c r="A3484" s="119"/>
      <c r="B3484" s="82"/>
      <c r="C3484" s="1228" t="s">
        <v>539</v>
      </c>
      <c r="D3484" s="1229"/>
      <c r="E3484" s="699"/>
      <c r="F3484" s="700">
        <f>SUM(F3478:F3482)</f>
        <v>0</v>
      </c>
      <c r="G3484" s="701"/>
      <c r="H3484" s="700">
        <f>SUM(H3478:H3482)</f>
        <v>0</v>
      </c>
      <c r="I3484" s="701"/>
      <c r="J3484" s="700">
        <f>SUM(J3478:J3482)</f>
        <v>0</v>
      </c>
      <c r="K3484" s="702"/>
      <c r="L3484" s="700">
        <f>SUM(L3478:L3482)</f>
        <v>0</v>
      </c>
      <c r="M3484" s="702"/>
      <c r="N3484" s="700">
        <f>SUM(N3478:N3482)</f>
        <v>0</v>
      </c>
      <c r="O3484" s="702"/>
      <c r="P3484" s="700">
        <f>SUM(P3478:P3482)</f>
        <v>0</v>
      </c>
      <c r="Q3484" s="702"/>
      <c r="R3484" s="703"/>
      <c r="S3484" s="729">
        <f>IF(S3483&gt;0,S3483/(SUM(R2763:R2767)/1.18),0)</f>
        <v>0</v>
      </c>
      <c r="T3484" s="700">
        <f>SUM(T3478:T3482)</f>
        <v>0</v>
      </c>
      <c r="U3484" s="702"/>
      <c r="V3484" s="700">
        <f>SUM(V3478:V3482)</f>
        <v>0</v>
      </c>
      <c r="W3484" s="702"/>
      <c r="X3484" s="700">
        <f>SUM(X3478:X3482)</f>
        <v>0</v>
      </c>
      <c r="Y3484" s="702"/>
      <c r="Z3484" s="700">
        <f>SUM(Z3478:Z3482)</f>
        <v>0</v>
      </c>
      <c r="AA3484" s="702"/>
      <c r="AB3484" s="700">
        <f>SUM(AB3478:AB3482)</f>
        <v>0</v>
      </c>
      <c r="AC3484" s="702"/>
      <c r="AD3484" s="700">
        <f>SUM(AD3478:AD3482)</f>
        <v>0</v>
      </c>
      <c r="AE3484" s="702"/>
      <c r="AF3484" s="705"/>
      <c r="AG3484" s="729">
        <f>IF(AG3483&gt;0,AG3483/(SUM(AF2763:AF2767)/1.18),0)</f>
        <v>0</v>
      </c>
      <c r="AH3484" s="706"/>
      <c r="AI3484" s="729">
        <f>IF(AI3483&gt;0,AI3483/(SUM(AH2763:AH2767)/1.18),0)</f>
        <v>0</v>
      </c>
      <c r="AJ3484" s="707"/>
      <c r="AV3484" s="56"/>
    </row>
    <row r="3485" spans="1:48" ht="12.75" hidden="1" customHeight="1" outlineLevel="2" thickBot="1">
      <c r="B3485" s="82">
        <f>B3478+1</f>
        <v>87</v>
      </c>
      <c r="C3485" s="1233">
        <f>C615</f>
        <v>0</v>
      </c>
      <c r="D3485" s="1233">
        <f>D615</f>
        <v>0</v>
      </c>
      <c r="E3485" s="83" t="str">
        <f>'Terms and Turnovers'!$J$12</f>
        <v>FLIP-FLOPS</v>
      </c>
      <c r="F3485" s="68">
        <f>F2056/1.18-F2771*'Mark Up Validation'!$M$105</f>
        <v>0</v>
      </c>
      <c r="G3485" s="106"/>
      <c r="H3485" s="68">
        <f>H2056/1.18-H2771*'Mark Up Validation'!$M$105</f>
        <v>0</v>
      </c>
      <c r="I3485" s="106"/>
      <c r="J3485" s="68">
        <f>J2056/1.18-J2771*'Mark Up Validation'!$M$105</f>
        <v>0</v>
      </c>
      <c r="K3485" s="106"/>
      <c r="L3485" s="68">
        <f>L2056/1.18-L2771*'Mark Up Validation'!$M$105</f>
        <v>0</v>
      </c>
      <c r="M3485" s="106"/>
      <c r="N3485" s="68">
        <f>N2056/1.18-N2771*'Mark Up Validation'!$M$105</f>
        <v>0</v>
      </c>
      <c r="O3485" s="106"/>
      <c r="P3485" s="68">
        <f>P2056/1.18-P2771*'Mark Up Validation'!$M$105</f>
        <v>0</v>
      </c>
      <c r="Q3485" s="106"/>
      <c r="R3485" s="129">
        <f>SUM(F3485,H3485,J3485,L3485,N3485,P3485)</f>
        <v>0</v>
      </c>
      <c r="S3485" s="106"/>
      <c r="T3485" s="68">
        <f>T2056/1.18-T2771*'Mark Up Validation'!$S$105</f>
        <v>0</v>
      </c>
      <c r="U3485" s="106"/>
      <c r="V3485" s="68">
        <f>V2056/1.18-V2771*'Mark Up Validation'!$S$105</f>
        <v>0</v>
      </c>
      <c r="W3485" s="106"/>
      <c r="X3485" s="68">
        <f>X2056/1.18-X2771*'Mark Up Validation'!$S$105</f>
        <v>0</v>
      </c>
      <c r="Y3485" s="106"/>
      <c r="Z3485" s="68">
        <f>Z2056/1.18-Z2771*'Mark Up Validation'!$S$105</f>
        <v>0</v>
      </c>
      <c r="AA3485" s="106"/>
      <c r="AB3485" s="68">
        <f>AB2056/1.18-AB2771*'Mark Up Validation'!$S$105</f>
        <v>0</v>
      </c>
      <c r="AC3485" s="106"/>
      <c r="AD3485" s="68">
        <f>AD2056/1.18-AD2771*'Mark Up Validation'!$S$105</f>
        <v>0</v>
      </c>
      <c r="AE3485" s="106"/>
      <c r="AF3485" s="129">
        <f>SUM(T3485,V3485,X3485,Z3485,AB3485,AD3485)</f>
        <v>0</v>
      </c>
      <c r="AG3485" s="106"/>
      <c r="AH3485" s="130">
        <f>SUM(AF3485,R3485)</f>
        <v>0</v>
      </c>
      <c r="AI3485" s="106"/>
      <c r="AJ3485" s="65"/>
      <c r="AV3485" s="56"/>
    </row>
    <row r="3486" spans="1:48" ht="12.75" hidden="1" customHeight="1" outlineLevel="2" thickBot="1">
      <c r="B3486" s="82"/>
      <c r="C3486" s="1234"/>
      <c r="D3486" s="1234"/>
      <c r="E3486" s="84" t="str">
        <f>'Terms and Turnovers'!$T$12</f>
        <v>ORIGINALS</v>
      </c>
      <c r="F3486" s="68">
        <f>F2057/1.18-F2772*'Mark Up Validation'!$M$105</f>
        <v>0</v>
      </c>
      <c r="G3486" s="728"/>
      <c r="H3486" s="68">
        <f>H2057/1.18-H2772*'Mark Up Validation'!$M$105</f>
        <v>0</v>
      </c>
      <c r="I3486" s="728"/>
      <c r="J3486" s="68">
        <f>J2057/1.18-J2772*'Mark Up Validation'!$M$105</f>
        <v>0</v>
      </c>
      <c r="K3486" s="728"/>
      <c r="L3486" s="68">
        <f>L2057/1.18-L2772*'Mark Up Validation'!$M$105</f>
        <v>0</v>
      </c>
      <c r="M3486" s="728"/>
      <c r="N3486" s="68">
        <f>N2057/1.18-N2772*'Mark Up Validation'!$M$105</f>
        <v>0</v>
      </c>
      <c r="O3486" s="728"/>
      <c r="P3486" s="68">
        <f>P2057/1.18-P2772*'Mark Up Validation'!$M$105</f>
        <v>0</v>
      </c>
      <c r="Q3486" s="728"/>
      <c r="R3486" s="132">
        <f>SUM(F3486,H3486,J3486,L3486,N3486,P3486)</f>
        <v>0</v>
      </c>
      <c r="S3486" s="728"/>
      <c r="T3486" s="68">
        <f>T2057/1.18-T2772*'Mark Up Validation'!$S$105</f>
        <v>0</v>
      </c>
      <c r="U3486" s="728"/>
      <c r="V3486" s="68">
        <f>V2057/1.18-V2772*'Mark Up Validation'!$S$105</f>
        <v>0</v>
      </c>
      <c r="W3486" s="728"/>
      <c r="X3486" s="68">
        <f>X2057/1.18-X2772*'Mark Up Validation'!$S$105</f>
        <v>0</v>
      </c>
      <c r="Y3486" s="728"/>
      <c r="Z3486" s="68">
        <f>Z2057/1.18-Z2772*'Mark Up Validation'!$S$105</f>
        <v>0</v>
      </c>
      <c r="AA3486" s="728"/>
      <c r="AB3486" s="68">
        <f>AB2057/1.18-AB2772*'Mark Up Validation'!$S$105</f>
        <v>0</v>
      </c>
      <c r="AC3486" s="728"/>
      <c r="AD3486" s="68">
        <f>AD2057/1.18-AD2772*'Mark Up Validation'!$S$105</f>
        <v>0</v>
      </c>
      <c r="AE3486" s="728"/>
      <c r="AF3486" s="132">
        <f>SUM(T3486,V3486,X3486,Z3486,AB3486,AD3486)</f>
        <v>0</v>
      </c>
      <c r="AG3486" s="728"/>
      <c r="AH3486" s="133">
        <f>SUM(AF3486,R3486)</f>
        <v>0</v>
      </c>
      <c r="AI3486" s="728"/>
      <c r="AJ3486" s="65"/>
      <c r="AV3486" s="56"/>
    </row>
    <row r="3487" spans="1:48" ht="12.75" hidden="1" customHeight="1" outlineLevel="2" thickBot="1">
      <c r="B3487" s="82"/>
      <c r="C3487" s="1234"/>
      <c r="D3487" s="1234"/>
      <c r="E3487" s="84" t="str">
        <f>'Terms and Turnovers'!$AD$12</f>
        <v>ACCESSORIES</v>
      </c>
      <c r="F3487" s="68">
        <f>F2058/1.18-F2773*'Mark Up Validation'!$M$105</f>
        <v>0</v>
      </c>
      <c r="G3487" s="106"/>
      <c r="H3487" s="68">
        <f>H2058/1.18-H2773*'Mark Up Validation'!$M$105</f>
        <v>0</v>
      </c>
      <c r="I3487" s="106"/>
      <c r="J3487" s="68">
        <f>J2058/1.18-J2773*'Mark Up Validation'!$M$105</f>
        <v>0</v>
      </c>
      <c r="K3487" s="106"/>
      <c r="L3487" s="68">
        <f>L2058/1.18-L2773*'Mark Up Validation'!$M$105</f>
        <v>0</v>
      </c>
      <c r="M3487" s="106"/>
      <c r="N3487" s="68">
        <f>N2058/1.18-N2773*'Mark Up Validation'!$M$105</f>
        <v>0</v>
      </c>
      <c r="O3487" s="106"/>
      <c r="P3487" s="68">
        <f>P2058/1.18-P2773*'Mark Up Validation'!$M$105</f>
        <v>0</v>
      </c>
      <c r="Q3487" s="728"/>
      <c r="R3487" s="132">
        <f>SUM(F3487,H3487,J3487,L3487,N3487,P3487)</f>
        <v>0</v>
      </c>
      <c r="S3487" s="728"/>
      <c r="T3487" s="68">
        <f>T2058/1.18-T2773*'Mark Up Validation'!$S$105</f>
        <v>0</v>
      </c>
      <c r="U3487" s="728"/>
      <c r="V3487" s="68">
        <f>V2058/1.18-V2773*'Mark Up Validation'!$S$105</f>
        <v>0</v>
      </c>
      <c r="W3487" s="728"/>
      <c r="X3487" s="68">
        <f>X2058/1.18-X2773*'Mark Up Validation'!$S$105</f>
        <v>0</v>
      </c>
      <c r="Y3487" s="728"/>
      <c r="Z3487" s="68">
        <f>Z2058/1.18-Z2773*'Mark Up Validation'!$S$105</f>
        <v>0</v>
      </c>
      <c r="AA3487" s="728"/>
      <c r="AB3487" s="68">
        <f>AB2058/1.18-AB2773*'Mark Up Validation'!$S$105</f>
        <v>0</v>
      </c>
      <c r="AC3487" s="728"/>
      <c r="AD3487" s="68">
        <f>AD2058/1.18-AD2773*'Mark Up Validation'!$S$105</f>
        <v>0</v>
      </c>
      <c r="AE3487" s="728"/>
      <c r="AF3487" s="132">
        <f>SUM(T3487,V3487,X3487,Z3487,AB3487,AD3487)</f>
        <v>0</v>
      </c>
      <c r="AG3487" s="728"/>
      <c r="AH3487" s="133">
        <f>SUM(AF3487,R3487)</f>
        <v>0</v>
      </c>
      <c r="AI3487" s="728"/>
      <c r="AJ3487" s="65"/>
      <c r="AV3487" s="56"/>
    </row>
    <row r="3488" spans="1:48" ht="12.75" hidden="1" customHeight="1" outlineLevel="2" thickBot="1">
      <c r="B3488" s="82"/>
      <c r="C3488" s="1234"/>
      <c r="D3488" s="1234"/>
      <c r="E3488" s="84">
        <f>'Terms and Turnovers'!$AN$12</f>
        <v>0</v>
      </c>
      <c r="F3488" s="68">
        <f>F2059/1.18-F2774*'Mark Up Validation'!$M$105</f>
        <v>0</v>
      </c>
      <c r="G3488" s="728"/>
      <c r="H3488" s="68">
        <f>H2059/1.18-H2774*'Mark Up Validation'!$M$105</f>
        <v>0</v>
      </c>
      <c r="I3488" s="728"/>
      <c r="J3488" s="68">
        <f>J2059/1.18-J2774*'Mark Up Validation'!$M$105</f>
        <v>0</v>
      </c>
      <c r="K3488" s="728"/>
      <c r="L3488" s="68">
        <f>L2059/1.18-L2774*'Mark Up Validation'!$M$105</f>
        <v>0</v>
      </c>
      <c r="M3488" s="728"/>
      <c r="N3488" s="68">
        <f>N2059/1.18-N2774*'Mark Up Validation'!$M$105</f>
        <v>0</v>
      </c>
      <c r="O3488" s="728"/>
      <c r="P3488" s="68">
        <f>P2059/1.18-P2774*'Mark Up Validation'!$M$105</f>
        <v>0</v>
      </c>
      <c r="Q3488" s="728"/>
      <c r="R3488" s="132">
        <f>SUM(F3488,H3488,J3488,L3488,N3488,P3488)</f>
        <v>0</v>
      </c>
      <c r="S3488" s="728"/>
      <c r="T3488" s="68">
        <f>T2059/1.18-T2774*'Mark Up Validation'!$S$105</f>
        <v>0</v>
      </c>
      <c r="U3488" s="728"/>
      <c r="V3488" s="68">
        <f>V2059/1.18-V2774*'Mark Up Validation'!$S$105</f>
        <v>0</v>
      </c>
      <c r="W3488" s="728"/>
      <c r="X3488" s="68">
        <f>X2059/1.18-X2774*'Mark Up Validation'!$S$105</f>
        <v>0</v>
      </c>
      <c r="Y3488" s="728"/>
      <c r="Z3488" s="68">
        <f>Z2059/1.18-Z2774*'Mark Up Validation'!$S$105</f>
        <v>0</v>
      </c>
      <c r="AA3488" s="728"/>
      <c r="AB3488" s="68">
        <f>AB2059/1.18-AB2774*'Mark Up Validation'!$S$105</f>
        <v>0</v>
      </c>
      <c r="AC3488" s="728"/>
      <c r="AD3488" s="68">
        <f>AD2059/1.18-AD2774*'Mark Up Validation'!$S$105</f>
        <v>0</v>
      </c>
      <c r="AE3488" s="728"/>
      <c r="AF3488" s="132">
        <f>SUM(T3488,V3488,X3488,Z3488,AB3488,AD3488)</f>
        <v>0</v>
      </c>
      <c r="AG3488" s="728"/>
      <c r="AH3488" s="133">
        <f>SUM(AF3488,R3488)</f>
        <v>0</v>
      </c>
      <c r="AI3488" s="728"/>
      <c r="AJ3488" s="65"/>
      <c r="AV3488" s="56"/>
    </row>
    <row r="3489" spans="1:48" ht="13.5" hidden="1" customHeight="1" outlineLevel="2" thickBot="1">
      <c r="B3489" s="82"/>
      <c r="C3489" s="1235"/>
      <c r="D3489" s="1235"/>
      <c r="E3489" s="85">
        <f>'Terms and Turnovers'!$AX$12</f>
        <v>0</v>
      </c>
      <c r="F3489" s="68">
        <f>F2060/1.18-F2775*'Mark Up Validation'!$M$105</f>
        <v>0</v>
      </c>
      <c r="G3489" s="106"/>
      <c r="H3489" s="68">
        <f>H2060/1.18-H2775*'Mark Up Validation'!$M$105</f>
        <v>0</v>
      </c>
      <c r="I3489" s="106"/>
      <c r="J3489" s="68">
        <f>J2060/1.18-J2775*'Mark Up Validation'!$M$105</f>
        <v>0</v>
      </c>
      <c r="K3489" s="106"/>
      <c r="L3489" s="68">
        <f>L2060/1.18-L2775*'Mark Up Validation'!$M$105</f>
        <v>0</v>
      </c>
      <c r="M3489" s="106"/>
      <c r="N3489" s="68">
        <f>N2060/1.18-N2775*'Mark Up Validation'!$M$105</f>
        <v>0</v>
      </c>
      <c r="O3489" s="106"/>
      <c r="P3489" s="68">
        <f>P2060/1.18-P2775*'Mark Up Validation'!$M$105</f>
        <v>0</v>
      </c>
      <c r="Q3489" s="107"/>
      <c r="R3489" s="135">
        <f>SUM(F3489,H3489,J3489,L3489,N3489,P3489)</f>
        <v>0</v>
      </c>
      <c r="S3489" s="107"/>
      <c r="T3489" s="68">
        <f>T2060/1.18-T2775*'Mark Up Validation'!$S$105</f>
        <v>0</v>
      </c>
      <c r="U3489" s="107"/>
      <c r="V3489" s="68">
        <f>V2060/1.18-V2775*'Mark Up Validation'!$S$105</f>
        <v>0</v>
      </c>
      <c r="W3489" s="107"/>
      <c r="X3489" s="68">
        <f>X2060/1.18-X2775*'Mark Up Validation'!$S$105</f>
        <v>0</v>
      </c>
      <c r="Y3489" s="107"/>
      <c r="Z3489" s="68">
        <f>Z2060/1.18-Z2775*'Mark Up Validation'!$S$105</f>
        <v>0</v>
      </c>
      <c r="AA3489" s="107"/>
      <c r="AB3489" s="68">
        <f>AB2060/1.18-AB2775*'Mark Up Validation'!$S$105</f>
        <v>0</v>
      </c>
      <c r="AC3489" s="107"/>
      <c r="AD3489" s="68">
        <f>AD2060/1.18-AD2775*'Mark Up Validation'!$S$105</f>
        <v>0</v>
      </c>
      <c r="AE3489" s="107"/>
      <c r="AF3489" s="135">
        <f>SUM(T3489,V3489,X3489,Z3489,AB3489,AD3489)</f>
        <v>0</v>
      </c>
      <c r="AG3489" s="107"/>
      <c r="AH3489" s="136">
        <f>SUM(AF3489,R3489)</f>
        <v>0</v>
      </c>
      <c r="AI3489" s="107"/>
      <c r="AJ3489" s="65"/>
      <c r="AV3489" s="56"/>
    </row>
    <row r="3490" spans="1:48" ht="13.5" hidden="1" customHeight="1" outlineLevel="2">
      <c r="B3490" s="82"/>
      <c r="C3490" s="425"/>
      <c r="D3490" s="425"/>
      <c r="E3490" s="634"/>
      <c r="F3490" s="635"/>
      <c r="G3490" s="428"/>
      <c r="H3490" s="635"/>
      <c r="I3490" s="428"/>
      <c r="J3490" s="635"/>
      <c r="K3490" s="636"/>
      <c r="L3490" s="635"/>
      <c r="M3490" s="636"/>
      <c r="N3490" s="635"/>
      <c r="O3490" s="636"/>
      <c r="P3490" s="635"/>
      <c r="Q3490" s="636"/>
      <c r="R3490" s="637"/>
      <c r="S3490" s="698">
        <f>SUM(R2770:R2774)/1.18-(SUM(R3485:R3489)*'Mark Up Validation'!$M$105)</f>
        <v>0</v>
      </c>
      <c r="T3490" s="635"/>
      <c r="U3490" s="636"/>
      <c r="V3490" s="635"/>
      <c r="W3490" s="636"/>
      <c r="X3490" s="635"/>
      <c r="Y3490" s="636"/>
      <c r="Z3490" s="635"/>
      <c r="AA3490" s="636"/>
      <c r="AB3490" s="635"/>
      <c r="AC3490" s="636"/>
      <c r="AD3490" s="635"/>
      <c r="AE3490" s="636"/>
      <c r="AF3490" s="637"/>
      <c r="AG3490" s="698">
        <f>SUM(AF2770:AF2774)/1.18-SUM(AF3485:AF3489)*'Mark Up Validation'!$M$175</f>
        <v>0</v>
      </c>
      <c r="AH3490" s="638"/>
      <c r="AI3490" s="698">
        <f>SUM(AH2770:AH2774)/1.18-SUM(AH3485:AH3489)*'Mark Up Validation'!$M$175</f>
        <v>0</v>
      </c>
      <c r="AJ3490" s="65"/>
      <c r="AV3490" s="56"/>
    </row>
    <row r="3491" spans="1:48" ht="13.5" hidden="1" customHeight="1" outlineLevel="2" thickBot="1">
      <c r="A3491" s="119"/>
      <c r="B3491" s="82"/>
      <c r="C3491" s="1228" t="s">
        <v>539</v>
      </c>
      <c r="D3491" s="1229"/>
      <c r="E3491" s="699"/>
      <c r="F3491" s="700">
        <f>SUM(F3485:F3489)</f>
        <v>0</v>
      </c>
      <c r="G3491" s="701"/>
      <c r="H3491" s="700">
        <f>SUM(H3485:H3489)</f>
        <v>0</v>
      </c>
      <c r="I3491" s="701"/>
      <c r="J3491" s="700">
        <f>SUM(J3485:J3489)</f>
        <v>0</v>
      </c>
      <c r="K3491" s="702"/>
      <c r="L3491" s="700">
        <f>SUM(L3485:L3489)</f>
        <v>0</v>
      </c>
      <c r="M3491" s="702"/>
      <c r="N3491" s="700">
        <f>SUM(N3485:N3489)</f>
        <v>0</v>
      </c>
      <c r="O3491" s="702"/>
      <c r="P3491" s="700">
        <f>SUM(P3485:P3489)</f>
        <v>0</v>
      </c>
      <c r="Q3491" s="702"/>
      <c r="R3491" s="703"/>
      <c r="S3491" s="729">
        <f>IF(S3490&gt;0,S3490/(SUM(R2770:R2774)/1.18),0)</f>
        <v>0</v>
      </c>
      <c r="T3491" s="700">
        <f>SUM(T3485:T3489)</f>
        <v>0</v>
      </c>
      <c r="U3491" s="702"/>
      <c r="V3491" s="700">
        <f>SUM(V3485:V3489)</f>
        <v>0</v>
      </c>
      <c r="W3491" s="702"/>
      <c r="X3491" s="700">
        <f>SUM(X3485:X3489)</f>
        <v>0</v>
      </c>
      <c r="Y3491" s="702"/>
      <c r="Z3491" s="700">
        <f>SUM(Z3485:Z3489)</f>
        <v>0</v>
      </c>
      <c r="AA3491" s="702"/>
      <c r="AB3491" s="700">
        <f>SUM(AB3485:AB3489)</f>
        <v>0</v>
      </c>
      <c r="AC3491" s="702"/>
      <c r="AD3491" s="700">
        <f>SUM(AD3485:AD3489)</f>
        <v>0</v>
      </c>
      <c r="AE3491" s="702"/>
      <c r="AF3491" s="705"/>
      <c r="AG3491" s="729">
        <f>IF(AG3490&gt;0,AG3490/(SUM(AF2770:AF2774)/1.18),0)</f>
        <v>0</v>
      </c>
      <c r="AH3491" s="706"/>
      <c r="AI3491" s="729">
        <f>IF(AI3490&gt;0,AI3490/(SUM(AH2770:AH2774)/1.18),0)</f>
        <v>0</v>
      </c>
      <c r="AJ3491" s="707"/>
      <c r="AV3491" s="56"/>
    </row>
    <row r="3492" spans="1:48" ht="12.75" hidden="1" customHeight="1" outlineLevel="2" thickBot="1">
      <c r="B3492" s="82">
        <f>B3485+1</f>
        <v>88</v>
      </c>
      <c r="C3492" s="1233">
        <f>C622</f>
        <v>0</v>
      </c>
      <c r="D3492" s="1233">
        <f>D622</f>
        <v>0</v>
      </c>
      <c r="E3492" s="83" t="str">
        <f>'Terms and Turnovers'!$J$12</f>
        <v>FLIP-FLOPS</v>
      </c>
      <c r="F3492" s="68">
        <f>F2063/1.18-F2778*'Mark Up Validation'!$M$105</f>
        <v>0</v>
      </c>
      <c r="G3492" s="106"/>
      <c r="H3492" s="68">
        <f>H2063/1.18-H2778*'Mark Up Validation'!$M$105</f>
        <v>0</v>
      </c>
      <c r="I3492" s="106"/>
      <c r="J3492" s="68">
        <f>J2063/1.18-J2778*'Mark Up Validation'!$M$105</f>
        <v>0</v>
      </c>
      <c r="K3492" s="106"/>
      <c r="L3492" s="68">
        <f>L2063/1.18-L2778*'Mark Up Validation'!$M$105</f>
        <v>0</v>
      </c>
      <c r="M3492" s="106"/>
      <c r="N3492" s="68">
        <f>N2063/1.18-N2778*'Mark Up Validation'!$M$105</f>
        <v>0</v>
      </c>
      <c r="O3492" s="106"/>
      <c r="P3492" s="68">
        <f>P2063/1.18-P2778*'Mark Up Validation'!$M$105</f>
        <v>0</v>
      </c>
      <c r="Q3492" s="106"/>
      <c r="R3492" s="129">
        <f>SUM(F3492,H3492,J3492,L3492,N3492,P3492)</f>
        <v>0</v>
      </c>
      <c r="S3492" s="106"/>
      <c r="T3492" s="68">
        <f>T2063/1.18-T2778*'Mark Up Validation'!$S$105</f>
        <v>0</v>
      </c>
      <c r="U3492" s="106"/>
      <c r="V3492" s="68">
        <f>V2063/1.18-V2778*'Mark Up Validation'!$S$105</f>
        <v>0</v>
      </c>
      <c r="W3492" s="106"/>
      <c r="X3492" s="68">
        <f>X2063/1.18-X2778*'Mark Up Validation'!$S$105</f>
        <v>0</v>
      </c>
      <c r="Y3492" s="106"/>
      <c r="Z3492" s="68">
        <f>Z2063/1.18-Z2778*'Mark Up Validation'!$S$105</f>
        <v>0</v>
      </c>
      <c r="AA3492" s="106"/>
      <c r="AB3492" s="68">
        <f>AB2063/1.18-AB2778*'Mark Up Validation'!$S$105</f>
        <v>0</v>
      </c>
      <c r="AC3492" s="106"/>
      <c r="AD3492" s="68">
        <f>AD2063/1.18-AD2778*'Mark Up Validation'!$S$105</f>
        <v>0</v>
      </c>
      <c r="AE3492" s="106"/>
      <c r="AF3492" s="129">
        <f>SUM(T3492,V3492,X3492,Z3492,AB3492,AD3492)</f>
        <v>0</v>
      </c>
      <c r="AG3492" s="106"/>
      <c r="AH3492" s="130">
        <f>SUM(AF3492,R3492)</f>
        <v>0</v>
      </c>
      <c r="AI3492" s="106"/>
      <c r="AJ3492" s="65"/>
      <c r="AV3492" s="56"/>
    </row>
    <row r="3493" spans="1:48" ht="12.75" hidden="1" customHeight="1" outlineLevel="2" thickBot="1">
      <c r="B3493" s="82"/>
      <c r="C3493" s="1234"/>
      <c r="D3493" s="1234"/>
      <c r="E3493" s="84" t="str">
        <f>'Terms and Turnovers'!$T$12</f>
        <v>ORIGINALS</v>
      </c>
      <c r="F3493" s="68">
        <f>F2064/1.18-F2779*'Mark Up Validation'!$M$105</f>
        <v>0</v>
      </c>
      <c r="G3493" s="728"/>
      <c r="H3493" s="68">
        <f>H2064/1.18-H2779*'Mark Up Validation'!$M$105</f>
        <v>0</v>
      </c>
      <c r="I3493" s="728"/>
      <c r="J3493" s="68">
        <f>J2064/1.18-J2779*'Mark Up Validation'!$M$105</f>
        <v>0</v>
      </c>
      <c r="K3493" s="728"/>
      <c r="L3493" s="68">
        <f>L2064/1.18-L2779*'Mark Up Validation'!$M$105</f>
        <v>0</v>
      </c>
      <c r="M3493" s="728"/>
      <c r="N3493" s="68">
        <f>N2064/1.18-N2779*'Mark Up Validation'!$M$105</f>
        <v>0</v>
      </c>
      <c r="O3493" s="728"/>
      <c r="P3493" s="68">
        <f>P2064/1.18-P2779*'Mark Up Validation'!$M$105</f>
        <v>0</v>
      </c>
      <c r="Q3493" s="728"/>
      <c r="R3493" s="132">
        <f>SUM(F3493,H3493,J3493,L3493,N3493,P3493)</f>
        <v>0</v>
      </c>
      <c r="S3493" s="728"/>
      <c r="T3493" s="68">
        <f>T2064/1.18-T2779*'Mark Up Validation'!$S$105</f>
        <v>0</v>
      </c>
      <c r="U3493" s="728"/>
      <c r="V3493" s="68">
        <f>V2064/1.18-V2779*'Mark Up Validation'!$S$105</f>
        <v>0</v>
      </c>
      <c r="W3493" s="728"/>
      <c r="X3493" s="68">
        <f>X2064/1.18-X2779*'Mark Up Validation'!$S$105</f>
        <v>0</v>
      </c>
      <c r="Y3493" s="728"/>
      <c r="Z3493" s="68">
        <f>Z2064/1.18-Z2779*'Mark Up Validation'!$S$105</f>
        <v>0</v>
      </c>
      <c r="AA3493" s="728"/>
      <c r="AB3493" s="68">
        <f>AB2064/1.18-AB2779*'Mark Up Validation'!$S$105</f>
        <v>0</v>
      </c>
      <c r="AC3493" s="728"/>
      <c r="AD3493" s="68">
        <f>AD2064/1.18-AD2779*'Mark Up Validation'!$S$105</f>
        <v>0</v>
      </c>
      <c r="AE3493" s="728"/>
      <c r="AF3493" s="132">
        <f>SUM(T3493,V3493,X3493,Z3493,AB3493,AD3493)</f>
        <v>0</v>
      </c>
      <c r="AG3493" s="728"/>
      <c r="AH3493" s="133">
        <f>SUM(AF3493,R3493)</f>
        <v>0</v>
      </c>
      <c r="AI3493" s="728"/>
      <c r="AJ3493" s="65"/>
      <c r="AV3493" s="56"/>
    </row>
    <row r="3494" spans="1:48" ht="12.75" hidden="1" customHeight="1" outlineLevel="2" thickBot="1">
      <c r="B3494" s="82"/>
      <c r="C3494" s="1234"/>
      <c r="D3494" s="1234"/>
      <c r="E3494" s="84" t="str">
        <f>'Terms and Turnovers'!$AD$12</f>
        <v>ACCESSORIES</v>
      </c>
      <c r="F3494" s="68">
        <f>F2065/1.18-F2780*'Mark Up Validation'!$M$105</f>
        <v>0</v>
      </c>
      <c r="G3494" s="106"/>
      <c r="H3494" s="68">
        <f>H2065/1.18-H2780*'Mark Up Validation'!$M$105</f>
        <v>0</v>
      </c>
      <c r="I3494" s="106"/>
      <c r="J3494" s="68">
        <f>J2065/1.18-J2780*'Mark Up Validation'!$M$105</f>
        <v>0</v>
      </c>
      <c r="K3494" s="106"/>
      <c r="L3494" s="68">
        <f>L2065/1.18-L2780*'Mark Up Validation'!$M$105</f>
        <v>0</v>
      </c>
      <c r="M3494" s="106"/>
      <c r="N3494" s="68">
        <f>N2065/1.18-N2780*'Mark Up Validation'!$M$105</f>
        <v>0</v>
      </c>
      <c r="O3494" s="106"/>
      <c r="P3494" s="68">
        <f>P2065/1.18-P2780*'Mark Up Validation'!$M$105</f>
        <v>0</v>
      </c>
      <c r="Q3494" s="728"/>
      <c r="R3494" s="132">
        <f>SUM(F3494,H3494,J3494,L3494,N3494,P3494)</f>
        <v>0</v>
      </c>
      <c r="S3494" s="728"/>
      <c r="T3494" s="68">
        <f>T2065/1.18-T2780*'Mark Up Validation'!$S$105</f>
        <v>0</v>
      </c>
      <c r="U3494" s="728"/>
      <c r="V3494" s="68">
        <f>V2065/1.18-V2780*'Mark Up Validation'!$S$105</f>
        <v>0</v>
      </c>
      <c r="W3494" s="728"/>
      <c r="X3494" s="68">
        <f>X2065/1.18-X2780*'Mark Up Validation'!$S$105</f>
        <v>0</v>
      </c>
      <c r="Y3494" s="728"/>
      <c r="Z3494" s="68">
        <f>Z2065/1.18-Z2780*'Mark Up Validation'!$S$105</f>
        <v>0</v>
      </c>
      <c r="AA3494" s="728"/>
      <c r="AB3494" s="68">
        <f>AB2065/1.18-AB2780*'Mark Up Validation'!$S$105</f>
        <v>0</v>
      </c>
      <c r="AC3494" s="728"/>
      <c r="AD3494" s="68">
        <f>AD2065/1.18-AD2780*'Mark Up Validation'!$S$105</f>
        <v>0</v>
      </c>
      <c r="AE3494" s="728"/>
      <c r="AF3494" s="132">
        <f>SUM(T3494,V3494,X3494,Z3494,AB3494,AD3494)</f>
        <v>0</v>
      </c>
      <c r="AG3494" s="728"/>
      <c r="AH3494" s="133">
        <f>SUM(AF3494,R3494)</f>
        <v>0</v>
      </c>
      <c r="AI3494" s="728"/>
      <c r="AJ3494" s="65"/>
      <c r="AV3494" s="56"/>
    </row>
    <row r="3495" spans="1:48" ht="12.75" hidden="1" customHeight="1" outlineLevel="2" thickBot="1">
      <c r="B3495" s="82"/>
      <c r="C3495" s="1234"/>
      <c r="D3495" s="1234"/>
      <c r="E3495" s="84">
        <f>'Terms and Turnovers'!$AN$12</f>
        <v>0</v>
      </c>
      <c r="F3495" s="68">
        <f>F2066/1.18-F2781*'Mark Up Validation'!$M$105</f>
        <v>0</v>
      </c>
      <c r="G3495" s="728"/>
      <c r="H3495" s="68">
        <f>H2066/1.18-H2781*'Mark Up Validation'!$M$105</f>
        <v>0</v>
      </c>
      <c r="I3495" s="728"/>
      <c r="J3495" s="68">
        <f>J2066/1.18-J2781*'Mark Up Validation'!$M$105</f>
        <v>0</v>
      </c>
      <c r="K3495" s="728"/>
      <c r="L3495" s="68">
        <f>L2066/1.18-L2781*'Mark Up Validation'!$M$105</f>
        <v>0</v>
      </c>
      <c r="M3495" s="728"/>
      <c r="N3495" s="68">
        <f>N2066/1.18-N2781*'Mark Up Validation'!$M$105</f>
        <v>0</v>
      </c>
      <c r="O3495" s="728"/>
      <c r="P3495" s="68">
        <f>P2066/1.18-P2781*'Mark Up Validation'!$M$105</f>
        <v>0</v>
      </c>
      <c r="Q3495" s="728"/>
      <c r="R3495" s="132">
        <f>SUM(F3495,H3495,J3495,L3495,N3495,P3495)</f>
        <v>0</v>
      </c>
      <c r="S3495" s="728"/>
      <c r="T3495" s="68">
        <f>T2066/1.18-T2781*'Mark Up Validation'!$S$105</f>
        <v>0</v>
      </c>
      <c r="U3495" s="728"/>
      <c r="V3495" s="68">
        <f>V2066/1.18-V2781*'Mark Up Validation'!$S$105</f>
        <v>0</v>
      </c>
      <c r="W3495" s="728"/>
      <c r="X3495" s="68">
        <f>X2066/1.18-X2781*'Mark Up Validation'!$S$105</f>
        <v>0</v>
      </c>
      <c r="Y3495" s="728"/>
      <c r="Z3495" s="68">
        <f>Z2066/1.18-Z2781*'Mark Up Validation'!$S$105</f>
        <v>0</v>
      </c>
      <c r="AA3495" s="728"/>
      <c r="AB3495" s="68">
        <f>AB2066/1.18-AB2781*'Mark Up Validation'!$S$105</f>
        <v>0</v>
      </c>
      <c r="AC3495" s="728"/>
      <c r="AD3495" s="68">
        <f>AD2066/1.18-AD2781*'Mark Up Validation'!$S$105</f>
        <v>0</v>
      </c>
      <c r="AE3495" s="728"/>
      <c r="AF3495" s="132">
        <f>SUM(T3495,V3495,X3495,Z3495,AB3495,AD3495)</f>
        <v>0</v>
      </c>
      <c r="AG3495" s="728"/>
      <c r="AH3495" s="133">
        <f>SUM(AF3495,R3495)</f>
        <v>0</v>
      </c>
      <c r="AI3495" s="728"/>
      <c r="AJ3495" s="65"/>
      <c r="AV3495" s="56"/>
    </row>
    <row r="3496" spans="1:48" ht="13.5" hidden="1" customHeight="1" outlineLevel="2" thickBot="1">
      <c r="B3496" s="82"/>
      <c r="C3496" s="1235"/>
      <c r="D3496" s="1235"/>
      <c r="E3496" s="85">
        <f>'Terms and Turnovers'!$AX$12</f>
        <v>0</v>
      </c>
      <c r="F3496" s="68">
        <f>F2067/1.18-F2782*'Mark Up Validation'!$M$105</f>
        <v>0</v>
      </c>
      <c r="G3496" s="106"/>
      <c r="H3496" s="68">
        <f>H2067/1.18-H2782*'Mark Up Validation'!$M$105</f>
        <v>0</v>
      </c>
      <c r="I3496" s="106"/>
      <c r="J3496" s="68">
        <f>J2067/1.18-J2782*'Mark Up Validation'!$M$105</f>
        <v>0</v>
      </c>
      <c r="K3496" s="106"/>
      <c r="L3496" s="68">
        <f>L2067/1.18-L2782*'Mark Up Validation'!$M$105</f>
        <v>0</v>
      </c>
      <c r="M3496" s="106"/>
      <c r="N3496" s="68">
        <f>N2067/1.18-N2782*'Mark Up Validation'!$M$105</f>
        <v>0</v>
      </c>
      <c r="O3496" s="106"/>
      <c r="P3496" s="68">
        <f>P2067/1.18-P2782*'Mark Up Validation'!$M$105</f>
        <v>0</v>
      </c>
      <c r="Q3496" s="107"/>
      <c r="R3496" s="135">
        <f>SUM(F3496,H3496,J3496,L3496,N3496,P3496)</f>
        <v>0</v>
      </c>
      <c r="S3496" s="107"/>
      <c r="T3496" s="68">
        <f>T2067/1.18-T2782*'Mark Up Validation'!$S$105</f>
        <v>0</v>
      </c>
      <c r="U3496" s="107"/>
      <c r="V3496" s="68">
        <f>V2067/1.18-V2782*'Mark Up Validation'!$S$105</f>
        <v>0</v>
      </c>
      <c r="W3496" s="107"/>
      <c r="X3496" s="68">
        <f>X2067/1.18-X2782*'Mark Up Validation'!$S$105</f>
        <v>0</v>
      </c>
      <c r="Y3496" s="107"/>
      <c r="Z3496" s="68">
        <f>Z2067/1.18-Z2782*'Mark Up Validation'!$S$105</f>
        <v>0</v>
      </c>
      <c r="AA3496" s="107"/>
      <c r="AB3496" s="68">
        <f>AB2067/1.18-AB2782*'Mark Up Validation'!$S$105</f>
        <v>0</v>
      </c>
      <c r="AC3496" s="107"/>
      <c r="AD3496" s="68">
        <f>AD2067/1.18-AD2782*'Mark Up Validation'!$S$105</f>
        <v>0</v>
      </c>
      <c r="AE3496" s="107"/>
      <c r="AF3496" s="135">
        <f>SUM(T3496,V3496,X3496,Z3496,AB3496,AD3496)</f>
        <v>0</v>
      </c>
      <c r="AG3496" s="107"/>
      <c r="AH3496" s="136">
        <f>SUM(AF3496,R3496)</f>
        <v>0</v>
      </c>
      <c r="AI3496" s="107"/>
      <c r="AJ3496" s="65"/>
      <c r="AV3496" s="56"/>
    </row>
    <row r="3497" spans="1:48" ht="13.5" hidden="1" customHeight="1" outlineLevel="2">
      <c r="B3497" s="82"/>
      <c r="C3497" s="425"/>
      <c r="D3497" s="425"/>
      <c r="E3497" s="634"/>
      <c r="F3497" s="635"/>
      <c r="G3497" s="428"/>
      <c r="H3497" s="635"/>
      <c r="I3497" s="428"/>
      <c r="J3497" s="635"/>
      <c r="K3497" s="636"/>
      <c r="L3497" s="635"/>
      <c r="M3497" s="636"/>
      <c r="N3497" s="635"/>
      <c r="O3497" s="636"/>
      <c r="P3497" s="635"/>
      <c r="Q3497" s="636"/>
      <c r="R3497" s="637"/>
      <c r="S3497" s="698">
        <f>SUM(R2777:R2781)/1.18-(SUM(R3492:R3496)*'Mark Up Validation'!$M$105)</f>
        <v>0</v>
      </c>
      <c r="T3497" s="635"/>
      <c r="U3497" s="636"/>
      <c r="V3497" s="635"/>
      <c r="W3497" s="636"/>
      <c r="X3497" s="635"/>
      <c r="Y3497" s="636"/>
      <c r="Z3497" s="635"/>
      <c r="AA3497" s="636"/>
      <c r="AB3497" s="635"/>
      <c r="AC3497" s="636"/>
      <c r="AD3497" s="635"/>
      <c r="AE3497" s="636"/>
      <c r="AF3497" s="637"/>
      <c r="AG3497" s="698">
        <f>SUM(AF2777:AF2781)/1.18-SUM(AF3492:AF3496)*'Mark Up Validation'!$M$175</f>
        <v>0</v>
      </c>
      <c r="AH3497" s="638"/>
      <c r="AI3497" s="698">
        <f>SUM(AH2777:AH2781)/1.18-SUM(AH3492:AH3496)*'Mark Up Validation'!$M$175</f>
        <v>0</v>
      </c>
      <c r="AJ3497" s="65"/>
      <c r="AV3497" s="56"/>
    </row>
    <row r="3498" spans="1:48" ht="13.5" hidden="1" customHeight="1" outlineLevel="2" thickBot="1">
      <c r="A3498" s="119"/>
      <c r="B3498" s="82"/>
      <c r="C3498" s="1228" t="s">
        <v>539</v>
      </c>
      <c r="D3498" s="1229"/>
      <c r="E3498" s="699"/>
      <c r="F3498" s="700">
        <f>SUM(F3492:F3496)</f>
        <v>0</v>
      </c>
      <c r="G3498" s="701"/>
      <c r="H3498" s="700">
        <f>SUM(H3492:H3496)</f>
        <v>0</v>
      </c>
      <c r="I3498" s="701"/>
      <c r="J3498" s="700">
        <f>SUM(J3492:J3496)</f>
        <v>0</v>
      </c>
      <c r="K3498" s="702"/>
      <c r="L3498" s="700">
        <f>SUM(L3492:L3496)</f>
        <v>0</v>
      </c>
      <c r="M3498" s="702"/>
      <c r="N3498" s="700">
        <f>SUM(N3492:N3496)</f>
        <v>0</v>
      </c>
      <c r="O3498" s="702"/>
      <c r="P3498" s="700">
        <f>SUM(P3492:P3496)</f>
        <v>0</v>
      </c>
      <c r="Q3498" s="702"/>
      <c r="R3498" s="703"/>
      <c r="S3498" s="729">
        <f>IF(S3497&gt;0,S3497/(SUM(R2777:R2781)/1.18),0)</f>
        <v>0</v>
      </c>
      <c r="T3498" s="700">
        <f>SUM(T3492:T3496)</f>
        <v>0</v>
      </c>
      <c r="U3498" s="702"/>
      <c r="V3498" s="700">
        <f>SUM(V3492:V3496)</f>
        <v>0</v>
      </c>
      <c r="W3498" s="702"/>
      <c r="X3498" s="700">
        <f>SUM(X3492:X3496)</f>
        <v>0</v>
      </c>
      <c r="Y3498" s="702"/>
      <c r="Z3498" s="700">
        <f>SUM(Z3492:Z3496)</f>
        <v>0</v>
      </c>
      <c r="AA3498" s="702"/>
      <c r="AB3498" s="700">
        <f>SUM(AB3492:AB3496)</f>
        <v>0</v>
      </c>
      <c r="AC3498" s="702"/>
      <c r="AD3498" s="700">
        <f>SUM(AD3492:AD3496)</f>
        <v>0</v>
      </c>
      <c r="AE3498" s="702"/>
      <c r="AF3498" s="705"/>
      <c r="AG3498" s="729">
        <f>IF(AG3497&gt;0,AG3497/(SUM(AF2777:AF2781)/1.18),0)</f>
        <v>0</v>
      </c>
      <c r="AH3498" s="706"/>
      <c r="AI3498" s="729">
        <f>IF(AI3497&gt;0,AI3497/(SUM(AH2777:AH2781)/1.18),0)</f>
        <v>0</v>
      </c>
      <c r="AJ3498" s="707"/>
      <c r="AV3498" s="56"/>
    </row>
    <row r="3499" spans="1:48" ht="12.75" hidden="1" customHeight="1" outlineLevel="2" thickBot="1">
      <c r="B3499" s="82">
        <f>B3492+1</f>
        <v>89</v>
      </c>
      <c r="C3499" s="1233">
        <f>C629</f>
        <v>0</v>
      </c>
      <c r="D3499" s="1233">
        <f>D629</f>
        <v>0</v>
      </c>
      <c r="E3499" s="83" t="str">
        <f>'Terms and Turnovers'!$J$12</f>
        <v>FLIP-FLOPS</v>
      </c>
      <c r="F3499" s="68">
        <f>F2070/1.18-F2785*'Mark Up Validation'!$M$105</f>
        <v>0</v>
      </c>
      <c r="G3499" s="106"/>
      <c r="H3499" s="68">
        <f>H2070/1.18-H2785*'Mark Up Validation'!$M$105</f>
        <v>0</v>
      </c>
      <c r="I3499" s="106"/>
      <c r="J3499" s="68">
        <f>J2070/1.18-J2785*'Mark Up Validation'!$M$105</f>
        <v>0</v>
      </c>
      <c r="K3499" s="106"/>
      <c r="L3499" s="68">
        <f>L2070/1.18-L2785*'Mark Up Validation'!$M$105</f>
        <v>0</v>
      </c>
      <c r="M3499" s="106"/>
      <c r="N3499" s="68">
        <f>N2070/1.18-N2785*'Mark Up Validation'!$M$105</f>
        <v>0</v>
      </c>
      <c r="O3499" s="106"/>
      <c r="P3499" s="68">
        <f>P2070/1.18-P2785*'Mark Up Validation'!$M$105</f>
        <v>0</v>
      </c>
      <c r="Q3499" s="106"/>
      <c r="R3499" s="129">
        <f>SUM(F3499,H3499,J3499,L3499,N3499,P3499)</f>
        <v>0</v>
      </c>
      <c r="S3499" s="106"/>
      <c r="T3499" s="68">
        <f>T2070/1.18-T2785*'Mark Up Validation'!$S$105</f>
        <v>0</v>
      </c>
      <c r="U3499" s="106"/>
      <c r="V3499" s="68">
        <f>V2070/1.18-V2785*'Mark Up Validation'!$S$105</f>
        <v>0</v>
      </c>
      <c r="W3499" s="106"/>
      <c r="X3499" s="68">
        <f>X2070/1.18-X2785*'Mark Up Validation'!$S$105</f>
        <v>0</v>
      </c>
      <c r="Y3499" s="106"/>
      <c r="Z3499" s="68">
        <f>Z2070/1.18-Z2785*'Mark Up Validation'!$S$105</f>
        <v>0</v>
      </c>
      <c r="AA3499" s="106"/>
      <c r="AB3499" s="68">
        <f>AB2070/1.18-AB2785*'Mark Up Validation'!$S$105</f>
        <v>0</v>
      </c>
      <c r="AC3499" s="106"/>
      <c r="AD3499" s="68">
        <f>AD2070/1.18-AD2785*'Mark Up Validation'!$S$105</f>
        <v>0</v>
      </c>
      <c r="AE3499" s="106"/>
      <c r="AF3499" s="129">
        <f>SUM(T3499,V3499,X3499,Z3499,AB3499,AD3499)</f>
        <v>0</v>
      </c>
      <c r="AG3499" s="106"/>
      <c r="AH3499" s="130">
        <f>SUM(AF3499,R3499)</f>
        <v>0</v>
      </c>
      <c r="AI3499" s="106"/>
      <c r="AJ3499" s="65"/>
      <c r="AV3499" s="56"/>
    </row>
    <row r="3500" spans="1:48" ht="12.75" hidden="1" customHeight="1" outlineLevel="2" thickBot="1">
      <c r="B3500" s="82"/>
      <c r="C3500" s="1234"/>
      <c r="D3500" s="1234"/>
      <c r="E3500" s="84" t="str">
        <f>'Terms and Turnovers'!$T$12</f>
        <v>ORIGINALS</v>
      </c>
      <c r="F3500" s="68">
        <f>F2071/1.18-F2786*'Mark Up Validation'!$M$105</f>
        <v>0</v>
      </c>
      <c r="G3500" s="728"/>
      <c r="H3500" s="68">
        <f>H2071/1.18-H2786*'Mark Up Validation'!$M$105</f>
        <v>0</v>
      </c>
      <c r="I3500" s="728"/>
      <c r="J3500" s="68">
        <f>J2071/1.18-J2786*'Mark Up Validation'!$M$105</f>
        <v>0</v>
      </c>
      <c r="K3500" s="728"/>
      <c r="L3500" s="68">
        <f>L2071/1.18-L2786*'Mark Up Validation'!$M$105</f>
        <v>0</v>
      </c>
      <c r="M3500" s="728"/>
      <c r="N3500" s="68">
        <f>N2071/1.18-N2786*'Mark Up Validation'!$M$105</f>
        <v>0</v>
      </c>
      <c r="O3500" s="728"/>
      <c r="P3500" s="68">
        <f>P2071/1.18-P2786*'Mark Up Validation'!$M$105</f>
        <v>0</v>
      </c>
      <c r="Q3500" s="728"/>
      <c r="R3500" s="132">
        <f>SUM(F3500,H3500,J3500,L3500,N3500,P3500)</f>
        <v>0</v>
      </c>
      <c r="S3500" s="728"/>
      <c r="T3500" s="68">
        <f>T2071/1.18-T2786*'Mark Up Validation'!$S$105</f>
        <v>0</v>
      </c>
      <c r="U3500" s="728"/>
      <c r="V3500" s="68">
        <f>V2071/1.18-V2786*'Mark Up Validation'!$S$105</f>
        <v>0</v>
      </c>
      <c r="W3500" s="728"/>
      <c r="X3500" s="68">
        <f>X2071/1.18-X2786*'Mark Up Validation'!$S$105</f>
        <v>0</v>
      </c>
      <c r="Y3500" s="728"/>
      <c r="Z3500" s="68">
        <f>Z2071/1.18-Z2786*'Mark Up Validation'!$S$105</f>
        <v>0</v>
      </c>
      <c r="AA3500" s="728"/>
      <c r="AB3500" s="68">
        <f>AB2071/1.18-AB2786*'Mark Up Validation'!$S$105</f>
        <v>0</v>
      </c>
      <c r="AC3500" s="728"/>
      <c r="AD3500" s="68">
        <f>AD2071/1.18-AD2786*'Mark Up Validation'!$S$105</f>
        <v>0</v>
      </c>
      <c r="AE3500" s="728"/>
      <c r="AF3500" s="132">
        <f>SUM(T3500,V3500,X3500,Z3500,AB3500,AD3500)</f>
        <v>0</v>
      </c>
      <c r="AG3500" s="728"/>
      <c r="AH3500" s="133">
        <f>SUM(AF3500,R3500)</f>
        <v>0</v>
      </c>
      <c r="AI3500" s="728"/>
      <c r="AJ3500" s="65"/>
      <c r="AV3500" s="56"/>
    </row>
    <row r="3501" spans="1:48" ht="12.75" hidden="1" customHeight="1" outlineLevel="2" thickBot="1">
      <c r="B3501" s="82"/>
      <c r="C3501" s="1234"/>
      <c r="D3501" s="1234"/>
      <c r="E3501" s="84" t="str">
        <f>'Terms and Turnovers'!$AD$12</f>
        <v>ACCESSORIES</v>
      </c>
      <c r="F3501" s="68">
        <f>F2072/1.18-F2787*'Mark Up Validation'!$M$105</f>
        <v>0</v>
      </c>
      <c r="G3501" s="106"/>
      <c r="H3501" s="68">
        <f>H2072/1.18-H2787*'Mark Up Validation'!$M$105</f>
        <v>0</v>
      </c>
      <c r="I3501" s="106"/>
      <c r="J3501" s="68">
        <f>J2072/1.18-J2787*'Mark Up Validation'!$M$105</f>
        <v>0</v>
      </c>
      <c r="K3501" s="106"/>
      <c r="L3501" s="68">
        <f>L2072/1.18-L2787*'Mark Up Validation'!$M$105</f>
        <v>0</v>
      </c>
      <c r="M3501" s="106"/>
      <c r="N3501" s="68">
        <f>N2072/1.18-N2787*'Mark Up Validation'!$M$105</f>
        <v>0</v>
      </c>
      <c r="O3501" s="106"/>
      <c r="P3501" s="68">
        <f>P2072/1.18-P2787*'Mark Up Validation'!$M$105</f>
        <v>0</v>
      </c>
      <c r="Q3501" s="728"/>
      <c r="R3501" s="132">
        <f>SUM(F3501,H3501,J3501,L3501,N3501,P3501)</f>
        <v>0</v>
      </c>
      <c r="S3501" s="728"/>
      <c r="T3501" s="68">
        <f>T2072/1.18-T2787*'Mark Up Validation'!$S$105</f>
        <v>0</v>
      </c>
      <c r="U3501" s="728"/>
      <c r="V3501" s="68">
        <f>V2072/1.18-V2787*'Mark Up Validation'!$S$105</f>
        <v>0</v>
      </c>
      <c r="W3501" s="728"/>
      <c r="X3501" s="68">
        <f>X2072/1.18-X2787*'Mark Up Validation'!$S$105</f>
        <v>0</v>
      </c>
      <c r="Y3501" s="728"/>
      <c r="Z3501" s="68">
        <f>Z2072/1.18-Z2787*'Mark Up Validation'!$S$105</f>
        <v>0</v>
      </c>
      <c r="AA3501" s="728"/>
      <c r="AB3501" s="68">
        <f>AB2072/1.18-AB2787*'Mark Up Validation'!$S$105</f>
        <v>0</v>
      </c>
      <c r="AC3501" s="728"/>
      <c r="AD3501" s="68">
        <f>AD2072/1.18-AD2787*'Mark Up Validation'!$S$105</f>
        <v>0</v>
      </c>
      <c r="AE3501" s="728"/>
      <c r="AF3501" s="132">
        <f>SUM(T3501,V3501,X3501,Z3501,AB3501,AD3501)</f>
        <v>0</v>
      </c>
      <c r="AG3501" s="728"/>
      <c r="AH3501" s="133">
        <f>SUM(AF3501,R3501)</f>
        <v>0</v>
      </c>
      <c r="AI3501" s="728"/>
      <c r="AJ3501" s="65"/>
      <c r="AV3501" s="56"/>
    </row>
    <row r="3502" spans="1:48" ht="12.75" hidden="1" customHeight="1" outlineLevel="2" thickBot="1">
      <c r="B3502" s="82"/>
      <c r="C3502" s="1234"/>
      <c r="D3502" s="1234"/>
      <c r="E3502" s="84">
        <f>'Terms and Turnovers'!$AN$12</f>
        <v>0</v>
      </c>
      <c r="F3502" s="68">
        <f>F2073/1.18-F2788*'Mark Up Validation'!$M$105</f>
        <v>0</v>
      </c>
      <c r="G3502" s="728"/>
      <c r="H3502" s="68">
        <f>H2073/1.18-H2788*'Mark Up Validation'!$M$105</f>
        <v>0</v>
      </c>
      <c r="I3502" s="728"/>
      <c r="J3502" s="68">
        <f>J2073/1.18-J2788*'Mark Up Validation'!$M$105</f>
        <v>0</v>
      </c>
      <c r="K3502" s="728"/>
      <c r="L3502" s="68">
        <f>L2073/1.18-L2788*'Mark Up Validation'!$M$105</f>
        <v>0</v>
      </c>
      <c r="M3502" s="728"/>
      <c r="N3502" s="68">
        <f>N2073/1.18-N2788*'Mark Up Validation'!$M$105</f>
        <v>0</v>
      </c>
      <c r="O3502" s="728"/>
      <c r="P3502" s="68">
        <f>P2073/1.18-P2788*'Mark Up Validation'!$M$105</f>
        <v>0</v>
      </c>
      <c r="Q3502" s="728"/>
      <c r="R3502" s="132">
        <f>SUM(F3502,H3502,J3502,L3502,N3502,P3502)</f>
        <v>0</v>
      </c>
      <c r="S3502" s="728"/>
      <c r="T3502" s="68">
        <f>T2073/1.18-T2788*'Mark Up Validation'!$S$105</f>
        <v>0</v>
      </c>
      <c r="U3502" s="728"/>
      <c r="V3502" s="68">
        <f>V2073/1.18-V2788*'Mark Up Validation'!$S$105</f>
        <v>0</v>
      </c>
      <c r="W3502" s="728"/>
      <c r="X3502" s="68">
        <f>X2073/1.18-X2788*'Mark Up Validation'!$S$105</f>
        <v>0</v>
      </c>
      <c r="Y3502" s="728"/>
      <c r="Z3502" s="68">
        <f>Z2073/1.18-Z2788*'Mark Up Validation'!$S$105</f>
        <v>0</v>
      </c>
      <c r="AA3502" s="728"/>
      <c r="AB3502" s="68">
        <f>AB2073/1.18-AB2788*'Mark Up Validation'!$S$105</f>
        <v>0</v>
      </c>
      <c r="AC3502" s="728"/>
      <c r="AD3502" s="68">
        <f>AD2073/1.18-AD2788*'Mark Up Validation'!$S$105</f>
        <v>0</v>
      </c>
      <c r="AE3502" s="728"/>
      <c r="AF3502" s="132">
        <f>SUM(T3502,V3502,X3502,Z3502,AB3502,AD3502)</f>
        <v>0</v>
      </c>
      <c r="AG3502" s="728"/>
      <c r="AH3502" s="133">
        <f>SUM(AF3502,R3502)</f>
        <v>0</v>
      </c>
      <c r="AI3502" s="728"/>
      <c r="AJ3502" s="65"/>
      <c r="AV3502" s="56"/>
    </row>
    <row r="3503" spans="1:48" ht="13.5" hidden="1" customHeight="1" outlineLevel="2" thickBot="1">
      <c r="B3503" s="82"/>
      <c r="C3503" s="1235"/>
      <c r="D3503" s="1235"/>
      <c r="E3503" s="85">
        <f>'Terms and Turnovers'!$AX$12</f>
        <v>0</v>
      </c>
      <c r="F3503" s="68">
        <f>F2074/1.18-F2789*'Mark Up Validation'!$M$105</f>
        <v>0</v>
      </c>
      <c r="G3503" s="106"/>
      <c r="H3503" s="68">
        <f>H2074/1.18-H2789*'Mark Up Validation'!$M$105</f>
        <v>0</v>
      </c>
      <c r="I3503" s="106"/>
      <c r="J3503" s="68">
        <f>J2074/1.18-J2789*'Mark Up Validation'!$M$105</f>
        <v>0</v>
      </c>
      <c r="K3503" s="106"/>
      <c r="L3503" s="68">
        <f>L2074/1.18-L2789*'Mark Up Validation'!$M$105</f>
        <v>0</v>
      </c>
      <c r="M3503" s="106"/>
      <c r="N3503" s="68">
        <f>N2074/1.18-N2789*'Mark Up Validation'!$M$105</f>
        <v>0</v>
      </c>
      <c r="O3503" s="106"/>
      <c r="P3503" s="68">
        <f>P2074/1.18-P2789*'Mark Up Validation'!$M$105</f>
        <v>0</v>
      </c>
      <c r="Q3503" s="107"/>
      <c r="R3503" s="135">
        <f>SUM(F3503,H3503,J3503,L3503,N3503,P3503)</f>
        <v>0</v>
      </c>
      <c r="S3503" s="107"/>
      <c r="T3503" s="68">
        <f>T2074/1.18-T2789*'Mark Up Validation'!$S$105</f>
        <v>0</v>
      </c>
      <c r="U3503" s="107"/>
      <c r="V3503" s="68">
        <f>V2074/1.18-V2789*'Mark Up Validation'!$S$105</f>
        <v>0</v>
      </c>
      <c r="W3503" s="107"/>
      <c r="X3503" s="68">
        <f>X2074/1.18-X2789*'Mark Up Validation'!$S$105</f>
        <v>0</v>
      </c>
      <c r="Y3503" s="107"/>
      <c r="Z3503" s="68">
        <f>Z2074/1.18-Z2789*'Mark Up Validation'!$S$105</f>
        <v>0</v>
      </c>
      <c r="AA3503" s="107"/>
      <c r="AB3503" s="68">
        <f>AB2074/1.18-AB2789*'Mark Up Validation'!$S$105</f>
        <v>0</v>
      </c>
      <c r="AC3503" s="107"/>
      <c r="AD3503" s="68">
        <f>AD2074/1.18-AD2789*'Mark Up Validation'!$S$105</f>
        <v>0</v>
      </c>
      <c r="AE3503" s="107"/>
      <c r="AF3503" s="135">
        <f>SUM(T3503,V3503,X3503,Z3503,AB3503,AD3503)</f>
        <v>0</v>
      </c>
      <c r="AG3503" s="107"/>
      <c r="AH3503" s="136">
        <f>SUM(AF3503,R3503)</f>
        <v>0</v>
      </c>
      <c r="AI3503" s="107"/>
      <c r="AJ3503" s="65"/>
      <c r="AV3503" s="56"/>
    </row>
    <row r="3504" spans="1:48" ht="13.5" hidden="1" customHeight="1" outlineLevel="2">
      <c r="B3504" s="82"/>
      <c r="C3504" s="425"/>
      <c r="D3504" s="425"/>
      <c r="E3504" s="634"/>
      <c r="F3504" s="635"/>
      <c r="G3504" s="428"/>
      <c r="H3504" s="635"/>
      <c r="I3504" s="428"/>
      <c r="J3504" s="635"/>
      <c r="K3504" s="636"/>
      <c r="L3504" s="635"/>
      <c r="M3504" s="636"/>
      <c r="N3504" s="635"/>
      <c r="O3504" s="636"/>
      <c r="P3504" s="635"/>
      <c r="Q3504" s="636"/>
      <c r="R3504" s="637"/>
      <c r="S3504" s="698">
        <f>SUM(R2784:R2788)/1.18-(SUM(R3499:R3503)*'Mark Up Validation'!$M$105)</f>
        <v>0</v>
      </c>
      <c r="T3504" s="635"/>
      <c r="U3504" s="636"/>
      <c r="V3504" s="635"/>
      <c r="W3504" s="636"/>
      <c r="X3504" s="635"/>
      <c r="Y3504" s="636"/>
      <c r="Z3504" s="635"/>
      <c r="AA3504" s="636"/>
      <c r="AB3504" s="635"/>
      <c r="AC3504" s="636"/>
      <c r="AD3504" s="635"/>
      <c r="AE3504" s="636"/>
      <c r="AF3504" s="637"/>
      <c r="AG3504" s="698">
        <f>SUM(AF2784:AF2788)/1.18-SUM(AF3499:AF3503)*'Mark Up Validation'!$M$175</f>
        <v>0</v>
      </c>
      <c r="AH3504" s="638"/>
      <c r="AI3504" s="698">
        <f>SUM(AH2784:AH2788)/1.18-SUM(AH3499:AH3503)*'Mark Up Validation'!$M$175</f>
        <v>0</v>
      </c>
      <c r="AJ3504" s="65"/>
      <c r="AV3504" s="56"/>
    </row>
    <row r="3505" spans="1:48" ht="13.5" hidden="1" customHeight="1" outlineLevel="2" thickBot="1">
      <c r="A3505" s="119"/>
      <c r="B3505" s="82"/>
      <c r="C3505" s="1228" t="s">
        <v>539</v>
      </c>
      <c r="D3505" s="1229"/>
      <c r="E3505" s="699"/>
      <c r="F3505" s="700">
        <f>SUM(F3499:F3503)</f>
        <v>0</v>
      </c>
      <c r="G3505" s="701"/>
      <c r="H3505" s="700">
        <f>SUM(H3499:H3503)</f>
        <v>0</v>
      </c>
      <c r="I3505" s="701"/>
      <c r="J3505" s="700">
        <f>SUM(J3499:J3503)</f>
        <v>0</v>
      </c>
      <c r="K3505" s="702"/>
      <c r="L3505" s="700">
        <f>SUM(L3499:L3503)</f>
        <v>0</v>
      </c>
      <c r="M3505" s="702"/>
      <c r="N3505" s="700">
        <f>SUM(N3499:N3503)</f>
        <v>0</v>
      </c>
      <c r="O3505" s="702"/>
      <c r="P3505" s="700">
        <f>SUM(P3499:P3503)</f>
        <v>0</v>
      </c>
      <c r="Q3505" s="702"/>
      <c r="R3505" s="703"/>
      <c r="S3505" s="729">
        <f>IF(S3504&gt;0,S3504/(SUM(R2784:R2788)/1.18),0)</f>
        <v>0</v>
      </c>
      <c r="T3505" s="700">
        <f>SUM(T3499:T3503)</f>
        <v>0</v>
      </c>
      <c r="U3505" s="702"/>
      <c r="V3505" s="700">
        <f>SUM(V3499:V3503)</f>
        <v>0</v>
      </c>
      <c r="W3505" s="702"/>
      <c r="X3505" s="700">
        <f>SUM(X3499:X3503)</f>
        <v>0</v>
      </c>
      <c r="Y3505" s="702"/>
      <c r="Z3505" s="700">
        <f>SUM(Z3499:Z3503)</f>
        <v>0</v>
      </c>
      <c r="AA3505" s="702"/>
      <c r="AB3505" s="700">
        <f>SUM(AB3499:AB3503)</f>
        <v>0</v>
      </c>
      <c r="AC3505" s="702"/>
      <c r="AD3505" s="700">
        <f>SUM(AD3499:AD3503)</f>
        <v>0</v>
      </c>
      <c r="AE3505" s="702"/>
      <c r="AF3505" s="705"/>
      <c r="AG3505" s="729">
        <f>IF(AG3504&gt;0,AG3504/(SUM(AF2784:AF2788)/1.18),0)</f>
        <v>0</v>
      </c>
      <c r="AH3505" s="706"/>
      <c r="AI3505" s="729">
        <f>IF(AI3504&gt;0,AI3504/(SUM(AH2784:AH2788)/1.18),0)</f>
        <v>0</v>
      </c>
      <c r="AJ3505" s="707"/>
      <c r="AV3505" s="56"/>
    </row>
    <row r="3506" spans="1:48" ht="12.75" hidden="1" customHeight="1" outlineLevel="2" thickBot="1">
      <c r="B3506" s="82">
        <f>B3499+1</f>
        <v>90</v>
      </c>
      <c r="C3506" s="1233">
        <f>C636</f>
        <v>0</v>
      </c>
      <c r="D3506" s="1233">
        <f>D636</f>
        <v>0</v>
      </c>
      <c r="E3506" s="83" t="str">
        <f>'Terms and Turnovers'!$J$12</f>
        <v>FLIP-FLOPS</v>
      </c>
      <c r="F3506" s="68">
        <f>F2077/1.18-F2792*'Mark Up Validation'!$M$105</f>
        <v>0</v>
      </c>
      <c r="G3506" s="106"/>
      <c r="H3506" s="68">
        <f>H2077/1.18-H2792*'Mark Up Validation'!$M$105</f>
        <v>0</v>
      </c>
      <c r="I3506" s="106"/>
      <c r="J3506" s="68">
        <f>J2077/1.18-J2792*'Mark Up Validation'!$M$105</f>
        <v>0</v>
      </c>
      <c r="K3506" s="106"/>
      <c r="L3506" s="68">
        <f>L2077/1.18-L2792*'Mark Up Validation'!$M$105</f>
        <v>0</v>
      </c>
      <c r="M3506" s="106"/>
      <c r="N3506" s="68">
        <f>N2077/1.18-N2792*'Mark Up Validation'!$M$105</f>
        <v>0</v>
      </c>
      <c r="O3506" s="106"/>
      <c r="P3506" s="68">
        <f>P2077/1.18-P2792*'Mark Up Validation'!$M$105</f>
        <v>0</v>
      </c>
      <c r="Q3506" s="106"/>
      <c r="R3506" s="129">
        <f>SUM(F3506,H3506,J3506,L3506,N3506,P3506)</f>
        <v>0</v>
      </c>
      <c r="S3506" s="106"/>
      <c r="T3506" s="68">
        <f>T2077/1.18-T2792*'Mark Up Validation'!$S$105</f>
        <v>0</v>
      </c>
      <c r="U3506" s="106"/>
      <c r="V3506" s="68">
        <f>V2077/1.18-V2792*'Mark Up Validation'!$S$105</f>
        <v>0</v>
      </c>
      <c r="W3506" s="106"/>
      <c r="X3506" s="68">
        <f>X2077/1.18-X2792*'Mark Up Validation'!$S$105</f>
        <v>0</v>
      </c>
      <c r="Y3506" s="106"/>
      <c r="Z3506" s="68">
        <f>Z2077/1.18-Z2792*'Mark Up Validation'!$S$105</f>
        <v>0</v>
      </c>
      <c r="AA3506" s="106"/>
      <c r="AB3506" s="68">
        <f>AB2077/1.18-AB2792*'Mark Up Validation'!$S$105</f>
        <v>0</v>
      </c>
      <c r="AC3506" s="106"/>
      <c r="AD3506" s="68">
        <f>AD2077/1.18-AD2792*'Mark Up Validation'!$S$105</f>
        <v>0</v>
      </c>
      <c r="AE3506" s="106"/>
      <c r="AF3506" s="129">
        <f>SUM(T3506,V3506,X3506,Z3506,AB3506,AD3506)</f>
        <v>0</v>
      </c>
      <c r="AG3506" s="106"/>
      <c r="AH3506" s="130">
        <f>SUM(AF3506,R3506)</f>
        <v>0</v>
      </c>
      <c r="AI3506" s="106"/>
      <c r="AJ3506" s="65"/>
      <c r="AV3506" s="56"/>
    </row>
    <row r="3507" spans="1:48" ht="12.75" hidden="1" customHeight="1" outlineLevel="2" thickBot="1">
      <c r="B3507" s="82"/>
      <c r="C3507" s="1234"/>
      <c r="D3507" s="1234"/>
      <c r="E3507" s="84" t="str">
        <f>'Terms and Turnovers'!$T$12</f>
        <v>ORIGINALS</v>
      </c>
      <c r="F3507" s="68">
        <f>F2078/1.18-F2793*'Mark Up Validation'!$M$105</f>
        <v>0</v>
      </c>
      <c r="G3507" s="728"/>
      <c r="H3507" s="68">
        <f>H2078/1.18-H2793*'Mark Up Validation'!$M$105</f>
        <v>0</v>
      </c>
      <c r="I3507" s="728"/>
      <c r="J3507" s="68">
        <f>J2078/1.18-J2793*'Mark Up Validation'!$M$105</f>
        <v>0</v>
      </c>
      <c r="K3507" s="728"/>
      <c r="L3507" s="68">
        <f>L2078/1.18-L2793*'Mark Up Validation'!$M$105</f>
        <v>0</v>
      </c>
      <c r="M3507" s="728"/>
      <c r="N3507" s="68">
        <f>N2078/1.18-N2793*'Mark Up Validation'!$M$105</f>
        <v>0</v>
      </c>
      <c r="O3507" s="728"/>
      <c r="P3507" s="68">
        <f>P2078/1.18-P2793*'Mark Up Validation'!$M$105</f>
        <v>0</v>
      </c>
      <c r="Q3507" s="728"/>
      <c r="R3507" s="132">
        <f>SUM(F3507,H3507,J3507,L3507,N3507,P3507)</f>
        <v>0</v>
      </c>
      <c r="S3507" s="728"/>
      <c r="T3507" s="68">
        <f>T2078/1.18-T2793*'Mark Up Validation'!$S$105</f>
        <v>0</v>
      </c>
      <c r="U3507" s="728"/>
      <c r="V3507" s="68">
        <f>V2078/1.18-V2793*'Mark Up Validation'!$S$105</f>
        <v>0</v>
      </c>
      <c r="W3507" s="728"/>
      <c r="X3507" s="68">
        <f>X2078/1.18-X2793*'Mark Up Validation'!$S$105</f>
        <v>0</v>
      </c>
      <c r="Y3507" s="728"/>
      <c r="Z3507" s="68">
        <f>Z2078/1.18-Z2793*'Mark Up Validation'!$S$105</f>
        <v>0</v>
      </c>
      <c r="AA3507" s="728"/>
      <c r="AB3507" s="68">
        <f>AB2078/1.18-AB2793*'Mark Up Validation'!$S$105</f>
        <v>0</v>
      </c>
      <c r="AC3507" s="728"/>
      <c r="AD3507" s="68">
        <f>AD2078/1.18-AD2793*'Mark Up Validation'!$S$105</f>
        <v>0</v>
      </c>
      <c r="AE3507" s="728"/>
      <c r="AF3507" s="132">
        <f>SUM(T3507,V3507,X3507,Z3507,AB3507,AD3507)</f>
        <v>0</v>
      </c>
      <c r="AG3507" s="728"/>
      <c r="AH3507" s="133">
        <f>SUM(AF3507,R3507)</f>
        <v>0</v>
      </c>
      <c r="AI3507" s="728"/>
      <c r="AJ3507" s="65"/>
      <c r="AV3507" s="56"/>
    </row>
    <row r="3508" spans="1:48" ht="12.75" hidden="1" customHeight="1" outlineLevel="2" thickBot="1">
      <c r="B3508" s="82"/>
      <c r="C3508" s="1234"/>
      <c r="D3508" s="1234"/>
      <c r="E3508" s="84" t="str">
        <f>'Terms and Turnovers'!$AD$12</f>
        <v>ACCESSORIES</v>
      </c>
      <c r="F3508" s="68">
        <f>F2079/1.18-F2794*'Mark Up Validation'!$M$105</f>
        <v>0</v>
      </c>
      <c r="G3508" s="106"/>
      <c r="H3508" s="68">
        <f>H2079/1.18-H2794*'Mark Up Validation'!$M$105</f>
        <v>0</v>
      </c>
      <c r="I3508" s="106"/>
      <c r="J3508" s="68">
        <f>J2079/1.18-J2794*'Mark Up Validation'!$M$105</f>
        <v>0</v>
      </c>
      <c r="K3508" s="106"/>
      <c r="L3508" s="68">
        <f>L2079/1.18-L2794*'Mark Up Validation'!$M$105</f>
        <v>0</v>
      </c>
      <c r="M3508" s="106"/>
      <c r="N3508" s="68">
        <f>N2079/1.18-N2794*'Mark Up Validation'!$M$105</f>
        <v>0</v>
      </c>
      <c r="O3508" s="106"/>
      <c r="P3508" s="68">
        <f>P2079/1.18-P2794*'Mark Up Validation'!$M$105</f>
        <v>0</v>
      </c>
      <c r="Q3508" s="728"/>
      <c r="R3508" s="132">
        <f>SUM(F3508,H3508,J3508,L3508,N3508,P3508)</f>
        <v>0</v>
      </c>
      <c r="S3508" s="728"/>
      <c r="T3508" s="68">
        <f>T2079/1.18-T2794*'Mark Up Validation'!$S$105</f>
        <v>0</v>
      </c>
      <c r="U3508" s="728"/>
      <c r="V3508" s="68">
        <f>V2079/1.18-V2794*'Mark Up Validation'!$S$105</f>
        <v>0</v>
      </c>
      <c r="W3508" s="728"/>
      <c r="X3508" s="68">
        <f>X2079/1.18-X2794*'Mark Up Validation'!$S$105</f>
        <v>0</v>
      </c>
      <c r="Y3508" s="728"/>
      <c r="Z3508" s="68">
        <f>Z2079/1.18-Z2794*'Mark Up Validation'!$S$105</f>
        <v>0</v>
      </c>
      <c r="AA3508" s="728"/>
      <c r="AB3508" s="68">
        <f>AB2079/1.18-AB2794*'Mark Up Validation'!$S$105</f>
        <v>0</v>
      </c>
      <c r="AC3508" s="728"/>
      <c r="AD3508" s="68">
        <f>AD2079/1.18-AD2794*'Mark Up Validation'!$S$105</f>
        <v>0</v>
      </c>
      <c r="AE3508" s="728"/>
      <c r="AF3508" s="132">
        <f>SUM(T3508,V3508,X3508,Z3508,AB3508,AD3508)</f>
        <v>0</v>
      </c>
      <c r="AG3508" s="728"/>
      <c r="AH3508" s="133">
        <f>SUM(AF3508,R3508)</f>
        <v>0</v>
      </c>
      <c r="AI3508" s="728"/>
      <c r="AJ3508" s="65"/>
      <c r="AV3508" s="56"/>
    </row>
    <row r="3509" spans="1:48" ht="12.75" hidden="1" customHeight="1" outlineLevel="2" thickBot="1">
      <c r="B3509" s="82"/>
      <c r="C3509" s="1234"/>
      <c r="D3509" s="1234"/>
      <c r="E3509" s="84">
        <f>'Terms and Turnovers'!$AN$12</f>
        <v>0</v>
      </c>
      <c r="F3509" s="68">
        <f>F2080/1.18-F2795*'Mark Up Validation'!$M$105</f>
        <v>0</v>
      </c>
      <c r="G3509" s="728"/>
      <c r="H3509" s="68">
        <f>H2080/1.18-H2795*'Mark Up Validation'!$M$105</f>
        <v>0</v>
      </c>
      <c r="I3509" s="728"/>
      <c r="J3509" s="68">
        <f>J2080/1.18-J2795*'Mark Up Validation'!$M$105</f>
        <v>0</v>
      </c>
      <c r="K3509" s="728"/>
      <c r="L3509" s="68">
        <f>L2080/1.18-L2795*'Mark Up Validation'!$M$105</f>
        <v>0</v>
      </c>
      <c r="M3509" s="728"/>
      <c r="N3509" s="68">
        <f>N2080/1.18-N2795*'Mark Up Validation'!$M$105</f>
        <v>0</v>
      </c>
      <c r="O3509" s="728"/>
      <c r="P3509" s="68">
        <f>P2080/1.18-P2795*'Mark Up Validation'!$M$105</f>
        <v>0</v>
      </c>
      <c r="Q3509" s="728"/>
      <c r="R3509" s="132">
        <f>SUM(F3509,H3509,J3509,L3509,N3509,P3509)</f>
        <v>0</v>
      </c>
      <c r="S3509" s="728"/>
      <c r="T3509" s="68">
        <f>T2080/1.18-T2795*'Mark Up Validation'!$S$105</f>
        <v>0</v>
      </c>
      <c r="U3509" s="728"/>
      <c r="V3509" s="68">
        <f>V2080/1.18-V2795*'Mark Up Validation'!$S$105</f>
        <v>0</v>
      </c>
      <c r="W3509" s="728"/>
      <c r="X3509" s="68">
        <f>X2080/1.18-X2795*'Mark Up Validation'!$S$105</f>
        <v>0</v>
      </c>
      <c r="Y3509" s="728"/>
      <c r="Z3509" s="68">
        <f>Z2080/1.18-Z2795*'Mark Up Validation'!$S$105</f>
        <v>0</v>
      </c>
      <c r="AA3509" s="728"/>
      <c r="AB3509" s="68">
        <f>AB2080/1.18-AB2795*'Mark Up Validation'!$S$105</f>
        <v>0</v>
      </c>
      <c r="AC3509" s="728"/>
      <c r="AD3509" s="68">
        <f>AD2080/1.18-AD2795*'Mark Up Validation'!$S$105</f>
        <v>0</v>
      </c>
      <c r="AE3509" s="728"/>
      <c r="AF3509" s="132">
        <f>SUM(T3509,V3509,X3509,Z3509,AB3509,AD3509)</f>
        <v>0</v>
      </c>
      <c r="AG3509" s="728"/>
      <c r="AH3509" s="133">
        <f>SUM(AF3509,R3509)</f>
        <v>0</v>
      </c>
      <c r="AI3509" s="728"/>
      <c r="AJ3509" s="65"/>
      <c r="AV3509" s="56"/>
    </row>
    <row r="3510" spans="1:48" ht="13.5" hidden="1" customHeight="1" outlineLevel="2" thickBot="1">
      <c r="B3510" s="82"/>
      <c r="C3510" s="1235"/>
      <c r="D3510" s="1235"/>
      <c r="E3510" s="85">
        <f>'Terms and Turnovers'!$AX$12</f>
        <v>0</v>
      </c>
      <c r="F3510" s="68">
        <f>F2081/1.18-F2796*'Mark Up Validation'!$M$105</f>
        <v>0</v>
      </c>
      <c r="G3510" s="106"/>
      <c r="H3510" s="68">
        <f>H2081/1.18-H2796*'Mark Up Validation'!$M$105</f>
        <v>0</v>
      </c>
      <c r="I3510" s="106"/>
      <c r="J3510" s="68">
        <f>J2081/1.18-J2796*'Mark Up Validation'!$M$105</f>
        <v>0</v>
      </c>
      <c r="K3510" s="106"/>
      <c r="L3510" s="68">
        <f>L2081/1.18-L2796*'Mark Up Validation'!$M$105</f>
        <v>0</v>
      </c>
      <c r="M3510" s="106"/>
      <c r="N3510" s="68">
        <f>N2081/1.18-N2796*'Mark Up Validation'!$M$105</f>
        <v>0</v>
      </c>
      <c r="O3510" s="106"/>
      <c r="P3510" s="68">
        <f>P2081/1.18-P2796*'Mark Up Validation'!$M$105</f>
        <v>0</v>
      </c>
      <c r="Q3510" s="107"/>
      <c r="R3510" s="135">
        <f>SUM(F3510,H3510,J3510,L3510,N3510,P3510)</f>
        <v>0</v>
      </c>
      <c r="S3510" s="107"/>
      <c r="T3510" s="68">
        <f>T2081/1.18-T2796*'Mark Up Validation'!$S$105</f>
        <v>0</v>
      </c>
      <c r="U3510" s="107"/>
      <c r="V3510" s="68">
        <f>V2081/1.18-V2796*'Mark Up Validation'!$S$105</f>
        <v>0</v>
      </c>
      <c r="W3510" s="107"/>
      <c r="X3510" s="68">
        <f>X2081/1.18-X2796*'Mark Up Validation'!$S$105</f>
        <v>0</v>
      </c>
      <c r="Y3510" s="107"/>
      <c r="Z3510" s="68">
        <f>Z2081/1.18-Z2796*'Mark Up Validation'!$S$105</f>
        <v>0</v>
      </c>
      <c r="AA3510" s="107"/>
      <c r="AB3510" s="68">
        <f>AB2081/1.18-AB2796*'Mark Up Validation'!$S$105</f>
        <v>0</v>
      </c>
      <c r="AC3510" s="107"/>
      <c r="AD3510" s="68">
        <f>AD2081/1.18-AD2796*'Mark Up Validation'!$S$105</f>
        <v>0</v>
      </c>
      <c r="AE3510" s="107"/>
      <c r="AF3510" s="135">
        <f>SUM(T3510,V3510,X3510,Z3510,AB3510,AD3510)</f>
        <v>0</v>
      </c>
      <c r="AG3510" s="107"/>
      <c r="AH3510" s="136">
        <f>SUM(AF3510,R3510)</f>
        <v>0</v>
      </c>
      <c r="AI3510" s="107"/>
      <c r="AJ3510" s="65"/>
      <c r="AV3510" s="56"/>
    </row>
    <row r="3511" spans="1:48" ht="13.5" hidden="1" customHeight="1" outlineLevel="2">
      <c r="B3511" s="82"/>
      <c r="C3511" s="425"/>
      <c r="D3511" s="425"/>
      <c r="E3511" s="634"/>
      <c r="F3511" s="635"/>
      <c r="G3511" s="428"/>
      <c r="H3511" s="635"/>
      <c r="I3511" s="428"/>
      <c r="J3511" s="635"/>
      <c r="K3511" s="636"/>
      <c r="L3511" s="635"/>
      <c r="M3511" s="636"/>
      <c r="N3511" s="635"/>
      <c r="O3511" s="636"/>
      <c r="P3511" s="635"/>
      <c r="Q3511" s="636"/>
      <c r="R3511" s="637"/>
      <c r="S3511" s="698">
        <f>SUM(R2791:R2795)/1.18-(SUM(R3506:R3510)*'Mark Up Validation'!$M$105)</f>
        <v>0</v>
      </c>
      <c r="T3511" s="635"/>
      <c r="U3511" s="636"/>
      <c r="V3511" s="635"/>
      <c r="W3511" s="636"/>
      <c r="X3511" s="635"/>
      <c r="Y3511" s="636"/>
      <c r="Z3511" s="635"/>
      <c r="AA3511" s="636"/>
      <c r="AB3511" s="635"/>
      <c r="AC3511" s="636"/>
      <c r="AD3511" s="635"/>
      <c r="AE3511" s="636"/>
      <c r="AF3511" s="637"/>
      <c r="AG3511" s="698">
        <f>SUM(AF2791:AF2795)/1.18-SUM(AF3506:AF3510)*'Mark Up Validation'!$M$175</f>
        <v>0</v>
      </c>
      <c r="AH3511" s="638"/>
      <c r="AI3511" s="698">
        <f>SUM(AH2791:AH2795)/1.18-SUM(AH3506:AH3510)*'Mark Up Validation'!$M$175</f>
        <v>0</v>
      </c>
      <c r="AJ3511" s="65"/>
      <c r="AV3511" s="56"/>
    </row>
    <row r="3512" spans="1:48" ht="13.5" hidden="1" customHeight="1" outlineLevel="2" thickBot="1">
      <c r="A3512" s="119"/>
      <c r="B3512" s="82"/>
      <c r="C3512" s="1228" t="s">
        <v>539</v>
      </c>
      <c r="D3512" s="1229"/>
      <c r="E3512" s="699"/>
      <c r="F3512" s="700">
        <f>SUM(F3506:F3510)</f>
        <v>0</v>
      </c>
      <c r="G3512" s="701"/>
      <c r="H3512" s="700">
        <f>SUM(H3506:H3510)</f>
        <v>0</v>
      </c>
      <c r="I3512" s="701"/>
      <c r="J3512" s="700">
        <f>SUM(J3506:J3510)</f>
        <v>0</v>
      </c>
      <c r="K3512" s="702"/>
      <c r="L3512" s="700">
        <f>SUM(L3506:L3510)</f>
        <v>0</v>
      </c>
      <c r="M3512" s="702"/>
      <c r="N3512" s="700">
        <f>SUM(N3506:N3510)</f>
        <v>0</v>
      </c>
      <c r="O3512" s="702"/>
      <c r="P3512" s="700">
        <f>SUM(P3506:P3510)</f>
        <v>0</v>
      </c>
      <c r="Q3512" s="702"/>
      <c r="R3512" s="703"/>
      <c r="S3512" s="729">
        <f>IF(S3511&gt;0,S3511/(SUM(R2791:R2795)/1.18),0)</f>
        <v>0</v>
      </c>
      <c r="T3512" s="700">
        <f>SUM(T3506:T3510)</f>
        <v>0</v>
      </c>
      <c r="U3512" s="702"/>
      <c r="V3512" s="700">
        <f>SUM(V3506:V3510)</f>
        <v>0</v>
      </c>
      <c r="W3512" s="702"/>
      <c r="X3512" s="700">
        <f>SUM(X3506:X3510)</f>
        <v>0</v>
      </c>
      <c r="Y3512" s="702"/>
      <c r="Z3512" s="700">
        <f>SUM(Z3506:Z3510)</f>
        <v>0</v>
      </c>
      <c r="AA3512" s="702"/>
      <c r="AB3512" s="700">
        <f>SUM(AB3506:AB3510)</f>
        <v>0</v>
      </c>
      <c r="AC3512" s="702"/>
      <c r="AD3512" s="700">
        <f>SUM(AD3506:AD3510)</f>
        <v>0</v>
      </c>
      <c r="AE3512" s="702"/>
      <c r="AF3512" s="705"/>
      <c r="AG3512" s="729">
        <f>IF(AG3511&gt;0,AG3511/(SUM(AF2791:AF2795)/1.18),0)</f>
        <v>0</v>
      </c>
      <c r="AH3512" s="706"/>
      <c r="AI3512" s="729">
        <f>IF(AI3511&gt;0,AI3511/(SUM(AH2791:AH2795)/1.18),0)</f>
        <v>0</v>
      </c>
      <c r="AJ3512" s="707"/>
      <c r="AV3512" s="56"/>
    </row>
    <row r="3513" spans="1:48" ht="12.75" hidden="1" customHeight="1" outlineLevel="2" thickBot="1">
      <c r="B3513" s="82">
        <f>B3506+1</f>
        <v>91</v>
      </c>
      <c r="C3513" s="1233">
        <f>C643</f>
        <v>0</v>
      </c>
      <c r="D3513" s="1233">
        <f>D643</f>
        <v>0</v>
      </c>
      <c r="E3513" s="83" t="str">
        <f>'Terms and Turnovers'!$J$12</f>
        <v>FLIP-FLOPS</v>
      </c>
      <c r="F3513" s="68">
        <f>F2084/1.18-F2799*'Mark Up Validation'!$M$105</f>
        <v>0</v>
      </c>
      <c r="G3513" s="106"/>
      <c r="H3513" s="68">
        <f>H2084/1.18-H2799*'Mark Up Validation'!$M$105</f>
        <v>0</v>
      </c>
      <c r="I3513" s="106"/>
      <c r="J3513" s="68">
        <f>J2084/1.18-J2799*'Mark Up Validation'!$M$105</f>
        <v>0</v>
      </c>
      <c r="K3513" s="106"/>
      <c r="L3513" s="68">
        <f>L2084/1.18-L2799*'Mark Up Validation'!$M$105</f>
        <v>0</v>
      </c>
      <c r="M3513" s="106"/>
      <c r="N3513" s="68">
        <f>N2084/1.18-N2799*'Mark Up Validation'!$M$105</f>
        <v>0</v>
      </c>
      <c r="O3513" s="106"/>
      <c r="P3513" s="68">
        <f>P2084/1.18-P2799*'Mark Up Validation'!$M$105</f>
        <v>0</v>
      </c>
      <c r="Q3513" s="106"/>
      <c r="R3513" s="129">
        <f>SUM(F3513,H3513,J3513,L3513,N3513,P3513)</f>
        <v>0</v>
      </c>
      <c r="S3513" s="106"/>
      <c r="T3513" s="68">
        <f>T2084/1.18-T2799*'Mark Up Validation'!$S$105</f>
        <v>0</v>
      </c>
      <c r="U3513" s="106"/>
      <c r="V3513" s="68">
        <f>V2084/1.18-V2799*'Mark Up Validation'!$S$105</f>
        <v>0</v>
      </c>
      <c r="W3513" s="106"/>
      <c r="X3513" s="68">
        <f>X2084/1.18-X2799*'Mark Up Validation'!$S$105</f>
        <v>0</v>
      </c>
      <c r="Y3513" s="106"/>
      <c r="Z3513" s="68">
        <f>Z2084/1.18-Z2799*'Mark Up Validation'!$S$105</f>
        <v>0</v>
      </c>
      <c r="AA3513" s="106"/>
      <c r="AB3513" s="68">
        <f>AB2084/1.18-AB2799*'Mark Up Validation'!$S$105</f>
        <v>0</v>
      </c>
      <c r="AC3513" s="106"/>
      <c r="AD3513" s="68">
        <f>AD2084/1.18-AD2799*'Mark Up Validation'!$S$105</f>
        <v>0</v>
      </c>
      <c r="AE3513" s="106"/>
      <c r="AF3513" s="129">
        <f>SUM(T3513,V3513,X3513,Z3513,AB3513,AD3513)</f>
        <v>0</v>
      </c>
      <c r="AG3513" s="106"/>
      <c r="AH3513" s="130">
        <f>SUM(AF3513,R3513)</f>
        <v>0</v>
      </c>
      <c r="AI3513" s="106"/>
      <c r="AJ3513" s="65"/>
      <c r="AV3513" s="56"/>
    </row>
    <row r="3514" spans="1:48" ht="12.75" hidden="1" customHeight="1" outlineLevel="2" thickBot="1">
      <c r="B3514" s="82"/>
      <c r="C3514" s="1234"/>
      <c r="D3514" s="1234"/>
      <c r="E3514" s="84" t="str">
        <f>'Terms and Turnovers'!$T$12</f>
        <v>ORIGINALS</v>
      </c>
      <c r="F3514" s="68">
        <f>F2085/1.18-F2800*'Mark Up Validation'!$M$105</f>
        <v>0</v>
      </c>
      <c r="G3514" s="728"/>
      <c r="H3514" s="68">
        <f>H2085/1.18-H2800*'Mark Up Validation'!$M$105</f>
        <v>0</v>
      </c>
      <c r="I3514" s="728"/>
      <c r="J3514" s="68">
        <f>J2085/1.18-J2800*'Mark Up Validation'!$M$105</f>
        <v>0</v>
      </c>
      <c r="K3514" s="728"/>
      <c r="L3514" s="68">
        <f>L2085/1.18-L2800*'Mark Up Validation'!$M$105</f>
        <v>0</v>
      </c>
      <c r="M3514" s="728"/>
      <c r="N3514" s="68">
        <f>N2085/1.18-N2800*'Mark Up Validation'!$M$105</f>
        <v>0</v>
      </c>
      <c r="O3514" s="728"/>
      <c r="P3514" s="68">
        <f>P2085/1.18-P2800*'Mark Up Validation'!$M$105</f>
        <v>0</v>
      </c>
      <c r="Q3514" s="728"/>
      <c r="R3514" s="132">
        <f>SUM(F3514,H3514,J3514,L3514,N3514,P3514)</f>
        <v>0</v>
      </c>
      <c r="S3514" s="728"/>
      <c r="T3514" s="68">
        <f>T2085/1.18-T2800*'Mark Up Validation'!$S$105</f>
        <v>0</v>
      </c>
      <c r="U3514" s="728"/>
      <c r="V3514" s="68">
        <f>V2085/1.18-V2800*'Mark Up Validation'!$S$105</f>
        <v>0</v>
      </c>
      <c r="W3514" s="728"/>
      <c r="X3514" s="68">
        <f>X2085/1.18-X2800*'Mark Up Validation'!$S$105</f>
        <v>0</v>
      </c>
      <c r="Y3514" s="728"/>
      <c r="Z3514" s="68">
        <f>Z2085/1.18-Z2800*'Mark Up Validation'!$S$105</f>
        <v>0</v>
      </c>
      <c r="AA3514" s="728"/>
      <c r="AB3514" s="68">
        <f>AB2085/1.18-AB2800*'Mark Up Validation'!$S$105</f>
        <v>0</v>
      </c>
      <c r="AC3514" s="728"/>
      <c r="AD3514" s="68">
        <f>AD2085/1.18-AD2800*'Mark Up Validation'!$S$105</f>
        <v>0</v>
      </c>
      <c r="AE3514" s="728"/>
      <c r="AF3514" s="132">
        <f>SUM(T3514,V3514,X3514,Z3514,AB3514,AD3514)</f>
        <v>0</v>
      </c>
      <c r="AG3514" s="728"/>
      <c r="AH3514" s="133">
        <f>SUM(AF3514,R3514)</f>
        <v>0</v>
      </c>
      <c r="AI3514" s="728"/>
      <c r="AJ3514" s="65"/>
      <c r="AV3514" s="56"/>
    </row>
    <row r="3515" spans="1:48" ht="12.75" hidden="1" customHeight="1" outlineLevel="2" thickBot="1">
      <c r="B3515" s="82"/>
      <c r="C3515" s="1234"/>
      <c r="D3515" s="1234"/>
      <c r="E3515" s="84" t="str">
        <f>'Terms and Turnovers'!$AD$12</f>
        <v>ACCESSORIES</v>
      </c>
      <c r="F3515" s="68">
        <f>F2086/1.18-F2801*'Mark Up Validation'!$M$105</f>
        <v>0</v>
      </c>
      <c r="G3515" s="106"/>
      <c r="H3515" s="68">
        <f>H2086/1.18-H2801*'Mark Up Validation'!$M$105</f>
        <v>0</v>
      </c>
      <c r="I3515" s="106"/>
      <c r="J3515" s="68">
        <f>J2086/1.18-J2801*'Mark Up Validation'!$M$105</f>
        <v>0</v>
      </c>
      <c r="K3515" s="106"/>
      <c r="L3515" s="68">
        <f>L2086/1.18-L2801*'Mark Up Validation'!$M$105</f>
        <v>0</v>
      </c>
      <c r="M3515" s="106"/>
      <c r="N3515" s="68">
        <f>N2086/1.18-N2801*'Mark Up Validation'!$M$105</f>
        <v>0</v>
      </c>
      <c r="O3515" s="106"/>
      <c r="P3515" s="68">
        <f>P2086/1.18-P2801*'Mark Up Validation'!$M$105</f>
        <v>0</v>
      </c>
      <c r="Q3515" s="728"/>
      <c r="R3515" s="132">
        <f>SUM(F3515,H3515,J3515,L3515,N3515,P3515)</f>
        <v>0</v>
      </c>
      <c r="S3515" s="728"/>
      <c r="T3515" s="68">
        <f>T2086/1.18-T2801*'Mark Up Validation'!$S$105</f>
        <v>0</v>
      </c>
      <c r="U3515" s="728"/>
      <c r="V3515" s="68">
        <f>V2086/1.18-V2801*'Mark Up Validation'!$S$105</f>
        <v>0</v>
      </c>
      <c r="W3515" s="728"/>
      <c r="X3515" s="68">
        <f>X2086/1.18-X2801*'Mark Up Validation'!$S$105</f>
        <v>0</v>
      </c>
      <c r="Y3515" s="728"/>
      <c r="Z3515" s="68">
        <f>Z2086/1.18-Z2801*'Mark Up Validation'!$S$105</f>
        <v>0</v>
      </c>
      <c r="AA3515" s="728"/>
      <c r="AB3515" s="68">
        <f>AB2086/1.18-AB2801*'Mark Up Validation'!$S$105</f>
        <v>0</v>
      </c>
      <c r="AC3515" s="728"/>
      <c r="AD3515" s="68">
        <f>AD2086/1.18-AD2801*'Mark Up Validation'!$S$105</f>
        <v>0</v>
      </c>
      <c r="AE3515" s="728"/>
      <c r="AF3515" s="132">
        <f>SUM(T3515,V3515,X3515,Z3515,AB3515,AD3515)</f>
        <v>0</v>
      </c>
      <c r="AG3515" s="728"/>
      <c r="AH3515" s="133">
        <f>SUM(AF3515,R3515)</f>
        <v>0</v>
      </c>
      <c r="AI3515" s="728"/>
      <c r="AJ3515" s="65"/>
      <c r="AV3515" s="56"/>
    </row>
    <row r="3516" spans="1:48" ht="12.75" hidden="1" customHeight="1" outlineLevel="2" thickBot="1">
      <c r="B3516" s="82"/>
      <c r="C3516" s="1234"/>
      <c r="D3516" s="1234"/>
      <c r="E3516" s="84">
        <f>'Terms and Turnovers'!$AN$12</f>
        <v>0</v>
      </c>
      <c r="F3516" s="68">
        <f>F2087/1.18-F2802*'Mark Up Validation'!$M$105</f>
        <v>0</v>
      </c>
      <c r="G3516" s="728"/>
      <c r="H3516" s="68">
        <f>H2087/1.18-H2802*'Mark Up Validation'!$M$105</f>
        <v>0</v>
      </c>
      <c r="I3516" s="728"/>
      <c r="J3516" s="68">
        <f>J2087/1.18-J2802*'Mark Up Validation'!$M$105</f>
        <v>0</v>
      </c>
      <c r="K3516" s="728"/>
      <c r="L3516" s="68">
        <f>L2087/1.18-L2802*'Mark Up Validation'!$M$105</f>
        <v>0</v>
      </c>
      <c r="M3516" s="728"/>
      <c r="N3516" s="68">
        <f>N2087/1.18-N2802*'Mark Up Validation'!$M$105</f>
        <v>0</v>
      </c>
      <c r="O3516" s="728"/>
      <c r="P3516" s="68">
        <f>P2087/1.18-P2802*'Mark Up Validation'!$M$105</f>
        <v>0</v>
      </c>
      <c r="Q3516" s="728"/>
      <c r="R3516" s="132">
        <f>SUM(F3516,H3516,J3516,L3516,N3516,P3516)</f>
        <v>0</v>
      </c>
      <c r="S3516" s="728"/>
      <c r="T3516" s="68">
        <f>T2087/1.18-T2802*'Mark Up Validation'!$S$105</f>
        <v>0</v>
      </c>
      <c r="U3516" s="728"/>
      <c r="V3516" s="68">
        <f>V2087/1.18-V2802*'Mark Up Validation'!$S$105</f>
        <v>0</v>
      </c>
      <c r="W3516" s="728"/>
      <c r="X3516" s="68">
        <f>X2087/1.18-X2802*'Mark Up Validation'!$S$105</f>
        <v>0</v>
      </c>
      <c r="Y3516" s="728"/>
      <c r="Z3516" s="68">
        <f>Z2087/1.18-Z2802*'Mark Up Validation'!$S$105</f>
        <v>0</v>
      </c>
      <c r="AA3516" s="728"/>
      <c r="AB3516" s="68">
        <f>AB2087/1.18-AB2802*'Mark Up Validation'!$S$105</f>
        <v>0</v>
      </c>
      <c r="AC3516" s="728"/>
      <c r="AD3516" s="68">
        <f>AD2087/1.18-AD2802*'Mark Up Validation'!$S$105</f>
        <v>0</v>
      </c>
      <c r="AE3516" s="728"/>
      <c r="AF3516" s="132">
        <f>SUM(T3516,V3516,X3516,Z3516,AB3516,AD3516)</f>
        <v>0</v>
      </c>
      <c r="AG3516" s="728"/>
      <c r="AH3516" s="133">
        <f>SUM(AF3516,R3516)</f>
        <v>0</v>
      </c>
      <c r="AI3516" s="728"/>
      <c r="AJ3516" s="65"/>
      <c r="AV3516" s="56"/>
    </row>
    <row r="3517" spans="1:48" ht="13.5" hidden="1" customHeight="1" outlineLevel="2" thickBot="1">
      <c r="B3517" s="82"/>
      <c r="C3517" s="1235"/>
      <c r="D3517" s="1235"/>
      <c r="E3517" s="85">
        <f>'Terms and Turnovers'!$AX$12</f>
        <v>0</v>
      </c>
      <c r="F3517" s="68">
        <f>F2088/1.18-F2803*'Mark Up Validation'!$M$105</f>
        <v>0</v>
      </c>
      <c r="G3517" s="106"/>
      <c r="H3517" s="68">
        <f>H2088/1.18-H2803*'Mark Up Validation'!$M$105</f>
        <v>0</v>
      </c>
      <c r="I3517" s="106"/>
      <c r="J3517" s="68">
        <f>J2088/1.18-J2803*'Mark Up Validation'!$M$105</f>
        <v>0</v>
      </c>
      <c r="K3517" s="106"/>
      <c r="L3517" s="68">
        <f>L2088/1.18-L2803*'Mark Up Validation'!$M$105</f>
        <v>0</v>
      </c>
      <c r="M3517" s="106"/>
      <c r="N3517" s="68">
        <f>N2088/1.18-N2803*'Mark Up Validation'!$M$105</f>
        <v>0</v>
      </c>
      <c r="O3517" s="106"/>
      <c r="P3517" s="68">
        <f>P2088/1.18-P2803*'Mark Up Validation'!$M$105</f>
        <v>0</v>
      </c>
      <c r="Q3517" s="107"/>
      <c r="R3517" s="135">
        <f>SUM(F3517,H3517,J3517,L3517,N3517,P3517)</f>
        <v>0</v>
      </c>
      <c r="S3517" s="107"/>
      <c r="T3517" s="68">
        <f>T2088/1.18-T2803*'Mark Up Validation'!$S$105</f>
        <v>0</v>
      </c>
      <c r="U3517" s="107"/>
      <c r="V3517" s="68">
        <f>V2088/1.18-V2803*'Mark Up Validation'!$S$105</f>
        <v>0</v>
      </c>
      <c r="W3517" s="107"/>
      <c r="X3517" s="68">
        <f>X2088/1.18-X2803*'Mark Up Validation'!$S$105</f>
        <v>0</v>
      </c>
      <c r="Y3517" s="107"/>
      <c r="Z3517" s="68">
        <f>Z2088/1.18-Z2803*'Mark Up Validation'!$S$105</f>
        <v>0</v>
      </c>
      <c r="AA3517" s="107"/>
      <c r="AB3517" s="68">
        <f>AB2088/1.18-AB2803*'Mark Up Validation'!$S$105</f>
        <v>0</v>
      </c>
      <c r="AC3517" s="107"/>
      <c r="AD3517" s="68">
        <f>AD2088/1.18-AD2803*'Mark Up Validation'!$S$105</f>
        <v>0</v>
      </c>
      <c r="AE3517" s="107"/>
      <c r="AF3517" s="135">
        <f>SUM(T3517,V3517,X3517,Z3517,AB3517,AD3517)</f>
        <v>0</v>
      </c>
      <c r="AG3517" s="107"/>
      <c r="AH3517" s="136">
        <f>SUM(AF3517,R3517)</f>
        <v>0</v>
      </c>
      <c r="AI3517" s="107"/>
      <c r="AJ3517" s="65"/>
      <c r="AV3517" s="56"/>
    </row>
    <row r="3518" spans="1:48" ht="13.5" hidden="1" customHeight="1" outlineLevel="2">
      <c r="B3518" s="82"/>
      <c r="C3518" s="425"/>
      <c r="D3518" s="425"/>
      <c r="E3518" s="634"/>
      <c r="F3518" s="635"/>
      <c r="G3518" s="428"/>
      <c r="H3518" s="635"/>
      <c r="I3518" s="428"/>
      <c r="J3518" s="635"/>
      <c r="K3518" s="636"/>
      <c r="L3518" s="635"/>
      <c r="M3518" s="636"/>
      <c r="N3518" s="635"/>
      <c r="O3518" s="636"/>
      <c r="P3518" s="635"/>
      <c r="Q3518" s="636"/>
      <c r="R3518" s="637"/>
      <c r="S3518" s="698">
        <f>SUM(R2798:R2802)/1.18-(SUM(R3513:R3517)*'Mark Up Validation'!$M$105)</f>
        <v>0</v>
      </c>
      <c r="T3518" s="635"/>
      <c r="U3518" s="636"/>
      <c r="V3518" s="635"/>
      <c r="W3518" s="636"/>
      <c r="X3518" s="635"/>
      <c r="Y3518" s="636"/>
      <c r="Z3518" s="635"/>
      <c r="AA3518" s="636"/>
      <c r="AB3518" s="635"/>
      <c r="AC3518" s="636"/>
      <c r="AD3518" s="635"/>
      <c r="AE3518" s="636"/>
      <c r="AF3518" s="637"/>
      <c r="AG3518" s="698">
        <f>SUM(AF2798:AF2802)/1.18-SUM(AF3513:AF3517)*'Mark Up Validation'!$M$175</f>
        <v>0</v>
      </c>
      <c r="AH3518" s="638"/>
      <c r="AI3518" s="698">
        <f>SUM(AH2798:AH2802)/1.18-SUM(AH3513:AH3517)*'Mark Up Validation'!$M$175</f>
        <v>0</v>
      </c>
      <c r="AJ3518" s="65"/>
      <c r="AV3518" s="56"/>
    </row>
    <row r="3519" spans="1:48" ht="13.5" hidden="1" customHeight="1" outlineLevel="2" thickBot="1">
      <c r="A3519" s="119"/>
      <c r="B3519" s="82"/>
      <c r="C3519" s="1228" t="s">
        <v>539</v>
      </c>
      <c r="D3519" s="1229"/>
      <c r="E3519" s="699"/>
      <c r="F3519" s="700">
        <f>SUM(F3513:F3517)</f>
        <v>0</v>
      </c>
      <c r="G3519" s="701"/>
      <c r="H3519" s="700">
        <f>SUM(H3513:H3517)</f>
        <v>0</v>
      </c>
      <c r="I3519" s="701"/>
      <c r="J3519" s="700">
        <f>SUM(J3513:J3517)</f>
        <v>0</v>
      </c>
      <c r="K3519" s="702"/>
      <c r="L3519" s="700">
        <f>SUM(L3513:L3517)</f>
        <v>0</v>
      </c>
      <c r="M3519" s="702"/>
      <c r="N3519" s="700">
        <f>SUM(N3513:N3517)</f>
        <v>0</v>
      </c>
      <c r="O3519" s="702"/>
      <c r="P3519" s="700">
        <f>SUM(P3513:P3517)</f>
        <v>0</v>
      </c>
      <c r="Q3519" s="702"/>
      <c r="R3519" s="703"/>
      <c r="S3519" s="729">
        <f>IF(S3518&gt;0,S3518/(SUM(R2798:R2802)/1.18),0)</f>
        <v>0</v>
      </c>
      <c r="T3519" s="700">
        <f>SUM(T3513:T3517)</f>
        <v>0</v>
      </c>
      <c r="U3519" s="702"/>
      <c r="V3519" s="700">
        <f>SUM(V3513:V3517)</f>
        <v>0</v>
      </c>
      <c r="W3519" s="702"/>
      <c r="X3519" s="700">
        <f>SUM(X3513:X3517)</f>
        <v>0</v>
      </c>
      <c r="Y3519" s="702"/>
      <c r="Z3519" s="700">
        <f>SUM(Z3513:Z3517)</f>
        <v>0</v>
      </c>
      <c r="AA3519" s="702"/>
      <c r="AB3519" s="700">
        <f>SUM(AB3513:AB3517)</f>
        <v>0</v>
      </c>
      <c r="AC3519" s="702"/>
      <c r="AD3519" s="700">
        <f>SUM(AD3513:AD3517)</f>
        <v>0</v>
      </c>
      <c r="AE3519" s="702"/>
      <c r="AF3519" s="705"/>
      <c r="AG3519" s="729">
        <f>IF(AG3518&gt;0,AG3518/(SUM(AF2798:AF2802)/1.18),0)</f>
        <v>0</v>
      </c>
      <c r="AH3519" s="706"/>
      <c r="AI3519" s="729">
        <f>IF(AI3518&gt;0,AI3518/(SUM(AH2798:AH2802)/1.18),0)</f>
        <v>0</v>
      </c>
      <c r="AJ3519" s="707"/>
      <c r="AV3519" s="56"/>
    </row>
    <row r="3520" spans="1:48" ht="12.75" hidden="1" customHeight="1" outlineLevel="2" thickBot="1">
      <c r="B3520" s="82">
        <f>B3513+1</f>
        <v>92</v>
      </c>
      <c r="C3520" s="1233">
        <f>C650</f>
        <v>0</v>
      </c>
      <c r="D3520" s="1233">
        <f>D650</f>
        <v>0</v>
      </c>
      <c r="E3520" s="83" t="str">
        <f>'Terms and Turnovers'!$J$12</f>
        <v>FLIP-FLOPS</v>
      </c>
      <c r="F3520" s="68">
        <f>F2091/1.18-F2806*'Mark Up Validation'!$M$105</f>
        <v>0</v>
      </c>
      <c r="G3520" s="106"/>
      <c r="H3520" s="68">
        <f>H2091/1.18-H2806*'Mark Up Validation'!$M$105</f>
        <v>0</v>
      </c>
      <c r="I3520" s="106"/>
      <c r="J3520" s="68">
        <f>J2091/1.18-J2806*'Mark Up Validation'!$M$105</f>
        <v>0</v>
      </c>
      <c r="K3520" s="106"/>
      <c r="L3520" s="68">
        <f>L2091/1.18-L2806*'Mark Up Validation'!$M$105</f>
        <v>0</v>
      </c>
      <c r="M3520" s="106"/>
      <c r="N3520" s="68">
        <f>N2091/1.18-N2806*'Mark Up Validation'!$M$105</f>
        <v>0</v>
      </c>
      <c r="O3520" s="106"/>
      <c r="P3520" s="68">
        <f>P2091/1.18-P2806*'Mark Up Validation'!$M$105</f>
        <v>0</v>
      </c>
      <c r="Q3520" s="106"/>
      <c r="R3520" s="129">
        <f>SUM(F3520,H3520,J3520,L3520,N3520,P3520)</f>
        <v>0</v>
      </c>
      <c r="S3520" s="106"/>
      <c r="T3520" s="68">
        <f>T2091/1.18-T2806*'Mark Up Validation'!$S$105</f>
        <v>0</v>
      </c>
      <c r="U3520" s="106"/>
      <c r="V3520" s="68">
        <f>V2091/1.18-V2806*'Mark Up Validation'!$S$105</f>
        <v>0</v>
      </c>
      <c r="W3520" s="106"/>
      <c r="X3520" s="68">
        <f>X2091/1.18-X2806*'Mark Up Validation'!$S$105</f>
        <v>0</v>
      </c>
      <c r="Y3520" s="106"/>
      <c r="Z3520" s="68">
        <f>Z2091/1.18-Z2806*'Mark Up Validation'!$S$105</f>
        <v>0</v>
      </c>
      <c r="AA3520" s="106"/>
      <c r="AB3520" s="68">
        <f>AB2091/1.18-AB2806*'Mark Up Validation'!$S$105</f>
        <v>0</v>
      </c>
      <c r="AC3520" s="106"/>
      <c r="AD3520" s="68">
        <f>AD2091/1.18-AD2806*'Mark Up Validation'!$S$105</f>
        <v>0</v>
      </c>
      <c r="AE3520" s="106"/>
      <c r="AF3520" s="129">
        <f>SUM(T3520,V3520,X3520,Z3520,AB3520,AD3520)</f>
        <v>0</v>
      </c>
      <c r="AG3520" s="106"/>
      <c r="AH3520" s="130">
        <f>SUM(AF3520,R3520)</f>
        <v>0</v>
      </c>
      <c r="AI3520" s="106"/>
      <c r="AJ3520" s="65"/>
      <c r="AV3520" s="56"/>
    </row>
    <row r="3521" spans="1:48" ht="12.75" hidden="1" customHeight="1" outlineLevel="2" thickBot="1">
      <c r="B3521" s="82"/>
      <c r="C3521" s="1234"/>
      <c r="D3521" s="1234"/>
      <c r="E3521" s="84" t="str">
        <f>'Terms and Turnovers'!$T$12</f>
        <v>ORIGINALS</v>
      </c>
      <c r="F3521" s="68">
        <f>F2092/1.18-F2807*'Mark Up Validation'!$M$105</f>
        <v>0</v>
      </c>
      <c r="G3521" s="728"/>
      <c r="H3521" s="68">
        <f>H2092/1.18-H2807*'Mark Up Validation'!$M$105</f>
        <v>0</v>
      </c>
      <c r="I3521" s="728"/>
      <c r="J3521" s="68">
        <f>J2092/1.18-J2807*'Mark Up Validation'!$M$105</f>
        <v>0</v>
      </c>
      <c r="K3521" s="728"/>
      <c r="L3521" s="68">
        <f>L2092/1.18-L2807*'Mark Up Validation'!$M$105</f>
        <v>0</v>
      </c>
      <c r="M3521" s="728"/>
      <c r="N3521" s="68">
        <f>N2092/1.18-N2807*'Mark Up Validation'!$M$105</f>
        <v>0</v>
      </c>
      <c r="O3521" s="728"/>
      <c r="P3521" s="68">
        <f>P2092/1.18-P2807*'Mark Up Validation'!$M$105</f>
        <v>0</v>
      </c>
      <c r="Q3521" s="728"/>
      <c r="R3521" s="132">
        <f>SUM(F3521,H3521,J3521,L3521,N3521,P3521)</f>
        <v>0</v>
      </c>
      <c r="S3521" s="728"/>
      <c r="T3521" s="68">
        <f>T2092/1.18-T2807*'Mark Up Validation'!$S$105</f>
        <v>0</v>
      </c>
      <c r="U3521" s="728"/>
      <c r="V3521" s="68">
        <f>V2092/1.18-V2807*'Mark Up Validation'!$S$105</f>
        <v>0</v>
      </c>
      <c r="W3521" s="728"/>
      <c r="X3521" s="68">
        <f>X2092/1.18-X2807*'Mark Up Validation'!$S$105</f>
        <v>0</v>
      </c>
      <c r="Y3521" s="728"/>
      <c r="Z3521" s="68">
        <f>Z2092/1.18-Z2807*'Mark Up Validation'!$S$105</f>
        <v>0</v>
      </c>
      <c r="AA3521" s="728"/>
      <c r="AB3521" s="68">
        <f>AB2092/1.18-AB2807*'Mark Up Validation'!$S$105</f>
        <v>0</v>
      </c>
      <c r="AC3521" s="728"/>
      <c r="AD3521" s="68">
        <f>AD2092/1.18-AD2807*'Mark Up Validation'!$S$105</f>
        <v>0</v>
      </c>
      <c r="AE3521" s="728"/>
      <c r="AF3521" s="132">
        <f>SUM(T3521,V3521,X3521,Z3521,AB3521,AD3521)</f>
        <v>0</v>
      </c>
      <c r="AG3521" s="728"/>
      <c r="AH3521" s="133">
        <f>SUM(AF3521,R3521)</f>
        <v>0</v>
      </c>
      <c r="AI3521" s="728"/>
      <c r="AJ3521" s="65"/>
      <c r="AV3521" s="56"/>
    </row>
    <row r="3522" spans="1:48" ht="12.75" hidden="1" customHeight="1" outlineLevel="2" thickBot="1">
      <c r="B3522" s="82"/>
      <c r="C3522" s="1234"/>
      <c r="D3522" s="1234"/>
      <c r="E3522" s="84" t="str">
        <f>'Terms and Turnovers'!$AD$12</f>
        <v>ACCESSORIES</v>
      </c>
      <c r="F3522" s="68">
        <f>F2093/1.18-F2808*'Mark Up Validation'!$M$105</f>
        <v>0</v>
      </c>
      <c r="G3522" s="106"/>
      <c r="H3522" s="68">
        <f>H2093/1.18-H2808*'Mark Up Validation'!$M$105</f>
        <v>0</v>
      </c>
      <c r="I3522" s="106"/>
      <c r="J3522" s="68">
        <f>J2093/1.18-J2808*'Mark Up Validation'!$M$105</f>
        <v>0</v>
      </c>
      <c r="K3522" s="106"/>
      <c r="L3522" s="68">
        <f>L2093/1.18-L2808*'Mark Up Validation'!$M$105</f>
        <v>0</v>
      </c>
      <c r="M3522" s="106"/>
      <c r="N3522" s="68">
        <f>N2093/1.18-N2808*'Mark Up Validation'!$M$105</f>
        <v>0</v>
      </c>
      <c r="O3522" s="106"/>
      <c r="P3522" s="68">
        <f>P2093/1.18-P2808*'Mark Up Validation'!$M$105</f>
        <v>0</v>
      </c>
      <c r="Q3522" s="728"/>
      <c r="R3522" s="132">
        <f>SUM(F3522,H3522,J3522,L3522,N3522,P3522)</f>
        <v>0</v>
      </c>
      <c r="S3522" s="728"/>
      <c r="T3522" s="68">
        <f>T2093/1.18-T2808*'Mark Up Validation'!$S$105</f>
        <v>0</v>
      </c>
      <c r="U3522" s="728"/>
      <c r="V3522" s="68">
        <f>V2093/1.18-V2808*'Mark Up Validation'!$S$105</f>
        <v>0</v>
      </c>
      <c r="W3522" s="728"/>
      <c r="X3522" s="68">
        <f>X2093/1.18-X2808*'Mark Up Validation'!$S$105</f>
        <v>0</v>
      </c>
      <c r="Y3522" s="728"/>
      <c r="Z3522" s="68">
        <f>Z2093/1.18-Z2808*'Mark Up Validation'!$S$105</f>
        <v>0</v>
      </c>
      <c r="AA3522" s="728"/>
      <c r="AB3522" s="68">
        <f>AB2093/1.18-AB2808*'Mark Up Validation'!$S$105</f>
        <v>0</v>
      </c>
      <c r="AC3522" s="728"/>
      <c r="AD3522" s="68">
        <f>AD2093/1.18-AD2808*'Mark Up Validation'!$S$105</f>
        <v>0</v>
      </c>
      <c r="AE3522" s="728"/>
      <c r="AF3522" s="132">
        <f>SUM(T3522,V3522,X3522,Z3522,AB3522,AD3522)</f>
        <v>0</v>
      </c>
      <c r="AG3522" s="728"/>
      <c r="AH3522" s="133">
        <f>SUM(AF3522,R3522)</f>
        <v>0</v>
      </c>
      <c r="AI3522" s="728"/>
      <c r="AJ3522" s="65"/>
      <c r="AV3522" s="56"/>
    </row>
    <row r="3523" spans="1:48" ht="12.75" hidden="1" customHeight="1" outlineLevel="2" thickBot="1">
      <c r="B3523" s="82"/>
      <c r="C3523" s="1234"/>
      <c r="D3523" s="1234"/>
      <c r="E3523" s="84">
        <f>'Terms and Turnovers'!$AN$12</f>
        <v>0</v>
      </c>
      <c r="F3523" s="68">
        <f>F2094/1.18-F2809*'Mark Up Validation'!$M$105</f>
        <v>0</v>
      </c>
      <c r="G3523" s="728"/>
      <c r="H3523" s="68">
        <f>H2094/1.18-H2809*'Mark Up Validation'!$M$105</f>
        <v>0</v>
      </c>
      <c r="I3523" s="728"/>
      <c r="J3523" s="68">
        <f>J2094/1.18-J2809*'Mark Up Validation'!$M$105</f>
        <v>0</v>
      </c>
      <c r="K3523" s="728"/>
      <c r="L3523" s="68">
        <f>L2094/1.18-L2809*'Mark Up Validation'!$M$105</f>
        <v>0</v>
      </c>
      <c r="M3523" s="728"/>
      <c r="N3523" s="68">
        <f>N2094/1.18-N2809*'Mark Up Validation'!$M$105</f>
        <v>0</v>
      </c>
      <c r="O3523" s="728"/>
      <c r="P3523" s="68">
        <f>P2094/1.18-P2809*'Mark Up Validation'!$M$105</f>
        <v>0</v>
      </c>
      <c r="Q3523" s="728"/>
      <c r="R3523" s="132">
        <f>SUM(F3523,H3523,J3523,L3523,N3523,P3523)</f>
        <v>0</v>
      </c>
      <c r="S3523" s="728"/>
      <c r="T3523" s="68">
        <f>T2094/1.18-T2809*'Mark Up Validation'!$S$105</f>
        <v>0</v>
      </c>
      <c r="U3523" s="728"/>
      <c r="V3523" s="68">
        <f>V2094/1.18-V2809*'Mark Up Validation'!$S$105</f>
        <v>0</v>
      </c>
      <c r="W3523" s="728"/>
      <c r="X3523" s="68">
        <f>X2094/1.18-X2809*'Mark Up Validation'!$S$105</f>
        <v>0</v>
      </c>
      <c r="Y3523" s="728"/>
      <c r="Z3523" s="68">
        <f>Z2094/1.18-Z2809*'Mark Up Validation'!$S$105</f>
        <v>0</v>
      </c>
      <c r="AA3523" s="728"/>
      <c r="AB3523" s="68">
        <f>AB2094/1.18-AB2809*'Mark Up Validation'!$S$105</f>
        <v>0</v>
      </c>
      <c r="AC3523" s="728"/>
      <c r="AD3523" s="68">
        <f>AD2094/1.18-AD2809*'Mark Up Validation'!$S$105</f>
        <v>0</v>
      </c>
      <c r="AE3523" s="728"/>
      <c r="AF3523" s="132">
        <f>SUM(T3523,V3523,X3523,Z3523,AB3523,AD3523)</f>
        <v>0</v>
      </c>
      <c r="AG3523" s="728"/>
      <c r="AH3523" s="133">
        <f>SUM(AF3523,R3523)</f>
        <v>0</v>
      </c>
      <c r="AI3523" s="728"/>
      <c r="AJ3523" s="65"/>
      <c r="AV3523" s="56"/>
    </row>
    <row r="3524" spans="1:48" ht="13.5" hidden="1" customHeight="1" outlineLevel="2" thickBot="1">
      <c r="B3524" s="82"/>
      <c r="C3524" s="1235"/>
      <c r="D3524" s="1235"/>
      <c r="E3524" s="85">
        <f>'Terms and Turnovers'!$AX$12</f>
        <v>0</v>
      </c>
      <c r="F3524" s="68">
        <f>F2095/1.18-F2810*'Mark Up Validation'!$M$105</f>
        <v>0</v>
      </c>
      <c r="G3524" s="106"/>
      <c r="H3524" s="68">
        <f>H2095/1.18-H2810*'Mark Up Validation'!$M$105</f>
        <v>0</v>
      </c>
      <c r="I3524" s="106"/>
      <c r="J3524" s="68">
        <f>J2095/1.18-J2810*'Mark Up Validation'!$M$105</f>
        <v>0</v>
      </c>
      <c r="K3524" s="106"/>
      <c r="L3524" s="68">
        <f>L2095/1.18-L2810*'Mark Up Validation'!$M$105</f>
        <v>0</v>
      </c>
      <c r="M3524" s="106"/>
      <c r="N3524" s="68">
        <f>N2095/1.18-N2810*'Mark Up Validation'!$M$105</f>
        <v>0</v>
      </c>
      <c r="O3524" s="106"/>
      <c r="P3524" s="68">
        <f>P2095/1.18-P2810*'Mark Up Validation'!$M$105</f>
        <v>0</v>
      </c>
      <c r="Q3524" s="107"/>
      <c r="R3524" s="135">
        <f>SUM(F3524,H3524,J3524,L3524,N3524,P3524)</f>
        <v>0</v>
      </c>
      <c r="S3524" s="107"/>
      <c r="T3524" s="68">
        <f>T2095/1.18-T2810*'Mark Up Validation'!$S$105</f>
        <v>0</v>
      </c>
      <c r="U3524" s="107"/>
      <c r="V3524" s="68">
        <f>V2095/1.18-V2810*'Mark Up Validation'!$S$105</f>
        <v>0</v>
      </c>
      <c r="W3524" s="107"/>
      <c r="X3524" s="68">
        <f>X2095/1.18-X2810*'Mark Up Validation'!$S$105</f>
        <v>0</v>
      </c>
      <c r="Y3524" s="107"/>
      <c r="Z3524" s="68">
        <f>Z2095/1.18-Z2810*'Mark Up Validation'!$S$105</f>
        <v>0</v>
      </c>
      <c r="AA3524" s="107"/>
      <c r="AB3524" s="68">
        <f>AB2095/1.18-AB2810*'Mark Up Validation'!$S$105</f>
        <v>0</v>
      </c>
      <c r="AC3524" s="107"/>
      <c r="AD3524" s="68">
        <f>AD2095/1.18-AD2810*'Mark Up Validation'!$S$105</f>
        <v>0</v>
      </c>
      <c r="AE3524" s="107"/>
      <c r="AF3524" s="135">
        <f>SUM(T3524,V3524,X3524,Z3524,AB3524,AD3524)</f>
        <v>0</v>
      </c>
      <c r="AG3524" s="107"/>
      <c r="AH3524" s="136">
        <f>SUM(AF3524,R3524)</f>
        <v>0</v>
      </c>
      <c r="AI3524" s="107"/>
      <c r="AJ3524" s="65"/>
      <c r="AV3524" s="56"/>
    </row>
    <row r="3525" spans="1:48" ht="13.5" hidden="1" customHeight="1" outlineLevel="2">
      <c r="B3525" s="82"/>
      <c r="C3525" s="425"/>
      <c r="D3525" s="425"/>
      <c r="E3525" s="634"/>
      <c r="F3525" s="635"/>
      <c r="G3525" s="428"/>
      <c r="H3525" s="635"/>
      <c r="I3525" s="428"/>
      <c r="J3525" s="635"/>
      <c r="K3525" s="636"/>
      <c r="L3525" s="635"/>
      <c r="M3525" s="636"/>
      <c r="N3525" s="635"/>
      <c r="O3525" s="636"/>
      <c r="P3525" s="635"/>
      <c r="Q3525" s="636"/>
      <c r="R3525" s="637"/>
      <c r="S3525" s="698">
        <f>SUM(R2805:R2809)/1.18-(SUM(R3520:R3524)*'Mark Up Validation'!$M$105)</f>
        <v>0</v>
      </c>
      <c r="T3525" s="635"/>
      <c r="U3525" s="636"/>
      <c r="V3525" s="635"/>
      <c r="W3525" s="636"/>
      <c r="X3525" s="635"/>
      <c r="Y3525" s="636"/>
      <c r="Z3525" s="635"/>
      <c r="AA3525" s="636"/>
      <c r="AB3525" s="635"/>
      <c r="AC3525" s="636"/>
      <c r="AD3525" s="635"/>
      <c r="AE3525" s="636"/>
      <c r="AF3525" s="637"/>
      <c r="AG3525" s="698">
        <f>SUM(AF2805:AF2809)/1.18-SUM(AF3520:AF3524)*'Mark Up Validation'!$M$175</f>
        <v>0</v>
      </c>
      <c r="AH3525" s="638"/>
      <c r="AI3525" s="698">
        <f>SUM(AH2805:AH2809)/1.18-SUM(AH3520:AH3524)*'Mark Up Validation'!$M$175</f>
        <v>0</v>
      </c>
      <c r="AJ3525" s="65"/>
      <c r="AV3525" s="56"/>
    </row>
    <row r="3526" spans="1:48" ht="13.5" hidden="1" customHeight="1" outlineLevel="2" thickBot="1">
      <c r="A3526" s="119"/>
      <c r="B3526" s="82"/>
      <c r="C3526" s="1228" t="s">
        <v>539</v>
      </c>
      <c r="D3526" s="1229"/>
      <c r="E3526" s="699"/>
      <c r="F3526" s="700">
        <f>SUM(F3520:F3524)</f>
        <v>0</v>
      </c>
      <c r="G3526" s="701"/>
      <c r="H3526" s="700">
        <f>SUM(H3520:H3524)</f>
        <v>0</v>
      </c>
      <c r="I3526" s="701"/>
      <c r="J3526" s="700">
        <f>SUM(J3520:J3524)</f>
        <v>0</v>
      </c>
      <c r="K3526" s="702"/>
      <c r="L3526" s="700">
        <f>SUM(L3520:L3524)</f>
        <v>0</v>
      </c>
      <c r="M3526" s="702"/>
      <c r="N3526" s="700">
        <f>SUM(N3520:N3524)</f>
        <v>0</v>
      </c>
      <c r="O3526" s="702"/>
      <c r="P3526" s="700">
        <f>SUM(P3520:P3524)</f>
        <v>0</v>
      </c>
      <c r="Q3526" s="702"/>
      <c r="R3526" s="703"/>
      <c r="S3526" s="729">
        <f>IF(S3525&gt;0,S3525/(SUM(R2805:R2809)/1.18),0)</f>
        <v>0</v>
      </c>
      <c r="T3526" s="700">
        <f>SUM(T3520:T3524)</f>
        <v>0</v>
      </c>
      <c r="U3526" s="702"/>
      <c r="V3526" s="700">
        <f>SUM(V3520:V3524)</f>
        <v>0</v>
      </c>
      <c r="W3526" s="702"/>
      <c r="X3526" s="700">
        <f>SUM(X3520:X3524)</f>
        <v>0</v>
      </c>
      <c r="Y3526" s="702"/>
      <c r="Z3526" s="700">
        <f>SUM(Z3520:Z3524)</f>
        <v>0</v>
      </c>
      <c r="AA3526" s="702"/>
      <c r="AB3526" s="700">
        <f>SUM(AB3520:AB3524)</f>
        <v>0</v>
      </c>
      <c r="AC3526" s="702"/>
      <c r="AD3526" s="700">
        <f>SUM(AD3520:AD3524)</f>
        <v>0</v>
      </c>
      <c r="AE3526" s="702"/>
      <c r="AF3526" s="705"/>
      <c r="AG3526" s="729">
        <f>IF(AG3525&gt;0,AG3525/(SUM(AF2805:AF2809)/1.18),0)</f>
        <v>0</v>
      </c>
      <c r="AH3526" s="706"/>
      <c r="AI3526" s="729">
        <f>IF(AI3525&gt;0,AI3525/(SUM(AH2805:AH2809)/1.18),0)</f>
        <v>0</v>
      </c>
      <c r="AJ3526" s="707"/>
      <c r="AV3526" s="56"/>
    </row>
    <row r="3527" spans="1:48" ht="12.75" hidden="1" customHeight="1" outlineLevel="2" thickBot="1">
      <c r="B3527" s="82">
        <f>B3520+1</f>
        <v>93</v>
      </c>
      <c r="C3527" s="1233">
        <f>C657</f>
        <v>0</v>
      </c>
      <c r="D3527" s="1233">
        <f>D657</f>
        <v>0</v>
      </c>
      <c r="E3527" s="83" t="str">
        <f>'Terms and Turnovers'!$J$12</f>
        <v>FLIP-FLOPS</v>
      </c>
      <c r="F3527" s="68">
        <f>F2098/1.18-F2813*'Mark Up Validation'!$M$105</f>
        <v>0</v>
      </c>
      <c r="G3527" s="106"/>
      <c r="H3527" s="68">
        <f>H2098/1.18-H2813*'Mark Up Validation'!$M$105</f>
        <v>0</v>
      </c>
      <c r="I3527" s="106"/>
      <c r="J3527" s="68">
        <f>J2098/1.18-J2813*'Mark Up Validation'!$M$105</f>
        <v>0</v>
      </c>
      <c r="K3527" s="106"/>
      <c r="L3527" s="68">
        <f>L2098/1.18-L2813*'Mark Up Validation'!$M$105</f>
        <v>0</v>
      </c>
      <c r="M3527" s="106"/>
      <c r="N3527" s="68">
        <f>N2098/1.18-N2813*'Mark Up Validation'!$M$105</f>
        <v>0</v>
      </c>
      <c r="O3527" s="106"/>
      <c r="P3527" s="68">
        <f>P2098/1.18-P2813*'Mark Up Validation'!$M$105</f>
        <v>0</v>
      </c>
      <c r="Q3527" s="106"/>
      <c r="R3527" s="129">
        <f>SUM(F3527,H3527,J3527,L3527,N3527,P3527)</f>
        <v>0</v>
      </c>
      <c r="S3527" s="106"/>
      <c r="T3527" s="68">
        <f>T2098/1.18-T2813*'Mark Up Validation'!$S$105</f>
        <v>0</v>
      </c>
      <c r="U3527" s="106"/>
      <c r="V3527" s="68">
        <f>V2098/1.18-V2813*'Mark Up Validation'!$S$105</f>
        <v>0</v>
      </c>
      <c r="W3527" s="106"/>
      <c r="X3527" s="68">
        <f>X2098/1.18-X2813*'Mark Up Validation'!$S$105</f>
        <v>0</v>
      </c>
      <c r="Y3527" s="106"/>
      <c r="Z3527" s="68">
        <f>Z2098/1.18-Z2813*'Mark Up Validation'!$S$105</f>
        <v>0</v>
      </c>
      <c r="AA3527" s="106"/>
      <c r="AB3527" s="68">
        <f>AB2098/1.18-AB2813*'Mark Up Validation'!$S$105</f>
        <v>0</v>
      </c>
      <c r="AC3527" s="106"/>
      <c r="AD3527" s="68">
        <f>AD2098/1.18-AD2813*'Mark Up Validation'!$S$105</f>
        <v>0</v>
      </c>
      <c r="AE3527" s="106"/>
      <c r="AF3527" s="129">
        <f>SUM(T3527,V3527,X3527,Z3527,AB3527,AD3527)</f>
        <v>0</v>
      </c>
      <c r="AG3527" s="106"/>
      <c r="AH3527" s="130">
        <f>SUM(AF3527,R3527)</f>
        <v>0</v>
      </c>
      <c r="AI3527" s="106"/>
      <c r="AJ3527" s="65"/>
      <c r="AV3527" s="56"/>
    </row>
    <row r="3528" spans="1:48" ht="12.75" hidden="1" customHeight="1" outlineLevel="2" thickBot="1">
      <c r="B3528" s="82"/>
      <c r="C3528" s="1234"/>
      <c r="D3528" s="1234"/>
      <c r="E3528" s="84" t="str">
        <f>'Terms and Turnovers'!$T$12</f>
        <v>ORIGINALS</v>
      </c>
      <c r="F3528" s="68">
        <f>F2099/1.18-F2814*'Mark Up Validation'!$M$105</f>
        <v>0</v>
      </c>
      <c r="G3528" s="728"/>
      <c r="H3528" s="68">
        <f>H2099/1.18-H2814*'Mark Up Validation'!$M$105</f>
        <v>0</v>
      </c>
      <c r="I3528" s="728"/>
      <c r="J3528" s="68">
        <f>J2099/1.18-J2814*'Mark Up Validation'!$M$105</f>
        <v>0</v>
      </c>
      <c r="K3528" s="728"/>
      <c r="L3528" s="68">
        <f>L2099/1.18-L2814*'Mark Up Validation'!$M$105</f>
        <v>0</v>
      </c>
      <c r="M3528" s="728"/>
      <c r="N3528" s="68">
        <f>N2099/1.18-N2814*'Mark Up Validation'!$M$105</f>
        <v>0</v>
      </c>
      <c r="O3528" s="728"/>
      <c r="P3528" s="68">
        <f>P2099/1.18-P2814*'Mark Up Validation'!$M$105</f>
        <v>0</v>
      </c>
      <c r="Q3528" s="728"/>
      <c r="R3528" s="132">
        <f>SUM(F3528,H3528,J3528,L3528,N3528,P3528)</f>
        <v>0</v>
      </c>
      <c r="S3528" s="728"/>
      <c r="T3528" s="68">
        <f>T2099/1.18-T2814*'Mark Up Validation'!$S$105</f>
        <v>0</v>
      </c>
      <c r="U3528" s="728"/>
      <c r="V3528" s="68">
        <f>V2099/1.18-V2814*'Mark Up Validation'!$S$105</f>
        <v>0</v>
      </c>
      <c r="W3528" s="728"/>
      <c r="X3528" s="68">
        <f>X2099/1.18-X2814*'Mark Up Validation'!$S$105</f>
        <v>0</v>
      </c>
      <c r="Y3528" s="728"/>
      <c r="Z3528" s="68">
        <f>Z2099/1.18-Z2814*'Mark Up Validation'!$S$105</f>
        <v>0</v>
      </c>
      <c r="AA3528" s="728"/>
      <c r="AB3528" s="68">
        <f>AB2099/1.18-AB2814*'Mark Up Validation'!$S$105</f>
        <v>0</v>
      </c>
      <c r="AC3528" s="728"/>
      <c r="AD3528" s="68">
        <f>AD2099/1.18-AD2814*'Mark Up Validation'!$S$105</f>
        <v>0</v>
      </c>
      <c r="AE3528" s="728"/>
      <c r="AF3528" s="132">
        <f>SUM(T3528,V3528,X3528,Z3528,AB3528,AD3528)</f>
        <v>0</v>
      </c>
      <c r="AG3528" s="728"/>
      <c r="AH3528" s="133">
        <f>SUM(AF3528,R3528)</f>
        <v>0</v>
      </c>
      <c r="AI3528" s="728"/>
      <c r="AJ3528" s="65"/>
      <c r="AV3528" s="56"/>
    </row>
    <row r="3529" spans="1:48" ht="12.75" hidden="1" customHeight="1" outlineLevel="2" thickBot="1">
      <c r="B3529" s="82"/>
      <c r="C3529" s="1234"/>
      <c r="D3529" s="1234"/>
      <c r="E3529" s="84" t="str">
        <f>'Terms and Turnovers'!$AD$12</f>
        <v>ACCESSORIES</v>
      </c>
      <c r="F3529" s="68">
        <f>F2100/1.18-F2815*'Mark Up Validation'!$M$105</f>
        <v>0</v>
      </c>
      <c r="G3529" s="106"/>
      <c r="H3529" s="68">
        <f>H2100/1.18-H2815*'Mark Up Validation'!$M$105</f>
        <v>0</v>
      </c>
      <c r="I3529" s="106"/>
      <c r="J3529" s="68">
        <f>J2100/1.18-J2815*'Mark Up Validation'!$M$105</f>
        <v>0</v>
      </c>
      <c r="K3529" s="106"/>
      <c r="L3529" s="68">
        <f>L2100/1.18-L2815*'Mark Up Validation'!$M$105</f>
        <v>0</v>
      </c>
      <c r="M3529" s="106"/>
      <c r="N3529" s="68">
        <f>N2100/1.18-N2815*'Mark Up Validation'!$M$105</f>
        <v>0</v>
      </c>
      <c r="O3529" s="106"/>
      <c r="P3529" s="68">
        <f>P2100/1.18-P2815*'Mark Up Validation'!$M$105</f>
        <v>0</v>
      </c>
      <c r="Q3529" s="728"/>
      <c r="R3529" s="132">
        <f>SUM(F3529,H3529,J3529,L3529,N3529,P3529)</f>
        <v>0</v>
      </c>
      <c r="S3529" s="728"/>
      <c r="T3529" s="68">
        <f>T2100/1.18-T2815*'Mark Up Validation'!$S$105</f>
        <v>0</v>
      </c>
      <c r="U3529" s="728"/>
      <c r="V3529" s="68">
        <f>V2100/1.18-V2815*'Mark Up Validation'!$S$105</f>
        <v>0</v>
      </c>
      <c r="W3529" s="728"/>
      <c r="X3529" s="68">
        <f>X2100/1.18-X2815*'Mark Up Validation'!$S$105</f>
        <v>0</v>
      </c>
      <c r="Y3529" s="728"/>
      <c r="Z3529" s="68">
        <f>Z2100/1.18-Z2815*'Mark Up Validation'!$S$105</f>
        <v>0</v>
      </c>
      <c r="AA3529" s="728"/>
      <c r="AB3529" s="68">
        <f>AB2100/1.18-AB2815*'Mark Up Validation'!$S$105</f>
        <v>0</v>
      </c>
      <c r="AC3529" s="728"/>
      <c r="AD3529" s="68">
        <f>AD2100/1.18-AD2815*'Mark Up Validation'!$S$105</f>
        <v>0</v>
      </c>
      <c r="AE3529" s="728"/>
      <c r="AF3529" s="132">
        <f>SUM(T3529,V3529,X3529,Z3529,AB3529,AD3529)</f>
        <v>0</v>
      </c>
      <c r="AG3529" s="728"/>
      <c r="AH3529" s="133">
        <f>SUM(AF3529,R3529)</f>
        <v>0</v>
      </c>
      <c r="AI3529" s="728"/>
      <c r="AJ3529" s="65"/>
      <c r="AV3529" s="56"/>
    </row>
    <row r="3530" spans="1:48" ht="12.75" hidden="1" customHeight="1" outlineLevel="2" thickBot="1">
      <c r="B3530" s="82"/>
      <c r="C3530" s="1234"/>
      <c r="D3530" s="1234"/>
      <c r="E3530" s="84">
        <f>'Terms and Turnovers'!$AN$12</f>
        <v>0</v>
      </c>
      <c r="F3530" s="68">
        <f>F2101/1.18-F2816*'Mark Up Validation'!$M$105</f>
        <v>0</v>
      </c>
      <c r="G3530" s="728"/>
      <c r="H3530" s="68">
        <f>H2101/1.18-H2816*'Mark Up Validation'!$M$105</f>
        <v>0</v>
      </c>
      <c r="I3530" s="728"/>
      <c r="J3530" s="68">
        <f>J2101/1.18-J2816*'Mark Up Validation'!$M$105</f>
        <v>0</v>
      </c>
      <c r="K3530" s="728"/>
      <c r="L3530" s="68">
        <f>L2101/1.18-L2816*'Mark Up Validation'!$M$105</f>
        <v>0</v>
      </c>
      <c r="M3530" s="728"/>
      <c r="N3530" s="68">
        <f>N2101/1.18-N2816*'Mark Up Validation'!$M$105</f>
        <v>0</v>
      </c>
      <c r="O3530" s="728"/>
      <c r="P3530" s="68">
        <f>P2101/1.18-P2816*'Mark Up Validation'!$M$105</f>
        <v>0</v>
      </c>
      <c r="Q3530" s="728"/>
      <c r="R3530" s="132">
        <f>SUM(F3530,H3530,J3530,L3530,N3530,P3530)</f>
        <v>0</v>
      </c>
      <c r="S3530" s="728"/>
      <c r="T3530" s="68">
        <f>T2101/1.18-T2816*'Mark Up Validation'!$S$105</f>
        <v>0</v>
      </c>
      <c r="U3530" s="728"/>
      <c r="V3530" s="68">
        <f>V2101/1.18-V2816*'Mark Up Validation'!$S$105</f>
        <v>0</v>
      </c>
      <c r="W3530" s="728"/>
      <c r="X3530" s="68">
        <f>X2101/1.18-X2816*'Mark Up Validation'!$S$105</f>
        <v>0</v>
      </c>
      <c r="Y3530" s="728"/>
      <c r="Z3530" s="68">
        <f>Z2101/1.18-Z2816*'Mark Up Validation'!$S$105</f>
        <v>0</v>
      </c>
      <c r="AA3530" s="728"/>
      <c r="AB3530" s="68">
        <f>AB2101/1.18-AB2816*'Mark Up Validation'!$S$105</f>
        <v>0</v>
      </c>
      <c r="AC3530" s="728"/>
      <c r="AD3530" s="68">
        <f>AD2101/1.18-AD2816*'Mark Up Validation'!$S$105</f>
        <v>0</v>
      </c>
      <c r="AE3530" s="728"/>
      <c r="AF3530" s="132">
        <f>SUM(T3530,V3530,X3530,Z3530,AB3530,AD3530)</f>
        <v>0</v>
      </c>
      <c r="AG3530" s="728"/>
      <c r="AH3530" s="133">
        <f>SUM(AF3530,R3530)</f>
        <v>0</v>
      </c>
      <c r="AI3530" s="728"/>
      <c r="AJ3530" s="65"/>
      <c r="AV3530" s="56"/>
    </row>
    <row r="3531" spans="1:48" ht="13.5" hidden="1" customHeight="1" outlineLevel="2" thickBot="1">
      <c r="B3531" s="82"/>
      <c r="C3531" s="1235"/>
      <c r="D3531" s="1235"/>
      <c r="E3531" s="85">
        <f>'Terms and Turnovers'!$AX$12</f>
        <v>0</v>
      </c>
      <c r="F3531" s="68">
        <f>F2102/1.18-F2817*'Mark Up Validation'!$M$105</f>
        <v>0</v>
      </c>
      <c r="G3531" s="106"/>
      <c r="H3531" s="68">
        <f>H2102/1.18-H2817*'Mark Up Validation'!$M$105</f>
        <v>0</v>
      </c>
      <c r="I3531" s="106"/>
      <c r="J3531" s="68">
        <f>J2102/1.18-J2817*'Mark Up Validation'!$M$105</f>
        <v>0</v>
      </c>
      <c r="K3531" s="106"/>
      <c r="L3531" s="68">
        <f>L2102/1.18-L2817*'Mark Up Validation'!$M$105</f>
        <v>0</v>
      </c>
      <c r="M3531" s="106"/>
      <c r="N3531" s="68">
        <f>N2102/1.18-N2817*'Mark Up Validation'!$M$105</f>
        <v>0</v>
      </c>
      <c r="O3531" s="106"/>
      <c r="P3531" s="68">
        <f>P2102/1.18-P2817*'Mark Up Validation'!$M$105</f>
        <v>0</v>
      </c>
      <c r="Q3531" s="107"/>
      <c r="R3531" s="135">
        <f>SUM(F3531,H3531,J3531,L3531,N3531,P3531)</f>
        <v>0</v>
      </c>
      <c r="S3531" s="107"/>
      <c r="T3531" s="68">
        <f>T2102/1.18-T2817*'Mark Up Validation'!$S$105</f>
        <v>0</v>
      </c>
      <c r="U3531" s="107"/>
      <c r="V3531" s="68">
        <f>V2102/1.18-V2817*'Mark Up Validation'!$S$105</f>
        <v>0</v>
      </c>
      <c r="W3531" s="107"/>
      <c r="X3531" s="68">
        <f>X2102/1.18-X2817*'Mark Up Validation'!$S$105</f>
        <v>0</v>
      </c>
      <c r="Y3531" s="107"/>
      <c r="Z3531" s="68">
        <f>Z2102/1.18-Z2817*'Mark Up Validation'!$S$105</f>
        <v>0</v>
      </c>
      <c r="AA3531" s="107"/>
      <c r="AB3531" s="68">
        <f>AB2102/1.18-AB2817*'Mark Up Validation'!$S$105</f>
        <v>0</v>
      </c>
      <c r="AC3531" s="107"/>
      <c r="AD3531" s="68">
        <f>AD2102/1.18-AD2817*'Mark Up Validation'!$S$105</f>
        <v>0</v>
      </c>
      <c r="AE3531" s="107"/>
      <c r="AF3531" s="135">
        <f>SUM(T3531,V3531,X3531,Z3531,AB3531,AD3531)</f>
        <v>0</v>
      </c>
      <c r="AG3531" s="107"/>
      <c r="AH3531" s="136">
        <f>SUM(AF3531,R3531)</f>
        <v>0</v>
      </c>
      <c r="AI3531" s="107"/>
      <c r="AJ3531" s="65"/>
      <c r="AV3531" s="56"/>
    </row>
    <row r="3532" spans="1:48" ht="13.5" hidden="1" customHeight="1" outlineLevel="2">
      <c r="B3532" s="82"/>
      <c r="C3532" s="425"/>
      <c r="D3532" s="425"/>
      <c r="E3532" s="634"/>
      <c r="F3532" s="635"/>
      <c r="G3532" s="428"/>
      <c r="H3532" s="635"/>
      <c r="I3532" s="428"/>
      <c r="J3532" s="635"/>
      <c r="K3532" s="636"/>
      <c r="L3532" s="635"/>
      <c r="M3532" s="636"/>
      <c r="N3532" s="635"/>
      <c r="O3532" s="636"/>
      <c r="P3532" s="635"/>
      <c r="Q3532" s="636"/>
      <c r="R3532" s="637"/>
      <c r="S3532" s="698">
        <f>SUM(R2812:R2816)/1.18-(SUM(R3527:R3531)*'Mark Up Validation'!$M$105)</f>
        <v>0</v>
      </c>
      <c r="T3532" s="635"/>
      <c r="U3532" s="636"/>
      <c r="V3532" s="635"/>
      <c r="W3532" s="636"/>
      <c r="X3532" s="635"/>
      <c r="Y3532" s="636"/>
      <c r="Z3532" s="635"/>
      <c r="AA3532" s="636"/>
      <c r="AB3532" s="635"/>
      <c r="AC3532" s="636"/>
      <c r="AD3532" s="635"/>
      <c r="AE3532" s="636"/>
      <c r="AF3532" s="637"/>
      <c r="AG3532" s="698">
        <f>SUM(AF2812:AF2816)/1.18-SUM(AF3527:AF3531)*'Mark Up Validation'!$M$175</f>
        <v>0</v>
      </c>
      <c r="AH3532" s="638"/>
      <c r="AI3532" s="698">
        <f>SUM(AH2812:AH2816)/1.18-SUM(AH3527:AH3531)*'Mark Up Validation'!$M$175</f>
        <v>0</v>
      </c>
      <c r="AJ3532" s="65"/>
      <c r="AV3532" s="56"/>
    </row>
    <row r="3533" spans="1:48" ht="13.5" hidden="1" customHeight="1" outlineLevel="2" thickBot="1">
      <c r="A3533" s="119"/>
      <c r="B3533" s="82"/>
      <c r="C3533" s="1228" t="s">
        <v>539</v>
      </c>
      <c r="D3533" s="1229"/>
      <c r="E3533" s="699"/>
      <c r="F3533" s="700">
        <f>SUM(F3527:F3531)</f>
        <v>0</v>
      </c>
      <c r="G3533" s="701"/>
      <c r="H3533" s="700">
        <f>SUM(H3527:H3531)</f>
        <v>0</v>
      </c>
      <c r="I3533" s="701"/>
      <c r="J3533" s="700">
        <f>SUM(J3527:J3531)</f>
        <v>0</v>
      </c>
      <c r="K3533" s="702"/>
      <c r="L3533" s="700">
        <f>SUM(L3527:L3531)</f>
        <v>0</v>
      </c>
      <c r="M3533" s="702"/>
      <c r="N3533" s="700">
        <f>SUM(N3527:N3531)</f>
        <v>0</v>
      </c>
      <c r="O3533" s="702"/>
      <c r="P3533" s="700">
        <f>SUM(P3527:P3531)</f>
        <v>0</v>
      </c>
      <c r="Q3533" s="702"/>
      <c r="R3533" s="703"/>
      <c r="S3533" s="729">
        <f>IF(S3532&gt;0,S3532/(SUM(R2812:R2816)/1.18),0)</f>
        <v>0</v>
      </c>
      <c r="T3533" s="700">
        <f>SUM(T3527:T3531)</f>
        <v>0</v>
      </c>
      <c r="U3533" s="702"/>
      <c r="V3533" s="700">
        <f>SUM(V3527:V3531)</f>
        <v>0</v>
      </c>
      <c r="W3533" s="702"/>
      <c r="X3533" s="700">
        <f>SUM(X3527:X3531)</f>
        <v>0</v>
      </c>
      <c r="Y3533" s="702"/>
      <c r="Z3533" s="700">
        <f>SUM(Z3527:Z3531)</f>
        <v>0</v>
      </c>
      <c r="AA3533" s="702"/>
      <c r="AB3533" s="700">
        <f>SUM(AB3527:AB3531)</f>
        <v>0</v>
      </c>
      <c r="AC3533" s="702"/>
      <c r="AD3533" s="700">
        <f>SUM(AD3527:AD3531)</f>
        <v>0</v>
      </c>
      <c r="AE3533" s="702"/>
      <c r="AF3533" s="705"/>
      <c r="AG3533" s="729">
        <f>IF(AG3532&gt;0,AG3532/(SUM(AF2812:AF2816)/1.18),0)</f>
        <v>0</v>
      </c>
      <c r="AH3533" s="706"/>
      <c r="AI3533" s="729">
        <f>IF(AI3532&gt;0,AI3532/(SUM(AH2812:AH2816)/1.18),0)</f>
        <v>0</v>
      </c>
      <c r="AJ3533" s="707"/>
      <c r="AV3533" s="56"/>
    </row>
    <row r="3534" spans="1:48" ht="12.75" hidden="1" customHeight="1" outlineLevel="2" thickBot="1">
      <c r="B3534" s="82">
        <f>B3527+1</f>
        <v>94</v>
      </c>
      <c r="C3534" s="1233">
        <f>C664</f>
        <v>0</v>
      </c>
      <c r="D3534" s="1233">
        <f>D664</f>
        <v>0</v>
      </c>
      <c r="E3534" s="83" t="str">
        <f>'Terms and Turnovers'!$J$12</f>
        <v>FLIP-FLOPS</v>
      </c>
      <c r="F3534" s="68">
        <f>F2105/1.18-F2820*'Mark Up Validation'!$M$105</f>
        <v>0</v>
      </c>
      <c r="G3534" s="106"/>
      <c r="H3534" s="68">
        <f>H2105/1.18-H2820*'Mark Up Validation'!$M$105</f>
        <v>0</v>
      </c>
      <c r="I3534" s="106"/>
      <c r="J3534" s="68">
        <f>J2105/1.18-J2820*'Mark Up Validation'!$M$105</f>
        <v>0</v>
      </c>
      <c r="K3534" s="106"/>
      <c r="L3534" s="68">
        <f>L2105/1.18-L2820*'Mark Up Validation'!$M$105</f>
        <v>0</v>
      </c>
      <c r="M3534" s="106"/>
      <c r="N3534" s="68">
        <f>N2105/1.18-N2820*'Mark Up Validation'!$M$105</f>
        <v>0</v>
      </c>
      <c r="O3534" s="106"/>
      <c r="P3534" s="68">
        <f>P2105/1.18-P2820*'Mark Up Validation'!$M$105</f>
        <v>0</v>
      </c>
      <c r="Q3534" s="106"/>
      <c r="R3534" s="129">
        <f>SUM(F3534,H3534,J3534,L3534,N3534,P3534)</f>
        <v>0</v>
      </c>
      <c r="S3534" s="106"/>
      <c r="T3534" s="68">
        <f>T2105/1.18-T2820*'Mark Up Validation'!$S$105</f>
        <v>0</v>
      </c>
      <c r="U3534" s="106"/>
      <c r="V3534" s="68">
        <f>V2105/1.18-V2820*'Mark Up Validation'!$S$105</f>
        <v>0</v>
      </c>
      <c r="W3534" s="106"/>
      <c r="X3534" s="68">
        <f>X2105/1.18-X2820*'Mark Up Validation'!$S$105</f>
        <v>0</v>
      </c>
      <c r="Y3534" s="106"/>
      <c r="Z3534" s="68">
        <f>Z2105/1.18-Z2820*'Mark Up Validation'!$S$105</f>
        <v>0</v>
      </c>
      <c r="AA3534" s="106"/>
      <c r="AB3534" s="68">
        <f>AB2105/1.18-AB2820*'Mark Up Validation'!$S$105</f>
        <v>0</v>
      </c>
      <c r="AC3534" s="106"/>
      <c r="AD3534" s="68">
        <f>AD2105/1.18-AD2820*'Mark Up Validation'!$S$105</f>
        <v>0</v>
      </c>
      <c r="AE3534" s="106"/>
      <c r="AF3534" s="129">
        <f>SUM(T3534,V3534,X3534,Z3534,AB3534,AD3534)</f>
        <v>0</v>
      </c>
      <c r="AG3534" s="106"/>
      <c r="AH3534" s="130">
        <f>SUM(AF3534,R3534)</f>
        <v>0</v>
      </c>
      <c r="AI3534" s="106"/>
      <c r="AJ3534" s="65"/>
      <c r="AV3534" s="56"/>
    </row>
    <row r="3535" spans="1:48" ht="12.75" hidden="1" customHeight="1" outlineLevel="2" thickBot="1">
      <c r="B3535" s="82"/>
      <c r="C3535" s="1234"/>
      <c r="D3535" s="1234"/>
      <c r="E3535" s="84" t="str">
        <f>'Terms and Turnovers'!$T$12</f>
        <v>ORIGINALS</v>
      </c>
      <c r="F3535" s="68">
        <f>F2106/1.18-F2821*'Mark Up Validation'!$M$105</f>
        <v>0</v>
      </c>
      <c r="G3535" s="728"/>
      <c r="H3535" s="68">
        <f>H2106/1.18-H2821*'Mark Up Validation'!$M$105</f>
        <v>0</v>
      </c>
      <c r="I3535" s="728"/>
      <c r="J3535" s="68">
        <f>J2106/1.18-J2821*'Mark Up Validation'!$M$105</f>
        <v>0</v>
      </c>
      <c r="K3535" s="728"/>
      <c r="L3535" s="68">
        <f>L2106/1.18-L2821*'Mark Up Validation'!$M$105</f>
        <v>0</v>
      </c>
      <c r="M3535" s="728"/>
      <c r="N3535" s="68">
        <f>N2106/1.18-N2821*'Mark Up Validation'!$M$105</f>
        <v>0</v>
      </c>
      <c r="O3535" s="728"/>
      <c r="P3535" s="68">
        <f>P2106/1.18-P2821*'Mark Up Validation'!$M$105</f>
        <v>0</v>
      </c>
      <c r="Q3535" s="728"/>
      <c r="R3535" s="132">
        <f>SUM(F3535,H3535,J3535,L3535,N3535,P3535)</f>
        <v>0</v>
      </c>
      <c r="S3535" s="728"/>
      <c r="T3535" s="68">
        <f>T2106/1.18-T2821*'Mark Up Validation'!$S$105</f>
        <v>0</v>
      </c>
      <c r="U3535" s="728"/>
      <c r="V3535" s="68">
        <f>V2106/1.18-V2821*'Mark Up Validation'!$S$105</f>
        <v>0</v>
      </c>
      <c r="W3535" s="728"/>
      <c r="X3535" s="68">
        <f>X2106/1.18-X2821*'Mark Up Validation'!$S$105</f>
        <v>0</v>
      </c>
      <c r="Y3535" s="728"/>
      <c r="Z3535" s="68">
        <f>Z2106/1.18-Z2821*'Mark Up Validation'!$S$105</f>
        <v>0</v>
      </c>
      <c r="AA3535" s="728"/>
      <c r="AB3535" s="68">
        <f>AB2106/1.18-AB2821*'Mark Up Validation'!$S$105</f>
        <v>0</v>
      </c>
      <c r="AC3535" s="728"/>
      <c r="AD3535" s="68">
        <f>AD2106/1.18-AD2821*'Mark Up Validation'!$S$105</f>
        <v>0</v>
      </c>
      <c r="AE3535" s="728"/>
      <c r="AF3535" s="132">
        <f>SUM(T3535,V3535,X3535,Z3535,AB3535,AD3535)</f>
        <v>0</v>
      </c>
      <c r="AG3535" s="728"/>
      <c r="AH3535" s="133">
        <f>SUM(AF3535,R3535)</f>
        <v>0</v>
      </c>
      <c r="AI3535" s="728"/>
      <c r="AJ3535" s="65"/>
      <c r="AV3535" s="56"/>
    </row>
    <row r="3536" spans="1:48" ht="12.75" hidden="1" customHeight="1" outlineLevel="2" thickBot="1">
      <c r="B3536" s="82"/>
      <c r="C3536" s="1234"/>
      <c r="D3536" s="1234"/>
      <c r="E3536" s="84" t="str">
        <f>'Terms and Turnovers'!$AD$12</f>
        <v>ACCESSORIES</v>
      </c>
      <c r="F3536" s="68">
        <f>F2107/1.18-F2822*'Mark Up Validation'!$M$105</f>
        <v>0</v>
      </c>
      <c r="G3536" s="106"/>
      <c r="H3536" s="68">
        <f>H2107/1.18-H2822*'Mark Up Validation'!$M$105</f>
        <v>0</v>
      </c>
      <c r="I3536" s="106"/>
      <c r="J3536" s="68">
        <f>J2107/1.18-J2822*'Mark Up Validation'!$M$105</f>
        <v>0</v>
      </c>
      <c r="K3536" s="106"/>
      <c r="L3536" s="68">
        <f>L2107/1.18-L2822*'Mark Up Validation'!$M$105</f>
        <v>0</v>
      </c>
      <c r="M3536" s="106"/>
      <c r="N3536" s="68">
        <f>N2107/1.18-N2822*'Mark Up Validation'!$M$105</f>
        <v>0</v>
      </c>
      <c r="O3536" s="106"/>
      <c r="P3536" s="68">
        <f>P2107/1.18-P2822*'Mark Up Validation'!$M$105</f>
        <v>0</v>
      </c>
      <c r="Q3536" s="728"/>
      <c r="R3536" s="132">
        <f>SUM(F3536,H3536,J3536,L3536,N3536,P3536)</f>
        <v>0</v>
      </c>
      <c r="S3536" s="728"/>
      <c r="T3536" s="68">
        <f>T2107/1.18-T2822*'Mark Up Validation'!$S$105</f>
        <v>0</v>
      </c>
      <c r="U3536" s="728"/>
      <c r="V3536" s="68">
        <f>V2107/1.18-V2822*'Mark Up Validation'!$S$105</f>
        <v>0</v>
      </c>
      <c r="W3536" s="728"/>
      <c r="X3536" s="68">
        <f>X2107/1.18-X2822*'Mark Up Validation'!$S$105</f>
        <v>0</v>
      </c>
      <c r="Y3536" s="728"/>
      <c r="Z3536" s="68">
        <f>Z2107/1.18-Z2822*'Mark Up Validation'!$S$105</f>
        <v>0</v>
      </c>
      <c r="AA3536" s="728"/>
      <c r="AB3536" s="68">
        <f>AB2107/1.18-AB2822*'Mark Up Validation'!$S$105</f>
        <v>0</v>
      </c>
      <c r="AC3536" s="728"/>
      <c r="AD3536" s="68">
        <f>AD2107/1.18-AD2822*'Mark Up Validation'!$S$105</f>
        <v>0</v>
      </c>
      <c r="AE3536" s="728"/>
      <c r="AF3536" s="132">
        <f>SUM(T3536,V3536,X3536,Z3536,AB3536,AD3536)</f>
        <v>0</v>
      </c>
      <c r="AG3536" s="728"/>
      <c r="AH3536" s="133">
        <f>SUM(AF3536,R3536)</f>
        <v>0</v>
      </c>
      <c r="AI3536" s="728"/>
      <c r="AJ3536" s="65"/>
      <c r="AV3536" s="56"/>
    </row>
    <row r="3537" spans="1:48" ht="12.75" hidden="1" customHeight="1" outlineLevel="2" thickBot="1">
      <c r="B3537" s="82"/>
      <c r="C3537" s="1234"/>
      <c r="D3537" s="1234"/>
      <c r="E3537" s="84">
        <f>'Terms and Turnovers'!$AN$12</f>
        <v>0</v>
      </c>
      <c r="F3537" s="68">
        <f>F2108/1.18-F2823*'Mark Up Validation'!$M$105</f>
        <v>0</v>
      </c>
      <c r="G3537" s="728"/>
      <c r="H3537" s="68">
        <f>H2108/1.18-H2823*'Mark Up Validation'!$M$105</f>
        <v>0</v>
      </c>
      <c r="I3537" s="728"/>
      <c r="J3537" s="68">
        <f>J2108/1.18-J2823*'Mark Up Validation'!$M$105</f>
        <v>0</v>
      </c>
      <c r="K3537" s="728"/>
      <c r="L3537" s="68">
        <f>L2108/1.18-L2823*'Mark Up Validation'!$M$105</f>
        <v>0</v>
      </c>
      <c r="M3537" s="728"/>
      <c r="N3537" s="68">
        <f>N2108/1.18-N2823*'Mark Up Validation'!$M$105</f>
        <v>0</v>
      </c>
      <c r="O3537" s="728"/>
      <c r="P3537" s="68">
        <f>P2108/1.18-P2823*'Mark Up Validation'!$M$105</f>
        <v>0</v>
      </c>
      <c r="Q3537" s="728"/>
      <c r="R3537" s="132">
        <f>SUM(F3537,H3537,J3537,L3537,N3537,P3537)</f>
        <v>0</v>
      </c>
      <c r="S3537" s="728"/>
      <c r="T3537" s="68">
        <f>T2108/1.18-T2823*'Mark Up Validation'!$S$105</f>
        <v>0</v>
      </c>
      <c r="U3537" s="728"/>
      <c r="V3537" s="68">
        <f>V2108/1.18-V2823*'Mark Up Validation'!$S$105</f>
        <v>0</v>
      </c>
      <c r="W3537" s="728"/>
      <c r="X3537" s="68">
        <f>X2108/1.18-X2823*'Mark Up Validation'!$S$105</f>
        <v>0</v>
      </c>
      <c r="Y3537" s="728"/>
      <c r="Z3537" s="68">
        <f>Z2108/1.18-Z2823*'Mark Up Validation'!$S$105</f>
        <v>0</v>
      </c>
      <c r="AA3537" s="728"/>
      <c r="AB3537" s="68">
        <f>AB2108/1.18-AB2823*'Mark Up Validation'!$S$105</f>
        <v>0</v>
      </c>
      <c r="AC3537" s="728"/>
      <c r="AD3537" s="68">
        <f>AD2108/1.18-AD2823*'Mark Up Validation'!$S$105</f>
        <v>0</v>
      </c>
      <c r="AE3537" s="728"/>
      <c r="AF3537" s="132">
        <f>SUM(T3537,V3537,X3537,Z3537,AB3537,AD3537)</f>
        <v>0</v>
      </c>
      <c r="AG3537" s="728"/>
      <c r="AH3537" s="133">
        <f>SUM(AF3537,R3537)</f>
        <v>0</v>
      </c>
      <c r="AI3537" s="728"/>
      <c r="AJ3537" s="65"/>
      <c r="AV3537" s="56"/>
    </row>
    <row r="3538" spans="1:48" ht="13.5" hidden="1" customHeight="1" outlineLevel="2" thickBot="1">
      <c r="B3538" s="82"/>
      <c r="C3538" s="1235"/>
      <c r="D3538" s="1235"/>
      <c r="E3538" s="85">
        <f>'Terms and Turnovers'!$AX$12</f>
        <v>0</v>
      </c>
      <c r="F3538" s="68">
        <f>F2109/1.18-F2824*'Mark Up Validation'!$M$105</f>
        <v>0</v>
      </c>
      <c r="G3538" s="106"/>
      <c r="H3538" s="68">
        <f>H2109/1.18-H2824*'Mark Up Validation'!$M$105</f>
        <v>0</v>
      </c>
      <c r="I3538" s="106"/>
      <c r="J3538" s="68">
        <f>J2109/1.18-J2824*'Mark Up Validation'!$M$105</f>
        <v>0</v>
      </c>
      <c r="K3538" s="106"/>
      <c r="L3538" s="68">
        <f>L2109/1.18-L2824*'Mark Up Validation'!$M$105</f>
        <v>0</v>
      </c>
      <c r="M3538" s="106"/>
      <c r="N3538" s="68">
        <f>N2109/1.18-N2824*'Mark Up Validation'!$M$105</f>
        <v>0</v>
      </c>
      <c r="O3538" s="106"/>
      <c r="P3538" s="68">
        <f>P2109/1.18-P2824*'Mark Up Validation'!$M$105</f>
        <v>0</v>
      </c>
      <c r="Q3538" s="107"/>
      <c r="R3538" s="135">
        <f>SUM(F3538,H3538,J3538,L3538,N3538,P3538)</f>
        <v>0</v>
      </c>
      <c r="S3538" s="107"/>
      <c r="T3538" s="68">
        <f>T2109/1.18-T2824*'Mark Up Validation'!$S$105</f>
        <v>0</v>
      </c>
      <c r="U3538" s="107"/>
      <c r="V3538" s="68">
        <f>V2109/1.18-V2824*'Mark Up Validation'!$S$105</f>
        <v>0</v>
      </c>
      <c r="W3538" s="107"/>
      <c r="X3538" s="68">
        <f>X2109/1.18-X2824*'Mark Up Validation'!$S$105</f>
        <v>0</v>
      </c>
      <c r="Y3538" s="107"/>
      <c r="Z3538" s="68">
        <f>Z2109/1.18-Z2824*'Mark Up Validation'!$S$105</f>
        <v>0</v>
      </c>
      <c r="AA3538" s="107"/>
      <c r="AB3538" s="68">
        <f>AB2109/1.18-AB2824*'Mark Up Validation'!$S$105</f>
        <v>0</v>
      </c>
      <c r="AC3538" s="107"/>
      <c r="AD3538" s="68">
        <f>AD2109/1.18-AD2824*'Mark Up Validation'!$S$105</f>
        <v>0</v>
      </c>
      <c r="AE3538" s="107"/>
      <c r="AF3538" s="135">
        <f>SUM(T3538,V3538,X3538,Z3538,AB3538,AD3538)</f>
        <v>0</v>
      </c>
      <c r="AG3538" s="107"/>
      <c r="AH3538" s="136">
        <f>SUM(AF3538,R3538)</f>
        <v>0</v>
      </c>
      <c r="AI3538" s="107"/>
      <c r="AJ3538" s="65"/>
      <c r="AV3538" s="56"/>
    </row>
    <row r="3539" spans="1:48" ht="13.5" hidden="1" customHeight="1" outlineLevel="2">
      <c r="B3539" s="82"/>
      <c r="C3539" s="425"/>
      <c r="D3539" s="425"/>
      <c r="E3539" s="634"/>
      <c r="F3539" s="635"/>
      <c r="G3539" s="428"/>
      <c r="H3539" s="635"/>
      <c r="I3539" s="428"/>
      <c r="J3539" s="635"/>
      <c r="K3539" s="636"/>
      <c r="L3539" s="635"/>
      <c r="M3539" s="636"/>
      <c r="N3539" s="635"/>
      <c r="O3539" s="636"/>
      <c r="P3539" s="635"/>
      <c r="Q3539" s="636"/>
      <c r="R3539" s="637"/>
      <c r="S3539" s="698">
        <f>SUM(R2819:R2823)/1.18-(SUM(R3534:R3538)*'Mark Up Validation'!$M$105)</f>
        <v>0</v>
      </c>
      <c r="T3539" s="635"/>
      <c r="U3539" s="636"/>
      <c r="V3539" s="635"/>
      <c r="W3539" s="636"/>
      <c r="X3539" s="635"/>
      <c r="Y3539" s="636"/>
      <c r="Z3539" s="635"/>
      <c r="AA3539" s="636"/>
      <c r="AB3539" s="635"/>
      <c r="AC3539" s="636"/>
      <c r="AD3539" s="635"/>
      <c r="AE3539" s="636"/>
      <c r="AF3539" s="637"/>
      <c r="AG3539" s="698">
        <f>SUM(AF2819:AF2823)/1.18-SUM(AF3534:AF3538)*'Mark Up Validation'!$M$175</f>
        <v>0</v>
      </c>
      <c r="AH3539" s="638"/>
      <c r="AI3539" s="698">
        <f>SUM(AH2819:AH2823)/1.18-SUM(AH3534:AH3538)*'Mark Up Validation'!$M$175</f>
        <v>0</v>
      </c>
      <c r="AJ3539" s="65"/>
      <c r="AV3539" s="56"/>
    </row>
    <row r="3540" spans="1:48" ht="13.5" hidden="1" customHeight="1" outlineLevel="2" thickBot="1">
      <c r="A3540" s="119"/>
      <c r="B3540" s="82"/>
      <c r="C3540" s="1228" t="s">
        <v>539</v>
      </c>
      <c r="D3540" s="1229"/>
      <c r="E3540" s="699"/>
      <c r="F3540" s="700">
        <f>SUM(F3534:F3538)</f>
        <v>0</v>
      </c>
      <c r="G3540" s="701"/>
      <c r="H3540" s="700">
        <f>SUM(H3534:H3538)</f>
        <v>0</v>
      </c>
      <c r="I3540" s="701"/>
      <c r="J3540" s="700">
        <f>SUM(J3534:J3538)</f>
        <v>0</v>
      </c>
      <c r="K3540" s="702"/>
      <c r="L3540" s="700">
        <f>SUM(L3534:L3538)</f>
        <v>0</v>
      </c>
      <c r="M3540" s="702"/>
      <c r="N3540" s="700">
        <f>SUM(N3534:N3538)</f>
        <v>0</v>
      </c>
      <c r="O3540" s="702"/>
      <c r="P3540" s="700">
        <f>SUM(P3534:P3538)</f>
        <v>0</v>
      </c>
      <c r="Q3540" s="702"/>
      <c r="R3540" s="703"/>
      <c r="S3540" s="729">
        <f>IF(S3539&gt;0,S3539/(SUM(R2819:R2823)/1.18),0)</f>
        <v>0</v>
      </c>
      <c r="T3540" s="700">
        <f>SUM(T3534:T3538)</f>
        <v>0</v>
      </c>
      <c r="U3540" s="702"/>
      <c r="V3540" s="700">
        <f>SUM(V3534:V3538)</f>
        <v>0</v>
      </c>
      <c r="W3540" s="702"/>
      <c r="X3540" s="700">
        <f>SUM(X3534:X3538)</f>
        <v>0</v>
      </c>
      <c r="Y3540" s="702"/>
      <c r="Z3540" s="700">
        <f>SUM(Z3534:Z3538)</f>
        <v>0</v>
      </c>
      <c r="AA3540" s="702"/>
      <c r="AB3540" s="700">
        <f>SUM(AB3534:AB3538)</f>
        <v>0</v>
      </c>
      <c r="AC3540" s="702"/>
      <c r="AD3540" s="700">
        <f>SUM(AD3534:AD3538)</f>
        <v>0</v>
      </c>
      <c r="AE3540" s="702"/>
      <c r="AF3540" s="705"/>
      <c r="AG3540" s="729">
        <f>IF(AG3539&gt;0,AG3539/(SUM(AF2819:AF2823)/1.18),0)</f>
        <v>0</v>
      </c>
      <c r="AH3540" s="706"/>
      <c r="AI3540" s="729">
        <f>IF(AI3539&gt;0,AI3539/(SUM(AH2819:AH2823)/1.18),0)</f>
        <v>0</v>
      </c>
      <c r="AJ3540" s="707"/>
      <c r="AV3540" s="56"/>
    </row>
    <row r="3541" spans="1:48" ht="12.75" hidden="1" customHeight="1" outlineLevel="2" thickBot="1">
      <c r="B3541" s="82">
        <f>B3534+1</f>
        <v>95</v>
      </c>
      <c r="C3541" s="1233">
        <f>C671</f>
        <v>0</v>
      </c>
      <c r="D3541" s="1233">
        <f>D671</f>
        <v>0</v>
      </c>
      <c r="E3541" s="83" t="str">
        <f>'Terms and Turnovers'!$J$12</f>
        <v>FLIP-FLOPS</v>
      </c>
      <c r="F3541" s="68">
        <f>F2112/1.18-F2827*'Mark Up Validation'!$M$105</f>
        <v>0</v>
      </c>
      <c r="G3541" s="106"/>
      <c r="H3541" s="68">
        <f>H2112/1.18-H2827*'Mark Up Validation'!$M$105</f>
        <v>0</v>
      </c>
      <c r="I3541" s="106"/>
      <c r="J3541" s="68">
        <f>J2112/1.18-J2827*'Mark Up Validation'!$M$105</f>
        <v>0</v>
      </c>
      <c r="K3541" s="106"/>
      <c r="L3541" s="68">
        <f>L2112/1.18-L2827*'Mark Up Validation'!$M$105</f>
        <v>0</v>
      </c>
      <c r="M3541" s="106"/>
      <c r="N3541" s="68">
        <f>N2112/1.18-N2827*'Mark Up Validation'!$M$105</f>
        <v>0</v>
      </c>
      <c r="O3541" s="106"/>
      <c r="P3541" s="68">
        <f>P2112/1.18-P2827*'Mark Up Validation'!$M$105</f>
        <v>0</v>
      </c>
      <c r="Q3541" s="106"/>
      <c r="R3541" s="129">
        <f>SUM(F3541,H3541,J3541,L3541,N3541,P3541)</f>
        <v>0</v>
      </c>
      <c r="S3541" s="106"/>
      <c r="T3541" s="68">
        <f>T2112/1.18-T2827*'Mark Up Validation'!$S$105</f>
        <v>0</v>
      </c>
      <c r="U3541" s="106"/>
      <c r="V3541" s="68">
        <f>V2112/1.18-V2827*'Mark Up Validation'!$S$105</f>
        <v>0</v>
      </c>
      <c r="W3541" s="106"/>
      <c r="X3541" s="68">
        <f>X2112/1.18-X2827*'Mark Up Validation'!$S$105</f>
        <v>0</v>
      </c>
      <c r="Y3541" s="106"/>
      <c r="Z3541" s="68">
        <f>Z2112/1.18-Z2827*'Mark Up Validation'!$S$105</f>
        <v>0</v>
      </c>
      <c r="AA3541" s="106"/>
      <c r="AB3541" s="68">
        <f>AB2112/1.18-AB2827*'Mark Up Validation'!$S$105</f>
        <v>0</v>
      </c>
      <c r="AC3541" s="106"/>
      <c r="AD3541" s="68">
        <f>AD2112/1.18-AD2827*'Mark Up Validation'!$S$105</f>
        <v>0</v>
      </c>
      <c r="AE3541" s="106"/>
      <c r="AF3541" s="129">
        <f>SUM(T3541,V3541,X3541,Z3541,AB3541,AD3541)</f>
        <v>0</v>
      </c>
      <c r="AG3541" s="106"/>
      <c r="AH3541" s="130">
        <f>SUM(AF3541,R3541)</f>
        <v>0</v>
      </c>
      <c r="AI3541" s="106"/>
      <c r="AJ3541" s="65"/>
      <c r="AV3541" s="56"/>
    </row>
    <row r="3542" spans="1:48" ht="12.75" hidden="1" customHeight="1" outlineLevel="2" thickBot="1">
      <c r="B3542" s="82"/>
      <c r="C3542" s="1234"/>
      <c r="D3542" s="1234"/>
      <c r="E3542" s="84" t="str">
        <f>'Terms and Turnovers'!$T$12</f>
        <v>ORIGINALS</v>
      </c>
      <c r="F3542" s="68">
        <f>F2113/1.18-F2828*'Mark Up Validation'!$M$105</f>
        <v>0</v>
      </c>
      <c r="G3542" s="728"/>
      <c r="H3542" s="68">
        <f>H2113/1.18-H2828*'Mark Up Validation'!$M$105</f>
        <v>0</v>
      </c>
      <c r="I3542" s="728"/>
      <c r="J3542" s="68">
        <f>J2113/1.18-J2828*'Mark Up Validation'!$M$105</f>
        <v>0</v>
      </c>
      <c r="K3542" s="728"/>
      <c r="L3542" s="68">
        <f>L2113/1.18-L2828*'Mark Up Validation'!$M$105</f>
        <v>0</v>
      </c>
      <c r="M3542" s="728"/>
      <c r="N3542" s="68">
        <f>N2113/1.18-N2828*'Mark Up Validation'!$M$105</f>
        <v>0</v>
      </c>
      <c r="O3542" s="728"/>
      <c r="P3542" s="68">
        <f>P2113/1.18-P2828*'Mark Up Validation'!$M$105</f>
        <v>0</v>
      </c>
      <c r="Q3542" s="728"/>
      <c r="R3542" s="132">
        <f>SUM(F3542,H3542,J3542,L3542,N3542,P3542)</f>
        <v>0</v>
      </c>
      <c r="S3542" s="728"/>
      <c r="T3542" s="68">
        <f>T2113/1.18-T2828*'Mark Up Validation'!$S$105</f>
        <v>0</v>
      </c>
      <c r="U3542" s="728"/>
      <c r="V3542" s="68">
        <f>V2113/1.18-V2828*'Mark Up Validation'!$S$105</f>
        <v>0</v>
      </c>
      <c r="W3542" s="728"/>
      <c r="X3542" s="68">
        <f>X2113/1.18-X2828*'Mark Up Validation'!$S$105</f>
        <v>0</v>
      </c>
      <c r="Y3542" s="728"/>
      <c r="Z3542" s="68">
        <f>Z2113/1.18-Z2828*'Mark Up Validation'!$S$105</f>
        <v>0</v>
      </c>
      <c r="AA3542" s="728"/>
      <c r="AB3542" s="68">
        <f>AB2113/1.18-AB2828*'Mark Up Validation'!$S$105</f>
        <v>0</v>
      </c>
      <c r="AC3542" s="728"/>
      <c r="AD3542" s="68">
        <f>AD2113/1.18-AD2828*'Mark Up Validation'!$S$105</f>
        <v>0</v>
      </c>
      <c r="AE3542" s="728"/>
      <c r="AF3542" s="132">
        <f>SUM(T3542,V3542,X3542,Z3542,AB3542,AD3542)</f>
        <v>0</v>
      </c>
      <c r="AG3542" s="728"/>
      <c r="AH3542" s="133">
        <f>SUM(AF3542,R3542)</f>
        <v>0</v>
      </c>
      <c r="AI3542" s="728"/>
      <c r="AJ3542" s="65"/>
      <c r="AV3542" s="56"/>
    </row>
    <row r="3543" spans="1:48" ht="12.75" hidden="1" customHeight="1" outlineLevel="2" thickBot="1">
      <c r="B3543" s="82"/>
      <c r="C3543" s="1234"/>
      <c r="D3543" s="1234"/>
      <c r="E3543" s="84" t="str">
        <f>'Terms and Turnovers'!$AD$12</f>
        <v>ACCESSORIES</v>
      </c>
      <c r="F3543" s="68">
        <f>F2114/1.18-F2829*'Mark Up Validation'!$M$105</f>
        <v>0</v>
      </c>
      <c r="G3543" s="106"/>
      <c r="H3543" s="68">
        <f>H2114/1.18-H2829*'Mark Up Validation'!$M$105</f>
        <v>0</v>
      </c>
      <c r="I3543" s="106"/>
      <c r="J3543" s="68">
        <f>J2114/1.18-J2829*'Mark Up Validation'!$M$105</f>
        <v>0</v>
      </c>
      <c r="K3543" s="106"/>
      <c r="L3543" s="68">
        <f>L2114/1.18-L2829*'Mark Up Validation'!$M$105</f>
        <v>0</v>
      </c>
      <c r="M3543" s="106"/>
      <c r="N3543" s="68">
        <f>N2114/1.18-N2829*'Mark Up Validation'!$M$105</f>
        <v>0</v>
      </c>
      <c r="O3543" s="106"/>
      <c r="P3543" s="68">
        <f>P2114/1.18-P2829*'Mark Up Validation'!$M$105</f>
        <v>0</v>
      </c>
      <c r="Q3543" s="728"/>
      <c r="R3543" s="132">
        <f>SUM(F3543,H3543,J3543,L3543,N3543,P3543)</f>
        <v>0</v>
      </c>
      <c r="S3543" s="728"/>
      <c r="T3543" s="68">
        <f>T2114/1.18-T2829*'Mark Up Validation'!$S$105</f>
        <v>0</v>
      </c>
      <c r="U3543" s="728"/>
      <c r="V3543" s="68">
        <f>V2114/1.18-V2829*'Mark Up Validation'!$S$105</f>
        <v>0</v>
      </c>
      <c r="W3543" s="728"/>
      <c r="X3543" s="68">
        <f>X2114/1.18-X2829*'Mark Up Validation'!$S$105</f>
        <v>0</v>
      </c>
      <c r="Y3543" s="728"/>
      <c r="Z3543" s="68">
        <f>Z2114/1.18-Z2829*'Mark Up Validation'!$S$105</f>
        <v>0</v>
      </c>
      <c r="AA3543" s="728"/>
      <c r="AB3543" s="68">
        <f>AB2114/1.18-AB2829*'Mark Up Validation'!$S$105</f>
        <v>0</v>
      </c>
      <c r="AC3543" s="728"/>
      <c r="AD3543" s="68">
        <f>AD2114/1.18-AD2829*'Mark Up Validation'!$S$105</f>
        <v>0</v>
      </c>
      <c r="AE3543" s="728"/>
      <c r="AF3543" s="132">
        <f>SUM(T3543,V3543,X3543,Z3543,AB3543,AD3543)</f>
        <v>0</v>
      </c>
      <c r="AG3543" s="728"/>
      <c r="AH3543" s="133">
        <f>SUM(AF3543,R3543)</f>
        <v>0</v>
      </c>
      <c r="AI3543" s="728"/>
      <c r="AJ3543" s="65"/>
      <c r="AV3543" s="56"/>
    </row>
    <row r="3544" spans="1:48" ht="12.75" hidden="1" customHeight="1" outlineLevel="2" thickBot="1">
      <c r="B3544" s="82"/>
      <c r="C3544" s="1234"/>
      <c r="D3544" s="1234"/>
      <c r="E3544" s="84">
        <f>'Terms and Turnovers'!$AN$12</f>
        <v>0</v>
      </c>
      <c r="F3544" s="68">
        <f>F2115/1.18-F2830*'Mark Up Validation'!$M$105</f>
        <v>0</v>
      </c>
      <c r="G3544" s="728"/>
      <c r="H3544" s="68">
        <f>H2115/1.18-H2830*'Mark Up Validation'!$M$105</f>
        <v>0</v>
      </c>
      <c r="I3544" s="728"/>
      <c r="J3544" s="68">
        <f>J2115/1.18-J2830*'Mark Up Validation'!$M$105</f>
        <v>0</v>
      </c>
      <c r="K3544" s="728"/>
      <c r="L3544" s="68">
        <f>L2115/1.18-L2830*'Mark Up Validation'!$M$105</f>
        <v>0</v>
      </c>
      <c r="M3544" s="728"/>
      <c r="N3544" s="68">
        <f>N2115/1.18-N2830*'Mark Up Validation'!$M$105</f>
        <v>0</v>
      </c>
      <c r="O3544" s="728"/>
      <c r="P3544" s="68">
        <f>P2115/1.18-P2830*'Mark Up Validation'!$M$105</f>
        <v>0</v>
      </c>
      <c r="Q3544" s="728"/>
      <c r="R3544" s="132">
        <f>SUM(F3544,H3544,J3544,L3544,N3544,P3544)</f>
        <v>0</v>
      </c>
      <c r="S3544" s="728"/>
      <c r="T3544" s="68">
        <f>T2115/1.18-T2830*'Mark Up Validation'!$S$105</f>
        <v>0</v>
      </c>
      <c r="U3544" s="728"/>
      <c r="V3544" s="68">
        <f>V2115/1.18-V2830*'Mark Up Validation'!$S$105</f>
        <v>0</v>
      </c>
      <c r="W3544" s="728"/>
      <c r="X3544" s="68">
        <f>X2115/1.18-X2830*'Mark Up Validation'!$S$105</f>
        <v>0</v>
      </c>
      <c r="Y3544" s="728"/>
      <c r="Z3544" s="68">
        <f>Z2115/1.18-Z2830*'Mark Up Validation'!$S$105</f>
        <v>0</v>
      </c>
      <c r="AA3544" s="728"/>
      <c r="AB3544" s="68">
        <f>AB2115/1.18-AB2830*'Mark Up Validation'!$S$105</f>
        <v>0</v>
      </c>
      <c r="AC3544" s="728"/>
      <c r="AD3544" s="68">
        <f>AD2115/1.18-AD2830*'Mark Up Validation'!$S$105</f>
        <v>0</v>
      </c>
      <c r="AE3544" s="728"/>
      <c r="AF3544" s="132">
        <f>SUM(T3544,V3544,X3544,Z3544,AB3544,AD3544)</f>
        <v>0</v>
      </c>
      <c r="AG3544" s="728"/>
      <c r="AH3544" s="133">
        <f>SUM(AF3544,R3544)</f>
        <v>0</v>
      </c>
      <c r="AI3544" s="728"/>
      <c r="AJ3544" s="65"/>
      <c r="AV3544" s="56"/>
    </row>
    <row r="3545" spans="1:48" ht="13.5" hidden="1" customHeight="1" outlineLevel="2" thickBot="1">
      <c r="B3545" s="82"/>
      <c r="C3545" s="1235"/>
      <c r="D3545" s="1235"/>
      <c r="E3545" s="85">
        <f>'Terms and Turnovers'!$AX$12</f>
        <v>0</v>
      </c>
      <c r="F3545" s="68">
        <f>F2116/1.18-F2831*'Mark Up Validation'!$M$105</f>
        <v>0</v>
      </c>
      <c r="G3545" s="106"/>
      <c r="H3545" s="68">
        <f>H2116/1.18-H2831*'Mark Up Validation'!$M$105</f>
        <v>0</v>
      </c>
      <c r="I3545" s="106"/>
      <c r="J3545" s="68">
        <f>J2116/1.18-J2831*'Mark Up Validation'!$M$105</f>
        <v>0</v>
      </c>
      <c r="K3545" s="106"/>
      <c r="L3545" s="68">
        <f>L2116/1.18-L2831*'Mark Up Validation'!$M$105</f>
        <v>0</v>
      </c>
      <c r="M3545" s="106"/>
      <c r="N3545" s="68">
        <f>N2116/1.18-N2831*'Mark Up Validation'!$M$105</f>
        <v>0</v>
      </c>
      <c r="O3545" s="106"/>
      <c r="P3545" s="68">
        <f>P2116/1.18-P2831*'Mark Up Validation'!$M$105</f>
        <v>0</v>
      </c>
      <c r="Q3545" s="107"/>
      <c r="R3545" s="135">
        <f>SUM(F3545,H3545,J3545,L3545,N3545,P3545)</f>
        <v>0</v>
      </c>
      <c r="S3545" s="107"/>
      <c r="T3545" s="68">
        <f>T2116/1.18-T2831*'Mark Up Validation'!$S$105</f>
        <v>0</v>
      </c>
      <c r="U3545" s="107"/>
      <c r="V3545" s="68">
        <f>V2116/1.18-V2831*'Mark Up Validation'!$S$105</f>
        <v>0</v>
      </c>
      <c r="W3545" s="107"/>
      <c r="X3545" s="68">
        <f>X2116/1.18-X2831*'Mark Up Validation'!$S$105</f>
        <v>0</v>
      </c>
      <c r="Y3545" s="107"/>
      <c r="Z3545" s="68">
        <f>Z2116/1.18-Z2831*'Mark Up Validation'!$S$105</f>
        <v>0</v>
      </c>
      <c r="AA3545" s="107"/>
      <c r="AB3545" s="68">
        <f>AB2116/1.18-AB2831*'Mark Up Validation'!$S$105</f>
        <v>0</v>
      </c>
      <c r="AC3545" s="107"/>
      <c r="AD3545" s="68">
        <f>AD2116/1.18-AD2831*'Mark Up Validation'!$S$105</f>
        <v>0</v>
      </c>
      <c r="AE3545" s="107"/>
      <c r="AF3545" s="135">
        <f>SUM(T3545,V3545,X3545,Z3545,AB3545,AD3545)</f>
        <v>0</v>
      </c>
      <c r="AG3545" s="107"/>
      <c r="AH3545" s="136">
        <f>SUM(AF3545,R3545)</f>
        <v>0</v>
      </c>
      <c r="AI3545" s="107"/>
      <c r="AJ3545" s="65"/>
      <c r="AV3545" s="56"/>
    </row>
    <row r="3546" spans="1:48" ht="13.5" hidden="1" customHeight="1" outlineLevel="2">
      <c r="B3546" s="82"/>
      <c r="C3546" s="425"/>
      <c r="D3546" s="425"/>
      <c r="E3546" s="634"/>
      <c r="F3546" s="635"/>
      <c r="G3546" s="428"/>
      <c r="H3546" s="635"/>
      <c r="I3546" s="428"/>
      <c r="J3546" s="635"/>
      <c r="K3546" s="636"/>
      <c r="L3546" s="635"/>
      <c r="M3546" s="636"/>
      <c r="N3546" s="635"/>
      <c r="O3546" s="636"/>
      <c r="P3546" s="635"/>
      <c r="Q3546" s="636"/>
      <c r="R3546" s="637"/>
      <c r="S3546" s="698">
        <f>SUM(R2826:R2830)/1.18-(SUM(R3541:R3545)*'Mark Up Validation'!$M$105)</f>
        <v>0</v>
      </c>
      <c r="T3546" s="635"/>
      <c r="U3546" s="636"/>
      <c r="V3546" s="635"/>
      <c r="W3546" s="636"/>
      <c r="X3546" s="635"/>
      <c r="Y3546" s="636"/>
      <c r="Z3546" s="635"/>
      <c r="AA3546" s="636"/>
      <c r="AB3546" s="635"/>
      <c r="AC3546" s="636"/>
      <c r="AD3546" s="635"/>
      <c r="AE3546" s="636"/>
      <c r="AF3546" s="637"/>
      <c r="AG3546" s="698">
        <f>SUM(AF2826:AF2830)/1.18-SUM(AF3541:AF3545)*'Mark Up Validation'!$M$175</f>
        <v>0</v>
      </c>
      <c r="AH3546" s="638"/>
      <c r="AI3546" s="698">
        <f>SUM(AH2826:AH2830)/1.18-SUM(AH3541:AH3545)*'Mark Up Validation'!$M$175</f>
        <v>0</v>
      </c>
      <c r="AJ3546" s="65"/>
      <c r="AV3546" s="56"/>
    </row>
    <row r="3547" spans="1:48" ht="13.5" hidden="1" customHeight="1" outlineLevel="2" thickBot="1">
      <c r="A3547" s="119"/>
      <c r="B3547" s="82"/>
      <c r="C3547" s="1228" t="s">
        <v>539</v>
      </c>
      <c r="D3547" s="1229"/>
      <c r="E3547" s="699"/>
      <c r="F3547" s="700">
        <f>SUM(F3541:F3545)</f>
        <v>0</v>
      </c>
      <c r="G3547" s="701"/>
      <c r="H3547" s="700">
        <f>SUM(H3541:H3545)</f>
        <v>0</v>
      </c>
      <c r="I3547" s="701"/>
      <c r="J3547" s="700">
        <f>SUM(J3541:J3545)</f>
        <v>0</v>
      </c>
      <c r="K3547" s="702"/>
      <c r="L3547" s="700">
        <f>SUM(L3541:L3545)</f>
        <v>0</v>
      </c>
      <c r="M3547" s="702"/>
      <c r="N3547" s="700">
        <f>SUM(N3541:N3545)</f>
        <v>0</v>
      </c>
      <c r="O3547" s="702"/>
      <c r="P3547" s="700">
        <f>SUM(P3541:P3545)</f>
        <v>0</v>
      </c>
      <c r="Q3547" s="702"/>
      <c r="R3547" s="703"/>
      <c r="S3547" s="729">
        <f>IF(S3546&gt;0,S3546/(SUM(R2826:R2830)/1.18),0)</f>
        <v>0</v>
      </c>
      <c r="T3547" s="700">
        <f>SUM(T3541:T3545)</f>
        <v>0</v>
      </c>
      <c r="U3547" s="702"/>
      <c r="V3547" s="700">
        <f>SUM(V3541:V3545)</f>
        <v>0</v>
      </c>
      <c r="W3547" s="702"/>
      <c r="X3547" s="700">
        <f>SUM(X3541:X3545)</f>
        <v>0</v>
      </c>
      <c r="Y3547" s="702"/>
      <c r="Z3547" s="700">
        <f>SUM(Z3541:Z3545)</f>
        <v>0</v>
      </c>
      <c r="AA3547" s="702"/>
      <c r="AB3547" s="700">
        <f>SUM(AB3541:AB3545)</f>
        <v>0</v>
      </c>
      <c r="AC3547" s="702"/>
      <c r="AD3547" s="700">
        <f>SUM(AD3541:AD3545)</f>
        <v>0</v>
      </c>
      <c r="AE3547" s="702"/>
      <c r="AF3547" s="705"/>
      <c r="AG3547" s="729">
        <f>IF(AG3546&gt;0,AG3546/(SUM(AF2826:AF2830)/1.18),0)</f>
        <v>0</v>
      </c>
      <c r="AH3547" s="706"/>
      <c r="AI3547" s="729">
        <f>IF(AI3546&gt;0,AI3546/(SUM(AH2826:AH2830)/1.18),0)</f>
        <v>0</v>
      </c>
      <c r="AJ3547" s="707"/>
      <c r="AV3547" s="56"/>
    </row>
    <row r="3548" spans="1:48" ht="12.75" hidden="1" customHeight="1" outlineLevel="2" thickBot="1">
      <c r="B3548" s="82">
        <f>B3541+1</f>
        <v>96</v>
      </c>
      <c r="C3548" s="1233">
        <f>C678</f>
        <v>0</v>
      </c>
      <c r="D3548" s="1233">
        <f>D678</f>
        <v>0</v>
      </c>
      <c r="E3548" s="83" t="str">
        <f>'Terms and Turnovers'!$J$12</f>
        <v>FLIP-FLOPS</v>
      </c>
      <c r="F3548" s="68">
        <f>F2119/1.18-F2834*'Mark Up Validation'!$M$105</f>
        <v>0</v>
      </c>
      <c r="G3548" s="106"/>
      <c r="H3548" s="68">
        <f>H2119/1.18-H2834*'Mark Up Validation'!$M$105</f>
        <v>0</v>
      </c>
      <c r="I3548" s="106"/>
      <c r="J3548" s="68">
        <f>J2119/1.18-J2834*'Mark Up Validation'!$M$105</f>
        <v>0</v>
      </c>
      <c r="K3548" s="106"/>
      <c r="L3548" s="68">
        <f>L2119/1.18-L2834*'Mark Up Validation'!$M$105</f>
        <v>0</v>
      </c>
      <c r="M3548" s="106"/>
      <c r="N3548" s="68">
        <f>N2119/1.18-N2834*'Mark Up Validation'!$M$105</f>
        <v>0</v>
      </c>
      <c r="O3548" s="106"/>
      <c r="P3548" s="68">
        <f>P2119/1.18-P2834*'Mark Up Validation'!$M$105</f>
        <v>0</v>
      </c>
      <c r="Q3548" s="106"/>
      <c r="R3548" s="129">
        <f>SUM(F3548,H3548,J3548,L3548,N3548,P3548)</f>
        <v>0</v>
      </c>
      <c r="S3548" s="106"/>
      <c r="T3548" s="68">
        <f>T2119/1.18-T2834*'Mark Up Validation'!$S$105</f>
        <v>0</v>
      </c>
      <c r="U3548" s="106"/>
      <c r="V3548" s="68">
        <f>V2119/1.18-V2834*'Mark Up Validation'!$S$105</f>
        <v>0</v>
      </c>
      <c r="W3548" s="106"/>
      <c r="X3548" s="68">
        <f>X2119/1.18-X2834*'Mark Up Validation'!$S$105</f>
        <v>0</v>
      </c>
      <c r="Y3548" s="106"/>
      <c r="Z3548" s="68">
        <f>Z2119/1.18-Z2834*'Mark Up Validation'!$S$105</f>
        <v>0</v>
      </c>
      <c r="AA3548" s="106"/>
      <c r="AB3548" s="68">
        <f>AB2119/1.18-AB2834*'Mark Up Validation'!$S$105</f>
        <v>0</v>
      </c>
      <c r="AC3548" s="106"/>
      <c r="AD3548" s="68">
        <f>AD2119/1.18-AD2834*'Mark Up Validation'!$S$105</f>
        <v>0</v>
      </c>
      <c r="AE3548" s="106"/>
      <c r="AF3548" s="129">
        <f>SUM(T3548,V3548,X3548,Z3548,AB3548,AD3548)</f>
        <v>0</v>
      </c>
      <c r="AG3548" s="106"/>
      <c r="AH3548" s="130">
        <f>SUM(AF3548,R3548)</f>
        <v>0</v>
      </c>
      <c r="AI3548" s="106"/>
      <c r="AJ3548" s="65"/>
      <c r="AV3548" s="56"/>
    </row>
    <row r="3549" spans="1:48" ht="12.75" hidden="1" customHeight="1" outlineLevel="2" thickBot="1">
      <c r="B3549" s="82"/>
      <c r="C3549" s="1234"/>
      <c r="D3549" s="1234"/>
      <c r="E3549" s="84" t="str">
        <f>'Terms and Turnovers'!$T$12</f>
        <v>ORIGINALS</v>
      </c>
      <c r="F3549" s="68">
        <f>F2120/1.18-F2835*'Mark Up Validation'!$M$105</f>
        <v>0</v>
      </c>
      <c r="G3549" s="728"/>
      <c r="H3549" s="68">
        <f>H2120/1.18-H2835*'Mark Up Validation'!$M$105</f>
        <v>0</v>
      </c>
      <c r="I3549" s="728"/>
      <c r="J3549" s="68">
        <f>J2120/1.18-J2835*'Mark Up Validation'!$M$105</f>
        <v>0</v>
      </c>
      <c r="K3549" s="728"/>
      <c r="L3549" s="68">
        <f>L2120/1.18-L2835*'Mark Up Validation'!$M$105</f>
        <v>0</v>
      </c>
      <c r="M3549" s="728"/>
      <c r="N3549" s="68">
        <f>N2120/1.18-N2835*'Mark Up Validation'!$M$105</f>
        <v>0</v>
      </c>
      <c r="O3549" s="728"/>
      <c r="P3549" s="68">
        <f>P2120/1.18-P2835*'Mark Up Validation'!$M$105</f>
        <v>0</v>
      </c>
      <c r="Q3549" s="728"/>
      <c r="R3549" s="132">
        <f>SUM(F3549,H3549,J3549,L3549,N3549,P3549)</f>
        <v>0</v>
      </c>
      <c r="S3549" s="728"/>
      <c r="T3549" s="68">
        <f>T2120/1.18-T2835*'Mark Up Validation'!$S$105</f>
        <v>0</v>
      </c>
      <c r="U3549" s="728"/>
      <c r="V3549" s="68">
        <f>V2120/1.18-V2835*'Mark Up Validation'!$S$105</f>
        <v>0</v>
      </c>
      <c r="W3549" s="728"/>
      <c r="X3549" s="68">
        <f>X2120/1.18-X2835*'Mark Up Validation'!$S$105</f>
        <v>0</v>
      </c>
      <c r="Y3549" s="728"/>
      <c r="Z3549" s="68">
        <f>Z2120/1.18-Z2835*'Mark Up Validation'!$S$105</f>
        <v>0</v>
      </c>
      <c r="AA3549" s="728"/>
      <c r="AB3549" s="68">
        <f>AB2120/1.18-AB2835*'Mark Up Validation'!$S$105</f>
        <v>0</v>
      </c>
      <c r="AC3549" s="728"/>
      <c r="AD3549" s="68">
        <f>AD2120/1.18-AD2835*'Mark Up Validation'!$S$105</f>
        <v>0</v>
      </c>
      <c r="AE3549" s="728"/>
      <c r="AF3549" s="132">
        <f>SUM(T3549,V3549,X3549,Z3549,AB3549,AD3549)</f>
        <v>0</v>
      </c>
      <c r="AG3549" s="728"/>
      <c r="AH3549" s="133">
        <f>SUM(AF3549,R3549)</f>
        <v>0</v>
      </c>
      <c r="AI3549" s="728"/>
      <c r="AJ3549" s="65"/>
      <c r="AV3549" s="56"/>
    </row>
    <row r="3550" spans="1:48" ht="12.75" hidden="1" customHeight="1" outlineLevel="2" thickBot="1">
      <c r="B3550" s="82"/>
      <c r="C3550" s="1234"/>
      <c r="D3550" s="1234"/>
      <c r="E3550" s="84" t="str">
        <f>'Terms and Turnovers'!$AD$12</f>
        <v>ACCESSORIES</v>
      </c>
      <c r="F3550" s="68">
        <f>F2121/1.18-F2836*'Mark Up Validation'!$M$105</f>
        <v>0</v>
      </c>
      <c r="G3550" s="106"/>
      <c r="H3550" s="68">
        <f>H2121/1.18-H2836*'Mark Up Validation'!$M$105</f>
        <v>0</v>
      </c>
      <c r="I3550" s="106"/>
      <c r="J3550" s="68">
        <f>J2121/1.18-J2836*'Mark Up Validation'!$M$105</f>
        <v>0</v>
      </c>
      <c r="K3550" s="106"/>
      <c r="L3550" s="68">
        <f>L2121/1.18-L2836*'Mark Up Validation'!$M$105</f>
        <v>0</v>
      </c>
      <c r="M3550" s="106"/>
      <c r="N3550" s="68">
        <f>N2121/1.18-N2836*'Mark Up Validation'!$M$105</f>
        <v>0</v>
      </c>
      <c r="O3550" s="106"/>
      <c r="P3550" s="68">
        <f>P2121/1.18-P2836*'Mark Up Validation'!$M$105</f>
        <v>0</v>
      </c>
      <c r="Q3550" s="728"/>
      <c r="R3550" s="132">
        <f>SUM(F3550,H3550,J3550,L3550,N3550,P3550)</f>
        <v>0</v>
      </c>
      <c r="S3550" s="728"/>
      <c r="T3550" s="68">
        <f>T2121/1.18-T2836*'Mark Up Validation'!$S$105</f>
        <v>0</v>
      </c>
      <c r="U3550" s="728"/>
      <c r="V3550" s="68">
        <f>V2121/1.18-V2836*'Mark Up Validation'!$S$105</f>
        <v>0</v>
      </c>
      <c r="W3550" s="728"/>
      <c r="X3550" s="68">
        <f>X2121/1.18-X2836*'Mark Up Validation'!$S$105</f>
        <v>0</v>
      </c>
      <c r="Y3550" s="728"/>
      <c r="Z3550" s="68">
        <f>Z2121/1.18-Z2836*'Mark Up Validation'!$S$105</f>
        <v>0</v>
      </c>
      <c r="AA3550" s="728"/>
      <c r="AB3550" s="68">
        <f>AB2121/1.18-AB2836*'Mark Up Validation'!$S$105</f>
        <v>0</v>
      </c>
      <c r="AC3550" s="728"/>
      <c r="AD3550" s="68">
        <f>AD2121/1.18-AD2836*'Mark Up Validation'!$S$105</f>
        <v>0</v>
      </c>
      <c r="AE3550" s="728"/>
      <c r="AF3550" s="132">
        <f>SUM(T3550,V3550,X3550,Z3550,AB3550,AD3550)</f>
        <v>0</v>
      </c>
      <c r="AG3550" s="728"/>
      <c r="AH3550" s="133">
        <f>SUM(AF3550,R3550)</f>
        <v>0</v>
      </c>
      <c r="AI3550" s="728"/>
      <c r="AJ3550" s="65"/>
      <c r="AV3550" s="56"/>
    </row>
    <row r="3551" spans="1:48" ht="12.75" hidden="1" customHeight="1" outlineLevel="2" thickBot="1">
      <c r="B3551" s="82"/>
      <c r="C3551" s="1234"/>
      <c r="D3551" s="1234"/>
      <c r="E3551" s="84">
        <f>'Terms and Turnovers'!$AN$12</f>
        <v>0</v>
      </c>
      <c r="F3551" s="68">
        <f>F2122/1.18-F2837*'Mark Up Validation'!$M$105</f>
        <v>0</v>
      </c>
      <c r="G3551" s="728"/>
      <c r="H3551" s="68">
        <f>H2122/1.18-H2837*'Mark Up Validation'!$M$105</f>
        <v>0</v>
      </c>
      <c r="I3551" s="728"/>
      <c r="J3551" s="68">
        <f>J2122/1.18-J2837*'Mark Up Validation'!$M$105</f>
        <v>0</v>
      </c>
      <c r="K3551" s="728"/>
      <c r="L3551" s="68">
        <f>L2122/1.18-L2837*'Mark Up Validation'!$M$105</f>
        <v>0</v>
      </c>
      <c r="M3551" s="728"/>
      <c r="N3551" s="68">
        <f>N2122/1.18-N2837*'Mark Up Validation'!$M$105</f>
        <v>0</v>
      </c>
      <c r="O3551" s="728"/>
      <c r="P3551" s="68">
        <f>P2122/1.18-P2837*'Mark Up Validation'!$M$105</f>
        <v>0</v>
      </c>
      <c r="Q3551" s="728"/>
      <c r="R3551" s="132">
        <f>SUM(F3551,H3551,J3551,L3551,N3551,P3551)</f>
        <v>0</v>
      </c>
      <c r="S3551" s="728"/>
      <c r="T3551" s="68">
        <f>T2122/1.18-T2837*'Mark Up Validation'!$S$105</f>
        <v>0</v>
      </c>
      <c r="U3551" s="728"/>
      <c r="V3551" s="68">
        <f>V2122/1.18-V2837*'Mark Up Validation'!$S$105</f>
        <v>0</v>
      </c>
      <c r="W3551" s="728"/>
      <c r="X3551" s="68">
        <f>X2122/1.18-X2837*'Mark Up Validation'!$S$105</f>
        <v>0</v>
      </c>
      <c r="Y3551" s="728"/>
      <c r="Z3551" s="68">
        <f>Z2122/1.18-Z2837*'Mark Up Validation'!$S$105</f>
        <v>0</v>
      </c>
      <c r="AA3551" s="728"/>
      <c r="AB3551" s="68">
        <f>AB2122/1.18-AB2837*'Mark Up Validation'!$S$105</f>
        <v>0</v>
      </c>
      <c r="AC3551" s="728"/>
      <c r="AD3551" s="68">
        <f>AD2122/1.18-AD2837*'Mark Up Validation'!$S$105</f>
        <v>0</v>
      </c>
      <c r="AE3551" s="728"/>
      <c r="AF3551" s="132">
        <f>SUM(T3551,V3551,X3551,Z3551,AB3551,AD3551)</f>
        <v>0</v>
      </c>
      <c r="AG3551" s="728"/>
      <c r="AH3551" s="133">
        <f>SUM(AF3551,R3551)</f>
        <v>0</v>
      </c>
      <c r="AI3551" s="728"/>
      <c r="AJ3551" s="65"/>
      <c r="AV3551" s="56"/>
    </row>
    <row r="3552" spans="1:48" ht="13.5" hidden="1" customHeight="1" outlineLevel="2" thickBot="1">
      <c r="B3552" s="82"/>
      <c r="C3552" s="1235"/>
      <c r="D3552" s="1235"/>
      <c r="E3552" s="85">
        <f>'Terms and Turnovers'!$AX$12</f>
        <v>0</v>
      </c>
      <c r="F3552" s="68">
        <f>F2123/1.18-F2838*'Mark Up Validation'!$M$105</f>
        <v>0</v>
      </c>
      <c r="G3552" s="106"/>
      <c r="H3552" s="68">
        <f>H2123/1.18-H2838*'Mark Up Validation'!$M$105</f>
        <v>0</v>
      </c>
      <c r="I3552" s="106"/>
      <c r="J3552" s="68">
        <f>J2123/1.18-J2838*'Mark Up Validation'!$M$105</f>
        <v>0</v>
      </c>
      <c r="K3552" s="106"/>
      <c r="L3552" s="68">
        <f>L2123/1.18-L2838*'Mark Up Validation'!$M$105</f>
        <v>0</v>
      </c>
      <c r="M3552" s="106"/>
      <c r="N3552" s="68">
        <f>N2123/1.18-N2838*'Mark Up Validation'!$M$105</f>
        <v>0</v>
      </c>
      <c r="O3552" s="106"/>
      <c r="P3552" s="68">
        <f>P2123/1.18-P2838*'Mark Up Validation'!$M$105</f>
        <v>0</v>
      </c>
      <c r="Q3552" s="107"/>
      <c r="R3552" s="135">
        <f>SUM(F3552,H3552,J3552,L3552,N3552,P3552)</f>
        <v>0</v>
      </c>
      <c r="S3552" s="107"/>
      <c r="T3552" s="68">
        <f>T2123/1.18-T2838*'Mark Up Validation'!$S$105</f>
        <v>0</v>
      </c>
      <c r="U3552" s="107"/>
      <c r="V3552" s="68">
        <f>V2123/1.18-V2838*'Mark Up Validation'!$S$105</f>
        <v>0</v>
      </c>
      <c r="W3552" s="107"/>
      <c r="X3552" s="68">
        <f>X2123/1.18-X2838*'Mark Up Validation'!$S$105</f>
        <v>0</v>
      </c>
      <c r="Y3552" s="107"/>
      <c r="Z3552" s="68">
        <f>Z2123/1.18-Z2838*'Mark Up Validation'!$S$105</f>
        <v>0</v>
      </c>
      <c r="AA3552" s="107"/>
      <c r="AB3552" s="68">
        <f>AB2123/1.18-AB2838*'Mark Up Validation'!$S$105</f>
        <v>0</v>
      </c>
      <c r="AC3552" s="107"/>
      <c r="AD3552" s="68">
        <f>AD2123/1.18-AD2838*'Mark Up Validation'!$S$105</f>
        <v>0</v>
      </c>
      <c r="AE3552" s="107"/>
      <c r="AF3552" s="135">
        <f>SUM(T3552,V3552,X3552,Z3552,AB3552,AD3552)</f>
        <v>0</v>
      </c>
      <c r="AG3552" s="107"/>
      <c r="AH3552" s="136">
        <f>SUM(AF3552,R3552)</f>
        <v>0</v>
      </c>
      <c r="AI3552" s="107"/>
      <c r="AJ3552" s="65"/>
      <c r="AV3552" s="56"/>
    </row>
    <row r="3553" spans="1:48" ht="13.5" hidden="1" customHeight="1" outlineLevel="2">
      <c r="B3553" s="82"/>
      <c r="C3553" s="425"/>
      <c r="D3553" s="425"/>
      <c r="E3553" s="634"/>
      <c r="F3553" s="635"/>
      <c r="G3553" s="428"/>
      <c r="H3553" s="635"/>
      <c r="I3553" s="428"/>
      <c r="J3553" s="635"/>
      <c r="K3553" s="636"/>
      <c r="L3553" s="635"/>
      <c r="M3553" s="636"/>
      <c r="N3553" s="635"/>
      <c r="O3553" s="636"/>
      <c r="P3553" s="635"/>
      <c r="Q3553" s="636"/>
      <c r="R3553" s="637"/>
      <c r="S3553" s="698">
        <f>SUM(R2833:R2837)/1.18-(SUM(R3548:R3552)*'Mark Up Validation'!$M$105)</f>
        <v>0</v>
      </c>
      <c r="T3553" s="635"/>
      <c r="U3553" s="636"/>
      <c r="V3553" s="635"/>
      <c r="W3553" s="636"/>
      <c r="X3553" s="635"/>
      <c r="Y3553" s="636"/>
      <c r="Z3553" s="635"/>
      <c r="AA3553" s="636"/>
      <c r="AB3553" s="635"/>
      <c r="AC3553" s="636"/>
      <c r="AD3553" s="635"/>
      <c r="AE3553" s="636"/>
      <c r="AF3553" s="637"/>
      <c r="AG3553" s="698">
        <f>SUM(AF2833:AF2837)/1.18-SUM(AF3548:AF3552)*'Mark Up Validation'!$M$175</f>
        <v>0</v>
      </c>
      <c r="AH3553" s="638"/>
      <c r="AI3553" s="698">
        <f>SUM(AH2833:AH2837)/1.18-SUM(AH3548:AH3552)*'Mark Up Validation'!$M$175</f>
        <v>0</v>
      </c>
      <c r="AJ3553" s="65"/>
      <c r="AV3553" s="56"/>
    </row>
    <row r="3554" spans="1:48" ht="13.5" hidden="1" customHeight="1" outlineLevel="2" thickBot="1">
      <c r="A3554" s="119"/>
      <c r="B3554" s="82"/>
      <c r="C3554" s="1228" t="s">
        <v>539</v>
      </c>
      <c r="D3554" s="1229"/>
      <c r="E3554" s="699"/>
      <c r="F3554" s="700">
        <f>SUM(F3548:F3552)</f>
        <v>0</v>
      </c>
      <c r="G3554" s="701"/>
      <c r="H3554" s="700">
        <f>SUM(H3548:H3552)</f>
        <v>0</v>
      </c>
      <c r="I3554" s="701"/>
      <c r="J3554" s="700">
        <f>SUM(J3548:J3552)</f>
        <v>0</v>
      </c>
      <c r="K3554" s="702"/>
      <c r="L3554" s="700">
        <f>SUM(L3548:L3552)</f>
        <v>0</v>
      </c>
      <c r="M3554" s="702"/>
      <c r="N3554" s="700">
        <f>SUM(N3548:N3552)</f>
        <v>0</v>
      </c>
      <c r="O3554" s="702"/>
      <c r="P3554" s="700">
        <f>SUM(P3548:P3552)</f>
        <v>0</v>
      </c>
      <c r="Q3554" s="702"/>
      <c r="R3554" s="703"/>
      <c r="S3554" s="729">
        <f>IF(S3553&gt;0,S3553/(SUM(R2833:R2837)/1.18),0)</f>
        <v>0</v>
      </c>
      <c r="T3554" s="700">
        <f>SUM(T3548:T3552)</f>
        <v>0</v>
      </c>
      <c r="U3554" s="702"/>
      <c r="V3554" s="700">
        <f>SUM(V3548:V3552)</f>
        <v>0</v>
      </c>
      <c r="W3554" s="702"/>
      <c r="X3554" s="700">
        <f>SUM(X3548:X3552)</f>
        <v>0</v>
      </c>
      <c r="Y3554" s="702"/>
      <c r="Z3554" s="700">
        <f>SUM(Z3548:Z3552)</f>
        <v>0</v>
      </c>
      <c r="AA3554" s="702"/>
      <c r="AB3554" s="700">
        <f>SUM(AB3548:AB3552)</f>
        <v>0</v>
      </c>
      <c r="AC3554" s="702"/>
      <c r="AD3554" s="700">
        <f>SUM(AD3548:AD3552)</f>
        <v>0</v>
      </c>
      <c r="AE3554" s="702"/>
      <c r="AF3554" s="705"/>
      <c r="AG3554" s="729">
        <f>IF(AG3553&gt;0,AG3553/(SUM(AF2833:AF2837)/1.18),0)</f>
        <v>0</v>
      </c>
      <c r="AH3554" s="706"/>
      <c r="AI3554" s="729">
        <f>IF(AI3553&gt;0,AI3553/(SUM(AH2833:AH2837)/1.18),0)</f>
        <v>0</v>
      </c>
      <c r="AJ3554" s="707"/>
      <c r="AV3554" s="56"/>
    </row>
    <row r="3555" spans="1:48" ht="12.75" hidden="1" customHeight="1" outlineLevel="2" thickBot="1">
      <c r="B3555" s="82">
        <f>B3548+1</f>
        <v>97</v>
      </c>
      <c r="C3555" s="1233">
        <f>C685</f>
        <v>0</v>
      </c>
      <c r="D3555" s="1233">
        <f>D685</f>
        <v>0</v>
      </c>
      <c r="E3555" s="83" t="str">
        <f>'Terms and Turnovers'!$J$12</f>
        <v>FLIP-FLOPS</v>
      </c>
      <c r="F3555" s="68">
        <f>F2126/1.18-F2841*'Mark Up Validation'!$M$105</f>
        <v>0</v>
      </c>
      <c r="G3555" s="106"/>
      <c r="H3555" s="68">
        <f>H2126/1.18-H2841*'Mark Up Validation'!$M$105</f>
        <v>0</v>
      </c>
      <c r="I3555" s="106"/>
      <c r="J3555" s="68">
        <f>J2126/1.18-J2841*'Mark Up Validation'!$M$105</f>
        <v>0</v>
      </c>
      <c r="K3555" s="106"/>
      <c r="L3555" s="68">
        <f>L2126/1.18-L2841*'Mark Up Validation'!$M$105</f>
        <v>0</v>
      </c>
      <c r="M3555" s="106"/>
      <c r="N3555" s="68">
        <f>N2126/1.18-N2841*'Mark Up Validation'!$M$105</f>
        <v>0</v>
      </c>
      <c r="O3555" s="106"/>
      <c r="P3555" s="68">
        <f>P2126/1.18-P2841*'Mark Up Validation'!$M$105</f>
        <v>0</v>
      </c>
      <c r="Q3555" s="106"/>
      <c r="R3555" s="129">
        <f>SUM(F3555,H3555,J3555,L3555,N3555,P3555)</f>
        <v>0</v>
      </c>
      <c r="S3555" s="106"/>
      <c r="T3555" s="68">
        <f>T2126/1.18-T2841*'Mark Up Validation'!$S$105</f>
        <v>0</v>
      </c>
      <c r="U3555" s="106"/>
      <c r="V3555" s="68">
        <f>V2126/1.18-V2841*'Mark Up Validation'!$S$105</f>
        <v>0</v>
      </c>
      <c r="W3555" s="106"/>
      <c r="X3555" s="68">
        <f>X2126/1.18-X2841*'Mark Up Validation'!$S$105</f>
        <v>0</v>
      </c>
      <c r="Y3555" s="106"/>
      <c r="Z3555" s="68">
        <f>Z2126/1.18-Z2841*'Mark Up Validation'!$S$105</f>
        <v>0</v>
      </c>
      <c r="AA3555" s="106"/>
      <c r="AB3555" s="68">
        <f>AB2126/1.18-AB2841*'Mark Up Validation'!$S$105</f>
        <v>0</v>
      </c>
      <c r="AC3555" s="106"/>
      <c r="AD3555" s="68">
        <f>AD2126/1.18-AD2841*'Mark Up Validation'!$S$105</f>
        <v>0</v>
      </c>
      <c r="AE3555" s="106"/>
      <c r="AF3555" s="129">
        <f>SUM(T3555,V3555,X3555,Z3555,AB3555,AD3555)</f>
        <v>0</v>
      </c>
      <c r="AG3555" s="106"/>
      <c r="AH3555" s="130">
        <f>SUM(AF3555,R3555)</f>
        <v>0</v>
      </c>
      <c r="AI3555" s="106"/>
      <c r="AJ3555" s="65"/>
      <c r="AV3555" s="56"/>
    </row>
    <row r="3556" spans="1:48" ht="12.75" hidden="1" customHeight="1" outlineLevel="2" thickBot="1">
      <c r="B3556" s="82"/>
      <c r="C3556" s="1234"/>
      <c r="D3556" s="1234"/>
      <c r="E3556" s="84" t="str">
        <f>'Terms and Turnovers'!$T$12</f>
        <v>ORIGINALS</v>
      </c>
      <c r="F3556" s="68">
        <f>F2127/1.18-F2842*'Mark Up Validation'!$M$105</f>
        <v>0</v>
      </c>
      <c r="G3556" s="728"/>
      <c r="H3556" s="68">
        <f>H2127/1.18-H2842*'Mark Up Validation'!$M$105</f>
        <v>0</v>
      </c>
      <c r="I3556" s="728"/>
      <c r="J3556" s="68">
        <f>J2127/1.18-J2842*'Mark Up Validation'!$M$105</f>
        <v>0</v>
      </c>
      <c r="K3556" s="728"/>
      <c r="L3556" s="68">
        <f>L2127/1.18-L2842*'Mark Up Validation'!$M$105</f>
        <v>0</v>
      </c>
      <c r="M3556" s="728"/>
      <c r="N3556" s="68">
        <f>N2127/1.18-N2842*'Mark Up Validation'!$M$105</f>
        <v>0</v>
      </c>
      <c r="O3556" s="728"/>
      <c r="P3556" s="68">
        <f>P2127/1.18-P2842*'Mark Up Validation'!$M$105</f>
        <v>0</v>
      </c>
      <c r="Q3556" s="728"/>
      <c r="R3556" s="132">
        <f>SUM(F3556,H3556,J3556,L3556,N3556,P3556)</f>
        <v>0</v>
      </c>
      <c r="S3556" s="728"/>
      <c r="T3556" s="68">
        <f>T2127/1.18-T2842*'Mark Up Validation'!$S$105</f>
        <v>0</v>
      </c>
      <c r="U3556" s="728"/>
      <c r="V3556" s="68">
        <f>V2127/1.18-V2842*'Mark Up Validation'!$S$105</f>
        <v>0</v>
      </c>
      <c r="W3556" s="728"/>
      <c r="X3556" s="68">
        <f>X2127/1.18-X2842*'Mark Up Validation'!$S$105</f>
        <v>0</v>
      </c>
      <c r="Y3556" s="728"/>
      <c r="Z3556" s="68">
        <f>Z2127/1.18-Z2842*'Mark Up Validation'!$S$105</f>
        <v>0</v>
      </c>
      <c r="AA3556" s="728"/>
      <c r="AB3556" s="68">
        <f>AB2127/1.18-AB2842*'Mark Up Validation'!$S$105</f>
        <v>0</v>
      </c>
      <c r="AC3556" s="728"/>
      <c r="AD3556" s="68">
        <f>AD2127/1.18-AD2842*'Mark Up Validation'!$S$105</f>
        <v>0</v>
      </c>
      <c r="AE3556" s="728"/>
      <c r="AF3556" s="132">
        <f>SUM(T3556,V3556,X3556,Z3556,AB3556,AD3556)</f>
        <v>0</v>
      </c>
      <c r="AG3556" s="728"/>
      <c r="AH3556" s="133">
        <f>SUM(AF3556,R3556)</f>
        <v>0</v>
      </c>
      <c r="AI3556" s="728"/>
      <c r="AJ3556" s="65"/>
      <c r="AV3556" s="56"/>
    </row>
    <row r="3557" spans="1:48" ht="12.75" hidden="1" customHeight="1" outlineLevel="2" thickBot="1">
      <c r="B3557" s="82"/>
      <c r="C3557" s="1234"/>
      <c r="D3557" s="1234"/>
      <c r="E3557" s="84" t="str">
        <f>'Terms and Turnovers'!$AD$12</f>
        <v>ACCESSORIES</v>
      </c>
      <c r="F3557" s="68">
        <f>F2128/1.18-F2843*'Mark Up Validation'!$M$105</f>
        <v>0</v>
      </c>
      <c r="G3557" s="106"/>
      <c r="H3557" s="68">
        <f>H2128/1.18-H2843*'Mark Up Validation'!$M$105</f>
        <v>0</v>
      </c>
      <c r="I3557" s="106"/>
      <c r="J3557" s="68">
        <f>J2128/1.18-J2843*'Mark Up Validation'!$M$105</f>
        <v>0</v>
      </c>
      <c r="K3557" s="106"/>
      <c r="L3557" s="68">
        <f>L2128/1.18-L2843*'Mark Up Validation'!$M$105</f>
        <v>0</v>
      </c>
      <c r="M3557" s="106"/>
      <c r="N3557" s="68">
        <f>N2128/1.18-N2843*'Mark Up Validation'!$M$105</f>
        <v>0</v>
      </c>
      <c r="O3557" s="106"/>
      <c r="P3557" s="68">
        <f>P2128/1.18-P2843*'Mark Up Validation'!$M$105</f>
        <v>0</v>
      </c>
      <c r="Q3557" s="728"/>
      <c r="R3557" s="132">
        <f>SUM(F3557,H3557,J3557,L3557,N3557,P3557)</f>
        <v>0</v>
      </c>
      <c r="S3557" s="728"/>
      <c r="T3557" s="68">
        <f>T2128/1.18-T2843*'Mark Up Validation'!$S$105</f>
        <v>0</v>
      </c>
      <c r="U3557" s="728"/>
      <c r="V3557" s="68">
        <f>V2128/1.18-V2843*'Mark Up Validation'!$S$105</f>
        <v>0</v>
      </c>
      <c r="W3557" s="728"/>
      <c r="X3557" s="68">
        <f>X2128/1.18-X2843*'Mark Up Validation'!$S$105</f>
        <v>0</v>
      </c>
      <c r="Y3557" s="728"/>
      <c r="Z3557" s="68">
        <f>Z2128/1.18-Z2843*'Mark Up Validation'!$S$105</f>
        <v>0</v>
      </c>
      <c r="AA3557" s="728"/>
      <c r="AB3557" s="68">
        <f>AB2128/1.18-AB2843*'Mark Up Validation'!$S$105</f>
        <v>0</v>
      </c>
      <c r="AC3557" s="728"/>
      <c r="AD3557" s="68">
        <f>AD2128/1.18-AD2843*'Mark Up Validation'!$S$105</f>
        <v>0</v>
      </c>
      <c r="AE3557" s="728"/>
      <c r="AF3557" s="132">
        <f>SUM(T3557,V3557,X3557,Z3557,AB3557,AD3557)</f>
        <v>0</v>
      </c>
      <c r="AG3557" s="728"/>
      <c r="AH3557" s="133">
        <f>SUM(AF3557,R3557)</f>
        <v>0</v>
      </c>
      <c r="AI3557" s="728"/>
      <c r="AJ3557" s="65"/>
      <c r="AV3557" s="56"/>
    </row>
    <row r="3558" spans="1:48" ht="12.75" hidden="1" customHeight="1" outlineLevel="2" thickBot="1">
      <c r="B3558" s="82"/>
      <c r="C3558" s="1234"/>
      <c r="D3558" s="1234"/>
      <c r="E3558" s="84">
        <f>'Terms and Turnovers'!$AN$12</f>
        <v>0</v>
      </c>
      <c r="F3558" s="68">
        <f>F2129/1.18-F2844*'Mark Up Validation'!$M$105</f>
        <v>0</v>
      </c>
      <c r="G3558" s="728"/>
      <c r="H3558" s="68">
        <f>H2129/1.18-H2844*'Mark Up Validation'!$M$105</f>
        <v>0</v>
      </c>
      <c r="I3558" s="728"/>
      <c r="J3558" s="68">
        <f>J2129/1.18-J2844*'Mark Up Validation'!$M$105</f>
        <v>0</v>
      </c>
      <c r="K3558" s="728"/>
      <c r="L3558" s="68">
        <f>L2129/1.18-L2844*'Mark Up Validation'!$M$105</f>
        <v>0</v>
      </c>
      <c r="M3558" s="728"/>
      <c r="N3558" s="68">
        <f>N2129/1.18-N2844*'Mark Up Validation'!$M$105</f>
        <v>0</v>
      </c>
      <c r="O3558" s="728"/>
      <c r="P3558" s="68">
        <f>P2129/1.18-P2844*'Mark Up Validation'!$M$105</f>
        <v>0</v>
      </c>
      <c r="Q3558" s="728"/>
      <c r="R3558" s="132">
        <f>SUM(F3558,H3558,J3558,L3558,N3558,P3558)</f>
        <v>0</v>
      </c>
      <c r="S3558" s="728"/>
      <c r="T3558" s="68">
        <f>T2129/1.18-T2844*'Mark Up Validation'!$S$105</f>
        <v>0</v>
      </c>
      <c r="U3558" s="728"/>
      <c r="V3558" s="68">
        <f>V2129/1.18-V2844*'Mark Up Validation'!$S$105</f>
        <v>0</v>
      </c>
      <c r="W3558" s="728"/>
      <c r="X3558" s="68">
        <f>X2129/1.18-X2844*'Mark Up Validation'!$S$105</f>
        <v>0</v>
      </c>
      <c r="Y3558" s="728"/>
      <c r="Z3558" s="68">
        <f>Z2129/1.18-Z2844*'Mark Up Validation'!$S$105</f>
        <v>0</v>
      </c>
      <c r="AA3558" s="728"/>
      <c r="AB3558" s="68">
        <f>AB2129/1.18-AB2844*'Mark Up Validation'!$S$105</f>
        <v>0</v>
      </c>
      <c r="AC3558" s="728"/>
      <c r="AD3558" s="68">
        <f>AD2129/1.18-AD2844*'Mark Up Validation'!$S$105</f>
        <v>0</v>
      </c>
      <c r="AE3558" s="728"/>
      <c r="AF3558" s="132">
        <f>SUM(T3558,V3558,X3558,Z3558,AB3558,AD3558)</f>
        <v>0</v>
      </c>
      <c r="AG3558" s="728"/>
      <c r="AH3558" s="133">
        <f>SUM(AF3558,R3558)</f>
        <v>0</v>
      </c>
      <c r="AI3558" s="728"/>
      <c r="AJ3558" s="65"/>
      <c r="AV3558" s="56"/>
    </row>
    <row r="3559" spans="1:48" ht="13.5" hidden="1" customHeight="1" outlineLevel="2" thickBot="1">
      <c r="B3559" s="82"/>
      <c r="C3559" s="1235"/>
      <c r="D3559" s="1235"/>
      <c r="E3559" s="85">
        <f>'Terms and Turnovers'!$AX$12</f>
        <v>0</v>
      </c>
      <c r="F3559" s="68">
        <f>F2130/1.18-F2845*'Mark Up Validation'!$M$105</f>
        <v>0</v>
      </c>
      <c r="G3559" s="106"/>
      <c r="H3559" s="68">
        <f>H2130/1.18-H2845*'Mark Up Validation'!$M$105</f>
        <v>0</v>
      </c>
      <c r="I3559" s="106"/>
      <c r="J3559" s="68">
        <f>J2130/1.18-J2845*'Mark Up Validation'!$M$105</f>
        <v>0</v>
      </c>
      <c r="K3559" s="106"/>
      <c r="L3559" s="68">
        <f>L2130/1.18-L2845*'Mark Up Validation'!$M$105</f>
        <v>0</v>
      </c>
      <c r="M3559" s="106"/>
      <c r="N3559" s="68">
        <f>N2130/1.18-N2845*'Mark Up Validation'!$M$105</f>
        <v>0</v>
      </c>
      <c r="O3559" s="106"/>
      <c r="P3559" s="68">
        <f>P2130/1.18-P2845*'Mark Up Validation'!$M$105</f>
        <v>0</v>
      </c>
      <c r="Q3559" s="107"/>
      <c r="R3559" s="135">
        <f>SUM(F3559,H3559,J3559,L3559,N3559,P3559)</f>
        <v>0</v>
      </c>
      <c r="S3559" s="107"/>
      <c r="T3559" s="68">
        <f>T2130/1.18-T2845*'Mark Up Validation'!$S$105</f>
        <v>0</v>
      </c>
      <c r="U3559" s="107"/>
      <c r="V3559" s="68">
        <f>V2130/1.18-V2845*'Mark Up Validation'!$S$105</f>
        <v>0</v>
      </c>
      <c r="W3559" s="107"/>
      <c r="X3559" s="68">
        <f>X2130/1.18-X2845*'Mark Up Validation'!$S$105</f>
        <v>0</v>
      </c>
      <c r="Y3559" s="107"/>
      <c r="Z3559" s="68">
        <f>Z2130/1.18-Z2845*'Mark Up Validation'!$S$105</f>
        <v>0</v>
      </c>
      <c r="AA3559" s="107"/>
      <c r="AB3559" s="68">
        <f>AB2130/1.18-AB2845*'Mark Up Validation'!$S$105</f>
        <v>0</v>
      </c>
      <c r="AC3559" s="107"/>
      <c r="AD3559" s="68">
        <f>AD2130/1.18-AD2845*'Mark Up Validation'!$S$105</f>
        <v>0</v>
      </c>
      <c r="AE3559" s="107"/>
      <c r="AF3559" s="135">
        <f>SUM(T3559,V3559,X3559,Z3559,AB3559,AD3559)</f>
        <v>0</v>
      </c>
      <c r="AG3559" s="107"/>
      <c r="AH3559" s="136">
        <f>SUM(AF3559,R3559)</f>
        <v>0</v>
      </c>
      <c r="AI3559" s="107"/>
      <c r="AJ3559" s="65"/>
      <c r="AV3559" s="56"/>
    </row>
    <row r="3560" spans="1:48" ht="13.5" hidden="1" customHeight="1" outlineLevel="2">
      <c r="B3560" s="82"/>
      <c r="C3560" s="425"/>
      <c r="D3560" s="425"/>
      <c r="E3560" s="634"/>
      <c r="F3560" s="635"/>
      <c r="G3560" s="428"/>
      <c r="H3560" s="635"/>
      <c r="I3560" s="428"/>
      <c r="J3560" s="635"/>
      <c r="K3560" s="636"/>
      <c r="L3560" s="635"/>
      <c r="M3560" s="636"/>
      <c r="N3560" s="635"/>
      <c r="O3560" s="636"/>
      <c r="P3560" s="635"/>
      <c r="Q3560" s="636"/>
      <c r="R3560" s="637"/>
      <c r="S3560" s="698">
        <f>SUM(R2840:R2844)/1.18-(SUM(R3555:R3559)*'Mark Up Validation'!$M$105)</f>
        <v>0</v>
      </c>
      <c r="T3560" s="635"/>
      <c r="U3560" s="636"/>
      <c r="V3560" s="635"/>
      <c r="W3560" s="636"/>
      <c r="X3560" s="635"/>
      <c r="Y3560" s="636"/>
      <c r="Z3560" s="635"/>
      <c r="AA3560" s="636"/>
      <c r="AB3560" s="635"/>
      <c r="AC3560" s="636"/>
      <c r="AD3560" s="635"/>
      <c r="AE3560" s="636"/>
      <c r="AF3560" s="637"/>
      <c r="AG3560" s="698">
        <f>SUM(AF2840:AF2844)/1.18-SUM(AF3555:AF3559)*'Mark Up Validation'!$M$175</f>
        <v>0</v>
      </c>
      <c r="AH3560" s="638"/>
      <c r="AI3560" s="698">
        <f>SUM(AH2840:AH2844)/1.18-SUM(AH3555:AH3559)*'Mark Up Validation'!$M$175</f>
        <v>0</v>
      </c>
      <c r="AJ3560" s="65"/>
      <c r="AV3560" s="56"/>
    </row>
    <row r="3561" spans="1:48" ht="13.5" hidden="1" customHeight="1" outlineLevel="2" thickBot="1">
      <c r="A3561" s="119"/>
      <c r="B3561" s="82"/>
      <c r="C3561" s="1228" t="s">
        <v>539</v>
      </c>
      <c r="D3561" s="1229"/>
      <c r="E3561" s="699"/>
      <c r="F3561" s="700">
        <f>SUM(F3555:F3559)</f>
        <v>0</v>
      </c>
      <c r="G3561" s="701"/>
      <c r="H3561" s="700">
        <f>SUM(H3555:H3559)</f>
        <v>0</v>
      </c>
      <c r="I3561" s="701"/>
      <c r="J3561" s="700">
        <f>SUM(J3555:J3559)</f>
        <v>0</v>
      </c>
      <c r="K3561" s="702"/>
      <c r="L3561" s="700">
        <f>SUM(L3555:L3559)</f>
        <v>0</v>
      </c>
      <c r="M3561" s="702"/>
      <c r="N3561" s="700">
        <f>SUM(N3555:N3559)</f>
        <v>0</v>
      </c>
      <c r="O3561" s="702"/>
      <c r="P3561" s="700">
        <f>SUM(P3555:P3559)</f>
        <v>0</v>
      </c>
      <c r="Q3561" s="702"/>
      <c r="R3561" s="703"/>
      <c r="S3561" s="729">
        <f>IF(S3560&gt;0,S3560/(SUM(R2840:R2844)/1.18),0)</f>
        <v>0</v>
      </c>
      <c r="T3561" s="700">
        <f>SUM(T3555:T3559)</f>
        <v>0</v>
      </c>
      <c r="U3561" s="702"/>
      <c r="V3561" s="700">
        <f>SUM(V3555:V3559)</f>
        <v>0</v>
      </c>
      <c r="W3561" s="702"/>
      <c r="X3561" s="700">
        <f>SUM(X3555:X3559)</f>
        <v>0</v>
      </c>
      <c r="Y3561" s="702"/>
      <c r="Z3561" s="700">
        <f>SUM(Z3555:Z3559)</f>
        <v>0</v>
      </c>
      <c r="AA3561" s="702"/>
      <c r="AB3561" s="700">
        <f>SUM(AB3555:AB3559)</f>
        <v>0</v>
      </c>
      <c r="AC3561" s="702"/>
      <c r="AD3561" s="700">
        <f>SUM(AD3555:AD3559)</f>
        <v>0</v>
      </c>
      <c r="AE3561" s="702"/>
      <c r="AF3561" s="705"/>
      <c r="AG3561" s="729">
        <f>IF(AG3560&gt;0,AG3560/(SUM(AF2840:AF2844)/1.18),0)</f>
        <v>0</v>
      </c>
      <c r="AH3561" s="706"/>
      <c r="AI3561" s="729">
        <f>IF(AI3560&gt;0,AI3560/(SUM(AH2840:AH2844)/1.18),0)</f>
        <v>0</v>
      </c>
      <c r="AJ3561" s="707"/>
      <c r="AV3561" s="56"/>
    </row>
    <row r="3562" spans="1:48" ht="12.75" hidden="1" customHeight="1" outlineLevel="2" thickBot="1">
      <c r="B3562" s="82">
        <f>B3555+1</f>
        <v>98</v>
      </c>
      <c r="C3562" s="1233">
        <f>C692</f>
        <v>0</v>
      </c>
      <c r="D3562" s="1233">
        <f>D692</f>
        <v>0</v>
      </c>
      <c r="E3562" s="83" t="str">
        <f>'Terms and Turnovers'!$J$12</f>
        <v>FLIP-FLOPS</v>
      </c>
      <c r="F3562" s="68">
        <f>F2133/1.18-F2848*'Mark Up Validation'!$M$105</f>
        <v>0</v>
      </c>
      <c r="G3562" s="106"/>
      <c r="H3562" s="68">
        <f>H2133/1.18-H2848*'Mark Up Validation'!$M$105</f>
        <v>0</v>
      </c>
      <c r="I3562" s="106"/>
      <c r="J3562" s="68">
        <f>J2133/1.18-J2848*'Mark Up Validation'!$M$105</f>
        <v>0</v>
      </c>
      <c r="K3562" s="106"/>
      <c r="L3562" s="68">
        <f>L2133/1.18-L2848*'Mark Up Validation'!$M$105</f>
        <v>0</v>
      </c>
      <c r="M3562" s="106"/>
      <c r="N3562" s="68">
        <f>N2133/1.18-N2848*'Mark Up Validation'!$M$105</f>
        <v>0</v>
      </c>
      <c r="O3562" s="106"/>
      <c r="P3562" s="68">
        <f>P2133/1.18-P2848*'Mark Up Validation'!$M$105</f>
        <v>0</v>
      </c>
      <c r="Q3562" s="106"/>
      <c r="R3562" s="129">
        <f>SUM(F3562,H3562,J3562,L3562,N3562,P3562)</f>
        <v>0</v>
      </c>
      <c r="S3562" s="106"/>
      <c r="T3562" s="68">
        <f>T2133/1.18-T2848*'Mark Up Validation'!$S$105</f>
        <v>0</v>
      </c>
      <c r="U3562" s="106"/>
      <c r="V3562" s="68">
        <f>V2133/1.18-V2848*'Mark Up Validation'!$S$105</f>
        <v>0</v>
      </c>
      <c r="W3562" s="106"/>
      <c r="X3562" s="68">
        <f>X2133/1.18-X2848*'Mark Up Validation'!$S$105</f>
        <v>0</v>
      </c>
      <c r="Y3562" s="106"/>
      <c r="Z3562" s="68">
        <f>Z2133/1.18-Z2848*'Mark Up Validation'!$S$105</f>
        <v>0</v>
      </c>
      <c r="AA3562" s="106"/>
      <c r="AB3562" s="68">
        <f>AB2133/1.18-AB2848*'Mark Up Validation'!$S$105</f>
        <v>0</v>
      </c>
      <c r="AC3562" s="106"/>
      <c r="AD3562" s="68">
        <f>AD2133/1.18-AD2848*'Mark Up Validation'!$S$105</f>
        <v>0</v>
      </c>
      <c r="AE3562" s="106"/>
      <c r="AF3562" s="129">
        <f>SUM(T3562,V3562,X3562,Z3562,AB3562,AD3562)</f>
        <v>0</v>
      </c>
      <c r="AG3562" s="106"/>
      <c r="AH3562" s="130">
        <f>SUM(AF3562,R3562)</f>
        <v>0</v>
      </c>
      <c r="AI3562" s="106"/>
      <c r="AJ3562" s="65"/>
      <c r="AV3562" s="56"/>
    </row>
    <row r="3563" spans="1:48" ht="12.75" hidden="1" customHeight="1" outlineLevel="2" thickBot="1">
      <c r="B3563" s="82"/>
      <c r="C3563" s="1234"/>
      <c r="D3563" s="1234"/>
      <c r="E3563" s="84" t="str">
        <f>'Terms and Turnovers'!$T$12</f>
        <v>ORIGINALS</v>
      </c>
      <c r="F3563" s="68">
        <f>F2134/1.18-F2849*'Mark Up Validation'!$M$105</f>
        <v>0</v>
      </c>
      <c r="G3563" s="728"/>
      <c r="H3563" s="68">
        <f>H2134/1.18-H2849*'Mark Up Validation'!$M$105</f>
        <v>0</v>
      </c>
      <c r="I3563" s="728"/>
      <c r="J3563" s="68">
        <f>J2134/1.18-J2849*'Mark Up Validation'!$M$105</f>
        <v>0</v>
      </c>
      <c r="K3563" s="728"/>
      <c r="L3563" s="68">
        <f>L2134/1.18-L2849*'Mark Up Validation'!$M$105</f>
        <v>0</v>
      </c>
      <c r="M3563" s="728"/>
      <c r="N3563" s="68">
        <f>N2134/1.18-N2849*'Mark Up Validation'!$M$105</f>
        <v>0</v>
      </c>
      <c r="O3563" s="728"/>
      <c r="P3563" s="68">
        <f>P2134/1.18-P2849*'Mark Up Validation'!$M$105</f>
        <v>0</v>
      </c>
      <c r="Q3563" s="728"/>
      <c r="R3563" s="132">
        <f>SUM(F3563,H3563,J3563,L3563,N3563,P3563)</f>
        <v>0</v>
      </c>
      <c r="S3563" s="728"/>
      <c r="T3563" s="68">
        <f>T2134/1.18-T2849*'Mark Up Validation'!$S$105</f>
        <v>0</v>
      </c>
      <c r="U3563" s="728"/>
      <c r="V3563" s="68">
        <f>V2134/1.18-V2849*'Mark Up Validation'!$S$105</f>
        <v>0</v>
      </c>
      <c r="W3563" s="728"/>
      <c r="X3563" s="68">
        <f>X2134/1.18-X2849*'Mark Up Validation'!$S$105</f>
        <v>0</v>
      </c>
      <c r="Y3563" s="728"/>
      <c r="Z3563" s="68">
        <f>Z2134/1.18-Z2849*'Mark Up Validation'!$S$105</f>
        <v>0</v>
      </c>
      <c r="AA3563" s="728"/>
      <c r="AB3563" s="68">
        <f>AB2134/1.18-AB2849*'Mark Up Validation'!$S$105</f>
        <v>0</v>
      </c>
      <c r="AC3563" s="728"/>
      <c r="AD3563" s="68">
        <f>AD2134/1.18-AD2849*'Mark Up Validation'!$S$105</f>
        <v>0</v>
      </c>
      <c r="AE3563" s="728"/>
      <c r="AF3563" s="132">
        <f>SUM(T3563,V3563,X3563,Z3563,AB3563,AD3563)</f>
        <v>0</v>
      </c>
      <c r="AG3563" s="728"/>
      <c r="AH3563" s="133">
        <f>SUM(AF3563,R3563)</f>
        <v>0</v>
      </c>
      <c r="AI3563" s="728"/>
      <c r="AJ3563" s="65"/>
      <c r="AV3563" s="56"/>
    </row>
    <row r="3564" spans="1:48" ht="12.75" hidden="1" customHeight="1" outlineLevel="2" thickBot="1">
      <c r="B3564" s="82"/>
      <c r="C3564" s="1234"/>
      <c r="D3564" s="1234"/>
      <c r="E3564" s="84" t="str">
        <f>'Terms and Turnovers'!$AD$12</f>
        <v>ACCESSORIES</v>
      </c>
      <c r="F3564" s="68">
        <f>F2135/1.18-F2850*'Mark Up Validation'!$M$105</f>
        <v>0</v>
      </c>
      <c r="G3564" s="106"/>
      <c r="H3564" s="68">
        <f>H2135/1.18-H2850*'Mark Up Validation'!$M$105</f>
        <v>0</v>
      </c>
      <c r="I3564" s="106"/>
      <c r="J3564" s="68">
        <f>J2135/1.18-J2850*'Mark Up Validation'!$M$105</f>
        <v>0</v>
      </c>
      <c r="K3564" s="106"/>
      <c r="L3564" s="68">
        <f>L2135/1.18-L2850*'Mark Up Validation'!$M$105</f>
        <v>0</v>
      </c>
      <c r="M3564" s="106"/>
      <c r="N3564" s="68">
        <f>N2135/1.18-N2850*'Mark Up Validation'!$M$105</f>
        <v>0</v>
      </c>
      <c r="O3564" s="106"/>
      <c r="P3564" s="68">
        <f>P2135/1.18-P2850*'Mark Up Validation'!$M$105</f>
        <v>0</v>
      </c>
      <c r="Q3564" s="728"/>
      <c r="R3564" s="132">
        <f>SUM(F3564,H3564,J3564,L3564,N3564,P3564)</f>
        <v>0</v>
      </c>
      <c r="S3564" s="728"/>
      <c r="T3564" s="68">
        <f>T2135/1.18-T2850*'Mark Up Validation'!$S$105</f>
        <v>0</v>
      </c>
      <c r="U3564" s="728"/>
      <c r="V3564" s="68">
        <f>V2135/1.18-V2850*'Mark Up Validation'!$S$105</f>
        <v>0</v>
      </c>
      <c r="W3564" s="728"/>
      <c r="X3564" s="68">
        <f>X2135/1.18-X2850*'Mark Up Validation'!$S$105</f>
        <v>0</v>
      </c>
      <c r="Y3564" s="728"/>
      <c r="Z3564" s="68">
        <f>Z2135/1.18-Z2850*'Mark Up Validation'!$S$105</f>
        <v>0</v>
      </c>
      <c r="AA3564" s="728"/>
      <c r="AB3564" s="68">
        <f>AB2135/1.18-AB2850*'Mark Up Validation'!$S$105</f>
        <v>0</v>
      </c>
      <c r="AC3564" s="728"/>
      <c r="AD3564" s="68">
        <f>AD2135/1.18-AD2850*'Mark Up Validation'!$S$105</f>
        <v>0</v>
      </c>
      <c r="AE3564" s="728"/>
      <c r="AF3564" s="132">
        <f>SUM(T3564,V3564,X3564,Z3564,AB3564,AD3564)</f>
        <v>0</v>
      </c>
      <c r="AG3564" s="728"/>
      <c r="AH3564" s="133">
        <f>SUM(AF3564,R3564)</f>
        <v>0</v>
      </c>
      <c r="AI3564" s="728"/>
      <c r="AJ3564" s="65"/>
      <c r="AV3564" s="56"/>
    </row>
    <row r="3565" spans="1:48" ht="12.75" hidden="1" customHeight="1" outlineLevel="2" thickBot="1">
      <c r="B3565" s="82"/>
      <c r="C3565" s="1234"/>
      <c r="D3565" s="1234"/>
      <c r="E3565" s="84">
        <f>'Terms and Turnovers'!$AN$12</f>
        <v>0</v>
      </c>
      <c r="F3565" s="68">
        <f>F2136/1.18-F2851*'Mark Up Validation'!$M$105</f>
        <v>0</v>
      </c>
      <c r="G3565" s="728"/>
      <c r="H3565" s="68">
        <f>H2136/1.18-H2851*'Mark Up Validation'!$M$105</f>
        <v>0</v>
      </c>
      <c r="I3565" s="728"/>
      <c r="J3565" s="68">
        <f>J2136/1.18-J2851*'Mark Up Validation'!$M$105</f>
        <v>0</v>
      </c>
      <c r="K3565" s="728"/>
      <c r="L3565" s="68">
        <f>L2136/1.18-L2851*'Mark Up Validation'!$M$105</f>
        <v>0</v>
      </c>
      <c r="M3565" s="728"/>
      <c r="N3565" s="68">
        <f>N2136/1.18-N2851*'Mark Up Validation'!$M$105</f>
        <v>0</v>
      </c>
      <c r="O3565" s="728"/>
      <c r="P3565" s="68">
        <f>P2136/1.18-P2851*'Mark Up Validation'!$M$105</f>
        <v>0</v>
      </c>
      <c r="Q3565" s="728"/>
      <c r="R3565" s="132">
        <f>SUM(F3565,H3565,J3565,L3565,N3565,P3565)</f>
        <v>0</v>
      </c>
      <c r="S3565" s="728"/>
      <c r="T3565" s="68">
        <f>T2136/1.18-T2851*'Mark Up Validation'!$S$105</f>
        <v>0</v>
      </c>
      <c r="U3565" s="728"/>
      <c r="V3565" s="68">
        <f>V2136/1.18-V2851*'Mark Up Validation'!$S$105</f>
        <v>0</v>
      </c>
      <c r="W3565" s="728"/>
      <c r="X3565" s="68">
        <f>X2136/1.18-X2851*'Mark Up Validation'!$S$105</f>
        <v>0</v>
      </c>
      <c r="Y3565" s="728"/>
      <c r="Z3565" s="68">
        <f>Z2136/1.18-Z2851*'Mark Up Validation'!$S$105</f>
        <v>0</v>
      </c>
      <c r="AA3565" s="728"/>
      <c r="AB3565" s="68">
        <f>AB2136/1.18-AB2851*'Mark Up Validation'!$S$105</f>
        <v>0</v>
      </c>
      <c r="AC3565" s="728"/>
      <c r="AD3565" s="68">
        <f>AD2136/1.18-AD2851*'Mark Up Validation'!$S$105</f>
        <v>0</v>
      </c>
      <c r="AE3565" s="728"/>
      <c r="AF3565" s="132">
        <f>SUM(T3565,V3565,X3565,Z3565,AB3565,AD3565)</f>
        <v>0</v>
      </c>
      <c r="AG3565" s="728"/>
      <c r="AH3565" s="133">
        <f>SUM(AF3565,R3565)</f>
        <v>0</v>
      </c>
      <c r="AI3565" s="728"/>
      <c r="AJ3565" s="65"/>
      <c r="AV3565" s="56"/>
    </row>
    <row r="3566" spans="1:48" ht="13.5" hidden="1" customHeight="1" outlineLevel="2" thickBot="1">
      <c r="B3566" s="82"/>
      <c r="C3566" s="1235"/>
      <c r="D3566" s="1235"/>
      <c r="E3566" s="85">
        <f>'Terms and Turnovers'!$AX$12</f>
        <v>0</v>
      </c>
      <c r="F3566" s="68">
        <f>F2137/1.18-F2852*'Mark Up Validation'!$M$105</f>
        <v>0</v>
      </c>
      <c r="G3566" s="106"/>
      <c r="H3566" s="68">
        <f>H2137/1.18-H2852*'Mark Up Validation'!$M$105</f>
        <v>0</v>
      </c>
      <c r="I3566" s="106"/>
      <c r="J3566" s="68">
        <f>J2137/1.18-J2852*'Mark Up Validation'!$M$105</f>
        <v>0</v>
      </c>
      <c r="K3566" s="106"/>
      <c r="L3566" s="68">
        <f>L2137/1.18-L2852*'Mark Up Validation'!$M$105</f>
        <v>0</v>
      </c>
      <c r="M3566" s="106"/>
      <c r="N3566" s="68">
        <f>N2137/1.18-N2852*'Mark Up Validation'!$M$105</f>
        <v>0</v>
      </c>
      <c r="O3566" s="106"/>
      <c r="P3566" s="68">
        <f>P2137/1.18-P2852*'Mark Up Validation'!$M$105</f>
        <v>0</v>
      </c>
      <c r="Q3566" s="107"/>
      <c r="R3566" s="135">
        <f>SUM(F3566,H3566,J3566,L3566,N3566,P3566)</f>
        <v>0</v>
      </c>
      <c r="S3566" s="107"/>
      <c r="T3566" s="68">
        <f>T2137/1.18-T2852*'Mark Up Validation'!$S$105</f>
        <v>0</v>
      </c>
      <c r="U3566" s="107"/>
      <c r="V3566" s="68">
        <f>V2137/1.18-V2852*'Mark Up Validation'!$S$105</f>
        <v>0</v>
      </c>
      <c r="W3566" s="107"/>
      <c r="X3566" s="68">
        <f>X2137/1.18-X2852*'Mark Up Validation'!$S$105</f>
        <v>0</v>
      </c>
      <c r="Y3566" s="107"/>
      <c r="Z3566" s="68">
        <f>Z2137/1.18-Z2852*'Mark Up Validation'!$S$105</f>
        <v>0</v>
      </c>
      <c r="AA3566" s="107"/>
      <c r="AB3566" s="68">
        <f>AB2137/1.18-AB2852*'Mark Up Validation'!$S$105</f>
        <v>0</v>
      </c>
      <c r="AC3566" s="107"/>
      <c r="AD3566" s="68">
        <f>AD2137/1.18-AD2852*'Mark Up Validation'!$S$105</f>
        <v>0</v>
      </c>
      <c r="AE3566" s="107"/>
      <c r="AF3566" s="135">
        <f>SUM(T3566,V3566,X3566,Z3566,AB3566,AD3566)</f>
        <v>0</v>
      </c>
      <c r="AG3566" s="107"/>
      <c r="AH3566" s="136">
        <f>SUM(AF3566,R3566)</f>
        <v>0</v>
      </c>
      <c r="AI3566" s="107"/>
      <c r="AJ3566" s="65"/>
      <c r="AV3566" s="56"/>
    </row>
    <row r="3567" spans="1:48" ht="13.5" hidden="1" customHeight="1" outlineLevel="2">
      <c r="B3567" s="82"/>
      <c r="C3567" s="425"/>
      <c r="D3567" s="425"/>
      <c r="E3567" s="634"/>
      <c r="F3567" s="635"/>
      <c r="G3567" s="428"/>
      <c r="H3567" s="635"/>
      <c r="I3567" s="428"/>
      <c r="J3567" s="635"/>
      <c r="K3567" s="636"/>
      <c r="L3567" s="635"/>
      <c r="M3567" s="636"/>
      <c r="N3567" s="635"/>
      <c r="O3567" s="636"/>
      <c r="P3567" s="635"/>
      <c r="Q3567" s="636"/>
      <c r="R3567" s="637"/>
      <c r="S3567" s="698">
        <f>SUM(R2847:R2851)/1.18-(SUM(R3562:R3566)*'Mark Up Validation'!$M$105)</f>
        <v>0</v>
      </c>
      <c r="T3567" s="635"/>
      <c r="U3567" s="636"/>
      <c r="V3567" s="635"/>
      <c r="W3567" s="636"/>
      <c r="X3567" s="635"/>
      <c r="Y3567" s="636"/>
      <c r="Z3567" s="635"/>
      <c r="AA3567" s="636"/>
      <c r="AB3567" s="635"/>
      <c r="AC3567" s="636"/>
      <c r="AD3567" s="635"/>
      <c r="AE3567" s="636"/>
      <c r="AF3567" s="637"/>
      <c r="AG3567" s="698">
        <f>SUM(AF2847:AF2851)/1.18-SUM(AF3562:AF3566)*'Mark Up Validation'!$M$175</f>
        <v>0</v>
      </c>
      <c r="AH3567" s="638"/>
      <c r="AI3567" s="698">
        <f>SUM(AH2847:AH2851)/1.18-SUM(AH3562:AH3566)*'Mark Up Validation'!$M$175</f>
        <v>0</v>
      </c>
      <c r="AJ3567" s="65"/>
      <c r="AV3567" s="56"/>
    </row>
    <row r="3568" spans="1:48" ht="13.5" hidden="1" customHeight="1" outlineLevel="2" thickBot="1">
      <c r="A3568" s="119"/>
      <c r="B3568" s="82"/>
      <c r="C3568" s="1228" t="s">
        <v>539</v>
      </c>
      <c r="D3568" s="1229"/>
      <c r="E3568" s="699"/>
      <c r="F3568" s="700">
        <f>SUM(F3562:F3566)</f>
        <v>0</v>
      </c>
      <c r="G3568" s="701"/>
      <c r="H3568" s="700">
        <f>SUM(H3562:H3566)</f>
        <v>0</v>
      </c>
      <c r="I3568" s="701"/>
      <c r="J3568" s="700">
        <f>SUM(J3562:J3566)</f>
        <v>0</v>
      </c>
      <c r="K3568" s="702"/>
      <c r="L3568" s="700">
        <f>SUM(L3562:L3566)</f>
        <v>0</v>
      </c>
      <c r="M3568" s="702"/>
      <c r="N3568" s="700">
        <f>SUM(N3562:N3566)</f>
        <v>0</v>
      </c>
      <c r="O3568" s="702"/>
      <c r="P3568" s="700">
        <f>SUM(P3562:P3566)</f>
        <v>0</v>
      </c>
      <c r="Q3568" s="702"/>
      <c r="R3568" s="703"/>
      <c r="S3568" s="729">
        <f>IF(S3567&gt;0,S3567/(SUM(R2847:R2851)/1.18),0)</f>
        <v>0</v>
      </c>
      <c r="T3568" s="700">
        <f>SUM(T3562:T3566)</f>
        <v>0</v>
      </c>
      <c r="U3568" s="702"/>
      <c r="V3568" s="700">
        <f>SUM(V3562:V3566)</f>
        <v>0</v>
      </c>
      <c r="W3568" s="702"/>
      <c r="X3568" s="700">
        <f>SUM(X3562:X3566)</f>
        <v>0</v>
      </c>
      <c r="Y3568" s="702"/>
      <c r="Z3568" s="700">
        <f>SUM(Z3562:Z3566)</f>
        <v>0</v>
      </c>
      <c r="AA3568" s="702"/>
      <c r="AB3568" s="700">
        <f>SUM(AB3562:AB3566)</f>
        <v>0</v>
      </c>
      <c r="AC3568" s="702"/>
      <c r="AD3568" s="700">
        <f>SUM(AD3562:AD3566)</f>
        <v>0</v>
      </c>
      <c r="AE3568" s="702"/>
      <c r="AF3568" s="705"/>
      <c r="AG3568" s="729">
        <f>IF(AG3567&gt;0,AG3567/(SUM(AF2847:AF2851)/1.18),0)</f>
        <v>0</v>
      </c>
      <c r="AH3568" s="706"/>
      <c r="AI3568" s="729">
        <f>IF(AI3567&gt;0,AI3567/(SUM(AH2847:AH2851)/1.18),0)</f>
        <v>0</v>
      </c>
      <c r="AJ3568" s="707"/>
      <c r="AV3568" s="56"/>
    </row>
    <row r="3569" spans="1:48" ht="12.75" hidden="1" customHeight="1" outlineLevel="2" thickBot="1">
      <c r="B3569" s="82">
        <f>B3562+1</f>
        <v>99</v>
      </c>
      <c r="C3569" s="1233">
        <f>C699</f>
        <v>0</v>
      </c>
      <c r="D3569" s="1233">
        <f>D699</f>
        <v>0</v>
      </c>
      <c r="E3569" s="83" t="str">
        <f>'Terms and Turnovers'!$J$12</f>
        <v>FLIP-FLOPS</v>
      </c>
      <c r="F3569" s="68">
        <f>F2140/1.18-F2855*'Mark Up Validation'!$M$105</f>
        <v>0</v>
      </c>
      <c r="G3569" s="106"/>
      <c r="H3569" s="68">
        <f>H2140/1.18-H2855*'Mark Up Validation'!$M$105</f>
        <v>0</v>
      </c>
      <c r="I3569" s="106"/>
      <c r="J3569" s="68">
        <f>J2140/1.18-J2855*'Mark Up Validation'!$M$105</f>
        <v>0</v>
      </c>
      <c r="K3569" s="106"/>
      <c r="L3569" s="68">
        <f>L2140/1.18-L2855*'Mark Up Validation'!$M$105</f>
        <v>0</v>
      </c>
      <c r="M3569" s="106"/>
      <c r="N3569" s="68">
        <f>N2140/1.18-N2855*'Mark Up Validation'!$M$105</f>
        <v>0</v>
      </c>
      <c r="O3569" s="106"/>
      <c r="P3569" s="68">
        <f>P2140/1.18-P2855*'Mark Up Validation'!$M$105</f>
        <v>0</v>
      </c>
      <c r="Q3569" s="106"/>
      <c r="R3569" s="129">
        <f>SUM(F3569,H3569,J3569,L3569,N3569,P3569)</f>
        <v>0</v>
      </c>
      <c r="S3569" s="106"/>
      <c r="T3569" s="68">
        <f>T2140/1.18-T2855*'Mark Up Validation'!$S$105</f>
        <v>0</v>
      </c>
      <c r="U3569" s="106"/>
      <c r="V3569" s="68">
        <f>V2140/1.18-V2855*'Mark Up Validation'!$S$105</f>
        <v>0</v>
      </c>
      <c r="W3569" s="106"/>
      <c r="X3569" s="68">
        <f>X2140/1.18-X2855*'Mark Up Validation'!$S$105</f>
        <v>0</v>
      </c>
      <c r="Y3569" s="106"/>
      <c r="Z3569" s="68">
        <f>Z2140/1.18-Z2855*'Mark Up Validation'!$S$105</f>
        <v>0</v>
      </c>
      <c r="AA3569" s="106"/>
      <c r="AB3569" s="68">
        <f>AB2140/1.18-AB2855*'Mark Up Validation'!$S$105</f>
        <v>0</v>
      </c>
      <c r="AC3569" s="106"/>
      <c r="AD3569" s="68">
        <f>AD2140/1.18-AD2855*'Mark Up Validation'!$S$105</f>
        <v>0</v>
      </c>
      <c r="AE3569" s="106"/>
      <c r="AF3569" s="129">
        <f>SUM(T3569,V3569,X3569,Z3569,AB3569,AD3569)</f>
        <v>0</v>
      </c>
      <c r="AG3569" s="106"/>
      <c r="AH3569" s="130">
        <f>SUM(AF3569,R3569)</f>
        <v>0</v>
      </c>
      <c r="AI3569" s="106"/>
      <c r="AJ3569" s="65"/>
      <c r="AV3569" s="56"/>
    </row>
    <row r="3570" spans="1:48" ht="12.75" hidden="1" customHeight="1" outlineLevel="2" thickBot="1">
      <c r="B3570" s="82"/>
      <c r="C3570" s="1234"/>
      <c r="D3570" s="1234"/>
      <c r="E3570" s="84" t="str">
        <f>'Terms and Turnovers'!$T$12</f>
        <v>ORIGINALS</v>
      </c>
      <c r="F3570" s="68">
        <f>F2141/1.18-F2856*'Mark Up Validation'!$M$105</f>
        <v>0</v>
      </c>
      <c r="G3570" s="728"/>
      <c r="H3570" s="68">
        <f>H2141/1.18-H2856*'Mark Up Validation'!$M$105</f>
        <v>0</v>
      </c>
      <c r="I3570" s="728"/>
      <c r="J3570" s="68">
        <f>J2141/1.18-J2856*'Mark Up Validation'!$M$105</f>
        <v>0</v>
      </c>
      <c r="K3570" s="728"/>
      <c r="L3570" s="68">
        <f>L2141/1.18-L2856*'Mark Up Validation'!$M$105</f>
        <v>0</v>
      </c>
      <c r="M3570" s="728"/>
      <c r="N3570" s="68">
        <f>N2141/1.18-N2856*'Mark Up Validation'!$M$105</f>
        <v>0</v>
      </c>
      <c r="O3570" s="728"/>
      <c r="P3570" s="68">
        <f>P2141/1.18-P2856*'Mark Up Validation'!$M$105</f>
        <v>0</v>
      </c>
      <c r="Q3570" s="728"/>
      <c r="R3570" s="132">
        <f>SUM(F3570,H3570,J3570,L3570,N3570,P3570)</f>
        <v>0</v>
      </c>
      <c r="S3570" s="728"/>
      <c r="T3570" s="68">
        <f>T2141/1.18-T2856*'Mark Up Validation'!$S$105</f>
        <v>0</v>
      </c>
      <c r="U3570" s="728"/>
      <c r="V3570" s="68">
        <f>V2141/1.18-V2856*'Mark Up Validation'!$S$105</f>
        <v>0</v>
      </c>
      <c r="W3570" s="728"/>
      <c r="X3570" s="68">
        <f>X2141/1.18-X2856*'Mark Up Validation'!$S$105</f>
        <v>0</v>
      </c>
      <c r="Y3570" s="728"/>
      <c r="Z3570" s="68">
        <f>Z2141/1.18-Z2856*'Mark Up Validation'!$S$105</f>
        <v>0</v>
      </c>
      <c r="AA3570" s="728"/>
      <c r="AB3570" s="68">
        <f>AB2141/1.18-AB2856*'Mark Up Validation'!$S$105</f>
        <v>0</v>
      </c>
      <c r="AC3570" s="728"/>
      <c r="AD3570" s="68">
        <f>AD2141/1.18-AD2856*'Mark Up Validation'!$S$105</f>
        <v>0</v>
      </c>
      <c r="AE3570" s="728"/>
      <c r="AF3570" s="132">
        <f>SUM(T3570,V3570,X3570,Z3570,AB3570,AD3570)</f>
        <v>0</v>
      </c>
      <c r="AG3570" s="728"/>
      <c r="AH3570" s="133">
        <f>SUM(AF3570,R3570)</f>
        <v>0</v>
      </c>
      <c r="AI3570" s="728"/>
      <c r="AJ3570" s="65"/>
      <c r="AV3570" s="56"/>
    </row>
    <row r="3571" spans="1:48" ht="12.75" hidden="1" customHeight="1" outlineLevel="2" thickBot="1">
      <c r="B3571" s="82"/>
      <c r="C3571" s="1234"/>
      <c r="D3571" s="1234"/>
      <c r="E3571" s="84" t="str">
        <f>'Terms and Turnovers'!$AD$12</f>
        <v>ACCESSORIES</v>
      </c>
      <c r="F3571" s="68">
        <f>F2142/1.18-F2857*'Mark Up Validation'!$M$105</f>
        <v>0</v>
      </c>
      <c r="G3571" s="106"/>
      <c r="H3571" s="68">
        <f>H2142/1.18-H2857*'Mark Up Validation'!$M$105</f>
        <v>0</v>
      </c>
      <c r="I3571" s="106"/>
      <c r="J3571" s="68">
        <f>J2142/1.18-J2857*'Mark Up Validation'!$M$105</f>
        <v>0</v>
      </c>
      <c r="K3571" s="106"/>
      <c r="L3571" s="68">
        <f>L2142/1.18-L2857*'Mark Up Validation'!$M$105</f>
        <v>0</v>
      </c>
      <c r="M3571" s="106"/>
      <c r="N3571" s="68">
        <f>N2142/1.18-N2857*'Mark Up Validation'!$M$105</f>
        <v>0</v>
      </c>
      <c r="O3571" s="106"/>
      <c r="P3571" s="68">
        <f>P2142/1.18-P2857*'Mark Up Validation'!$M$105</f>
        <v>0</v>
      </c>
      <c r="Q3571" s="728"/>
      <c r="R3571" s="132">
        <f>SUM(F3571,H3571,J3571,L3571,N3571,P3571)</f>
        <v>0</v>
      </c>
      <c r="S3571" s="728"/>
      <c r="T3571" s="68">
        <f>T2142/1.18-T2857*'Mark Up Validation'!$S$105</f>
        <v>0</v>
      </c>
      <c r="U3571" s="728"/>
      <c r="V3571" s="68">
        <f>V2142/1.18-V2857*'Mark Up Validation'!$S$105</f>
        <v>0</v>
      </c>
      <c r="W3571" s="728"/>
      <c r="X3571" s="68">
        <f>X2142/1.18-X2857*'Mark Up Validation'!$S$105</f>
        <v>0</v>
      </c>
      <c r="Y3571" s="728"/>
      <c r="Z3571" s="68">
        <f>Z2142/1.18-Z2857*'Mark Up Validation'!$S$105</f>
        <v>0</v>
      </c>
      <c r="AA3571" s="728"/>
      <c r="AB3571" s="68">
        <f>AB2142/1.18-AB2857*'Mark Up Validation'!$S$105</f>
        <v>0</v>
      </c>
      <c r="AC3571" s="728"/>
      <c r="AD3571" s="68">
        <f>AD2142/1.18-AD2857*'Mark Up Validation'!$S$105</f>
        <v>0</v>
      </c>
      <c r="AE3571" s="728"/>
      <c r="AF3571" s="132">
        <f>SUM(T3571,V3571,X3571,Z3571,AB3571,AD3571)</f>
        <v>0</v>
      </c>
      <c r="AG3571" s="728"/>
      <c r="AH3571" s="133">
        <f>SUM(AF3571,R3571)</f>
        <v>0</v>
      </c>
      <c r="AI3571" s="728"/>
      <c r="AJ3571" s="65"/>
      <c r="AV3571" s="56"/>
    </row>
    <row r="3572" spans="1:48" ht="12.75" hidden="1" customHeight="1" outlineLevel="2" thickBot="1">
      <c r="B3572" s="82"/>
      <c r="C3572" s="1234"/>
      <c r="D3572" s="1234"/>
      <c r="E3572" s="84">
        <f>'Terms and Turnovers'!$AN$12</f>
        <v>0</v>
      </c>
      <c r="F3572" s="68">
        <f>F2143/1.18-F2858*'Mark Up Validation'!$M$105</f>
        <v>0</v>
      </c>
      <c r="G3572" s="728"/>
      <c r="H3572" s="68">
        <f>H2143/1.18-H2858*'Mark Up Validation'!$M$105</f>
        <v>0</v>
      </c>
      <c r="I3572" s="728"/>
      <c r="J3572" s="68">
        <f>J2143/1.18-J2858*'Mark Up Validation'!$M$105</f>
        <v>0</v>
      </c>
      <c r="K3572" s="728"/>
      <c r="L3572" s="68">
        <f>L2143/1.18-L2858*'Mark Up Validation'!$M$105</f>
        <v>0</v>
      </c>
      <c r="M3572" s="728"/>
      <c r="N3572" s="68">
        <f>N2143/1.18-N2858*'Mark Up Validation'!$M$105</f>
        <v>0</v>
      </c>
      <c r="O3572" s="728"/>
      <c r="P3572" s="68">
        <f>P2143/1.18-P2858*'Mark Up Validation'!$M$105</f>
        <v>0</v>
      </c>
      <c r="Q3572" s="728"/>
      <c r="R3572" s="132">
        <f>SUM(F3572,H3572,J3572,L3572,N3572,P3572)</f>
        <v>0</v>
      </c>
      <c r="S3572" s="728"/>
      <c r="T3572" s="68">
        <f>T2143/1.18-T2858*'Mark Up Validation'!$S$105</f>
        <v>0</v>
      </c>
      <c r="U3572" s="728"/>
      <c r="V3572" s="68">
        <f>V2143/1.18-V2858*'Mark Up Validation'!$S$105</f>
        <v>0</v>
      </c>
      <c r="W3572" s="728"/>
      <c r="X3572" s="68">
        <f>X2143/1.18-X2858*'Mark Up Validation'!$S$105</f>
        <v>0</v>
      </c>
      <c r="Y3572" s="728"/>
      <c r="Z3572" s="68">
        <f>Z2143/1.18-Z2858*'Mark Up Validation'!$S$105</f>
        <v>0</v>
      </c>
      <c r="AA3572" s="728"/>
      <c r="AB3572" s="68">
        <f>AB2143/1.18-AB2858*'Mark Up Validation'!$S$105</f>
        <v>0</v>
      </c>
      <c r="AC3572" s="728"/>
      <c r="AD3572" s="68">
        <f>AD2143/1.18-AD2858*'Mark Up Validation'!$S$105</f>
        <v>0</v>
      </c>
      <c r="AE3572" s="728"/>
      <c r="AF3572" s="132">
        <f>SUM(T3572,V3572,X3572,Z3572,AB3572,AD3572)</f>
        <v>0</v>
      </c>
      <c r="AG3572" s="728"/>
      <c r="AH3572" s="133">
        <f>SUM(AF3572,R3572)</f>
        <v>0</v>
      </c>
      <c r="AI3572" s="728"/>
      <c r="AJ3572" s="65"/>
      <c r="AV3572" s="56"/>
    </row>
    <row r="3573" spans="1:48" ht="13.5" hidden="1" customHeight="1" outlineLevel="2" thickBot="1">
      <c r="B3573" s="82"/>
      <c r="C3573" s="1235"/>
      <c r="D3573" s="1235"/>
      <c r="E3573" s="85">
        <f>'Terms and Turnovers'!$AX$12</f>
        <v>0</v>
      </c>
      <c r="F3573" s="68">
        <f>F2144/1.18-F2859*'Mark Up Validation'!$M$105</f>
        <v>0</v>
      </c>
      <c r="G3573" s="106"/>
      <c r="H3573" s="68">
        <f>H2144/1.18-H2859*'Mark Up Validation'!$M$105</f>
        <v>0</v>
      </c>
      <c r="I3573" s="106"/>
      <c r="J3573" s="68">
        <f>J2144/1.18-J2859*'Mark Up Validation'!$M$105</f>
        <v>0</v>
      </c>
      <c r="K3573" s="106"/>
      <c r="L3573" s="68">
        <f>L2144/1.18-L2859*'Mark Up Validation'!$M$105</f>
        <v>0</v>
      </c>
      <c r="M3573" s="106"/>
      <c r="N3573" s="68">
        <f>N2144/1.18-N2859*'Mark Up Validation'!$M$105</f>
        <v>0</v>
      </c>
      <c r="O3573" s="106"/>
      <c r="P3573" s="68">
        <f>P2144/1.18-P2859*'Mark Up Validation'!$M$105</f>
        <v>0</v>
      </c>
      <c r="Q3573" s="107"/>
      <c r="R3573" s="135">
        <f>SUM(F3573,H3573,J3573,L3573,N3573,P3573)</f>
        <v>0</v>
      </c>
      <c r="S3573" s="107"/>
      <c r="T3573" s="68">
        <f>T2144/1.18-T2859*'Mark Up Validation'!$S$105</f>
        <v>0</v>
      </c>
      <c r="U3573" s="107"/>
      <c r="V3573" s="68">
        <f>V2144/1.18-V2859*'Mark Up Validation'!$S$105</f>
        <v>0</v>
      </c>
      <c r="W3573" s="107"/>
      <c r="X3573" s="68">
        <f>X2144/1.18-X2859*'Mark Up Validation'!$S$105</f>
        <v>0</v>
      </c>
      <c r="Y3573" s="107"/>
      <c r="Z3573" s="68">
        <f>Z2144/1.18-Z2859*'Mark Up Validation'!$S$105</f>
        <v>0</v>
      </c>
      <c r="AA3573" s="107"/>
      <c r="AB3573" s="68">
        <f>AB2144/1.18-AB2859*'Mark Up Validation'!$S$105</f>
        <v>0</v>
      </c>
      <c r="AC3573" s="107"/>
      <c r="AD3573" s="68">
        <f>AD2144/1.18-AD2859*'Mark Up Validation'!$S$105</f>
        <v>0</v>
      </c>
      <c r="AE3573" s="107"/>
      <c r="AF3573" s="135">
        <f>SUM(T3573,V3573,X3573,Z3573,AB3573,AD3573)</f>
        <v>0</v>
      </c>
      <c r="AG3573" s="107"/>
      <c r="AH3573" s="136">
        <f>SUM(AF3573,R3573)</f>
        <v>0</v>
      </c>
      <c r="AI3573" s="107"/>
      <c r="AJ3573" s="65"/>
      <c r="AV3573" s="56"/>
    </row>
    <row r="3574" spans="1:48" ht="13.5" hidden="1" customHeight="1" outlineLevel="2">
      <c r="B3574" s="82"/>
      <c r="C3574" s="425"/>
      <c r="D3574" s="425"/>
      <c r="E3574" s="634"/>
      <c r="F3574" s="635"/>
      <c r="G3574" s="428"/>
      <c r="H3574" s="635"/>
      <c r="I3574" s="428"/>
      <c r="J3574" s="635"/>
      <c r="K3574" s="636"/>
      <c r="L3574" s="635"/>
      <c r="M3574" s="636"/>
      <c r="N3574" s="635"/>
      <c r="O3574" s="636"/>
      <c r="P3574" s="635"/>
      <c r="Q3574" s="636"/>
      <c r="R3574" s="637"/>
      <c r="S3574" s="698">
        <f>SUM(R2854:R2858)/1.18-(SUM(R3569:R3573)*'Mark Up Validation'!$M$105)</f>
        <v>0</v>
      </c>
      <c r="T3574" s="635"/>
      <c r="U3574" s="636"/>
      <c r="V3574" s="635"/>
      <c r="W3574" s="636"/>
      <c r="X3574" s="635"/>
      <c r="Y3574" s="636"/>
      <c r="Z3574" s="635"/>
      <c r="AA3574" s="636"/>
      <c r="AB3574" s="635"/>
      <c r="AC3574" s="636"/>
      <c r="AD3574" s="635"/>
      <c r="AE3574" s="636"/>
      <c r="AF3574" s="637"/>
      <c r="AG3574" s="698">
        <f>SUM(AF2854:AF2858)/1.18-SUM(AF3569:AF3573)*'Mark Up Validation'!$M$175</f>
        <v>0</v>
      </c>
      <c r="AH3574" s="638"/>
      <c r="AI3574" s="698">
        <f>SUM(AH2854:AH2858)/1.18-SUM(AH3569:AH3573)*'Mark Up Validation'!$M$175</f>
        <v>0</v>
      </c>
      <c r="AJ3574" s="65"/>
      <c r="AV3574" s="56"/>
    </row>
    <row r="3575" spans="1:48" ht="13.5" hidden="1" customHeight="1" outlineLevel="2" thickBot="1">
      <c r="A3575" s="119"/>
      <c r="B3575" s="82"/>
      <c r="C3575" s="1228" t="s">
        <v>539</v>
      </c>
      <c r="D3575" s="1229"/>
      <c r="E3575" s="699"/>
      <c r="F3575" s="700">
        <f>SUM(F3569:F3573)</f>
        <v>0</v>
      </c>
      <c r="G3575" s="701"/>
      <c r="H3575" s="700">
        <f>SUM(H3569:H3573)</f>
        <v>0</v>
      </c>
      <c r="I3575" s="701"/>
      <c r="J3575" s="700">
        <f>SUM(J3569:J3573)</f>
        <v>0</v>
      </c>
      <c r="K3575" s="702"/>
      <c r="L3575" s="700">
        <f>SUM(L3569:L3573)</f>
        <v>0</v>
      </c>
      <c r="M3575" s="702"/>
      <c r="N3575" s="700">
        <f>SUM(N3569:N3573)</f>
        <v>0</v>
      </c>
      <c r="O3575" s="702"/>
      <c r="P3575" s="700">
        <f>SUM(P3569:P3573)</f>
        <v>0</v>
      </c>
      <c r="Q3575" s="702"/>
      <c r="R3575" s="703"/>
      <c r="S3575" s="729">
        <f>IF(S3574&gt;0,S3574/(SUM(R2854:R2858)/1.18),0)</f>
        <v>0</v>
      </c>
      <c r="T3575" s="700">
        <f>SUM(T3569:T3573)</f>
        <v>0</v>
      </c>
      <c r="U3575" s="702"/>
      <c r="V3575" s="700">
        <f>SUM(V3569:V3573)</f>
        <v>0</v>
      </c>
      <c r="W3575" s="702"/>
      <c r="X3575" s="700">
        <f>SUM(X3569:X3573)</f>
        <v>0</v>
      </c>
      <c r="Y3575" s="702"/>
      <c r="Z3575" s="700">
        <f>SUM(Z3569:Z3573)</f>
        <v>0</v>
      </c>
      <c r="AA3575" s="702"/>
      <c r="AB3575" s="700">
        <f>SUM(AB3569:AB3573)</f>
        <v>0</v>
      </c>
      <c r="AC3575" s="702"/>
      <c r="AD3575" s="700">
        <f>SUM(AD3569:AD3573)</f>
        <v>0</v>
      </c>
      <c r="AE3575" s="702"/>
      <c r="AF3575" s="705"/>
      <c r="AG3575" s="729">
        <f>IF(AG3574&gt;0,AG3574/(SUM(AF2854:AF2858)/1.18),0)</f>
        <v>0</v>
      </c>
      <c r="AH3575" s="706"/>
      <c r="AI3575" s="729">
        <f>IF(AI3574&gt;0,AI3574/(SUM(AH2854:AH2858)/1.18),0)</f>
        <v>0</v>
      </c>
      <c r="AJ3575" s="707"/>
      <c r="AV3575" s="56"/>
    </row>
    <row r="3576" spans="1:48" ht="12.75" hidden="1" customHeight="1" outlineLevel="1">
      <c r="B3576" s="82"/>
      <c r="C3576" s="1230" t="s">
        <v>46</v>
      </c>
      <c r="D3576" s="1230" t="s">
        <v>171</v>
      </c>
      <c r="E3576" s="83" t="str">
        <f>'Terms and Turnovers'!$J$12</f>
        <v>FLIP-FLOPS</v>
      </c>
      <c r="F3576" s="108">
        <f>SUM(F2876,F2883,F2890,F2897,F2904,F2911,F2918,F2925,F2932,F2939,F2946,F2953,F2960,F2967,F2974,F2981,F2988,F2995,F3002,F3009,F3016,F3023,F3030,F3037,F3044,F3051,F3058,F3065,F3072)+SUM(F3079,F3086,F3093,F3100,F3107,F3114,F3121,F3128,F3135,F3142,F3149,F3156,F3163,F3170,F3177,F3184,F3191,F3198,F3205,F3212,F3219,F3226,F3233,F3240,F3247,F3254,F3261,F3268,F3275)+SUM(F3282,F3289,F3296,F3303,F3310,F3317,F3324,F3331,F3338,F3345,F3352,F3359,F3366,F3373,F3380,F3387,F3394,F3401,F3408,F3415,F3422,F3429,F3436,F3443,F3450,F3457,F3464,F3471,F3478,F3485)+SUM(F3492,F3499,F3506,F3513,F3520,F3527,F3534,F3541,F3548,F3555,F3562,F3569)</f>
        <v>0</v>
      </c>
      <c r="G3576" s="112" t="e">
        <f>F2861/F3576</f>
        <v>#DIV/0!</v>
      </c>
      <c r="H3576" s="108">
        <f>SUM(H2876,H2883,H2890,H2897,H2904,H2911,H2918,H2925,H2932,H2939,H2946,H2953,H2960,H2967,H2974,H2981,H2988,H2995,H3002,H3009,H3016,H3023,H3030,H3037,H3044,H3051,H3058,H3065,H3072)+SUM(H3079,H3086,H3093,H3100,H3107,H3114,H3121,H3128,H3135,H3142,H3149,H3156,H3163,H3170,H3177,H3184,H3191,H3198,H3205,H3212,H3219,H3226,H3233,H3240,H3247,H3254,H3261,H3268,H3275)+SUM(H3282,H3289,H3296,H3303,H3310,H3317,H3324,H3331,H3338,H3345,H3352,H3359,H3366,H3373,H3380,H3387,H3394,H3401,H3408,H3415,H3422,H3429,H3436,H3443,H3450,H3457,H3464,H3471,H3478,H3485)+SUM(H3492,H3499,H3506,H3513,H3520,H3527,H3534,H3541,H3548,H3555,H3562,H3569)</f>
        <v>0</v>
      </c>
      <c r="I3576" s="112" t="e">
        <f>H2861/H3576</f>
        <v>#DIV/0!</v>
      </c>
      <c r="J3576" s="108">
        <f>SUM(J2876,J2883,J2890,J2897,J2904,J2911,J2918,J2925,J2932,J2939,J2946,J2953,J2960,J2967,J2974,J2981,J2988,J2995,J3002,J3009,J3016,J3023,J3030,J3037,J3044,J3051,J3058,J3065,J3072)+SUM(J3079,J3086,J3093,J3100,J3107,J3114,J3121,J3128,J3135,J3142,J3149,J3156,J3163,J3170,J3177,J3184,J3191,J3198,J3205,J3212,J3219,J3226,J3233,J3240,J3247,J3254,J3261,J3268,J3275)+SUM(J3282,J3289,J3296,J3303,J3310,J3317,J3324,J3331,J3338,J3345,J3352,J3359,J3366,J3373,J3380,J3387,J3394,J3401,J3408,J3415,J3422,J3429,J3436,J3443,J3450,J3457,J3464,J3471,J3478,J3485)+SUM(J3492,J3499,J3506,J3513,J3520,J3527,J3534,J3541,J3548,J3555,J3562,J3569)</f>
        <v>0</v>
      </c>
      <c r="K3576" s="112" t="e">
        <f>J2861/J3576</f>
        <v>#DIV/0!</v>
      </c>
      <c r="L3576" s="108">
        <f>SUM(L2876,L2883,L2890,L2897,L2904,L2911,L2918,L2925,L2932,L2939,L2946,L2953,L2960,L2967,L2974,L2981,L2988,L2995,L3002,L3009,L3016,L3023,L3030,L3037,L3044,L3051,L3058,L3065,L3072)+SUM(L3079,L3086,L3093,L3100,L3107,L3114,L3121,L3128,L3135,L3142,L3149,L3156,L3163,L3170,L3177,L3184,L3191,L3198,L3205,L3212,L3219,L3226,L3233,L3240,L3247,L3254,L3261,L3268,L3275)+SUM(L3282,L3289,L3296,L3303,L3310,L3317,L3324,L3331,L3338,L3345,L3352,L3359,L3366,L3373,L3380,L3387,L3394,L3401,L3408,L3415,L3422,L3429,L3436,L3443,L3450,L3457,L3464,L3471,L3478,L3485)+SUM(L3492,L3499,L3506,L3513,L3520,L3527,L3534,L3541,L3548,L3555,L3562,L3569)</f>
        <v>0</v>
      </c>
      <c r="M3576" s="112" t="e">
        <f>L2861/L3576</f>
        <v>#DIV/0!</v>
      </c>
      <c r="N3576" s="108">
        <f>SUM(N2876,N2883,N2890,N2897,N2904,N2911,N2918,N2925,N2932,N2939,N2946,N2953,N2960,N2967,N2974,N2981,N2988,N2995,N3002,N3009,N3016,N3023,N3030,N3037,N3044,N3051,N3058,N3065,N3072)+SUM(N3079,N3086,N3093,N3100,N3107,N3114,N3121,N3128,N3135,N3142,N3149,N3156,N3163,N3170,N3177,N3184,N3191,N3198,N3205,N3212,N3219,N3226,N3233,N3240,N3247,N3254,N3261,N3268,N3275)+SUM(N3282,N3289,N3296,N3303,N3310,N3317,N3324,N3331,N3338,N3345,N3352,N3359,N3366,N3373,N3380,N3387,N3394,N3401,N3408,N3415,N3422,N3429,N3436,N3443,N3450,N3457,N3464,N3471,N3478,N3485)+SUM(N3492,N3499,N3506,N3513,N3520,N3527,N3534,N3541,N3548,N3555,N3562,N3569)</f>
        <v>0</v>
      </c>
      <c r="O3576" s="112" t="e">
        <f>N2861/N3576</f>
        <v>#DIV/0!</v>
      </c>
      <c r="P3576" s="108">
        <f>SUM(P2876,P2883,P2890,P2897,P2904,P2911,P2918,P2925,P2932,P2939,P2946,P2953,P2960,P2967,P2974,P2981,P2988,P2995,P3002,P3009,P3016,P3023,P3030,P3037,P3044,P3051,P3058,P3065,P3072)+SUM(P3079,P3086,P3093,P3100,P3107,P3114,P3121,P3128,P3135,P3142,P3149,P3156,P3163,P3170,P3177,P3184,P3191,P3198,P3205,P3212,P3219,P3226,P3233,P3240,P3247,P3254,P3261,P3268,P3275)+SUM(P3282,P3289,P3296,P3303,P3310,P3317,P3324,P3331,P3338,P3345,P3352,P3359,P3366,P3373,P3380,P3387,P3394,P3401,P3408,P3415,P3422,P3429,P3436,P3443,P3450,P3457,P3464,P3471,P3478,P3485)+SUM(P3492,P3499,P3506,P3513,P3520,P3527,P3534,P3541,P3548,P3555,P3562,P3569)</f>
        <v>0</v>
      </c>
      <c r="Q3576" s="112" t="e">
        <f>P2861/P3576</f>
        <v>#DIV/0!</v>
      </c>
      <c r="R3576" s="129">
        <f>SUM(F3576,H3576,J3576,L3576,N3576,P3576)</f>
        <v>0</v>
      </c>
      <c r="S3576" s="106"/>
      <c r="T3576" s="108">
        <f>SUM(T2876,T2883,T2890,T2897,T2904,T2911,T2918,T2925,T2932,T2939,T2946,T2953,T2960,T2967,T2974,T2981,T2988,T2995,T3002,T3009,T3016,T3023,T3030,T3037,T3044,T3051,T3058,T3065,T3072)+SUM(T3079,T3086,T3093,T3100,T3107,T3114,T3121,T3128,T3135,T3142,T3149,T3156,T3163,T3170,T3177,T3184,T3191,T3198,T3205,T3212,T3219,T3226,T3233,T3240,T3247,T3254,T3261,T3268,T3275)+SUM(T3282,T3289,T3296,T3303,T3310,T3317,T3324,T3331,T3338,T3345,T3352,T3359,T3366,T3373,T3380,T3387,T3394,T3401,T3408,T3415,T3422,T3429,T3436,T3443,T3450,T3457,T3464,T3471,T3478,T3485)+SUM(T3492,T3499,T3506,T3513,T3520,T3527,T3534,T3541,T3548,T3555,T3562,T3569)</f>
        <v>0</v>
      </c>
      <c r="U3576" s="112" t="e">
        <f>T2861/T3576</f>
        <v>#DIV/0!</v>
      </c>
      <c r="V3576" s="108">
        <f>SUM(V2876,V2883,V2890,V2897,V2904,V2911,V2918,V2925,V2932,V2939,V2946,V2953,V2960,V2967,V2974,V2981,V2988,V2995,V3002,V3009,V3016,V3023,V3030,V3037,V3044,V3051,V3058,V3065,V3072)+SUM(V3079,V3086,V3093,V3100,V3107,V3114,V3121,V3128,V3135,V3142,V3149,V3156,V3163,V3170,V3177,V3184,V3191,V3198,V3205,V3212,V3219,V3226,V3233,V3240,V3247,V3254,V3261,V3268,V3275)+SUM(V3282,V3289,V3296,V3303,V3310,V3317,V3324,V3331,V3338,V3345,V3352,V3359,V3366,V3373,V3380,V3387,V3394,V3401,V3408,V3415,V3422,V3429,V3436,V3443,V3450,V3457,V3464,V3471,V3478,V3485)+SUM(V3492,V3499,V3506,V3513,V3520,V3527,V3534,V3541,V3548,V3555,V3562,V3569)</f>
        <v>0</v>
      </c>
      <c r="W3576" s="112" t="e">
        <f>V2861/V3576</f>
        <v>#DIV/0!</v>
      </c>
      <c r="X3576" s="108">
        <f>SUM(X2876,X2883,X2890,X2897,X2904,X2911,X2918,X2925,X2932,X2939,X2946,X2953,X2960,X2967,X2974,X2981,X2988,X2995,X3002,X3009,X3016,X3023,X3030,X3037,X3044,X3051,X3058,X3065,X3072)+SUM(X3079,X3086,X3093,X3100,X3107,X3114,X3121,X3128,X3135,X3142,X3149,X3156,X3163,X3170,X3177,X3184,X3191,X3198,X3205,X3212,X3219,X3226,X3233,X3240,X3247,X3254,X3261,X3268,X3275)+SUM(X3282,X3289,X3296,X3303,X3310,X3317,X3324,X3331,X3338,X3345,X3352,X3359,X3366,X3373,X3380,X3387,X3394,X3401,X3408,X3415,X3422,X3429,X3436,X3443,X3450,X3457,X3464,X3471,X3478,X3485)+SUM(X3492,X3499,X3506,X3513,X3520,X3527,X3534,X3541,X3548,X3555,X3562,X3569)</f>
        <v>23252.542372881355</v>
      </c>
      <c r="Y3576" s="112">
        <f>X2861/X3576</f>
        <v>0</v>
      </c>
      <c r="Z3576" s="108">
        <f>SUM(Z2876,Z2883,Z2890,Z2897,Z2904,Z2911,Z2918,Z2925,Z2932,Z2939,Z2946,Z2953,Z2960,Z2967,Z2974,Z2981,Z2988,Z2995,Z3002,Z3009,Z3016,Z3023,Z3030,Z3037,Z3044,Z3051,Z3058,Z3065,Z3072)+SUM(Z3079,Z3086,Z3093,Z3100,Z3107,Z3114,Z3121,Z3128,Z3135,Z3142,Z3149,Z3156,Z3163,Z3170,Z3177,Z3184,Z3191,Z3198,Z3205,Z3212,Z3219,Z3226,Z3233,Z3240,Z3247,Z3254,Z3261,Z3268,Z3275)+SUM(Z3282,Z3289,Z3296,Z3303,Z3310,Z3317,Z3324,Z3331,Z3338,Z3345,Z3352,Z3359,Z3366,Z3373,Z3380,Z3387,Z3394,Z3401,Z3408,Z3415,Z3422,Z3429,Z3436,Z3443,Z3450,Z3457,Z3464,Z3471,Z3478,Z3485)+SUM(Z3492,Z3499,Z3506,Z3513,Z3520,Z3527,Z3534,Z3541,Z3548,Z3555,Z3562,Z3569)</f>
        <v>0</v>
      </c>
      <c r="AA3576" s="112" t="e">
        <f>Z2861/Z3576</f>
        <v>#DIV/0!</v>
      </c>
      <c r="AB3576" s="108">
        <f>SUM(AB2876,AB2883,AB2890,AB2897,AB2904,AB2911,AB2918,AB2925,AB2932,AB2939,AB2946,AB2953,AB2960,AB2967,AB2974,AB2981,AB2988,AB2995,AB3002,AB3009,AB3016,AB3023,AB3030,AB3037,AB3044,AB3051,AB3058,AB3065,AB3072)+SUM(AB3079,AB3086,AB3093,AB3100,AB3107,AB3114,AB3121,AB3128,AB3135,AB3142,AB3149,AB3156,AB3163,AB3170,AB3177,AB3184,AB3191,AB3198,AB3205,AB3212,AB3219,AB3226,AB3233,AB3240,AB3247,AB3254,AB3261,AB3268,AB3275)+SUM(AB3282,AB3289,AB3296,AB3303,AB3310,AB3317,AB3324,AB3331,AB3338,AB3345,AB3352,AB3359,AB3366,AB3373,AB3380,AB3387,AB3394,AB3401,AB3408,AB3415,AB3422,AB3429,AB3436,AB3443,AB3450,AB3457,AB3464,AB3471,AB3478,AB3485)+SUM(AB3492,AB3499,AB3506,AB3513,AB3520,AB3527,AB3534,AB3541,AB3548,AB3555,AB3562,AB3569)</f>
        <v>0</v>
      </c>
      <c r="AC3576" s="112" t="e">
        <f>AB2861/AB3576</f>
        <v>#DIV/0!</v>
      </c>
      <c r="AD3576" s="108">
        <f>SUM(AD2876,AD2883,AD2890,AD2897,AD2904,AD2911,AD2918,AD2925,AD2932,AD2939,AD2946,AD2953,AD2960,AD2967,AD2974,AD2981,AD2988,AD2995,AD3002,AD3009,AD3016,AD3023,AD3030,AD3037,AD3044,AD3051,AD3058,AD3065,AD3072)+SUM(AD3079,AD3086,AD3093,AD3100,AD3107,AD3114,AD3121,AD3128,AD3135,AD3142,AD3149,AD3156,AD3163,AD3170,AD3177,AD3184,AD3191,AD3198,AD3205,AD3212,AD3219,AD3226,AD3233,AD3240,AD3247,AD3254,AD3261,AD3268,AD3275)+SUM(AD3282,AD3289,AD3296,AD3303,AD3310,AD3317,AD3324,AD3331,AD3338,AD3345,AD3352,AD3359,AD3366,AD3373,AD3380,AD3387,AD3394,AD3401,AD3408,AD3415,AD3422,AD3429,AD3436,AD3443,AD3450,AD3457,AD3464,AD3471,AD3478,AD3485)+SUM(AD3492,AD3499,AD3506,AD3513,AD3520,AD3527,AD3534,AD3541,AD3548,AD3555,AD3562,AD3569)</f>
        <v>0</v>
      </c>
      <c r="AE3576" s="112" t="e">
        <f>AD2861/AD3576</f>
        <v>#DIV/0!</v>
      </c>
      <c r="AF3576" s="129">
        <f>SUM(T3576,V3576,X3576,Z3576,AB3576,AD3576)</f>
        <v>23252.542372881355</v>
      </c>
      <c r="AG3576" s="106"/>
      <c r="AH3576" s="130">
        <f>SUM(AF3576,R3576)</f>
        <v>23252.542372881355</v>
      </c>
      <c r="AI3576" s="106"/>
      <c r="AJ3576" s="65"/>
      <c r="AL3576" s="445"/>
    </row>
    <row r="3577" spans="1:48" ht="12.75" hidden="1" customHeight="1" outlineLevel="1">
      <c r="B3577" s="82"/>
      <c r="C3577" s="1231"/>
      <c r="D3577" s="1231"/>
      <c r="E3577" s="84" t="str">
        <f>'Terms and Turnovers'!$T$12</f>
        <v>ORIGINALS</v>
      </c>
      <c r="F3577" s="108">
        <f>SUM(F2877,F2884,F2891,F2898,F2905,F2912,F2919,F2926,F2933,F2940,F2947,F2954,F2961,F2968,F2975,F2982,F2989,F2996,F3003,F3010,F3017,F3024,F3031,F3038,F3045,F3052,F3059,F3066,F3073)+SUM(F3080,F3087,F3094,F3101,F3108,F3115,F3122,F3129,F3136,F3143,F3150,F3157,F3164,F3171,F3178,F3185,F3192,F3199,F3206,F3213,F3220,F3227,F3234,F3241,F3248,F3255,F3262,F3269,F3276)+SUM(F3283,F3290,F3297,F3304,F3311,F3318,F3325,F3332,F3339,F3346,F3353,F3360,F3367,F3374,F3381,F3388,F3395,F3402,F3409,F3416,F3423,F3430,F3437,F3444,F3451,F3458,F3465,F3472,F3479,F3486)+SUM(F3493,F3500,F3507,F3514,F3521,F3528,F3535,F3542,F3549,F3556,F3563,F3570)</f>
        <v>0</v>
      </c>
      <c r="G3577" s="113" t="e">
        <f>F2862/F3577</f>
        <v>#DIV/0!</v>
      </c>
      <c r="H3577" s="108">
        <f>SUM(H2877,H2884,H2891,H2898,H2905,H2912,H2919,H2926,H2933,H2940,H2947,H2954,H2961,H2968,H2975,H2982,H2989,H2996,H3003,H3010,H3017,H3024,H3031,H3038,H3045,H3052,H3059,H3066,H3073)+SUM(H3080,H3087,H3094,H3101,H3108,H3115,H3122,H3129,H3136,H3143,H3150,H3157,H3164,H3171,H3178,H3185,H3192,H3199,H3206,H3213,H3220,H3227,H3234,H3241,H3248,H3255,H3262,H3269,H3276)+SUM(H3283,H3290,H3297,H3304,H3311,H3318,H3325,H3332,H3339,H3346,H3353,H3360,H3367,H3374,H3381,H3388,H3395,H3402,H3409,H3416,H3423,H3430,H3437,H3444,H3451,H3458,H3465,H3472,H3479,H3486)+SUM(H3493,H3500,H3507,H3514,H3521,H3528,H3535,H3542,H3549,H3556,H3563,H3570)</f>
        <v>0</v>
      </c>
      <c r="I3577" s="113" t="e">
        <f>H2862/H3577</f>
        <v>#DIV/0!</v>
      </c>
      <c r="J3577" s="108">
        <f>SUM(J2877,J2884,J2891,J2898,J2905,J2912,J2919,J2926,J2933,J2940,J2947,J2954,J2961,J2968,J2975,J2982,J2989,J2996,J3003,J3010,J3017,J3024,J3031,J3038,J3045,J3052,J3059,J3066,J3073)+SUM(J3080,J3087,J3094,J3101,J3108,J3115,J3122,J3129,J3136,J3143,J3150,J3157,J3164,J3171,J3178,J3185,J3192,J3199,J3206,J3213,J3220,J3227,J3234,J3241,J3248,J3255,J3262,J3269,J3276)+SUM(J3283,J3290,J3297,J3304,J3311,J3318,J3325,J3332,J3339,J3346,J3353,J3360,J3367,J3374,J3381,J3388,J3395,J3402,J3409,J3416,J3423,J3430,J3437,J3444,J3451,J3458,J3465,J3472,J3479,J3486)+SUM(J3493,J3500,J3507,J3514,J3521,J3528,J3535,J3542,J3549,J3556,J3563,J3570)</f>
        <v>0</v>
      </c>
      <c r="K3577" s="113" t="e">
        <f>J2862/J3577</f>
        <v>#DIV/0!</v>
      </c>
      <c r="L3577" s="108">
        <f>SUM(L2877,L2884,L2891,L2898,L2905,L2912,L2919,L2926,L2933,L2940,L2947,L2954,L2961,L2968,L2975,L2982,L2989,L2996,L3003,L3010,L3017,L3024,L3031,L3038,L3045,L3052,L3059,L3066,L3073)+SUM(L3080,L3087,L3094,L3101,L3108,L3115,L3122,L3129,L3136,L3143,L3150,L3157,L3164,L3171,L3178,L3185,L3192,L3199,L3206,L3213,L3220,L3227,L3234,L3241,L3248,L3255,L3262,L3269,L3276)+SUM(L3283,L3290,L3297,L3304,L3311,L3318,L3325,L3332,L3339,L3346,L3353,L3360,L3367,L3374,L3381,L3388,L3395,L3402,L3409,L3416,L3423,L3430,L3437,L3444,L3451,L3458,L3465,L3472,L3479,L3486)+SUM(L3493,L3500,L3507,L3514,L3521,L3528,L3535,L3542,L3549,L3556,L3563,L3570)</f>
        <v>0</v>
      </c>
      <c r="M3577" s="113" t="e">
        <f>L2862/L3577</f>
        <v>#DIV/0!</v>
      </c>
      <c r="N3577" s="108">
        <f>SUM(N2877,N2884,N2891,N2898,N2905,N2912,N2919,N2926,N2933,N2940,N2947,N2954,N2961,N2968,N2975,N2982,N2989,N2996,N3003,N3010,N3017,N3024,N3031,N3038,N3045,N3052,N3059,N3066,N3073)+SUM(N3080,N3087,N3094,N3101,N3108,N3115,N3122,N3129,N3136,N3143,N3150,N3157,N3164,N3171,N3178,N3185,N3192,N3199,N3206,N3213,N3220,N3227,N3234,N3241,N3248,N3255,N3262,N3269,N3276)+SUM(N3283,N3290,N3297,N3304,N3311,N3318,N3325,N3332,N3339,N3346,N3353,N3360,N3367,N3374,N3381,N3388,N3395,N3402,N3409,N3416,N3423,N3430,N3437,N3444,N3451,N3458,N3465,N3472,N3479,N3486)+SUM(N3493,N3500,N3507,N3514,N3521,N3528,N3535,N3542,N3549,N3556,N3563,N3570)</f>
        <v>0</v>
      </c>
      <c r="O3577" s="113" t="e">
        <f>N2862/N3577</f>
        <v>#DIV/0!</v>
      </c>
      <c r="P3577" s="108">
        <f>SUM(P2877,P2884,P2891,P2898,P2905,P2912,P2919,P2926,P2933,P2940,P2947,P2954,P2961,P2968,P2975,P2982,P2989,P2996,P3003,P3010,P3017,P3024,P3031,P3038,P3045,P3052,P3059,P3066,P3073)+SUM(P3080,P3087,P3094,P3101,P3108,P3115,P3122,P3129,P3136,P3143,P3150,P3157,P3164,P3171,P3178,P3185,P3192,P3199,P3206,P3213,P3220,P3227,P3234,P3241,P3248,P3255,P3262,P3269,P3276)+SUM(P3283,P3290,P3297,P3304,P3311,P3318,P3325,P3332,P3339,P3346,P3353,P3360,P3367,P3374,P3381,P3388,P3395,P3402,P3409,P3416,P3423,P3430,P3437,P3444,P3451,P3458,P3465,P3472,P3479,P3486)+SUM(P3493,P3500,P3507,P3514,P3521,P3528,P3535,P3542,P3549,P3556,P3563,P3570)</f>
        <v>0</v>
      </c>
      <c r="Q3577" s="113" t="e">
        <f>P2862/P3577</f>
        <v>#DIV/0!</v>
      </c>
      <c r="R3577" s="132">
        <f>SUM(F3577,H3577,J3577,L3577,N3577,P3577)</f>
        <v>0</v>
      </c>
      <c r="S3577" s="728"/>
      <c r="T3577" s="108">
        <f>SUM(T2877,T2884,T2891,T2898,T2905,T2912,T2919,T2926,T2933,T2940,T2947,T2954,T2961,T2968,T2975,T2982,T2989,T2996,T3003,T3010,T3017,T3024,T3031,T3038,T3045,T3052,T3059,T3066,T3073)+SUM(T3080,T3087,T3094,T3101,T3108,T3115,T3122,T3129,T3136,T3143,T3150,T3157,T3164,T3171,T3178,T3185,T3192,T3199,T3206,T3213,T3220,T3227,T3234,T3241,T3248,T3255,T3262,T3269,T3276)+SUM(T3283,T3290,T3297,T3304,T3311,T3318,T3325,T3332,T3339,T3346,T3353,T3360,T3367,T3374,T3381,T3388,T3395,T3402,T3409,T3416,T3423,T3430,T3437,T3444,T3451,T3458,T3465,T3472,T3479,T3486)+SUM(T3493,T3500,T3507,T3514,T3521,T3528,T3535,T3542,T3549,T3556,T3563,T3570)</f>
        <v>0</v>
      </c>
      <c r="U3577" s="113" t="e">
        <f>T2862/T3577</f>
        <v>#DIV/0!</v>
      </c>
      <c r="V3577" s="108">
        <f>SUM(V2877,V2884,V2891,V2898,V2905,V2912,V2919,V2926,V2933,V2940,V2947,V2954,V2961,V2968,V2975,V2982,V2989,V2996,V3003,V3010,V3017,V3024,V3031,V3038,V3045,V3052,V3059,V3066,V3073)+SUM(V3080,V3087,V3094,V3101,V3108,V3115,V3122,V3129,V3136,V3143,V3150,V3157,V3164,V3171,V3178,V3185,V3192,V3199,V3206,V3213,V3220,V3227,V3234,V3241,V3248,V3255,V3262,V3269,V3276)+SUM(V3283,V3290,V3297,V3304,V3311,V3318,V3325,V3332,V3339,V3346,V3353,V3360,V3367,V3374,V3381,V3388,V3395,V3402,V3409,V3416,V3423,V3430,V3437,V3444,V3451,V3458,V3465,V3472,V3479,V3486)+SUM(V3493,V3500,V3507,V3514,V3521,V3528,V3535,V3542,V3549,V3556,V3563,V3570)</f>
        <v>0</v>
      </c>
      <c r="W3577" s="113" t="e">
        <f>V2862/V3577</f>
        <v>#DIV/0!</v>
      </c>
      <c r="X3577" s="108">
        <f>SUM(X2877,X2884,X2891,X2898,X2905,X2912,X2919,X2926,X2933,X2940,X2947,X2954,X2961,X2968,X2975,X2982,X2989,X2996,X3003,X3010,X3017,X3024,X3031,X3038,X3045,X3052,X3059,X3066,X3073)+SUM(X3080,X3087,X3094,X3101,X3108,X3115,X3122,X3129,X3136,X3143,X3150,X3157,X3164,X3171,X3178,X3185,X3192,X3199,X3206,X3213,X3220,X3227,X3234,X3241,X3248,X3255,X3262,X3269,X3276)+SUM(X3283,X3290,X3297,X3304,X3311,X3318,X3325,X3332,X3339,X3346,X3353,X3360,X3367,X3374,X3381,X3388,X3395,X3402,X3409,X3416,X3423,X3430,X3437,X3444,X3451,X3458,X3465,X3472,X3479,X3486)+SUM(X3493,X3500,X3507,X3514,X3521,X3528,X3535,X3542,X3549,X3556,X3563,X3570)</f>
        <v>0</v>
      </c>
      <c r="Y3577" s="113" t="e">
        <f>X2862/X3577</f>
        <v>#DIV/0!</v>
      </c>
      <c r="Z3577" s="108">
        <f>SUM(Z2877,Z2884,Z2891,Z2898,Z2905,Z2912,Z2919,Z2926,Z2933,Z2940,Z2947,Z2954,Z2961,Z2968,Z2975,Z2982,Z2989,Z2996,Z3003,Z3010,Z3017,Z3024,Z3031,Z3038,Z3045,Z3052,Z3059,Z3066,Z3073)+SUM(Z3080,Z3087,Z3094,Z3101,Z3108,Z3115,Z3122,Z3129,Z3136,Z3143,Z3150,Z3157,Z3164,Z3171,Z3178,Z3185,Z3192,Z3199,Z3206,Z3213,Z3220,Z3227,Z3234,Z3241,Z3248,Z3255,Z3262,Z3269,Z3276)+SUM(Z3283,Z3290,Z3297,Z3304,Z3311,Z3318,Z3325,Z3332,Z3339,Z3346,Z3353,Z3360,Z3367,Z3374,Z3381,Z3388,Z3395,Z3402,Z3409,Z3416,Z3423,Z3430,Z3437,Z3444,Z3451,Z3458,Z3465,Z3472,Z3479,Z3486)+SUM(Z3493,Z3500,Z3507,Z3514,Z3521,Z3528,Z3535,Z3542,Z3549,Z3556,Z3563,Z3570)</f>
        <v>0</v>
      </c>
      <c r="AA3577" s="113" t="e">
        <f>Z2862/Z3577</f>
        <v>#DIV/0!</v>
      </c>
      <c r="AB3577" s="108">
        <f>SUM(AB2877,AB2884,AB2891,AB2898,AB2905,AB2912,AB2919,AB2926,AB2933,AB2940,AB2947,AB2954,AB2961,AB2968,AB2975,AB2982,AB2989,AB2996,AB3003,AB3010,AB3017,AB3024,AB3031,AB3038,AB3045,AB3052,AB3059,AB3066,AB3073)+SUM(AB3080,AB3087,AB3094,AB3101,AB3108,AB3115,AB3122,AB3129,AB3136,AB3143,AB3150,AB3157,AB3164,AB3171,AB3178,AB3185,AB3192,AB3199,AB3206,AB3213,AB3220,AB3227,AB3234,AB3241,AB3248,AB3255,AB3262,AB3269,AB3276)+SUM(AB3283,AB3290,AB3297,AB3304,AB3311,AB3318,AB3325,AB3332,AB3339,AB3346,AB3353,AB3360,AB3367,AB3374,AB3381,AB3388,AB3395,AB3402,AB3409,AB3416,AB3423,AB3430,AB3437,AB3444,AB3451,AB3458,AB3465,AB3472,AB3479,AB3486)+SUM(AB3493,AB3500,AB3507,AB3514,AB3521,AB3528,AB3535,AB3542,AB3549,AB3556,AB3563,AB3570)</f>
        <v>0</v>
      </c>
      <c r="AC3577" s="113" t="e">
        <f>AB2862/AB3577</f>
        <v>#DIV/0!</v>
      </c>
      <c r="AD3577" s="108">
        <f>SUM(AD2877,AD2884,AD2891,AD2898,AD2905,AD2912,AD2919,AD2926,AD2933,AD2940,AD2947,AD2954,AD2961,AD2968,AD2975,AD2982,AD2989,AD2996,AD3003,AD3010,AD3017,AD3024,AD3031,AD3038,AD3045,AD3052,AD3059,AD3066,AD3073)+SUM(AD3080,AD3087,AD3094,AD3101,AD3108,AD3115,AD3122,AD3129,AD3136,AD3143,AD3150,AD3157,AD3164,AD3171,AD3178,AD3185,AD3192,AD3199,AD3206,AD3213,AD3220,AD3227,AD3234,AD3241,AD3248,AD3255,AD3262,AD3269,AD3276)+SUM(AD3283,AD3290,AD3297,AD3304,AD3311,AD3318,AD3325,AD3332,AD3339,AD3346,AD3353,AD3360,AD3367,AD3374,AD3381,AD3388,AD3395,AD3402,AD3409,AD3416,AD3423,AD3430,AD3437,AD3444,AD3451,AD3458,AD3465,AD3472,AD3479,AD3486)+SUM(AD3493,AD3500,AD3507,AD3514,AD3521,AD3528,AD3535,AD3542,AD3549,AD3556,AD3563,AD3570)</f>
        <v>0</v>
      </c>
      <c r="AE3577" s="113" t="e">
        <f>AD2862/AD3577</f>
        <v>#DIV/0!</v>
      </c>
      <c r="AF3577" s="132">
        <f>SUM(T3577,V3577,X3577,Z3577,AB3577,AD3577)</f>
        <v>0</v>
      </c>
      <c r="AG3577" s="728"/>
      <c r="AH3577" s="133">
        <f>SUM(AF3577,R3577)</f>
        <v>0</v>
      </c>
      <c r="AI3577" s="728"/>
      <c r="AJ3577" s="65"/>
    </row>
    <row r="3578" spans="1:48" ht="12.75" hidden="1" customHeight="1" outlineLevel="1">
      <c r="B3578" s="82"/>
      <c r="C3578" s="1231"/>
      <c r="D3578" s="1231"/>
      <c r="E3578" s="84" t="str">
        <f>'Terms and Turnovers'!$AD$12</f>
        <v>ACCESSORIES</v>
      </c>
      <c r="F3578" s="108">
        <f>SUM(F2878,F2885,F2892,F2899,F2906,F2913,F2920,F2927,F2934,F2941,F2948,F2955,F2962,F2969,F2976,F2983,F2990,F2997,F3004,F3011,F3018,F3025,F3032,F3039,F3046,F3053,F3060,F3067,F3074)+SUM(F3081,F3088,F3095,F3102,F3109,F3116,F3123,F3130,F3137,F3144,F3151,F3158,F3165,F3172,F3179,F3186,F3193,F3200,F3207,F3214,F3221,F3228,F3235,F3242,F3249,F3256,F3263,F3270,F3277)+SUM(F3284,F3291,F3298,F3305,F3312,F3319,F3326,F3333,F3340,F3347,F3354,F3361,F3368,F3375,F3382,F3389,F3396,F3403,F3410,F3417,F3424,F3431,F3438,F3445,F3452,F3459,F3466,F3473,F3480,F3487)+SUM(F3494,F3501,F3508,F3515,F3522,F3529,F3536,F3543,F3550,F3557,F3564,F3571)</f>
        <v>0</v>
      </c>
      <c r="G3578" s="113" t="e">
        <f>F2863/F3578</f>
        <v>#DIV/0!</v>
      </c>
      <c r="H3578" s="108">
        <f>SUM(H2878,H2885,H2892,H2899,H2906,H2913,H2920,H2927,H2934,H2941,H2948,H2955,H2962,H2969,H2976,H2983,H2990,H2997,H3004,H3011,H3018,H3025,H3032,H3039,H3046,H3053,H3060,H3067,H3074)+SUM(H3081,H3088,H3095,H3102,H3109,H3116,H3123,H3130,H3137,H3144,H3151,H3158,H3165,H3172,H3179,H3186,H3193,H3200,H3207,H3214,H3221,H3228,H3235,H3242,H3249,H3256,H3263,H3270,H3277)+SUM(H3284,H3291,H3298,H3305,H3312,H3319,H3326,H3333,H3340,H3347,H3354,H3361,H3368,H3375,H3382,H3389,H3396,H3403,H3410,H3417,H3424,H3431,H3438,H3445,H3452,H3459,H3466,H3473,H3480,H3487)+SUM(H3494,H3501,H3508,H3515,H3522,H3529,H3536,H3543,H3550,H3557,H3564,H3571)</f>
        <v>0</v>
      </c>
      <c r="I3578" s="113" t="e">
        <f>H2863/H3578</f>
        <v>#DIV/0!</v>
      </c>
      <c r="J3578" s="108">
        <f>SUM(J2878,J2885,J2892,J2899,J2906,J2913,J2920,J2927,J2934,J2941,J2948,J2955,J2962,J2969,J2976,J2983,J2990,J2997,J3004,J3011,J3018,J3025,J3032,J3039,J3046,J3053,J3060,J3067,J3074)+SUM(J3081,J3088,J3095,J3102,J3109,J3116,J3123,J3130,J3137,J3144,J3151,J3158,J3165,J3172,J3179,J3186,J3193,J3200,J3207,J3214,J3221,J3228,J3235,J3242,J3249,J3256,J3263,J3270,J3277)+SUM(J3284,J3291,J3298,J3305,J3312,J3319,J3326,J3333,J3340,J3347,J3354,J3361,J3368,J3375,J3382,J3389,J3396,J3403,J3410,J3417,J3424,J3431,J3438,J3445,J3452,J3459,J3466,J3473,J3480,J3487)+SUM(J3494,J3501,J3508,J3515,J3522,J3529,J3536,J3543,J3550,J3557,J3564,J3571)</f>
        <v>0</v>
      </c>
      <c r="K3578" s="113" t="e">
        <f>J2863/J3578</f>
        <v>#DIV/0!</v>
      </c>
      <c r="L3578" s="108">
        <f>SUM(L2878,L2885,L2892,L2899,L2906,L2913,L2920,L2927,L2934,L2941,L2948,L2955,L2962,L2969,L2976,L2983,L2990,L2997,L3004,L3011,L3018,L3025,L3032,L3039,L3046,L3053,L3060,L3067,L3074)+SUM(L3081,L3088,L3095,L3102,L3109,L3116,L3123,L3130,L3137,L3144,L3151,L3158,L3165,L3172,L3179,L3186,L3193,L3200,L3207,L3214,L3221,L3228,L3235,L3242,L3249,L3256,L3263,L3270,L3277)+SUM(L3284,L3291,L3298,L3305,L3312,L3319,L3326,L3333,L3340,L3347,L3354,L3361,L3368,L3375,L3382,L3389,L3396,L3403,L3410,L3417,L3424,L3431,L3438,L3445,L3452,L3459,L3466,L3473,L3480,L3487)+SUM(L3494,L3501,L3508,L3515,L3522,L3529,L3536,L3543,L3550,L3557,L3564,L3571)</f>
        <v>0</v>
      </c>
      <c r="M3578" s="113" t="e">
        <f>L2863/L3578</f>
        <v>#DIV/0!</v>
      </c>
      <c r="N3578" s="108">
        <f>SUM(N2878,N2885,N2892,N2899,N2906,N2913,N2920,N2927,N2934,N2941,N2948,N2955,N2962,N2969,N2976,N2983,N2990,N2997,N3004,N3011,N3018,N3025,N3032,N3039,N3046,N3053,N3060,N3067,N3074)+SUM(N3081,N3088,N3095,N3102,N3109,N3116,N3123,N3130,N3137,N3144,N3151,N3158,N3165,N3172,N3179,N3186,N3193,N3200,N3207,N3214,N3221,N3228,N3235,N3242,N3249,N3256,N3263,N3270,N3277)+SUM(N3284,N3291,N3298,N3305,N3312,N3319,N3326,N3333,N3340,N3347,N3354,N3361,N3368,N3375,N3382,N3389,N3396,N3403,N3410,N3417,N3424,N3431,N3438,N3445,N3452,N3459,N3466,N3473,N3480,N3487)+SUM(N3494,N3501,N3508,N3515,N3522,N3529,N3536,N3543,N3550,N3557,N3564,N3571)</f>
        <v>0</v>
      </c>
      <c r="O3578" s="113" t="e">
        <f>N2863/N3578</f>
        <v>#DIV/0!</v>
      </c>
      <c r="P3578" s="108">
        <f>SUM(P2878,P2885,P2892,P2899,P2906,P2913,P2920,P2927,P2934,P2941,P2948,P2955,P2962,P2969,P2976,P2983,P2990,P2997,P3004,P3011,P3018,P3025,P3032,P3039,P3046,P3053,P3060,P3067,P3074)+SUM(P3081,P3088,P3095,P3102,P3109,P3116,P3123,P3130,P3137,P3144,P3151,P3158,P3165,P3172,P3179,P3186,P3193,P3200,P3207,P3214,P3221,P3228,P3235,P3242,P3249,P3256,P3263,P3270,P3277)+SUM(P3284,P3291,P3298,P3305,P3312,P3319,P3326,P3333,P3340,P3347,P3354,P3361,P3368,P3375,P3382,P3389,P3396,P3403,P3410,P3417,P3424,P3431,P3438,P3445,P3452,P3459,P3466,P3473,P3480,P3487)+SUM(P3494,P3501,P3508,P3515,P3522,P3529,P3536,P3543,P3550,P3557,P3564,P3571)</f>
        <v>0</v>
      </c>
      <c r="Q3578" s="113" t="e">
        <f>P2863/P3578</f>
        <v>#DIV/0!</v>
      </c>
      <c r="R3578" s="132">
        <f>SUM(F3578,H3578,J3578,L3578,N3578,P3578)</f>
        <v>0</v>
      </c>
      <c r="S3578" s="728"/>
      <c r="T3578" s="108">
        <f>SUM(T2878,T2885,T2892,T2899,T2906,T2913,T2920,T2927,T2934,T2941,T2948,T2955,T2962,T2969,T2976,T2983,T2990,T2997,T3004,T3011,T3018,T3025,T3032,T3039,T3046,T3053,T3060,T3067,T3074)+SUM(T3081,T3088,T3095,T3102,T3109,T3116,T3123,T3130,T3137,T3144,T3151,T3158,T3165,T3172,T3179,T3186,T3193,T3200,T3207,T3214,T3221,T3228,T3235,T3242,T3249,T3256,T3263,T3270,T3277)+SUM(T3284,T3291,T3298,T3305,T3312,T3319,T3326,T3333,T3340,T3347,T3354,T3361,T3368,T3375,T3382,T3389,T3396,T3403,T3410,T3417,T3424,T3431,T3438,T3445,T3452,T3459,T3466,T3473,T3480,T3487)+SUM(T3494,T3501,T3508,T3515,T3522,T3529,T3536,T3543,T3550,T3557,T3564,T3571)</f>
        <v>0</v>
      </c>
      <c r="U3578" s="113" t="e">
        <f>T2863/T3578</f>
        <v>#DIV/0!</v>
      </c>
      <c r="V3578" s="108">
        <f>SUM(V2878,V2885,V2892,V2899,V2906,V2913,V2920,V2927,V2934,V2941,V2948,V2955,V2962,V2969,V2976,V2983,V2990,V2997,V3004,V3011,V3018,V3025,V3032,V3039,V3046,V3053,V3060,V3067,V3074)+SUM(V3081,V3088,V3095,V3102,V3109,V3116,V3123,V3130,V3137,V3144,V3151,V3158,V3165,V3172,V3179,V3186,V3193,V3200,V3207,V3214,V3221,V3228,V3235,V3242,V3249,V3256,V3263,V3270,V3277)+SUM(V3284,V3291,V3298,V3305,V3312,V3319,V3326,V3333,V3340,V3347,V3354,V3361,V3368,V3375,V3382,V3389,V3396,V3403,V3410,V3417,V3424,V3431,V3438,V3445,V3452,V3459,V3466,V3473,V3480,V3487)+SUM(V3494,V3501,V3508,V3515,V3522,V3529,V3536,V3543,V3550,V3557,V3564,V3571)</f>
        <v>0</v>
      </c>
      <c r="W3578" s="113" t="e">
        <f>V2863/V3578</f>
        <v>#DIV/0!</v>
      </c>
      <c r="X3578" s="108">
        <f>SUM(X2878,X2885,X2892,X2899,X2906,X2913,X2920,X2927,X2934,X2941,X2948,X2955,X2962,X2969,X2976,X2983,X2990,X2997,X3004,X3011,X3018,X3025,X3032,X3039,X3046,X3053,X3060,X3067,X3074)+SUM(X3081,X3088,X3095,X3102,X3109,X3116,X3123,X3130,X3137,X3144,X3151,X3158,X3165,X3172,X3179,X3186,X3193,X3200,X3207,X3214,X3221,X3228,X3235,X3242,X3249,X3256,X3263,X3270,X3277)+SUM(X3284,X3291,X3298,X3305,X3312,X3319,X3326,X3333,X3340,X3347,X3354,X3361,X3368,X3375,X3382,X3389,X3396,X3403,X3410,X3417,X3424,X3431,X3438,X3445,X3452,X3459,X3466,X3473,X3480,X3487)+SUM(X3494,X3501,X3508,X3515,X3522,X3529,X3536,X3543,X3550,X3557,X3564,X3571)</f>
        <v>0</v>
      </c>
      <c r="Y3578" s="113" t="e">
        <f>X2863/X3578</f>
        <v>#DIV/0!</v>
      </c>
      <c r="Z3578" s="108">
        <f>SUM(Z2878,Z2885,Z2892,Z2899,Z2906,Z2913,Z2920,Z2927,Z2934,Z2941,Z2948,Z2955,Z2962,Z2969,Z2976,Z2983,Z2990,Z2997,Z3004,Z3011,Z3018,Z3025,Z3032,Z3039,Z3046,Z3053,Z3060,Z3067,Z3074)+SUM(Z3081,Z3088,Z3095,Z3102,Z3109,Z3116,Z3123,Z3130,Z3137,Z3144,Z3151,Z3158,Z3165,Z3172,Z3179,Z3186,Z3193,Z3200,Z3207,Z3214,Z3221,Z3228,Z3235,Z3242,Z3249,Z3256,Z3263,Z3270,Z3277)+SUM(Z3284,Z3291,Z3298,Z3305,Z3312,Z3319,Z3326,Z3333,Z3340,Z3347,Z3354,Z3361,Z3368,Z3375,Z3382,Z3389,Z3396,Z3403,Z3410,Z3417,Z3424,Z3431,Z3438,Z3445,Z3452,Z3459,Z3466,Z3473,Z3480,Z3487)+SUM(Z3494,Z3501,Z3508,Z3515,Z3522,Z3529,Z3536,Z3543,Z3550,Z3557,Z3564,Z3571)</f>
        <v>0</v>
      </c>
      <c r="AA3578" s="113" t="e">
        <f>Z2863/Z3578</f>
        <v>#DIV/0!</v>
      </c>
      <c r="AB3578" s="108">
        <f>SUM(AB2878,AB2885,AB2892,AB2899,AB2906,AB2913,AB2920,AB2927,AB2934,AB2941,AB2948,AB2955,AB2962,AB2969,AB2976,AB2983,AB2990,AB2997,AB3004,AB3011,AB3018,AB3025,AB3032,AB3039,AB3046,AB3053,AB3060,AB3067,AB3074)+SUM(AB3081,AB3088,AB3095,AB3102,AB3109,AB3116,AB3123,AB3130,AB3137,AB3144,AB3151,AB3158,AB3165,AB3172,AB3179,AB3186,AB3193,AB3200,AB3207,AB3214,AB3221,AB3228,AB3235,AB3242,AB3249,AB3256,AB3263,AB3270,AB3277)+SUM(AB3284,AB3291,AB3298,AB3305,AB3312,AB3319,AB3326,AB3333,AB3340,AB3347,AB3354,AB3361,AB3368,AB3375,AB3382,AB3389,AB3396,AB3403,AB3410,AB3417,AB3424,AB3431,AB3438,AB3445,AB3452,AB3459,AB3466,AB3473,AB3480,AB3487)+SUM(AB3494,AB3501,AB3508,AB3515,AB3522,AB3529,AB3536,AB3543,AB3550,AB3557,AB3564,AB3571)</f>
        <v>0</v>
      </c>
      <c r="AC3578" s="113" t="e">
        <f>AB2863/AB3578</f>
        <v>#DIV/0!</v>
      </c>
      <c r="AD3578" s="108">
        <f>SUM(AD2878,AD2885,AD2892,AD2899,AD2906,AD2913,AD2920,AD2927,AD2934,AD2941,AD2948,AD2955,AD2962,AD2969,AD2976,AD2983,AD2990,AD2997,AD3004,AD3011,AD3018,AD3025,AD3032,AD3039,AD3046,AD3053,AD3060,AD3067,AD3074)+SUM(AD3081,AD3088,AD3095,AD3102,AD3109,AD3116,AD3123,AD3130,AD3137,AD3144,AD3151,AD3158,AD3165,AD3172,AD3179,AD3186,AD3193,AD3200,AD3207,AD3214,AD3221,AD3228,AD3235,AD3242,AD3249,AD3256,AD3263,AD3270,AD3277)+SUM(AD3284,AD3291,AD3298,AD3305,AD3312,AD3319,AD3326,AD3333,AD3340,AD3347,AD3354,AD3361,AD3368,AD3375,AD3382,AD3389,AD3396,AD3403,AD3410,AD3417,AD3424,AD3431,AD3438,AD3445,AD3452,AD3459,AD3466,AD3473,AD3480,AD3487)+SUM(AD3494,AD3501,AD3508,AD3515,AD3522,AD3529,AD3536,AD3543,AD3550,AD3557,AD3564,AD3571)</f>
        <v>0</v>
      </c>
      <c r="AE3578" s="113" t="e">
        <f>AD2863/AD3578</f>
        <v>#DIV/0!</v>
      </c>
      <c r="AF3578" s="132">
        <f>SUM(T3578,V3578,X3578,Z3578,AB3578,AD3578)</f>
        <v>0</v>
      </c>
      <c r="AG3578" s="728"/>
      <c r="AH3578" s="133">
        <f>SUM(AF3578,R3578)</f>
        <v>0</v>
      </c>
      <c r="AI3578" s="728"/>
      <c r="AJ3578" s="65"/>
    </row>
    <row r="3579" spans="1:48" ht="12.75" hidden="1" customHeight="1" outlineLevel="1">
      <c r="B3579" s="82"/>
      <c r="C3579" s="1231"/>
      <c r="D3579" s="1231"/>
      <c r="E3579" s="84">
        <f>'Terms and Turnovers'!$AN$12</f>
        <v>0</v>
      </c>
      <c r="F3579" s="108">
        <f>SUM(F2879,F2886,F2893,F2900,F2907,F2914,F2921,F2928,F2935,F2942,F2949,F2956,F2963,F2970,F2977,F2984,F2991,F2998,F3005,F3012,F3019,F3026,F3033,F3040,F3047,F3054,F3061,F3068,F3075)+SUM(F3082,F3089,F3096,F3103,F3110,F3117,F3124,F3131,F3138,F3145,F3152,F3159,F3166,F3173,F3180,F3187,F3194,F3201,F3208,F3215,F3222,F3229,F3236,F3243,F3250,F3257,F3264,F3271,F3278)+SUM(F3285,F3292,F3299,F3306,F3313,F3320,F3327,F3334,F3341,F3348,F3355,F3362,F3369,F3376,F3383,F3390,F3397,F3404,F3411,F3418,F3425,F3432,F3439,F3446,F3453,F3460,F3467,F3474,F3481,F3488)+SUM(F3495,F3502,F3509,F3516,F3523,F3530,F3537,F3544,F3551,F3558,F3565,F3572)</f>
        <v>0</v>
      </c>
      <c r="G3579" s="113" t="e">
        <f>F2864/F3579</f>
        <v>#DIV/0!</v>
      </c>
      <c r="H3579" s="108">
        <f>SUM(H2879,H2886,H2893,H2900,H2907,H2914,H2921,H2928,H2935,H2942,H2949,H2956,H2963,H2970,H2977,H2984,H2991,H2998,H3005,H3012,H3019,H3026,H3033,H3040,H3047,H3054,H3061,H3068,H3075)+SUM(H3082,H3089,H3096,H3103,H3110,H3117,H3124,H3131,H3138,H3145,H3152,H3159,H3166,H3173,H3180,H3187,H3194,H3201,H3208,H3215,H3222,H3229,H3236,H3243,H3250,H3257,H3264,H3271,H3278)+SUM(H3285,H3292,H3299,H3306,H3313,H3320,H3327,H3334,H3341,H3348,H3355,H3362,H3369,H3376,H3383,H3390,H3397,H3404,H3411,H3418,H3425,H3432,H3439,H3446,H3453,H3460,H3467,H3474,H3481,H3488)+SUM(H3495,H3502,H3509,H3516,H3523,H3530,H3537,H3544,H3551,H3558,H3565,H3572)</f>
        <v>0</v>
      </c>
      <c r="I3579" s="113" t="e">
        <f>H2864/H3579</f>
        <v>#DIV/0!</v>
      </c>
      <c r="J3579" s="108">
        <f>SUM(J2879,J2886,J2893,J2900,J2907,J2914,J2921,J2928,J2935,J2942,J2949,J2956,J2963,J2970,J2977,J2984,J2991,J2998,J3005,J3012,J3019,J3026,J3033,J3040,J3047,J3054,J3061,J3068,J3075)+SUM(J3082,J3089,J3096,J3103,J3110,J3117,J3124,J3131,J3138,J3145,J3152,J3159,J3166,J3173,J3180,J3187,J3194,J3201,J3208,J3215,J3222,J3229,J3236,J3243,J3250,J3257,J3264,J3271,J3278)+SUM(J3285,J3292,J3299,J3306,J3313,J3320,J3327,J3334,J3341,J3348,J3355,J3362,J3369,J3376,J3383,J3390,J3397,J3404,J3411,J3418,J3425,J3432,J3439,J3446,J3453,J3460,J3467,J3474,J3481,J3488)+SUM(J3495,J3502,J3509,J3516,J3523,J3530,J3537,J3544,J3551,J3558,J3565,J3572)</f>
        <v>0</v>
      </c>
      <c r="K3579" s="113" t="e">
        <f>J2864/J3579</f>
        <v>#DIV/0!</v>
      </c>
      <c r="L3579" s="108">
        <f>SUM(L2879,L2886,L2893,L2900,L2907,L2914,L2921,L2928,L2935,L2942,L2949,L2956,L2963,L2970,L2977,L2984,L2991,L2998,L3005,L3012,L3019,L3026,L3033,L3040,L3047,L3054,L3061,L3068,L3075)+SUM(L3082,L3089,L3096,L3103,L3110,L3117,L3124,L3131,L3138,L3145,L3152,L3159,L3166,L3173,L3180,L3187,L3194,L3201,L3208,L3215,L3222,L3229,L3236,L3243,L3250,L3257,L3264,L3271,L3278)+SUM(L3285,L3292,L3299,L3306,L3313,L3320,L3327,L3334,L3341,L3348,L3355,L3362,L3369,L3376,L3383,L3390,L3397,L3404,L3411,L3418,L3425,L3432,L3439,L3446,L3453,L3460,L3467,L3474,L3481,L3488)+SUM(L3495,L3502,L3509,L3516,L3523,L3530,L3537,L3544,L3551,L3558,L3565,L3572)</f>
        <v>0</v>
      </c>
      <c r="M3579" s="113" t="e">
        <f>L2864/L3579</f>
        <v>#DIV/0!</v>
      </c>
      <c r="N3579" s="108">
        <f>SUM(N2879,N2886,N2893,N2900,N2907,N2914,N2921,N2928,N2935,N2942,N2949,N2956,N2963,N2970,N2977,N2984,N2991,N2998,N3005,N3012,N3019,N3026,N3033,N3040,N3047,N3054,N3061,N3068,N3075)+SUM(N3082,N3089,N3096,N3103,N3110,N3117,N3124,N3131,N3138,N3145,N3152,N3159,N3166,N3173,N3180,N3187,N3194,N3201,N3208,N3215,N3222,N3229,N3236,N3243,N3250,N3257,N3264,N3271,N3278)+SUM(N3285,N3292,N3299,N3306,N3313,N3320,N3327,N3334,N3341,N3348,N3355,N3362,N3369,N3376,N3383,N3390,N3397,N3404,N3411,N3418,N3425,N3432,N3439,N3446,N3453,N3460,N3467,N3474,N3481,N3488)+SUM(N3495,N3502,N3509,N3516,N3523,N3530,N3537,N3544,N3551,N3558,N3565,N3572)</f>
        <v>0</v>
      </c>
      <c r="O3579" s="113" t="e">
        <f>N2864/N3579</f>
        <v>#DIV/0!</v>
      </c>
      <c r="P3579" s="108">
        <f>SUM(P2879,P2886,P2893,P2900,P2907,P2914,P2921,P2928,P2935,P2942,P2949,P2956,P2963,P2970,P2977,P2984,P2991,P2998,P3005,P3012,P3019,P3026,P3033,P3040,P3047,P3054,P3061,P3068,P3075)+SUM(P3082,P3089,P3096,P3103,P3110,P3117,P3124,P3131,P3138,P3145,P3152,P3159,P3166,P3173,P3180,P3187,P3194,P3201,P3208,P3215,P3222,P3229,P3236,P3243,P3250,P3257,P3264,P3271,P3278)+SUM(P3285,P3292,P3299,P3306,P3313,P3320,P3327,P3334,P3341,P3348,P3355,P3362,P3369,P3376,P3383,P3390,P3397,P3404,P3411,P3418,P3425,P3432,P3439,P3446,P3453,P3460,P3467,P3474,P3481,P3488)+SUM(P3495,P3502,P3509,P3516,P3523,P3530,P3537,P3544,P3551,P3558,P3565,P3572)</f>
        <v>0</v>
      </c>
      <c r="Q3579" s="113" t="e">
        <f>P2864/P3579</f>
        <v>#DIV/0!</v>
      </c>
      <c r="R3579" s="132">
        <f>SUM(F3579,H3579,J3579,L3579,N3579,P3579)</f>
        <v>0</v>
      </c>
      <c r="S3579" s="728"/>
      <c r="T3579" s="108">
        <f>SUM(T2879,T2886,T2893,T2900,T2907,T2914,T2921,T2928,T2935,T2942,T2949,T2956,T2963,T2970,T2977,T2984,T2991,T2998,T3005,T3012,T3019,T3026,T3033,T3040,T3047,T3054,T3061,T3068,T3075)+SUM(T3082,T3089,T3096,T3103,T3110,T3117,T3124,T3131,T3138,T3145,T3152,T3159,T3166,T3173,T3180,T3187,T3194,T3201,T3208,T3215,T3222,T3229,T3236,T3243,T3250,T3257,T3264,T3271,T3278)+SUM(T3285,T3292,T3299,T3306,T3313,T3320,T3327,T3334,T3341,T3348,T3355,T3362,T3369,T3376,T3383,T3390,T3397,T3404,T3411,T3418,T3425,T3432,T3439,T3446,T3453,T3460,T3467,T3474,T3481,T3488)+SUM(T3495,T3502,T3509,T3516,T3523,T3530,T3537,T3544,T3551,T3558,T3565,T3572)</f>
        <v>0</v>
      </c>
      <c r="U3579" s="113" t="e">
        <f>T2864/T3579</f>
        <v>#DIV/0!</v>
      </c>
      <c r="V3579" s="108">
        <f>SUM(V2879,V2886,V2893,V2900,V2907,V2914,V2921,V2928,V2935,V2942,V2949,V2956,V2963,V2970,V2977,V2984,V2991,V2998,V3005,V3012,V3019,V3026,V3033,V3040,V3047,V3054,V3061,V3068,V3075)+SUM(V3082,V3089,V3096,V3103,V3110,V3117,V3124,V3131,V3138,V3145,V3152,V3159,V3166,V3173,V3180,V3187,V3194,V3201,V3208,V3215,V3222,V3229,V3236,V3243,V3250,V3257,V3264,V3271,V3278)+SUM(V3285,V3292,V3299,V3306,V3313,V3320,V3327,V3334,V3341,V3348,V3355,V3362,V3369,V3376,V3383,V3390,V3397,V3404,V3411,V3418,V3425,V3432,V3439,V3446,V3453,V3460,V3467,V3474,V3481,V3488)+SUM(V3495,V3502,V3509,V3516,V3523,V3530,V3537,V3544,V3551,V3558,V3565,V3572)</f>
        <v>0</v>
      </c>
      <c r="W3579" s="113" t="e">
        <f>V2864/V3579</f>
        <v>#DIV/0!</v>
      </c>
      <c r="X3579" s="108">
        <f>SUM(X2879,X2886,X2893,X2900,X2907,X2914,X2921,X2928,X2935,X2942,X2949,X2956,X2963,X2970,X2977,X2984,X2991,X2998,X3005,X3012,X3019,X3026,X3033,X3040,X3047,X3054,X3061,X3068,X3075)+SUM(X3082,X3089,X3096,X3103,X3110,X3117,X3124,X3131,X3138,X3145,X3152,X3159,X3166,X3173,X3180,X3187,X3194,X3201,X3208,X3215,X3222,X3229,X3236,X3243,X3250,X3257,X3264,X3271,X3278)+SUM(X3285,X3292,X3299,X3306,X3313,X3320,X3327,X3334,X3341,X3348,X3355,X3362,X3369,X3376,X3383,X3390,X3397,X3404,X3411,X3418,X3425,X3432,X3439,X3446,X3453,X3460,X3467,X3474,X3481,X3488)+SUM(X3495,X3502,X3509,X3516,X3523,X3530,X3537,X3544,X3551,X3558,X3565,X3572)</f>
        <v>0</v>
      </c>
      <c r="Y3579" s="113" t="e">
        <f>X2864/X3579</f>
        <v>#DIV/0!</v>
      </c>
      <c r="Z3579" s="108">
        <f>SUM(Z2879,Z2886,Z2893,Z2900,Z2907,Z2914,Z2921,Z2928,Z2935,Z2942,Z2949,Z2956,Z2963,Z2970,Z2977,Z2984,Z2991,Z2998,Z3005,Z3012,Z3019,Z3026,Z3033,Z3040,Z3047,Z3054,Z3061,Z3068,Z3075)+SUM(Z3082,Z3089,Z3096,Z3103,Z3110,Z3117,Z3124,Z3131,Z3138,Z3145,Z3152,Z3159,Z3166,Z3173,Z3180,Z3187,Z3194,Z3201,Z3208,Z3215,Z3222,Z3229,Z3236,Z3243,Z3250,Z3257,Z3264,Z3271,Z3278)+SUM(Z3285,Z3292,Z3299,Z3306,Z3313,Z3320,Z3327,Z3334,Z3341,Z3348,Z3355,Z3362,Z3369,Z3376,Z3383,Z3390,Z3397,Z3404,Z3411,Z3418,Z3425,Z3432,Z3439,Z3446,Z3453,Z3460,Z3467,Z3474,Z3481,Z3488)+SUM(Z3495,Z3502,Z3509,Z3516,Z3523,Z3530,Z3537,Z3544,Z3551,Z3558,Z3565,Z3572)</f>
        <v>0</v>
      </c>
      <c r="AA3579" s="113" t="e">
        <f>Z2864/Z3579</f>
        <v>#DIV/0!</v>
      </c>
      <c r="AB3579" s="108">
        <f>SUM(AB2879,AB2886,AB2893,AB2900,AB2907,AB2914,AB2921,AB2928,AB2935,AB2942,AB2949,AB2956,AB2963,AB2970,AB2977,AB2984,AB2991,AB2998,AB3005,AB3012,AB3019,AB3026,AB3033,AB3040,AB3047,AB3054,AB3061,AB3068,AB3075)+SUM(AB3082,AB3089,AB3096,AB3103,AB3110,AB3117,AB3124,AB3131,AB3138,AB3145,AB3152,AB3159,AB3166,AB3173,AB3180,AB3187,AB3194,AB3201,AB3208,AB3215,AB3222,AB3229,AB3236,AB3243,AB3250,AB3257,AB3264,AB3271,AB3278)+SUM(AB3285,AB3292,AB3299,AB3306,AB3313,AB3320,AB3327,AB3334,AB3341,AB3348,AB3355,AB3362,AB3369,AB3376,AB3383,AB3390,AB3397,AB3404,AB3411,AB3418,AB3425,AB3432,AB3439,AB3446,AB3453,AB3460,AB3467,AB3474,AB3481,AB3488)+SUM(AB3495,AB3502,AB3509,AB3516,AB3523,AB3530,AB3537,AB3544,AB3551,AB3558,AB3565,AB3572)</f>
        <v>0</v>
      </c>
      <c r="AC3579" s="113" t="e">
        <f>AB2864/AB3579</f>
        <v>#DIV/0!</v>
      </c>
      <c r="AD3579" s="108">
        <f>SUM(AD2879,AD2886,AD2893,AD2900,AD2907,AD2914,AD2921,AD2928,AD2935,AD2942,AD2949,AD2956,AD2963,AD2970,AD2977,AD2984,AD2991,AD2998,AD3005,AD3012,AD3019,AD3026,AD3033,AD3040,AD3047,AD3054,AD3061,AD3068,AD3075)+SUM(AD3082,AD3089,AD3096,AD3103,AD3110,AD3117,AD3124,AD3131,AD3138,AD3145,AD3152,AD3159,AD3166,AD3173,AD3180,AD3187,AD3194,AD3201,AD3208,AD3215,AD3222,AD3229,AD3236,AD3243,AD3250,AD3257,AD3264,AD3271,AD3278)+SUM(AD3285,AD3292,AD3299,AD3306,AD3313,AD3320,AD3327,AD3334,AD3341,AD3348,AD3355,AD3362,AD3369,AD3376,AD3383,AD3390,AD3397,AD3404,AD3411,AD3418,AD3425,AD3432,AD3439,AD3446,AD3453,AD3460,AD3467,AD3474,AD3481,AD3488)+SUM(AD3495,AD3502,AD3509,AD3516,AD3523,AD3530,AD3537,AD3544,AD3551,AD3558,AD3565,AD3572)</f>
        <v>0</v>
      </c>
      <c r="AE3579" s="113" t="e">
        <f>AD2864/AD3579</f>
        <v>#DIV/0!</v>
      </c>
      <c r="AF3579" s="132">
        <f>SUM(T3579,V3579,X3579,Z3579,AB3579,AD3579)</f>
        <v>0</v>
      </c>
      <c r="AG3579" s="728"/>
      <c r="AH3579" s="133">
        <f>SUM(AF3579,R3579)</f>
        <v>0</v>
      </c>
      <c r="AI3579" s="728"/>
      <c r="AJ3579" s="65"/>
    </row>
    <row r="3580" spans="1:48" ht="13.5" hidden="1" customHeight="1" outlineLevel="1" thickBot="1">
      <c r="B3580" s="82"/>
      <c r="C3580" s="1232"/>
      <c r="D3580" s="1232"/>
      <c r="E3580" s="85">
        <f>'Terms and Turnovers'!$AX$12</f>
        <v>0</v>
      </c>
      <c r="F3580" s="109">
        <f>SUM(F2880,F2887,F2894,F2901,F2908,F2915,F2922,F2929,F2936,F2943,F2950,F2957,F2964,F2971,F2978,F2985,F2992,F2999,F3006,F3013,F3020,F3027,F3034,F3041,F3048,F3055,F3062,F3069,F3076)+SUM(F3083,F3090,F3097,F3104,F3111,F3118,F3125,F3132,F3139,F3146,F3153,F3160,F3167,F3174,F3181,F3188,F3195,F3202,F3209,F3216,F3223,F3230,F3237,F3244,F3251,F3258,F3265,F3272,F3279)</f>
        <v>0</v>
      </c>
      <c r="G3580" s="114" t="e">
        <f>F2865/F3580</f>
        <v>#DIV/0!</v>
      </c>
      <c r="H3580" s="110">
        <f>SUM(H2880,H2887,H2894,H2901,H2908,H2915,H2922,H2929,H2936,H2943,H2950,H2957,H2964,H2971,H2978,H2985,H2992,H2999,H3006,H3013,H3020,H3027,H3034,H3041,H3048,H3055,H3062,H3069,H3076)+SUM(H3083,H3090,H3097,H3104,H3111,H3118,H3125,H3132,H3139,H3146,H3153,H3160,H3167,H3174,H3181,H3188,H3195,H3202,H3209,H3216,H3223,H3230,H3237,H3244,H3251,H3258,H3265,H3272,H3279)</f>
        <v>0</v>
      </c>
      <c r="I3580" s="114" t="e">
        <f>H2865/H3580</f>
        <v>#DIV/0!</v>
      </c>
      <c r="J3580" s="71">
        <f>SUM(J2880,J2887,J2894,J2901,J2908,J2915,J2922,J2929,J2936,J2943,J2950,J2957,J2964,J2971,J2978,J2985,J2992,J2999,J3006,J3013,J3020,J3027,J3034,J3041,J3048,J3055,J3062,J3069,J3076)+SUM(J3083,J3090,J3097,J3104,J3111,J3118,J3125,J3132,J3139,J3146,J3153,J3160,J3167,J3174,J3181,J3188,J3195,J3202,J3209,J3216,J3223,J3230,J3237,J3244,J3251,J3258,J3265,J3272,J3279)</f>
        <v>0</v>
      </c>
      <c r="K3580" s="114" t="e">
        <f>J2865/J3580</f>
        <v>#DIV/0!</v>
      </c>
      <c r="L3580" s="71">
        <f>SUM(L2880,L2887,L2894,L2901,L2908,L2915,L2922,L2929,L2936,L2943,L2950,L2957,L2964,L2971,L2978,L2985,L2992,L2999,L3006,L3013,L3020,L3027,L3034,L3041,L3048,L3055,L3062,L3069,L3076)+SUM(L3083,L3090,L3097,L3104,L3111,L3118,L3125,L3132,L3139,L3146,L3153,L3160,L3167,L3174,L3181,L3188,L3195,L3202,L3209,L3216,L3223,L3230,L3237,L3244,L3251,L3258,L3265,L3272,L3279)</f>
        <v>0</v>
      </c>
      <c r="M3580" s="114" t="e">
        <f>L2865/L3580</f>
        <v>#DIV/0!</v>
      </c>
      <c r="N3580" s="71">
        <f>SUM(N2880,N2887,N2894,N2901,N2908,N2915,N2922,N2929,N2936,N2943,N2950,N2957,N2964,N2971,N2978,N2985,N2992,N2999,N3006,N3013,N3020,N3027,N3034,N3041,N3048,N3055,N3062,N3069,N3076)+SUM(N3083,N3090,N3097,N3104,N3111,N3118,N3125,N3132,N3139,N3146,N3153,N3160,N3167,N3174,N3181,N3188,N3195,N3202,N3209,N3216,N3223,N3230,N3237,N3244,N3251,N3258,N3265,N3272,N3279)</f>
        <v>0</v>
      </c>
      <c r="O3580" s="114" t="e">
        <f>N2865/N3580</f>
        <v>#DIV/0!</v>
      </c>
      <c r="P3580" s="71">
        <f>SUM(P2880,P2887,P2894,P2901,P2908,P2915,P2922,P2929,P2936,P2943,P2950,P2957,P2964,P2971,P2978,P2985,P2992,P2999,P3006,P3013,P3020,P3027,P3034,P3041,P3048,P3055,P3062,P3069,P3076)+SUM(P3083,P3090,P3097,P3104,P3111,P3118,P3125,P3132,P3139,P3146,P3153,P3160,P3167,P3174,P3181,P3188,P3195,P3202,P3209,P3216,P3223,P3230,P3237,P3244,P3251,P3258,P3265,P3272,P3279)</f>
        <v>0</v>
      </c>
      <c r="Q3580" s="114" t="e">
        <f>P2865/P3580</f>
        <v>#DIV/0!</v>
      </c>
      <c r="R3580" s="132">
        <f>SUM(F3580,H3580,J3580,L3580,N3580,P3580)</f>
        <v>0</v>
      </c>
      <c r="S3580" s="107"/>
      <c r="T3580" s="109">
        <f>SUM(T2880,T2887,T2894,T2901,T2908,T2915,T2922,T2929,T2936,T2943,T2950,T2957,T2964,T2971,T2978,T2985,T2992,T2999,T3006,T3013,T3020,T3027,T3034,T3041,T3048,T3055,T3062,T3069,T3076)+SUM(T3083,T3090,T3097,T3104,T3111,T3118,T3125,T3132,T3139,T3146,T3153,T3160,T3167,T3174,T3181,T3188,T3195,T3202,T3209,T3216,T3223,T3230,T3237,T3244,T3251,T3258,T3265,T3272,T3279)</f>
        <v>0</v>
      </c>
      <c r="U3580" s="114" t="e">
        <f>T2865/T3580</f>
        <v>#DIV/0!</v>
      </c>
      <c r="V3580" s="110">
        <f>SUM(V2880,V2887,V2894,V2901,V2908,V2915,V2922,V2929,V2936,V2943,V2950,V2957,V2964,V2971,V2978,V2985,V2992,V2999,V3006,V3013,V3020,V3027,V3034,V3041,V3048,V3055,V3062,V3069,V3076)+SUM(V3083,V3090,V3097,V3104,V3111,V3118,V3125,V3132,V3139,V3146,V3153,V3160,V3167,V3174,V3181,V3188,V3195,V3202,V3209,V3216,V3223,V3230,V3237,V3244,V3251,V3258,V3265,V3272,V3279)</f>
        <v>0</v>
      </c>
      <c r="W3580" s="114" t="e">
        <f>V2865/V3580</f>
        <v>#DIV/0!</v>
      </c>
      <c r="X3580" s="71">
        <f>SUM(X2880,X2887,X2894,X2901,X2908,X2915,X2922,X2929,X2936,X2943,X2950,X2957,X2964,X2971,X2978,X2985,X2992,X2999,X3006,X3013,X3020,X3027,X3034,X3041,X3048,X3055,X3062,X3069,X3076)+SUM(X3083,X3090,X3097,X3104,X3111,X3118,X3125,X3132,X3139,X3146,X3153,X3160,X3167,X3174,X3181,X3188,X3195,X3202,X3209,X3216,X3223,X3230,X3237,X3244,X3251,X3258,X3265,X3272,X3279)</f>
        <v>0</v>
      </c>
      <c r="Y3580" s="114" t="e">
        <f>X2865/X3580</f>
        <v>#DIV/0!</v>
      </c>
      <c r="Z3580" s="71">
        <f>SUM(Z2880,Z2887,Z2894,Z2901,Z2908,Z2915,Z2922,Z2929,Z2936,Z2943,Z2950,Z2957,Z2964,Z2971,Z2978,Z2985,Z2992,Z2999,Z3006,Z3013,Z3020,Z3027,Z3034,Z3041,Z3048,Z3055,Z3062,Z3069,Z3076)+SUM(Z3083,Z3090,Z3097,Z3104,Z3111,Z3118,Z3125,Z3132,Z3139,Z3146,Z3153,Z3160,Z3167,Z3174,Z3181,Z3188,Z3195,Z3202,Z3209,Z3216,Z3223,Z3230,Z3237,Z3244,Z3251,Z3258,Z3265,Z3272,Z3279)</f>
        <v>0</v>
      </c>
      <c r="AA3580" s="114" t="e">
        <f>Z2865/Z3580</f>
        <v>#DIV/0!</v>
      </c>
      <c r="AB3580" s="71">
        <f>SUM(AB2880,AB2887,AB2894,AB2901,AB2908,AB2915,AB2922,AB2929,AB2936,AB2943,AB2950,AB2957,AB2964,AB2971,AB2978,AB2985,AB2992,AB2999,AB3006,AB3013,AB3020,AB3027,AB3034,AB3041,AB3048,AB3055,AB3062,AB3069,AB3076)+SUM(AB3083,AB3090,AB3097,AB3104,AB3111,AB3118,AB3125,AB3132,AB3139,AB3146,AB3153,AB3160,AB3167,AB3174,AB3181,AB3188,AB3195,AB3202,AB3209,AB3216,AB3223,AB3230,AB3237,AB3244,AB3251,AB3258,AB3265,AB3272,AB3279)</f>
        <v>0</v>
      </c>
      <c r="AC3580" s="114" t="e">
        <f>AB2865/AB3580</f>
        <v>#DIV/0!</v>
      </c>
      <c r="AD3580" s="71">
        <f>SUM(AD2880,AD2887,AD2894,AD2901,AD2908,AD2915,AD2922,AD2929,AD2936,AD2943,AD2950,AD2957,AD2964,AD2971,AD2978,AD2985,AD2992,AD2999,AD3006,AD3013,AD3020,AD3027,AD3034,AD3041,AD3048,AD3055,AD3062,AD3069,AD3076)+SUM(AD3083,AD3090,AD3097,AD3104,AD3111,AD3118,AD3125,AD3132,AD3139,AD3146,AD3153,AD3160,AD3167,AD3174,AD3181,AD3188,AD3195,AD3202,AD3209,AD3216,AD3223,AD3230,AD3237,AD3244,AD3251,AD3258,AD3265,AD3272,AD3279)</f>
        <v>0</v>
      </c>
      <c r="AE3580" s="114" t="e">
        <f>AD2865/AD3580</f>
        <v>#DIV/0!</v>
      </c>
      <c r="AF3580" s="132">
        <f>SUM(T3580,V3580,X3580,Z3580,AB3580,AD3580)</f>
        <v>0</v>
      </c>
      <c r="AG3580" s="107"/>
      <c r="AH3580" s="133">
        <f>SUM(AF3580,R3580)</f>
        <v>0</v>
      </c>
      <c r="AI3580" s="107"/>
      <c r="AJ3580" s="65"/>
    </row>
    <row r="3581" spans="1:48" collapsed="1">
      <c r="C3581" s="433"/>
      <c r="D3581" s="433"/>
      <c r="E3581" s="699"/>
      <c r="F3581" s="700"/>
      <c r="G3581" s="701"/>
      <c r="H3581" s="700"/>
      <c r="I3581" s="701"/>
      <c r="J3581" s="700"/>
      <c r="K3581" s="702"/>
      <c r="L3581" s="700"/>
      <c r="M3581" s="702"/>
      <c r="N3581" s="700"/>
      <c r="O3581" s="702"/>
      <c r="P3581" s="700"/>
      <c r="Q3581" s="702"/>
      <c r="R3581" s="705"/>
      <c r="S3581" s="698">
        <f>SUM(R2861:R2865)/1.18-(SUM(R3576:R3580)*'Mark Up Validation'!$M$105)</f>
        <v>0</v>
      </c>
      <c r="T3581" s="700"/>
      <c r="U3581" s="702"/>
      <c r="V3581" s="700"/>
      <c r="W3581" s="702"/>
      <c r="X3581" s="700"/>
      <c r="Y3581" s="702"/>
      <c r="Z3581" s="700"/>
      <c r="AA3581" s="702"/>
      <c r="AB3581" s="700"/>
      <c r="AC3581" s="702"/>
      <c r="AD3581" s="700"/>
      <c r="AE3581" s="702"/>
      <c r="AF3581" s="705"/>
      <c r="AG3581" s="709">
        <f>SUM(AF2861:AF2865)/1.18-SUM(AF3576:AF3580)*'Mark Up Validation'!$M$175</f>
        <v>23252.542372881355</v>
      </c>
      <c r="AH3581" s="706"/>
      <c r="AI3581" s="698">
        <f>SUM(AH2861:AH2865)/1.18-SUM(AH3576:AH3580)*'Mark Up Validation'!$M$175</f>
        <v>23252.542372881355</v>
      </c>
    </row>
    <row r="3582" spans="1:48" ht="13.5" thickBot="1">
      <c r="C3582" s="1228" t="s">
        <v>539</v>
      </c>
      <c r="D3582" s="1229"/>
      <c r="E3582" s="699"/>
      <c r="F3582" s="700">
        <f>SUM(F2882,F2889,F2896,F2903,F2910,F2917,F2924,F2931,F2938,F2945,F2952,F2959,F2966,F2973,F2980,F2987,F2994,F3001,F3008,F3015,F3022,F3029,F3036,F3043,F3050,F3057,F3064,F3071,F3078,F3085,F3092,F3099,F3106,F3113,F3120,F3127,F3134,F3141,F3148,F3155,F3162,F3169,F3176,F3183,F3190,F3197,F3204,F3211,F3225,F3232,F3239,F3246,F3253,F3260,F3267,F3274,F3281,F3288,F3295,F3302,F3309,F3316,F3323,F3330,F3337,F3344,F3351,F3358,F3365,F3372,F3379,F3386,F3393,F3400,F3407,F3414,F3421,F3428,F3435,F3442,F3449,F3456,F3463,F3470,F3477,F3484,F3491,F3498,F3505,F3512,F3519,F3526,F3533,F3540,F3547,F3554,F3561,F3568,F3575)</f>
        <v>0</v>
      </c>
      <c r="G3582" s="701"/>
      <c r="H3582" s="700">
        <f>SUM(H2882,H2889,H2896,H2903,H2910,H2917,H2924,H2931,H2938,H2945,H2952,H2959,H2966,H2973,H2980,H2987,H2994,H3001,H3008,H3015,H3022,H3029,H3036,H3043,H3050,H3057,H3064,H3071,H3078,H3085,H3092,H3099,H3106,H3113,H3120,H3127,H3134,H3141,H3148,H3155,H3162,H3169,H3176,H3183,H3190,H3197,H3204,H3211,H3225,H3232,H3239,H3246,H3253,H3260,H3267,H3274,H3281,H3288,H3295,H3302,H3309,H3316,H3323,H3330,H3337,H3344,H3351,H3358,H3365,H3372,H3379,H3386,H3393,H3400,H3407,H3414,H3421,H3428,H3435,H3442,H3449,H3456,H3463,H3470,H3477,H3484,H3491,H3498,H3505,H3512,H3519,H3526,H3533,H3540,H3547,H3554,H3561,H3568,H3575)</f>
        <v>0</v>
      </c>
      <c r="I3582" s="701"/>
      <c r="J3582" s="700">
        <f>SUM(J2882,J2889,J2896,J2903,J2910,J2917,J2924,J2931,J2938,J2945,J2952,J2959,J2966,J2973,J2980,J2987,J2994,J3001,J3008,J3015,J3022,J3029,J3036,J3043,J3050,J3057,J3064,J3071,J3078,J3085,J3092,J3099,J3106,J3113,J3120,J3127,J3134,J3141,J3148,J3155,J3162,J3169,J3176,J3183,J3190,J3197,J3204,J3211,J3225,J3232,J3239,J3246,J3253,J3260,J3267,J3274,J3281,J3288,J3295,J3302,J3309,J3316,J3323,J3330,J3337,J3344,J3351,J3358,J3365,J3372,J3379,J3386,J3393,J3400,J3407,J3414,J3421,J3428,J3435,J3442,J3449,J3456,J3463,J3470,J3477,J3484,J3491,J3498,J3505,J3512,J3519,J3526,J3533,J3540,J3547,J3554,J3561,J3568,J3575)</f>
        <v>0</v>
      </c>
      <c r="K3582" s="702"/>
      <c r="L3582" s="700">
        <f>SUM(L2882,L2889,L2896,L2903,L2910,L2917,L2924,L2931,L2938,L2945,L2952,L2959,L2966,L2973,L2980,L2987,L2994,L3001,L3008,L3015,L3022,L3029,L3036,L3043,L3050,L3057,L3064,L3071,L3078,L3085,L3092,L3099,L3106,L3113,L3120,L3127,L3134,L3141,L3148,L3155,L3162,L3169,L3176,L3183,L3190,L3197,L3204,L3211,L3225,L3232,L3239,L3246,L3253,L3260,L3267,L3274,L3281,L3288,L3295,L3302,L3309,L3316,L3323,L3330,L3337,L3344,L3351,L3358,L3365,L3372,L3379,L3386,L3393,L3400,L3407,L3414,L3421,L3428,L3435,L3442,L3449,L3456,L3463,L3470,L3477,L3484,L3491,L3498,L3505,L3512,L3519,L3526,L3533,L3540,L3547,L3554,L3561,L3568,L3575)</f>
        <v>0</v>
      </c>
      <c r="M3582" s="702"/>
      <c r="N3582" s="700">
        <f>SUM(N2882,N2889,N2896,N2903,N2910,N2917,N2924,N2931,N2938,N2945,N2952,N2959,N2966,N2973,N2980,N2987,N2994,N3001,N3008,N3015,N3022,N3029,N3036,N3043,N3050,N3057,N3064,N3071,N3078,N3085,N3092,N3099,N3106,N3113,N3120,N3127,N3134,N3141,N3148,N3155,N3162,N3169,N3176,N3183,N3190,N3197,N3204,N3211,N3225,N3232,N3239,N3246,N3253,N3260,N3267,N3274,N3281,N3288,N3295,N3302,N3309,N3316,N3323,N3330,N3337,N3344,N3351,N3358,N3365,N3372,N3379,N3386,N3393,N3400,N3407,N3414,N3421,N3428,N3435,N3442,N3449,N3456,N3463,N3470,N3477,N3484,N3491,N3498,N3505,N3512,N3519,N3526,N3533,N3540,N3547,N3554,N3561,N3568,N3575)</f>
        <v>0</v>
      </c>
      <c r="O3582" s="702"/>
      <c r="P3582" s="700">
        <f>SUM(P2882,P2889,P2896,P2903,P2910,P2917,P2924,P2931,P2938,P2945,P2952,P2959,P2966,P2973,P2980,P2987,P2994,P3001,P3008,P3015,P3022,P3029,P3036,P3043,P3050,P3057,P3064,P3071,P3078,P3085,P3092,P3099,P3106,P3113,P3120,P3127,P3134,P3141,P3148,P3155,P3162,P3169,P3176,P3183,P3190,P3197,P3204,P3211,P3225,P3232,P3239,P3246,P3253,P3260,P3267,P3274,P3281,P3288,P3295,P3302,P3309,P3316,P3323,P3330,P3337,P3344,P3351,P3358,P3365,P3372,P3379,P3386,P3393,P3400,P3407,P3414,P3421,P3428,P3435,P3442,P3449,P3456,P3463,P3470,P3477,P3484,P3491,P3498,P3505,P3512,P3519,P3526,P3533,P3540,P3547,P3554,P3561,P3568,P3575)</f>
        <v>0</v>
      </c>
      <c r="Q3582" s="702"/>
      <c r="R3582" s="703"/>
      <c r="S3582" s="729">
        <f>IF(S3581&gt;0,S3581/(SUM(R2861:R2865)/1.18),0)</f>
        <v>0</v>
      </c>
      <c r="T3582" s="700">
        <f>SUM(T2882,T2889,T2896,T2903,T2910,T2917,T2924,T2931,T2938,T2945,T2952,T2959,T2966,T2973,T2980,T2987,T2994,T3001,T3008,T3015,T3022,T3029,T3036,T3043,T3050,T3057,T3064,T3071,T3078,T3085,T3092,T3099,T3106,T3113,T3120,T3127,T3134,T3141,T3148,T3155,T3162,T3169,T3176,T3183,T3190,T3197,T3204,T3211,T3225,T3232,T3239,T3246,T3253,T3260,T3267,T3274,T3281,T3288,T3295,T3302,T3309,T3316,T3323,T3330,T3337,T3344,T3351,T3358,T3365,T3372,T3379,T3386,T3393,T3400,T3407,T3414,T3421,T3428,T3435,T3442,T3449,T3456,T3463,T3470,T3477,T3484,T3491,T3498,T3505,T3512,T3519,T3526,T3533,T3540,T3547,T3554,T3561,T3568,T3575)</f>
        <v>0</v>
      </c>
      <c r="U3582" s="702"/>
      <c r="V3582" s="700">
        <f>SUM(V2882,V2889,V2896,V2903,V2910,V2917,V2924,V2931,V2938,V2945,V2952,V2959,V2966,V2973,V2980,V2987,V2994,V3001,V3008,V3015,V3022,V3029,V3036,V3043,V3050,V3057,V3064,V3071,V3078,V3085,V3092,V3099,V3106,V3113,V3120,V3127,V3134,V3141,V3148,V3155,V3162,V3169,V3176,V3183,V3190,V3197,V3204,V3211,V3225,V3232,V3239,V3246,V3253,V3260,V3267,V3274,V3281,V3288,V3295,V3302,V3309,V3316,V3323,V3330,V3337,V3344,V3351,V3358,V3365,V3372,V3379,V3386,V3393,V3400,V3407,V3414,V3421,V3428,V3435,V3442,V3449,V3456,V3463,V3470,V3477,V3484,V3491,V3498,V3505,V3512,V3519,V3526,V3533,V3540,V3547,V3554,V3561,V3568,V3575)</f>
        <v>0</v>
      </c>
      <c r="W3582" s="702"/>
      <c r="X3582" s="700">
        <f>SUM(X2882,X2889,X2896,X2903,X2910,X2917,X2924,X2931,X2938,X2945,X2952,X2959,X2966,X2973,X2980,X2987,X2994,X3001,X3008,X3015,X3022,X3029,X3036,X3043,X3050,X3057,X3064,X3071,X3078,X3085,X3092,X3099,X3106,X3113,X3120,X3127,X3134,X3141,X3148,X3155,X3162,X3169,X3176,X3183,X3190,X3197,X3204,X3211,X3225,X3232,X3239,X3246,X3253,X3260,X3267,X3274,X3281,X3288,X3295,X3302,X3309,X3316,X3323,X3330,X3337,X3344,X3351,X3358,X3365,X3372,X3379,X3386,X3393,X3400,X3407,X3414,X3421,X3428,X3435,X3442,X3449,X3456,X3463,X3470,X3477,X3484,X3491,X3498,X3505,X3512,X3519,X3526,X3533,X3540,X3547,X3554,X3561,X3568,X3575)</f>
        <v>23252.542372881355</v>
      </c>
      <c r="Y3582" s="702"/>
      <c r="Z3582" s="700">
        <f>SUM(Z2882,Z2889,Z2896,Z2903,Z2910,Z2917,Z2924,Z2931,Z2938,Z2945,Z2952,Z2959,Z2966,Z2973,Z2980,Z2987,Z2994,Z3001,Z3008,Z3015,Z3022,Z3029,Z3036,Z3043,Z3050,Z3057,Z3064,Z3071,Z3078,Z3085,Z3092,Z3099,Z3106,Z3113,Z3120,Z3127,Z3134,Z3141,Z3148,Z3155,Z3162,Z3169,Z3176,Z3183,Z3190,Z3197,Z3204,Z3211,Z3225,Z3232,Z3239,Z3246,Z3253,Z3260,Z3267,Z3274,Z3281,Z3288,Z3295,Z3302,Z3309,Z3316,Z3323,Z3330,Z3337,Z3344,Z3351,Z3358,Z3365,Z3372,Z3379,Z3386,Z3393,Z3400,Z3407,Z3414,Z3421,Z3428,Z3435,Z3442,Z3449,Z3456,Z3463,Z3470,Z3477,Z3484,Z3491,Z3498,Z3505,Z3512,Z3519,Z3526,Z3533,Z3540,Z3547,Z3554,Z3561,Z3568,Z3575)</f>
        <v>0</v>
      </c>
      <c r="AA3582" s="702"/>
      <c r="AB3582" s="700">
        <f>SUM(AB2882,AB2889,AB2896,AB2903,AB2910,AB2917,AB2924,AB2931,AB2938,AB2945,AB2952,AB2959,AB2966,AB2973,AB2980,AB2987,AB2994,AB3001,AB3008,AB3015,AB3022,AB3029,AB3036,AB3043,AB3050,AB3057,AB3064,AB3071,AB3078,AB3085,AB3092,AB3099,AB3106,AB3113,AB3120,AB3127,AB3134,AB3141,AB3148,AB3155,AB3162,AB3169,AB3176,AB3183,AB3190,AB3197,AB3204,AB3211,AB3225,AB3232,AB3239,AB3246,AB3253,AB3260,AB3267,AB3274,AB3281,AB3288,AB3295,AB3302,AB3309,AB3316,AB3323,AB3330,AB3337,AB3344,AB3351,AB3358,AB3365,AB3372,AB3379,AB3386,AB3393,AB3400,AB3407,AB3414,AB3421,AB3428,AB3435,AB3442,AB3449,AB3456,AB3463,AB3470,AB3477,AB3484,AB3491,AB3498,AB3505,AB3512,AB3519,AB3526,AB3533,AB3540,AB3547,AB3554,AB3561,AB3568,AB3575)</f>
        <v>0</v>
      </c>
      <c r="AC3582" s="702"/>
      <c r="AD3582" s="700">
        <f>SUM(AD2882,AD2889,AD2896,AD2903,AD2910,AD2917,AD2924,AD2931,AD2938,AD2945,AD2952,AD2959,AD2966,AD2973,AD2980,AD2987,AD2994,AD3001,AD3008,AD3015,AD3022,AD3029,AD3036,AD3043,AD3050,AD3057,AD3064,AD3071,AD3078,AD3085,AD3092,AD3099,AD3106,AD3113,AD3120,AD3127,AD3134,AD3141,AD3148,AD3155,AD3162,AD3169,AD3176,AD3183,AD3190,AD3197,AD3204,AD3211,AD3225,AD3232,AD3239,AD3246,AD3253,AD3260,AD3267,AD3274,AD3281,AD3288,AD3295,AD3302,AD3309,AD3316,AD3323,AD3330,AD3337,AD3344,AD3351,AD3358,AD3365,AD3372,AD3379,AD3386,AD3393,AD3400,AD3407,AD3414,AD3421,AD3428,AD3435,AD3442,AD3449,AD3456,AD3463,AD3470,AD3477,AD3484,AD3491,AD3498,AD3505,AD3512,AD3519,AD3526,AD3533,AD3540,AD3547,AD3554,AD3561,AD3568,AD3575)</f>
        <v>0</v>
      </c>
      <c r="AE3582" s="702"/>
      <c r="AF3582" s="705"/>
      <c r="AG3582" s="729">
        <f>IF(AG3581&gt;0,AG3581/(SUM(AF2861:AF2865)/1.18),0)</f>
        <v>1</v>
      </c>
      <c r="AH3582" s="700">
        <f>SUM(AH2882,AH2889,AH2896,AH2903,AH2910,AH2917,AH2924,AH2931,AH2938,AH2945,AH2952,AH2959,AH2966,AH2973,AH2980,AH2987,AH2994,AH3001,AH3008,AH3015,AH3022,AH3029,AH3036,AH3043,AH3050,AH3057,AH3064,AH3071,AH3078,AH3085,AH3092,AH3099,AH3106,AH3113,AH3120,AH3127,AH3134,AH3141,AH3148,AH3155,AH3162,AH3169,AH3176,AH3183,AH3190,AH3197,AH3204,AH3211,AH3225,AH3232,AH3239,AH3246,AH3253,AH3260,AH3267,AH3274,AH3281,AH3288,AH3295,AH3302,AH3309,AH3316,AH3323,AH3330,AH3337,AH3344,AH3351,AH3358,AH3365,AH3372,AH3379,AH3386,AH3393,AH3400,AH3407,AH3414,AH3421,AH3428,AH3435,AH3442,AH3449,AH3456,AH3463,AH3470,AH3477,AH3484,AH3491,AH3498,AH3505,AH3512,AH3519,AH3526,AH3533,AH3540,AH3547,AH3554,AH3561,AH3568,AH3575)</f>
        <v>0</v>
      </c>
      <c r="AI3582" s="729">
        <f>IF(AI3581&gt;0,AI3581/(SUM(AH2861:AH2865)/1.18),0)</f>
        <v>1</v>
      </c>
    </row>
  </sheetData>
  <autoFilter ref="A5:AU696"/>
  <mergeCells count="1389">
    <mergeCell ref="C1358:C1362"/>
    <mergeCell ref="D1358:D1362"/>
    <mergeCell ref="C1365:C1369"/>
    <mergeCell ref="D1365:D1369"/>
    <mergeCell ref="C1372:C1376"/>
    <mergeCell ref="D1372:D1376"/>
    <mergeCell ref="C1337:C1341"/>
    <mergeCell ref="D1337:D1341"/>
    <mergeCell ref="C1344:C1348"/>
    <mergeCell ref="D1344:D1348"/>
    <mergeCell ref="C1351:C1355"/>
    <mergeCell ref="D1351:D1355"/>
    <mergeCell ref="C1421:C1425"/>
    <mergeCell ref="D1421:D1425"/>
    <mergeCell ref="C1252:D1252"/>
    <mergeCell ref="C1259:D1259"/>
    <mergeCell ref="C1266:D1266"/>
    <mergeCell ref="C1273:D1273"/>
    <mergeCell ref="C1280:D1280"/>
    <mergeCell ref="C1287:D1287"/>
    <mergeCell ref="C1294:D1294"/>
    <mergeCell ref="C1301:D1301"/>
    <mergeCell ref="C1308:D1308"/>
    <mergeCell ref="C1274:C1278"/>
    <mergeCell ref="D1274:D1278"/>
    <mergeCell ref="C1281:C1285"/>
    <mergeCell ref="D1281:D1285"/>
    <mergeCell ref="C1288:C1292"/>
    <mergeCell ref="D1288:D1292"/>
    <mergeCell ref="C1253:C1257"/>
    <mergeCell ref="D1253:D1257"/>
    <mergeCell ref="C1260:C1264"/>
    <mergeCell ref="D1260:D1264"/>
    <mergeCell ref="C1267:C1271"/>
    <mergeCell ref="D1267:D1271"/>
    <mergeCell ref="C1140:D1140"/>
    <mergeCell ref="C1106:C1110"/>
    <mergeCell ref="D1106:D1110"/>
    <mergeCell ref="C1113:C1117"/>
    <mergeCell ref="D1113:D1117"/>
    <mergeCell ref="C1120:C1124"/>
    <mergeCell ref="D1120:D1124"/>
    <mergeCell ref="C1085:C1089"/>
    <mergeCell ref="D1085:D1089"/>
    <mergeCell ref="C1092:C1096"/>
    <mergeCell ref="D1092:D1096"/>
    <mergeCell ref="C1099:C1103"/>
    <mergeCell ref="D1099:D1103"/>
    <mergeCell ref="C1168:D1168"/>
    <mergeCell ref="C1175:D1175"/>
    <mergeCell ref="C1182:D1182"/>
    <mergeCell ref="C1189:D1189"/>
    <mergeCell ref="C1169:C1173"/>
    <mergeCell ref="D1169:D1173"/>
    <mergeCell ref="C1176:C1180"/>
    <mergeCell ref="D1176:D1180"/>
    <mergeCell ref="C1183:C1187"/>
    <mergeCell ref="D1183:D1187"/>
    <mergeCell ref="C1098:D1098"/>
    <mergeCell ref="C1105:D1105"/>
    <mergeCell ref="C1112:D1112"/>
    <mergeCell ref="C1119:D1119"/>
    <mergeCell ref="C1126:D1126"/>
    <mergeCell ref="C1133:D1133"/>
    <mergeCell ref="C1014:D1014"/>
    <mergeCell ref="C1021:D1021"/>
    <mergeCell ref="C1028:D1028"/>
    <mergeCell ref="C1035:D1035"/>
    <mergeCell ref="C1042:D1042"/>
    <mergeCell ref="C1049:D1049"/>
    <mergeCell ref="C1056:D1056"/>
    <mergeCell ref="C1022:C1026"/>
    <mergeCell ref="D1022:D1026"/>
    <mergeCell ref="C1029:C1033"/>
    <mergeCell ref="D1029:D1033"/>
    <mergeCell ref="C1036:C1040"/>
    <mergeCell ref="D1036:D1040"/>
    <mergeCell ref="C1001:C1005"/>
    <mergeCell ref="D1001:D1005"/>
    <mergeCell ref="C1008:C1012"/>
    <mergeCell ref="D1008:D1012"/>
    <mergeCell ref="C1015:C1019"/>
    <mergeCell ref="D1015:D1019"/>
    <mergeCell ref="C888:D888"/>
    <mergeCell ref="C854:C858"/>
    <mergeCell ref="D854:D858"/>
    <mergeCell ref="C861:C865"/>
    <mergeCell ref="D861:D865"/>
    <mergeCell ref="C868:C872"/>
    <mergeCell ref="D868:D872"/>
    <mergeCell ref="C833:C837"/>
    <mergeCell ref="D833:D837"/>
    <mergeCell ref="C840:C844"/>
    <mergeCell ref="D840:D844"/>
    <mergeCell ref="C847:C851"/>
    <mergeCell ref="D847:D851"/>
    <mergeCell ref="C916:D916"/>
    <mergeCell ref="C923:D923"/>
    <mergeCell ref="C930:D930"/>
    <mergeCell ref="C937:D937"/>
    <mergeCell ref="C917:C921"/>
    <mergeCell ref="D917:D921"/>
    <mergeCell ref="C924:C928"/>
    <mergeCell ref="D924:D928"/>
    <mergeCell ref="C931:C935"/>
    <mergeCell ref="D931:D935"/>
    <mergeCell ref="C875:C879"/>
    <mergeCell ref="D875:D879"/>
    <mergeCell ref="C882:C886"/>
    <mergeCell ref="D882:D886"/>
    <mergeCell ref="C889:C893"/>
    <mergeCell ref="D889:D893"/>
    <mergeCell ref="C895:D895"/>
    <mergeCell ref="C902:D902"/>
    <mergeCell ref="C909:D909"/>
    <mergeCell ref="C770:C774"/>
    <mergeCell ref="D770:D774"/>
    <mergeCell ref="C777:C781"/>
    <mergeCell ref="D777:D781"/>
    <mergeCell ref="C784:C788"/>
    <mergeCell ref="D784:D788"/>
    <mergeCell ref="C749:C753"/>
    <mergeCell ref="D749:D753"/>
    <mergeCell ref="C756:C760"/>
    <mergeCell ref="D756:D760"/>
    <mergeCell ref="C763:C767"/>
    <mergeCell ref="D763:D767"/>
    <mergeCell ref="C6:C10"/>
    <mergeCell ref="D6:D10"/>
    <mergeCell ref="C13:C17"/>
    <mergeCell ref="D13:D17"/>
    <mergeCell ref="C20:C24"/>
    <mergeCell ref="D20:D24"/>
    <mergeCell ref="C69:C73"/>
    <mergeCell ref="D69:D73"/>
    <mergeCell ref="C76:C80"/>
    <mergeCell ref="D76:D80"/>
    <mergeCell ref="C83:C87"/>
    <mergeCell ref="D83:D87"/>
    <mergeCell ref="C48:C52"/>
    <mergeCell ref="D48:D52"/>
    <mergeCell ref="C55:C59"/>
    <mergeCell ref="D55:D59"/>
    <mergeCell ref="C62:C66"/>
    <mergeCell ref="D62:D66"/>
    <mergeCell ref="C27:C31"/>
    <mergeCell ref="D27:D31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C4:C5"/>
    <mergeCell ref="D4:D5"/>
    <mergeCell ref="E4:E5"/>
    <mergeCell ref="F4:G4"/>
    <mergeCell ref="H4:I4"/>
    <mergeCell ref="J4:K4"/>
    <mergeCell ref="X4:Y4"/>
    <mergeCell ref="Z4:AA4"/>
    <mergeCell ref="AB4:AC4"/>
    <mergeCell ref="C34:C38"/>
    <mergeCell ref="D34:D38"/>
    <mergeCell ref="C41:C45"/>
    <mergeCell ref="D41:D45"/>
    <mergeCell ref="C132:C136"/>
    <mergeCell ref="D132:D136"/>
    <mergeCell ref="C139:C143"/>
    <mergeCell ref="D139:D143"/>
    <mergeCell ref="C146:C150"/>
    <mergeCell ref="D146:D150"/>
    <mergeCell ref="C111:C115"/>
    <mergeCell ref="D111:D115"/>
    <mergeCell ref="C118:C122"/>
    <mergeCell ref="D118:D122"/>
    <mergeCell ref="C125:C129"/>
    <mergeCell ref="D125:D129"/>
    <mergeCell ref="C90:C94"/>
    <mergeCell ref="D90:D94"/>
    <mergeCell ref="C97:C101"/>
    <mergeCell ref="D97:D101"/>
    <mergeCell ref="C104:C108"/>
    <mergeCell ref="D104:D108"/>
    <mergeCell ref="C195:C199"/>
    <mergeCell ref="D195:D199"/>
    <mergeCell ref="C202:C206"/>
    <mergeCell ref="D202:D206"/>
    <mergeCell ref="C209:C213"/>
    <mergeCell ref="D209:D213"/>
    <mergeCell ref="C174:C178"/>
    <mergeCell ref="D174:D178"/>
    <mergeCell ref="C181:C185"/>
    <mergeCell ref="D181:D185"/>
    <mergeCell ref="C188:C192"/>
    <mergeCell ref="D188:D192"/>
    <mergeCell ref="C153:C157"/>
    <mergeCell ref="D153:D157"/>
    <mergeCell ref="C160:C164"/>
    <mergeCell ref="D160:D164"/>
    <mergeCell ref="C167:C171"/>
    <mergeCell ref="D167:D171"/>
    <mergeCell ref="C258:C262"/>
    <mergeCell ref="D258:D262"/>
    <mergeCell ref="C265:C269"/>
    <mergeCell ref="D265:D269"/>
    <mergeCell ref="C272:C276"/>
    <mergeCell ref="D272:D276"/>
    <mergeCell ref="C237:C241"/>
    <mergeCell ref="D237:D241"/>
    <mergeCell ref="C244:C248"/>
    <mergeCell ref="D244:D248"/>
    <mergeCell ref="C251:C255"/>
    <mergeCell ref="D251:D255"/>
    <mergeCell ref="C216:C220"/>
    <mergeCell ref="D216:D220"/>
    <mergeCell ref="C223:C227"/>
    <mergeCell ref="D223:D227"/>
    <mergeCell ref="C230:C234"/>
    <mergeCell ref="D230:D234"/>
    <mergeCell ref="C321:C325"/>
    <mergeCell ref="D321:D325"/>
    <mergeCell ref="C328:C332"/>
    <mergeCell ref="D328:D332"/>
    <mergeCell ref="C335:C339"/>
    <mergeCell ref="D335:D339"/>
    <mergeCell ref="C300:C304"/>
    <mergeCell ref="D300:D304"/>
    <mergeCell ref="C307:C311"/>
    <mergeCell ref="D307:D311"/>
    <mergeCell ref="C314:C318"/>
    <mergeCell ref="D314:D318"/>
    <mergeCell ref="C279:C283"/>
    <mergeCell ref="D279:D283"/>
    <mergeCell ref="C286:C290"/>
    <mergeCell ref="D286:D290"/>
    <mergeCell ref="C293:C297"/>
    <mergeCell ref="D293:D297"/>
    <mergeCell ref="C384:C388"/>
    <mergeCell ref="D384:D388"/>
    <mergeCell ref="C391:C395"/>
    <mergeCell ref="D391:D395"/>
    <mergeCell ref="C398:C402"/>
    <mergeCell ref="D398:D402"/>
    <mergeCell ref="C363:C367"/>
    <mergeCell ref="D363:D367"/>
    <mergeCell ref="C370:C374"/>
    <mergeCell ref="D370:D374"/>
    <mergeCell ref="C377:C381"/>
    <mergeCell ref="D377:D381"/>
    <mergeCell ref="C342:C346"/>
    <mergeCell ref="D342:D346"/>
    <mergeCell ref="C349:C353"/>
    <mergeCell ref="D349:D353"/>
    <mergeCell ref="C356:C360"/>
    <mergeCell ref="D356:D360"/>
    <mergeCell ref="C447:C451"/>
    <mergeCell ref="D447:D451"/>
    <mergeCell ref="C454:C458"/>
    <mergeCell ref="D454:D458"/>
    <mergeCell ref="C461:C465"/>
    <mergeCell ref="D461:D465"/>
    <mergeCell ref="C426:C430"/>
    <mergeCell ref="D426:D430"/>
    <mergeCell ref="C433:C437"/>
    <mergeCell ref="D433:D437"/>
    <mergeCell ref="C440:C444"/>
    <mergeCell ref="D440:D444"/>
    <mergeCell ref="C405:C409"/>
    <mergeCell ref="D405:D409"/>
    <mergeCell ref="C412:C416"/>
    <mergeCell ref="D412:D416"/>
    <mergeCell ref="C419:C423"/>
    <mergeCell ref="D419:D423"/>
    <mergeCell ref="C510:C514"/>
    <mergeCell ref="D510:D514"/>
    <mergeCell ref="C517:C521"/>
    <mergeCell ref="D517:D521"/>
    <mergeCell ref="C524:C528"/>
    <mergeCell ref="D524:D528"/>
    <mergeCell ref="C489:C493"/>
    <mergeCell ref="D489:D493"/>
    <mergeCell ref="C496:C500"/>
    <mergeCell ref="D496:D500"/>
    <mergeCell ref="C503:C507"/>
    <mergeCell ref="D503:D507"/>
    <mergeCell ref="C468:C472"/>
    <mergeCell ref="D468:D472"/>
    <mergeCell ref="C475:C479"/>
    <mergeCell ref="D475:D479"/>
    <mergeCell ref="C482:C486"/>
    <mergeCell ref="D482:D486"/>
    <mergeCell ref="C573:C577"/>
    <mergeCell ref="D573:D577"/>
    <mergeCell ref="C580:C584"/>
    <mergeCell ref="D580:D584"/>
    <mergeCell ref="C587:C591"/>
    <mergeCell ref="D587:D591"/>
    <mergeCell ref="C552:C556"/>
    <mergeCell ref="D552:D556"/>
    <mergeCell ref="C559:C563"/>
    <mergeCell ref="D559:D563"/>
    <mergeCell ref="C566:C570"/>
    <mergeCell ref="D566:D570"/>
    <mergeCell ref="C531:C535"/>
    <mergeCell ref="D531:D535"/>
    <mergeCell ref="C538:C542"/>
    <mergeCell ref="D538:D542"/>
    <mergeCell ref="C545:C549"/>
    <mergeCell ref="D545:D549"/>
    <mergeCell ref="C636:C640"/>
    <mergeCell ref="D636:D640"/>
    <mergeCell ref="C643:C647"/>
    <mergeCell ref="D643:D647"/>
    <mergeCell ref="C650:C654"/>
    <mergeCell ref="D650:D654"/>
    <mergeCell ref="C615:C619"/>
    <mergeCell ref="D615:D619"/>
    <mergeCell ref="C622:C626"/>
    <mergeCell ref="D622:D626"/>
    <mergeCell ref="C629:C633"/>
    <mergeCell ref="D629:D633"/>
    <mergeCell ref="C594:C598"/>
    <mergeCell ref="D594:D598"/>
    <mergeCell ref="C601:C605"/>
    <mergeCell ref="D601:D605"/>
    <mergeCell ref="C608:C612"/>
    <mergeCell ref="D608:D612"/>
    <mergeCell ref="C699:C703"/>
    <mergeCell ref="D699:D703"/>
    <mergeCell ref="C706:C710"/>
    <mergeCell ref="D706:D710"/>
    <mergeCell ref="C719:C720"/>
    <mergeCell ref="D719:D720"/>
    <mergeCell ref="C678:C682"/>
    <mergeCell ref="D678:D682"/>
    <mergeCell ref="C685:C689"/>
    <mergeCell ref="D685:D689"/>
    <mergeCell ref="C692:C696"/>
    <mergeCell ref="D692:D696"/>
    <mergeCell ref="C657:C661"/>
    <mergeCell ref="D657:D661"/>
    <mergeCell ref="C664:C668"/>
    <mergeCell ref="D664:D668"/>
    <mergeCell ref="C671:C675"/>
    <mergeCell ref="D671:D675"/>
    <mergeCell ref="C728:C732"/>
    <mergeCell ref="D728:D732"/>
    <mergeCell ref="C735:C739"/>
    <mergeCell ref="D735:D739"/>
    <mergeCell ref="C742:C746"/>
    <mergeCell ref="D742:D746"/>
    <mergeCell ref="AB719:AC719"/>
    <mergeCell ref="AD719:AE719"/>
    <mergeCell ref="AF719:AG719"/>
    <mergeCell ref="AH719:AI719"/>
    <mergeCell ref="C721:C725"/>
    <mergeCell ref="D721:D725"/>
    <mergeCell ref="P719:Q719"/>
    <mergeCell ref="R719:S719"/>
    <mergeCell ref="T719:U719"/>
    <mergeCell ref="V719:W719"/>
    <mergeCell ref="X719:Y719"/>
    <mergeCell ref="Z719:AA719"/>
    <mergeCell ref="E719:E720"/>
    <mergeCell ref="F719:G719"/>
    <mergeCell ref="H719:I719"/>
    <mergeCell ref="J719:K719"/>
    <mergeCell ref="L719:M719"/>
    <mergeCell ref="N719:O719"/>
    <mergeCell ref="C812:C816"/>
    <mergeCell ref="D812:D816"/>
    <mergeCell ref="C819:C823"/>
    <mergeCell ref="D819:D823"/>
    <mergeCell ref="C826:C830"/>
    <mergeCell ref="D826:D830"/>
    <mergeCell ref="C791:C795"/>
    <mergeCell ref="D791:D795"/>
    <mergeCell ref="C798:C802"/>
    <mergeCell ref="D798:D802"/>
    <mergeCell ref="C805:C809"/>
    <mergeCell ref="D805:D809"/>
    <mergeCell ref="C825:D825"/>
    <mergeCell ref="C832:D832"/>
    <mergeCell ref="C839:D839"/>
    <mergeCell ref="C846:D846"/>
    <mergeCell ref="C853:D853"/>
    <mergeCell ref="C860:D860"/>
    <mergeCell ref="C867:D867"/>
    <mergeCell ref="C874:D874"/>
    <mergeCell ref="C881:D881"/>
    <mergeCell ref="C980:C984"/>
    <mergeCell ref="D980:D984"/>
    <mergeCell ref="C987:C991"/>
    <mergeCell ref="D987:D991"/>
    <mergeCell ref="C994:C998"/>
    <mergeCell ref="D994:D998"/>
    <mergeCell ref="C959:C963"/>
    <mergeCell ref="D959:D963"/>
    <mergeCell ref="C966:C970"/>
    <mergeCell ref="D966:D970"/>
    <mergeCell ref="C973:C977"/>
    <mergeCell ref="D973:D977"/>
    <mergeCell ref="C979:D979"/>
    <mergeCell ref="C986:D986"/>
    <mergeCell ref="C993:D993"/>
    <mergeCell ref="C896:C900"/>
    <mergeCell ref="D896:D900"/>
    <mergeCell ref="C903:C907"/>
    <mergeCell ref="D903:D907"/>
    <mergeCell ref="C910:C914"/>
    <mergeCell ref="D910:D914"/>
    <mergeCell ref="C944:D944"/>
    <mergeCell ref="C951:D951"/>
    <mergeCell ref="C958:D958"/>
    <mergeCell ref="C965:D965"/>
    <mergeCell ref="C972:D972"/>
    <mergeCell ref="C938:C942"/>
    <mergeCell ref="D938:D942"/>
    <mergeCell ref="C945:C949"/>
    <mergeCell ref="D945:D949"/>
    <mergeCell ref="C952:C956"/>
    <mergeCell ref="D952:D956"/>
    <mergeCell ref="C1127:C1131"/>
    <mergeCell ref="D1127:D1131"/>
    <mergeCell ref="C1134:C1138"/>
    <mergeCell ref="D1134:D1138"/>
    <mergeCell ref="C1141:C1145"/>
    <mergeCell ref="D1141:D1145"/>
    <mergeCell ref="C1147:D1147"/>
    <mergeCell ref="C1154:D1154"/>
    <mergeCell ref="C1161:D1161"/>
    <mergeCell ref="C1064:C1068"/>
    <mergeCell ref="D1064:D1068"/>
    <mergeCell ref="C1071:C1075"/>
    <mergeCell ref="D1071:D1075"/>
    <mergeCell ref="C1078:C1082"/>
    <mergeCell ref="D1078:D1082"/>
    <mergeCell ref="C1043:C1047"/>
    <mergeCell ref="D1043:D1047"/>
    <mergeCell ref="C1050:C1054"/>
    <mergeCell ref="D1050:D1054"/>
    <mergeCell ref="C1057:C1061"/>
    <mergeCell ref="D1057:D1061"/>
    <mergeCell ref="C1063:D1063"/>
    <mergeCell ref="C1070:D1070"/>
    <mergeCell ref="C1077:D1077"/>
    <mergeCell ref="C1084:D1084"/>
    <mergeCell ref="C1091:D1091"/>
    <mergeCell ref="C1000:D1000"/>
    <mergeCell ref="C1007:D1007"/>
    <mergeCell ref="C1232:C1236"/>
    <mergeCell ref="D1232:D1236"/>
    <mergeCell ref="C1239:C1243"/>
    <mergeCell ref="D1239:D1243"/>
    <mergeCell ref="C1246:C1250"/>
    <mergeCell ref="D1246:D1250"/>
    <mergeCell ref="C1211:C1215"/>
    <mergeCell ref="D1211:D1215"/>
    <mergeCell ref="C1218:C1222"/>
    <mergeCell ref="D1218:D1222"/>
    <mergeCell ref="C1225:C1229"/>
    <mergeCell ref="D1225:D1229"/>
    <mergeCell ref="C1231:D1231"/>
    <mergeCell ref="C1238:D1238"/>
    <mergeCell ref="C1245:D1245"/>
    <mergeCell ref="C1148:C1152"/>
    <mergeCell ref="D1148:D1152"/>
    <mergeCell ref="C1155:C1159"/>
    <mergeCell ref="D1155:D1159"/>
    <mergeCell ref="C1162:C1166"/>
    <mergeCell ref="D1162:D1166"/>
    <mergeCell ref="C1196:D1196"/>
    <mergeCell ref="C1203:D1203"/>
    <mergeCell ref="C1210:D1210"/>
    <mergeCell ref="C1217:D1217"/>
    <mergeCell ref="C1224:D1224"/>
    <mergeCell ref="C1190:C1194"/>
    <mergeCell ref="D1190:D1194"/>
    <mergeCell ref="C1197:C1201"/>
    <mergeCell ref="D1197:D1201"/>
    <mergeCell ref="C1204:C1208"/>
    <mergeCell ref="D1204:D1208"/>
    <mergeCell ref="C1379:C1383"/>
    <mergeCell ref="D1379:D1383"/>
    <mergeCell ref="C1386:C1390"/>
    <mergeCell ref="D1386:D1390"/>
    <mergeCell ref="C1393:C1397"/>
    <mergeCell ref="D1393:D1397"/>
    <mergeCell ref="C1399:D1399"/>
    <mergeCell ref="C1406:D1406"/>
    <mergeCell ref="C1413:D1413"/>
    <mergeCell ref="C1316:C1320"/>
    <mergeCell ref="D1316:D1320"/>
    <mergeCell ref="C1323:C1327"/>
    <mergeCell ref="D1323:D1327"/>
    <mergeCell ref="C1330:C1334"/>
    <mergeCell ref="D1330:D1334"/>
    <mergeCell ref="C1295:C1299"/>
    <mergeCell ref="D1295:D1299"/>
    <mergeCell ref="C1302:C1306"/>
    <mergeCell ref="D1302:D1306"/>
    <mergeCell ref="C1309:C1313"/>
    <mergeCell ref="D1309:D1313"/>
    <mergeCell ref="C1315:D1315"/>
    <mergeCell ref="C1322:D1322"/>
    <mergeCell ref="C1329:D1329"/>
    <mergeCell ref="C1336:D1336"/>
    <mergeCell ref="C1343:D1343"/>
    <mergeCell ref="C1350:D1350"/>
    <mergeCell ref="C1357:D1357"/>
    <mergeCell ref="C1364:D1364"/>
    <mergeCell ref="C1371:D1371"/>
    <mergeCell ref="C1378:D1378"/>
    <mergeCell ref="C1385:D1385"/>
    <mergeCell ref="AF1445:AG1445"/>
    <mergeCell ref="AH1445:AI1445"/>
    <mergeCell ref="C1445:C1446"/>
    <mergeCell ref="D1445:D1446"/>
    <mergeCell ref="E1445:E1446"/>
    <mergeCell ref="F1445:G1445"/>
    <mergeCell ref="H1445:I1445"/>
    <mergeCell ref="J1445:K1445"/>
    <mergeCell ref="L1445:M1445"/>
    <mergeCell ref="N1445:O1445"/>
    <mergeCell ref="P1445:Q1445"/>
    <mergeCell ref="C1420:D1420"/>
    <mergeCell ref="C1400:C1404"/>
    <mergeCell ref="D1400:D1404"/>
    <mergeCell ref="C1407:C1411"/>
    <mergeCell ref="D1407:D1411"/>
    <mergeCell ref="C1414:C1418"/>
    <mergeCell ref="D1414:D1418"/>
    <mergeCell ref="C1427:D1427"/>
    <mergeCell ref="AD1445:AE1445"/>
    <mergeCell ref="C1392:D1392"/>
    <mergeCell ref="C1447:C1451"/>
    <mergeCell ref="D1447:D1451"/>
    <mergeCell ref="C1454:C1458"/>
    <mergeCell ref="D1454:D1458"/>
    <mergeCell ref="C1461:C1465"/>
    <mergeCell ref="D1461:D1465"/>
    <mergeCell ref="C1468:C1472"/>
    <mergeCell ref="D1468:D1472"/>
    <mergeCell ref="C1475:C1479"/>
    <mergeCell ref="D1475:D1479"/>
    <mergeCell ref="R1445:S1445"/>
    <mergeCell ref="T1445:U1445"/>
    <mergeCell ref="V1445:W1445"/>
    <mergeCell ref="X1445:Y1445"/>
    <mergeCell ref="Z1445:AA1445"/>
    <mergeCell ref="AB1445:AC1445"/>
    <mergeCell ref="C1517:C1521"/>
    <mergeCell ref="D1517:D1521"/>
    <mergeCell ref="C1524:C1528"/>
    <mergeCell ref="D1524:D1528"/>
    <mergeCell ref="C1531:C1535"/>
    <mergeCell ref="D1531:D1535"/>
    <mergeCell ref="C1538:C1542"/>
    <mergeCell ref="D1538:D1542"/>
    <mergeCell ref="C1545:C1549"/>
    <mergeCell ref="D1545:D1549"/>
    <mergeCell ref="C1482:C1486"/>
    <mergeCell ref="D1482:D1486"/>
    <mergeCell ref="C1489:C1493"/>
    <mergeCell ref="D1489:D1493"/>
    <mergeCell ref="C1496:C1500"/>
    <mergeCell ref="D1496:D1500"/>
    <mergeCell ref="C1503:C1507"/>
    <mergeCell ref="D1503:D1507"/>
    <mergeCell ref="C1510:C1514"/>
    <mergeCell ref="D1510:D1514"/>
    <mergeCell ref="C1587:C1591"/>
    <mergeCell ref="D1587:D1591"/>
    <mergeCell ref="C1594:C1598"/>
    <mergeCell ref="D1594:D1598"/>
    <mergeCell ref="C1601:C1605"/>
    <mergeCell ref="D1601:D1605"/>
    <mergeCell ref="C1608:C1612"/>
    <mergeCell ref="D1608:D1612"/>
    <mergeCell ref="C1615:C1619"/>
    <mergeCell ref="D1615:D1619"/>
    <mergeCell ref="C1552:C1556"/>
    <mergeCell ref="D1552:D1556"/>
    <mergeCell ref="C1559:C1563"/>
    <mergeCell ref="D1559:D1563"/>
    <mergeCell ref="C1566:C1570"/>
    <mergeCell ref="D1566:D1570"/>
    <mergeCell ref="C1573:C1577"/>
    <mergeCell ref="D1573:D1577"/>
    <mergeCell ref="C1580:C1584"/>
    <mergeCell ref="D1580:D1584"/>
    <mergeCell ref="C1657:C1661"/>
    <mergeCell ref="D1657:D1661"/>
    <mergeCell ref="C1664:C1668"/>
    <mergeCell ref="D1664:D1668"/>
    <mergeCell ref="C1671:C1675"/>
    <mergeCell ref="D1671:D1675"/>
    <mergeCell ref="C1678:C1682"/>
    <mergeCell ref="D1678:D1682"/>
    <mergeCell ref="C1685:C1689"/>
    <mergeCell ref="D1685:D1689"/>
    <mergeCell ref="C1622:C1626"/>
    <mergeCell ref="D1622:D1626"/>
    <mergeCell ref="C1629:C1633"/>
    <mergeCell ref="D1629:D1633"/>
    <mergeCell ref="C1636:C1640"/>
    <mergeCell ref="D1636:D1640"/>
    <mergeCell ref="C1643:C1647"/>
    <mergeCell ref="D1643:D1647"/>
    <mergeCell ref="C1650:C1654"/>
    <mergeCell ref="D1650:D1654"/>
    <mergeCell ref="C1727:C1731"/>
    <mergeCell ref="D1727:D1731"/>
    <mergeCell ref="C1734:C1738"/>
    <mergeCell ref="D1734:D1738"/>
    <mergeCell ref="C1741:C1745"/>
    <mergeCell ref="D1741:D1745"/>
    <mergeCell ref="C1748:C1752"/>
    <mergeCell ref="D1748:D1752"/>
    <mergeCell ref="C1755:C1759"/>
    <mergeCell ref="D1755:D1759"/>
    <mergeCell ref="C1692:C1696"/>
    <mergeCell ref="D1692:D1696"/>
    <mergeCell ref="C1699:C1703"/>
    <mergeCell ref="D1699:D1703"/>
    <mergeCell ref="C1706:C1710"/>
    <mergeCell ref="D1706:D1710"/>
    <mergeCell ref="C1713:C1717"/>
    <mergeCell ref="D1713:D1717"/>
    <mergeCell ref="C1720:C1724"/>
    <mergeCell ref="D1720:D1724"/>
    <mergeCell ref="C1797:C1801"/>
    <mergeCell ref="D1797:D1801"/>
    <mergeCell ref="C1804:C1808"/>
    <mergeCell ref="D1804:D1808"/>
    <mergeCell ref="C1811:C1815"/>
    <mergeCell ref="D1811:D1815"/>
    <mergeCell ref="C1818:C1822"/>
    <mergeCell ref="D1818:D1822"/>
    <mergeCell ref="C1825:C1829"/>
    <mergeCell ref="D1825:D1829"/>
    <mergeCell ref="C1762:C1766"/>
    <mergeCell ref="D1762:D1766"/>
    <mergeCell ref="C1769:C1773"/>
    <mergeCell ref="D1769:D1773"/>
    <mergeCell ref="C1776:C1780"/>
    <mergeCell ref="D1776:D1780"/>
    <mergeCell ref="C1783:C1787"/>
    <mergeCell ref="D1783:D1787"/>
    <mergeCell ref="C1790:C1794"/>
    <mergeCell ref="D1790:D1794"/>
    <mergeCell ref="C1867:C1871"/>
    <mergeCell ref="D1867:D1871"/>
    <mergeCell ref="C1874:C1878"/>
    <mergeCell ref="D1874:D1878"/>
    <mergeCell ref="C1881:C1885"/>
    <mergeCell ref="D1881:D1885"/>
    <mergeCell ref="C1888:C1892"/>
    <mergeCell ref="D1888:D1892"/>
    <mergeCell ref="C1895:C1899"/>
    <mergeCell ref="D1895:D1899"/>
    <mergeCell ref="C1832:C1836"/>
    <mergeCell ref="D1832:D1836"/>
    <mergeCell ref="C1839:C1843"/>
    <mergeCell ref="D1839:D1843"/>
    <mergeCell ref="C1846:C1850"/>
    <mergeCell ref="D1846:D1850"/>
    <mergeCell ref="C1853:C1857"/>
    <mergeCell ref="D1853:D1857"/>
    <mergeCell ref="C1860:C1864"/>
    <mergeCell ref="D1860:D1864"/>
    <mergeCell ref="C1937:C1941"/>
    <mergeCell ref="D1937:D1941"/>
    <mergeCell ref="C1944:C1948"/>
    <mergeCell ref="D1944:D1948"/>
    <mergeCell ref="C1951:C1955"/>
    <mergeCell ref="D1951:D1955"/>
    <mergeCell ref="C1958:C1962"/>
    <mergeCell ref="D1958:D1962"/>
    <mergeCell ref="C1965:C1969"/>
    <mergeCell ref="D1965:D1969"/>
    <mergeCell ref="C1902:C1906"/>
    <mergeCell ref="D1902:D1906"/>
    <mergeCell ref="C1909:C1913"/>
    <mergeCell ref="D1909:D1913"/>
    <mergeCell ref="C1916:C1920"/>
    <mergeCell ref="D1916:D1920"/>
    <mergeCell ref="C1923:C1927"/>
    <mergeCell ref="D1923:D1927"/>
    <mergeCell ref="C1930:C1934"/>
    <mergeCell ref="D1930:D1934"/>
    <mergeCell ref="C2007:C2011"/>
    <mergeCell ref="D2007:D2011"/>
    <mergeCell ref="C2014:C2018"/>
    <mergeCell ref="D2014:D2018"/>
    <mergeCell ref="C2021:C2025"/>
    <mergeCell ref="D2021:D2025"/>
    <mergeCell ref="C2028:C2032"/>
    <mergeCell ref="D2028:D2032"/>
    <mergeCell ref="C2035:C2039"/>
    <mergeCell ref="D2035:D2039"/>
    <mergeCell ref="C1972:C1976"/>
    <mergeCell ref="D1972:D1976"/>
    <mergeCell ref="C1979:C1983"/>
    <mergeCell ref="D1979:D1983"/>
    <mergeCell ref="C1986:C1990"/>
    <mergeCell ref="D1986:D1990"/>
    <mergeCell ref="C1993:C1997"/>
    <mergeCell ref="D1993:D1997"/>
    <mergeCell ref="C2000:C2004"/>
    <mergeCell ref="D2000:D2004"/>
    <mergeCell ref="C2077:C2081"/>
    <mergeCell ref="D2077:D2081"/>
    <mergeCell ref="C2084:C2088"/>
    <mergeCell ref="D2084:D2088"/>
    <mergeCell ref="C2091:C2095"/>
    <mergeCell ref="D2091:D2095"/>
    <mergeCell ref="C2098:C2102"/>
    <mergeCell ref="D2098:D2102"/>
    <mergeCell ref="C2105:C2109"/>
    <mergeCell ref="D2105:D2109"/>
    <mergeCell ref="C2042:C2046"/>
    <mergeCell ref="D2042:D2046"/>
    <mergeCell ref="C2049:C2053"/>
    <mergeCell ref="D2049:D2053"/>
    <mergeCell ref="C2056:C2060"/>
    <mergeCell ref="D2056:D2060"/>
    <mergeCell ref="C2063:C2067"/>
    <mergeCell ref="D2063:D2067"/>
    <mergeCell ref="C2070:C2074"/>
    <mergeCell ref="D2070:D2074"/>
    <mergeCell ref="C2147:C2151"/>
    <mergeCell ref="D2147:D2151"/>
    <mergeCell ref="C2160:C2161"/>
    <mergeCell ref="D2160:D2161"/>
    <mergeCell ref="E2160:E2161"/>
    <mergeCell ref="F2160:G2160"/>
    <mergeCell ref="H2160:I2160"/>
    <mergeCell ref="J2160:K2160"/>
    <mergeCell ref="L2160:M2160"/>
    <mergeCell ref="C2112:C2116"/>
    <mergeCell ref="D2112:D2116"/>
    <mergeCell ref="C2119:C2123"/>
    <mergeCell ref="D2119:D2123"/>
    <mergeCell ref="C2126:C2130"/>
    <mergeCell ref="D2126:D2130"/>
    <mergeCell ref="C2133:C2137"/>
    <mergeCell ref="D2133:D2137"/>
    <mergeCell ref="C2140:C2144"/>
    <mergeCell ref="D2140:D2144"/>
    <mergeCell ref="C2182:D2182"/>
    <mergeCell ref="C2183:C2187"/>
    <mergeCell ref="D2183:D2187"/>
    <mergeCell ref="C2189:D2189"/>
    <mergeCell ref="C2190:C2194"/>
    <mergeCell ref="D2190:D2194"/>
    <mergeCell ref="C2196:D2196"/>
    <mergeCell ref="C2197:C2201"/>
    <mergeCell ref="D2197:D2201"/>
    <mergeCell ref="AF2160:AG2160"/>
    <mergeCell ref="AH2160:AI2160"/>
    <mergeCell ref="C2162:C2166"/>
    <mergeCell ref="D2162:D2166"/>
    <mergeCell ref="C2168:D2168"/>
    <mergeCell ref="C2169:C2173"/>
    <mergeCell ref="D2169:D2173"/>
    <mergeCell ref="C2175:D2175"/>
    <mergeCell ref="C2176:C2180"/>
    <mergeCell ref="D2176:D2180"/>
    <mergeCell ref="N2160:O2160"/>
    <mergeCell ref="P2160:Q2160"/>
    <mergeCell ref="R2160:S2160"/>
    <mergeCell ref="T2160:U2160"/>
    <mergeCell ref="V2160:W2160"/>
    <mergeCell ref="X2160:Y2160"/>
    <mergeCell ref="Z2160:AA2160"/>
    <mergeCell ref="AB2160:AC2160"/>
    <mergeCell ref="AD2160:AE2160"/>
    <mergeCell ref="C2224:D2224"/>
    <mergeCell ref="C2225:C2229"/>
    <mergeCell ref="D2225:D2229"/>
    <mergeCell ref="C2231:D2231"/>
    <mergeCell ref="C2232:C2236"/>
    <mergeCell ref="D2232:D2236"/>
    <mergeCell ref="C2238:D2238"/>
    <mergeCell ref="C2239:C2243"/>
    <mergeCell ref="D2239:D2243"/>
    <mergeCell ref="C2203:D2203"/>
    <mergeCell ref="C2204:C2208"/>
    <mergeCell ref="D2204:D2208"/>
    <mergeCell ref="C2210:D2210"/>
    <mergeCell ref="C2211:C2215"/>
    <mergeCell ref="D2211:D2215"/>
    <mergeCell ref="C2217:D2217"/>
    <mergeCell ref="C2218:C2222"/>
    <mergeCell ref="D2218:D2222"/>
    <mergeCell ref="C2266:D2266"/>
    <mergeCell ref="C2267:C2271"/>
    <mergeCell ref="D2267:D2271"/>
    <mergeCell ref="C2273:D2273"/>
    <mergeCell ref="C2274:C2278"/>
    <mergeCell ref="D2274:D2278"/>
    <mergeCell ref="C2280:D2280"/>
    <mergeCell ref="C2281:C2285"/>
    <mergeCell ref="D2281:D2285"/>
    <mergeCell ref="C2245:D2245"/>
    <mergeCell ref="C2246:C2250"/>
    <mergeCell ref="D2246:D2250"/>
    <mergeCell ref="C2252:D2252"/>
    <mergeCell ref="C2253:C2257"/>
    <mergeCell ref="D2253:D2257"/>
    <mergeCell ref="C2259:D2259"/>
    <mergeCell ref="C2260:C2264"/>
    <mergeCell ref="D2260:D2264"/>
    <mergeCell ref="C2308:D2308"/>
    <mergeCell ref="C2309:C2313"/>
    <mergeCell ref="D2309:D2313"/>
    <mergeCell ref="C2315:D2315"/>
    <mergeCell ref="C2316:C2320"/>
    <mergeCell ref="D2316:D2320"/>
    <mergeCell ref="C2322:D2322"/>
    <mergeCell ref="C2323:C2327"/>
    <mergeCell ref="D2323:D2327"/>
    <mergeCell ref="C2287:D2287"/>
    <mergeCell ref="C2288:C2292"/>
    <mergeCell ref="D2288:D2292"/>
    <mergeCell ref="C2294:D2294"/>
    <mergeCell ref="C2295:C2299"/>
    <mergeCell ref="D2295:D2299"/>
    <mergeCell ref="C2301:D2301"/>
    <mergeCell ref="C2302:C2306"/>
    <mergeCell ref="D2302:D2306"/>
    <mergeCell ref="C2350:D2350"/>
    <mergeCell ref="C2351:C2355"/>
    <mergeCell ref="D2351:D2355"/>
    <mergeCell ref="C2357:D2357"/>
    <mergeCell ref="C2358:C2362"/>
    <mergeCell ref="D2358:D2362"/>
    <mergeCell ref="C2364:D2364"/>
    <mergeCell ref="C2365:C2369"/>
    <mergeCell ref="D2365:D2369"/>
    <mergeCell ref="C2329:D2329"/>
    <mergeCell ref="C2330:C2334"/>
    <mergeCell ref="D2330:D2334"/>
    <mergeCell ref="C2336:D2336"/>
    <mergeCell ref="C2337:C2341"/>
    <mergeCell ref="D2337:D2341"/>
    <mergeCell ref="C2343:D2343"/>
    <mergeCell ref="C2344:C2348"/>
    <mergeCell ref="D2344:D2348"/>
    <mergeCell ref="C2392:D2392"/>
    <mergeCell ref="C2393:C2397"/>
    <mergeCell ref="D2393:D2397"/>
    <mergeCell ref="C2399:D2399"/>
    <mergeCell ref="C2400:C2404"/>
    <mergeCell ref="D2400:D2404"/>
    <mergeCell ref="C2406:D2406"/>
    <mergeCell ref="C2407:C2411"/>
    <mergeCell ref="D2407:D2411"/>
    <mergeCell ref="C2371:D2371"/>
    <mergeCell ref="C2372:C2376"/>
    <mergeCell ref="D2372:D2376"/>
    <mergeCell ref="C2378:D2378"/>
    <mergeCell ref="C2379:C2383"/>
    <mergeCell ref="D2379:D2383"/>
    <mergeCell ref="C2385:D2385"/>
    <mergeCell ref="C2386:C2390"/>
    <mergeCell ref="D2386:D2390"/>
    <mergeCell ref="C2434:D2434"/>
    <mergeCell ref="C2435:C2439"/>
    <mergeCell ref="D2435:D2439"/>
    <mergeCell ref="C2441:D2441"/>
    <mergeCell ref="C2442:C2446"/>
    <mergeCell ref="D2442:D2446"/>
    <mergeCell ref="C2448:D2448"/>
    <mergeCell ref="C2449:C2453"/>
    <mergeCell ref="D2449:D2453"/>
    <mergeCell ref="C2413:D2413"/>
    <mergeCell ref="C2414:C2418"/>
    <mergeCell ref="D2414:D2418"/>
    <mergeCell ref="C2420:D2420"/>
    <mergeCell ref="C2421:C2425"/>
    <mergeCell ref="D2421:D2425"/>
    <mergeCell ref="C2427:D2427"/>
    <mergeCell ref="C2428:C2432"/>
    <mergeCell ref="D2428:D2432"/>
    <mergeCell ref="C2476:D2476"/>
    <mergeCell ref="C2477:C2481"/>
    <mergeCell ref="D2477:D2481"/>
    <mergeCell ref="C2483:D2483"/>
    <mergeCell ref="C2484:C2488"/>
    <mergeCell ref="D2484:D2488"/>
    <mergeCell ref="C2490:D2490"/>
    <mergeCell ref="C2491:C2495"/>
    <mergeCell ref="D2491:D2495"/>
    <mergeCell ref="C2455:D2455"/>
    <mergeCell ref="C2456:C2460"/>
    <mergeCell ref="D2456:D2460"/>
    <mergeCell ref="C2462:D2462"/>
    <mergeCell ref="C2463:C2467"/>
    <mergeCell ref="D2463:D2467"/>
    <mergeCell ref="C2469:D2469"/>
    <mergeCell ref="C2470:C2474"/>
    <mergeCell ref="D2470:D2474"/>
    <mergeCell ref="C2518:D2518"/>
    <mergeCell ref="C2519:C2523"/>
    <mergeCell ref="D2519:D2523"/>
    <mergeCell ref="C2525:D2525"/>
    <mergeCell ref="C2526:C2530"/>
    <mergeCell ref="D2526:D2530"/>
    <mergeCell ref="C2532:D2532"/>
    <mergeCell ref="C2533:C2537"/>
    <mergeCell ref="D2533:D2537"/>
    <mergeCell ref="C2497:D2497"/>
    <mergeCell ref="C2498:C2502"/>
    <mergeCell ref="D2498:D2502"/>
    <mergeCell ref="C2504:D2504"/>
    <mergeCell ref="C2505:C2509"/>
    <mergeCell ref="D2505:D2509"/>
    <mergeCell ref="C2511:D2511"/>
    <mergeCell ref="C2512:C2516"/>
    <mergeCell ref="D2512:D2516"/>
    <mergeCell ref="C2560:D2560"/>
    <mergeCell ref="C2561:C2565"/>
    <mergeCell ref="D2561:D2565"/>
    <mergeCell ref="C2567:D2567"/>
    <mergeCell ref="C2568:C2572"/>
    <mergeCell ref="D2568:D2572"/>
    <mergeCell ref="C2574:D2574"/>
    <mergeCell ref="C2575:C2579"/>
    <mergeCell ref="D2575:D2579"/>
    <mergeCell ref="C2539:D2539"/>
    <mergeCell ref="C2540:C2544"/>
    <mergeCell ref="D2540:D2544"/>
    <mergeCell ref="C2546:D2546"/>
    <mergeCell ref="C2547:C2551"/>
    <mergeCell ref="D2547:D2551"/>
    <mergeCell ref="C2553:D2553"/>
    <mergeCell ref="C2554:C2558"/>
    <mergeCell ref="D2554:D2558"/>
    <mergeCell ref="C2602:D2602"/>
    <mergeCell ref="C2603:C2607"/>
    <mergeCell ref="D2603:D2607"/>
    <mergeCell ref="C2609:D2609"/>
    <mergeCell ref="C2610:C2614"/>
    <mergeCell ref="D2610:D2614"/>
    <mergeCell ref="C2616:D2616"/>
    <mergeCell ref="C2617:C2621"/>
    <mergeCell ref="D2617:D2621"/>
    <mergeCell ref="C2581:D2581"/>
    <mergeCell ref="C2582:C2586"/>
    <mergeCell ref="D2582:D2586"/>
    <mergeCell ref="C2588:D2588"/>
    <mergeCell ref="C2589:C2593"/>
    <mergeCell ref="D2589:D2593"/>
    <mergeCell ref="C2595:D2595"/>
    <mergeCell ref="C2596:C2600"/>
    <mergeCell ref="D2596:D2600"/>
    <mergeCell ref="C2644:D2644"/>
    <mergeCell ref="C2645:C2649"/>
    <mergeCell ref="D2645:D2649"/>
    <mergeCell ref="C2651:D2651"/>
    <mergeCell ref="C2652:C2656"/>
    <mergeCell ref="D2652:D2656"/>
    <mergeCell ref="C2658:D2658"/>
    <mergeCell ref="C2659:C2663"/>
    <mergeCell ref="D2659:D2663"/>
    <mergeCell ref="C2623:D2623"/>
    <mergeCell ref="C2624:C2628"/>
    <mergeCell ref="D2624:D2628"/>
    <mergeCell ref="C2630:D2630"/>
    <mergeCell ref="C2631:C2635"/>
    <mergeCell ref="D2631:D2635"/>
    <mergeCell ref="C2637:D2637"/>
    <mergeCell ref="C2638:C2642"/>
    <mergeCell ref="D2638:D2642"/>
    <mergeCell ref="C2686:D2686"/>
    <mergeCell ref="C2687:C2691"/>
    <mergeCell ref="D2687:D2691"/>
    <mergeCell ref="C2693:D2693"/>
    <mergeCell ref="C2694:C2698"/>
    <mergeCell ref="D2694:D2698"/>
    <mergeCell ref="C2700:D2700"/>
    <mergeCell ref="C2701:C2705"/>
    <mergeCell ref="D2701:D2705"/>
    <mergeCell ref="C2665:D2665"/>
    <mergeCell ref="C2666:C2670"/>
    <mergeCell ref="D2666:D2670"/>
    <mergeCell ref="C2672:D2672"/>
    <mergeCell ref="C2673:C2677"/>
    <mergeCell ref="D2673:D2677"/>
    <mergeCell ref="C2679:D2679"/>
    <mergeCell ref="C2680:C2684"/>
    <mergeCell ref="D2680:D2684"/>
    <mergeCell ref="C2728:D2728"/>
    <mergeCell ref="C2729:C2733"/>
    <mergeCell ref="D2729:D2733"/>
    <mergeCell ref="C2735:D2735"/>
    <mergeCell ref="C2736:C2740"/>
    <mergeCell ref="D2736:D2740"/>
    <mergeCell ref="C2742:D2742"/>
    <mergeCell ref="C2743:C2747"/>
    <mergeCell ref="D2743:D2747"/>
    <mergeCell ref="C2707:D2707"/>
    <mergeCell ref="C2708:C2712"/>
    <mergeCell ref="D2708:D2712"/>
    <mergeCell ref="C2714:D2714"/>
    <mergeCell ref="C2715:C2719"/>
    <mergeCell ref="D2715:D2719"/>
    <mergeCell ref="C2721:D2721"/>
    <mergeCell ref="C2722:C2726"/>
    <mergeCell ref="D2722:D2726"/>
    <mergeCell ref="C2770:D2770"/>
    <mergeCell ref="C2771:C2775"/>
    <mergeCell ref="D2771:D2775"/>
    <mergeCell ref="C2777:D2777"/>
    <mergeCell ref="C2778:C2782"/>
    <mergeCell ref="D2778:D2782"/>
    <mergeCell ref="C2784:D2784"/>
    <mergeCell ref="C2785:C2789"/>
    <mergeCell ref="D2785:D2789"/>
    <mergeCell ref="C2749:D2749"/>
    <mergeCell ref="C2750:C2754"/>
    <mergeCell ref="D2750:D2754"/>
    <mergeCell ref="C2756:D2756"/>
    <mergeCell ref="C2757:C2761"/>
    <mergeCell ref="D2757:D2761"/>
    <mergeCell ref="C2763:D2763"/>
    <mergeCell ref="C2764:C2768"/>
    <mergeCell ref="D2764:D2768"/>
    <mergeCell ref="C2812:D2812"/>
    <mergeCell ref="C2813:C2817"/>
    <mergeCell ref="D2813:D2817"/>
    <mergeCell ref="C2819:D2819"/>
    <mergeCell ref="C2820:C2824"/>
    <mergeCell ref="D2820:D2824"/>
    <mergeCell ref="C2826:D2826"/>
    <mergeCell ref="C2827:C2831"/>
    <mergeCell ref="D2827:D2831"/>
    <mergeCell ref="C2791:D2791"/>
    <mergeCell ref="C2792:C2796"/>
    <mergeCell ref="D2792:D2796"/>
    <mergeCell ref="C2798:D2798"/>
    <mergeCell ref="C2799:C2803"/>
    <mergeCell ref="D2799:D2803"/>
    <mergeCell ref="C2805:D2805"/>
    <mergeCell ref="C2806:C2810"/>
    <mergeCell ref="D2806:D2810"/>
    <mergeCell ref="C2854:D2854"/>
    <mergeCell ref="C2855:C2859"/>
    <mergeCell ref="D2855:D2859"/>
    <mergeCell ref="C2861:D2861"/>
    <mergeCell ref="C2862:C2866"/>
    <mergeCell ref="D2862:D2866"/>
    <mergeCell ref="C2868:D2868"/>
    <mergeCell ref="C2874:C2875"/>
    <mergeCell ref="D2874:D2875"/>
    <mergeCell ref="C2833:D2833"/>
    <mergeCell ref="C2834:C2838"/>
    <mergeCell ref="D2834:D2838"/>
    <mergeCell ref="C2840:D2840"/>
    <mergeCell ref="C2841:C2845"/>
    <mergeCell ref="D2841:D2845"/>
    <mergeCell ref="C2847:D2847"/>
    <mergeCell ref="C2848:C2852"/>
    <mergeCell ref="D2848:D2852"/>
    <mergeCell ref="C2882:D2882"/>
    <mergeCell ref="C2883:C2887"/>
    <mergeCell ref="D2883:D2887"/>
    <mergeCell ref="C2889:D2889"/>
    <mergeCell ref="C2890:C2894"/>
    <mergeCell ref="D2890:D2894"/>
    <mergeCell ref="C2896:D2896"/>
    <mergeCell ref="C2897:C2901"/>
    <mergeCell ref="D2897:D2901"/>
    <mergeCell ref="V2874:W2874"/>
    <mergeCell ref="X2874:Y2874"/>
    <mergeCell ref="Z2874:AA2874"/>
    <mergeCell ref="AB2874:AC2874"/>
    <mergeCell ref="AD2874:AE2874"/>
    <mergeCell ref="AF2874:AG2874"/>
    <mergeCell ref="AH2874:AI2874"/>
    <mergeCell ref="C2876:C2880"/>
    <mergeCell ref="D2876:D2880"/>
    <mergeCell ref="E2874:E2875"/>
    <mergeCell ref="F2874:G2874"/>
    <mergeCell ref="H2874:I2874"/>
    <mergeCell ref="J2874:K2874"/>
    <mergeCell ref="L2874:M2874"/>
    <mergeCell ref="N2874:O2874"/>
    <mergeCell ref="P2874:Q2874"/>
    <mergeCell ref="R2874:S2874"/>
    <mergeCell ref="T2874:U2874"/>
    <mergeCell ref="C2924:D2924"/>
    <mergeCell ref="C2925:C2929"/>
    <mergeCell ref="D2925:D2929"/>
    <mergeCell ref="C2931:D2931"/>
    <mergeCell ref="C2932:C2936"/>
    <mergeCell ref="D2932:D2936"/>
    <mergeCell ref="C2938:D2938"/>
    <mergeCell ref="C2939:C2943"/>
    <mergeCell ref="D2939:D2943"/>
    <mergeCell ref="C2903:D2903"/>
    <mergeCell ref="C2904:C2908"/>
    <mergeCell ref="D2904:D2908"/>
    <mergeCell ref="C2910:D2910"/>
    <mergeCell ref="C2911:C2915"/>
    <mergeCell ref="D2911:D2915"/>
    <mergeCell ref="C2917:D2917"/>
    <mergeCell ref="C2918:C2922"/>
    <mergeCell ref="D2918:D2922"/>
    <mergeCell ref="C2966:D2966"/>
    <mergeCell ref="C2967:C2971"/>
    <mergeCell ref="D2967:D2971"/>
    <mergeCell ref="C2973:D2973"/>
    <mergeCell ref="C2974:C2978"/>
    <mergeCell ref="D2974:D2978"/>
    <mergeCell ref="C2980:D2980"/>
    <mergeCell ref="C2981:C2985"/>
    <mergeCell ref="D2981:D2985"/>
    <mergeCell ref="C2945:D2945"/>
    <mergeCell ref="C2946:C2950"/>
    <mergeCell ref="D2946:D2950"/>
    <mergeCell ref="C2952:D2952"/>
    <mergeCell ref="C2953:C2957"/>
    <mergeCell ref="D2953:D2957"/>
    <mergeCell ref="C2959:D2959"/>
    <mergeCell ref="C2960:C2964"/>
    <mergeCell ref="D2960:D2964"/>
    <mergeCell ref="C3008:D3008"/>
    <mergeCell ref="C3009:C3013"/>
    <mergeCell ref="D3009:D3013"/>
    <mergeCell ref="C3015:D3015"/>
    <mergeCell ref="C3016:C3020"/>
    <mergeCell ref="D3016:D3020"/>
    <mergeCell ref="C3022:D3022"/>
    <mergeCell ref="C3023:C3027"/>
    <mergeCell ref="D3023:D3027"/>
    <mergeCell ref="C2987:D2987"/>
    <mergeCell ref="C2988:C2992"/>
    <mergeCell ref="D2988:D2992"/>
    <mergeCell ref="C2994:D2994"/>
    <mergeCell ref="C2995:C2999"/>
    <mergeCell ref="D2995:D2999"/>
    <mergeCell ref="C3001:D3001"/>
    <mergeCell ref="C3002:C3006"/>
    <mergeCell ref="D3002:D3006"/>
    <mergeCell ref="C3050:D3050"/>
    <mergeCell ref="C3051:C3055"/>
    <mergeCell ref="D3051:D3055"/>
    <mergeCell ref="C3057:D3057"/>
    <mergeCell ref="C3058:C3062"/>
    <mergeCell ref="D3058:D3062"/>
    <mergeCell ref="C3064:D3064"/>
    <mergeCell ref="C3065:C3069"/>
    <mergeCell ref="D3065:D3069"/>
    <mergeCell ref="C3029:D3029"/>
    <mergeCell ref="C3030:C3034"/>
    <mergeCell ref="D3030:D3034"/>
    <mergeCell ref="C3036:D3036"/>
    <mergeCell ref="C3037:C3041"/>
    <mergeCell ref="D3037:D3041"/>
    <mergeCell ref="C3043:D3043"/>
    <mergeCell ref="C3044:C3048"/>
    <mergeCell ref="D3044:D3048"/>
    <mergeCell ref="C3092:D3092"/>
    <mergeCell ref="C3093:C3097"/>
    <mergeCell ref="D3093:D3097"/>
    <mergeCell ref="C3099:D3099"/>
    <mergeCell ref="C3100:C3104"/>
    <mergeCell ref="D3100:D3104"/>
    <mergeCell ref="C3106:D3106"/>
    <mergeCell ref="C3107:C3111"/>
    <mergeCell ref="D3107:D3111"/>
    <mergeCell ref="C3071:D3071"/>
    <mergeCell ref="C3072:C3076"/>
    <mergeCell ref="D3072:D3076"/>
    <mergeCell ref="C3078:D3078"/>
    <mergeCell ref="C3079:C3083"/>
    <mergeCell ref="D3079:D3083"/>
    <mergeCell ref="C3085:D3085"/>
    <mergeCell ref="C3086:C3090"/>
    <mergeCell ref="D3086:D3090"/>
    <mergeCell ref="C3134:D3134"/>
    <mergeCell ref="C3135:C3139"/>
    <mergeCell ref="D3135:D3139"/>
    <mergeCell ref="C3141:D3141"/>
    <mergeCell ref="C3142:C3146"/>
    <mergeCell ref="D3142:D3146"/>
    <mergeCell ref="C3148:D3148"/>
    <mergeCell ref="C3149:C3153"/>
    <mergeCell ref="D3149:D3153"/>
    <mergeCell ref="C3113:D3113"/>
    <mergeCell ref="C3114:C3118"/>
    <mergeCell ref="D3114:D3118"/>
    <mergeCell ref="C3120:D3120"/>
    <mergeCell ref="C3121:C3125"/>
    <mergeCell ref="D3121:D3125"/>
    <mergeCell ref="C3127:D3127"/>
    <mergeCell ref="C3128:C3132"/>
    <mergeCell ref="D3128:D3132"/>
    <mergeCell ref="C3176:D3176"/>
    <mergeCell ref="C3177:C3181"/>
    <mergeCell ref="D3177:D3181"/>
    <mergeCell ref="C3183:D3183"/>
    <mergeCell ref="C3184:C3188"/>
    <mergeCell ref="D3184:D3188"/>
    <mergeCell ref="C3190:D3190"/>
    <mergeCell ref="C3191:C3195"/>
    <mergeCell ref="D3191:D3195"/>
    <mergeCell ref="C3155:D3155"/>
    <mergeCell ref="C3156:C3160"/>
    <mergeCell ref="D3156:D3160"/>
    <mergeCell ref="C3162:D3162"/>
    <mergeCell ref="C3163:C3167"/>
    <mergeCell ref="D3163:D3167"/>
    <mergeCell ref="C3169:D3169"/>
    <mergeCell ref="C3170:C3174"/>
    <mergeCell ref="D3170:D3174"/>
    <mergeCell ref="C3218:D3218"/>
    <mergeCell ref="C3219:C3223"/>
    <mergeCell ref="D3219:D3223"/>
    <mergeCell ref="C3225:D3225"/>
    <mergeCell ref="C3226:C3230"/>
    <mergeCell ref="D3226:D3230"/>
    <mergeCell ref="C3232:D3232"/>
    <mergeCell ref="C3233:C3237"/>
    <mergeCell ref="D3233:D3237"/>
    <mergeCell ref="C3197:D3197"/>
    <mergeCell ref="C3198:C3202"/>
    <mergeCell ref="D3198:D3202"/>
    <mergeCell ref="C3204:D3204"/>
    <mergeCell ref="C3205:C3209"/>
    <mergeCell ref="D3205:D3209"/>
    <mergeCell ref="C3211:D3211"/>
    <mergeCell ref="C3212:C3216"/>
    <mergeCell ref="D3212:D3216"/>
    <mergeCell ref="C3260:D3260"/>
    <mergeCell ref="C3261:C3265"/>
    <mergeCell ref="D3261:D3265"/>
    <mergeCell ref="C3267:D3267"/>
    <mergeCell ref="C3268:C3272"/>
    <mergeCell ref="D3268:D3272"/>
    <mergeCell ref="C3274:D3274"/>
    <mergeCell ref="C3275:C3279"/>
    <mergeCell ref="D3275:D3279"/>
    <mergeCell ref="C3239:D3239"/>
    <mergeCell ref="C3240:C3244"/>
    <mergeCell ref="D3240:D3244"/>
    <mergeCell ref="C3246:D3246"/>
    <mergeCell ref="C3247:C3251"/>
    <mergeCell ref="D3247:D3251"/>
    <mergeCell ref="C3253:D3253"/>
    <mergeCell ref="C3254:C3258"/>
    <mergeCell ref="D3254:D3258"/>
    <mergeCell ref="C3302:D3302"/>
    <mergeCell ref="C3303:C3307"/>
    <mergeCell ref="D3303:D3307"/>
    <mergeCell ref="C3309:D3309"/>
    <mergeCell ref="C3310:C3314"/>
    <mergeCell ref="D3310:D3314"/>
    <mergeCell ref="C3316:D3316"/>
    <mergeCell ref="C3317:C3321"/>
    <mergeCell ref="D3317:D3321"/>
    <mergeCell ref="C3281:D3281"/>
    <mergeCell ref="C3282:C3286"/>
    <mergeCell ref="D3282:D3286"/>
    <mergeCell ref="C3288:D3288"/>
    <mergeCell ref="C3289:C3293"/>
    <mergeCell ref="D3289:D3293"/>
    <mergeCell ref="C3295:D3295"/>
    <mergeCell ref="C3296:C3300"/>
    <mergeCell ref="D3296:D3300"/>
    <mergeCell ref="C3344:D3344"/>
    <mergeCell ref="C3345:C3349"/>
    <mergeCell ref="D3345:D3349"/>
    <mergeCell ref="C3351:D3351"/>
    <mergeCell ref="C3352:C3356"/>
    <mergeCell ref="D3352:D3356"/>
    <mergeCell ref="C3358:D3358"/>
    <mergeCell ref="C3359:C3363"/>
    <mergeCell ref="D3359:D3363"/>
    <mergeCell ref="C3323:D3323"/>
    <mergeCell ref="C3324:C3328"/>
    <mergeCell ref="D3324:D3328"/>
    <mergeCell ref="C3330:D3330"/>
    <mergeCell ref="C3331:C3335"/>
    <mergeCell ref="D3331:D3335"/>
    <mergeCell ref="C3337:D3337"/>
    <mergeCell ref="C3338:C3342"/>
    <mergeCell ref="D3338:D3342"/>
    <mergeCell ref="C3386:D3386"/>
    <mergeCell ref="C3387:C3391"/>
    <mergeCell ref="D3387:D3391"/>
    <mergeCell ref="C3393:D3393"/>
    <mergeCell ref="C3394:C3398"/>
    <mergeCell ref="D3394:D3398"/>
    <mergeCell ref="C3400:D3400"/>
    <mergeCell ref="C3401:C3405"/>
    <mergeCell ref="D3401:D3405"/>
    <mergeCell ref="C3365:D3365"/>
    <mergeCell ref="C3366:C3370"/>
    <mergeCell ref="D3366:D3370"/>
    <mergeCell ref="C3372:D3372"/>
    <mergeCell ref="C3373:C3377"/>
    <mergeCell ref="D3373:D3377"/>
    <mergeCell ref="C3379:D3379"/>
    <mergeCell ref="C3380:C3384"/>
    <mergeCell ref="D3380:D3384"/>
    <mergeCell ref="C3428:D3428"/>
    <mergeCell ref="C3429:C3433"/>
    <mergeCell ref="D3429:D3433"/>
    <mergeCell ref="C3435:D3435"/>
    <mergeCell ref="C3436:C3440"/>
    <mergeCell ref="D3436:D3440"/>
    <mergeCell ref="C3442:D3442"/>
    <mergeCell ref="C3443:C3447"/>
    <mergeCell ref="D3443:D3447"/>
    <mergeCell ref="C3407:D3407"/>
    <mergeCell ref="C3408:C3412"/>
    <mergeCell ref="D3408:D3412"/>
    <mergeCell ref="C3414:D3414"/>
    <mergeCell ref="C3415:C3419"/>
    <mergeCell ref="D3415:D3419"/>
    <mergeCell ref="C3421:D3421"/>
    <mergeCell ref="C3422:C3426"/>
    <mergeCell ref="D3422:D3426"/>
    <mergeCell ref="C3470:D3470"/>
    <mergeCell ref="C3471:C3475"/>
    <mergeCell ref="D3471:D3475"/>
    <mergeCell ref="C3477:D3477"/>
    <mergeCell ref="C3478:C3482"/>
    <mergeCell ref="D3478:D3482"/>
    <mergeCell ref="C3484:D3484"/>
    <mergeCell ref="C3485:C3489"/>
    <mergeCell ref="D3485:D3489"/>
    <mergeCell ref="C3449:D3449"/>
    <mergeCell ref="C3450:C3454"/>
    <mergeCell ref="D3450:D3454"/>
    <mergeCell ref="C3456:D3456"/>
    <mergeCell ref="C3457:C3461"/>
    <mergeCell ref="D3457:D3461"/>
    <mergeCell ref="C3463:D3463"/>
    <mergeCell ref="C3464:C3468"/>
    <mergeCell ref="D3464:D3468"/>
    <mergeCell ref="C3512:D3512"/>
    <mergeCell ref="C3513:C3517"/>
    <mergeCell ref="D3513:D3517"/>
    <mergeCell ref="C3519:D3519"/>
    <mergeCell ref="C3520:C3524"/>
    <mergeCell ref="D3520:D3524"/>
    <mergeCell ref="C3526:D3526"/>
    <mergeCell ref="C3527:C3531"/>
    <mergeCell ref="D3527:D3531"/>
    <mergeCell ref="C3491:D3491"/>
    <mergeCell ref="C3492:C3496"/>
    <mergeCell ref="D3492:D3496"/>
    <mergeCell ref="C3498:D3498"/>
    <mergeCell ref="C3499:C3503"/>
    <mergeCell ref="D3499:D3503"/>
    <mergeCell ref="C3505:D3505"/>
    <mergeCell ref="C3506:C3510"/>
    <mergeCell ref="D3506:D3510"/>
    <mergeCell ref="C3575:D3575"/>
    <mergeCell ref="C3576:C3580"/>
    <mergeCell ref="D3576:D3580"/>
    <mergeCell ref="C3582:D3582"/>
    <mergeCell ref="C3554:D3554"/>
    <mergeCell ref="C3555:C3559"/>
    <mergeCell ref="D3555:D3559"/>
    <mergeCell ref="C3561:D3561"/>
    <mergeCell ref="C3562:C3566"/>
    <mergeCell ref="D3562:D3566"/>
    <mergeCell ref="C3568:D3568"/>
    <mergeCell ref="C3569:C3573"/>
    <mergeCell ref="D3569:D3573"/>
    <mergeCell ref="C3533:D3533"/>
    <mergeCell ref="C3534:C3538"/>
    <mergeCell ref="D3534:D3538"/>
    <mergeCell ref="C3540:D3540"/>
    <mergeCell ref="C3541:C3545"/>
    <mergeCell ref="D3541:D3545"/>
    <mergeCell ref="C3547:D3547"/>
    <mergeCell ref="C3548:C3552"/>
    <mergeCell ref="D3548:D3552"/>
  </mergeCells>
  <conditionalFormatting sqref="S6:S696 S699:S703">
    <cfRule type="cellIs" dxfId="1" priority="2" operator="between">
      <formula>0.000001</formula>
      <formula>0.9999</formula>
    </cfRule>
  </conditionalFormatting>
  <conditionalFormatting sqref="AG6:AG696 AG699:AG703">
    <cfRule type="cellIs" dxfId="0" priority="1" operator="between">
      <formula>0.000001</formula>
      <formula>0.9999</formula>
    </cfRule>
  </conditionalFormatting>
  <pageMargins left="0.78740157480314965" right="0" top="0" bottom="0" header="0" footer="0.51181102362204722"/>
  <pageSetup paperSize="9" scale="60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"/>
  <sheetViews>
    <sheetView workbookViewId="0">
      <selection activeCell="C26" sqref="C26"/>
    </sheetView>
  </sheetViews>
  <sheetFormatPr defaultColWidth="8.7109375" defaultRowHeight="12.75"/>
  <cols>
    <col min="1" max="1" width="16.28515625" style="713" customWidth="1"/>
    <col min="2" max="13" width="11.42578125" style="713" customWidth="1"/>
    <col min="14" max="14" width="13.28515625" style="713" customWidth="1"/>
    <col min="15" max="16384" width="8.7109375" style="713"/>
  </cols>
  <sheetData>
    <row r="1" spans="1:14">
      <c r="B1" s="713" t="s">
        <v>14</v>
      </c>
      <c r="C1" s="713" t="s">
        <v>15</v>
      </c>
      <c r="D1" s="713" t="s">
        <v>16</v>
      </c>
      <c r="E1" s="713" t="s">
        <v>17</v>
      </c>
      <c r="F1" s="713" t="s">
        <v>18</v>
      </c>
      <c r="G1" s="713" t="s">
        <v>19</v>
      </c>
      <c r="H1" s="713" t="s">
        <v>20</v>
      </c>
      <c r="I1" s="713" t="s">
        <v>21</v>
      </c>
      <c r="J1" s="713" t="s">
        <v>22</v>
      </c>
      <c r="K1" s="713" t="s">
        <v>23</v>
      </c>
      <c r="L1" s="713" t="s">
        <v>24</v>
      </c>
      <c r="M1" s="713" t="s">
        <v>25</v>
      </c>
      <c r="N1" s="713" t="s">
        <v>675</v>
      </c>
    </row>
    <row r="2" spans="1:14">
      <c r="A2" s="1102"/>
      <c r="B2" s="1102"/>
      <c r="C2" s="1102"/>
      <c r="D2" s="1102"/>
      <c r="E2" s="1102"/>
      <c r="F2" s="1102"/>
      <c r="G2" s="1083"/>
      <c r="H2" s="1102"/>
      <c r="I2" s="1102"/>
      <c r="J2" s="1102"/>
      <c r="K2" s="1102"/>
      <c r="L2" s="1102"/>
      <c r="M2" s="1083"/>
      <c r="N2" s="713">
        <f>SUM(B2:M2)</f>
        <v>0</v>
      </c>
    </row>
    <row r="3" spans="1:14">
      <c r="A3" s="1102"/>
      <c r="B3" s="1102"/>
      <c r="C3" s="1102"/>
      <c r="D3" s="1102"/>
      <c r="E3" s="1102"/>
      <c r="F3" s="1102"/>
      <c r="G3" s="1083"/>
      <c r="H3" s="1102"/>
      <c r="I3" s="1102"/>
      <c r="J3" s="1102"/>
      <c r="K3" s="1102"/>
      <c r="L3" s="1102"/>
      <c r="M3" s="1083"/>
      <c r="N3" s="713">
        <f t="shared" ref="N3:N9" si="0">SUM(B3:M3)</f>
        <v>0</v>
      </c>
    </row>
    <row r="4" spans="1:14">
      <c r="A4" s="1102"/>
      <c r="B4" s="1102"/>
      <c r="C4" s="1102"/>
      <c r="D4" s="1102"/>
      <c r="E4" s="1102"/>
      <c r="F4" s="1102"/>
      <c r="G4" s="1083"/>
      <c r="H4" s="1102"/>
      <c r="I4" s="1102"/>
      <c r="J4" s="1102"/>
      <c r="K4" s="1102"/>
      <c r="L4" s="1102"/>
      <c r="M4" s="1083"/>
      <c r="N4" s="713">
        <f t="shared" si="0"/>
        <v>0</v>
      </c>
    </row>
    <row r="5" spans="1:14">
      <c r="A5" s="1102"/>
      <c r="B5" s="1102"/>
      <c r="C5" s="1102"/>
      <c r="D5" s="1102"/>
      <c r="E5" s="1102"/>
      <c r="F5" s="1102"/>
      <c r="G5" s="1083"/>
      <c r="H5" s="1102"/>
      <c r="I5" s="1102"/>
      <c r="J5" s="1102"/>
      <c r="K5" s="1102"/>
      <c r="L5" s="1102"/>
      <c r="M5" s="1083"/>
      <c r="N5" s="713">
        <f t="shared" si="0"/>
        <v>0</v>
      </c>
    </row>
    <row r="6" spans="1:14">
      <c r="A6" s="1102"/>
      <c r="B6" s="1102"/>
      <c r="C6" s="1102"/>
      <c r="D6" s="1102"/>
      <c r="E6" s="1102"/>
      <c r="F6" s="1102"/>
      <c r="G6" s="1083"/>
      <c r="H6" s="1102"/>
      <c r="I6" s="1102"/>
      <c r="J6" s="1102"/>
      <c r="K6" s="1102"/>
      <c r="L6" s="1102"/>
      <c r="M6" s="1083"/>
      <c r="N6" s="713">
        <f t="shared" si="0"/>
        <v>0</v>
      </c>
    </row>
    <row r="7" spans="1:14">
      <c r="A7" s="1102"/>
      <c r="B7" s="1102"/>
      <c r="C7" s="1102"/>
      <c r="D7" s="1102"/>
      <c r="E7" s="1102"/>
      <c r="F7" s="1102"/>
      <c r="G7" s="1083"/>
      <c r="H7" s="1102"/>
      <c r="I7" s="1102"/>
      <c r="J7" s="1102"/>
      <c r="K7" s="1102"/>
      <c r="L7" s="1102"/>
      <c r="M7" s="1083"/>
      <c r="N7" s="713">
        <f t="shared" si="0"/>
        <v>0</v>
      </c>
    </row>
    <row r="8" spans="1:14">
      <c r="A8" s="1102"/>
      <c r="B8" s="1102"/>
      <c r="C8" s="1102"/>
      <c r="D8" s="1102"/>
      <c r="E8" s="1102"/>
      <c r="F8" s="1102"/>
      <c r="G8" s="1083"/>
      <c r="H8" s="1102"/>
      <c r="I8" s="1102"/>
      <c r="J8" s="1102"/>
      <c r="K8" s="1102"/>
      <c r="L8" s="1102"/>
      <c r="M8" s="1083"/>
      <c r="N8" s="713">
        <f t="shared" si="0"/>
        <v>0</v>
      </c>
    </row>
    <row r="9" spans="1:14">
      <c r="A9" s="1102"/>
      <c r="B9" s="1102"/>
      <c r="C9" s="1102"/>
      <c r="D9" s="1102"/>
      <c r="E9" s="1102"/>
      <c r="F9" s="1102"/>
      <c r="G9" s="1083"/>
      <c r="H9" s="1102"/>
      <c r="I9" s="1102"/>
      <c r="J9" s="1102"/>
      <c r="K9" s="1102"/>
      <c r="L9" s="1102"/>
      <c r="M9" s="1083"/>
      <c r="N9" s="713">
        <f t="shared" si="0"/>
        <v>0</v>
      </c>
    </row>
    <row r="10" spans="1:14">
      <c r="A10" s="713" t="s">
        <v>1023</v>
      </c>
      <c r="B10" s="1102"/>
      <c r="C10" s="1102"/>
      <c r="D10" s="1102"/>
      <c r="E10" s="1102"/>
      <c r="F10" s="1102"/>
      <c r="G10" s="1103"/>
      <c r="H10" s="1102"/>
      <c r="I10" s="1102"/>
      <c r="J10" s="1102"/>
      <c r="K10" s="1102"/>
      <c r="L10" s="1102"/>
      <c r="M10" s="1103"/>
      <c r="N10" s="1104">
        <f>SUM(N2:N9)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BA35"/>
  <sheetViews>
    <sheetView showGridLines="0" tabSelected="1" zoomScale="85" zoomScaleNormal="85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N14" sqref="N14"/>
    </sheetView>
  </sheetViews>
  <sheetFormatPr defaultColWidth="9.28515625" defaultRowHeight="15" outlineLevelCol="1"/>
  <cols>
    <col min="1" max="1" width="1.28515625" style="401" customWidth="1"/>
    <col min="2" max="2" width="16.28515625" style="779" customWidth="1"/>
    <col min="3" max="3" width="10" style="379" customWidth="1" outlineLevel="1"/>
    <col min="4" max="5" width="11.42578125" style="379" customWidth="1" outlineLevel="1"/>
    <col min="6" max="6" width="9.7109375" style="379" customWidth="1" outlineLevel="1"/>
    <col min="7" max="7" width="11.42578125" style="379" customWidth="1" outlineLevel="1"/>
    <col min="8" max="8" width="10.42578125" style="379" customWidth="1" outlineLevel="1"/>
    <col min="9" max="9" width="13.28515625" style="379" customWidth="1" outlineLevel="1"/>
    <col min="10" max="12" width="10.42578125" style="379" customWidth="1" outlineLevel="1"/>
    <col min="13" max="13" width="10.7109375" style="379" customWidth="1" outlineLevel="1"/>
    <col min="14" max="14" width="9.42578125" style="379" customWidth="1" outlineLevel="1"/>
    <col min="15" max="15" width="13.42578125" style="508" bestFit="1" customWidth="1"/>
    <col min="16" max="16" width="13" style="541" bestFit="1" customWidth="1"/>
    <col min="17" max="17" width="14.28515625" style="467" bestFit="1" customWidth="1"/>
    <col min="18" max="18" width="14.42578125" style="467" hidden="1" customWidth="1"/>
    <col min="19" max="19" width="13.42578125" style="467" hidden="1" customWidth="1"/>
    <col min="20" max="20" width="10" style="467" hidden="1" customWidth="1"/>
    <col min="21" max="28" width="14.42578125" style="467" hidden="1" customWidth="1"/>
    <col min="29" max="29" width="8.42578125" style="467" hidden="1" customWidth="1"/>
    <col min="30" max="30" width="13" style="571" customWidth="1" collapsed="1"/>
    <col min="31" max="31" width="13.28515625" style="573" customWidth="1"/>
    <col min="32" max="32" width="4.42578125" style="571" customWidth="1"/>
    <col min="33" max="43" width="11.7109375" style="467" hidden="1" customWidth="1"/>
    <col min="44" max="44" width="11.42578125" style="467" hidden="1" customWidth="1"/>
    <col min="45" max="45" width="15.42578125" style="571" customWidth="1" collapsed="1"/>
    <col min="46" max="46" width="11.42578125" style="573" customWidth="1"/>
    <col min="47" max="47" width="11.7109375" style="467" customWidth="1"/>
    <col min="48" max="48" width="9.28515625" style="467" customWidth="1"/>
    <col min="49" max="49" width="10" style="467" customWidth="1"/>
    <col min="50" max="50" width="9.28515625" style="379" customWidth="1"/>
    <col min="51" max="51" width="11.42578125" style="379" customWidth="1"/>
    <col min="52" max="16384" width="9.28515625" style="379"/>
  </cols>
  <sheetData>
    <row r="1" spans="2:53" s="527" customFormat="1">
      <c r="B1" s="778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710"/>
      <c r="P1" s="711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90"/>
      <c r="AE1" s="945"/>
      <c r="AF1" s="590"/>
      <c r="AG1" s="550"/>
      <c r="AH1" s="550"/>
      <c r="AI1" s="550"/>
      <c r="AJ1" s="550"/>
      <c r="AK1" s="550"/>
      <c r="AL1" s="550"/>
      <c r="AM1" s="550"/>
      <c r="AN1" s="550"/>
      <c r="AO1" s="550"/>
      <c r="AP1" s="550"/>
      <c r="AQ1" s="550"/>
      <c r="AR1" s="550"/>
      <c r="AS1" s="590"/>
      <c r="AT1" s="945"/>
      <c r="AU1" s="946"/>
      <c r="AV1" s="947"/>
      <c r="AW1" s="550"/>
    </row>
    <row r="2" spans="2:53" s="527" customFormat="1">
      <c r="B2" s="778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90"/>
      <c r="AE2" s="945"/>
      <c r="AF2" s="59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90"/>
      <c r="AT2" s="945"/>
      <c r="AU2" s="946"/>
      <c r="AV2" s="947"/>
      <c r="AW2" s="550"/>
    </row>
    <row r="3" spans="2:53" ht="14.25" customHeight="1">
      <c r="C3" s="389"/>
      <c r="D3" s="389"/>
      <c r="E3" s="389"/>
      <c r="F3" s="389"/>
      <c r="G3" s="530"/>
      <c r="H3" s="530"/>
      <c r="I3" s="530"/>
      <c r="J3" s="530"/>
      <c r="K3" s="530"/>
      <c r="L3" s="530"/>
      <c r="M3" s="530"/>
      <c r="N3" s="530"/>
      <c r="O3" s="530"/>
    </row>
    <row r="4" spans="2:53" ht="15" customHeight="1">
      <c r="B4" s="778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90"/>
      <c r="P4" s="71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714"/>
      <c r="AE4" s="504"/>
      <c r="AF4" s="71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714"/>
      <c r="AT4" s="504"/>
    </row>
    <row r="5" spans="2:53" ht="12" customHeight="1">
      <c r="B5" s="780"/>
      <c r="C5" s="1260"/>
      <c r="D5" s="1260"/>
      <c r="E5" s="1260"/>
      <c r="F5" s="1260"/>
      <c r="G5" s="1260"/>
      <c r="H5" s="1260"/>
      <c r="I5" s="1260"/>
      <c r="J5" s="1260"/>
      <c r="K5" s="1260"/>
      <c r="L5" s="1260"/>
      <c r="M5" s="1260"/>
      <c r="N5" s="1260"/>
      <c r="O5" s="623"/>
      <c r="P5" s="616"/>
      <c r="Q5" s="512"/>
      <c r="R5" s="1261"/>
      <c r="S5" s="1261"/>
      <c r="T5" s="1261"/>
      <c r="U5" s="1261"/>
      <c r="V5" s="1261"/>
      <c r="W5" s="1261"/>
      <c r="X5" s="1261"/>
      <c r="Y5" s="1261"/>
      <c r="Z5" s="1261"/>
      <c r="AA5" s="1261"/>
      <c r="AB5" s="1261"/>
      <c r="AC5" s="1261"/>
      <c r="AD5" s="627"/>
      <c r="AE5" s="948"/>
      <c r="AF5" s="627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T5" s="948"/>
      <c r="AU5" s="949"/>
    </row>
    <row r="6" spans="2:53" ht="25.5" customHeight="1">
      <c r="B6" s="781"/>
      <c r="C6" s="499" t="s">
        <v>271</v>
      </c>
      <c r="D6" s="499" t="s">
        <v>272</v>
      </c>
      <c r="E6" s="499" t="s">
        <v>273</v>
      </c>
      <c r="F6" s="499" t="s">
        <v>274</v>
      </c>
      <c r="G6" s="499" t="s">
        <v>275</v>
      </c>
      <c r="H6" s="499" t="s">
        <v>276</v>
      </c>
      <c r="I6" s="499" t="s">
        <v>277</v>
      </c>
      <c r="J6" s="499" t="s">
        <v>278</v>
      </c>
      <c r="K6" s="499" t="s">
        <v>279</v>
      </c>
      <c r="L6" s="499" t="s">
        <v>280</v>
      </c>
      <c r="M6" s="499" t="s">
        <v>281</v>
      </c>
      <c r="N6" s="499" t="s">
        <v>282</v>
      </c>
      <c r="O6" s="624" t="s">
        <v>675</v>
      </c>
      <c r="P6" s="617" t="s">
        <v>676</v>
      </c>
      <c r="Q6" s="526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91"/>
      <c r="AF6" s="626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626"/>
      <c r="AT6" s="626"/>
      <c r="AU6" s="574"/>
      <c r="AV6" s="542"/>
    </row>
    <row r="7" spans="2:53" s="467" customFormat="1" ht="32.25" customHeight="1">
      <c r="B7" s="782" t="s">
        <v>520</v>
      </c>
      <c r="C7" s="798"/>
      <c r="D7" s="798"/>
      <c r="E7" s="798"/>
      <c r="F7" s="798"/>
      <c r="G7" s="798"/>
      <c r="H7" s="798"/>
      <c r="I7" s="798"/>
      <c r="J7" s="798"/>
      <c r="K7" s="798"/>
      <c r="L7" s="798"/>
      <c r="M7" s="798"/>
      <c r="N7" s="798"/>
      <c r="O7" s="625"/>
      <c r="P7" s="618"/>
      <c r="Q7" s="594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91"/>
      <c r="AF7" s="626"/>
      <c r="AG7" s="533"/>
      <c r="AH7" s="533"/>
      <c r="AI7" s="533"/>
      <c r="AJ7" s="533"/>
      <c r="AK7" s="533"/>
      <c r="AL7" s="533"/>
      <c r="AM7" s="533"/>
      <c r="AN7" s="533"/>
      <c r="AO7" s="533"/>
      <c r="AP7" s="533"/>
      <c r="AQ7" s="533"/>
      <c r="AR7" s="533"/>
      <c r="AS7" s="626"/>
      <c r="AT7" s="591"/>
      <c r="AU7" s="574"/>
      <c r="AV7" s="542"/>
    </row>
    <row r="8" spans="2:53" s="539" customFormat="1" ht="12">
      <c r="B8" s="783" t="s">
        <v>388</v>
      </c>
      <c r="C8" s="538">
        <f t="shared" ref="C8:N8" si="0">C9*1.2</f>
        <v>0</v>
      </c>
      <c r="D8" s="538">
        <f t="shared" si="0"/>
        <v>0</v>
      </c>
      <c r="E8" s="538">
        <f t="shared" si="0"/>
        <v>0</v>
      </c>
      <c r="F8" s="538">
        <f>F9*1.2</f>
        <v>3976.8943314749995</v>
      </c>
      <c r="G8" s="538">
        <f t="shared" si="0"/>
        <v>1320.5440238250001</v>
      </c>
      <c r="H8" s="538">
        <f t="shared" si="0"/>
        <v>1739.1184892000001</v>
      </c>
      <c r="I8" s="538">
        <f t="shared" si="0"/>
        <v>1254.4665100500001</v>
      </c>
      <c r="J8" s="538">
        <f t="shared" si="0"/>
        <v>877.8869687250002</v>
      </c>
      <c r="K8" s="538">
        <f t="shared" si="0"/>
        <v>453.1029516000001</v>
      </c>
      <c r="L8" s="538">
        <f t="shared" si="0"/>
        <v>198.23254132500003</v>
      </c>
      <c r="M8" s="538">
        <f t="shared" si="0"/>
        <v>113.27573790000002</v>
      </c>
      <c r="N8" s="538">
        <f t="shared" si="0"/>
        <v>113.27573790000002</v>
      </c>
      <c r="O8" s="538">
        <f>SUM(C8:N8)</f>
        <v>10046.797291999999</v>
      </c>
      <c r="P8" s="619"/>
      <c r="Q8" s="950"/>
      <c r="R8" s="628"/>
      <c r="S8" s="628"/>
      <c r="T8" s="628"/>
      <c r="U8" s="628"/>
      <c r="V8" s="628"/>
      <c r="W8" s="628"/>
      <c r="X8" s="628"/>
      <c r="Y8" s="628"/>
      <c r="Z8" s="628"/>
      <c r="AA8" s="628"/>
      <c r="AB8" s="628"/>
      <c r="AC8" s="628"/>
      <c r="AD8" s="628"/>
      <c r="AE8" s="951"/>
      <c r="AF8" s="628"/>
      <c r="AG8" s="952"/>
      <c r="AH8" s="952"/>
      <c r="AI8" s="952"/>
      <c r="AJ8" s="952"/>
      <c r="AK8" s="952"/>
      <c r="AL8" s="952"/>
      <c r="AM8" s="952"/>
      <c r="AN8" s="952"/>
      <c r="AO8" s="952"/>
      <c r="AP8" s="952"/>
      <c r="AQ8" s="952"/>
      <c r="AR8" s="952"/>
      <c r="AS8" s="628"/>
      <c r="AT8" s="951"/>
      <c r="AU8" s="953"/>
      <c r="AV8" s="954"/>
      <c r="AW8" s="955"/>
    </row>
    <row r="9" spans="2:53">
      <c r="B9" s="780" t="s">
        <v>296</v>
      </c>
      <c r="C9" s="490">
        <f>'Sales target'!F713/1000/1.2</f>
        <v>0</v>
      </c>
      <c r="D9" s="490">
        <f>'Sales target'!H713/1000/1.2</f>
        <v>0</v>
      </c>
      <c r="E9" s="490">
        <f>'Sales target'!J713/1000/1.2</f>
        <v>0</v>
      </c>
      <c r="F9" s="490">
        <f>'Sales target'!L713/1000/1.2</f>
        <v>3314.0786095624999</v>
      </c>
      <c r="G9" s="490">
        <f>'Sales target'!N713/1000/1.2</f>
        <v>1100.4533531875002</v>
      </c>
      <c r="H9" s="490">
        <f>'Sales target'!P713/1000/1.2</f>
        <v>1449.2654076666668</v>
      </c>
      <c r="I9" s="490">
        <f>'Sales target'!T713/1000/1.2</f>
        <v>1045.3887583750002</v>
      </c>
      <c r="J9" s="490">
        <f>'Sales target'!V713/1000/1.2</f>
        <v>731.57247393750015</v>
      </c>
      <c r="K9" s="490">
        <f>'Sales target'!X713/1000/1.2</f>
        <v>377.58579300000008</v>
      </c>
      <c r="L9" s="490">
        <f>'Sales target'!Z713/1000/1.2</f>
        <v>165.19378443750003</v>
      </c>
      <c r="M9" s="490">
        <f>'Sales target'!AB713/1000/1.2</f>
        <v>94.39644825000002</v>
      </c>
      <c r="N9" s="490">
        <f>'Sales target'!AD713/1000/1.2</f>
        <v>94.39644825000002</v>
      </c>
      <c r="O9" s="490">
        <f t="shared" ref="O9:O14" si="1">SUM(C9:N9)</f>
        <v>8372.3310766666673</v>
      </c>
      <c r="P9" s="620"/>
      <c r="Q9" s="837"/>
      <c r="R9" s="589"/>
      <c r="S9" s="589"/>
      <c r="T9" s="589"/>
      <c r="U9" s="589"/>
      <c r="V9" s="589"/>
      <c r="W9" s="589"/>
      <c r="X9" s="589"/>
      <c r="Y9" s="589"/>
      <c r="Z9" s="589"/>
      <c r="AA9" s="589"/>
      <c r="AB9" s="589"/>
      <c r="AC9" s="589"/>
      <c r="AD9" s="589"/>
      <c r="AE9" s="504"/>
      <c r="AF9" s="714"/>
      <c r="AG9" s="463"/>
      <c r="AH9" s="463"/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714"/>
      <c r="AT9" s="504"/>
      <c r="AU9" s="574"/>
      <c r="AV9" s="542"/>
      <c r="AW9" s="574"/>
    </row>
    <row r="10" spans="2:53" s="508" customFormat="1">
      <c r="B10" s="784" t="s">
        <v>288</v>
      </c>
      <c r="C10" s="535">
        <f>-SUM('Sales target'!F1421:F1425)/1000*'Mark Up Validation'!$M$132</f>
        <v>0</v>
      </c>
      <c r="D10" s="535">
        <f>-SUM('Sales target'!H1421:H1425)/1000*'Mark Up Validation'!$M$132</f>
        <v>0</v>
      </c>
      <c r="E10" s="535">
        <f>-SUM('Sales target'!J1421:J1425)/1000*'Mark Up Validation'!$M$132</f>
        <v>0</v>
      </c>
      <c r="F10" s="535">
        <f>-SUM('Sales target'!L1421:L1425)/1000*'Mark Up Validation'!$M$132</f>
        <v>-2181.1198291653891</v>
      </c>
      <c r="G10" s="535">
        <f>-SUM('Sales target'!N1421:N1425)/1000*'Mark Up Validation'!$M$132</f>
        <v>-616.72466576162333</v>
      </c>
      <c r="H10" s="535">
        <f>-SUM('Sales target'!P1421:P1425)/1000*'Mark Up Validation'!$M$132</f>
        <v>-791.77247723532469</v>
      </c>
      <c r="I10" s="535">
        <f>-SUM('Sales target'!T1421:T1425)/1000*'Mark Up Validation'!$S$132</f>
        <v>-663.51057121987014</v>
      </c>
      <c r="J10" s="535">
        <f>-SUM('Sales target'!V1421:V1425)/1000*'Mark Up Validation'!$S$132</f>
        <v>-393.90180707512997</v>
      </c>
      <c r="K10" s="535">
        <f>-SUM('Sales target'!X1421:X1425)/1000*'Mark Up Validation'!$S$132</f>
        <v>-203.30415849038965</v>
      </c>
      <c r="L10" s="535">
        <f>-SUM('Sales target'!Z1421:Z1425)/1000*'Mark Up Validation'!$S$132</f>
        <v>-88.945569339545457</v>
      </c>
      <c r="M10" s="535">
        <f>-SUM('Sales target'!AB1421:AB1425)/1000*'Mark Up Validation'!$S$132</f>
        <v>-50.826039622597413</v>
      </c>
      <c r="N10" s="535">
        <f>-SUM('Sales target'!AD1421:AD1425)/1000*'Mark Up Validation'!$S$132</f>
        <v>-50.826039622597413</v>
      </c>
      <c r="O10" s="490">
        <f t="shared" si="1"/>
        <v>-5040.9311575324682</v>
      </c>
      <c r="P10" s="620">
        <f>O10/O$9</f>
        <v>-0.6020941015556982</v>
      </c>
      <c r="Q10" s="837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  <c r="AD10" s="714"/>
      <c r="AE10" s="504"/>
      <c r="AF10" s="714"/>
      <c r="AG10" s="714"/>
      <c r="AH10" s="714"/>
      <c r="AI10" s="714"/>
      <c r="AJ10" s="714"/>
      <c r="AK10" s="714"/>
      <c r="AL10" s="714"/>
      <c r="AM10" s="714"/>
      <c r="AN10" s="714"/>
      <c r="AO10" s="714"/>
      <c r="AP10" s="714"/>
      <c r="AQ10" s="714"/>
      <c r="AR10" s="714"/>
      <c r="AS10" s="714"/>
      <c r="AT10" s="504"/>
      <c r="AU10" s="571"/>
      <c r="AV10" s="956"/>
      <c r="AW10" s="574"/>
    </row>
    <row r="11" spans="2:53" s="508" customFormat="1">
      <c r="B11" s="784" t="s">
        <v>284</v>
      </c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490">
        <f t="shared" si="1"/>
        <v>0</v>
      </c>
      <c r="P11" s="620">
        <f>O11/O$9</f>
        <v>0</v>
      </c>
      <c r="Q11" s="837"/>
      <c r="R11" s="589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  <c r="AD11" s="714"/>
      <c r="AE11" s="504"/>
      <c r="AF11" s="714"/>
      <c r="AG11" s="714"/>
      <c r="AH11" s="714"/>
      <c r="AI11" s="714"/>
      <c r="AJ11" s="714"/>
      <c r="AK11" s="714"/>
      <c r="AL11" s="714"/>
      <c r="AM11" s="714"/>
      <c r="AN11" s="714"/>
      <c r="AO11" s="714"/>
      <c r="AP11" s="714"/>
      <c r="AQ11" s="714"/>
      <c r="AR11" s="714"/>
      <c r="AS11" s="714"/>
      <c r="AT11" s="504"/>
      <c r="AU11" s="571"/>
      <c r="AV11" s="956"/>
      <c r="AW11" s="574"/>
    </row>
    <row r="12" spans="2:53">
      <c r="B12" s="780" t="s">
        <v>540</v>
      </c>
      <c r="C12" s="490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>
        <f t="shared" si="1"/>
        <v>0</v>
      </c>
      <c r="P12" s="620">
        <f>O12/O$9</f>
        <v>0</v>
      </c>
      <c r="Q12" s="837"/>
      <c r="R12" s="589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  <c r="AD12" s="714"/>
      <c r="AE12" s="504"/>
      <c r="AF12" s="714"/>
      <c r="AG12" s="463"/>
      <c r="AH12" s="463"/>
      <c r="AI12" s="463"/>
      <c r="AJ12" s="463"/>
      <c r="AK12" s="463"/>
      <c r="AL12" s="463"/>
      <c r="AM12" s="463"/>
      <c r="AN12" s="463"/>
      <c r="AO12" s="463"/>
      <c r="AP12" s="463"/>
      <c r="AQ12" s="463"/>
      <c r="AR12" s="463"/>
      <c r="AS12" s="714"/>
      <c r="AT12" s="504"/>
      <c r="AU12" s="574"/>
      <c r="AV12" s="542"/>
      <c r="AW12" s="574"/>
      <c r="AY12" s="531"/>
      <c r="BA12" s="401"/>
    </row>
    <row r="13" spans="2:53" s="467" customFormat="1">
      <c r="B13" s="785"/>
      <c r="C13" s="714"/>
      <c r="D13" s="714"/>
      <c r="E13" s="714"/>
      <c r="F13" s="714"/>
      <c r="G13" s="714"/>
      <c r="H13" s="714"/>
      <c r="I13" s="714"/>
      <c r="J13" s="714"/>
      <c r="K13" s="714"/>
      <c r="L13" s="714"/>
      <c r="M13" s="714"/>
      <c r="N13" s="714"/>
      <c r="O13" s="714">
        <f t="shared" si="1"/>
        <v>0</v>
      </c>
      <c r="P13" s="622"/>
      <c r="Q13" s="837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04"/>
      <c r="AF13" s="71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714"/>
      <c r="AT13" s="504"/>
      <c r="AU13" s="574"/>
      <c r="AV13" s="542"/>
      <c r="AW13" s="574"/>
      <c r="AY13" s="571"/>
      <c r="AZ13" s="731"/>
    </row>
    <row r="14" spans="2:53">
      <c r="B14" s="786" t="s">
        <v>58</v>
      </c>
      <c r="C14" s="568">
        <f>SUM(C9:C13)</f>
        <v>0</v>
      </c>
      <c r="D14" s="568">
        <f>SUM(D9:D13)</f>
        <v>0</v>
      </c>
      <c r="E14" s="568">
        <f t="shared" ref="E14:N14" si="2">SUM(E9:E13)</f>
        <v>0</v>
      </c>
      <c r="F14" s="568">
        <f t="shared" si="2"/>
        <v>1132.9587803971108</v>
      </c>
      <c r="G14" s="568">
        <f t="shared" si="2"/>
        <v>483.72868742587684</v>
      </c>
      <c r="H14" s="568">
        <f t="shared" si="2"/>
        <v>657.49293043134207</v>
      </c>
      <c r="I14" s="568">
        <f t="shared" si="2"/>
        <v>381.87818715513004</v>
      </c>
      <c r="J14" s="568">
        <f t="shared" si="2"/>
        <v>337.67066686237018</v>
      </c>
      <c r="K14" s="568">
        <f t="shared" si="2"/>
        <v>174.28163450961043</v>
      </c>
      <c r="L14" s="568">
        <f t="shared" si="2"/>
        <v>76.248215097954571</v>
      </c>
      <c r="M14" s="568">
        <f t="shared" si="2"/>
        <v>43.570408627402607</v>
      </c>
      <c r="N14" s="568">
        <f t="shared" si="2"/>
        <v>43.570408627402607</v>
      </c>
      <c r="O14" s="568">
        <f t="shared" si="1"/>
        <v>3331.3999191342</v>
      </c>
      <c r="P14" s="621">
        <f>O14/O$9</f>
        <v>0.39790589844430191</v>
      </c>
      <c r="Q14" s="957"/>
      <c r="R14" s="958"/>
      <c r="S14" s="958"/>
      <c r="T14" s="958"/>
      <c r="U14" s="958"/>
      <c r="V14" s="958"/>
      <c r="W14" s="958"/>
      <c r="X14" s="958"/>
      <c r="Y14" s="958"/>
      <c r="Z14" s="958"/>
      <c r="AA14" s="958"/>
      <c r="AB14" s="958"/>
      <c r="AC14" s="958"/>
      <c r="AD14" s="958"/>
      <c r="AE14" s="959"/>
      <c r="AF14" s="629"/>
      <c r="AG14" s="958"/>
      <c r="AH14" s="958"/>
      <c r="AI14" s="958"/>
      <c r="AJ14" s="958"/>
      <c r="AK14" s="958"/>
      <c r="AL14" s="958"/>
      <c r="AM14" s="958"/>
      <c r="AN14" s="958"/>
      <c r="AO14" s="958"/>
      <c r="AP14" s="958"/>
      <c r="AQ14" s="958"/>
      <c r="AR14" s="958"/>
      <c r="AS14" s="629"/>
      <c r="AT14" s="959"/>
      <c r="AU14" s="517"/>
      <c r="AV14" s="542"/>
      <c r="AW14" s="574"/>
      <c r="AY14" s="508"/>
      <c r="AZ14" s="541"/>
      <c r="BA14" s="401"/>
    </row>
    <row r="15" spans="2:53" s="541" customFormat="1">
      <c r="B15" s="787" t="s">
        <v>289</v>
      </c>
      <c r="C15" s="494">
        <f t="shared" ref="C15:H15" si="3">IFERROR(C14/C9,0)</f>
        <v>0</v>
      </c>
      <c r="D15" s="494">
        <f t="shared" si="3"/>
        <v>0</v>
      </c>
      <c r="E15" s="494">
        <f t="shared" si="3"/>
        <v>0</v>
      </c>
      <c r="F15" s="494">
        <f t="shared" si="3"/>
        <v>0.34186237379163303</v>
      </c>
      <c r="G15" s="494">
        <f t="shared" si="3"/>
        <v>0.43957218724877378</v>
      </c>
      <c r="H15" s="494">
        <f t="shared" si="3"/>
        <v>0.45367323814753358</v>
      </c>
      <c r="I15" s="494">
        <f>IFERROR(I14/I9,0)</f>
        <v>0.36529777472328939</v>
      </c>
      <c r="J15" s="494">
        <f t="shared" ref="J15:O15" si="4">IFERROR(J14/J9,0)</f>
        <v>0.46156830511260888</v>
      </c>
      <c r="K15" s="494">
        <f t="shared" si="4"/>
        <v>0.46156830511260893</v>
      </c>
      <c r="L15" s="494">
        <f t="shared" si="4"/>
        <v>0.46156830511260899</v>
      </c>
      <c r="M15" s="494">
        <f t="shared" si="4"/>
        <v>0.46156830511260893</v>
      </c>
      <c r="N15" s="494">
        <f t="shared" si="4"/>
        <v>0.46156830511260893</v>
      </c>
      <c r="O15" s="494">
        <f t="shared" si="4"/>
        <v>0.39790589844430191</v>
      </c>
      <c r="P15" s="850"/>
      <c r="Q15" s="960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4"/>
      <c r="AD15" s="534"/>
      <c r="AE15" s="534"/>
      <c r="AF15" s="630"/>
      <c r="AG15" s="534"/>
      <c r="AH15" s="534"/>
      <c r="AI15" s="534"/>
      <c r="AJ15" s="534"/>
      <c r="AK15" s="534"/>
      <c r="AL15" s="534"/>
      <c r="AM15" s="534"/>
      <c r="AN15" s="534"/>
      <c r="AO15" s="534"/>
      <c r="AP15" s="534"/>
      <c r="AQ15" s="534"/>
      <c r="AR15" s="534"/>
      <c r="AS15" s="571"/>
      <c r="AT15" s="534"/>
      <c r="AU15" s="573"/>
      <c r="AV15" s="573"/>
      <c r="AW15" s="574"/>
      <c r="AY15" s="508"/>
    </row>
    <row r="16" spans="2:53" s="541" customFormat="1">
      <c r="B16" s="838" t="s">
        <v>609</v>
      </c>
      <c r="C16" s="494"/>
      <c r="D16" s="494"/>
      <c r="E16" s="494"/>
      <c r="F16" s="494"/>
      <c r="G16" s="494"/>
      <c r="H16" s="494"/>
      <c r="I16" s="494"/>
      <c r="J16" s="494"/>
      <c r="K16" s="494"/>
      <c r="L16" s="494"/>
      <c r="M16" s="494"/>
      <c r="N16" s="494"/>
      <c r="O16" s="494"/>
      <c r="P16" s="587"/>
      <c r="Q16" s="961"/>
      <c r="R16" s="534"/>
      <c r="S16" s="534"/>
      <c r="T16" s="534"/>
      <c r="U16" s="534"/>
      <c r="V16" s="534"/>
      <c r="W16" s="534"/>
      <c r="X16" s="534"/>
      <c r="Y16" s="534"/>
      <c r="Z16" s="534"/>
      <c r="AA16" s="534"/>
      <c r="AB16" s="534"/>
      <c r="AC16" s="534"/>
      <c r="AD16" s="534"/>
      <c r="AE16" s="534"/>
      <c r="AF16" s="630"/>
      <c r="AG16" s="534"/>
      <c r="AH16" s="534"/>
      <c r="AI16" s="534"/>
      <c r="AJ16" s="534"/>
      <c r="AK16" s="534"/>
      <c r="AL16" s="534"/>
      <c r="AM16" s="534"/>
      <c r="AN16" s="534"/>
      <c r="AO16" s="534"/>
      <c r="AP16" s="534"/>
      <c r="AQ16" s="534"/>
      <c r="AR16" s="534"/>
      <c r="AS16" s="571"/>
      <c r="AT16" s="534"/>
      <c r="AU16" s="573"/>
      <c r="AV16" s="573"/>
      <c r="AW16" s="574"/>
      <c r="AY16" s="508"/>
    </row>
    <row r="17" spans="2:51" s="541" customFormat="1">
      <c r="B17" s="838" t="s">
        <v>610</v>
      </c>
      <c r="C17" s="494"/>
      <c r="D17" s="494"/>
      <c r="E17" s="494"/>
      <c r="F17" s="494"/>
      <c r="G17" s="494"/>
      <c r="H17" s="494"/>
      <c r="I17" s="494"/>
      <c r="J17" s="494"/>
      <c r="K17" s="494"/>
      <c r="L17" s="494"/>
      <c r="M17" s="494"/>
      <c r="N17" s="494"/>
      <c r="O17" s="494"/>
      <c r="P17" s="587"/>
      <c r="Q17" s="961"/>
      <c r="R17" s="534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630"/>
      <c r="AG17" s="534"/>
      <c r="AH17" s="534"/>
      <c r="AI17" s="534"/>
      <c r="AJ17" s="534"/>
      <c r="AK17" s="534"/>
      <c r="AL17" s="534"/>
      <c r="AM17" s="534"/>
      <c r="AN17" s="534"/>
      <c r="AO17" s="534"/>
      <c r="AP17" s="534"/>
      <c r="AQ17" s="534"/>
      <c r="AR17" s="534"/>
      <c r="AS17" s="571"/>
      <c r="AT17" s="534"/>
      <c r="AU17" s="573"/>
      <c r="AV17" s="573"/>
      <c r="AW17" s="574"/>
      <c r="AY17" s="508"/>
    </row>
    <row r="18" spans="2:51" s="541" customFormat="1">
      <c r="B18" s="786" t="s">
        <v>293</v>
      </c>
      <c r="C18" s="568">
        <f>C14+C16+C17</f>
        <v>0</v>
      </c>
      <c r="D18" s="568">
        <f t="shared" ref="D18:N18" si="5">D14+D16+D17</f>
        <v>0</v>
      </c>
      <c r="E18" s="568">
        <f t="shared" si="5"/>
        <v>0</v>
      </c>
      <c r="F18" s="568">
        <f t="shared" si="5"/>
        <v>1132.9587803971108</v>
      </c>
      <c r="G18" s="568">
        <f t="shared" si="5"/>
        <v>483.72868742587684</v>
      </c>
      <c r="H18" s="568">
        <f t="shared" si="5"/>
        <v>657.49293043134207</v>
      </c>
      <c r="I18" s="568">
        <f t="shared" si="5"/>
        <v>381.87818715513004</v>
      </c>
      <c r="J18" s="568">
        <f t="shared" si="5"/>
        <v>337.67066686237018</v>
      </c>
      <c r="K18" s="568">
        <f t="shared" si="5"/>
        <v>174.28163450961043</v>
      </c>
      <c r="L18" s="568">
        <f t="shared" si="5"/>
        <v>76.248215097954571</v>
      </c>
      <c r="M18" s="568">
        <f t="shared" si="5"/>
        <v>43.570408627402607</v>
      </c>
      <c r="N18" s="568">
        <f t="shared" si="5"/>
        <v>43.570408627402607</v>
      </c>
      <c r="O18" s="568">
        <f>SUM(C18:N18)</f>
        <v>3331.3999191342</v>
      </c>
      <c r="P18" s="621">
        <f>O18/O$9</f>
        <v>0.39790589844430191</v>
      </c>
      <c r="Q18" s="961"/>
      <c r="R18" s="534"/>
      <c r="S18" s="534"/>
      <c r="T18" s="534"/>
      <c r="U18" s="534"/>
      <c r="V18" s="534"/>
      <c r="W18" s="534"/>
      <c r="X18" s="534"/>
      <c r="Y18" s="534"/>
      <c r="Z18" s="534"/>
      <c r="AA18" s="534"/>
      <c r="AB18" s="534"/>
      <c r="AC18" s="534"/>
      <c r="AD18" s="534"/>
      <c r="AE18" s="534"/>
      <c r="AF18" s="630"/>
      <c r="AG18" s="534"/>
      <c r="AH18" s="534"/>
      <c r="AI18" s="534"/>
      <c r="AJ18" s="534"/>
      <c r="AK18" s="534"/>
      <c r="AL18" s="534"/>
      <c r="AM18" s="534"/>
      <c r="AN18" s="534"/>
      <c r="AO18" s="534"/>
      <c r="AP18" s="534"/>
      <c r="AQ18" s="534"/>
      <c r="AR18" s="534"/>
      <c r="AS18" s="571"/>
      <c r="AT18" s="534"/>
      <c r="AU18" s="573"/>
      <c r="AV18" s="573"/>
      <c r="AW18" s="574"/>
      <c r="AY18" s="508"/>
    </row>
    <row r="19" spans="2:51" s="541" customFormat="1">
      <c r="B19" s="787" t="s">
        <v>611</v>
      </c>
      <c r="C19" s="494">
        <f>IFERROR(C18/C9,0)</f>
        <v>0</v>
      </c>
      <c r="D19" s="494">
        <f t="shared" ref="D19:O19" si="6">IFERROR(D18/D9,0)</f>
        <v>0</v>
      </c>
      <c r="E19" s="494">
        <f t="shared" si="6"/>
        <v>0</v>
      </c>
      <c r="F19" s="494">
        <f t="shared" si="6"/>
        <v>0.34186237379163303</v>
      </c>
      <c r="G19" s="494">
        <f t="shared" si="6"/>
        <v>0.43957218724877378</v>
      </c>
      <c r="H19" s="494">
        <f t="shared" si="6"/>
        <v>0.45367323814753358</v>
      </c>
      <c r="I19" s="494">
        <f t="shared" si="6"/>
        <v>0.36529777472328939</v>
      </c>
      <c r="J19" s="494">
        <f t="shared" si="6"/>
        <v>0.46156830511260888</v>
      </c>
      <c r="K19" s="494">
        <f t="shared" si="6"/>
        <v>0.46156830511260893</v>
      </c>
      <c r="L19" s="494">
        <f t="shared" si="6"/>
        <v>0.46156830511260899</v>
      </c>
      <c r="M19" s="494">
        <f t="shared" si="6"/>
        <v>0.46156830511260893</v>
      </c>
      <c r="N19" s="494">
        <f t="shared" si="6"/>
        <v>0.46156830511260893</v>
      </c>
      <c r="O19" s="494">
        <f t="shared" si="6"/>
        <v>0.39790589844430191</v>
      </c>
      <c r="P19" s="587"/>
      <c r="Q19" s="961"/>
      <c r="R19" s="534"/>
      <c r="S19" s="534"/>
      <c r="T19" s="534"/>
      <c r="U19" s="534"/>
      <c r="V19" s="534"/>
      <c r="W19" s="534"/>
      <c r="X19" s="534"/>
      <c r="Y19" s="534"/>
      <c r="Z19" s="534"/>
      <c r="AA19" s="534"/>
      <c r="AB19" s="534"/>
      <c r="AC19" s="534"/>
      <c r="AD19" s="534"/>
      <c r="AE19" s="534"/>
      <c r="AF19" s="630"/>
      <c r="AG19" s="534"/>
      <c r="AH19" s="534"/>
      <c r="AI19" s="534"/>
      <c r="AJ19" s="534"/>
      <c r="AK19" s="534"/>
      <c r="AL19" s="534"/>
      <c r="AM19" s="534"/>
      <c r="AN19" s="534"/>
      <c r="AO19" s="534"/>
      <c r="AP19" s="534"/>
      <c r="AQ19" s="534"/>
      <c r="AR19" s="534"/>
      <c r="AS19" s="571"/>
      <c r="AT19" s="534"/>
      <c r="AU19" s="573"/>
      <c r="AV19" s="573"/>
      <c r="AW19" s="574"/>
      <c r="AY19" s="508"/>
    </row>
    <row r="20" spans="2:51">
      <c r="B20" s="787"/>
      <c r="C20" s="799"/>
      <c r="D20" s="799"/>
      <c r="E20" s="799"/>
      <c r="F20" s="799"/>
      <c r="G20" s="799"/>
      <c r="H20" s="799"/>
      <c r="I20" s="799"/>
      <c r="J20" s="799"/>
      <c r="K20" s="799"/>
      <c r="L20" s="799"/>
      <c r="M20" s="799"/>
      <c r="N20" s="494"/>
      <c r="O20" s="799"/>
      <c r="P20" s="800"/>
      <c r="Q20" s="593"/>
      <c r="R20" s="962"/>
      <c r="S20" s="962"/>
      <c r="T20" s="962"/>
      <c r="U20" s="962"/>
      <c r="V20" s="962"/>
      <c r="W20" s="962"/>
      <c r="X20" s="962"/>
      <c r="Y20" s="962"/>
      <c r="Z20" s="962"/>
      <c r="AA20" s="962"/>
      <c r="AB20" s="962"/>
      <c r="AC20" s="962"/>
      <c r="AD20" s="962"/>
      <c r="AE20" s="963"/>
      <c r="AF20" s="714"/>
      <c r="AG20" s="463"/>
      <c r="AH20" s="463"/>
      <c r="AI20" s="463"/>
      <c r="AJ20" s="463"/>
      <c r="AK20" s="463"/>
      <c r="AL20" s="463"/>
      <c r="AM20" s="463"/>
      <c r="AN20" s="463"/>
      <c r="AO20" s="463"/>
      <c r="AP20" s="463"/>
      <c r="AQ20" s="463"/>
      <c r="AR20" s="463"/>
      <c r="AT20" s="534"/>
      <c r="AU20" s="542"/>
      <c r="AV20" s="542"/>
      <c r="AW20" s="574"/>
    </row>
    <row r="21" spans="2:51" ht="21">
      <c r="B21" s="782" t="s">
        <v>521</v>
      </c>
      <c r="P21" s="801"/>
    </row>
    <row r="22" spans="2:51">
      <c r="B22" s="779" t="s">
        <v>519</v>
      </c>
      <c r="C22" s="732">
        <f>Q22+C8-C29</f>
        <v>900.15971000000002</v>
      </c>
      <c r="D22" s="732">
        <f>C22+D8-D29</f>
        <v>900.15971000000002</v>
      </c>
      <c r="E22" s="732">
        <f t="shared" ref="E22:N22" si="7">D22+E8-E29</f>
        <v>900.15971000000002</v>
      </c>
      <c r="F22" s="732">
        <f t="shared" si="7"/>
        <v>3935.5125319999993</v>
      </c>
      <c r="G22" s="732">
        <f t="shared" si="7"/>
        <v>3616.2024499999989</v>
      </c>
      <c r="H22" s="732">
        <f t="shared" si="7"/>
        <v>1083.0797099999991</v>
      </c>
      <c r="I22" s="732">
        <f t="shared" si="7"/>
        <v>991.61970999999903</v>
      </c>
      <c r="J22" s="732">
        <f t="shared" si="7"/>
        <v>936.74370999999917</v>
      </c>
      <c r="K22" s="732">
        <f t="shared" si="7"/>
        <v>927.5977099999991</v>
      </c>
      <c r="L22" s="732">
        <f t="shared" si="7"/>
        <v>927.5977099999991</v>
      </c>
      <c r="M22" s="732">
        <f t="shared" si="7"/>
        <v>927.5977099999991</v>
      </c>
      <c r="N22" s="732">
        <f t="shared" si="7"/>
        <v>927.5977099999991</v>
      </c>
      <c r="O22" s="734">
        <f>N22</f>
        <v>927.5977099999991</v>
      </c>
      <c r="P22" s="735">
        <f>O22-AD22</f>
        <v>927.5977099999991</v>
      </c>
      <c r="Q22" s="571">
        <f>Balance!C28/1000</f>
        <v>900.15971000000002</v>
      </c>
      <c r="R22" s="571"/>
      <c r="S22" s="571"/>
      <c r="T22" s="571"/>
      <c r="U22" s="571"/>
      <c r="V22" s="571"/>
      <c r="W22" s="571"/>
      <c r="X22" s="571"/>
      <c r="Y22" s="571"/>
      <c r="Z22" s="571"/>
      <c r="AA22" s="571"/>
      <c r="AB22" s="571"/>
      <c r="AC22" s="571"/>
      <c r="AE22" s="571"/>
    </row>
    <row r="23" spans="2:51" s="401" customFormat="1">
      <c r="B23" s="779" t="s">
        <v>250</v>
      </c>
      <c r="C23" s="732">
        <f>-C28/1.18</f>
        <v>0</v>
      </c>
      <c r="D23" s="732">
        <f>C23-D28/1.18</f>
        <v>0</v>
      </c>
      <c r="E23" s="732">
        <f t="shared" ref="E23:N23" si="8">D23-E28/1.18</f>
        <v>0</v>
      </c>
      <c r="F23" s="732">
        <f t="shared" si="8"/>
        <v>0</v>
      </c>
      <c r="G23" s="732">
        <f t="shared" si="8"/>
        <v>0</v>
      </c>
      <c r="H23" s="732">
        <f>G23-H28/1.18</f>
        <v>0</v>
      </c>
      <c r="I23" s="732">
        <f t="shared" si="8"/>
        <v>0</v>
      </c>
      <c r="J23" s="732">
        <f t="shared" si="8"/>
        <v>0</v>
      </c>
      <c r="K23" s="732">
        <f t="shared" si="8"/>
        <v>23.252542372881354</v>
      </c>
      <c r="L23" s="732">
        <f t="shared" si="8"/>
        <v>23.252542372881354</v>
      </c>
      <c r="M23" s="732">
        <f t="shared" si="8"/>
        <v>23.252542372881354</v>
      </c>
      <c r="N23" s="732">
        <f t="shared" si="8"/>
        <v>23.252542372881354</v>
      </c>
      <c r="O23" s="734">
        <f>N23</f>
        <v>23.252542372881354</v>
      </c>
      <c r="P23" s="735"/>
      <c r="Q23" s="467"/>
      <c r="R23" s="571"/>
      <c r="S23" s="571"/>
      <c r="T23" s="571"/>
      <c r="U23" s="571"/>
      <c r="V23" s="571"/>
      <c r="W23" s="571"/>
      <c r="X23" s="571"/>
      <c r="Y23" s="571"/>
      <c r="Z23" s="571"/>
      <c r="AA23" s="571"/>
      <c r="AB23" s="571"/>
      <c r="AC23" s="571"/>
      <c r="AD23" s="571"/>
      <c r="AE23" s="571"/>
      <c r="AF23" s="571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571"/>
      <c r="AT23" s="573"/>
      <c r="AU23" s="467"/>
      <c r="AV23" s="467"/>
      <c r="AW23" s="467"/>
    </row>
    <row r="24" spans="2:51" s="401" customFormat="1">
      <c r="B24" s="779" t="s">
        <v>542</v>
      </c>
      <c r="C24" s="732">
        <f>C12</f>
        <v>0</v>
      </c>
      <c r="D24" s="732">
        <f>C24+D12</f>
        <v>0</v>
      </c>
      <c r="E24" s="732">
        <f t="shared" ref="E24:N24" si="9">D24+E12</f>
        <v>0</v>
      </c>
      <c r="F24" s="732">
        <f t="shared" si="9"/>
        <v>0</v>
      </c>
      <c r="G24" s="732">
        <f t="shared" si="9"/>
        <v>0</v>
      </c>
      <c r="H24" s="732">
        <f t="shared" si="9"/>
        <v>0</v>
      </c>
      <c r="I24" s="732">
        <f t="shared" si="9"/>
        <v>0</v>
      </c>
      <c r="J24" s="732">
        <f t="shared" si="9"/>
        <v>0</v>
      </c>
      <c r="K24" s="732">
        <f t="shared" si="9"/>
        <v>0</v>
      </c>
      <c r="L24" s="732">
        <f t="shared" si="9"/>
        <v>0</v>
      </c>
      <c r="M24" s="732">
        <f t="shared" si="9"/>
        <v>0</v>
      </c>
      <c r="N24" s="732">
        <f t="shared" si="9"/>
        <v>0</v>
      </c>
      <c r="O24" s="734">
        <f>N24</f>
        <v>0</v>
      </c>
      <c r="P24" s="735"/>
      <c r="Q24" s="467"/>
      <c r="R24" s="571"/>
      <c r="S24" s="571"/>
      <c r="T24" s="571"/>
      <c r="U24" s="571"/>
      <c r="V24" s="571"/>
      <c r="W24" s="571"/>
      <c r="X24" s="571"/>
      <c r="Y24" s="571"/>
      <c r="Z24" s="571"/>
      <c r="AA24" s="571"/>
      <c r="AB24" s="571"/>
      <c r="AC24" s="571"/>
      <c r="AD24" s="571"/>
      <c r="AE24" s="571"/>
      <c r="AF24" s="571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571"/>
      <c r="AT24" s="573"/>
      <c r="AU24" s="467"/>
      <c r="AV24" s="467"/>
      <c r="AW24" s="467"/>
    </row>
    <row r="25" spans="2:51">
      <c r="C25" s="467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467"/>
      <c r="O25" s="571"/>
      <c r="AD25" s="467"/>
      <c r="AS25" s="573"/>
      <c r="AT25" s="467"/>
    </row>
    <row r="26" spans="2:51" ht="21">
      <c r="B26" s="782" t="s">
        <v>522</v>
      </c>
      <c r="M26" s="401"/>
      <c r="AD26" s="467"/>
    </row>
    <row r="27" spans="2:51">
      <c r="B27" s="788" t="s">
        <v>523</v>
      </c>
      <c r="C27" s="733">
        <f>'Sales target'!F712/1000</f>
        <v>0</v>
      </c>
      <c r="D27" s="733">
        <f>'Sales target'!H712/1000</f>
        <v>0</v>
      </c>
      <c r="E27" s="733">
        <f>'Sales target'!J712/1000</f>
        <v>0</v>
      </c>
      <c r="F27" s="733">
        <f>'Sales target'!L712/1000</f>
        <v>941.54150947500023</v>
      </c>
      <c r="G27" s="733">
        <f>'Sales target'!N712/1000</f>
        <v>1639.854105825</v>
      </c>
      <c r="H27" s="733">
        <f>'Sales target'!P712/1000</f>
        <v>4272.2412291999999</v>
      </c>
      <c r="I27" s="733">
        <f>'Sales target'!T712/1000</f>
        <v>1345.9265100500002</v>
      </c>
      <c r="J27" s="733">
        <f>'Sales target'!V712/1000</f>
        <v>932.76296872500018</v>
      </c>
      <c r="K27" s="733">
        <f>'Sales target'!X712/1000</f>
        <v>489.6869516000001</v>
      </c>
      <c r="L27" s="733">
        <f>'Sales target'!Z712/1000</f>
        <v>198.23254132500003</v>
      </c>
      <c r="M27" s="733">
        <f>'Sales target'!AB712/1000</f>
        <v>113.27573790000002</v>
      </c>
      <c r="N27" s="733">
        <f>'Sales target'!AD712/1000</f>
        <v>113.27573790000002</v>
      </c>
      <c r="O27" s="734">
        <f>SUM(C27:N27)</f>
        <v>10046.797292000001</v>
      </c>
      <c r="R27" s="571"/>
      <c r="S27" s="571"/>
      <c r="T27" s="571"/>
      <c r="U27" s="571"/>
      <c r="V27" s="571"/>
      <c r="W27" s="571"/>
      <c r="X27" s="571"/>
      <c r="Y27" s="571"/>
      <c r="Z27" s="571"/>
      <c r="AA27" s="571"/>
      <c r="AB27" s="571"/>
      <c r="AC27" s="571"/>
      <c r="AE27" s="571"/>
    </row>
    <row r="28" spans="2:51">
      <c r="B28" s="779" t="s">
        <v>541</v>
      </c>
      <c r="C28" s="490">
        <f>-'Sales target'!F2154/1000</f>
        <v>0</v>
      </c>
      <c r="D28" s="490">
        <f>-'Sales target'!H2154/1000</f>
        <v>0</v>
      </c>
      <c r="E28" s="490">
        <f>-'Sales target'!J2154/1000</f>
        <v>0</v>
      </c>
      <c r="F28" s="490">
        <f>-'Sales target'!L2154/1000</f>
        <v>0</v>
      </c>
      <c r="G28" s="490">
        <f>-'Sales target'!N2154/1000</f>
        <v>0</v>
      </c>
      <c r="H28" s="490">
        <f>-'Sales target'!P2154/1000</f>
        <v>0</v>
      </c>
      <c r="I28" s="490">
        <f>-'Sales target'!T2154/1000</f>
        <v>0</v>
      </c>
      <c r="J28" s="490">
        <f>-'Sales target'!V2154/1000</f>
        <v>0</v>
      </c>
      <c r="K28" s="490">
        <f>-'Sales target'!X2154/1000</f>
        <v>-27.437999999999995</v>
      </c>
      <c r="L28" s="490">
        <f>-'Sales target'!Z2154/1000</f>
        <v>0</v>
      </c>
      <c r="M28" s="490">
        <f>-'Sales target'!AB2154/1000</f>
        <v>0</v>
      </c>
      <c r="N28" s="490">
        <f>-'Sales target'!AD2154/1000</f>
        <v>0</v>
      </c>
      <c r="O28" s="734">
        <f>SUM(C28:N28)</f>
        <v>-27.437999999999995</v>
      </c>
    </row>
    <row r="29" spans="2:51">
      <c r="C29" s="768">
        <f t="shared" ref="C29:N29" si="10">SUM(C27:C28)</f>
        <v>0</v>
      </c>
      <c r="D29" s="768">
        <f t="shared" si="10"/>
        <v>0</v>
      </c>
      <c r="E29" s="768">
        <f t="shared" si="10"/>
        <v>0</v>
      </c>
      <c r="F29" s="768">
        <f t="shared" si="10"/>
        <v>941.54150947500023</v>
      </c>
      <c r="G29" s="768">
        <f t="shared" si="10"/>
        <v>1639.854105825</v>
      </c>
      <c r="H29" s="768">
        <f t="shared" si="10"/>
        <v>4272.2412291999999</v>
      </c>
      <c r="I29" s="768">
        <f t="shared" si="10"/>
        <v>1345.9265100500002</v>
      </c>
      <c r="J29" s="768">
        <f t="shared" si="10"/>
        <v>932.76296872500018</v>
      </c>
      <c r="K29" s="768">
        <f t="shared" si="10"/>
        <v>462.24895160000011</v>
      </c>
      <c r="L29" s="768">
        <f t="shared" si="10"/>
        <v>198.23254132500003</v>
      </c>
      <c r="M29" s="768">
        <f t="shared" si="10"/>
        <v>113.27573790000002</v>
      </c>
      <c r="N29" s="768">
        <f t="shared" si="10"/>
        <v>113.27573790000002</v>
      </c>
      <c r="O29" s="768">
        <f>SUM(O27:O28)</f>
        <v>10019.359292000001</v>
      </c>
    </row>
    <row r="31" spans="2:51">
      <c r="G31" s="401" t="s">
        <v>598</v>
      </c>
      <c r="H31" s="531">
        <f>G22+H8</f>
        <v>5355.320939199999</v>
      </c>
      <c r="I31" s="401" t="s">
        <v>601</v>
      </c>
      <c r="J31" s="531">
        <f>-H28</f>
        <v>0</v>
      </c>
      <c r="O31" s="508">
        <f>O8-O27</f>
        <v>0</v>
      </c>
    </row>
    <row r="32" spans="2:51">
      <c r="G32" s="401" t="s">
        <v>599</v>
      </c>
      <c r="H32" s="531">
        <f>-H27</f>
        <v>-4272.2412291999999</v>
      </c>
      <c r="I32" s="401" t="s">
        <v>602</v>
      </c>
      <c r="J32" s="531">
        <f>-J31</f>
        <v>0</v>
      </c>
    </row>
    <row r="33" spans="3:13">
      <c r="C33" s="401"/>
      <c r="D33" s="401"/>
      <c r="E33" s="401"/>
      <c r="F33" s="401"/>
      <c r="G33" s="401" t="s">
        <v>600</v>
      </c>
      <c r="H33" s="531">
        <f>H31+H32</f>
        <v>1083.0797099999991</v>
      </c>
      <c r="I33" s="401"/>
      <c r="J33" s="401"/>
      <c r="K33" s="401"/>
      <c r="L33" s="401"/>
      <c r="M33" s="401"/>
    </row>
    <row r="34" spans="3:13">
      <c r="H34" s="531">
        <f>SUM(H31:H33)</f>
        <v>2166.1594199999981</v>
      </c>
      <c r="J34" s="531">
        <f>SUM(J31:J33)</f>
        <v>0</v>
      </c>
    </row>
    <row r="35" spans="3:13">
      <c r="C35" s="508"/>
      <c r="D35" s="508"/>
      <c r="E35" s="508"/>
      <c r="F35" s="401"/>
      <c r="G35" s="401"/>
      <c r="H35" s="401"/>
      <c r="I35" s="401"/>
      <c r="J35" s="401"/>
      <c r="K35" s="401"/>
      <c r="L35" s="401"/>
      <c r="M35" s="401"/>
    </row>
  </sheetData>
  <sheetProtection password="CC01" sheet="1" objects="1" scenarios="1"/>
  <mergeCells count="2">
    <mergeCell ref="C5:N5"/>
    <mergeCell ref="R5:AC5"/>
  </mergeCells>
  <pageMargins left="0.7" right="0.7" top="0.75" bottom="0.75" header="0.3" footer="0.3"/>
  <pageSetup paperSize="9" scale="3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32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7" sqref="D37"/>
    </sheetView>
  </sheetViews>
  <sheetFormatPr defaultColWidth="8.7109375" defaultRowHeight="12.75" outlineLevelCol="1"/>
  <cols>
    <col min="1" max="1" width="14" bestFit="1" customWidth="1"/>
    <col min="2" max="2" width="32.7109375" bestFit="1" customWidth="1"/>
    <col min="3" max="3" width="14.28515625" customWidth="1"/>
    <col min="4" max="5" width="11.28515625" bestFit="1" customWidth="1" outlineLevel="1"/>
    <col min="6" max="6" width="9.28515625" customWidth="1" outlineLevel="1"/>
    <col min="7" max="7" width="11.42578125" bestFit="1" customWidth="1" outlineLevel="1"/>
    <col min="8" max="8" width="12.28515625" customWidth="1" outlineLevel="1"/>
    <col min="9" max="9" width="11.42578125" bestFit="1" customWidth="1" outlineLevel="1"/>
    <col min="10" max="10" width="14" customWidth="1" outlineLevel="1"/>
    <col min="11" max="11" width="12.28515625" customWidth="1" outlineLevel="1"/>
    <col min="12" max="13" width="14" customWidth="1" outlineLevel="1"/>
    <col min="14" max="14" width="12.28515625" customWidth="1" outlineLevel="1"/>
    <col min="15" max="15" width="14" customWidth="1" outlineLevel="1"/>
    <col min="16" max="16" width="12.28515625" customWidth="1" outlineLevel="1"/>
    <col min="17" max="17" width="14" customWidth="1" outlineLevel="1"/>
    <col min="18" max="18" width="12.28515625" customWidth="1" outlineLevel="1"/>
    <col min="19" max="19" width="14" customWidth="1" outlineLevel="1"/>
    <col min="20" max="21" width="12.28515625" customWidth="1" outlineLevel="1"/>
    <col min="22" max="22" width="9.28515625" customWidth="1" outlineLevel="1"/>
    <col min="23" max="23" width="12.28515625" customWidth="1" outlineLevel="1"/>
    <col min="24" max="24" width="9.28515625" customWidth="1" outlineLevel="1"/>
    <col min="25" max="25" width="12.28515625" customWidth="1" outlineLevel="1"/>
    <col min="26" max="26" width="9.28515625" customWidth="1" outlineLevel="1"/>
    <col min="27" max="27" width="12.28515625" customWidth="1" outlineLevel="1"/>
    <col min="28" max="29" width="14" bestFit="1" customWidth="1"/>
    <col min="30" max="30" width="14" style="713" customWidth="1"/>
    <col min="31" max="31" width="20.28515625" bestFit="1" customWidth="1"/>
    <col min="32" max="33" width="12.28515625" style="713" customWidth="1"/>
    <col min="35" max="37" width="11.28515625" bestFit="1" customWidth="1"/>
  </cols>
  <sheetData>
    <row r="1" spans="1:40" s="47" customFormat="1" ht="15">
      <c r="C1" s="1120" t="s">
        <v>673</v>
      </c>
      <c r="D1" s="1121" t="s">
        <v>271</v>
      </c>
      <c r="E1" s="1121" t="s">
        <v>271</v>
      </c>
      <c r="F1" s="1121" t="s">
        <v>272</v>
      </c>
      <c r="G1" s="1121" t="s">
        <v>272</v>
      </c>
      <c r="H1" s="1121" t="s">
        <v>273</v>
      </c>
      <c r="I1" s="1121" t="s">
        <v>273</v>
      </c>
      <c r="J1" s="1121" t="s">
        <v>274</v>
      </c>
      <c r="K1" s="1121" t="s">
        <v>274</v>
      </c>
      <c r="L1" s="1121" t="s">
        <v>275</v>
      </c>
      <c r="M1" s="1121" t="s">
        <v>275</v>
      </c>
      <c r="N1" s="1121" t="s">
        <v>276</v>
      </c>
      <c r="O1" s="1121" t="s">
        <v>276</v>
      </c>
      <c r="P1" s="1121" t="s">
        <v>277</v>
      </c>
      <c r="Q1" s="1121" t="s">
        <v>277</v>
      </c>
      <c r="R1" s="1121" t="s">
        <v>278</v>
      </c>
      <c r="S1" s="1121" t="s">
        <v>278</v>
      </c>
      <c r="T1" s="1121" t="s">
        <v>279</v>
      </c>
      <c r="U1" s="1121" t="s">
        <v>279</v>
      </c>
      <c r="V1" s="1121" t="s">
        <v>280</v>
      </c>
      <c r="W1" s="1121" t="s">
        <v>280</v>
      </c>
      <c r="X1" s="1121" t="s">
        <v>281</v>
      </c>
      <c r="Y1" s="1121" t="s">
        <v>281</v>
      </c>
      <c r="Z1" s="1121" t="s">
        <v>282</v>
      </c>
      <c r="AA1" s="1121" t="s">
        <v>282</v>
      </c>
      <c r="AB1" s="1121" t="s">
        <v>657</v>
      </c>
      <c r="AC1" s="1121" t="s">
        <v>657</v>
      </c>
      <c r="AD1" s="1121"/>
      <c r="AE1" s="1120"/>
      <c r="AF1" s="1120"/>
      <c r="AG1" s="1120"/>
      <c r="AH1" s="1120"/>
      <c r="AI1" s="1120"/>
      <c r="AJ1" s="1120"/>
      <c r="AK1" s="1120"/>
      <c r="AL1" s="1120"/>
    </row>
    <row r="2" spans="1:40">
      <c r="A2" t="s">
        <v>671</v>
      </c>
      <c r="C2" s="939" t="s">
        <v>658</v>
      </c>
      <c r="D2" s="939" t="s">
        <v>388</v>
      </c>
      <c r="E2" s="939" t="s">
        <v>484</v>
      </c>
      <c r="F2" s="939" t="s">
        <v>388</v>
      </c>
      <c r="G2" s="939" t="s">
        <v>484</v>
      </c>
      <c r="H2" s="939" t="s">
        <v>388</v>
      </c>
      <c r="I2" s="939" t="s">
        <v>484</v>
      </c>
      <c r="J2" s="939" t="s">
        <v>388</v>
      </c>
      <c r="K2" s="939" t="s">
        <v>484</v>
      </c>
      <c r="L2" s="939" t="s">
        <v>388</v>
      </c>
      <c r="M2" s="939" t="s">
        <v>484</v>
      </c>
      <c r="N2" s="939" t="s">
        <v>388</v>
      </c>
      <c r="O2" s="939" t="s">
        <v>484</v>
      </c>
      <c r="P2" s="939" t="s">
        <v>388</v>
      </c>
      <c r="Q2" s="939" t="s">
        <v>484</v>
      </c>
      <c r="R2" s="939" t="s">
        <v>388</v>
      </c>
      <c r="S2" s="939" t="s">
        <v>484</v>
      </c>
      <c r="T2" s="939" t="s">
        <v>388</v>
      </c>
      <c r="U2" s="939" t="s">
        <v>484</v>
      </c>
      <c r="V2" s="939" t="s">
        <v>388</v>
      </c>
      <c r="W2" s="939" t="s">
        <v>484</v>
      </c>
      <c r="X2" s="939" t="s">
        <v>388</v>
      </c>
      <c r="Y2" s="939" t="s">
        <v>484</v>
      </c>
      <c r="Z2" s="939" t="s">
        <v>388</v>
      </c>
      <c r="AA2" s="939" t="s">
        <v>484</v>
      </c>
      <c r="AB2" s="939" t="s">
        <v>388</v>
      </c>
      <c r="AC2" s="939" t="s">
        <v>484</v>
      </c>
      <c r="AD2" s="939"/>
      <c r="AE2" s="939" t="s">
        <v>659</v>
      </c>
      <c r="AF2" s="939" t="s">
        <v>661</v>
      </c>
      <c r="AG2" s="939" t="s">
        <v>662</v>
      </c>
      <c r="AH2" s="939"/>
      <c r="AI2" s="939" t="s">
        <v>660</v>
      </c>
      <c r="AJ2" s="939" t="s">
        <v>288</v>
      </c>
      <c r="AK2" s="939" t="s">
        <v>394</v>
      </c>
      <c r="AL2" s="939" t="s">
        <v>289</v>
      </c>
    </row>
    <row r="3" spans="1:40">
      <c r="A3" s="490">
        <f>SUMIF('Sales target'!$D$6:$D$89,Balance!B3,'Sales target'!$AP$6:$AP$89)</f>
        <v>0</v>
      </c>
      <c r="B3" t="s">
        <v>455</v>
      </c>
      <c r="C3" s="490">
        <f>SUMIFS('[18]31.12.2020'!$C$3:$C$205,'[18]31.12.2020'!$A$3:$A$205,B3,'[18]31.12.2020'!$B$3:$B$205,$C$1)</f>
        <v>0</v>
      </c>
      <c r="D3" s="490">
        <f>SUMIFS('Sales target'!$F$6:$F$100,'Sales target'!$D$6:$D$100,Balance!$B3,'Sales target'!$C$6:$C$100,Balance!D$2)</f>
        <v>0</v>
      </c>
      <c r="E3" s="490">
        <f>-SUMIFS('Sales target'!$F$6:$F$100,'Sales target'!$D$6:$D$100,Balance!$B3,'Sales target'!$C$6:$C$100,Balance!E$2)</f>
        <v>0</v>
      </c>
      <c r="F3" s="490">
        <f>SUMIFS('Sales target'!$H$6:$H$100,'Sales target'!$D$6:$D$100,Balance!$B3,'Sales target'!$C$6:$C$100,Balance!F$2)</f>
        <v>0</v>
      </c>
      <c r="G3" s="490">
        <f>-SUMIFS('Sales target'!$H$6:$H$100,'Sales target'!$D$6:$D$100,Balance!$B3,'Sales target'!$C$6:$C$100,Balance!G$2)</f>
        <v>0</v>
      </c>
      <c r="H3" s="490">
        <f>SUMIFS('Sales target'!$J$6:$J$100,'Sales target'!$D$6:$D$100,Balance!$B3,'Sales target'!$C$6:$C$100,Balance!H$2)</f>
        <v>0</v>
      </c>
      <c r="I3" s="490">
        <f>-SUMIFS('Sales target'!$J$6:$J$100,'Sales target'!$D$6:$D$100,Balance!$B3,'Sales target'!$C$6:$C$100,Balance!I$2)</f>
        <v>0</v>
      </c>
      <c r="J3" s="490">
        <f>SUMIFS('Sales target'!$L$6:$L$100,'Sales target'!$D$6:$D$100,Balance!$B3,'Sales target'!$C$6:$C$100,Balance!J$2)</f>
        <v>2277034.7399999998</v>
      </c>
      <c r="K3" s="490">
        <f>-SUMIFS('Sales target'!$L$6:$L$100,'Sales target'!$D$6:$D$100,Balance!$B3,'Sales target'!$C$6:$C$100,Balance!K$2)</f>
        <v>0</v>
      </c>
      <c r="L3" s="490">
        <f>SUMIFS('Sales target'!$N$6:$N$100,'Sales target'!$D$6:$D$100,Balance!$B3,'Sales target'!$C$6:$C$100,Balance!L$2)</f>
        <v>0</v>
      </c>
      <c r="M3" s="490">
        <f>-SUMIFS('Sales target'!$N$6:$N$100,'Sales target'!$D$6:$D$100,Balance!$B3,'Sales target'!$C$6:$C$100,Balance!M$2)</f>
        <v>0</v>
      </c>
      <c r="N3" s="490">
        <f>SUMIFS('Sales target'!$P$6:$P$100,'Sales target'!$D$6:$D$100,Balance!$B3,'Sales target'!$C$6:$C$100,Balance!N$2)</f>
        <v>0</v>
      </c>
      <c r="O3" s="490">
        <f>-SUMIFS('Sales target'!$P$6:$P$100,'Sales target'!$D$6:$D$100,Balance!$B3,'Sales target'!$C$6:$C$100,Balance!O$2)</f>
        <v>-2277034.7399999998</v>
      </c>
      <c r="P3" s="490">
        <f>SUMIFS('Sales target'!$T$6:$T$100,'Sales target'!$D$6:$D$100,Balance!$B3,'Sales target'!$C$6:$C$100,Balance!P$2)</f>
        <v>0</v>
      </c>
      <c r="Q3" s="490">
        <f>-SUMIFS('Sales target'!$T$6:$T$100,'Sales target'!$D$6:$D$100,Balance!$B3,'Sales target'!$C$6:$C$100,Balance!Q$2)</f>
        <v>0</v>
      </c>
      <c r="R3" s="490">
        <f>SUMIFS('Sales target'!$V$6:$V$100,'Sales target'!$D$6:$D$100,Balance!$B3,'Sales target'!$C$6:$C$100,Balance!R$2)</f>
        <v>0</v>
      </c>
      <c r="S3" s="490">
        <f>-SUMIFS('Sales target'!$V$6:$V$100,'Sales target'!$D$6:$D$100,Balance!$B3,'Sales target'!$C$6:$C$100,Balance!S$2)</f>
        <v>0</v>
      </c>
      <c r="T3" s="490">
        <f>SUMIFS('Sales target'!$X$6:$X$100,'Sales target'!$D$6:$D$100,Balance!$B3,'Sales target'!$C$6:$C$100,Balance!T$2)</f>
        <v>0</v>
      </c>
      <c r="U3" s="490">
        <f>-SUMIFS('Sales target'!$X$6:$X$100,'Sales target'!$D$6:$D$100,Balance!$B3,'Sales target'!$C$6:$C$100,Balance!U$2)</f>
        <v>0</v>
      </c>
      <c r="V3" s="490">
        <f>SUMIFS('Sales target'!$Z$6:$Z$100,'Sales target'!$D$6:$D$100,Balance!$B3,'Sales target'!$C$6:$C$100,Balance!V$2)</f>
        <v>0</v>
      </c>
      <c r="W3" s="490">
        <f>-SUMIFS('Sales target'!$Z$6:$Z$100,'Sales target'!$D$6:$D$100,Balance!$B3,'Sales target'!$C$6:$C$100,Balance!W$2)</f>
        <v>0</v>
      </c>
      <c r="X3" s="490">
        <f>SUMIFS('Sales target'!$AB$6:$AB$100,'Sales target'!$D$6:$D$100,Balance!$B3,'Sales target'!$C$6:$C$100,Balance!X$2)</f>
        <v>0</v>
      </c>
      <c r="Y3" s="490">
        <f>-SUMIFS('Sales target'!$AB$6:$AB$100,'Sales target'!$D$6:$D$100,Balance!$B3,'Sales target'!$C$6:$C$100,Balance!Y$2)</f>
        <v>0</v>
      </c>
      <c r="Z3" s="490">
        <f>SUMIFS('Sales target'!$AD$6:$AD$100,'Sales target'!$D$6:$D$100,Balance!$B3,'Sales target'!$C$6:$C$100,Balance!Z$2)</f>
        <v>0</v>
      </c>
      <c r="AA3" s="490">
        <f>-SUMIFS('Sales target'!$AD$6:$AD$100,'Sales target'!$D$6:$D$100,Balance!$B3,'Sales target'!$C$6:$C$100,Balance!AA$2)</f>
        <v>0</v>
      </c>
      <c r="AB3" s="490">
        <f>SUMIF($D$2:$AA$2,AB$2,$D3:$AA3)</f>
        <v>2277034.7399999998</v>
      </c>
      <c r="AC3" s="490">
        <f>SUMIF($D$2:$AA$2,AC$2,$D3:$AA3)</f>
        <v>-2277034.7399999998</v>
      </c>
      <c r="AD3" s="490"/>
      <c r="AE3" s="490">
        <f>C3+AB3+AC3</f>
        <v>0</v>
      </c>
      <c r="AF3" s="490">
        <f>-SUMIF('Sales target'!D6:D710,Balance!B3,'Sales target'!AO6:AO710)</f>
        <v>0</v>
      </c>
      <c r="AG3" s="490">
        <f>AE3-AF3</f>
        <v>0</v>
      </c>
      <c r="AI3" s="490">
        <f>AB3/1000/1.2</f>
        <v>1897.5289499999997</v>
      </c>
      <c r="AJ3" s="490">
        <f>-SUMIF('Sales target'!$D$721:$D$817,Balance!$B3,'Sales target'!$AK$721:$AK$817)/1000-SUMIF('Sales target'!$D$721:$D$817,Balance!$B3,'Sales target'!$AL$721:$AL$817)/1000</f>
        <v>-1281.4481220779219</v>
      </c>
      <c r="AK3" s="490">
        <f>AI3+AJ3</f>
        <v>616.08082792207779</v>
      </c>
      <c r="AL3" s="302">
        <f>IFERROR(AK3/AI3,"")</f>
        <v>0.32467532467532467</v>
      </c>
    </row>
    <row r="4" spans="1:40">
      <c r="A4" s="490">
        <f>SUMIF('Sales target'!$D$6:$D$89,Balance!B4,'Sales target'!$AP$6:$AP$89)</f>
        <v>0</v>
      </c>
      <c r="B4" t="s">
        <v>471</v>
      </c>
      <c r="C4" s="490">
        <f>SUMIFS('[18]31.12.2020'!$C$3:$C$205,'[18]31.12.2020'!$A$3:$A$205,B4,'[18]31.12.2020'!$B$3:$B$205,$C$1)</f>
        <v>0</v>
      </c>
      <c r="D4" s="490">
        <f>SUMIFS('Sales target'!$F$6:$F$100,'Sales target'!$D$6:$D$100,Balance!$B4,'Sales target'!$C$6:$C$100,Balance!D$2)</f>
        <v>0</v>
      </c>
      <c r="E4" s="490">
        <f>-SUMIFS('Sales target'!$F$6:$F$100,'Sales target'!$D$6:$D$100,Balance!$B4,'Sales target'!$C$6:$C$100,Balance!E$2)</f>
        <v>0</v>
      </c>
      <c r="F4" s="490">
        <f>SUMIFS('Sales target'!$H$6:$H$100,'Sales target'!$D$6:$D$100,Balance!$B4,'Sales target'!$C$6:$C$100,Balance!F$2)</f>
        <v>0</v>
      </c>
      <c r="G4" s="490">
        <f>-SUMIFS('Sales target'!$H$6:$H$100,'Sales target'!$D$6:$D$100,Balance!$B4,'Sales target'!$C$6:$C$100,Balance!G$2)</f>
        <v>0</v>
      </c>
      <c r="H4" s="490">
        <f>SUMIFS('Sales target'!$J$6:$J$100,'Sales target'!$D$6:$D$100,Balance!$B4,'Sales target'!$C$6:$C$100,Balance!H$2)</f>
        <v>0</v>
      </c>
      <c r="I4" s="490">
        <f>-SUMIFS('Sales target'!$J$6:$J$100,'Sales target'!$D$6:$D$100,Balance!$B4,'Sales target'!$C$6:$C$100,Balance!I$2)</f>
        <v>0</v>
      </c>
      <c r="J4" s="490">
        <f>SUMIFS('Sales target'!$L$6:$L$100,'Sales target'!$D$6:$D$100,Balance!$B4,'Sales target'!$C$6:$C$100,Balance!J$2)</f>
        <v>0</v>
      </c>
      <c r="K4" s="490">
        <f>-SUMIFS('Sales target'!$L$6:$L$100,'Sales target'!$D$6:$D$100,Balance!$B4,'Sales target'!$C$6:$C$100,Balance!K$2)</f>
        <v>0</v>
      </c>
      <c r="L4" s="490">
        <f>SUMIFS('Sales target'!$N$6:$N$100,'Sales target'!$D$6:$D$100,Balance!$B4,'Sales target'!$C$6:$C$100,Balance!L$2)</f>
        <v>0</v>
      </c>
      <c r="M4" s="490">
        <f>-SUMIFS('Sales target'!$N$6:$N$100,'Sales target'!$D$6:$D$100,Balance!$B4,'Sales target'!$C$6:$C$100,Balance!M$2)</f>
        <v>0</v>
      </c>
      <c r="N4" s="490">
        <f>SUMIFS('Sales target'!$P$6:$P$100,'Sales target'!$D$6:$D$100,Balance!$B4,'Sales target'!$C$6:$C$100,Balance!N$2)</f>
        <v>0</v>
      </c>
      <c r="O4" s="490">
        <f>-SUMIFS('Sales target'!$P$6:$P$100,'Sales target'!$D$6:$D$100,Balance!$B4,'Sales target'!$C$6:$C$100,Balance!O$2)</f>
        <v>0</v>
      </c>
      <c r="P4" s="490">
        <f>SUMIFS('Sales target'!$T$6:$T$100,'Sales target'!$D$6:$D$100,Balance!$B4,'Sales target'!$C$6:$C$100,Balance!P$2)</f>
        <v>0</v>
      </c>
      <c r="Q4" s="490">
        <f>-SUMIFS('Sales target'!$T$6:$T$100,'Sales target'!$D$6:$D$100,Balance!$B4,'Sales target'!$C$6:$C$100,Balance!Q$2)</f>
        <v>0</v>
      </c>
      <c r="R4" s="490">
        <f>SUMIFS('Sales target'!$V$6:$V$100,'Sales target'!$D$6:$D$100,Balance!$B4,'Sales target'!$C$6:$C$100,Balance!R$2)</f>
        <v>0</v>
      </c>
      <c r="S4" s="490">
        <f>-SUMIFS('Sales target'!$V$6:$V$100,'Sales target'!$D$6:$D$100,Balance!$B4,'Sales target'!$C$6:$C$100,Balance!S$2)</f>
        <v>0</v>
      </c>
      <c r="T4" s="490">
        <f>SUMIFS('Sales target'!$X$6:$X$100,'Sales target'!$D$6:$D$100,Balance!$B4,'Sales target'!$C$6:$C$100,Balance!T$2)</f>
        <v>0</v>
      </c>
      <c r="U4" s="490">
        <f>-SUMIFS('Sales target'!$X$6:$X$100,'Sales target'!$D$6:$D$100,Balance!$B4,'Sales target'!$C$6:$C$100,Balance!U$2)</f>
        <v>0</v>
      </c>
      <c r="V4" s="490">
        <f>SUMIFS('Sales target'!$Z$6:$Z$100,'Sales target'!$D$6:$D$100,Balance!$B4,'Sales target'!$C$6:$C$100,Balance!V$2)</f>
        <v>0</v>
      </c>
      <c r="W4" s="490">
        <f>-SUMIFS('Sales target'!$Z$6:$Z$100,'Sales target'!$D$6:$D$100,Balance!$B4,'Sales target'!$C$6:$C$100,Balance!W$2)</f>
        <v>0</v>
      </c>
      <c r="X4" s="490">
        <f>SUMIFS('Sales target'!$AB$6:$AB$100,'Sales target'!$D$6:$D$100,Balance!$B4,'Sales target'!$C$6:$C$100,Balance!X$2)</f>
        <v>0</v>
      </c>
      <c r="Y4" s="490">
        <f>-SUMIFS('Sales target'!$AB$6:$AB$100,'Sales target'!$D$6:$D$100,Balance!$B4,'Sales target'!$C$6:$C$100,Balance!Y$2)</f>
        <v>0</v>
      </c>
      <c r="Z4" s="490">
        <f>SUMIFS('Sales target'!$AD$6:$AD$100,'Sales target'!$D$6:$D$100,Balance!$B4,'Sales target'!$C$6:$C$100,Balance!Z$2)</f>
        <v>0</v>
      </c>
      <c r="AA4" s="490">
        <f>-SUMIFS('Sales target'!$AD$6:$AD$100,'Sales target'!$D$6:$D$100,Balance!$B4,'Sales target'!$C$6:$C$100,Balance!AA$2)</f>
        <v>0</v>
      </c>
      <c r="AB4" s="490">
        <f t="shared" ref="AB4:AC27" si="0">SUMIF($D$2:$AA$2,AB$2,$D4:$AA4)</f>
        <v>0</v>
      </c>
      <c r="AC4" s="490">
        <f t="shared" si="0"/>
        <v>0</v>
      </c>
      <c r="AD4" s="490"/>
      <c r="AE4" s="490">
        <f t="shared" ref="AE4:AE27" si="1">C4+AB4+AC4</f>
        <v>0</v>
      </c>
      <c r="AF4" s="490">
        <f>-SUMIF('Sales target'!D7:D711,Balance!B4,'Sales target'!AO7:AO711)</f>
        <v>0</v>
      </c>
      <c r="AG4" s="490">
        <f t="shared" ref="AG4:AG27" si="2">AE4-AF4</f>
        <v>0</v>
      </c>
      <c r="AI4" s="490">
        <f t="shared" ref="AI4:AI27" si="3">AB4/1000/1.2</f>
        <v>0</v>
      </c>
      <c r="AJ4" s="490">
        <f>-SUMIF('Sales target'!$D$721:$D$817,Balance!$B4,'Sales target'!$AK$721:$AK$817)/1000-SUMIF('Sales target'!$D$721:$D$817,Balance!$B4,'Sales target'!$AL$721:$AL$817)/1000</f>
        <v>0</v>
      </c>
      <c r="AK4" s="490">
        <f t="shared" ref="AK4:AK27" si="4">AI4+AJ4</f>
        <v>0</v>
      </c>
      <c r="AL4" s="302" t="str">
        <f t="shared" ref="AL4:AL27" si="5">IFERROR(AK4/AI4,"")</f>
        <v/>
      </c>
    </row>
    <row r="5" spans="1:40">
      <c r="A5" s="490">
        <f>SUMIF('Sales target'!$D$6:$D$89,Balance!B5,'Sales target'!$AP$6:$AP$89)</f>
        <v>0</v>
      </c>
      <c r="B5" t="s">
        <v>473</v>
      </c>
      <c r="C5" s="490">
        <f>SUMIFS('[18]31.12.2020'!$C$3:$C$205,'[18]31.12.2020'!$A$3:$A$205,B5,'[18]31.12.2020'!$B$3:$B$205,$C$1)</f>
        <v>0</v>
      </c>
      <c r="D5" s="490">
        <f>SUMIFS('Sales target'!$F$6:$F$100,'Sales target'!$D$6:$D$100,Balance!$B5,'Sales target'!$C$6:$C$100,Balance!D$2)</f>
        <v>0</v>
      </c>
      <c r="E5" s="490">
        <f>-SUMIFS('Sales target'!$F$6:$F$100,'Sales target'!$D$6:$D$100,Balance!$B5,'Sales target'!$C$6:$C$100,Balance!E$2)</f>
        <v>0</v>
      </c>
      <c r="F5" s="490">
        <f>SUMIFS('Sales target'!$H$6:$H$100,'Sales target'!$D$6:$D$100,Balance!$B5,'Sales target'!$C$6:$C$100,Balance!F$2)</f>
        <v>0</v>
      </c>
      <c r="G5" s="490">
        <f>-SUMIFS('Sales target'!$H$6:$H$100,'Sales target'!$D$6:$D$100,Balance!$B5,'Sales target'!$C$6:$C$100,Balance!G$2)</f>
        <v>0</v>
      </c>
      <c r="H5" s="490">
        <f>SUMIFS('Sales target'!$J$6:$J$100,'Sales target'!$D$6:$D$100,Balance!$B5,'Sales target'!$C$6:$C$100,Balance!H$2)</f>
        <v>0</v>
      </c>
      <c r="I5" s="490">
        <f>-SUMIFS('Sales target'!$J$6:$J$100,'Sales target'!$D$6:$D$100,Balance!$B5,'Sales target'!$C$6:$C$100,Balance!I$2)</f>
        <v>0</v>
      </c>
      <c r="J5" s="490">
        <f>SUMIFS('Sales target'!$L$6:$L$100,'Sales target'!$D$6:$D$100,Balance!$B5,'Sales target'!$C$6:$C$100,Balance!J$2)</f>
        <v>0</v>
      </c>
      <c r="K5" s="490">
        <f>-SUMIFS('Sales target'!$L$6:$L$100,'Sales target'!$D$6:$D$100,Balance!$B5,'Sales target'!$C$6:$C$100,Balance!K$2)</f>
        <v>0</v>
      </c>
      <c r="L5" s="490">
        <f>SUMIFS('Sales target'!$N$6:$N$100,'Sales target'!$D$6:$D$100,Balance!$B5,'Sales target'!$C$6:$C$100,Balance!L$2)</f>
        <v>0</v>
      </c>
      <c r="M5" s="490">
        <f>-SUMIFS('Sales target'!$N$6:$N$100,'Sales target'!$D$6:$D$100,Balance!$B5,'Sales target'!$C$6:$C$100,Balance!M$2)</f>
        <v>0</v>
      </c>
      <c r="N5" s="490">
        <f>SUMIFS('Sales target'!$P$6:$P$100,'Sales target'!$D$6:$D$100,Balance!$B5,'Sales target'!$C$6:$C$100,Balance!N$2)</f>
        <v>0</v>
      </c>
      <c r="O5" s="490">
        <f>-SUMIFS('Sales target'!$P$6:$P$100,'Sales target'!$D$6:$D$100,Balance!$B5,'Sales target'!$C$6:$C$100,Balance!O$2)</f>
        <v>0</v>
      </c>
      <c r="P5" s="490">
        <f>SUMIFS('Sales target'!$T$6:$T$100,'Sales target'!$D$6:$D$100,Balance!$B5,'Sales target'!$C$6:$C$100,Balance!P$2)</f>
        <v>0</v>
      </c>
      <c r="Q5" s="490">
        <f>-SUMIFS('Sales target'!$T$6:$T$100,'Sales target'!$D$6:$D$100,Balance!$B5,'Sales target'!$C$6:$C$100,Balance!Q$2)</f>
        <v>0</v>
      </c>
      <c r="R5" s="490">
        <f>SUMIFS('Sales target'!$V$6:$V$100,'Sales target'!$D$6:$D$100,Balance!$B5,'Sales target'!$C$6:$C$100,Balance!R$2)</f>
        <v>0</v>
      </c>
      <c r="S5" s="490">
        <f>-SUMIFS('Sales target'!$V$6:$V$100,'Sales target'!$D$6:$D$100,Balance!$B5,'Sales target'!$C$6:$C$100,Balance!S$2)</f>
        <v>0</v>
      </c>
      <c r="T5" s="490">
        <f>SUMIFS('Sales target'!$X$6:$X$100,'Sales target'!$D$6:$D$100,Balance!$B5,'Sales target'!$C$6:$C$100,Balance!T$2)</f>
        <v>0</v>
      </c>
      <c r="U5" s="490">
        <f>-SUMIFS('Sales target'!$X$6:$X$100,'Sales target'!$D$6:$D$100,Balance!$B5,'Sales target'!$C$6:$C$100,Balance!U$2)</f>
        <v>0</v>
      </c>
      <c r="V5" s="490">
        <f>SUMIFS('Sales target'!$Z$6:$Z$100,'Sales target'!$D$6:$D$100,Balance!$B5,'Sales target'!$C$6:$C$100,Balance!V$2)</f>
        <v>0</v>
      </c>
      <c r="W5" s="490">
        <f>-SUMIFS('Sales target'!$Z$6:$Z$100,'Sales target'!$D$6:$D$100,Balance!$B5,'Sales target'!$C$6:$C$100,Balance!W$2)</f>
        <v>0</v>
      </c>
      <c r="X5" s="490">
        <f>SUMIFS('Sales target'!$AB$6:$AB$100,'Sales target'!$D$6:$D$100,Balance!$B5,'Sales target'!$C$6:$C$100,Balance!X$2)</f>
        <v>0</v>
      </c>
      <c r="Y5" s="490">
        <f>-SUMIFS('Sales target'!$AB$6:$AB$100,'Sales target'!$D$6:$D$100,Balance!$B5,'Sales target'!$C$6:$C$100,Balance!Y$2)</f>
        <v>0</v>
      </c>
      <c r="Z5" s="490">
        <f>SUMIFS('Sales target'!$AD$6:$AD$100,'Sales target'!$D$6:$D$100,Balance!$B5,'Sales target'!$C$6:$C$100,Balance!Z$2)</f>
        <v>0</v>
      </c>
      <c r="AA5" s="490">
        <f>-SUMIFS('Sales target'!$AD$6:$AD$100,'Sales target'!$D$6:$D$100,Balance!$B5,'Sales target'!$C$6:$C$100,Balance!AA$2)</f>
        <v>0</v>
      </c>
      <c r="AB5" s="490">
        <f t="shared" si="0"/>
        <v>0</v>
      </c>
      <c r="AC5" s="490">
        <f t="shared" si="0"/>
        <v>0</v>
      </c>
      <c r="AD5" s="490"/>
      <c r="AE5" s="490">
        <f t="shared" si="1"/>
        <v>0</v>
      </c>
      <c r="AF5" s="490">
        <f>-SUMIF('Sales target'!D8:D712,Balance!B5,'Sales target'!AO8:AO712)</f>
        <v>0</v>
      </c>
      <c r="AG5" s="490">
        <f t="shared" si="2"/>
        <v>0</v>
      </c>
      <c r="AI5" s="490">
        <f t="shared" si="3"/>
        <v>0</v>
      </c>
      <c r="AJ5" s="490">
        <f>-SUMIF('Sales target'!$D$721:$D$817,Balance!$B5,'Sales target'!$AK$721:$AK$817)/1000-SUMIF('Sales target'!$D$721:$D$817,Balance!$B5,'Sales target'!$AL$721:$AL$817)/1000</f>
        <v>0</v>
      </c>
      <c r="AK5" s="490">
        <f t="shared" si="4"/>
        <v>0</v>
      </c>
      <c r="AL5" s="302" t="str">
        <f t="shared" si="5"/>
        <v/>
      </c>
    </row>
    <row r="6" spans="1:40">
      <c r="A6" s="490">
        <f>SUMIF('Sales target'!$D$6:$D$89,Balance!B6,'Sales target'!$AP$6:$AP$89)</f>
        <v>0</v>
      </c>
      <c r="B6" t="s">
        <v>585</v>
      </c>
      <c r="C6" s="490">
        <f>SUMIFS('[18]31.12.2020'!$C$3:$C$205,'[18]31.12.2020'!$A$3:$A$205,B6,'[18]31.12.2020'!$B$3:$B$205,$C$1)</f>
        <v>0</v>
      </c>
      <c r="D6" s="490">
        <f>SUMIFS('Sales target'!$F$6:$F$100,'Sales target'!$D$6:$D$100,Balance!$B6,'Sales target'!$C$6:$C$100,Balance!D$2)</f>
        <v>0</v>
      </c>
      <c r="E6" s="490">
        <f>-SUMIFS('Sales target'!$F$6:$F$100,'Sales target'!$D$6:$D$100,Balance!$B6,'Sales target'!$C$6:$C$100,Balance!E$2)</f>
        <v>0</v>
      </c>
      <c r="F6" s="490">
        <f>SUMIFS('Sales target'!$H$6:$H$100,'Sales target'!$D$6:$D$100,Balance!$B6,'Sales target'!$C$6:$C$100,Balance!F$2)</f>
        <v>0</v>
      </c>
      <c r="G6" s="490">
        <f>-SUMIFS('Sales target'!$H$6:$H$100,'Sales target'!$D$6:$D$100,Balance!$B6,'Sales target'!$C$6:$C$100,Balance!G$2)</f>
        <v>0</v>
      </c>
      <c r="H6" s="490">
        <f>SUMIFS('Sales target'!$J$6:$J$100,'Sales target'!$D$6:$D$100,Balance!$B6,'Sales target'!$C$6:$C$100,Balance!H$2)</f>
        <v>0</v>
      </c>
      <c r="I6" s="490">
        <f>-SUMIFS('Sales target'!$J$6:$J$100,'Sales target'!$D$6:$D$100,Balance!$B6,'Sales target'!$C$6:$C$100,Balance!I$2)</f>
        <v>0</v>
      </c>
      <c r="J6" s="490">
        <f>SUMIFS('Sales target'!$L$6:$L$100,'Sales target'!$D$6:$D$100,Balance!$B6,'Sales target'!$C$6:$C$100,Balance!J$2)</f>
        <v>0</v>
      </c>
      <c r="K6" s="490">
        <f>-SUMIFS('Sales target'!$L$6:$L$100,'Sales target'!$D$6:$D$100,Balance!$B6,'Sales target'!$C$6:$C$100,Balance!K$2)</f>
        <v>0</v>
      </c>
      <c r="L6" s="490">
        <f>SUMIFS('Sales target'!$N$6:$N$100,'Sales target'!$D$6:$D$100,Balance!$B6,'Sales target'!$C$6:$C$100,Balance!L$2)</f>
        <v>0</v>
      </c>
      <c r="M6" s="490">
        <f>-SUMIFS('Sales target'!$N$6:$N$100,'Sales target'!$D$6:$D$100,Balance!$B6,'Sales target'!$C$6:$C$100,Balance!M$2)</f>
        <v>0</v>
      </c>
      <c r="N6" s="490">
        <f>SUMIFS('Sales target'!$P$6:$P$100,'Sales target'!$D$6:$D$100,Balance!$B6,'Sales target'!$C$6:$C$100,Balance!N$2)</f>
        <v>0</v>
      </c>
      <c r="O6" s="490">
        <f>-SUMIFS('Sales target'!$P$6:$P$100,'Sales target'!$D$6:$D$100,Balance!$B6,'Sales target'!$C$6:$C$100,Balance!O$2)</f>
        <v>0</v>
      </c>
      <c r="P6" s="490">
        <f>SUMIFS('Sales target'!$T$6:$T$100,'Sales target'!$D$6:$D$100,Balance!$B6,'Sales target'!$C$6:$C$100,Balance!P$2)</f>
        <v>0</v>
      </c>
      <c r="Q6" s="490">
        <f>-SUMIFS('Sales target'!$T$6:$T$100,'Sales target'!$D$6:$D$100,Balance!$B6,'Sales target'!$C$6:$C$100,Balance!Q$2)</f>
        <v>0</v>
      </c>
      <c r="R6" s="490">
        <f>SUMIFS('Sales target'!$V$6:$V$100,'Sales target'!$D$6:$D$100,Balance!$B6,'Sales target'!$C$6:$C$100,Balance!R$2)</f>
        <v>0</v>
      </c>
      <c r="S6" s="490">
        <f>-SUMIFS('Sales target'!$V$6:$V$100,'Sales target'!$D$6:$D$100,Balance!$B6,'Sales target'!$C$6:$C$100,Balance!S$2)</f>
        <v>0</v>
      </c>
      <c r="T6" s="490">
        <f>SUMIFS('Sales target'!$X$6:$X$100,'Sales target'!$D$6:$D$100,Balance!$B6,'Sales target'!$C$6:$C$100,Balance!T$2)</f>
        <v>0</v>
      </c>
      <c r="U6" s="490">
        <f>-SUMIFS('Sales target'!$X$6:$X$100,'Sales target'!$D$6:$D$100,Balance!$B6,'Sales target'!$C$6:$C$100,Balance!U$2)</f>
        <v>0</v>
      </c>
      <c r="V6" s="490">
        <f>SUMIFS('Sales target'!$Z$6:$Z$100,'Sales target'!$D$6:$D$100,Balance!$B6,'Sales target'!$C$6:$C$100,Balance!V$2)</f>
        <v>0</v>
      </c>
      <c r="W6" s="490">
        <f>-SUMIFS('Sales target'!$Z$6:$Z$100,'Sales target'!$D$6:$D$100,Balance!$B6,'Sales target'!$C$6:$C$100,Balance!W$2)</f>
        <v>0</v>
      </c>
      <c r="X6" s="490">
        <f>SUMIFS('Sales target'!$AB$6:$AB$100,'Sales target'!$D$6:$D$100,Balance!$B6,'Sales target'!$C$6:$C$100,Balance!X$2)</f>
        <v>0</v>
      </c>
      <c r="Y6" s="490">
        <f>-SUMIFS('Sales target'!$AB$6:$AB$100,'Sales target'!$D$6:$D$100,Balance!$B6,'Sales target'!$C$6:$C$100,Balance!Y$2)</f>
        <v>0</v>
      </c>
      <c r="Z6" s="490">
        <f>SUMIFS('Sales target'!$AD$6:$AD$100,'Sales target'!$D$6:$D$100,Balance!$B6,'Sales target'!$C$6:$C$100,Balance!Z$2)</f>
        <v>0</v>
      </c>
      <c r="AA6" s="490">
        <f>-SUMIFS('Sales target'!$AD$6:$AD$100,'Sales target'!$D$6:$D$100,Balance!$B6,'Sales target'!$C$6:$C$100,Balance!AA$2)</f>
        <v>0</v>
      </c>
      <c r="AB6" s="490">
        <f t="shared" si="0"/>
        <v>0</v>
      </c>
      <c r="AC6" s="490">
        <f t="shared" si="0"/>
        <v>0</v>
      </c>
      <c r="AD6" s="490"/>
      <c r="AE6" s="490">
        <f t="shared" si="1"/>
        <v>0</v>
      </c>
      <c r="AF6" s="490">
        <f>-SUMIF('Sales target'!D9:D713,Balance!B6,'Sales target'!AO9:AO713)</f>
        <v>0</v>
      </c>
      <c r="AG6" s="490">
        <f t="shared" si="2"/>
        <v>0</v>
      </c>
      <c r="AI6" s="490">
        <f t="shared" si="3"/>
        <v>0</v>
      </c>
      <c r="AJ6" s="490">
        <f>-SUMIF('Sales target'!$D$721:$D$817,Balance!$B6,'Sales target'!$AK$721:$AK$817)/1000-SUMIF('Sales target'!$D$721:$D$817,Balance!$B6,'Sales target'!$AL$721:$AL$817)/1000</f>
        <v>0</v>
      </c>
      <c r="AK6" s="490">
        <f t="shared" si="4"/>
        <v>0</v>
      </c>
      <c r="AL6" s="302" t="str">
        <f t="shared" si="5"/>
        <v/>
      </c>
    </row>
    <row r="7" spans="1:40">
      <c r="A7" s="490">
        <f>SUMIF('Sales target'!$D$6:$D$89,Balance!B7,'Sales target'!$AP$6:$AP$89)</f>
        <v>0</v>
      </c>
      <c r="B7" t="s">
        <v>663</v>
      </c>
      <c r="C7" s="490">
        <f>SUMIFS('[18]31.12.2020'!$C$3:$C$205,'[18]31.12.2020'!$A$3:$A$205,B7,'[18]31.12.2020'!$B$3:$B$205,$C$1)</f>
        <v>0</v>
      </c>
      <c r="D7" s="490">
        <f>SUMIFS('Sales target'!$F$6:$F$100,'Sales target'!$D$6:$D$100,Balance!$B7,'Sales target'!$C$6:$C$100,Balance!D$2)</f>
        <v>0</v>
      </c>
      <c r="E7" s="490">
        <f>-SUMIFS('Sales target'!$F$6:$F$100,'Sales target'!$D$6:$D$100,Balance!$B7,'Sales target'!$C$6:$C$100,Balance!E$2)</f>
        <v>0</v>
      </c>
      <c r="F7" s="490">
        <f>SUMIFS('Sales target'!$H$6:$H$100,'Sales target'!$D$6:$D$100,Balance!$B7,'Sales target'!$C$6:$C$100,Balance!F$2)</f>
        <v>0</v>
      </c>
      <c r="G7" s="490">
        <f>-SUMIFS('Sales target'!$H$6:$H$100,'Sales target'!$D$6:$D$100,Balance!$B7,'Sales target'!$C$6:$C$100,Balance!G$2)</f>
        <v>0</v>
      </c>
      <c r="H7" s="490">
        <f>SUMIFS('Sales target'!$J$6:$J$100,'Sales target'!$D$6:$D$100,Balance!$B7,'Sales target'!$C$6:$C$100,Balance!H$2)</f>
        <v>0</v>
      </c>
      <c r="I7" s="490">
        <f>-SUMIFS('Sales target'!$J$6:$J$100,'Sales target'!$D$6:$D$100,Balance!$B7,'Sales target'!$C$6:$C$100,Balance!I$2)</f>
        <v>0</v>
      </c>
      <c r="J7" s="490">
        <f>SUMIFS('Sales target'!$L$6:$L$100,'Sales target'!$D$6:$D$100,Balance!$B7,'Sales target'!$C$6:$C$100,Balance!J$2)</f>
        <v>102892.49999999999</v>
      </c>
      <c r="K7" s="490">
        <f>-SUMIFS('Sales target'!$L$6:$L$100,'Sales target'!$D$6:$D$100,Balance!$B7,'Sales target'!$C$6:$C$100,Balance!K$2)</f>
        <v>-102892.49999999999</v>
      </c>
      <c r="L7" s="490">
        <f>SUMIFS('Sales target'!$N$6:$N$100,'Sales target'!$D$6:$D$100,Balance!$B7,'Sales target'!$C$6:$C$100,Balance!L$2)</f>
        <v>61735.499999999985</v>
      </c>
      <c r="M7" s="490">
        <f>-SUMIFS('Sales target'!$N$6:$N$100,'Sales target'!$D$6:$D$100,Balance!$B7,'Sales target'!$C$6:$C$100,Balance!M$2)</f>
        <v>-61735.499999999985</v>
      </c>
      <c r="N7" s="490">
        <f>SUMIFS('Sales target'!$P$6:$P$100,'Sales target'!$D$6:$D$100,Balance!$B7,'Sales target'!$C$6:$C$100,Balance!N$2)</f>
        <v>41157</v>
      </c>
      <c r="O7" s="490">
        <f>-SUMIFS('Sales target'!$P$6:$P$100,'Sales target'!$D$6:$D$100,Balance!$B7,'Sales target'!$C$6:$C$100,Balance!O$2)</f>
        <v>-41157</v>
      </c>
      <c r="P7" s="490">
        <f>SUMIFS('Sales target'!$T$6:$T$100,'Sales target'!$D$6:$D$100,Balance!$B7,'Sales target'!$C$6:$C$100,Balance!P$2)</f>
        <v>0</v>
      </c>
      <c r="Q7" s="490">
        <f>-SUMIFS('Sales target'!$T$6:$T$100,'Sales target'!$D$6:$D$100,Balance!$B7,'Sales target'!$C$6:$C$100,Balance!Q$2)</f>
        <v>0</v>
      </c>
      <c r="R7" s="490">
        <f>SUMIFS('Sales target'!$V$6:$V$100,'Sales target'!$D$6:$D$100,Balance!$B7,'Sales target'!$C$6:$C$100,Balance!R$2)</f>
        <v>0</v>
      </c>
      <c r="S7" s="490">
        <f>-SUMIFS('Sales target'!$V$6:$V$100,'Sales target'!$D$6:$D$100,Balance!$B7,'Sales target'!$C$6:$C$100,Balance!S$2)</f>
        <v>0</v>
      </c>
      <c r="T7" s="490">
        <f>SUMIFS('Sales target'!$X$6:$X$100,'Sales target'!$D$6:$D$100,Balance!$B7,'Sales target'!$C$6:$C$100,Balance!T$2)</f>
        <v>0</v>
      </c>
      <c r="U7" s="490">
        <f>-SUMIFS('Sales target'!$X$6:$X$100,'Sales target'!$D$6:$D$100,Balance!$B7,'Sales target'!$C$6:$C$100,Balance!U$2)</f>
        <v>0</v>
      </c>
      <c r="V7" s="490">
        <f>SUMIFS('Sales target'!$Z$6:$Z$100,'Sales target'!$D$6:$D$100,Balance!$B7,'Sales target'!$C$6:$C$100,Balance!V$2)</f>
        <v>0</v>
      </c>
      <c r="W7" s="490">
        <f>-SUMIFS('Sales target'!$Z$6:$Z$100,'Sales target'!$D$6:$D$100,Balance!$B7,'Sales target'!$C$6:$C$100,Balance!W$2)</f>
        <v>0</v>
      </c>
      <c r="X7" s="490">
        <f>SUMIFS('Sales target'!$AB$6:$AB$100,'Sales target'!$D$6:$D$100,Balance!$B7,'Sales target'!$C$6:$C$100,Balance!X$2)</f>
        <v>0</v>
      </c>
      <c r="Y7" s="490">
        <f>-SUMIFS('Sales target'!$AB$6:$AB$100,'Sales target'!$D$6:$D$100,Balance!$B7,'Sales target'!$C$6:$C$100,Balance!Y$2)</f>
        <v>0</v>
      </c>
      <c r="Z7" s="490">
        <f>SUMIFS('Sales target'!$AD$6:$AD$100,'Sales target'!$D$6:$D$100,Balance!$B7,'Sales target'!$C$6:$C$100,Balance!Z$2)</f>
        <v>0</v>
      </c>
      <c r="AA7" s="490">
        <f>-SUMIFS('Sales target'!$AD$6:$AD$100,'Sales target'!$D$6:$D$100,Balance!$B7,'Sales target'!$C$6:$C$100,Balance!AA$2)</f>
        <v>0</v>
      </c>
      <c r="AB7" s="490">
        <f t="shared" si="0"/>
        <v>205784.99999999997</v>
      </c>
      <c r="AC7" s="490">
        <f t="shared" si="0"/>
        <v>-205784.99999999997</v>
      </c>
      <c r="AD7" s="490"/>
      <c r="AE7" s="490">
        <f t="shared" si="1"/>
        <v>0</v>
      </c>
      <c r="AF7" s="490">
        <f>-SUMIF('Sales target'!D10:D714,Balance!B7,'Sales target'!AO10:AO714)</f>
        <v>0</v>
      </c>
      <c r="AG7" s="490">
        <f t="shared" si="2"/>
        <v>0</v>
      </c>
      <c r="AI7" s="490">
        <f t="shared" si="3"/>
        <v>171.48749999999998</v>
      </c>
      <c r="AJ7" s="490">
        <f>-SUMIF('Sales target'!$D$721:$D$817,Balance!$B7,'Sales target'!$AK$721:$AK$817)/1000-SUMIF('Sales target'!$D$721:$D$817,Balance!$B7,'Sales target'!$AL$721:$AL$817)/1000</f>
        <v>-115.80974025974025</v>
      </c>
      <c r="AK7" s="490">
        <f t="shared" si="4"/>
        <v>55.677759740259731</v>
      </c>
      <c r="AL7" s="302">
        <f t="shared" si="5"/>
        <v>0.32467532467532467</v>
      </c>
    </row>
    <row r="8" spans="1:40">
      <c r="A8" s="490">
        <f>SUMIF('Sales target'!$D$6:$D$89,Balance!B8,'Sales target'!$AP$6:$AP$89)</f>
        <v>0</v>
      </c>
      <c r="B8" t="s">
        <v>649</v>
      </c>
      <c r="C8" s="490">
        <f>SUMIFS('[18]31.12.2020'!$C$3:$C$205,'[18]31.12.2020'!$A$3:$A$205,B8,'[18]31.12.2020'!$B$3:$B$205,$C$1)</f>
        <v>0</v>
      </c>
      <c r="D8" s="490">
        <f>SUMIFS('Sales target'!$F$6:$F$100,'Sales target'!$D$6:$D$100,Balance!$B8,'Sales target'!$C$6:$C$100,Balance!D$2)</f>
        <v>0</v>
      </c>
      <c r="E8" s="490">
        <f>-SUMIFS('Sales target'!$F$6:$F$100,'Sales target'!$D$6:$D$100,Balance!$B8,'Sales target'!$C$6:$C$100,Balance!E$2)</f>
        <v>0</v>
      </c>
      <c r="F8" s="490">
        <f>SUMIFS('Sales target'!$H$6:$H$100,'Sales target'!$D$6:$D$100,Balance!$B8,'Sales target'!$C$6:$C$100,Balance!F$2)</f>
        <v>0</v>
      </c>
      <c r="G8" s="490">
        <f>-SUMIFS('Sales target'!$H$6:$H$100,'Sales target'!$D$6:$D$100,Balance!$B8,'Sales target'!$C$6:$C$100,Balance!G$2)</f>
        <v>0</v>
      </c>
      <c r="H8" s="490">
        <f>SUMIFS('Sales target'!$J$6:$J$100,'Sales target'!$D$6:$D$100,Balance!$B8,'Sales target'!$C$6:$C$100,Balance!H$2)</f>
        <v>0</v>
      </c>
      <c r="I8" s="490">
        <f>-SUMIFS('Sales target'!$J$6:$J$100,'Sales target'!$D$6:$D$100,Balance!$B8,'Sales target'!$C$6:$C$100,Balance!I$2)</f>
        <v>0</v>
      </c>
      <c r="J8" s="490">
        <f>SUMIFS('Sales target'!$L$6:$L$100,'Sales target'!$D$6:$D$100,Balance!$B8,'Sales target'!$C$6:$C$100,Balance!J$2)</f>
        <v>0</v>
      </c>
      <c r="K8" s="490">
        <f>-SUMIFS('Sales target'!$L$6:$L$100,'Sales target'!$D$6:$D$100,Balance!$B8,'Sales target'!$C$6:$C$100,Balance!K$2)</f>
        <v>0</v>
      </c>
      <c r="L8" s="490">
        <f>SUMIFS('Sales target'!$N$6:$N$100,'Sales target'!$D$6:$D$100,Balance!$B8,'Sales target'!$C$6:$C$100,Balance!L$2)</f>
        <v>0</v>
      </c>
      <c r="M8" s="490">
        <f>-SUMIFS('Sales target'!$N$6:$N$100,'Sales target'!$D$6:$D$100,Balance!$B8,'Sales target'!$C$6:$C$100,Balance!M$2)</f>
        <v>0</v>
      </c>
      <c r="N8" s="490">
        <f>SUMIFS('Sales target'!$P$6:$P$100,'Sales target'!$D$6:$D$100,Balance!$B8,'Sales target'!$C$6:$C$100,Balance!N$2)</f>
        <v>0</v>
      </c>
      <c r="O8" s="490">
        <f>-SUMIFS('Sales target'!$P$6:$P$100,'Sales target'!$D$6:$D$100,Balance!$B8,'Sales target'!$C$6:$C$100,Balance!O$2)</f>
        <v>0</v>
      </c>
      <c r="P8" s="490">
        <f>SUMIFS('Sales target'!$T$6:$T$100,'Sales target'!$D$6:$D$100,Balance!$B8,'Sales target'!$C$6:$C$100,Balance!P$2)</f>
        <v>0</v>
      </c>
      <c r="Q8" s="490">
        <f>-SUMIFS('Sales target'!$T$6:$T$100,'Sales target'!$D$6:$D$100,Balance!$B8,'Sales target'!$C$6:$C$100,Balance!Q$2)</f>
        <v>0</v>
      </c>
      <c r="R8" s="490">
        <f>SUMIFS('Sales target'!$V$6:$V$100,'Sales target'!$D$6:$D$100,Balance!$B8,'Sales target'!$C$6:$C$100,Balance!R$2)</f>
        <v>0</v>
      </c>
      <c r="S8" s="490">
        <f>-SUMIFS('Sales target'!$V$6:$V$100,'Sales target'!$D$6:$D$100,Balance!$B8,'Sales target'!$C$6:$C$100,Balance!S$2)</f>
        <v>0</v>
      </c>
      <c r="T8" s="490">
        <f>SUMIFS('Sales target'!$X$6:$X$100,'Sales target'!$D$6:$D$100,Balance!$B8,'Sales target'!$C$6:$C$100,Balance!T$2)</f>
        <v>0</v>
      </c>
      <c r="U8" s="490">
        <f>-SUMIFS('Sales target'!$X$6:$X$100,'Sales target'!$D$6:$D$100,Balance!$B8,'Sales target'!$C$6:$C$100,Balance!U$2)</f>
        <v>0</v>
      </c>
      <c r="V8" s="490">
        <f>SUMIFS('Sales target'!$Z$6:$Z$100,'Sales target'!$D$6:$D$100,Balance!$B8,'Sales target'!$C$6:$C$100,Balance!V$2)</f>
        <v>0</v>
      </c>
      <c r="W8" s="490">
        <f>-SUMIFS('Sales target'!$Z$6:$Z$100,'Sales target'!$D$6:$D$100,Balance!$B8,'Sales target'!$C$6:$C$100,Balance!W$2)</f>
        <v>0</v>
      </c>
      <c r="X8" s="490">
        <f>SUMIFS('Sales target'!$AB$6:$AB$100,'Sales target'!$D$6:$D$100,Balance!$B8,'Sales target'!$C$6:$C$100,Balance!X$2)</f>
        <v>0</v>
      </c>
      <c r="Y8" s="490">
        <f>-SUMIFS('Sales target'!$AB$6:$AB$100,'Sales target'!$D$6:$D$100,Balance!$B8,'Sales target'!$C$6:$C$100,Balance!Y$2)</f>
        <v>0</v>
      </c>
      <c r="Z8" s="490">
        <f>SUMIFS('Sales target'!$AD$6:$AD$100,'Sales target'!$D$6:$D$100,Balance!$B8,'Sales target'!$C$6:$C$100,Balance!Z$2)</f>
        <v>0</v>
      </c>
      <c r="AA8" s="490">
        <f>-SUMIFS('Sales target'!$AD$6:$AD$100,'Sales target'!$D$6:$D$100,Balance!$B8,'Sales target'!$C$6:$C$100,Balance!AA$2)</f>
        <v>0</v>
      </c>
      <c r="AB8" s="490">
        <f t="shared" si="0"/>
        <v>0</v>
      </c>
      <c r="AC8" s="490">
        <f t="shared" si="0"/>
        <v>0</v>
      </c>
      <c r="AD8" s="490"/>
      <c r="AE8" s="490">
        <f>C8+AB8+AC8</f>
        <v>0</v>
      </c>
      <c r="AF8" s="490">
        <f>-SUMIF('Sales target'!D11:D715,Balance!B8,'Sales target'!AO11:AO715)</f>
        <v>0</v>
      </c>
      <c r="AG8" s="490">
        <f t="shared" si="2"/>
        <v>0</v>
      </c>
      <c r="AI8" s="490">
        <f t="shared" si="3"/>
        <v>0</v>
      </c>
      <c r="AJ8" s="490">
        <f>-SUMIF('Sales target'!$D$721:$D$817,Balance!$B8,'Sales target'!$AK$721:$AK$817)/1000-SUMIF('Sales target'!$D$721:$D$817,Balance!$B8,'Sales target'!$AL$721:$AL$817)/1000</f>
        <v>0</v>
      </c>
      <c r="AK8" s="490">
        <f t="shared" si="4"/>
        <v>0</v>
      </c>
      <c r="AL8" s="302" t="str">
        <f t="shared" si="5"/>
        <v/>
      </c>
    </row>
    <row r="9" spans="1:40">
      <c r="A9" s="490">
        <f>SUMIF('Sales target'!$D$6:$D$89,Balance!B9,'Sales target'!$AP$6:$AP$89)</f>
        <v>0</v>
      </c>
      <c r="B9" s="713" t="s">
        <v>973</v>
      </c>
      <c r="C9" s="490">
        <f>SUMIFS('[18]31.12.2020'!$C$3:$C$205,'[18]31.12.2020'!$A$3:$A$205,B9,'[18]31.12.2020'!$B$3:$B$205,$C$1)</f>
        <v>0</v>
      </c>
      <c r="D9" s="490">
        <f>SUMIFS('Sales target'!$F$6:$F$100,'Sales target'!$D$6:$D$100,Balance!$B9,'Sales target'!$C$6:$C$100,Balance!D$2)</f>
        <v>0</v>
      </c>
      <c r="E9" s="490">
        <f>-SUMIFS('Sales target'!$F$6:$F$100,'Sales target'!$D$6:$D$100,Balance!$B9,'Sales target'!$C$6:$C$100,Balance!E$2)</f>
        <v>0</v>
      </c>
      <c r="F9" s="490">
        <f>SUMIFS('Sales target'!$H$6:$H$100,'Sales target'!$D$6:$D$100,Balance!$B9,'Sales target'!$C$6:$C$100,Balance!F$2)</f>
        <v>0</v>
      </c>
      <c r="G9" s="490">
        <f>-SUMIFS('Sales target'!$H$6:$H$100,'Sales target'!$D$6:$D$100,Balance!$B9,'Sales target'!$C$6:$C$100,Balance!G$2)</f>
        <v>0</v>
      </c>
      <c r="H9" s="490">
        <f>SUMIFS('Sales target'!$J$6:$J$100,'Sales target'!$D$6:$D$100,Balance!$B9,'Sales target'!$C$6:$C$100,Balance!H$2)</f>
        <v>0</v>
      </c>
      <c r="I9" s="490">
        <f>-SUMIFS('Sales target'!$J$6:$J$100,'Sales target'!$D$6:$D$100,Balance!$B9,'Sales target'!$C$6:$C$100,Balance!I$2)</f>
        <v>0</v>
      </c>
      <c r="J9" s="490">
        <f>SUMIFS('Sales target'!$L$6:$L$100,'Sales target'!$D$6:$D$100,Balance!$B9,'Sales target'!$C$6:$C$100,Balance!J$2)</f>
        <v>0</v>
      </c>
      <c r="K9" s="490">
        <f>-SUMIFS('Sales target'!$L$6:$L$100,'Sales target'!$D$6:$D$100,Balance!$B9,'Sales target'!$C$6:$C$100,Balance!K$2)</f>
        <v>0</v>
      </c>
      <c r="L9" s="490">
        <f>SUMIFS('Sales target'!$N$6:$N$100,'Sales target'!$D$6:$D$100,Balance!$B9,'Sales target'!$C$6:$C$100,Balance!L$2)</f>
        <v>0</v>
      </c>
      <c r="M9" s="490">
        <f>-SUMIFS('Sales target'!$N$6:$N$100,'Sales target'!$D$6:$D$100,Balance!$B9,'Sales target'!$C$6:$C$100,Balance!M$2)</f>
        <v>0</v>
      </c>
      <c r="N9" s="490">
        <f>SUMIFS('Sales target'!$P$6:$P$100,'Sales target'!$D$6:$D$100,Balance!$B9,'Sales target'!$C$6:$C$100,Balance!N$2)</f>
        <v>0</v>
      </c>
      <c r="O9" s="490">
        <f>-SUMIFS('Sales target'!$P$6:$P$100,'Sales target'!$D$6:$D$100,Balance!$B9,'Sales target'!$C$6:$C$100,Balance!O$2)</f>
        <v>0</v>
      </c>
      <c r="P9" s="490">
        <f>SUMIFS('Sales target'!$T$6:$T$100,'Sales target'!$D$6:$D$100,Balance!$B9,'Sales target'!$C$6:$C$100,Balance!P$2)</f>
        <v>178347</v>
      </c>
      <c r="Q9" s="490">
        <f>-SUMIFS('Sales target'!$T$6:$T$100,'Sales target'!$D$6:$D$100,Balance!$B9,'Sales target'!$C$6:$C$100,Balance!Q$2)</f>
        <v>-178347</v>
      </c>
      <c r="R9" s="490">
        <f>SUMIFS('Sales target'!$V$6:$V$100,'Sales target'!$D$6:$D$100,Balance!$B9,'Sales target'!$C$6:$C$100,Balance!R$2)</f>
        <v>0</v>
      </c>
      <c r="S9" s="490">
        <f>-SUMIFS('Sales target'!$V$6:$V$100,'Sales target'!$D$6:$D$100,Balance!$B9,'Sales target'!$C$6:$C$100,Balance!S$2)</f>
        <v>0</v>
      </c>
      <c r="T9" s="490">
        <f>SUMIFS('Sales target'!$X$6:$X$100,'Sales target'!$D$6:$D$100,Balance!$B9,'Sales target'!$C$6:$C$100,Balance!T$2)</f>
        <v>0</v>
      </c>
      <c r="U9" s="490">
        <f>-SUMIFS('Sales target'!$X$6:$X$100,'Sales target'!$D$6:$D$100,Balance!$B9,'Sales target'!$C$6:$C$100,Balance!U$2)</f>
        <v>0</v>
      </c>
      <c r="V9" s="490">
        <f>SUMIFS('Sales target'!$Z$6:$Z$100,'Sales target'!$D$6:$D$100,Balance!$B9,'Sales target'!$C$6:$C$100,Balance!V$2)</f>
        <v>0</v>
      </c>
      <c r="W9" s="490">
        <f>-SUMIFS('Sales target'!$Z$6:$Z$100,'Sales target'!$D$6:$D$100,Balance!$B9,'Sales target'!$C$6:$C$100,Balance!W$2)</f>
        <v>0</v>
      </c>
      <c r="X9" s="490">
        <f>SUMIFS('Sales target'!$AB$6:$AB$100,'Sales target'!$D$6:$D$100,Balance!$B9,'Sales target'!$C$6:$C$100,Balance!X$2)</f>
        <v>0</v>
      </c>
      <c r="Y9" s="490">
        <f>-SUMIFS('Sales target'!$AB$6:$AB$100,'Sales target'!$D$6:$D$100,Balance!$B9,'Sales target'!$C$6:$C$100,Balance!Y$2)</f>
        <v>0</v>
      </c>
      <c r="Z9" s="490">
        <f>SUMIFS('Sales target'!$AD$6:$AD$100,'Sales target'!$D$6:$D$100,Balance!$B9,'Sales target'!$C$6:$C$100,Balance!Z$2)</f>
        <v>0</v>
      </c>
      <c r="AA9" s="490">
        <f>-SUMIFS('Sales target'!$AD$6:$AD$100,'Sales target'!$D$6:$D$100,Balance!$B9,'Sales target'!$C$6:$C$100,Balance!AA$2)</f>
        <v>0</v>
      </c>
      <c r="AB9" s="490">
        <f t="shared" si="0"/>
        <v>178347</v>
      </c>
      <c r="AC9" s="490">
        <f t="shared" si="0"/>
        <v>-178347</v>
      </c>
      <c r="AD9" s="490"/>
      <c r="AE9" s="490">
        <f t="shared" si="1"/>
        <v>0</v>
      </c>
      <c r="AF9" s="490">
        <f>-SUMIF('Sales target'!D12:D716,Balance!B9,'Sales target'!AO12:AO716)</f>
        <v>0</v>
      </c>
      <c r="AG9" s="943">
        <f t="shared" si="2"/>
        <v>0</v>
      </c>
      <c r="AI9" s="490">
        <f t="shared" si="3"/>
        <v>148.6225</v>
      </c>
      <c r="AJ9" s="490">
        <f>-SUMIF('Sales target'!$D$721:$D$817,Balance!$B9,'Sales target'!$AK$721:$AK$817)/1000-SUMIF('Sales target'!$D$721:$D$817,Balance!$B9,'Sales target'!$AL$721:$AL$817)/1000</f>
        <v>-180.66319480519476</v>
      </c>
      <c r="AK9" s="490">
        <f t="shared" si="4"/>
        <v>-32.040694805194761</v>
      </c>
      <c r="AL9" s="302">
        <f t="shared" si="5"/>
        <v>-0.2155844155844153</v>
      </c>
      <c r="AM9" s="493">
        <f>(AB9-AG9)/AB9</f>
        <v>1</v>
      </c>
    </row>
    <row r="10" spans="1:40">
      <c r="A10" s="490">
        <f>SUMIF('Sales target'!$D$6:$D$89,Balance!B10,'Sales target'!$AP$6:$AP$89)</f>
        <v>0</v>
      </c>
      <c r="B10" s="713" t="s">
        <v>1055</v>
      </c>
      <c r="C10" s="490">
        <f>SUMIFS('[18]31.12.2020'!$C$3:$C$205,'[18]31.12.2020'!$A$3:$A$205,B10,'[18]31.12.2020'!$B$3:$B$205,$C$1)</f>
        <v>0</v>
      </c>
      <c r="D10" s="490">
        <f>SUMIFS('Sales target'!$F$6:$F$100,'Sales target'!$D$6:$D$100,Balance!$B10,'Sales target'!$C$6:$C$100,Balance!D$2)</f>
        <v>0</v>
      </c>
      <c r="E10" s="490">
        <f>-SUMIFS('Sales target'!$F$6:$F$100,'Sales target'!$D$6:$D$100,Balance!$B10,'Sales target'!$C$6:$C$100,Balance!E$2)</f>
        <v>0</v>
      </c>
      <c r="F10" s="490">
        <f>SUMIFS('Sales target'!$H$6:$H$100,'Sales target'!$D$6:$D$100,Balance!$B10,'Sales target'!$C$6:$C$100,Balance!F$2)</f>
        <v>0</v>
      </c>
      <c r="G10" s="490">
        <f>-SUMIFS('Sales target'!$H$6:$H$100,'Sales target'!$D$6:$D$100,Balance!$B10,'Sales target'!$C$6:$C$100,Balance!G$2)</f>
        <v>0</v>
      </c>
      <c r="H10" s="490">
        <f>SUMIFS('Sales target'!$J$6:$J$100,'Sales target'!$D$6:$D$100,Balance!$B10,'Sales target'!$C$6:$C$100,Balance!H$2)</f>
        <v>0</v>
      </c>
      <c r="I10" s="490">
        <f>-SUMIFS('Sales target'!$J$6:$J$100,'Sales target'!$D$6:$D$100,Balance!$B10,'Sales target'!$C$6:$C$100,Balance!I$2)</f>
        <v>0</v>
      </c>
      <c r="J10" s="490">
        <f>SUMIFS('Sales target'!$L$6:$L$100,'Sales target'!$D$6:$D$100,Balance!$B10,'Sales target'!$C$6:$C$100,Balance!J$2)</f>
        <v>91460</v>
      </c>
      <c r="K10" s="490">
        <f>-SUMIFS('Sales target'!$L$6:$L$100,'Sales target'!$D$6:$D$100,Balance!$B10,'Sales target'!$C$6:$C$100,Balance!K$2)</f>
        <v>0</v>
      </c>
      <c r="L10" s="490">
        <f>SUMIFS('Sales target'!$N$6:$N$100,'Sales target'!$D$6:$D$100,Balance!$B10,'Sales target'!$C$6:$C$100,Balance!L$2)</f>
        <v>54876</v>
      </c>
      <c r="M10" s="490">
        <f>-SUMIFS('Sales target'!$N$6:$N$100,'Sales target'!$D$6:$D$100,Balance!$B10,'Sales target'!$C$6:$C$100,Balance!M$2)</f>
        <v>0</v>
      </c>
      <c r="N10" s="490">
        <f>SUMIFS('Sales target'!$P$6:$P$100,'Sales target'!$D$6:$D$100,Balance!$B10,'Sales target'!$C$6:$C$100,Balance!N$2)</f>
        <v>36584</v>
      </c>
      <c r="O10" s="490">
        <f>-SUMIFS('Sales target'!$P$6:$P$100,'Sales target'!$D$6:$D$100,Balance!$B10,'Sales target'!$C$6:$C$100,Balance!O$2)</f>
        <v>0</v>
      </c>
      <c r="P10" s="490">
        <f>SUMIFS('Sales target'!$T$6:$T$100,'Sales target'!$D$6:$D$100,Balance!$B10,'Sales target'!$C$6:$C$100,Balance!P$2)</f>
        <v>0</v>
      </c>
      <c r="Q10" s="490">
        <f>-SUMIFS('Sales target'!$T$6:$T$100,'Sales target'!$D$6:$D$100,Balance!$B10,'Sales target'!$C$6:$C$100,Balance!Q$2)</f>
        <v>-91460</v>
      </c>
      <c r="R10" s="490">
        <f>SUMIFS('Sales target'!$V$6:$V$100,'Sales target'!$D$6:$D$100,Balance!$B10,'Sales target'!$C$6:$C$100,Balance!R$2)</f>
        <v>0</v>
      </c>
      <c r="S10" s="490">
        <f>-SUMIFS('Sales target'!$V$6:$V$100,'Sales target'!$D$6:$D$100,Balance!$B10,'Sales target'!$C$6:$C$100,Balance!S$2)</f>
        <v>-54876</v>
      </c>
      <c r="T10" s="490">
        <f>SUMIFS('Sales target'!$X$6:$X$100,'Sales target'!$D$6:$D$100,Balance!$B10,'Sales target'!$C$6:$C$100,Balance!T$2)</f>
        <v>0</v>
      </c>
      <c r="U10" s="490">
        <f>-SUMIFS('Sales target'!$X$6:$X$100,'Sales target'!$D$6:$D$100,Balance!$B10,'Sales target'!$C$6:$C$100,Balance!U$2)</f>
        <v>-36584</v>
      </c>
      <c r="V10" s="490">
        <f>SUMIFS('Sales target'!$Z$6:$Z$100,'Sales target'!$D$6:$D$100,Balance!$B10,'Sales target'!$C$6:$C$100,Balance!V$2)</f>
        <v>0</v>
      </c>
      <c r="W10" s="490">
        <f>-SUMIFS('Sales target'!$Z$6:$Z$100,'Sales target'!$D$6:$D$100,Balance!$B10,'Sales target'!$C$6:$C$100,Balance!W$2)</f>
        <v>0</v>
      </c>
      <c r="X10" s="490">
        <f>SUMIFS('Sales target'!$AB$6:$AB$100,'Sales target'!$D$6:$D$100,Balance!$B10,'Sales target'!$C$6:$C$100,Balance!X$2)</f>
        <v>0</v>
      </c>
      <c r="Y10" s="490">
        <f>-SUMIFS('Sales target'!$AB$6:$AB$100,'Sales target'!$D$6:$D$100,Balance!$B10,'Sales target'!$C$6:$C$100,Balance!Y$2)</f>
        <v>0</v>
      </c>
      <c r="Z10" s="490">
        <f>SUMIFS('Sales target'!$AD$6:$AD$100,'Sales target'!$D$6:$D$100,Balance!$B10,'Sales target'!$C$6:$C$100,Balance!Z$2)</f>
        <v>0</v>
      </c>
      <c r="AA10" s="490">
        <f>-SUMIFS('Sales target'!$AD$6:$AD$100,'Sales target'!$D$6:$D$100,Balance!$B10,'Sales target'!$C$6:$C$100,Balance!AA$2)</f>
        <v>0</v>
      </c>
      <c r="AB10" s="490">
        <f t="shared" si="0"/>
        <v>182920</v>
      </c>
      <c r="AC10" s="490">
        <f t="shared" si="0"/>
        <v>-182920</v>
      </c>
      <c r="AD10" s="490"/>
      <c r="AE10" s="490">
        <f t="shared" si="1"/>
        <v>0</v>
      </c>
      <c r="AF10" s="490">
        <f>-SUMIF('Sales target'!D13:D717,Balance!B10,'Sales target'!AO13:AO717)</f>
        <v>0</v>
      </c>
      <c r="AG10" s="943">
        <f t="shared" si="2"/>
        <v>0</v>
      </c>
      <c r="AI10" s="490">
        <f t="shared" si="3"/>
        <v>152.43333333333334</v>
      </c>
      <c r="AJ10" s="490">
        <f>-SUMIF('Sales target'!$D$721:$D$817,Balance!$B10,'Sales target'!$AK$721:$AK$817)/1000-SUMIF('Sales target'!$D$721:$D$817,Balance!$B10,'Sales target'!$AL$721:$AL$817)/1000</f>
        <v>-115.80974025974024</v>
      </c>
      <c r="AK10" s="490">
        <f t="shared" si="4"/>
        <v>36.623593073593099</v>
      </c>
      <c r="AL10" s="302">
        <f t="shared" si="5"/>
        <v>0.24025974025974042</v>
      </c>
      <c r="AM10" s="942" t="e">
        <f>(C10-AE10)/C10</f>
        <v>#DIV/0!</v>
      </c>
      <c r="AN10" t="s">
        <v>674</v>
      </c>
    </row>
    <row r="11" spans="1:40">
      <c r="A11" s="490">
        <f>SUMIF('Sales target'!$D$6:$D$89,Balance!B11,'Sales target'!$AP$6:$AP$89)</f>
        <v>0</v>
      </c>
      <c r="B11" t="s">
        <v>672</v>
      </c>
      <c r="C11" s="490">
        <f>SUMIFS('[18]31.12.2020'!$C$3:$C$205,'[18]31.12.2020'!$A$3:$A$205,B11,'[18]31.12.2020'!$B$3:$B$205,$C$1)</f>
        <v>0</v>
      </c>
      <c r="D11" s="490">
        <f>SUMIFS('Sales target'!$F$6:$F$100,'Sales target'!$D$6:$D$100,Balance!$B11,'Sales target'!$C$6:$C$100,Balance!D$2)</f>
        <v>0</v>
      </c>
      <c r="E11" s="490">
        <f>-SUMIFS('Sales target'!$F$6:$F$100,'Sales target'!$D$6:$D$100,Balance!$B11,'Sales target'!$C$6:$C$100,Balance!E$2)</f>
        <v>0</v>
      </c>
      <c r="F11" s="490">
        <f>SUMIFS('Sales target'!$H$6:$H$100,'Sales target'!$D$6:$D$100,Balance!$B11,'Sales target'!$C$6:$C$100,Balance!F$2)</f>
        <v>0</v>
      </c>
      <c r="G11" s="490">
        <f>-SUMIFS('Sales target'!$H$6:$H$100,'Sales target'!$D$6:$D$100,Balance!$B11,'Sales target'!$C$6:$C$100,Balance!G$2)</f>
        <v>0</v>
      </c>
      <c r="H11" s="490">
        <f>SUMIFS('Sales target'!$J$6:$J$100,'Sales target'!$D$6:$D$100,Balance!$B11,'Sales target'!$C$6:$C$100,Balance!H$2)</f>
        <v>0</v>
      </c>
      <c r="I11" s="490">
        <f>-SUMIFS('Sales target'!$J$6:$J$100,'Sales target'!$D$6:$D$100,Balance!$B11,'Sales target'!$C$6:$C$100,Balance!I$2)</f>
        <v>0</v>
      </c>
      <c r="J11" s="490">
        <f>SUMIFS('Sales target'!$L$6:$L$100,'Sales target'!$D$6:$D$100,Balance!$B11,'Sales target'!$C$6:$C$100,Balance!J$2)</f>
        <v>0</v>
      </c>
      <c r="K11" s="490">
        <f>-SUMIFS('Sales target'!$L$6:$L$100,'Sales target'!$D$6:$D$100,Balance!$B11,'Sales target'!$C$6:$C$100,Balance!K$2)</f>
        <v>0</v>
      </c>
      <c r="L11" s="490">
        <f>SUMIFS('Sales target'!$N$6:$N$100,'Sales target'!$D$6:$D$100,Balance!$B11,'Sales target'!$C$6:$C$100,Balance!L$2)</f>
        <v>0</v>
      </c>
      <c r="M11" s="490">
        <f>-SUMIFS('Sales target'!$N$6:$N$100,'Sales target'!$D$6:$D$100,Balance!$B11,'Sales target'!$C$6:$C$100,Balance!M$2)</f>
        <v>0</v>
      </c>
      <c r="N11" s="490">
        <f>SUMIFS('Sales target'!$P$6:$P$100,'Sales target'!$D$6:$D$100,Balance!$B11,'Sales target'!$C$6:$C$100,Balance!N$2)</f>
        <v>0</v>
      </c>
      <c r="O11" s="490">
        <f>-SUMIFS('Sales target'!$P$6:$P$100,'Sales target'!$D$6:$D$100,Balance!$B11,'Sales target'!$C$6:$C$100,Balance!O$2)</f>
        <v>0</v>
      </c>
      <c r="P11" s="490">
        <f>SUMIFS('Sales target'!$T$6:$T$100,'Sales target'!$D$6:$D$100,Balance!$B11,'Sales target'!$C$6:$C$100,Balance!P$2)</f>
        <v>0</v>
      </c>
      <c r="Q11" s="490">
        <f>-SUMIFS('Sales target'!$T$6:$T$100,'Sales target'!$D$6:$D$100,Balance!$B11,'Sales target'!$C$6:$C$100,Balance!Q$2)</f>
        <v>0</v>
      </c>
      <c r="R11" s="490">
        <f>SUMIFS('Sales target'!$V$6:$V$100,'Sales target'!$D$6:$D$100,Balance!$B11,'Sales target'!$C$6:$C$100,Balance!R$2)</f>
        <v>0</v>
      </c>
      <c r="S11" s="490">
        <f>-SUMIFS('Sales target'!$V$6:$V$100,'Sales target'!$D$6:$D$100,Balance!$B11,'Sales target'!$C$6:$C$100,Balance!S$2)</f>
        <v>0</v>
      </c>
      <c r="T11" s="490">
        <f>SUMIFS('Sales target'!$X$6:$X$100,'Sales target'!$D$6:$D$100,Balance!$B11,'Sales target'!$C$6:$C$100,Balance!T$2)</f>
        <v>0</v>
      </c>
      <c r="U11" s="490">
        <f>-SUMIFS('Sales target'!$X$6:$X$100,'Sales target'!$D$6:$D$100,Balance!$B11,'Sales target'!$C$6:$C$100,Balance!U$2)</f>
        <v>0</v>
      </c>
      <c r="V11" s="490">
        <f>SUMIFS('Sales target'!$Z$6:$Z$100,'Sales target'!$D$6:$D$100,Balance!$B11,'Sales target'!$C$6:$C$100,Balance!V$2)</f>
        <v>0</v>
      </c>
      <c r="W11" s="490">
        <f>-SUMIFS('Sales target'!$Z$6:$Z$100,'Sales target'!$D$6:$D$100,Balance!$B11,'Sales target'!$C$6:$C$100,Balance!W$2)</f>
        <v>0</v>
      </c>
      <c r="X11" s="490">
        <f>SUMIFS('Sales target'!$AB$6:$AB$100,'Sales target'!$D$6:$D$100,Balance!$B11,'Sales target'!$C$6:$C$100,Balance!X$2)</f>
        <v>0</v>
      </c>
      <c r="Y11" s="490">
        <f>-SUMIFS('Sales target'!$AB$6:$AB$100,'Sales target'!$D$6:$D$100,Balance!$B11,'Sales target'!$C$6:$C$100,Balance!Y$2)</f>
        <v>0</v>
      </c>
      <c r="Z11" s="490">
        <f>SUMIFS('Sales target'!$AD$6:$AD$100,'Sales target'!$D$6:$D$100,Balance!$B11,'Sales target'!$C$6:$C$100,Balance!Z$2)</f>
        <v>0</v>
      </c>
      <c r="AA11" s="490">
        <f>-SUMIFS('Sales target'!$AD$6:$AD$100,'Sales target'!$D$6:$D$100,Balance!$B11,'Sales target'!$C$6:$C$100,Balance!AA$2)</f>
        <v>0</v>
      </c>
      <c r="AB11" s="490">
        <f t="shared" si="0"/>
        <v>0</v>
      </c>
      <c r="AC11" s="490">
        <f t="shared" si="0"/>
        <v>0</v>
      </c>
      <c r="AD11" s="490"/>
      <c r="AE11" s="490">
        <f t="shared" si="1"/>
        <v>0</v>
      </c>
      <c r="AF11" s="490">
        <f>-SUMIF('Sales target'!D14:D718,Balance!B11,'Sales target'!AO14:AO718)</f>
        <v>0</v>
      </c>
      <c r="AG11" s="490">
        <f t="shared" si="2"/>
        <v>0</v>
      </c>
      <c r="AI11" s="490">
        <f t="shared" si="3"/>
        <v>0</v>
      </c>
      <c r="AJ11" s="490">
        <f>-SUMIF('Sales target'!$D$721:$D$817,Balance!$B11,'Sales target'!$AK$721:$AK$817)/1000-SUMIF('Sales target'!$D$721:$D$817,Balance!$B11,'Sales target'!$AL$721:$AL$817)/1000</f>
        <v>0</v>
      </c>
      <c r="AK11" s="490">
        <f t="shared" si="4"/>
        <v>0</v>
      </c>
      <c r="AL11" s="302" t="str">
        <f t="shared" si="5"/>
        <v/>
      </c>
    </row>
    <row r="12" spans="1:40">
      <c r="A12" s="490">
        <f>SUMIF('Sales target'!$D$6:$D$89,Balance!B12,'Sales target'!$AP$6:$AP$89)</f>
        <v>0</v>
      </c>
      <c r="B12" s="713" t="s">
        <v>1054</v>
      </c>
      <c r="C12" s="490">
        <f>SUMIFS('[18]31.12.2020'!$C$3:$C$205,'[18]31.12.2020'!$A$3:$A$205,B12,'[18]31.12.2020'!$B$3:$B$205,$C$1)</f>
        <v>0</v>
      </c>
      <c r="D12" s="490">
        <f>SUMIFS('Sales target'!$F$6:$F$100,'Sales target'!$D$6:$D$100,Balance!$B12,'Sales target'!$C$6:$C$100,Balance!D$2)</f>
        <v>0</v>
      </c>
      <c r="E12" s="490">
        <f>-SUMIFS('Sales target'!$F$6:$F$100,'Sales target'!$D$6:$D$100,Balance!$B12,'Sales target'!$C$6:$C$100,Balance!E$2)</f>
        <v>0</v>
      </c>
      <c r="F12" s="490">
        <f>SUMIFS('Sales target'!$H$6:$H$100,'Sales target'!$D$6:$D$100,Balance!$B12,'Sales target'!$C$6:$C$100,Balance!F$2)</f>
        <v>0</v>
      </c>
      <c r="G12" s="490">
        <f>-SUMIFS('Sales target'!$H$6:$H$100,'Sales target'!$D$6:$D$100,Balance!$B12,'Sales target'!$C$6:$C$100,Balance!G$2)</f>
        <v>0</v>
      </c>
      <c r="H12" s="490">
        <f>SUMIFS('Sales target'!$J$6:$J$100,'Sales target'!$D$6:$D$100,Balance!$B12,'Sales target'!$C$6:$C$100,Balance!H$2)</f>
        <v>0</v>
      </c>
      <c r="I12" s="490">
        <f>-SUMIFS('Sales target'!$J$6:$J$100,'Sales target'!$D$6:$D$100,Balance!$B12,'Sales target'!$C$6:$C$100,Balance!I$2)</f>
        <v>0</v>
      </c>
      <c r="J12" s="490">
        <f>SUMIFS('Sales target'!$L$6:$L$100,'Sales target'!$D$6:$D$100,Balance!$B12,'Sales target'!$C$6:$C$100,Balance!J$2)</f>
        <v>61735.499999999993</v>
      </c>
      <c r="K12" s="490">
        <f>-SUMIFS('Sales target'!$L$6:$L$100,'Sales target'!$D$6:$D$100,Balance!$B12,'Sales target'!$C$6:$C$100,Balance!K$2)</f>
        <v>-61735.499999999993</v>
      </c>
      <c r="L12" s="490">
        <f>SUMIFS('Sales target'!$N$6:$N$100,'Sales target'!$D$6:$D$100,Balance!$B12,'Sales target'!$C$6:$C$100,Balance!L$2)</f>
        <v>61735.499999999993</v>
      </c>
      <c r="M12" s="490">
        <f>-SUMIFS('Sales target'!$N$6:$N$100,'Sales target'!$D$6:$D$100,Balance!$B12,'Sales target'!$C$6:$C$100,Balance!M$2)</f>
        <v>-61735.499999999993</v>
      </c>
      <c r="N12" s="490">
        <f>SUMIFS('Sales target'!$P$6:$P$100,'Sales target'!$D$6:$D$100,Balance!$B12,'Sales target'!$C$6:$C$100,Balance!N$2)</f>
        <v>0</v>
      </c>
      <c r="O12" s="490">
        <f>-SUMIFS('Sales target'!$P$6:$P$100,'Sales target'!$D$6:$D$100,Balance!$B12,'Sales target'!$C$6:$C$100,Balance!O$2)</f>
        <v>0</v>
      </c>
      <c r="P12" s="490">
        <f>SUMIFS('Sales target'!$T$6:$T$100,'Sales target'!$D$6:$D$100,Balance!$B12,'Sales target'!$C$6:$C$100,Balance!P$2)</f>
        <v>0</v>
      </c>
      <c r="Q12" s="490">
        <f>-SUMIFS('Sales target'!$T$6:$T$100,'Sales target'!$D$6:$D$100,Balance!$B12,'Sales target'!$C$6:$C$100,Balance!Q$2)</f>
        <v>0</v>
      </c>
      <c r="R12" s="490">
        <f>SUMIFS('Sales target'!$V$6:$V$100,'Sales target'!$D$6:$D$100,Balance!$B12,'Sales target'!$C$6:$C$100,Balance!R$2)</f>
        <v>0</v>
      </c>
      <c r="S12" s="490">
        <f>-SUMIFS('Sales target'!$V$6:$V$100,'Sales target'!$D$6:$D$100,Balance!$B12,'Sales target'!$C$6:$C$100,Balance!S$2)</f>
        <v>0</v>
      </c>
      <c r="T12" s="490">
        <f>SUMIFS('Sales target'!$X$6:$X$100,'Sales target'!$D$6:$D$100,Balance!$B12,'Sales target'!$C$6:$C$100,Balance!T$2)</f>
        <v>0</v>
      </c>
      <c r="U12" s="490">
        <f>-SUMIFS('Sales target'!$X$6:$X$100,'Sales target'!$D$6:$D$100,Balance!$B12,'Sales target'!$C$6:$C$100,Balance!U$2)</f>
        <v>0</v>
      </c>
      <c r="V12" s="490">
        <f>SUMIFS('Sales target'!$Z$6:$Z$100,'Sales target'!$D$6:$D$100,Balance!$B12,'Sales target'!$C$6:$C$100,Balance!V$2)</f>
        <v>0</v>
      </c>
      <c r="W12" s="490">
        <f>-SUMIFS('Sales target'!$Z$6:$Z$100,'Sales target'!$D$6:$D$100,Balance!$B12,'Sales target'!$C$6:$C$100,Balance!W$2)</f>
        <v>0</v>
      </c>
      <c r="X12" s="490">
        <f>SUMIFS('Sales target'!$AB$6:$AB$100,'Sales target'!$D$6:$D$100,Balance!$B12,'Sales target'!$C$6:$C$100,Balance!X$2)</f>
        <v>0</v>
      </c>
      <c r="Y12" s="490">
        <f>-SUMIFS('Sales target'!$AB$6:$AB$100,'Sales target'!$D$6:$D$100,Balance!$B12,'Sales target'!$C$6:$C$100,Balance!Y$2)</f>
        <v>0</v>
      </c>
      <c r="Z12" s="490">
        <f>SUMIFS('Sales target'!$AD$6:$AD$100,'Sales target'!$D$6:$D$100,Balance!$B12,'Sales target'!$C$6:$C$100,Balance!Z$2)</f>
        <v>0</v>
      </c>
      <c r="AA12" s="490">
        <f>-SUMIFS('Sales target'!$AD$6:$AD$100,'Sales target'!$D$6:$D$100,Balance!$B12,'Sales target'!$C$6:$C$100,Balance!AA$2)</f>
        <v>0</v>
      </c>
      <c r="AB12" s="490">
        <f t="shared" si="0"/>
        <v>123470.99999999999</v>
      </c>
      <c r="AC12" s="490">
        <f t="shared" si="0"/>
        <v>-123470.99999999999</v>
      </c>
      <c r="AD12" s="490"/>
      <c r="AE12" s="490">
        <f t="shared" si="1"/>
        <v>0</v>
      </c>
      <c r="AF12" s="490">
        <f>-SUMIF('Sales target'!D15:D719,Balance!B12,'Sales target'!AO15:AO719)</f>
        <v>0</v>
      </c>
      <c r="AG12" s="490">
        <f t="shared" si="2"/>
        <v>0</v>
      </c>
      <c r="AI12" s="490">
        <f t="shared" si="3"/>
        <v>102.8925</v>
      </c>
      <c r="AJ12" s="490">
        <f>-SUMIF('Sales target'!$D$721:$D$817,Balance!$B12,'Sales target'!$AK$721:$AK$817)/1000-SUMIF('Sales target'!$D$721:$D$817,Balance!$B12,'Sales target'!$AL$721:$AL$817)/1000</f>
        <v>-69.485844155844148</v>
      </c>
      <c r="AK12" s="490">
        <f t="shared" si="4"/>
        <v>33.40665584415585</v>
      </c>
      <c r="AL12" s="302">
        <f t="shared" si="5"/>
        <v>0.32467532467532473</v>
      </c>
    </row>
    <row r="13" spans="1:40">
      <c r="A13" s="490">
        <f>SUMIF('Sales target'!$D$6:$D$89,Balance!B13,'Sales target'!$AP$6:$AP$89)</f>
        <v>0</v>
      </c>
      <c r="B13" s="713" t="s">
        <v>451</v>
      </c>
      <c r="C13" s="490">
        <f>SUMIFS('[18]31.12.2020'!$C$3:$C$205,'[18]31.12.2020'!$A$3:$A$205,B13,'[18]31.12.2020'!$B$3:$B$205,$C$1)</f>
        <v>900159.71</v>
      </c>
      <c r="D13" s="490">
        <f>SUMIFS('Sales target'!$F$6:$F$100,'Sales target'!$D$6:$D$100,Balance!$B13,'Sales target'!$C$6:$C$100,Balance!D$2)</f>
        <v>0</v>
      </c>
      <c r="E13" s="490">
        <f>-SUMIFS('Sales target'!$F$6:$F$100,'Sales target'!$D$6:$D$100,Balance!$B13,'Sales target'!$C$6:$C$100,Balance!E$2)</f>
        <v>0</v>
      </c>
      <c r="F13" s="490">
        <f>SUMIFS('Sales target'!$H$6:$H$100,'Sales target'!$D$6:$D$100,Balance!$B13,'Sales target'!$C$6:$C$100,Balance!F$2)</f>
        <v>0</v>
      </c>
      <c r="G13" s="490">
        <f>-SUMIFS('Sales target'!$H$6:$H$100,'Sales target'!$D$6:$D$100,Balance!$B13,'Sales target'!$C$6:$C$100,Balance!G$2)</f>
        <v>0</v>
      </c>
      <c r="H13" s="490">
        <f>SUMIFS('Sales target'!$J$6:$J$100,'Sales target'!$D$6:$D$100,Balance!$B13,'Sales target'!$C$6:$C$100,Balance!H$2)</f>
        <v>0</v>
      </c>
      <c r="I13" s="490">
        <f>-SUMIFS('Sales target'!$J$6:$J$100,'Sales target'!$D$6:$D$100,Balance!$B13,'Sales target'!$C$6:$C$100,Balance!I$2)</f>
        <v>0</v>
      </c>
      <c r="J13" s="490">
        <f>SUMIFS('Sales target'!$L$6:$L$100,'Sales target'!$D$6:$D$100,Balance!$B13,'Sales target'!$C$6:$C$100,Balance!J$2)</f>
        <v>450286.6836600001</v>
      </c>
      <c r="K13" s="490">
        <f>-SUMIFS('Sales target'!$L$6:$L$100,'Sales target'!$D$6:$D$100,Balance!$B13,'Sales target'!$C$6:$C$100,Balance!K$2)</f>
        <v>-450286.6836600001</v>
      </c>
      <c r="L13" s="490">
        <f>SUMIFS('Sales target'!$N$6:$N$100,'Sales target'!$D$6:$D$100,Balance!$B13,'Sales target'!$C$6:$C$100,Balance!L$2)</f>
        <v>782076.87162000011</v>
      </c>
      <c r="M13" s="490">
        <f>-SUMIFS('Sales target'!$N$6:$N$100,'Sales target'!$D$6:$D$100,Balance!$B13,'Sales target'!$C$6:$C$100,Balance!M$2)</f>
        <v>-782076.87162000011</v>
      </c>
      <c r="N13" s="490">
        <f>SUMIFS('Sales target'!$P$6:$P$100,'Sales target'!$D$6:$D$100,Balance!$B13,'Sales target'!$C$6:$C$100,Balance!N$2)</f>
        <v>1137566.3587200001</v>
      </c>
      <c r="O13" s="490">
        <f>-SUMIFS('Sales target'!$P$6:$P$100,'Sales target'!$D$6:$D$100,Balance!$B13,'Sales target'!$C$6:$C$100,Balance!O$2)</f>
        <v>-1137566.3587200001</v>
      </c>
      <c r="P13" s="490">
        <f>SUMIFS('Sales target'!$T$6:$T$100,'Sales target'!$D$6:$D$100,Balance!$B13,'Sales target'!$C$6:$C$100,Balance!P$2)</f>
        <v>736832.75508000015</v>
      </c>
      <c r="Q13" s="490">
        <f>-SUMIFS('Sales target'!$T$6:$T$100,'Sales target'!$D$6:$D$100,Balance!$B13,'Sales target'!$C$6:$C$100,Balance!Q$2)</f>
        <v>-736832.75508000015</v>
      </c>
      <c r="R13" s="490">
        <f>SUMIFS('Sales target'!$V$6:$V$100,'Sales target'!$D$6:$D$100,Balance!$B13,'Sales target'!$C$6:$C$100,Balance!R$2)</f>
        <v>601100.40546000015</v>
      </c>
      <c r="S13" s="490">
        <f>-SUMIFS('Sales target'!$V$6:$V$100,'Sales target'!$D$6:$D$100,Balance!$B13,'Sales target'!$C$6:$C$100,Balance!S$2)</f>
        <v>-601100.40546000015</v>
      </c>
      <c r="T13" s="490">
        <f>SUMIFS('Sales target'!$X$6:$X$100,'Sales target'!$D$6:$D$100,Balance!$B13,'Sales target'!$C$6:$C$100,Balance!T$2)</f>
        <v>310245.37056000007</v>
      </c>
      <c r="U13" s="490">
        <f>-SUMIFS('Sales target'!$X$6:$X$100,'Sales target'!$D$6:$D$100,Balance!$B13,'Sales target'!$C$6:$C$100,Balance!U$2)</f>
        <v>-310245.37056000007</v>
      </c>
      <c r="V13" s="490">
        <f>SUMIFS('Sales target'!$Z$6:$Z$100,'Sales target'!$D$6:$D$100,Balance!$B13,'Sales target'!$C$6:$C$100,Balance!V$2)</f>
        <v>135732.34962000002</v>
      </c>
      <c r="W13" s="490">
        <f>-SUMIFS('Sales target'!$Z$6:$Z$100,'Sales target'!$D$6:$D$100,Balance!$B13,'Sales target'!$C$6:$C$100,Balance!W$2)</f>
        <v>-135732.34962000002</v>
      </c>
      <c r="X13" s="490">
        <f>SUMIFS('Sales target'!$AB$6:$AB$100,'Sales target'!$D$6:$D$100,Balance!$B13,'Sales target'!$C$6:$C$100,Balance!X$2)</f>
        <v>77561.342640000017</v>
      </c>
      <c r="Y13" s="490">
        <f>-SUMIFS('Sales target'!$AB$6:$AB$100,'Sales target'!$D$6:$D$100,Balance!$B13,'Sales target'!$C$6:$C$100,Balance!Y$2)</f>
        <v>-77561.342640000017</v>
      </c>
      <c r="Z13" s="490">
        <f>SUMIFS('Sales target'!$AD$6:$AD$100,'Sales target'!$D$6:$D$100,Balance!$B13,'Sales target'!$C$6:$C$100,Balance!Z$2)</f>
        <v>77561.342640000017</v>
      </c>
      <c r="AA13" s="490">
        <f>-SUMIFS('Sales target'!$AD$6:$AD$100,'Sales target'!$D$6:$D$100,Balance!$B13,'Sales target'!$C$6:$C$100,Balance!AA$2)</f>
        <v>-77561.342640000017</v>
      </c>
      <c r="AB13" s="490">
        <f t="shared" si="0"/>
        <v>4308963.4800000014</v>
      </c>
      <c r="AC13" s="490">
        <f t="shared" si="0"/>
        <v>-4308963.4800000014</v>
      </c>
      <c r="AD13" s="490"/>
      <c r="AE13" s="490">
        <f t="shared" ref="AE13:AE26" si="6">C13+AB13+AC13</f>
        <v>900159.71</v>
      </c>
      <c r="AF13" s="490">
        <f>-SUMIF('Sales target'!D16:D720,Balance!B13,'Sales target'!AO16:AO720)</f>
        <v>0</v>
      </c>
      <c r="AG13" s="490">
        <f t="shared" si="2"/>
        <v>900159.71</v>
      </c>
      <c r="AI13" s="490">
        <f t="shared" si="3"/>
        <v>3590.802900000001</v>
      </c>
      <c r="AJ13" s="490">
        <f>-SUMIF('Sales target'!$D$721:$D$817,Balance!$B13,'Sales target'!$AK$721:$AK$817)/1000-SUMIF('Sales target'!$D$721:$D$817,Balance!$B13,'Sales target'!$AL$721:$AL$817)/1000</f>
        <v>-1818.7183519480523</v>
      </c>
      <c r="AK13" s="490">
        <f t="shared" si="4"/>
        <v>1772.0845480519488</v>
      </c>
      <c r="AL13" s="302">
        <f t="shared" si="5"/>
        <v>0.49350649350649356</v>
      </c>
    </row>
    <row r="14" spans="1:40" s="713" customFormat="1">
      <c r="A14" s="490">
        <f>SUMIF('Sales target'!$D$6:$D$89,Balance!B14,'Sales target'!$AP$6:$AP$89)</f>
        <v>0</v>
      </c>
      <c r="B14" s="713" t="s">
        <v>586</v>
      </c>
      <c r="C14" s="490">
        <f>SUMIFS('[18]31.12.2020'!$C$3:$C$205,'[18]31.12.2020'!$A$3:$A$205,B14,'[18]31.12.2020'!$B$3:$B$205,$C$1)</f>
        <v>0</v>
      </c>
      <c r="D14" s="490">
        <f>SUMIFS('Sales target'!$F$6:$F$100,'Sales target'!$D$6:$D$100,Balance!$B14,'Sales target'!$C$6:$C$100,Balance!D$2)</f>
        <v>0</v>
      </c>
      <c r="E14" s="490">
        <f>-SUMIFS('Sales target'!$F$6:$F$100,'Sales target'!$D$6:$D$100,Balance!$B14,'Sales target'!$C$6:$C$100,Balance!E$2)</f>
        <v>0</v>
      </c>
      <c r="F14" s="490">
        <f>SUMIFS('Sales target'!$H$6:$H$100,'Sales target'!$D$6:$D$100,Balance!$B14,'Sales target'!$C$6:$C$100,Balance!F$2)</f>
        <v>0</v>
      </c>
      <c r="G14" s="490">
        <f>-SUMIFS('Sales target'!$H$6:$H$100,'Sales target'!$D$6:$D$100,Balance!$B14,'Sales target'!$C$6:$C$100,Balance!G$2)</f>
        <v>0</v>
      </c>
      <c r="H14" s="490">
        <f>SUMIFS('Sales target'!$J$6:$J$100,'Sales target'!$D$6:$D$100,Balance!$B14,'Sales target'!$C$6:$C$100,Balance!H$2)</f>
        <v>0</v>
      </c>
      <c r="I14" s="490">
        <f>-SUMIFS('Sales target'!$J$6:$J$100,'Sales target'!$D$6:$D$100,Balance!$B14,'Sales target'!$C$6:$C$100,Balance!I$2)</f>
        <v>0</v>
      </c>
      <c r="J14" s="490">
        <f>SUMIFS('Sales target'!$L$6:$L$100,'Sales target'!$D$6:$D$100,Balance!$B14,'Sales target'!$C$6:$C$100,Balance!J$2)</f>
        <v>292672</v>
      </c>
      <c r="K14" s="490">
        <f>-SUMIFS('Sales target'!$L$6:$L$100,'Sales target'!$D$6:$D$100,Balance!$B14,'Sales target'!$C$6:$C$100,Balance!K$2)</f>
        <v>0</v>
      </c>
      <c r="L14" s="490">
        <f>SUMIFS('Sales target'!$N$6:$N$100,'Sales target'!$D$6:$D$100,Balance!$B14,'Sales target'!$C$6:$C$100,Balance!L$2)</f>
        <v>0</v>
      </c>
      <c r="M14" s="490">
        <f>-SUMIFS('Sales target'!$N$6:$N$100,'Sales target'!$D$6:$D$100,Balance!$B14,'Sales target'!$C$6:$C$100,Balance!M$2)</f>
        <v>0</v>
      </c>
      <c r="N14" s="490">
        <f>SUMIFS('Sales target'!$P$6:$P$100,'Sales target'!$D$6:$D$100,Balance!$B14,'Sales target'!$C$6:$C$100,Balance!N$2)</f>
        <v>0</v>
      </c>
      <c r="O14" s="490">
        <f>-SUMIFS('Sales target'!$P$6:$P$100,'Sales target'!$D$6:$D$100,Balance!$B14,'Sales target'!$C$6:$C$100,Balance!O$2)</f>
        <v>-292672</v>
      </c>
      <c r="P14" s="490">
        <f>SUMIFS('Sales target'!$T$6:$T$100,'Sales target'!$D$6:$D$100,Balance!$B14,'Sales target'!$C$6:$C$100,Balance!P$2)</f>
        <v>0</v>
      </c>
      <c r="Q14" s="490">
        <f>-SUMIFS('Sales target'!$T$6:$T$100,'Sales target'!$D$6:$D$100,Balance!$B14,'Sales target'!$C$6:$C$100,Balance!Q$2)</f>
        <v>0</v>
      </c>
      <c r="R14" s="490">
        <f>SUMIFS('Sales target'!$V$6:$V$100,'Sales target'!$D$6:$D$100,Balance!$B14,'Sales target'!$C$6:$C$100,Balance!R$2)</f>
        <v>0</v>
      </c>
      <c r="S14" s="490">
        <f>-SUMIFS('Sales target'!$V$6:$V$100,'Sales target'!$D$6:$D$100,Balance!$B14,'Sales target'!$C$6:$C$100,Balance!S$2)</f>
        <v>0</v>
      </c>
      <c r="T14" s="490">
        <f>SUMIFS('Sales target'!$X$6:$X$100,'Sales target'!$D$6:$D$100,Balance!$B14,'Sales target'!$C$6:$C$100,Balance!T$2)</f>
        <v>0</v>
      </c>
      <c r="U14" s="490">
        <f>-SUMIFS('Sales target'!$X$6:$X$100,'Sales target'!$D$6:$D$100,Balance!$B14,'Sales target'!$C$6:$C$100,Balance!U$2)</f>
        <v>0</v>
      </c>
      <c r="V14" s="490">
        <f>SUMIFS('Sales target'!$Z$6:$Z$100,'Sales target'!$D$6:$D$100,Balance!$B14,'Sales target'!$C$6:$C$100,Balance!V$2)</f>
        <v>0</v>
      </c>
      <c r="W14" s="490">
        <f>-SUMIFS('Sales target'!$Z$6:$Z$100,'Sales target'!$D$6:$D$100,Balance!$B14,'Sales target'!$C$6:$C$100,Balance!W$2)</f>
        <v>0</v>
      </c>
      <c r="X14" s="490">
        <f>SUMIFS('Sales target'!$AB$6:$AB$100,'Sales target'!$D$6:$D$100,Balance!$B14,'Sales target'!$C$6:$C$100,Balance!X$2)</f>
        <v>0</v>
      </c>
      <c r="Y14" s="490">
        <f>-SUMIFS('Sales target'!$AB$6:$AB$100,'Sales target'!$D$6:$D$100,Balance!$B14,'Sales target'!$C$6:$C$100,Balance!Y$2)</f>
        <v>0</v>
      </c>
      <c r="Z14" s="490">
        <f>SUMIFS('Sales target'!$AD$6:$AD$100,'Sales target'!$D$6:$D$100,Balance!$B14,'Sales target'!$C$6:$C$100,Balance!Z$2)</f>
        <v>0</v>
      </c>
      <c r="AA14" s="490">
        <f>-SUMIFS('Sales target'!$AD$6:$AD$100,'Sales target'!$D$6:$D$100,Balance!$B14,'Sales target'!$C$6:$C$100,Balance!AA$2)</f>
        <v>0</v>
      </c>
      <c r="AB14" s="490">
        <f t="shared" si="0"/>
        <v>292672</v>
      </c>
      <c r="AC14" s="490">
        <f t="shared" si="0"/>
        <v>-292672</v>
      </c>
      <c r="AD14" s="490"/>
      <c r="AE14" s="490">
        <f t="shared" si="6"/>
        <v>0</v>
      </c>
      <c r="AF14" s="490">
        <f>-SUMIF('Sales target'!D16:D720,Balance!B14,'Sales target'!AO16:AO720)</f>
        <v>0</v>
      </c>
      <c r="AG14" s="490">
        <f t="shared" si="2"/>
        <v>0</v>
      </c>
      <c r="AI14" s="490">
        <f t="shared" si="3"/>
        <v>243.89333333333337</v>
      </c>
      <c r="AJ14" s="490">
        <f>-SUMIF('Sales target'!$D$721:$D$817,Balance!$B14,'Sales target'!$AK$721:$AK$817)/1000-SUMIF('Sales target'!$D$721:$D$817,Balance!$B14,'Sales target'!$AL$721:$AL$817)/1000</f>
        <v>-185.29558441558439</v>
      </c>
      <c r="AK14" s="490">
        <f t="shared" si="4"/>
        <v>58.597748917748987</v>
      </c>
      <c r="AL14" s="302">
        <f t="shared" si="5"/>
        <v>0.24025974025974051</v>
      </c>
    </row>
    <row r="15" spans="1:40" s="713" customFormat="1">
      <c r="A15" s="490">
        <f>SUMIF('Sales target'!$D$6:$D$89,Balance!B15,'Sales target'!$AP$6:$AP$89)</f>
        <v>0</v>
      </c>
      <c r="B15" s="713" t="s">
        <v>352</v>
      </c>
      <c r="C15" s="490">
        <f>SUMIFS('[18]31.12.2020'!$C$3:$C$205,'[18]31.12.2020'!$A$3:$A$205,B15,'[18]31.12.2020'!$B$3:$B$205,$C$1)</f>
        <v>0</v>
      </c>
      <c r="D15" s="490">
        <f>SUMIFS('Sales target'!$F$6:$F$100,'Sales target'!$D$6:$D$100,Balance!$B15,'Sales target'!$C$6:$C$100,Balance!D$2)</f>
        <v>0</v>
      </c>
      <c r="E15" s="490">
        <f>-SUMIFS('Sales target'!$F$6:$F$100,'Sales target'!$D$6:$D$100,Balance!$B15,'Sales target'!$C$6:$C$100,Balance!E$2)</f>
        <v>0</v>
      </c>
      <c r="F15" s="490">
        <f>SUMIFS('Sales target'!$H$6:$H$100,'Sales target'!$D$6:$D$100,Balance!$B15,'Sales target'!$C$6:$C$100,Balance!F$2)</f>
        <v>0</v>
      </c>
      <c r="G15" s="490">
        <f>-SUMIFS('Sales target'!$H$6:$H$100,'Sales target'!$D$6:$D$100,Balance!$B15,'Sales target'!$C$6:$C$100,Balance!G$2)</f>
        <v>0</v>
      </c>
      <c r="H15" s="490">
        <f>SUMIFS('Sales target'!$J$6:$J$100,'Sales target'!$D$6:$D$100,Balance!$B15,'Sales target'!$C$6:$C$100,Balance!H$2)</f>
        <v>0</v>
      </c>
      <c r="I15" s="490">
        <f>-SUMIFS('Sales target'!$J$6:$J$100,'Sales target'!$D$6:$D$100,Balance!$B15,'Sales target'!$C$6:$C$100,Balance!I$2)</f>
        <v>0</v>
      </c>
      <c r="J15" s="490">
        <f>SUMIFS('Sales target'!$L$6:$L$100,'Sales target'!$D$6:$D$100,Balance!$B15,'Sales target'!$C$6:$C$100,Balance!J$2)</f>
        <v>207341.90581500003</v>
      </c>
      <c r="K15" s="490">
        <f>-SUMIFS('Sales target'!$L$6:$L$100,'Sales target'!$D$6:$D$100,Balance!$B15,'Sales target'!$C$6:$C$100,Balance!K$2)</f>
        <v>-207341.90581500003</v>
      </c>
      <c r="L15" s="490">
        <f>SUMIFS('Sales target'!$N$6:$N$100,'Sales target'!$D$6:$D$100,Balance!$B15,'Sales target'!$C$6:$C$100,Balance!L$2)</f>
        <v>360120.15220500005</v>
      </c>
      <c r="M15" s="490">
        <f>-SUMIFS('Sales target'!$N$6:$N$100,'Sales target'!$D$6:$D$100,Balance!$B15,'Sales target'!$C$6:$C$100,Balance!M$2)</f>
        <v>-360120.15220500005</v>
      </c>
      <c r="N15" s="490">
        <f>SUMIFS('Sales target'!$P$6:$P$100,'Sales target'!$D$6:$D$100,Balance!$B15,'Sales target'!$C$6:$C$100,Balance!N$2)</f>
        <v>523811.13048000005</v>
      </c>
      <c r="O15" s="490">
        <f>-SUMIFS('Sales target'!$P$6:$P$100,'Sales target'!$D$6:$D$100,Balance!$B15,'Sales target'!$C$6:$C$100,Balance!O$2)</f>
        <v>-523811.13048000005</v>
      </c>
      <c r="P15" s="490">
        <f>SUMIFS('Sales target'!$T$6:$T$100,'Sales target'!$D$6:$D$100,Balance!$B15,'Sales target'!$C$6:$C$100,Balance!P$2)</f>
        <v>339286.75497000001</v>
      </c>
      <c r="Q15" s="490">
        <f>-SUMIFS('Sales target'!$T$6:$T$100,'Sales target'!$D$6:$D$100,Balance!$B15,'Sales target'!$C$6:$C$100,Balance!Q$2)</f>
        <v>-339286.75497000001</v>
      </c>
      <c r="R15" s="490">
        <f>SUMIFS('Sales target'!$V$6:$V$100,'Sales target'!$D$6:$D$100,Balance!$B15,'Sales target'!$C$6:$C$100,Balance!R$2)</f>
        <v>276786.563265</v>
      </c>
      <c r="S15" s="490">
        <f>-SUMIFS('Sales target'!$V$6:$V$100,'Sales target'!$D$6:$D$100,Balance!$B15,'Sales target'!$C$6:$C$100,Balance!S$2)</f>
        <v>-276786.563265</v>
      </c>
      <c r="T15" s="490">
        <f>SUMIFS('Sales target'!$X$6:$X$100,'Sales target'!$D$6:$D$100,Balance!$B15,'Sales target'!$C$6:$C$100,Balance!T$2)</f>
        <v>142857.58104000002</v>
      </c>
      <c r="U15" s="490">
        <f>-SUMIFS('Sales target'!$X$6:$X$100,'Sales target'!$D$6:$D$100,Balance!$B15,'Sales target'!$C$6:$C$100,Balance!U$2)</f>
        <v>-142857.58104000002</v>
      </c>
      <c r="V15" s="490">
        <f>SUMIFS('Sales target'!$Z$6:$Z$100,'Sales target'!$D$6:$D$100,Balance!$B15,'Sales target'!$C$6:$C$100,Balance!V$2)</f>
        <v>62500.191705000005</v>
      </c>
      <c r="W15" s="490">
        <f>-SUMIFS('Sales target'!$Z$6:$Z$100,'Sales target'!$D$6:$D$100,Balance!$B15,'Sales target'!$C$6:$C$100,Balance!W$2)</f>
        <v>-62500.191705000005</v>
      </c>
      <c r="X15" s="490">
        <f>SUMIFS('Sales target'!$AB$6:$AB$100,'Sales target'!$D$6:$D$100,Balance!$B15,'Sales target'!$C$6:$C$100,Balance!X$2)</f>
        <v>35714.395260000005</v>
      </c>
      <c r="Y15" s="490">
        <f>-SUMIFS('Sales target'!$AB$6:$AB$100,'Sales target'!$D$6:$D$100,Balance!$B15,'Sales target'!$C$6:$C$100,Balance!Y$2)</f>
        <v>-35714.395260000005</v>
      </c>
      <c r="Z15" s="490">
        <f>SUMIFS('Sales target'!$AD$6:$AD$100,'Sales target'!$D$6:$D$100,Balance!$B15,'Sales target'!$C$6:$C$100,Balance!Z$2)</f>
        <v>35714.395260000005</v>
      </c>
      <c r="AA15" s="490">
        <f>-SUMIFS('Sales target'!$AD$6:$AD$100,'Sales target'!$D$6:$D$100,Balance!$B15,'Sales target'!$C$6:$C$100,Balance!AA$2)</f>
        <v>-35714.395260000005</v>
      </c>
      <c r="AB15" s="490">
        <f t="shared" si="0"/>
        <v>1984133.0700000003</v>
      </c>
      <c r="AC15" s="490">
        <f t="shared" si="0"/>
        <v>-1984133.0700000003</v>
      </c>
      <c r="AD15" s="490"/>
      <c r="AE15" s="490">
        <f t="shared" si="6"/>
        <v>0</v>
      </c>
      <c r="AF15" s="490">
        <f>-SUMIF('Sales target'!D16:D720,Balance!B15,'Sales target'!AO16:AO720)</f>
        <v>0</v>
      </c>
      <c r="AG15" s="490">
        <f t="shared" si="2"/>
        <v>0</v>
      </c>
      <c r="AI15" s="490">
        <f t="shared" si="3"/>
        <v>1653.4442250000004</v>
      </c>
      <c r="AJ15" s="490">
        <f>-SUMIF('Sales target'!$D$721:$D$817,Balance!$B15,'Sales target'!$AK$721:$AK$817)/1000-SUMIF('Sales target'!$D$721:$D$817,Balance!$B15,'Sales target'!$AL$721:$AL$817)/1000</f>
        <v>-1004.9505159740258</v>
      </c>
      <c r="AK15" s="490">
        <f t="shared" si="4"/>
        <v>648.49370902597457</v>
      </c>
      <c r="AL15" s="302">
        <f t="shared" si="5"/>
        <v>0.39220779220779245</v>
      </c>
    </row>
    <row r="16" spans="1:40" s="713" customFormat="1">
      <c r="A16" s="490">
        <f>SUMIF('Sales target'!$D$6:$D$89,Balance!B16,'Sales target'!$AP$6:$AP$89)</f>
        <v>0</v>
      </c>
      <c r="B16" s="713" t="s">
        <v>1007</v>
      </c>
      <c r="C16" s="490">
        <f>SUMIFS('[18]31.12.2020'!$C$3:$C$205,'[18]31.12.2020'!$A$3:$A$205,B16,'[18]31.12.2020'!$B$3:$B$205,$C$1)</f>
        <v>0</v>
      </c>
      <c r="D16" s="490">
        <f>SUMIFS('Sales target'!$F$6:$F$100,'Sales target'!$D$6:$D$100,Balance!$B16,'Sales target'!$C$6:$C$100,Balance!D$2)</f>
        <v>0</v>
      </c>
      <c r="E16" s="490">
        <f>-SUMIFS('Sales target'!$F$6:$F$100,'Sales target'!$D$6:$D$100,Balance!$B16,'Sales target'!$C$6:$C$100,Balance!E$2)</f>
        <v>0</v>
      </c>
      <c r="F16" s="490">
        <f>SUMIFS('Sales target'!$H$6:$H$100,'Sales target'!$D$6:$D$100,Balance!$B16,'Sales target'!$C$6:$C$100,Balance!F$2)</f>
        <v>0</v>
      </c>
      <c r="G16" s="490">
        <f>-SUMIFS('Sales target'!$H$6:$H$100,'Sales target'!$D$6:$D$100,Balance!$B16,'Sales target'!$C$6:$C$100,Balance!G$2)</f>
        <v>0</v>
      </c>
      <c r="H16" s="490">
        <f>SUMIFS('Sales target'!$J$6:$J$100,'Sales target'!$D$6:$D$100,Balance!$B16,'Sales target'!$C$6:$C$100,Balance!H$2)</f>
        <v>0</v>
      </c>
      <c r="I16" s="490">
        <f>-SUMIFS('Sales target'!$J$6:$J$100,'Sales target'!$D$6:$D$100,Balance!$B16,'Sales target'!$C$6:$C$100,Balance!I$2)</f>
        <v>0</v>
      </c>
      <c r="J16" s="490">
        <f>SUMIFS('Sales target'!$L$6:$L$100,'Sales target'!$D$6:$D$100,Balance!$B16,'Sales target'!$C$6:$C$100,Balance!J$2)</f>
        <v>374186.08199999999</v>
      </c>
      <c r="K16" s="490">
        <f>-SUMIFS('Sales target'!$L$6:$L$100,'Sales target'!$D$6:$D$100,Balance!$B16,'Sales target'!$C$6:$C$100,Balance!K$2)</f>
        <v>0</v>
      </c>
      <c r="L16" s="490">
        <f>SUMIFS('Sales target'!$N$6:$N$100,'Sales target'!$D$6:$D$100,Balance!$B16,'Sales target'!$C$6:$C$100,Balance!L$2)</f>
        <v>0</v>
      </c>
      <c r="M16" s="490">
        <f>-SUMIFS('Sales target'!$N$6:$N$100,'Sales target'!$D$6:$D$100,Balance!$B16,'Sales target'!$C$6:$C$100,Balance!M$2)</f>
        <v>-374186.08199999999</v>
      </c>
      <c r="N16" s="490">
        <f>SUMIFS('Sales target'!$P$6:$P$100,'Sales target'!$D$6:$D$100,Balance!$B16,'Sales target'!$C$6:$C$100,Balance!N$2)</f>
        <v>0</v>
      </c>
      <c r="O16" s="490">
        <f>-SUMIFS('Sales target'!$P$6:$P$100,'Sales target'!$D$6:$D$100,Balance!$B16,'Sales target'!$C$6:$C$100,Balance!O$2)</f>
        <v>0</v>
      </c>
      <c r="P16" s="490">
        <f>SUMIFS('Sales target'!$T$6:$T$100,'Sales target'!$D$6:$D$100,Balance!$B16,'Sales target'!$C$6:$C$100,Balance!P$2)</f>
        <v>0</v>
      </c>
      <c r="Q16" s="490">
        <f>-SUMIFS('Sales target'!$T$6:$T$100,'Sales target'!$D$6:$D$100,Balance!$B16,'Sales target'!$C$6:$C$100,Balance!Q$2)</f>
        <v>0</v>
      </c>
      <c r="R16" s="490">
        <f>SUMIFS('Sales target'!$V$6:$V$100,'Sales target'!$D$6:$D$100,Balance!$B16,'Sales target'!$C$6:$C$100,Balance!R$2)</f>
        <v>0</v>
      </c>
      <c r="S16" s="490">
        <f>-SUMIFS('Sales target'!$V$6:$V$100,'Sales target'!$D$6:$D$100,Balance!$B16,'Sales target'!$C$6:$C$100,Balance!S$2)</f>
        <v>0</v>
      </c>
      <c r="T16" s="490">
        <f>SUMIFS('Sales target'!$X$6:$X$100,'Sales target'!$D$6:$D$100,Balance!$B16,'Sales target'!$C$6:$C$100,Balance!T$2)</f>
        <v>0</v>
      </c>
      <c r="U16" s="490">
        <f>-SUMIFS('Sales target'!$X$6:$X$100,'Sales target'!$D$6:$D$100,Balance!$B16,'Sales target'!$C$6:$C$100,Balance!U$2)</f>
        <v>0</v>
      </c>
      <c r="V16" s="490">
        <f>SUMIFS('Sales target'!$Z$6:$Z$100,'Sales target'!$D$6:$D$100,Balance!$B16,'Sales target'!$C$6:$C$100,Balance!V$2)</f>
        <v>0</v>
      </c>
      <c r="W16" s="490">
        <f>-SUMIFS('Sales target'!$Z$6:$Z$100,'Sales target'!$D$6:$D$100,Balance!$B16,'Sales target'!$C$6:$C$100,Balance!W$2)</f>
        <v>0</v>
      </c>
      <c r="X16" s="490">
        <f>SUMIFS('Sales target'!$AB$6:$AB$100,'Sales target'!$D$6:$D$100,Balance!$B16,'Sales target'!$C$6:$C$100,Balance!X$2)</f>
        <v>0</v>
      </c>
      <c r="Y16" s="490">
        <f>-SUMIFS('Sales target'!$AB$6:$AB$100,'Sales target'!$D$6:$D$100,Balance!$B16,'Sales target'!$C$6:$C$100,Balance!Y$2)</f>
        <v>0</v>
      </c>
      <c r="Z16" s="490">
        <f>SUMIFS('Sales target'!$AD$6:$AD$100,'Sales target'!$D$6:$D$100,Balance!$B16,'Sales target'!$C$6:$C$100,Balance!Z$2)</f>
        <v>0</v>
      </c>
      <c r="AA16" s="490">
        <f>-SUMIFS('Sales target'!$AD$6:$AD$100,'Sales target'!$D$6:$D$100,Balance!$B16,'Sales target'!$C$6:$C$100,Balance!AA$2)</f>
        <v>0</v>
      </c>
      <c r="AB16" s="490">
        <f t="shared" si="0"/>
        <v>374186.08199999999</v>
      </c>
      <c r="AC16" s="490">
        <f t="shared" si="0"/>
        <v>-374186.08199999999</v>
      </c>
      <c r="AD16" s="490"/>
      <c r="AE16" s="490">
        <f t="shared" si="6"/>
        <v>0</v>
      </c>
      <c r="AF16" s="490">
        <f>-SUMIF('Sales target'!D15:D719,Balance!B16,'Sales target'!AO15:AO719)</f>
        <v>0</v>
      </c>
      <c r="AG16" s="490">
        <f t="shared" ref="AG16" si="7">AE16-AF16</f>
        <v>0</v>
      </c>
      <c r="AI16" s="490">
        <f t="shared" ref="AI16" si="8">AB16/1000/1.2</f>
        <v>311.82173499999999</v>
      </c>
      <c r="AJ16" s="490">
        <f>-SUMIF('Sales target'!$D$721:$D$817,Balance!$B16,'Sales target'!$AK$721:$AK$817)/1000-SUMIF('Sales target'!$D$721:$D$817,Balance!$B16,'Sales target'!$AL$721:$AL$817)/1000</f>
        <v>-201.62002207792204</v>
      </c>
      <c r="AK16" s="490">
        <f t="shared" ref="AK16" si="9">AI16+AJ16</f>
        <v>110.20171292207795</v>
      </c>
      <c r="AL16" s="302">
        <f t="shared" ref="AL16" si="10">IFERROR(AK16/AI16,"")</f>
        <v>0.35341254490190671</v>
      </c>
    </row>
    <row r="17" spans="1:38" s="713" customFormat="1">
      <c r="A17" s="490">
        <f>SUMIF('Sales target'!$D$6:$D$89,Balance!B17,'Sales target'!$AP$6:$AP$89)</f>
        <v>0</v>
      </c>
      <c r="B17" s="713" t="s">
        <v>1032</v>
      </c>
      <c r="C17" s="490">
        <f>SUMIFS('[18]31.12.2020'!$C$3:$C$205,'[18]31.12.2020'!$A$3:$A$205,B17,'[18]31.12.2020'!$B$3:$B$205,$C$1)</f>
        <v>0</v>
      </c>
      <c r="D17" s="490">
        <f>SUMIFS('Sales target'!$F$6:$F$100,'Sales target'!$D$6:$D$100,Balance!$B17,'Sales target'!$C$6:$C$100,Balance!D$2)</f>
        <v>0</v>
      </c>
      <c r="E17" s="490">
        <f>-SUMIFS('Sales target'!$F$6:$F$100,'Sales target'!$D$6:$D$100,Balance!$B17,'Sales target'!$C$6:$C$100,Balance!E$2)</f>
        <v>0</v>
      </c>
      <c r="F17" s="490">
        <f>SUMIFS('Sales target'!$H$6:$H$100,'Sales target'!$D$6:$D$100,Balance!$B17,'Sales target'!$C$6:$C$100,Balance!F$2)</f>
        <v>0</v>
      </c>
      <c r="G17" s="490">
        <f>-SUMIFS('Sales target'!$H$6:$H$100,'Sales target'!$D$6:$D$100,Balance!$B17,'Sales target'!$C$6:$C$100,Balance!G$2)</f>
        <v>0</v>
      </c>
      <c r="H17" s="490">
        <f>SUMIFS('Sales target'!$J$6:$J$100,'Sales target'!$D$6:$D$100,Balance!$B17,'Sales target'!$C$6:$C$100,Balance!H$2)</f>
        <v>0</v>
      </c>
      <c r="I17" s="490">
        <f>-SUMIFS('Sales target'!$J$6:$J$100,'Sales target'!$D$6:$D$100,Balance!$B17,'Sales target'!$C$6:$C$100,Balance!I$2)</f>
        <v>0</v>
      </c>
      <c r="J17" s="490">
        <f>SUMIFS('Sales target'!$L$6:$L$100,'Sales target'!$D$6:$D$100,Balance!$B17,'Sales target'!$C$6:$C$100,Balance!J$2)</f>
        <v>119284.92</v>
      </c>
      <c r="K17" s="490">
        <f>-SUMIFS('Sales target'!$L$6:$L$100,'Sales target'!$D$6:$D$100,Balance!$B17,'Sales target'!$C$6:$C$100,Balance!K$2)</f>
        <v>-119284.92</v>
      </c>
      <c r="L17" s="490">
        <f>SUMIFS('Sales target'!$N$6:$N$100,'Sales target'!$D$6:$D$100,Balance!$B17,'Sales target'!$C$6:$C$100,Balance!L$2)</f>
        <v>0</v>
      </c>
      <c r="M17" s="490">
        <f>-SUMIFS('Sales target'!$N$6:$N$100,'Sales target'!$D$6:$D$100,Balance!$B17,'Sales target'!$C$6:$C$100,Balance!M$2)</f>
        <v>0</v>
      </c>
      <c r="N17" s="490">
        <f>SUMIFS('Sales target'!$P$6:$P$100,'Sales target'!$D$6:$D$100,Balance!$B17,'Sales target'!$C$6:$C$100,Balance!N$2)</f>
        <v>0</v>
      </c>
      <c r="O17" s="490">
        <f>-SUMIFS('Sales target'!$P$6:$P$100,'Sales target'!$D$6:$D$100,Balance!$B17,'Sales target'!$C$6:$C$100,Balance!O$2)</f>
        <v>0</v>
      </c>
      <c r="P17" s="490">
        <f>SUMIFS('Sales target'!$T$6:$T$100,'Sales target'!$D$6:$D$100,Balance!$B17,'Sales target'!$C$6:$C$100,Balance!P$2)</f>
        <v>0</v>
      </c>
      <c r="Q17" s="490">
        <f>-SUMIFS('Sales target'!$T$6:$T$100,'Sales target'!$D$6:$D$100,Balance!$B17,'Sales target'!$C$6:$C$100,Balance!Q$2)</f>
        <v>0</v>
      </c>
      <c r="R17" s="490">
        <f>SUMIFS('Sales target'!$V$6:$V$100,'Sales target'!$D$6:$D$100,Balance!$B17,'Sales target'!$C$6:$C$100,Balance!R$2)</f>
        <v>0</v>
      </c>
      <c r="S17" s="490">
        <f>-SUMIFS('Sales target'!$V$6:$V$100,'Sales target'!$D$6:$D$100,Balance!$B17,'Sales target'!$C$6:$C$100,Balance!S$2)</f>
        <v>0</v>
      </c>
      <c r="T17" s="490">
        <f>SUMIFS('Sales target'!$X$6:$X$100,'Sales target'!$D$6:$D$100,Balance!$B17,'Sales target'!$C$6:$C$100,Balance!T$2)</f>
        <v>0</v>
      </c>
      <c r="U17" s="490">
        <f>-SUMIFS('Sales target'!$X$6:$X$100,'Sales target'!$D$6:$D$100,Balance!$B17,'Sales target'!$C$6:$C$100,Balance!U$2)</f>
        <v>0</v>
      </c>
      <c r="V17" s="490">
        <f>SUMIFS('Sales target'!$Z$6:$Z$100,'Sales target'!$D$6:$D$100,Balance!$B17,'Sales target'!$C$6:$C$100,Balance!V$2)</f>
        <v>0</v>
      </c>
      <c r="W17" s="490">
        <f>-SUMIFS('Sales target'!$Z$6:$Z$100,'Sales target'!$D$6:$D$100,Balance!$B17,'Sales target'!$C$6:$C$100,Balance!W$2)</f>
        <v>0</v>
      </c>
      <c r="X17" s="490">
        <f>SUMIFS('Sales target'!$AB$6:$AB$100,'Sales target'!$D$6:$D$100,Balance!$B17,'Sales target'!$C$6:$C$100,Balance!X$2)</f>
        <v>0</v>
      </c>
      <c r="Y17" s="490">
        <f>-SUMIFS('Sales target'!$AB$6:$AB$100,'Sales target'!$D$6:$D$100,Balance!$B17,'Sales target'!$C$6:$C$100,Balance!Y$2)</f>
        <v>0</v>
      </c>
      <c r="Z17" s="490">
        <f>SUMIFS('Sales target'!$AD$6:$AD$100,'Sales target'!$D$6:$D$100,Balance!$B17,'Sales target'!$C$6:$C$100,Balance!Z$2)</f>
        <v>0</v>
      </c>
      <c r="AA17" s="490">
        <f>-SUMIFS('Sales target'!$AD$6:$AD$100,'Sales target'!$D$6:$D$100,Balance!$B17,'Sales target'!$C$6:$C$100,Balance!AA$2)</f>
        <v>0</v>
      </c>
      <c r="AB17" s="490">
        <f t="shared" si="0"/>
        <v>119284.92</v>
      </c>
      <c r="AC17" s="490">
        <f t="shared" si="0"/>
        <v>-119284.92</v>
      </c>
      <c r="AD17" s="490"/>
      <c r="AE17" s="490">
        <f t="shared" si="6"/>
        <v>0</v>
      </c>
      <c r="AF17" s="490">
        <f>-SUMIF('Sales target'!D16:D720,Balance!B17,'Sales target'!AO16:AO720)</f>
        <v>0</v>
      </c>
      <c r="AG17" s="490">
        <f t="shared" si="2"/>
        <v>0</v>
      </c>
      <c r="AI17" s="490">
        <f t="shared" si="3"/>
        <v>99.4041</v>
      </c>
      <c r="AJ17" s="490">
        <f>-SUMIF('Sales target'!$D$721:$D$817,Balance!$B17,'Sales target'!$AK$721:$AK$817)/1000-SUMIF('Sales target'!$D$721:$D$817,Balance!$B17,'Sales target'!$AL$721:$AL$817)/1000</f>
        <v>-67.130041558441562</v>
      </c>
      <c r="AK17" s="490">
        <f t="shared" si="4"/>
        <v>32.274058441558438</v>
      </c>
      <c r="AL17" s="302">
        <f t="shared" si="5"/>
        <v>0.32467532467532462</v>
      </c>
    </row>
    <row r="18" spans="1:38" s="713" customFormat="1" ht="24" customHeight="1">
      <c r="A18" s="490">
        <f>SUMIF('Sales target'!$D$6:$D$89,Balance!B18,'Sales target'!$AP$6:$AP$89)</f>
        <v>0</v>
      </c>
      <c r="C18" s="490">
        <f>SUMIFS('[18]31.12.2020'!$C$3:$C$205,'[18]31.12.2020'!$A$3:$A$205,B18,'[18]31.12.2020'!$B$3:$B$205,$C$1)</f>
        <v>0</v>
      </c>
      <c r="D18" s="490">
        <f>SUMIFS('Sales target'!$F$6:$F$100,'Sales target'!$D$6:$D$100,Balance!$B18,'Sales target'!$C$6:$C$100,Balance!D$2)</f>
        <v>0</v>
      </c>
      <c r="E18" s="490">
        <f>-SUMIFS('Sales target'!$F$6:$F$100,'Sales target'!$D$6:$D$100,Balance!$B18,'Sales target'!$C$6:$C$100,Balance!E$2)</f>
        <v>0</v>
      </c>
      <c r="F18" s="490">
        <f>SUMIFS('Sales target'!$H$6:$H$100,'Sales target'!$D$6:$D$100,Balance!$B18,'Sales target'!$C$6:$C$100,Balance!F$2)</f>
        <v>0</v>
      </c>
      <c r="G18" s="490">
        <f>-SUMIFS('Sales target'!$H$6:$H$100,'Sales target'!$D$6:$D$100,Balance!$B18,'Sales target'!$C$6:$C$100,Balance!G$2)</f>
        <v>0</v>
      </c>
      <c r="H18" s="490">
        <f>SUMIFS('Sales target'!$J$6:$J$100,'Sales target'!$D$6:$D$100,Balance!$B18,'Sales target'!$C$6:$C$100,Balance!H$2)</f>
        <v>0</v>
      </c>
      <c r="I18" s="490">
        <f>-SUMIFS('Sales target'!$J$6:$J$100,'Sales target'!$D$6:$D$100,Balance!$B18,'Sales target'!$C$6:$C$100,Balance!I$2)</f>
        <v>0</v>
      </c>
      <c r="J18" s="490">
        <f>SUMIFS('Sales target'!$L$6:$L$100,'Sales target'!$D$6:$D$100,Balance!$B18,'Sales target'!$C$6:$C$100,Balance!J$2)</f>
        <v>0</v>
      </c>
      <c r="K18" s="490">
        <f>-SUMIFS('Sales target'!$L$6:$L$100,'Sales target'!$D$6:$D$100,Balance!$B18,'Sales target'!$C$6:$C$100,Balance!K$2)</f>
        <v>0</v>
      </c>
      <c r="L18" s="490">
        <f>SUMIFS('Sales target'!$N$6:$N$100,'Sales target'!$D$6:$D$100,Balance!$B18,'Sales target'!$C$6:$C$100,Balance!L$2)</f>
        <v>0</v>
      </c>
      <c r="M18" s="490">
        <f>-SUMIFS('Sales target'!$N$6:$N$100,'Sales target'!$D$6:$D$100,Balance!$B18,'Sales target'!$C$6:$C$100,Balance!M$2)</f>
        <v>0</v>
      </c>
      <c r="N18" s="490">
        <f>SUMIFS('Sales target'!$P$6:$P$100,'Sales target'!$D$6:$D$100,Balance!$B18,'Sales target'!$C$6:$C$100,Balance!N$2)</f>
        <v>0</v>
      </c>
      <c r="O18" s="490">
        <f>-SUMIFS('Sales target'!$P$6:$P$100,'Sales target'!$D$6:$D$100,Balance!$B18,'Sales target'!$C$6:$C$100,Balance!O$2)</f>
        <v>0</v>
      </c>
      <c r="P18" s="490">
        <f>SUMIFS('Sales target'!$T$6:$T$100,'Sales target'!$D$6:$D$100,Balance!$B18,'Sales target'!$C$6:$C$100,Balance!P$2)</f>
        <v>0</v>
      </c>
      <c r="Q18" s="490">
        <f>-SUMIFS('Sales target'!$T$6:$T$100,'Sales target'!$D$6:$D$100,Balance!$B18,'Sales target'!$C$6:$C$100,Balance!Q$2)</f>
        <v>0</v>
      </c>
      <c r="R18" s="490">
        <f>SUMIFS('Sales target'!$V$6:$V$100,'Sales target'!$D$6:$D$100,Balance!$B18,'Sales target'!$C$6:$C$100,Balance!R$2)</f>
        <v>0</v>
      </c>
      <c r="S18" s="490">
        <f>-SUMIFS('Sales target'!$V$6:$V$100,'Sales target'!$D$6:$D$100,Balance!$B18,'Sales target'!$C$6:$C$100,Balance!S$2)</f>
        <v>0</v>
      </c>
      <c r="T18" s="490">
        <f>SUMIFS('Sales target'!$X$6:$X$100,'Sales target'!$D$6:$D$100,Balance!$B18,'Sales target'!$C$6:$C$100,Balance!T$2)</f>
        <v>0</v>
      </c>
      <c r="U18" s="490">
        <f>-SUMIFS('Sales target'!$X$6:$X$100,'Sales target'!$D$6:$D$100,Balance!$B18,'Sales target'!$C$6:$C$100,Balance!U$2)</f>
        <v>0</v>
      </c>
      <c r="V18" s="490">
        <f>SUMIFS('Sales target'!$Z$6:$Z$100,'Sales target'!$D$6:$D$100,Balance!$B18,'Sales target'!$C$6:$C$100,Balance!V$2)</f>
        <v>0</v>
      </c>
      <c r="W18" s="490">
        <f>-SUMIFS('Sales target'!$Z$6:$Z$100,'Sales target'!$D$6:$D$100,Balance!$B18,'Sales target'!$C$6:$C$100,Balance!W$2)</f>
        <v>0</v>
      </c>
      <c r="X18" s="490">
        <f>SUMIFS('Sales target'!$AB$6:$AB$100,'Sales target'!$D$6:$D$100,Balance!$B18,'Sales target'!$C$6:$C$100,Balance!X$2)</f>
        <v>0</v>
      </c>
      <c r="Y18" s="490">
        <f>-SUMIFS('Sales target'!$AB$6:$AB$100,'Sales target'!$D$6:$D$100,Balance!$B18,'Sales target'!$C$6:$C$100,Balance!Y$2)</f>
        <v>0</v>
      </c>
      <c r="Z18" s="490">
        <f>SUMIFS('Sales target'!$AD$6:$AD$100,'Sales target'!$D$6:$D$100,Balance!$B18,'Sales target'!$C$6:$C$100,Balance!Z$2)</f>
        <v>0</v>
      </c>
      <c r="AA18" s="490">
        <f>-SUMIFS('Sales target'!$AD$6:$AD$100,'Sales target'!$D$6:$D$100,Balance!$B18,'Sales target'!$C$6:$C$100,Balance!AA$2)</f>
        <v>0</v>
      </c>
      <c r="AB18" s="490">
        <f t="shared" si="0"/>
        <v>0</v>
      </c>
      <c r="AC18" s="490">
        <f t="shared" si="0"/>
        <v>0</v>
      </c>
      <c r="AD18" s="490"/>
      <c r="AE18" s="490">
        <f t="shared" si="6"/>
        <v>0</v>
      </c>
      <c r="AF18" s="490">
        <f>-SUMIF('Sales target'!D13:D717,Balance!B18,'Sales target'!AO13:AO717)</f>
        <v>0</v>
      </c>
      <c r="AG18" s="490">
        <f t="shared" si="2"/>
        <v>0</v>
      </c>
      <c r="AI18" s="490">
        <f t="shared" si="3"/>
        <v>0</v>
      </c>
      <c r="AJ18" s="490">
        <f>-SUMIF('Sales target'!$D$721:$D$817,Balance!$B18,'Sales target'!$AK$721:$AK$817)/1000-SUMIF('Sales target'!$D$721:$D$817,Balance!$B18,'Sales target'!$AL$721:$AL$817)/1000</f>
        <v>0</v>
      </c>
      <c r="AK18" s="490">
        <f t="shared" si="4"/>
        <v>0</v>
      </c>
      <c r="AL18" s="302" t="str">
        <f t="shared" si="5"/>
        <v/>
      </c>
    </row>
    <row r="19" spans="1:38" s="713" customFormat="1" ht="12" customHeight="1">
      <c r="A19" s="490">
        <f>SUMIF('Sales target'!$D$6:$D$89,Balance!B19,'Sales target'!$AP$6:$AP$89)</f>
        <v>0</v>
      </c>
      <c r="C19" s="490">
        <f>SUMIFS('[18]31.12.2020'!$C$3:$C$205,'[18]31.12.2020'!$A$3:$A$205,B19,'[18]31.12.2020'!$B$3:$B$205,$C$1)</f>
        <v>0</v>
      </c>
      <c r="D19" s="490">
        <f>SUMIFS('Sales target'!$F$6:$F$100,'Sales target'!$D$6:$D$100,Balance!$B19,'Sales target'!$C$6:$C$100,Balance!D$2)</f>
        <v>0</v>
      </c>
      <c r="E19" s="490">
        <f>-SUMIFS('Sales target'!$F$6:$F$100,'Sales target'!$D$6:$D$100,Balance!$B19,'Sales target'!$C$6:$C$100,Balance!E$2)</f>
        <v>0</v>
      </c>
      <c r="F19" s="490">
        <f>SUMIFS('Sales target'!$H$6:$H$100,'Sales target'!$D$6:$D$100,Balance!$B19,'Sales target'!$C$6:$C$100,Balance!F$2)</f>
        <v>0</v>
      </c>
      <c r="G19" s="490">
        <f>-SUMIFS('Sales target'!$H$6:$H$100,'Sales target'!$D$6:$D$100,Balance!$B19,'Sales target'!$C$6:$C$100,Balance!G$2)</f>
        <v>0</v>
      </c>
      <c r="H19" s="490">
        <f>SUMIFS('Sales target'!$J$6:$J$100,'Sales target'!$D$6:$D$100,Balance!$B19,'Sales target'!$C$6:$C$100,Balance!H$2)</f>
        <v>0</v>
      </c>
      <c r="I19" s="490">
        <f>-SUMIFS('Sales target'!$J$6:$J$100,'Sales target'!$D$6:$D$100,Balance!$B19,'Sales target'!$C$6:$C$100,Balance!I$2)</f>
        <v>0</v>
      </c>
      <c r="J19" s="490">
        <f>SUMIFS('Sales target'!$L$6:$L$100,'Sales target'!$D$6:$D$100,Balance!$B19,'Sales target'!$C$6:$C$100,Balance!J$2)</f>
        <v>0</v>
      </c>
      <c r="K19" s="490">
        <f>-SUMIFS('Sales target'!$L$6:$L$100,'Sales target'!$D$6:$D$100,Balance!$B19,'Sales target'!$C$6:$C$100,Balance!K$2)</f>
        <v>0</v>
      </c>
      <c r="L19" s="490">
        <f>SUMIFS('Sales target'!$N$6:$N$100,'Sales target'!$D$6:$D$100,Balance!$B19,'Sales target'!$C$6:$C$100,Balance!L$2)</f>
        <v>0</v>
      </c>
      <c r="M19" s="490">
        <f>-SUMIFS('Sales target'!$N$6:$N$100,'Sales target'!$D$6:$D$100,Balance!$B19,'Sales target'!$C$6:$C$100,Balance!M$2)</f>
        <v>0</v>
      </c>
      <c r="N19" s="490">
        <f>SUMIFS('Sales target'!$P$6:$P$100,'Sales target'!$D$6:$D$100,Balance!$B19,'Sales target'!$C$6:$C$100,Balance!N$2)</f>
        <v>0</v>
      </c>
      <c r="O19" s="490">
        <f>-SUMIFS('Sales target'!$P$6:$P$100,'Sales target'!$D$6:$D$100,Balance!$B19,'Sales target'!$C$6:$C$100,Balance!O$2)</f>
        <v>0</v>
      </c>
      <c r="P19" s="490">
        <f>SUMIFS('Sales target'!$T$6:$T$100,'Sales target'!$D$6:$D$100,Balance!$B19,'Sales target'!$C$6:$C$100,Balance!P$2)</f>
        <v>0</v>
      </c>
      <c r="Q19" s="490">
        <f>-SUMIFS('Sales target'!$T$6:$T$100,'Sales target'!$D$6:$D$100,Balance!$B19,'Sales target'!$C$6:$C$100,Balance!Q$2)</f>
        <v>0</v>
      </c>
      <c r="R19" s="490">
        <f>SUMIFS('Sales target'!$V$6:$V$100,'Sales target'!$D$6:$D$100,Balance!$B19,'Sales target'!$C$6:$C$100,Balance!R$2)</f>
        <v>0</v>
      </c>
      <c r="S19" s="490">
        <f>-SUMIFS('Sales target'!$V$6:$V$100,'Sales target'!$D$6:$D$100,Balance!$B19,'Sales target'!$C$6:$C$100,Balance!S$2)</f>
        <v>0</v>
      </c>
      <c r="T19" s="490">
        <f>SUMIFS('Sales target'!$X$6:$X$100,'Sales target'!$D$6:$D$100,Balance!$B19,'Sales target'!$C$6:$C$100,Balance!T$2)</f>
        <v>0</v>
      </c>
      <c r="U19" s="490">
        <f>-SUMIFS('Sales target'!$X$6:$X$100,'Sales target'!$D$6:$D$100,Balance!$B19,'Sales target'!$C$6:$C$100,Balance!U$2)</f>
        <v>0</v>
      </c>
      <c r="V19" s="490">
        <f>SUMIFS('Sales target'!$Z$6:$Z$100,'Sales target'!$D$6:$D$100,Balance!$B19,'Sales target'!$C$6:$C$100,Balance!V$2)</f>
        <v>0</v>
      </c>
      <c r="W19" s="490">
        <f>-SUMIFS('Sales target'!$Z$6:$Z$100,'Sales target'!$D$6:$D$100,Balance!$B19,'Sales target'!$C$6:$C$100,Balance!W$2)</f>
        <v>0</v>
      </c>
      <c r="X19" s="490">
        <f>SUMIFS('Sales target'!$AB$6:$AB$100,'Sales target'!$D$6:$D$100,Balance!$B19,'Sales target'!$C$6:$C$100,Balance!X$2)</f>
        <v>0</v>
      </c>
      <c r="Y19" s="490">
        <f>-SUMIFS('Sales target'!$AB$6:$AB$100,'Sales target'!$D$6:$D$100,Balance!$B19,'Sales target'!$C$6:$C$100,Balance!Y$2)</f>
        <v>0</v>
      </c>
      <c r="Z19" s="490">
        <f>SUMIFS('Sales target'!$AD$6:$AD$100,'Sales target'!$D$6:$D$100,Balance!$B19,'Sales target'!$C$6:$C$100,Balance!Z$2)</f>
        <v>0</v>
      </c>
      <c r="AA19" s="490">
        <f>-SUMIFS('Sales target'!$AD$6:$AD$100,'Sales target'!$D$6:$D$100,Balance!$B19,'Sales target'!$C$6:$C$100,Balance!AA$2)</f>
        <v>0</v>
      </c>
      <c r="AB19" s="490">
        <f t="shared" si="0"/>
        <v>0</v>
      </c>
      <c r="AC19" s="490">
        <f t="shared" si="0"/>
        <v>0</v>
      </c>
      <c r="AD19" s="490"/>
      <c r="AE19" s="490">
        <f t="shared" si="6"/>
        <v>0</v>
      </c>
      <c r="AF19" s="490">
        <f>-SUMIF('Sales target'!D14:D718,Balance!B19,'Sales target'!AO14:AO718)</f>
        <v>0</v>
      </c>
      <c r="AG19" s="490">
        <f t="shared" ref="AG19" si="11">AE19-AF19</f>
        <v>0</v>
      </c>
      <c r="AI19" s="490">
        <f t="shared" ref="AI19" si="12">AB19/1000/1.2</f>
        <v>0</v>
      </c>
      <c r="AJ19" s="490">
        <f>-SUMIF('Sales target'!$D$721:$D$817,Balance!$B19,'Sales target'!$AK$721:$AK$817)/1000-SUMIF('Sales target'!$D$721:$D$817,Balance!$B19,'Sales target'!$AL$721:$AL$817)/1000</f>
        <v>0</v>
      </c>
      <c r="AK19" s="490">
        <f t="shared" ref="AK19" si="13">AI19+AJ19</f>
        <v>0</v>
      </c>
      <c r="AL19" s="302" t="str">
        <f t="shared" ref="AL19" si="14">IFERROR(AK19/AI19,"")</f>
        <v/>
      </c>
    </row>
    <row r="20" spans="1:38" s="713" customFormat="1" ht="24" customHeight="1">
      <c r="A20" s="490">
        <f>SUMIF('Sales target'!$D$6:$D$89,Balance!B20,'Sales target'!$AP$6:$AP$89)</f>
        <v>0</v>
      </c>
      <c r="C20" s="490">
        <f>SUMIFS('[18]31.12.2020'!$C$3:$C$205,'[18]31.12.2020'!$A$3:$A$205,B20,'[18]31.12.2020'!$B$3:$B$205,$C$1)</f>
        <v>0</v>
      </c>
      <c r="D20" s="490">
        <f>SUMIFS('Sales target'!$F$6:$F$100,'Sales target'!$D$6:$D$100,Balance!$B20,'Sales target'!$C$6:$C$100,Balance!D$2)</f>
        <v>0</v>
      </c>
      <c r="E20" s="490">
        <f>-SUMIFS('Sales target'!$F$6:$F$100,'Sales target'!$D$6:$D$100,Balance!$B20,'Sales target'!$C$6:$C$100,Balance!E$2)</f>
        <v>0</v>
      </c>
      <c r="F20" s="490">
        <f>SUMIFS('Sales target'!$H$6:$H$100,'Sales target'!$D$6:$D$100,Balance!$B20,'Sales target'!$C$6:$C$100,Balance!F$2)</f>
        <v>0</v>
      </c>
      <c r="G20" s="490">
        <f>-SUMIFS('Sales target'!$H$6:$H$100,'Sales target'!$D$6:$D$100,Balance!$B20,'Sales target'!$C$6:$C$100,Balance!G$2)</f>
        <v>0</v>
      </c>
      <c r="H20" s="490">
        <f>SUMIFS('Sales target'!$J$6:$J$100,'Sales target'!$D$6:$D$100,Balance!$B20,'Sales target'!$C$6:$C$100,Balance!H$2)</f>
        <v>0</v>
      </c>
      <c r="I20" s="490">
        <f>-SUMIFS('Sales target'!$J$6:$J$100,'Sales target'!$D$6:$D$100,Balance!$B20,'Sales target'!$C$6:$C$100,Balance!I$2)</f>
        <v>0</v>
      </c>
      <c r="J20" s="490">
        <f>SUMIFS('Sales target'!$L$6:$L$100,'Sales target'!$D$6:$D$100,Balance!$B20,'Sales target'!$C$6:$C$100,Balance!J$2)</f>
        <v>0</v>
      </c>
      <c r="K20" s="490">
        <f>-SUMIFS('Sales target'!$L$6:$L$100,'Sales target'!$D$6:$D$100,Balance!$B20,'Sales target'!$C$6:$C$100,Balance!K$2)</f>
        <v>0</v>
      </c>
      <c r="L20" s="490">
        <f>SUMIFS('Sales target'!$N$6:$N$100,'Sales target'!$D$6:$D$100,Balance!$B20,'Sales target'!$C$6:$C$100,Balance!L$2)</f>
        <v>0</v>
      </c>
      <c r="M20" s="490">
        <f>-SUMIFS('Sales target'!$N$6:$N$100,'Sales target'!$D$6:$D$100,Balance!$B20,'Sales target'!$C$6:$C$100,Balance!M$2)</f>
        <v>0</v>
      </c>
      <c r="N20" s="490">
        <f>SUMIFS('Sales target'!$P$6:$P$100,'Sales target'!$D$6:$D$100,Balance!$B20,'Sales target'!$C$6:$C$100,Balance!N$2)</f>
        <v>0</v>
      </c>
      <c r="O20" s="490">
        <f>-SUMIFS('Sales target'!$P$6:$P$100,'Sales target'!$D$6:$D$100,Balance!$B20,'Sales target'!$C$6:$C$100,Balance!O$2)</f>
        <v>0</v>
      </c>
      <c r="P20" s="490">
        <f>SUMIFS('Sales target'!$T$6:$T$100,'Sales target'!$D$6:$D$100,Balance!$B20,'Sales target'!$C$6:$C$100,Balance!P$2)</f>
        <v>0</v>
      </c>
      <c r="Q20" s="490">
        <f>-SUMIFS('Sales target'!$T$6:$T$100,'Sales target'!$D$6:$D$100,Balance!$B20,'Sales target'!$C$6:$C$100,Balance!Q$2)</f>
        <v>0</v>
      </c>
      <c r="R20" s="490">
        <f>SUMIFS('Sales target'!$V$6:$V$100,'Sales target'!$D$6:$D$100,Balance!$B20,'Sales target'!$C$6:$C$100,Balance!R$2)</f>
        <v>0</v>
      </c>
      <c r="S20" s="490">
        <f>-SUMIFS('Sales target'!$V$6:$V$100,'Sales target'!$D$6:$D$100,Balance!$B20,'Sales target'!$C$6:$C$100,Balance!S$2)</f>
        <v>0</v>
      </c>
      <c r="T20" s="490">
        <f>SUMIFS('Sales target'!$X$6:$X$100,'Sales target'!$D$6:$D$100,Balance!$B20,'Sales target'!$C$6:$C$100,Balance!T$2)</f>
        <v>0</v>
      </c>
      <c r="U20" s="490">
        <f>-SUMIFS('Sales target'!$X$6:$X$100,'Sales target'!$D$6:$D$100,Balance!$B20,'Sales target'!$C$6:$C$100,Balance!U$2)</f>
        <v>0</v>
      </c>
      <c r="V20" s="490">
        <f>SUMIFS('Sales target'!$Z$6:$Z$100,'Sales target'!$D$6:$D$100,Balance!$B20,'Sales target'!$C$6:$C$100,Balance!V$2)</f>
        <v>0</v>
      </c>
      <c r="W20" s="490">
        <f>-SUMIFS('Sales target'!$Z$6:$Z$100,'Sales target'!$D$6:$D$100,Balance!$B20,'Sales target'!$C$6:$C$100,Balance!W$2)</f>
        <v>0</v>
      </c>
      <c r="X20" s="490">
        <f>SUMIFS('Sales target'!$AB$6:$AB$100,'Sales target'!$D$6:$D$100,Balance!$B20,'Sales target'!$C$6:$C$100,Balance!X$2)</f>
        <v>0</v>
      </c>
      <c r="Y20" s="490">
        <f>-SUMIFS('Sales target'!$AB$6:$AB$100,'Sales target'!$D$6:$D$100,Balance!$B20,'Sales target'!$C$6:$C$100,Balance!Y$2)</f>
        <v>0</v>
      </c>
      <c r="Z20" s="490">
        <f>SUMIFS('Sales target'!$AD$6:$AD$100,'Sales target'!$D$6:$D$100,Balance!$B20,'Sales target'!$C$6:$C$100,Balance!Z$2)</f>
        <v>0</v>
      </c>
      <c r="AA20" s="490">
        <f>-SUMIFS('Sales target'!$AD$6:$AD$100,'Sales target'!$D$6:$D$100,Balance!$B20,'Sales target'!$C$6:$C$100,Balance!AA$2)</f>
        <v>0</v>
      </c>
      <c r="AB20" s="490">
        <f t="shared" si="0"/>
        <v>0</v>
      </c>
      <c r="AC20" s="490">
        <f t="shared" si="0"/>
        <v>0</v>
      </c>
      <c r="AD20" s="490"/>
      <c r="AE20" s="490">
        <f t="shared" si="6"/>
        <v>0</v>
      </c>
      <c r="AF20" s="490">
        <f>-SUMIF('Sales target'!D15:D719,Balance!B20,'Sales target'!AO15:AO719)</f>
        <v>0</v>
      </c>
      <c r="AG20" s="490">
        <f t="shared" ref="AG20:AG24" si="15">AE20-AF20</f>
        <v>0</v>
      </c>
      <c r="AI20" s="490">
        <f t="shared" ref="AI20:AI24" si="16">AB20/1000/1.2</f>
        <v>0</v>
      </c>
      <c r="AJ20" s="490">
        <f>-SUMIF('Sales target'!$D$721:$D$817,Balance!$B20,'Sales target'!$AK$721:$AK$817)/1000-SUMIF('Sales target'!$D$721:$D$817,Balance!$B20,'Sales target'!$AL$721:$AL$817)/1000</f>
        <v>0</v>
      </c>
      <c r="AK20" s="490">
        <f t="shared" ref="AK20:AK24" si="17">AI20+AJ20</f>
        <v>0</v>
      </c>
      <c r="AL20" s="302" t="str">
        <f t="shared" ref="AL20:AL24" si="18">IFERROR(AK20/AI20,"")</f>
        <v/>
      </c>
    </row>
    <row r="21" spans="1:38" s="713" customFormat="1" ht="12" customHeight="1">
      <c r="A21" s="490">
        <f>SUMIF('Sales target'!$D$6:$D$89,Balance!B21,'Sales target'!$AP$6:$AP$89)</f>
        <v>0</v>
      </c>
      <c r="C21" s="490">
        <f>SUMIFS('[18]31.12.2020'!$C$3:$C$205,'[18]31.12.2020'!$A$3:$A$205,B21,'[18]31.12.2020'!$B$3:$B$205,$C$1)</f>
        <v>0</v>
      </c>
      <c r="D21" s="490">
        <f>SUMIFS('Sales target'!$F$6:$F$100,'Sales target'!$D$6:$D$100,Balance!$B21,'Sales target'!$C$6:$C$100,Balance!D$2)</f>
        <v>0</v>
      </c>
      <c r="E21" s="490">
        <f>-SUMIFS('Sales target'!$F$6:$F$100,'Sales target'!$D$6:$D$100,Balance!$B21,'Sales target'!$C$6:$C$100,Balance!E$2)</f>
        <v>0</v>
      </c>
      <c r="F21" s="490">
        <f>SUMIFS('Sales target'!$H$6:$H$100,'Sales target'!$D$6:$D$100,Balance!$B21,'Sales target'!$C$6:$C$100,Balance!F$2)</f>
        <v>0</v>
      </c>
      <c r="G21" s="490">
        <f>-SUMIFS('Sales target'!$H$6:$H$100,'Sales target'!$D$6:$D$100,Balance!$B21,'Sales target'!$C$6:$C$100,Balance!G$2)</f>
        <v>0</v>
      </c>
      <c r="H21" s="490">
        <f>SUMIFS('Sales target'!$J$6:$J$100,'Sales target'!$D$6:$D$100,Balance!$B21,'Sales target'!$C$6:$C$100,Balance!H$2)</f>
        <v>0</v>
      </c>
      <c r="I21" s="490">
        <f>-SUMIFS('Sales target'!$J$6:$J$100,'Sales target'!$D$6:$D$100,Balance!$B21,'Sales target'!$C$6:$C$100,Balance!I$2)</f>
        <v>0</v>
      </c>
      <c r="J21" s="490">
        <f>SUMIFS('Sales target'!$L$6:$L$100,'Sales target'!$D$6:$D$100,Balance!$B21,'Sales target'!$C$6:$C$100,Balance!J$2)</f>
        <v>0</v>
      </c>
      <c r="K21" s="490">
        <f>-SUMIFS('Sales target'!$L$6:$L$100,'Sales target'!$D$6:$D$100,Balance!$B21,'Sales target'!$C$6:$C$100,Balance!K$2)</f>
        <v>0</v>
      </c>
      <c r="L21" s="490">
        <f>SUMIFS('Sales target'!$N$6:$N$100,'Sales target'!$D$6:$D$100,Balance!$B21,'Sales target'!$C$6:$C$100,Balance!L$2)</f>
        <v>0</v>
      </c>
      <c r="M21" s="490">
        <f>-SUMIFS('Sales target'!$N$6:$N$100,'Sales target'!$D$6:$D$100,Balance!$B21,'Sales target'!$C$6:$C$100,Balance!M$2)</f>
        <v>0</v>
      </c>
      <c r="N21" s="490">
        <f>SUMIFS('Sales target'!$P$6:$P$100,'Sales target'!$D$6:$D$100,Balance!$B21,'Sales target'!$C$6:$C$100,Balance!N$2)</f>
        <v>0</v>
      </c>
      <c r="O21" s="490">
        <f>-SUMIFS('Sales target'!$P$6:$P$100,'Sales target'!$D$6:$D$100,Balance!$B21,'Sales target'!$C$6:$C$100,Balance!O$2)</f>
        <v>0</v>
      </c>
      <c r="P21" s="490">
        <f>SUMIFS('Sales target'!$T$6:$T$100,'Sales target'!$D$6:$D$100,Balance!$B21,'Sales target'!$C$6:$C$100,Balance!P$2)</f>
        <v>0</v>
      </c>
      <c r="Q21" s="490">
        <f>-SUMIFS('Sales target'!$T$6:$T$100,'Sales target'!$D$6:$D$100,Balance!$B21,'Sales target'!$C$6:$C$100,Balance!Q$2)</f>
        <v>0</v>
      </c>
      <c r="R21" s="490">
        <f>SUMIFS('Sales target'!$V$6:$V$100,'Sales target'!$D$6:$D$100,Balance!$B21,'Sales target'!$C$6:$C$100,Balance!R$2)</f>
        <v>0</v>
      </c>
      <c r="S21" s="490">
        <f>-SUMIFS('Sales target'!$V$6:$V$100,'Sales target'!$D$6:$D$100,Balance!$B21,'Sales target'!$C$6:$C$100,Balance!S$2)</f>
        <v>0</v>
      </c>
      <c r="T21" s="490">
        <f>SUMIFS('Sales target'!$X$6:$X$100,'Sales target'!$D$6:$D$100,Balance!$B21,'Sales target'!$C$6:$C$100,Balance!T$2)</f>
        <v>0</v>
      </c>
      <c r="U21" s="490">
        <f>-SUMIFS('Sales target'!$X$6:$X$100,'Sales target'!$D$6:$D$100,Balance!$B21,'Sales target'!$C$6:$C$100,Balance!U$2)</f>
        <v>0</v>
      </c>
      <c r="V21" s="490">
        <f>SUMIFS('Sales target'!$Z$6:$Z$100,'Sales target'!$D$6:$D$100,Balance!$B21,'Sales target'!$C$6:$C$100,Balance!V$2)</f>
        <v>0</v>
      </c>
      <c r="W21" s="490">
        <f>-SUMIFS('Sales target'!$Z$6:$Z$100,'Sales target'!$D$6:$D$100,Balance!$B21,'Sales target'!$C$6:$C$100,Balance!W$2)</f>
        <v>0</v>
      </c>
      <c r="X21" s="490">
        <f>SUMIFS('Sales target'!$AB$6:$AB$100,'Sales target'!$D$6:$D$100,Balance!$B21,'Sales target'!$C$6:$C$100,Balance!X$2)</f>
        <v>0</v>
      </c>
      <c r="Y21" s="490">
        <f>-SUMIFS('Sales target'!$AB$6:$AB$100,'Sales target'!$D$6:$D$100,Balance!$B21,'Sales target'!$C$6:$C$100,Balance!Y$2)</f>
        <v>0</v>
      </c>
      <c r="Z21" s="490">
        <f>SUMIFS('Sales target'!$AD$6:$AD$100,'Sales target'!$D$6:$D$100,Balance!$B21,'Sales target'!$C$6:$C$100,Balance!Z$2)</f>
        <v>0</v>
      </c>
      <c r="AA21" s="490">
        <f>-SUMIFS('Sales target'!$AD$6:$AD$100,'Sales target'!$D$6:$D$100,Balance!$B21,'Sales target'!$C$6:$C$100,Balance!AA$2)</f>
        <v>0</v>
      </c>
      <c r="AB21" s="490">
        <f t="shared" si="0"/>
        <v>0</v>
      </c>
      <c r="AC21" s="490">
        <f t="shared" si="0"/>
        <v>0</v>
      </c>
      <c r="AD21" s="490"/>
      <c r="AE21" s="490">
        <f t="shared" si="6"/>
        <v>0</v>
      </c>
      <c r="AF21" s="490">
        <f>-SUMIF('Sales target'!D12:D716,Balance!B21,'Sales target'!AO12:AO716)</f>
        <v>0</v>
      </c>
      <c r="AG21" s="490">
        <f t="shared" si="15"/>
        <v>0</v>
      </c>
      <c r="AI21" s="490">
        <f t="shared" si="16"/>
        <v>0</v>
      </c>
      <c r="AJ21" s="490">
        <f>-SUMIF('Sales target'!$D$721:$D$817,Balance!$B21,'Sales target'!$AK$721:$AK$817)/1000-SUMIF('Sales target'!$D$721:$D$817,Balance!$B21,'Sales target'!$AL$721:$AL$817)/1000</f>
        <v>0</v>
      </c>
      <c r="AK21" s="490">
        <f t="shared" si="17"/>
        <v>0</v>
      </c>
      <c r="AL21" s="302" t="str">
        <f t="shared" si="18"/>
        <v/>
      </c>
    </row>
    <row r="22" spans="1:38" s="713" customFormat="1" ht="12" customHeight="1">
      <c r="A22" s="490">
        <f>SUMIF('Sales target'!$D$6:$D$89,Balance!B22,'Sales target'!$AP$6:$AP$89)</f>
        <v>0</v>
      </c>
      <c r="C22" s="490">
        <f>SUMIFS('[18]31.12.2020'!$C$3:$C$205,'[18]31.12.2020'!$A$3:$A$205,B22,'[18]31.12.2020'!$B$3:$B$205,$C$1)</f>
        <v>0</v>
      </c>
      <c r="D22" s="490">
        <f>SUMIFS('Sales target'!$F$6:$F$100,'Sales target'!$D$6:$D$100,Balance!$B22,'Sales target'!$C$6:$C$100,Balance!D$2)</f>
        <v>0</v>
      </c>
      <c r="E22" s="490">
        <f>-SUMIFS('Sales target'!$F$6:$F$100,'Sales target'!$D$6:$D$100,Balance!$B22,'Sales target'!$C$6:$C$100,Balance!E$2)</f>
        <v>0</v>
      </c>
      <c r="F22" s="490">
        <f>SUMIFS('Sales target'!$H$6:$H$100,'Sales target'!$D$6:$D$100,Balance!$B22,'Sales target'!$C$6:$C$100,Balance!F$2)</f>
        <v>0</v>
      </c>
      <c r="G22" s="490">
        <f>-SUMIFS('Sales target'!$H$6:$H$100,'Sales target'!$D$6:$D$100,Balance!$B22,'Sales target'!$C$6:$C$100,Balance!G$2)</f>
        <v>0</v>
      </c>
      <c r="H22" s="490">
        <f>SUMIFS('Sales target'!$J$6:$J$100,'Sales target'!$D$6:$D$100,Balance!$B22,'Sales target'!$C$6:$C$100,Balance!H$2)</f>
        <v>0</v>
      </c>
      <c r="I22" s="490">
        <f>-SUMIFS('Sales target'!$J$6:$J$100,'Sales target'!$D$6:$D$100,Balance!$B22,'Sales target'!$C$6:$C$100,Balance!I$2)</f>
        <v>0</v>
      </c>
      <c r="J22" s="490">
        <f>SUMIFS('Sales target'!$L$6:$L$100,'Sales target'!$D$6:$D$100,Balance!$B22,'Sales target'!$C$6:$C$100,Balance!J$2)</f>
        <v>0</v>
      </c>
      <c r="K22" s="490">
        <f>-SUMIFS('Sales target'!$L$6:$L$100,'Sales target'!$D$6:$D$100,Balance!$B22,'Sales target'!$C$6:$C$100,Balance!K$2)</f>
        <v>0</v>
      </c>
      <c r="L22" s="490">
        <f>SUMIFS('Sales target'!$N$6:$N$100,'Sales target'!$D$6:$D$100,Balance!$B22,'Sales target'!$C$6:$C$100,Balance!L$2)</f>
        <v>0</v>
      </c>
      <c r="M22" s="490">
        <f>-SUMIFS('Sales target'!$N$6:$N$100,'Sales target'!$D$6:$D$100,Balance!$B22,'Sales target'!$C$6:$C$100,Balance!M$2)</f>
        <v>0</v>
      </c>
      <c r="N22" s="490">
        <f>SUMIFS('Sales target'!$P$6:$P$100,'Sales target'!$D$6:$D$100,Balance!$B22,'Sales target'!$C$6:$C$100,Balance!N$2)</f>
        <v>0</v>
      </c>
      <c r="O22" s="490">
        <f>-SUMIFS('Sales target'!$P$6:$P$100,'Sales target'!$D$6:$D$100,Balance!$B22,'Sales target'!$C$6:$C$100,Balance!O$2)</f>
        <v>0</v>
      </c>
      <c r="P22" s="490">
        <f>SUMIFS('Sales target'!$T$6:$T$100,'Sales target'!$D$6:$D$100,Balance!$B22,'Sales target'!$C$6:$C$100,Balance!P$2)</f>
        <v>0</v>
      </c>
      <c r="Q22" s="490">
        <f>-SUMIFS('Sales target'!$T$6:$T$100,'Sales target'!$D$6:$D$100,Balance!$B22,'Sales target'!$C$6:$C$100,Balance!Q$2)</f>
        <v>0</v>
      </c>
      <c r="R22" s="490">
        <f>SUMIFS('Sales target'!$V$6:$V$100,'Sales target'!$D$6:$D$100,Balance!$B22,'Sales target'!$C$6:$C$100,Balance!R$2)</f>
        <v>0</v>
      </c>
      <c r="S22" s="490">
        <f>-SUMIFS('Sales target'!$V$6:$V$100,'Sales target'!$D$6:$D$100,Balance!$B22,'Sales target'!$C$6:$C$100,Balance!S$2)</f>
        <v>0</v>
      </c>
      <c r="T22" s="490">
        <f>SUMIFS('Sales target'!$X$6:$X$100,'Sales target'!$D$6:$D$100,Balance!$B22,'Sales target'!$C$6:$C$100,Balance!T$2)</f>
        <v>0</v>
      </c>
      <c r="U22" s="490">
        <f>-SUMIFS('Sales target'!$X$6:$X$100,'Sales target'!$D$6:$D$100,Balance!$B22,'Sales target'!$C$6:$C$100,Balance!U$2)</f>
        <v>0</v>
      </c>
      <c r="V22" s="490">
        <f>SUMIFS('Sales target'!$Z$6:$Z$100,'Sales target'!$D$6:$D$100,Balance!$B22,'Sales target'!$C$6:$C$100,Balance!V$2)</f>
        <v>0</v>
      </c>
      <c r="W22" s="490">
        <f>-SUMIFS('Sales target'!$Z$6:$Z$100,'Sales target'!$D$6:$D$100,Balance!$B22,'Sales target'!$C$6:$C$100,Balance!W$2)</f>
        <v>0</v>
      </c>
      <c r="X22" s="490">
        <f>SUMIFS('Sales target'!$AB$6:$AB$100,'Sales target'!$D$6:$D$100,Balance!$B22,'Sales target'!$C$6:$C$100,Balance!X$2)</f>
        <v>0</v>
      </c>
      <c r="Y22" s="490">
        <f>-SUMIFS('Sales target'!$AB$6:$AB$100,'Sales target'!$D$6:$D$100,Balance!$B22,'Sales target'!$C$6:$C$100,Balance!Y$2)</f>
        <v>0</v>
      </c>
      <c r="Z22" s="490">
        <f>SUMIFS('Sales target'!$AD$6:$AD$100,'Sales target'!$D$6:$D$100,Balance!$B22,'Sales target'!$C$6:$C$100,Balance!Z$2)</f>
        <v>0</v>
      </c>
      <c r="AA22" s="490">
        <f>-SUMIFS('Sales target'!$AD$6:$AD$100,'Sales target'!$D$6:$D$100,Balance!$B22,'Sales target'!$C$6:$C$100,Balance!AA$2)</f>
        <v>0</v>
      </c>
      <c r="AB22" s="490">
        <f t="shared" si="0"/>
        <v>0</v>
      </c>
      <c r="AC22" s="490">
        <f t="shared" si="0"/>
        <v>0</v>
      </c>
      <c r="AD22" s="490"/>
      <c r="AE22" s="490">
        <f t="shared" si="6"/>
        <v>0</v>
      </c>
      <c r="AF22" s="490">
        <f>-SUMIF('Sales target'!D13:D717,Balance!B22,'Sales target'!AO13:AO717)</f>
        <v>0</v>
      </c>
      <c r="AG22" s="490">
        <f t="shared" ref="AG22" si="19">AE22-AF22</f>
        <v>0</v>
      </c>
      <c r="AI22" s="490">
        <f t="shared" ref="AI22" si="20">AB22/1000/1.2</f>
        <v>0</v>
      </c>
      <c r="AJ22" s="490">
        <f>-SUMIF('Sales target'!$D$721:$D$817,Balance!$B22,'Sales target'!$AK$721:$AK$817)/1000-SUMIF('Sales target'!$D$721:$D$817,Balance!$B22,'Sales target'!$AL$721:$AL$817)/1000</f>
        <v>0</v>
      </c>
      <c r="AK22" s="490">
        <f t="shared" ref="AK22" si="21">AI22+AJ22</f>
        <v>0</v>
      </c>
      <c r="AL22" s="302" t="str">
        <f t="shared" ref="AL22" si="22">IFERROR(AK22/AI22,"")</f>
        <v/>
      </c>
    </row>
    <row r="23" spans="1:38" s="713" customFormat="1" ht="12" customHeight="1">
      <c r="A23" s="490">
        <f>SUMIF('Sales target'!$D$6:$D$89,Balance!B23,'Sales target'!$AP$6:$AP$89)</f>
        <v>0</v>
      </c>
      <c r="C23" s="490">
        <f>SUMIFS('[18]31.12.2020'!$C$3:$C$205,'[18]31.12.2020'!$A$3:$A$205,B23,'[18]31.12.2020'!$B$3:$B$205,$C$1)</f>
        <v>0</v>
      </c>
      <c r="D23" s="490">
        <f>SUMIFS('Sales target'!$F$6:$F$100,'Sales target'!$D$6:$D$100,Balance!$B23,'Sales target'!$C$6:$C$100,Balance!D$2)</f>
        <v>0</v>
      </c>
      <c r="E23" s="490">
        <f>-SUMIFS('Sales target'!$F$6:$F$100,'Sales target'!$D$6:$D$100,Balance!$B23,'Sales target'!$C$6:$C$100,Balance!E$2)</f>
        <v>0</v>
      </c>
      <c r="F23" s="490">
        <f>SUMIFS('Sales target'!$H$6:$H$100,'Sales target'!$D$6:$D$100,Balance!$B23,'Sales target'!$C$6:$C$100,Balance!F$2)</f>
        <v>0</v>
      </c>
      <c r="G23" s="490">
        <f>-SUMIFS('Sales target'!$H$6:$H$100,'Sales target'!$D$6:$D$100,Balance!$B23,'Sales target'!$C$6:$C$100,Balance!G$2)</f>
        <v>0</v>
      </c>
      <c r="H23" s="490">
        <f>SUMIFS('Sales target'!$J$6:$J$100,'Sales target'!$D$6:$D$100,Balance!$B23,'Sales target'!$C$6:$C$100,Balance!H$2)</f>
        <v>0</v>
      </c>
      <c r="I23" s="490">
        <f>-SUMIFS('Sales target'!$J$6:$J$100,'Sales target'!$D$6:$D$100,Balance!$B23,'Sales target'!$C$6:$C$100,Balance!I$2)</f>
        <v>0</v>
      </c>
      <c r="J23" s="490">
        <f>SUMIFS('Sales target'!$L$6:$L$100,'Sales target'!$D$6:$D$100,Balance!$B23,'Sales target'!$C$6:$C$100,Balance!J$2)</f>
        <v>0</v>
      </c>
      <c r="K23" s="490">
        <f>-SUMIFS('Sales target'!$L$6:$L$100,'Sales target'!$D$6:$D$100,Balance!$B23,'Sales target'!$C$6:$C$100,Balance!K$2)</f>
        <v>0</v>
      </c>
      <c r="L23" s="490">
        <f>SUMIFS('Sales target'!$N$6:$N$100,'Sales target'!$D$6:$D$100,Balance!$B23,'Sales target'!$C$6:$C$100,Balance!L$2)</f>
        <v>0</v>
      </c>
      <c r="M23" s="490">
        <f>-SUMIFS('Sales target'!$N$6:$N$100,'Sales target'!$D$6:$D$100,Balance!$B23,'Sales target'!$C$6:$C$100,Balance!M$2)</f>
        <v>0</v>
      </c>
      <c r="N23" s="490">
        <f>SUMIFS('Sales target'!$P$6:$P$100,'Sales target'!$D$6:$D$100,Balance!$B23,'Sales target'!$C$6:$C$100,Balance!N$2)</f>
        <v>0</v>
      </c>
      <c r="O23" s="490">
        <f>-SUMIFS('Sales target'!$P$6:$P$100,'Sales target'!$D$6:$D$100,Balance!$B23,'Sales target'!$C$6:$C$100,Balance!O$2)</f>
        <v>0</v>
      </c>
      <c r="P23" s="490">
        <f>SUMIFS('Sales target'!$T$6:$T$100,'Sales target'!$D$6:$D$100,Balance!$B23,'Sales target'!$C$6:$C$100,Balance!P$2)</f>
        <v>0</v>
      </c>
      <c r="Q23" s="490">
        <f>-SUMIFS('Sales target'!$T$6:$T$100,'Sales target'!$D$6:$D$100,Balance!$B23,'Sales target'!$C$6:$C$100,Balance!Q$2)</f>
        <v>0</v>
      </c>
      <c r="R23" s="490">
        <f>SUMIFS('Sales target'!$V$6:$V$100,'Sales target'!$D$6:$D$100,Balance!$B23,'Sales target'!$C$6:$C$100,Balance!R$2)</f>
        <v>0</v>
      </c>
      <c r="S23" s="490">
        <f>-SUMIFS('Sales target'!$V$6:$V$100,'Sales target'!$D$6:$D$100,Balance!$B23,'Sales target'!$C$6:$C$100,Balance!S$2)</f>
        <v>0</v>
      </c>
      <c r="T23" s="490">
        <f>SUMIFS('Sales target'!$X$6:$X$100,'Sales target'!$D$6:$D$100,Balance!$B23,'Sales target'!$C$6:$C$100,Balance!T$2)</f>
        <v>0</v>
      </c>
      <c r="U23" s="490">
        <f>-SUMIFS('Sales target'!$X$6:$X$100,'Sales target'!$D$6:$D$100,Balance!$B23,'Sales target'!$C$6:$C$100,Balance!U$2)</f>
        <v>0</v>
      </c>
      <c r="V23" s="490">
        <f>SUMIFS('Sales target'!$Z$6:$Z$100,'Sales target'!$D$6:$D$100,Balance!$B23,'Sales target'!$C$6:$C$100,Balance!V$2)</f>
        <v>0</v>
      </c>
      <c r="W23" s="490">
        <f>-SUMIFS('Sales target'!$Z$6:$Z$100,'Sales target'!$D$6:$D$100,Balance!$B23,'Sales target'!$C$6:$C$100,Balance!W$2)</f>
        <v>0</v>
      </c>
      <c r="X23" s="490">
        <f>SUMIFS('Sales target'!$AB$6:$AB$100,'Sales target'!$D$6:$D$100,Balance!$B23,'Sales target'!$C$6:$C$100,Balance!X$2)</f>
        <v>0</v>
      </c>
      <c r="Y23" s="490">
        <f>-SUMIFS('Sales target'!$AB$6:$AB$100,'Sales target'!$D$6:$D$100,Balance!$B23,'Sales target'!$C$6:$C$100,Balance!Y$2)</f>
        <v>0</v>
      </c>
      <c r="Z23" s="490">
        <f>SUMIFS('Sales target'!$AD$6:$AD$100,'Sales target'!$D$6:$D$100,Balance!$B23,'Sales target'!$C$6:$C$100,Balance!Z$2)</f>
        <v>0</v>
      </c>
      <c r="AA23" s="490">
        <f>-SUMIFS('Sales target'!$AD$6:$AD$100,'Sales target'!$D$6:$D$100,Balance!$B23,'Sales target'!$C$6:$C$100,Balance!AA$2)</f>
        <v>0</v>
      </c>
      <c r="AB23" s="490">
        <f t="shared" si="0"/>
        <v>0</v>
      </c>
      <c r="AC23" s="490">
        <f t="shared" si="0"/>
        <v>0</v>
      </c>
      <c r="AD23" s="490"/>
      <c r="AE23" s="490">
        <f t="shared" si="6"/>
        <v>0</v>
      </c>
      <c r="AF23" s="490">
        <f>-SUMIF('Sales target'!D14:D718,Balance!B23,'Sales target'!AO14:AO718)</f>
        <v>0</v>
      </c>
      <c r="AG23" s="490">
        <f t="shared" ref="AG23" si="23">AE23-AF23</f>
        <v>0</v>
      </c>
      <c r="AI23" s="490">
        <f t="shared" ref="AI23" si="24">AB23/1000/1.2</f>
        <v>0</v>
      </c>
      <c r="AJ23" s="490">
        <f>-SUMIF('Sales target'!$D$721:$D$817,Balance!$B23,'Sales target'!$AK$721:$AK$817)/1000-SUMIF('Sales target'!$D$721:$D$817,Balance!$B23,'Sales target'!$AL$721:$AL$817)/1000</f>
        <v>0</v>
      </c>
      <c r="AK23" s="490">
        <f t="shared" ref="AK23" si="25">AI23+AJ23</f>
        <v>0</v>
      </c>
      <c r="AL23" s="302" t="str">
        <f t="shared" ref="AL23" si="26">IFERROR(AK23/AI23,"")</f>
        <v/>
      </c>
    </row>
    <row r="24" spans="1:38" s="713" customFormat="1" ht="12" customHeight="1">
      <c r="A24" s="490">
        <f>SUMIF('Sales target'!$D$6:$D$89,Balance!B24,'Sales target'!$AP$6:$AP$89)</f>
        <v>0</v>
      </c>
      <c r="C24" s="490">
        <f>SUMIFS('[18]31.12.2020'!$C$3:$C$205,'[18]31.12.2020'!$A$3:$A$205,B24,'[18]31.12.2020'!$B$3:$B$205,$C$1)</f>
        <v>0</v>
      </c>
      <c r="D24" s="490">
        <f>SUMIFS('Sales target'!$F$6:$F$100,'Sales target'!$D$6:$D$100,Balance!$B24,'Sales target'!$C$6:$C$100,Balance!D$2)</f>
        <v>0</v>
      </c>
      <c r="E24" s="490">
        <f>-SUMIFS('Sales target'!$F$6:$F$100,'Sales target'!$D$6:$D$100,Balance!$B24,'Sales target'!$C$6:$C$100,Balance!E$2)</f>
        <v>0</v>
      </c>
      <c r="F24" s="490">
        <f>SUMIFS('Sales target'!$H$6:$H$100,'Sales target'!$D$6:$D$100,Balance!$B24,'Sales target'!$C$6:$C$100,Balance!F$2)</f>
        <v>0</v>
      </c>
      <c r="G24" s="490">
        <f>-SUMIFS('Sales target'!$H$6:$H$100,'Sales target'!$D$6:$D$100,Balance!$B24,'Sales target'!$C$6:$C$100,Balance!G$2)</f>
        <v>0</v>
      </c>
      <c r="H24" s="490">
        <f>SUMIFS('Sales target'!$J$6:$J$100,'Sales target'!$D$6:$D$100,Balance!$B24,'Sales target'!$C$6:$C$100,Balance!H$2)</f>
        <v>0</v>
      </c>
      <c r="I24" s="490">
        <f>-SUMIFS('Sales target'!$J$6:$J$100,'Sales target'!$D$6:$D$100,Balance!$B24,'Sales target'!$C$6:$C$100,Balance!I$2)</f>
        <v>0</v>
      </c>
      <c r="J24" s="490">
        <f>SUMIFS('Sales target'!$L$6:$L$100,'Sales target'!$D$6:$D$100,Balance!$B24,'Sales target'!$C$6:$C$100,Balance!J$2)</f>
        <v>0</v>
      </c>
      <c r="K24" s="490">
        <f>-SUMIFS('Sales target'!$L$6:$L$100,'Sales target'!$D$6:$D$100,Balance!$B24,'Sales target'!$C$6:$C$100,Balance!K$2)</f>
        <v>0</v>
      </c>
      <c r="L24" s="490">
        <f>SUMIFS('Sales target'!$N$6:$N$100,'Sales target'!$D$6:$D$100,Balance!$B24,'Sales target'!$C$6:$C$100,Balance!L$2)</f>
        <v>0</v>
      </c>
      <c r="M24" s="490">
        <f>-SUMIFS('Sales target'!$N$6:$N$100,'Sales target'!$D$6:$D$100,Balance!$B24,'Sales target'!$C$6:$C$100,Balance!M$2)</f>
        <v>0</v>
      </c>
      <c r="N24" s="490">
        <f>SUMIFS('Sales target'!$P$6:$P$100,'Sales target'!$D$6:$D$100,Balance!$B24,'Sales target'!$C$6:$C$100,Balance!N$2)</f>
        <v>0</v>
      </c>
      <c r="O24" s="490">
        <f>-SUMIFS('Sales target'!$P$6:$P$100,'Sales target'!$D$6:$D$100,Balance!$B24,'Sales target'!$C$6:$C$100,Balance!O$2)</f>
        <v>0</v>
      </c>
      <c r="P24" s="490">
        <f>SUMIFS('Sales target'!$T$6:$T$100,'Sales target'!$D$6:$D$100,Balance!$B24,'Sales target'!$C$6:$C$100,Balance!P$2)</f>
        <v>0</v>
      </c>
      <c r="Q24" s="490">
        <f>-SUMIFS('Sales target'!$T$6:$T$100,'Sales target'!$D$6:$D$100,Balance!$B24,'Sales target'!$C$6:$C$100,Balance!Q$2)</f>
        <v>0</v>
      </c>
      <c r="R24" s="490">
        <f>SUMIFS('Sales target'!$V$6:$V$100,'Sales target'!$D$6:$D$100,Balance!$B24,'Sales target'!$C$6:$C$100,Balance!R$2)</f>
        <v>0</v>
      </c>
      <c r="S24" s="490">
        <f>-SUMIFS('Sales target'!$V$6:$V$100,'Sales target'!$D$6:$D$100,Balance!$B24,'Sales target'!$C$6:$C$100,Balance!S$2)</f>
        <v>0</v>
      </c>
      <c r="T24" s="490">
        <f>SUMIFS('Sales target'!$X$6:$X$100,'Sales target'!$D$6:$D$100,Balance!$B24,'Sales target'!$C$6:$C$100,Balance!T$2)</f>
        <v>0</v>
      </c>
      <c r="U24" s="490">
        <f>-SUMIFS('Sales target'!$X$6:$X$100,'Sales target'!$D$6:$D$100,Balance!$B24,'Sales target'!$C$6:$C$100,Balance!U$2)</f>
        <v>0</v>
      </c>
      <c r="V24" s="490">
        <f>SUMIFS('Sales target'!$Z$6:$Z$100,'Sales target'!$D$6:$D$100,Balance!$B24,'Sales target'!$C$6:$C$100,Balance!V$2)</f>
        <v>0</v>
      </c>
      <c r="W24" s="490">
        <f>-SUMIFS('Sales target'!$Z$6:$Z$100,'Sales target'!$D$6:$D$100,Balance!$B24,'Sales target'!$C$6:$C$100,Balance!W$2)</f>
        <v>0</v>
      </c>
      <c r="X24" s="490">
        <f>SUMIFS('Sales target'!$AB$6:$AB$100,'Sales target'!$D$6:$D$100,Balance!$B24,'Sales target'!$C$6:$C$100,Balance!X$2)</f>
        <v>0</v>
      </c>
      <c r="Y24" s="490">
        <f>-SUMIFS('Sales target'!$AB$6:$AB$100,'Sales target'!$D$6:$D$100,Balance!$B24,'Sales target'!$C$6:$C$100,Balance!Y$2)</f>
        <v>0</v>
      </c>
      <c r="Z24" s="490">
        <f>SUMIFS('Sales target'!$AD$6:$AD$100,'Sales target'!$D$6:$D$100,Balance!$B24,'Sales target'!$C$6:$C$100,Balance!Z$2)</f>
        <v>0</v>
      </c>
      <c r="AA24" s="490">
        <f>-SUMIFS('Sales target'!$AD$6:$AD$100,'Sales target'!$D$6:$D$100,Balance!$B24,'Sales target'!$C$6:$C$100,Balance!AA$2)</f>
        <v>0</v>
      </c>
      <c r="AB24" s="490">
        <f t="shared" si="0"/>
        <v>0</v>
      </c>
      <c r="AC24" s="490">
        <f t="shared" si="0"/>
        <v>0</v>
      </c>
      <c r="AD24" s="490"/>
      <c r="AE24" s="490">
        <f t="shared" si="6"/>
        <v>0</v>
      </c>
      <c r="AF24" s="490">
        <f>-SUMIF('Sales target'!D15:D719,Balance!B24,'Sales target'!AO15:AO719)</f>
        <v>0</v>
      </c>
      <c r="AG24" s="490">
        <f t="shared" si="15"/>
        <v>0</v>
      </c>
      <c r="AI24" s="490">
        <f t="shared" si="16"/>
        <v>0</v>
      </c>
      <c r="AJ24" s="490">
        <f>-SUMIF('Sales target'!$D$721:$D$817,Balance!$B24,'Sales target'!$AK$721:$AK$817)/1000-SUMIF('Sales target'!$D$721:$D$817,Balance!$B24,'Sales target'!$AL$721:$AL$817)/1000</f>
        <v>0</v>
      </c>
      <c r="AK24" s="490">
        <f t="shared" si="17"/>
        <v>0</v>
      </c>
      <c r="AL24" s="302" t="str">
        <f t="shared" si="18"/>
        <v/>
      </c>
    </row>
    <row r="25" spans="1:38" s="713" customFormat="1" ht="12" customHeight="1">
      <c r="A25" s="490">
        <f>SUMIF('Sales target'!$D$6:$D$89,Balance!B25,'Sales target'!$AP$6:$AP$89)</f>
        <v>0</v>
      </c>
      <c r="C25" s="490">
        <f>SUMIFS('[18]31.12.2020'!$C$3:$C$205,'[18]31.12.2020'!$A$3:$A$205,B25,'[18]31.12.2020'!$B$3:$B$205,$C$1)</f>
        <v>0</v>
      </c>
      <c r="D25" s="490">
        <f>SUMIFS('Sales target'!$F$6:$F$100,'Sales target'!$D$6:$D$100,Balance!$B25,'Sales target'!$C$6:$C$100,Balance!D$2)</f>
        <v>0</v>
      </c>
      <c r="E25" s="490">
        <f>-SUMIFS('Sales target'!$F$6:$F$100,'Sales target'!$D$6:$D$100,Balance!$B25,'Sales target'!$C$6:$C$100,Balance!E$2)</f>
        <v>0</v>
      </c>
      <c r="F25" s="490">
        <f>SUMIFS('Sales target'!$H$6:$H$100,'Sales target'!$D$6:$D$100,Balance!$B25,'Sales target'!$C$6:$C$100,Balance!F$2)</f>
        <v>0</v>
      </c>
      <c r="G25" s="490">
        <f>-SUMIFS('Sales target'!$H$6:$H$100,'Sales target'!$D$6:$D$100,Balance!$B25,'Sales target'!$C$6:$C$100,Balance!G$2)</f>
        <v>0</v>
      </c>
      <c r="H25" s="490">
        <f>SUMIFS('Sales target'!$J$6:$J$100,'Sales target'!$D$6:$D$100,Balance!$B25,'Sales target'!$C$6:$C$100,Balance!H$2)</f>
        <v>0</v>
      </c>
      <c r="I25" s="490">
        <f>-SUMIFS('Sales target'!$J$6:$J$100,'Sales target'!$D$6:$D$100,Balance!$B25,'Sales target'!$C$6:$C$100,Balance!I$2)</f>
        <v>0</v>
      </c>
      <c r="J25" s="490">
        <f>SUMIFS('Sales target'!$L$6:$L$100,'Sales target'!$D$6:$D$100,Balance!$B25,'Sales target'!$C$6:$C$100,Balance!J$2)</f>
        <v>0</v>
      </c>
      <c r="K25" s="490">
        <f>-SUMIFS('Sales target'!$L$6:$L$100,'Sales target'!$D$6:$D$100,Balance!$B25,'Sales target'!$C$6:$C$100,Balance!K$2)</f>
        <v>0</v>
      </c>
      <c r="L25" s="490">
        <f>SUMIFS('Sales target'!$N$6:$N$100,'Sales target'!$D$6:$D$100,Balance!$B25,'Sales target'!$C$6:$C$100,Balance!L$2)</f>
        <v>0</v>
      </c>
      <c r="M25" s="490">
        <f>-SUMIFS('Sales target'!$N$6:$N$100,'Sales target'!$D$6:$D$100,Balance!$B25,'Sales target'!$C$6:$C$100,Balance!M$2)</f>
        <v>0</v>
      </c>
      <c r="N25" s="490">
        <f>SUMIFS('Sales target'!$P$6:$P$100,'Sales target'!$D$6:$D$100,Balance!$B25,'Sales target'!$C$6:$C$100,Balance!N$2)</f>
        <v>0</v>
      </c>
      <c r="O25" s="490">
        <f>-SUMIFS('Sales target'!$P$6:$P$100,'Sales target'!$D$6:$D$100,Balance!$B25,'Sales target'!$C$6:$C$100,Balance!O$2)</f>
        <v>0</v>
      </c>
      <c r="P25" s="490">
        <f>SUMIFS('Sales target'!$T$6:$T$100,'Sales target'!$D$6:$D$100,Balance!$B25,'Sales target'!$C$6:$C$100,Balance!P$2)</f>
        <v>0</v>
      </c>
      <c r="Q25" s="490">
        <f>-SUMIFS('Sales target'!$T$6:$T$100,'Sales target'!$D$6:$D$100,Balance!$B25,'Sales target'!$C$6:$C$100,Balance!Q$2)</f>
        <v>0</v>
      </c>
      <c r="R25" s="490">
        <f>SUMIFS('Sales target'!$V$6:$V$100,'Sales target'!$D$6:$D$100,Balance!$B25,'Sales target'!$C$6:$C$100,Balance!R$2)</f>
        <v>0</v>
      </c>
      <c r="S25" s="490">
        <f>-SUMIFS('Sales target'!$V$6:$V$100,'Sales target'!$D$6:$D$100,Balance!$B25,'Sales target'!$C$6:$C$100,Balance!S$2)</f>
        <v>0</v>
      </c>
      <c r="T25" s="490">
        <f>SUMIFS('Sales target'!$X$6:$X$100,'Sales target'!$D$6:$D$100,Balance!$B25,'Sales target'!$C$6:$C$100,Balance!T$2)</f>
        <v>0</v>
      </c>
      <c r="U25" s="490">
        <f>-SUMIFS('Sales target'!$X$6:$X$100,'Sales target'!$D$6:$D$100,Balance!$B25,'Sales target'!$C$6:$C$100,Balance!U$2)</f>
        <v>0</v>
      </c>
      <c r="V25" s="490">
        <f>SUMIFS('Sales target'!$Z$6:$Z$100,'Sales target'!$D$6:$D$100,Balance!$B25,'Sales target'!$C$6:$C$100,Balance!V$2)</f>
        <v>0</v>
      </c>
      <c r="W25" s="490">
        <f>-SUMIFS('Sales target'!$Z$6:$Z$100,'Sales target'!$D$6:$D$100,Balance!$B25,'Sales target'!$C$6:$C$100,Balance!W$2)</f>
        <v>0</v>
      </c>
      <c r="X25" s="490">
        <f>SUMIFS('Sales target'!$AB$6:$AB$100,'Sales target'!$D$6:$D$100,Balance!$B25,'Sales target'!$C$6:$C$100,Balance!X$2)</f>
        <v>0</v>
      </c>
      <c r="Y25" s="490">
        <f>-SUMIFS('Sales target'!$AB$6:$AB$100,'Sales target'!$D$6:$D$100,Balance!$B25,'Sales target'!$C$6:$C$100,Balance!Y$2)</f>
        <v>0</v>
      </c>
      <c r="Z25" s="490">
        <f>SUMIFS('Sales target'!$AD$6:$AD$100,'Sales target'!$D$6:$D$100,Balance!$B25,'Sales target'!$C$6:$C$100,Balance!Z$2)</f>
        <v>0</v>
      </c>
      <c r="AA25" s="490">
        <f>-SUMIFS('Sales target'!$AD$6:$AD$100,'Sales target'!$D$6:$D$100,Balance!$B25,'Sales target'!$C$6:$C$100,Balance!AA$2)</f>
        <v>0</v>
      </c>
      <c r="AB25" s="490">
        <f t="shared" si="0"/>
        <v>0</v>
      </c>
      <c r="AC25" s="490">
        <f t="shared" si="0"/>
        <v>0</v>
      </c>
      <c r="AD25" s="490"/>
      <c r="AE25" s="490">
        <f t="shared" si="6"/>
        <v>0</v>
      </c>
      <c r="AF25" s="490">
        <f>-SUMIF('Sales target'!D16:D720,Balance!B25,'Sales target'!AO16:AO720)</f>
        <v>0</v>
      </c>
      <c r="AG25" s="490">
        <f t="shared" si="2"/>
        <v>0</v>
      </c>
      <c r="AI25" s="490">
        <f t="shared" si="3"/>
        <v>0</v>
      </c>
      <c r="AJ25" s="490">
        <f>-SUMIF('Sales target'!$D$721:$D$817,Balance!$B25,'Sales target'!$AK$721:$AK$817)/1000-SUMIF('Sales target'!$D$721:$D$817,Balance!$B25,'Sales target'!$AL$721:$AL$817)/1000</f>
        <v>0</v>
      </c>
      <c r="AK25" s="490">
        <f t="shared" si="4"/>
        <v>0</v>
      </c>
      <c r="AL25" s="302" t="str">
        <f t="shared" si="5"/>
        <v/>
      </c>
    </row>
    <row r="26" spans="1:38" s="713" customFormat="1" ht="12" customHeight="1">
      <c r="A26" s="490">
        <f>SUMIF('Sales target'!$D$6:$D$89,Balance!B26,'Sales target'!$AP$6:$AP$89)</f>
        <v>0</v>
      </c>
      <c r="C26" s="490">
        <f>SUMIFS('[18]31.12.2020'!$C$3:$C$205,'[18]31.12.2020'!$A$3:$A$205,B26,'[18]31.12.2020'!$B$3:$B$205,$C$1)</f>
        <v>0</v>
      </c>
      <c r="D26" s="490">
        <f>SUMIFS('Sales target'!$F$6:$F$100,'Sales target'!$D$6:$D$100,Balance!$B26,'Sales target'!$C$6:$C$100,Balance!D$2)</f>
        <v>0</v>
      </c>
      <c r="E26" s="490">
        <f>-SUMIFS('Sales target'!$F$6:$F$100,'Sales target'!$D$6:$D$100,Balance!$B26,'Sales target'!$C$6:$C$100,Balance!E$2)</f>
        <v>0</v>
      </c>
      <c r="F26" s="490">
        <f>SUMIFS('Sales target'!$H$6:$H$100,'Sales target'!$D$6:$D$100,Balance!$B26,'Sales target'!$C$6:$C$100,Balance!F$2)</f>
        <v>0</v>
      </c>
      <c r="G26" s="490">
        <f>-SUMIFS('Sales target'!$H$6:$H$100,'Sales target'!$D$6:$D$100,Balance!$B26,'Sales target'!$C$6:$C$100,Balance!G$2)</f>
        <v>0</v>
      </c>
      <c r="H26" s="490">
        <f>SUMIFS('Sales target'!$J$6:$J$100,'Sales target'!$D$6:$D$100,Balance!$B26,'Sales target'!$C$6:$C$100,Balance!H$2)</f>
        <v>0</v>
      </c>
      <c r="I26" s="490">
        <f>-SUMIFS('Sales target'!$J$6:$J$100,'Sales target'!$D$6:$D$100,Balance!$B26,'Sales target'!$C$6:$C$100,Balance!I$2)</f>
        <v>0</v>
      </c>
      <c r="J26" s="490">
        <f>SUMIFS('Sales target'!$L$6:$L$100,'Sales target'!$D$6:$D$100,Balance!$B26,'Sales target'!$C$6:$C$100,Balance!J$2)</f>
        <v>0</v>
      </c>
      <c r="K26" s="490">
        <f>-SUMIFS('Sales target'!$L$6:$L$100,'Sales target'!$D$6:$D$100,Balance!$B26,'Sales target'!$C$6:$C$100,Balance!K$2)</f>
        <v>0</v>
      </c>
      <c r="L26" s="490">
        <f>SUMIFS('Sales target'!$N$6:$N$100,'Sales target'!$D$6:$D$100,Balance!$B26,'Sales target'!$C$6:$C$100,Balance!L$2)</f>
        <v>0</v>
      </c>
      <c r="M26" s="490">
        <f>-SUMIFS('Sales target'!$N$6:$N$100,'Sales target'!$D$6:$D$100,Balance!$B26,'Sales target'!$C$6:$C$100,Balance!M$2)</f>
        <v>0</v>
      </c>
      <c r="N26" s="490">
        <f>SUMIFS('Sales target'!$P$6:$P$100,'Sales target'!$D$6:$D$100,Balance!$B26,'Sales target'!$C$6:$C$100,Balance!N$2)</f>
        <v>0</v>
      </c>
      <c r="O26" s="490">
        <f>-SUMIFS('Sales target'!$P$6:$P$100,'Sales target'!$D$6:$D$100,Balance!$B26,'Sales target'!$C$6:$C$100,Balance!O$2)</f>
        <v>0</v>
      </c>
      <c r="P26" s="490">
        <f>SUMIFS('Sales target'!$T$6:$T$100,'Sales target'!$D$6:$D$100,Balance!$B26,'Sales target'!$C$6:$C$100,Balance!P$2)</f>
        <v>0</v>
      </c>
      <c r="Q26" s="490">
        <f>-SUMIFS('Sales target'!$T$6:$T$100,'Sales target'!$D$6:$D$100,Balance!$B26,'Sales target'!$C$6:$C$100,Balance!Q$2)</f>
        <v>0</v>
      </c>
      <c r="R26" s="490">
        <f>SUMIFS('Sales target'!$V$6:$V$100,'Sales target'!$D$6:$D$100,Balance!$B26,'Sales target'!$C$6:$C$100,Balance!R$2)</f>
        <v>0</v>
      </c>
      <c r="S26" s="490">
        <f>-SUMIFS('Sales target'!$V$6:$V$100,'Sales target'!$D$6:$D$100,Balance!$B26,'Sales target'!$C$6:$C$100,Balance!S$2)</f>
        <v>0</v>
      </c>
      <c r="T26" s="490">
        <f>SUMIFS('Sales target'!$X$6:$X$100,'Sales target'!$D$6:$D$100,Balance!$B26,'Sales target'!$C$6:$C$100,Balance!T$2)</f>
        <v>0</v>
      </c>
      <c r="U26" s="490">
        <f>-SUMIFS('Sales target'!$X$6:$X$100,'Sales target'!$D$6:$D$100,Balance!$B26,'Sales target'!$C$6:$C$100,Balance!U$2)</f>
        <v>0</v>
      </c>
      <c r="V26" s="490">
        <f>SUMIFS('Sales target'!$Z$6:$Z$100,'Sales target'!$D$6:$D$100,Balance!$B26,'Sales target'!$C$6:$C$100,Balance!V$2)</f>
        <v>0</v>
      </c>
      <c r="W26" s="490">
        <f>-SUMIFS('Sales target'!$Z$6:$Z$100,'Sales target'!$D$6:$D$100,Balance!$B26,'Sales target'!$C$6:$C$100,Balance!W$2)</f>
        <v>0</v>
      </c>
      <c r="X26" s="490">
        <f>SUMIFS('Sales target'!$AB$6:$AB$100,'Sales target'!$D$6:$D$100,Balance!$B26,'Sales target'!$C$6:$C$100,Balance!X$2)</f>
        <v>0</v>
      </c>
      <c r="Y26" s="490">
        <f>-SUMIFS('Sales target'!$AB$6:$AB$100,'Sales target'!$D$6:$D$100,Balance!$B26,'Sales target'!$C$6:$C$100,Balance!Y$2)</f>
        <v>0</v>
      </c>
      <c r="Z26" s="490">
        <f>SUMIFS('Sales target'!$AD$6:$AD$100,'Sales target'!$D$6:$D$100,Balance!$B26,'Sales target'!$C$6:$C$100,Balance!Z$2)</f>
        <v>0</v>
      </c>
      <c r="AA26" s="490">
        <f>-SUMIFS('Sales target'!$AD$6:$AD$100,'Sales target'!$D$6:$D$100,Balance!$B26,'Sales target'!$C$6:$C$100,Balance!AA$2)</f>
        <v>0</v>
      </c>
      <c r="AB26" s="490">
        <f t="shared" si="0"/>
        <v>0</v>
      </c>
      <c r="AC26" s="490">
        <f t="shared" si="0"/>
        <v>0</v>
      </c>
      <c r="AD26" s="490"/>
      <c r="AE26" s="490">
        <f t="shared" si="6"/>
        <v>0</v>
      </c>
      <c r="AF26" s="490">
        <f>-SUMIF('Sales target'!D17:D721,Balance!B26,'Sales target'!AO17:AO721)</f>
        <v>0</v>
      </c>
      <c r="AG26" s="490">
        <f t="shared" ref="AG26" si="27">AE26-AF26</f>
        <v>0</v>
      </c>
      <c r="AI26" s="490">
        <f t="shared" ref="AI26" si="28">AB26/1000/1.2</f>
        <v>0</v>
      </c>
      <c r="AJ26" s="490">
        <f>-SUMIF('Sales target'!$D$721:$D$817,Balance!$B26,'Sales target'!$AK$721:$AK$817)/1000-SUMIF('Sales target'!$D$721:$D$817,Balance!$B26,'Sales target'!$AL$721:$AL$817)/1000</f>
        <v>0</v>
      </c>
      <c r="AK26" s="490">
        <f t="shared" ref="AK26" si="29">AI26+AJ26</f>
        <v>0</v>
      </c>
      <c r="AL26" s="302" t="str">
        <f t="shared" ref="AL26" si="30">IFERROR(AK26/AI26,"")</f>
        <v/>
      </c>
    </row>
    <row r="27" spans="1:38" s="1081" customFormat="1">
      <c r="A27" s="490">
        <f>SUMIF('Sales target'!$D$6:$D$89,Balance!B27,'Sales target'!$AP$6:$AP$89)</f>
        <v>0</v>
      </c>
      <c r="B27" s="1085" t="s">
        <v>688</v>
      </c>
      <c r="C27" s="490">
        <f>SUMIFS('[18]31.12.2020'!$C$3:$C$205,'[18]31.12.2020'!$A$3:$A$205,B27,'[18]31.12.2020'!$B$3:$B$205,$C$1)</f>
        <v>0</v>
      </c>
      <c r="D27" s="1082">
        <f>SUMIFS('Sales target'!$F$6:$F$100,'Sales target'!$D$6:$D$100,Balance!$B27,'Sales target'!$C$6:$C$100,Balance!D$2)</f>
        <v>0</v>
      </c>
      <c r="E27" s="1082">
        <f>-SUMIFS('Sales target'!$F$6:$F$100,'Sales target'!$D$6:$D$100,Balance!$B27,'Sales target'!$C$6:$C$100,Balance!E$2)</f>
        <v>0</v>
      </c>
      <c r="F27" s="1082">
        <f>SUMIFS('Sales target'!$H$6:$H$100,'Sales target'!$D$6:$D$100,Balance!$B27,'Sales target'!$C$6:$C$100,Balance!F$2)</f>
        <v>0</v>
      </c>
      <c r="G27" s="1082">
        <f>-SUMIFS('Sales target'!$H$6:$H$100,'Sales target'!$D$6:$D$100,Balance!$B27,'Sales target'!$C$6:$C$100,Balance!G$2)</f>
        <v>0</v>
      </c>
      <c r="H27" s="1082">
        <f>SUMIFS('Sales target'!$J$6:$J$100,'Sales target'!$D$6:$D$100,Balance!$B27,'Sales target'!$C$6:$C$100,Balance!H$2)</f>
        <v>0</v>
      </c>
      <c r="I27" s="1082">
        <f>-SUMIFS('Sales target'!$J$6:$J$100,'Sales target'!$D$6:$D$100,Balance!$B27,'Sales target'!$C$6:$C$100,Balance!I$2)</f>
        <v>0</v>
      </c>
      <c r="J27" s="1082">
        <f>SUMIFS('Sales target'!$L$6:$L$100,'Sales target'!$D$6:$D$100,Balance!$B27,'Sales target'!$C$6:$C$100,Balance!J$2)</f>
        <v>0</v>
      </c>
      <c r="K27" s="1082">
        <f>-SUMIFS('Sales target'!$L$6:$L$100,'Sales target'!$D$6:$D$100,Balance!$B27,'Sales target'!$C$6:$C$100,Balance!K$2)</f>
        <v>0</v>
      </c>
      <c r="L27" s="1082">
        <f>SUMIFS('Sales target'!$N$6:$N$100,'Sales target'!$D$6:$D$100,Balance!$B27,'Sales target'!$C$6:$C$100,Balance!L$2)</f>
        <v>0</v>
      </c>
      <c r="M27" s="1082">
        <f>-SUMIFS('Sales target'!$N$6:$N$100,'Sales target'!$D$6:$D$100,Balance!$B27,'Sales target'!$C$6:$C$100,Balance!M$2)</f>
        <v>0</v>
      </c>
      <c r="N27" s="1082">
        <f>SUMIFS('Sales target'!$P$6:$P$100,'Sales target'!$D$6:$D$100,Balance!$B27,'Sales target'!$C$6:$C$100,Balance!N$2)</f>
        <v>0</v>
      </c>
      <c r="O27" s="1082">
        <f>-SUMIFS('Sales target'!$P$6:$P$100,'Sales target'!$D$6:$D$100,Balance!$B27,'Sales target'!$C$6:$C$100,Balance!O$2)</f>
        <v>0</v>
      </c>
      <c r="P27" s="1082">
        <f>SUMIFS('Sales target'!$T$6:$T$100,'Sales target'!$D$6:$D$100,Balance!$B27,'Sales target'!$C$6:$C$100,Balance!P$2)</f>
        <v>0</v>
      </c>
      <c r="Q27" s="1082">
        <f>-SUMIFS('Sales target'!$T$6:$T$100,'Sales target'!$D$6:$D$100,Balance!$B27,'Sales target'!$C$6:$C$100,Balance!Q$2)</f>
        <v>0</v>
      </c>
      <c r="R27" s="1082">
        <f>SUMIFS('Sales target'!$V$6:$V$100,'Sales target'!$D$6:$D$100,Balance!$B27,'Sales target'!$C$6:$C$100,Balance!R$2)</f>
        <v>0</v>
      </c>
      <c r="S27" s="1082">
        <f>-SUMIFS('Sales target'!$V$6:$V$100,'Sales target'!$D$6:$D$100,Balance!$B27,'Sales target'!$C$6:$C$100,Balance!S$2)</f>
        <v>0</v>
      </c>
      <c r="T27" s="1082">
        <f>SUMIFS('Sales target'!$X$6:$X$100,'Sales target'!$D$6:$D$100,Balance!$B27,'Sales target'!$C$6:$C$100,Balance!T$2)</f>
        <v>0</v>
      </c>
      <c r="U27" s="1082">
        <f>-SUMIFS('Sales target'!$X$6:$X$100,'Sales target'!$D$6:$D$100,Balance!$B27,'Sales target'!$C$6:$C$100,Balance!U$2)</f>
        <v>0</v>
      </c>
      <c r="V27" s="1082">
        <f>SUMIFS('Sales target'!$Z$6:$Z$100,'Sales target'!$D$6:$D$100,Balance!$B27,'Sales target'!$C$6:$C$100,Balance!V$2)</f>
        <v>0</v>
      </c>
      <c r="W27" s="1082">
        <f>-SUMIFS('Sales target'!$Z$6:$Z$100,'Sales target'!$D$6:$D$100,Balance!$B27,'Sales target'!$C$6:$C$100,Balance!W$2)</f>
        <v>0</v>
      </c>
      <c r="X27" s="1082">
        <f>SUMIFS('Sales target'!$AB$6:$AB$100,'Sales target'!$D$6:$D$100,Balance!$B27,'Sales target'!$C$6:$C$100,Balance!X$2)</f>
        <v>0</v>
      </c>
      <c r="Y27" s="1082">
        <f>-SUMIFS('Sales target'!$AB$6:$AB$100,'Sales target'!$D$6:$D$100,Balance!$B27,'Sales target'!$C$6:$C$100,Balance!Y$2)</f>
        <v>0</v>
      </c>
      <c r="Z27" s="1082">
        <f>SUMIFS('Sales target'!$AD$6:$AD$100,'Sales target'!$D$6:$D$100,Balance!$B27,'Sales target'!$C$6:$C$100,Balance!Z$2)</f>
        <v>0</v>
      </c>
      <c r="AA27" s="1082">
        <f>-SUMIFS('Sales target'!$AD$6:$AD$100,'Sales target'!$D$6:$D$100,Balance!$B27,'Sales target'!$C$6:$C$100,Balance!AA$2)</f>
        <v>0</v>
      </c>
      <c r="AB27" s="1086">
        <f t="shared" si="0"/>
        <v>0</v>
      </c>
      <c r="AC27" s="1086">
        <f t="shared" si="0"/>
        <v>0</v>
      </c>
      <c r="AD27" s="1082"/>
      <c r="AE27" s="1082">
        <f t="shared" si="1"/>
        <v>0</v>
      </c>
      <c r="AF27" s="1082">
        <f>-SUMIF('Sales target'!D17:D721,Balance!B27,'Sales target'!AO17:AO721)</f>
        <v>0</v>
      </c>
      <c r="AG27" s="1082">
        <f t="shared" si="2"/>
        <v>0</v>
      </c>
      <c r="AI27" s="1082">
        <f t="shared" si="3"/>
        <v>0</v>
      </c>
      <c r="AJ27" s="1082">
        <f>-SUMIF('Sales target'!$D$721:$D$817,Balance!$B27,'Sales target'!$AK$721:$AK$817)/1000-SUMIF('Sales target'!$D$721:$D$817,Balance!$B27,'Sales target'!$AL$721:$AL$817)/1000</f>
        <v>0</v>
      </c>
      <c r="AK27" s="1082">
        <f t="shared" si="4"/>
        <v>0</v>
      </c>
      <c r="AL27" s="1080" t="str">
        <f t="shared" si="5"/>
        <v/>
      </c>
    </row>
    <row r="28" spans="1:38" s="1081" customFormat="1">
      <c r="A28" s="1077">
        <f>SUM(A3:A27)</f>
        <v>0</v>
      </c>
      <c r="B28" s="1078"/>
      <c r="C28" s="1079">
        <f>SUM(C3:C27)</f>
        <v>900159.71</v>
      </c>
      <c r="D28" s="1079">
        <f t="shared" ref="D28:AG28" si="31">SUM(D3:D27)</f>
        <v>0</v>
      </c>
      <c r="E28" s="1079">
        <f t="shared" si="31"/>
        <v>0</v>
      </c>
      <c r="F28" s="1079">
        <f t="shared" si="31"/>
        <v>0</v>
      </c>
      <c r="G28" s="1079">
        <f t="shared" si="31"/>
        <v>0</v>
      </c>
      <c r="H28" s="1079">
        <f t="shared" si="31"/>
        <v>0</v>
      </c>
      <c r="I28" s="1079">
        <f t="shared" si="31"/>
        <v>0</v>
      </c>
      <c r="J28" s="1079">
        <f t="shared" si="31"/>
        <v>3976894.3314749999</v>
      </c>
      <c r="K28" s="1079">
        <f t="shared" si="31"/>
        <v>-941541.5094750002</v>
      </c>
      <c r="L28" s="1079">
        <f t="shared" si="31"/>
        <v>1320544.023825</v>
      </c>
      <c r="M28" s="1079">
        <f t="shared" si="31"/>
        <v>-1639854.105825</v>
      </c>
      <c r="N28" s="1079">
        <f t="shared" si="31"/>
        <v>1739118.4892000002</v>
      </c>
      <c r="O28" s="1079">
        <f t="shared" si="31"/>
        <v>-4272241.2291999999</v>
      </c>
      <c r="P28" s="1079">
        <f t="shared" si="31"/>
        <v>1254466.5100500002</v>
      </c>
      <c r="Q28" s="1079">
        <f t="shared" si="31"/>
        <v>-1345926.5100500002</v>
      </c>
      <c r="R28" s="1079">
        <f t="shared" si="31"/>
        <v>877886.96872500016</v>
      </c>
      <c r="S28" s="1079">
        <f t="shared" si="31"/>
        <v>-932762.96872500016</v>
      </c>
      <c r="T28" s="1079">
        <f t="shared" si="31"/>
        <v>453102.95160000009</v>
      </c>
      <c r="U28" s="1079">
        <f t="shared" si="31"/>
        <v>-489686.95160000009</v>
      </c>
      <c r="V28" s="1079">
        <f t="shared" si="31"/>
        <v>198232.54132500003</v>
      </c>
      <c r="W28" s="1079">
        <f t="shared" si="31"/>
        <v>-198232.54132500003</v>
      </c>
      <c r="X28" s="1079">
        <f t="shared" si="31"/>
        <v>113275.73790000002</v>
      </c>
      <c r="Y28" s="1079">
        <f t="shared" si="31"/>
        <v>-113275.73790000002</v>
      </c>
      <c r="Z28" s="1079">
        <f t="shared" si="31"/>
        <v>113275.73790000002</v>
      </c>
      <c r="AA28" s="1079">
        <f t="shared" si="31"/>
        <v>-113275.73790000002</v>
      </c>
      <c r="AB28" s="1079">
        <f t="shared" si="31"/>
        <v>10046797.292000001</v>
      </c>
      <c r="AC28" s="1079">
        <f t="shared" si="31"/>
        <v>-10046797.292000001</v>
      </c>
      <c r="AD28" s="1079"/>
      <c r="AE28" s="1079">
        <f t="shared" si="31"/>
        <v>900159.71</v>
      </c>
      <c r="AF28" s="1079">
        <f t="shared" si="31"/>
        <v>0</v>
      </c>
      <c r="AG28" s="1079">
        <f t="shared" si="31"/>
        <v>900159.71</v>
      </c>
      <c r="AH28" s="1078"/>
      <c r="AI28" s="1079">
        <f t="shared" ref="AI28" si="32">SUM(AI3:AI27)</f>
        <v>8372.3310766666673</v>
      </c>
      <c r="AJ28" s="1079">
        <f t="shared" ref="AJ28" si="33">SUM(AJ3:AJ27)</f>
        <v>-5040.9311575324682</v>
      </c>
      <c r="AK28" s="1079">
        <f>SUM(AK3:AK27)</f>
        <v>3331.3999191342004</v>
      </c>
      <c r="AL28" s="1080"/>
    </row>
    <row r="29" spans="1:38">
      <c r="C29" s="491">
        <f>C28-A28</f>
        <v>900159.71</v>
      </c>
      <c r="AB29" s="491">
        <f>-'For upload'!O8*1000+AB28</f>
        <v>0</v>
      </c>
      <c r="AI29" s="491">
        <f>AI28-'For upload'!O9</f>
        <v>0</v>
      </c>
      <c r="AJ29" s="491">
        <f>AJ28-'For upload'!O10</f>
        <v>0</v>
      </c>
      <c r="AK29" s="491">
        <f>AK28-'For upload'!O14+'For upload'!O12</f>
        <v>4.5474735088646412E-13</v>
      </c>
    </row>
    <row r="31" spans="1:38">
      <c r="B31" s="1068" t="s">
        <v>711</v>
      </c>
      <c r="C31" s="1069"/>
      <c r="D31" s="712">
        <f>'For upload'!C$8*1000</f>
        <v>0</v>
      </c>
      <c r="E31" s="1074">
        <f>'For upload'!C27*1000</f>
        <v>0</v>
      </c>
      <c r="F31" s="1074">
        <f>'For upload'!D$8*1000</f>
        <v>0</v>
      </c>
      <c r="G31" s="1074">
        <f>'For upload'!D27*1000</f>
        <v>0</v>
      </c>
      <c r="H31" s="1074">
        <f>'For upload'!E$8*1000</f>
        <v>0</v>
      </c>
      <c r="I31" s="1074">
        <f>'For upload'!E27*1000</f>
        <v>0</v>
      </c>
      <c r="J31" s="1074">
        <f>'For upload'!F$8*1000</f>
        <v>3976894.3314749994</v>
      </c>
      <c r="K31" s="1074">
        <f>'For upload'!F27*1000</f>
        <v>941541.5094750002</v>
      </c>
      <c r="L31" s="1074">
        <f>'For upload'!G$8*1000</f>
        <v>1320544.023825</v>
      </c>
      <c r="M31" s="1074">
        <f>'For upload'!G27*1000</f>
        <v>1639854.105825</v>
      </c>
      <c r="N31" s="1074">
        <f>'For upload'!H$8*1000</f>
        <v>1739118.4892000002</v>
      </c>
      <c r="O31" s="1074">
        <f>'For upload'!H27*1000</f>
        <v>4272241.2291999999</v>
      </c>
      <c r="P31" s="1074">
        <f>'For upload'!I$8*1000</f>
        <v>1254466.5100500002</v>
      </c>
      <c r="Q31" s="1074">
        <f>'For upload'!I27*1000</f>
        <v>1345926.5100500002</v>
      </c>
      <c r="R31" s="1074">
        <f>'For upload'!J$8*1000</f>
        <v>877886.96872500016</v>
      </c>
      <c r="S31" s="1074">
        <f>'For upload'!J27*1000</f>
        <v>932762.96872500016</v>
      </c>
      <c r="T31" s="1074">
        <f>'For upload'!K$8*1000</f>
        <v>453102.95160000009</v>
      </c>
      <c r="U31" s="1074">
        <f>'For upload'!K27*1000</f>
        <v>489686.95160000009</v>
      </c>
      <c r="V31" s="1074">
        <f>'For upload'!L$8*1000</f>
        <v>198232.54132500003</v>
      </c>
      <c r="W31" s="1074">
        <f>'For upload'!L27*1000</f>
        <v>198232.54132500003</v>
      </c>
      <c r="X31" s="1074">
        <f>'For upload'!M$8*1000</f>
        <v>113275.73790000002</v>
      </c>
      <c r="Y31" s="1074">
        <f>'For upload'!M27*1000</f>
        <v>113275.73790000002</v>
      </c>
      <c r="Z31" s="1074">
        <f>'For upload'!N$8*1000</f>
        <v>113275.73790000002</v>
      </c>
      <c r="AA31" s="1074">
        <f>'For upload'!N27*1000</f>
        <v>113275.73790000002</v>
      </c>
      <c r="AB31" s="1074">
        <f>D31+F31+H31+J31+L31+N31+P31+R31+T31+V31+X31+Z31</f>
        <v>10046797.291999999</v>
      </c>
      <c r="AC31" s="1074">
        <f>E31+G31+I31+K31+M31+O31+Q31+S31+U31+W31+Y31+AA31</f>
        <v>10046797.291999999</v>
      </c>
      <c r="AE31" s="1074">
        <f>-'For upload'!O22*1000</f>
        <v>-927597.70999999915</v>
      </c>
    </row>
    <row r="32" spans="1:38">
      <c r="B32" s="1070" t="s">
        <v>712</v>
      </c>
      <c r="C32" s="1071">
        <f>'[18]31.12.2020'!$P$1-C28</f>
        <v>0</v>
      </c>
      <c r="D32" s="1072">
        <f>D28-D31</f>
        <v>0</v>
      </c>
      <c r="E32" s="1072">
        <f>E28+E31</f>
        <v>0</v>
      </c>
      <c r="F32" s="1072">
        <f>F28-F31</f>
        <v>0</v>
      </c>
      <c r="G32" s="1072">
        <f>G28+G31</f>
        <v>0</v>
      </c>
      <c r="H32" s="1072">
        <f t="shared" ref="H32" si="34">H28-H31</f>
        <v>0</v>
      </c>
      <c r="I32" s="1072">
        <f t="shared" ref="I32" si="35">I28+I31</f>
        <v>0</v>
      </c>
      <c r="J32" s="1072">
        <f t="shared" ref="J32" si="36">J28-J31</f>
        <v>0</v>
      </c>
      <c r="K32" s="1072">
        <f t="shared" ref="K32" si="37">K28+K31</f>
        <v>0</v>
      </c>
      <c r="L32" s="1072">
        <f t="shared" ref="L32" si="38">L28-L31</f>
        <v>0</v>
      </c>
      <c r="M32" s="1072">
        <f t="shared" ref="M32" si="39">M28+M31</f>
        <v>0</v>
      </c>
      <c r="N32" s="1072">
        <f t="shared" ref="N32" si="40">N28-N31</f>
        <v>0</v>
      </c>
      <c r="O32" s="1072">
        <f t="shared" ref="O32" si="41">O28+O31</f>
        <v>0</v>
      </c>
      <c r="P32" s="1072">
        <f t="shared" ref="P32" si="42">P28-P31</f>
        <v>0</v>
      </c>
      <c r="Q32" s="1072">
        <f t="shared" ref="Q32" si="43">Q28+Q31</f>
        <v>0</v>
      </c>
      <c r="R32" s="1072">
        <f t="shared" ref="R32" si="44">R28-R31</f>
        <v>0</v>
      </c>
      <c r="S32" s="1072">
        <f t="shared" ref="S32" si="45">S28+S31</f>
        <v>0</v>
      </c>
      <c r="T32" s="1072">
        <f t="shared" ref="T32" si="46">T28-T31</f>
        <v>0</v>
      </c>
      <c r="U32" s="1072">
        <f t="shared" ref="U32" si="47">U28+U31</f>
        <v>0</v>
      </c>
      <c r="V32" s="1072">
        <f t="shared" ref="V32" si="48">V28-V31</f>
        <v>0</v>
      </c>
      <c r="W32" s="1072">
        <f t="shared" ref="W32" si="49">W28+W31</f>
        <v>0</v>
      </c>
      <c r="X32" s="1072">
        <f t="shared" ref="X32" si="50">X28-X31</f>
        <v>0</v>
      </c>
      <c r="Y32" s="1072">
        <f t="shared" ref="Y32" si="51">Y28+Y31</f>
        <v>0</v>
      </c>
      <c r="Z32" s="1072">
        <f t="shared" ref="Z32" si="52">Z28-Z31</f>
        <v>0</v>
      </c>
      <c r="AA32" s="1072">
        <f t="shared" ref="AA32" si="53">AA28+AA31</f>
        <v>0</v>
      </c>
      <c r="AB32" s="1072">
        <f>AB28-AB31</f>
        <v>0</v>
      </c>
      <c r="AC32" s="1072">
        <f t="shared" ref="AC32" si="54">AC28+AC31</f>
        <v>0</v>
      </c>
      <c r="AD32" s="996"/>
      <c r="AE32" s="1072">
        <f>AE28+AE31-'For upload'!O28*1000</f>
        <v>8.1126927398145199E-10</v>
      </c>
    </row>
  </sheetData>
  <autoFilter ref="A1:AN32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A659836D58C9F4CB3AA9F8554B06E58" ma:contentTypeVersion="2" ma:contentTypeDescription="Создание документа." ma:contentTypeScope="" ma:versionID="fd386b2422e2638cafa89b7bf3ea76b6">
  <xsd:schema xmlns:xsd="http://www.w3.org/2001/XMLSchema" xmlns:xs="http://www.w3.org/2001/XMLSchema" xmlns:p="http://schemas.microsoft.com/office/2006/metadata/properties" xmlns:ns2="dea670b5-e574-4edf-ab13-269bf895f63e" targetNamespace="http://schemas.microsoft.com/office/2006/metadata/properties" ma:root="true" ma:fieldsID="d186f0a413428c5554c0c81eede7bed4" ns2:_="">
    <xsd:import namespace="dea670b5-e574-4edf-ab13-269bf895f6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a670b5-e574-4edf-ab13-269bf895f6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C846400-716B-47B3-B3CB-F661A126A560}"/>
</file>

<file path=customXml/itemProps2.xml><?xml version="1.0" encoding="utf-8"?>
<ds:datastoreItem xmlns:ds="http://schemas.openxmlformats.org/officeDocument/2006/customXml" ds:itemID="{396C9419-04B8-4AC2-B04F-1BAEDB4284B4}"/>
</file>

<file path=customXml/itemProps3.xml><?xml version="1.0" encoding="utf-8"?>
<ds:datastoreItem xmlns:ds="http://schemas.openxmlformats.org/officeDocument/2006/customXml" ds:itemID="{E5CD43F0-76BA-4B63-96DD-42C13929621E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Comm. Policy</vt:lpstr>
      <vt:lpstr>Purchase old</vt:lpstr>
      <vt:lpstr>Title</vt:lpstr>
      <vt:lpstr>Mark Up Validation</vt:lpstr>
      <vt:lpstr>Terms and Turnovers</vt:lpstr>
      <vt:lpstr>Sales target</vt:lpstr>
      <vt:lpstr>MARKETING NET SALES</vt:lpstr>
      <vt:lpstr>For upload</vt:lpstr>
      <vt:lpstr>Balance</vt:lpstr>
      <vt:lpstr>клиентская база</vt:lpstr>
      <vt:lpstr>FC Bud21</vt:lpstr>
      <vt:lpstr>План 2020</vt:lpstr>
      <vt:lpstr>Лист2</vt:lpstr>
      <vt:lpstr>SDC Franchize &amp; Wholesale</vt:lpstr>
      <vt:lpstr>БНС Груп</vt:lpstr>
      <vt:lpstr>Fixed assets</vt:lpstr>
      <vt:lpstr>Comments</vt:lpstr>
      <vt:lpstr>New Stores</vt:lpstr>
      <vt:lpstr>Лист1</vt:lpstr>
    </vt:vector>
  </TitlesOfParts>
  <Company>BNS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Davidyan</dc:creator>
  <cp:lastModifiedBy>a.kanaykin</cp:lastModifiedBy>
  <cp:lastPrinted>2012-03-02T08:07:03Z</cp:lastPrinted>
  <dcterms:created xsi:type="dcterms:W3CDTF">2009-08-14T09:09:14Z</dcterms:created>
  <dcterms:modified xsi:type="dcterms:W3CDTF">2021-03-02T15:09:15Z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0x0101003A659836D58C9F4CB3AA9F8554B06E58</vt:lpwstr>
  </property>
</Properties>
</file>